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ambid-my.sharepoint.com/personal/dika_irawan_samb_co_id/Documents/BMG/Budget BMG/"/>
    </mc:Choice>
  </mc:AlternateContent>
  <xr:revisionPtr revIDLastSave="105" documentId="8_{A5476E40-384F-40B7-9D93-A4E2887A6A52}" xr6:coauthVersionLast="47" xr6:coauthVersionMax="47" xr10:uidLastSave="{8EE4A627-01B6-4D17-848A-61B67341CAC4}"/>
  <bookViews>
    <workbookView xWindow="12710" yWindow="0" windowWidth="12980" windowHeight="16090" firstSheet="1" activeTab="1" xr2:uid="{00000000-000D-0000-FFFF-FFFF00000000}"/>
  </bookViews>
  <sheets>
    <sheet name="BMG Business Plan" sheetId="2" r:id="rId1"/>
    <sheet name="Business Plan - Model Details" sheetId="4" r:id="rId2"/>
    <sheet name="Register FA" sheetId="3" r:id="rId3"/>
    <sheet name="BS Actual MTM - Aug 26" sheetId="5" r:id="rId4"/>
    <sheet name="PL Actual MTM - Aug 26" sheetId="6" r:id="rId5"/>
    <sheet name="DATA - GL Aktual 2026" sheetId="7" r:id="rId6"/>
    <sheet name="Data Aktual" sheetId="8" r:id="rId7"/>
    <sheet name="Input Operasional" sheetId="10" r:id="rId8"/>
  </sheets>
  <definedNames>
    <definedName name="Amount_HRDGA">#REF!</definedName>
    <definedName name="Amount_Salary">#REF!</definedName>
    <definedName name="Entity_HRDGA">#REF!</definedName>
    <definedName name="Entity_Salary">#REF!</definedName>
    <definedName name="FSLI_HRDGA">#REF!</definedName>
    <definedName name="FSLI_Salary">#REF!</definedName>
    <definedName name="Grouping_HRDGA">#REF!</definedName>
    <definedName name="Grouping_Salar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57" i="4" l="1"/>
  <c r="R18" i="10"/>
  <c r="R17" i="10"/>
  <c r="S92" i="2"/>
  <c r="R92" i="2"/>
  <c r="Q92" i="2"/>
  <c r="P92" i="2"/>
  <c r="O92" i="2"/>
  <c r="N92" i="2"/>
  <c r="M92" i="2"/>
  <c r="L92" i="2"/>
  <c r="S91" i="2"/>
  <c r="R91" i="2"/>
  <c r="Q91" i="2"/>
  <c r="P91" i="2"/>
  <c r="O91" i="2"/>
  <c r="N91" i="2"/>
  <c r="M91" i="2"/>
  <c r="L91" i="2"/>
  <c r="M100" i="10"/>
  <c r="P99" i="10"/>
  <c r="O99" i="10"/>
  <c r="N99" i="10"/>
  <c r="M99" i="10"/>
  <c r="L99" i="10"/>
  <c r="K99" i="10"/>
  <c r="J99" i="10"/>
  <c r="M98" i="10"/>
  <c r="AG142" i="4"/>
  <c r="AF142" i="4"/>
  <c r="AE142" i="4"/>
  <c r="AD142" i="4"/>
  <c r="AC142" i="4"/>
  <c r="AB142" i="4"/>
  <c r="AA142" i="4"/>
  <c r="Z142" i="4"/>
  <c r="Y142" i="4"/>
  <c r="X142" i="4"/>
  <c r="W142" i="4"/>
  <c r="V142" i="4"/>
  <c r="U142" i="4"/>
  <c r="T142" i="4"/>
  <c r="S142" i="4"/>
  <c r="R142" i="4"/>
  <c r="Q141" i="4"/>
  <c r="R141" i="4"/>
  <c r="AA441" i="4"/>
  <c r="AG1153" i="4"/>
  <c r="Y451" i="4"/>
  <c r="R607" i="4"/>
  <c r="R608" i="4" s="1"/>
  <c r="R612" i="4"/>
  <c r="Z617" i="4"/>
  <c r="Z618" i="4" s="1"/>
  <c r="AG622" i="4"/>
  <c r="R627" i="4"/>
  <c r="R628" i="4" s="1"/>
  <c r="AG1158" i="4"/>
  <c r="AG728" i="4"/>
  <c r="AF728" i="4"/>
  <c r="AE728" i="4"/>
  <c r="AD728" i="4"/>
  <c r="AC728" i="4"/>
  <c r="AB728" i="4"/>
  <c r="AA728" i="4"/>
  <c r="Z728" i="4"/>
  <c r="Y728" i="4"/>
  <c r="X728" i="4"/>
  <c r="W728" i="4"/>
  <c r="V728" i="4"/>
  <c r="U728" i="4"/>
  <c r="T728" i="4"/>
  <c r="S728" i="4"/>
  <c r="R728" i="4"/>
  <c r="AG57" i="4"/>
  <c r="AF57" i="4"/>
  <c r="AE57" i="4"/>
  <c r="AD57" i="4"/>
  <c r="AC57" i="4"/>
  <c r="AB57" i="4"/>
  <c r="AA57" i="4"/>
  <c r="Z57" i="4"/>
  <c r="Y57" i="4"/>
  <c r="X57" i="4"/>
  <c r="W57" i="4"/>
  <c r="V57" i="4"/>
  <c r="T57" i="4"/>
  <c r="S57" i="4"/>
  <c r="R57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AG1264" i="4"/>
  <c r="AF1264" i="4"/>
  <c r="AE1264" i="4"/>
  <c r="AD1264" i="4"/>
  <c r="AC1264" i="4"/>
  <c r="AB1264" i="4"/>
  <c r="AA1264" i="4"/>
  <c r="Z1264" i="4"/>
  <c r="Y1264" i="4"/>
  <c r="X1264" i="4"/>
  <c r="W1264" i="4"/>
  <c r="V1264" i="4"/>
  <c r="U1264" i="4"/>
  <c r="T1264" i="4"/>
  <c r="S1264" i="4"/>
  <c r="R1264" i="4"/>
  <c r="Q1264" i="4"/>
  <c r="P1264" i="4"/>
  <c r="O1264" i="4"/>
  <c r="N1264" i="4"/>
  <c r="M1264" i="4"/>
  <c r="L1264" i="4"/>
  <c r="K1264" i="4"/>
  <c r="J1264" i="4"/>
  <c r="AG1260" i="4"/>
  <c r="AF1260" i="4"/>
  <c r="AE1260" i="4"/>
  <c r="AD1260" i="4"/>
  <c r="AC1260" i="4"/>
  <c r="AB1260" i="4"/>
  <c r="AA1260" i="4"/>
  <c r="Z1260" i="4"/>
  <c r="Y1260" i="4"/>
  <c r="X1260" i="4"/>
  <c r="W1260" i="4"/>
  <c r="V1260" i="4"/>
  <c r="U1260" i="4"/>
  <c r="T1260" i="4"/>
  <c r="S1260" i="4"/>
  <c r="R1260" i="4"/>
  <c r="Q1260" i="4"/>
  <c r="P1260" i="4"/>
  <c r="O1260" i="4"/>
  <c r="N1260" i="4"/>
  <c r="M1260" i="4"/>
  <c r="L1260" i="4"/>
  <c r="K1260" i="4"/>
  <c r="J1260" i="4"/>
  <c r="AG1259" i="4"/>
  <c r="AF1259" i="4"/>
  <c r="AE1259" i="4"/>
  <c r="AD1259" i="4"/>
  <c r="AC1259" i="4"/>
  <c r="AB1259" i="4"/>
  <c r="AA1259" i="4"/>
  <c r="Z1259" i="4"/>
  <c r="Y1259" i="4"/>
  <c r="X1259" i="4"/>
  <c r="W1259" i="4"/>
  <c r="V1259" i="4"/>
  <c r="U1259" i="4"/>
  <c r="T1259" i="4"/>
  <c r="S1259" i="4"/>
  <c r="R1259" i="4"/>
  <c r="Q1259" i="4"/>
  <c r="P1259" i="4"/>
  <c r="O1259" i="4"/>
  <c r="N1259" i="4"/>
  <c r="M1259" i="4"/>
  <c r="L1259" i="4"/>
  <c r="K1259" i="4"/>
  <c r="J1259" i="4"/>
  <c r="Q1256" i="4"/>
  <c r="P1256" i="4"/>
  <c r="O1256" i="4"/>
  <c r="N1256" i="4"/>
  <c r="M1256" i="4"/>
  <c r="L1256" i="4"/>
  <c r="K1256" i="4"/>
  <c r="J1256" i="4"/>
  <c r="J1241" i="4"/>
  <c r="Q1266" i="4"/>
  <c r="P1266" i="4"/>
  <c r="O1266" i="4"/>
  <c r="N1266" i="4"/>
  <c r="M1266" i="4"/>
  <c r="L1266" i="4"/>
  <c r="K1266" i="4"/>
  <c r="J1266" i="4"/>
  <c r="AG1251" i="4"/>
  <c r="AF1251" i="4"/>
  <c r="AE1251" i="4"/>
  <c r="AD1251" i="4"/>
  <c r="AC1251" i="4"/>
  <c r="AB1251" i="4"/>
  <c r="AA1251" i="4"/>
  <c r="Z1251" i="4"/>
  <c r="Y1251" i="4"/>
  <c r="X1251" i="4"/>
  <c r="W1251" i="4"/>
  <c r="V1251" i="4"/>
  <c r="U1251" i="4"/>
  <c r="T1251" i="4"/>
  <c r="S1251" i="4"/>
  <c r="R1251" i="4"/>
  <c r="AG1250" i="4"/>
  <c r="AF1250" i="4"/>
  <c r="AE1250" i="4"/>
  <c r="AD1250" i="4"/>
  <c r="AC1250" i="4"/>
  <c r="AB1250" i="4"/>
  <c r="AA1250" i="4"/>
  <c r="Z1250" i="4"/>
  <c r="Y1250" i="4"/>
  <c r="X1250" i="4"/>
  <c r="W1250" i="4"/>
  <c r="V1250" i="4"/>
  <c r="U1250" i="4"/>
  <c r="T1250" i="4"/>
  <c r="S1250" i="4"/>
  <c r="R1250" i="4"/>
  <c r="AG1249" i="4"/>
  <c r="AF1249" i="4"/>
  <c r="AE1249" i="4"/>
  <c r="AD1249" i="4"/>
  <c r="AC1249" i="4"/>
  <c r="AB1249" i="4"/>
  <c r="AA1249" i="4"/>
  <c r="Z1249" i="4"/>
  <c r="Y1249" i="4"/>
  <c r="X1249" i="4"/>
  <c r="W1249" i="4"/>
  <c r="V1249" i="4"/>
  <c r="U1249" i="4"/>
  <c r="T1249" i="4"/>
  <c r="S1249" i="4"/>
  <c r="R1249" i="4"/>
  <c r="AG1244" i="4"/>
  <c r="AF1244" i="4"/>
  <c r="AE1244" i="4"/>
  <c r="AD1244" i="4"/>
  <c r="AC1244" i="4"/>
  <c r="AB1244" i="4"/>
  <c r="AA1244" i="4"/>
  <c r="Z1244" i="4"/>
  <c r="Y1244" i="4"/>
  <c r="X1244" i="4"/>
  <c r="W1244" i="4"/>
  <c r="V1244" i="4"/>
  <c r="U1244" i="4"/>
  <c r="T1244" i="4"/>
  <c r="S1244" i="4"/>
  <c r="R1244" i="4"/>
  <c r="Q1244" i="4"/>
  <c r="P1244" i="4"/>
  <c r="O1244" i="4"/>
  <c r="N1244" i="4"/>
  <c r="M1244" i="4"/>
  <c r="L1244" i="4"/>
  <c r="K1244" i="4"/>
  <c r="J1244" i="4"/>
  <c r="AG1245" i="4"/>
  <c r="AF1245" i="4"/>
  <c r="AE1245" i="4"/>
  <c r="AD1245" i="4"/>
  <c r="AC1245" i="4"/>
  <c r="AB1245" i="4"/>
  <c r="AA1245" i="4"/>
  <c r="Z1245" i="4"/>
  <c r="Y1245" i="4"/>
  <c r="X1245" i="4"/>
  <c r="W1245" i="4"/>
  <c r="V1245" i="4"/>
  <c r="U1245" i="4"/>
  <c r="T1245" i="4"/>
  <c r="S1245" i="4"/>
  <c r="R1245" i="4"/>
  <c r="Q1245" i="4"/>
  <c r="P1245" i="4"/>
  <c r="O1245" i="4"/>
  <c r="N1245" i="4"/>
  <c r="M1245" i="4"/>
  <c r="L1245" i="4"/>
  <c r="K1245" i="4"/>
  <c r="J1245" i="4"/>
  <c r="Q1241" i="4"/>
  <c r="P1241" i="4"/>
  <c r="O1241" i="4"/>
  <c r="N1241" i="4"/>
  <c r="M1241" i="4"/>
  <c r="L1241" i="4"/>
  <c r="K1241" i="4"/>
  <c r="T1116" i="4"/>
  <c r="R138" i="10"/>
  <c r="S138" i="10" s="1"/>
  <c r="T138" i="10" s="1"/>
  <c r="U138" i="10" s="1"/>
  <c r="V138" i="10" s="1"/>
  <c r="W138" i="10" s="1"/>
  <c r="X138" i="10" s="1"/>
  <c r="Y138" i="10" s="1"/>
  <c r="Z138" i="10" s="1"/>
  <c r="AA138" i="10" s="1"/>
  <c r="AB138" i="10" s="1"/>
  <c r="AC138" i="10" s="1"/>
  <c r="AD138" i="10" s="1"/>
  <c r="AE138" i="10" s="1"/>
  <c r="AF138" i="10" s="1"/>
  <c r="R137" i="10"/>
  <c r="S137" i="10" s="1"/>
  <c r="T137" i="10" s="1"/>
  <c r="U137" i="10" s="1"/>
  <c r="V137" i="10" s="1"/>
  <c r="W137" i="10" s="1"/>
  <c r="X137" i="10" s="1"/>
  <c r="Y137" i="10" s="1"/>
  <c r="Z137" i="10" s="1"/>
  <c r="AA137" i="10" s="1"/>
  <c r="AB137" i="10" s="1"/>
  <c r="AC137" i="10" s="1"/>
  <c r="AD137" i="10" s="1"/>
  <c r="AE137" i="10" s="1"/>
  <c r="AF137" i="10" s="1"/>
  <c r="R136" i="10"/>
  <c r="S136" i="10" s="1"/>
  <c r="T136" i="10" s="1"/>
  <c r="U136" i="10" s="1"/>
  <c r="V136" i="10" s="1"/>
  <c r="W136" i="10" s="1"/>
  <c r="X136" i="10" s="1"/>
  <c r="Y136" i="10" s="1"/>
  <c r="Z136" i="10" s="1"/>
  <c r="AA136" i="10" s="1"/>
  <c r="AB136" i="10" s="1"/>
  <c r="AC136" i="10" s="1"/>
  <c r="AD136" i="10" s="1"/>
  <c r="AE136" i="10" s="1"/>
  <c r="AF136" i="10" s="1"/>
  <c r="R135" i="10"/>
  <c r="S135" i="10" s="1"/>
  <c r="T135" i="10" s="1"/>
  <c r="U135" i="10" s="1"/>
  <c r="V135" i="10" s="1"/>
  <c r="W135" i="10" s="1"/>
  <c r="X135" i="10" s="1"/>
  <c r="Y135" i="10" s="1"/>
  <c r="Z135" i="10" s="1"/>
  <c r="AA135" i="10" s="1"/>
  <c r="AB135" i="10" s="1"/>
  <c r="AC135" i="10" s="1"/>
  <c r="AD135" i="10" s="1"/>
  <c r="AE135" i="10" s="1"/>
  <c r="AF135" i="10" s="1"/>
  <c r="R134" i="10"/>
  <c r="S134" i="10" s="1"/>
  <c r="T134" i="10" s="1"/>
  <c r="U134" i="10" s="1"/>
  <c r="V134" i="10" s="1"/>
  <c r="W134" i="10" s="1"/>
  <c r="X134" i="10" s="1"/>
  <c r="Y134" i="10" s="1"/>
  <c r="Z134" i="10" s="1"/>
  <c r="AA134" i="10" s="1"/>
  <c r="AB134" i="10" s="1"/>
  <c r="AC134" i="10" s="1"/>
  <c r="AD134" i="10" s="1"/>
  <c r="AE134" i="10" s="1"/>
  <c r="AF134" i="10" s="1"/>
  <c r="R133" i="10"/>
  <c r="S133" i="10" s="1"/>
  <c r="T133" i="10" s="1"/>
  <c r="U133" i="10" s="1"/>
  <c r="V133" i="10" s="1"/>
  <c r="W133" i="10" s="1"/>
  <c r="X133" i="10" s="1"/>
  <c r="Y133" i="10" s="1"/>
  <c r="Z133" i="10" s="1"/>
  <c r="AA133" i="10" s="1"/>
  <c r="AB133" i="10" s="1"/>
  <c r="AC133" i="10" s="1"/>
  <c r="AD133" i="10" s="1"/>
  <c r="AE133" i="10" s="1"/>
  <c r="AF133" i="10" s="1"/>
  <c r="R132" i="10"/>
  <c r="S132" i="10" s="1"/>
  <c r="T132" i="10" s="1"/>
  <c r="U132" i="10" s="1"/>
  <c r="V132" i="10" s="1"/>
  <c r="W132" i="10" s="1"/>
  <c r="X132" i="10" s="1"/>
  <c r="Y132" i="10" s="1"/>
  <c r="Z132" i="10" s="1"/>
  <c r="AA132" i="10" s="1"/>
  <c r="AB132" i="10" s="1"/>
  <c r="AC132" i="10" s="1"/>
  <c r="AD132" i="10" s="1"/>
  <c r="AE132" i="10" s="1"/>
  <c r="AF132" i="10" s="1"/>
  <c r="R131" i="10"/>
  <c r="S131" i="10" s="1"/>
  <c r="T131" i="10" s="1"/>
  <c r="U131" i="10" s="1"/>
  <c r="V131" i="10" s="1"/>
  <c r="W131" i="10" s="1"/>
  <c r="X131" i="10" s="1"/>
  <c r="Y131" i="10" s="1"/>
  <c r="Z131" i="10" s="1"/>
  <c r="AA131" i="10" s="1"/>
  <c r="AB131" i="10" s="1"/>
  <c r="AC131" i="10" s="1"/>
  <c r="AD131" i="10" s="1"/>
  <c r="AE131" i="10" s="1"/>
  <c r="AF131" i="10" s="1"/>
  <c r="R130" i="10"/>
  <c r="S130" i="10" s="1"/>
  <c r="T130" i="10" s="1"/>
  <c r="U130" i="10" s="1"/>
  <c r="V130" i="10" s="1"/>
  <c r="W130" i="10" s="1"/>
  <c r="X130" i="10" s="1"/>
  <c r="Y130" i="10" s="1"/>
  <c r="Z130" i="10" s="1"/>
  <c r="AA130" i="10" s="1"/>
  <c r="AB130" i="10" s="1"/>
  <c r="AC130" i="10" s="1"/>
  <c r="AD130" i="10" s="1"/>
  <c r="AE130" i="10" s="1"/>
  <c r="AF130" i="10" s="1"/>
  <c r="R129" i="10"/>
  <c r="S129" i="10" s="1"/>
  <c r="T129" i="10" s="1"/>
  <c r="U129" i="10" s="1"/>
  <c r="V129" i="10" s="1"/>
  <c r="W129" i="10" s="1"/>
  <c r="X129" i="10" s="1"/>
  <c r="Y129" i="10" s="1"/>
  <c r="Z129" i="10" s="1"/>
  <c r="AA129" i="10" s="1"/>
  <c r="AB129" i="10" s="1"/>
  <c r="AC129" i="10" s="1"/>
  <c r="AD129" i="10" s="1"/>
  <c r="AE129" i="10" s="1"/>
  <c r="AF129" i="10" s="1"/>
  <c r="R128" i="10"/>
  <c r="S128" i="10" s="1"/>
  <c r="T128" i="10" s="1"/>
  <c r="U128" i="10" s="1"/>
  <c r="V128" i="10" s="1"/>
  <c r="W128" i="10" s="1"/>
  <c r="X128" i="10" s="1"/>
  <c r="Y128" i="10" s="1"/>
  <c r="Z128" i="10" s="1"/>
  <c r="AA128" i="10" s="1"/>
  <c r="AB128" i="10" s="1"/>
  <c r="AC128" i="10" s="1"/>
  <c r="AD128" i="10" s="1"/>
  <c r="AE128" i="10" s="1"/>
  <c r="AF128" i="10" s="1"/>
  <c r="R127" i="10"/>
  <c r="S127" i="10" s="1"/>
  <c r="T127" i="10" s="1"/>
  <c r="U127" i="10" s="1"/>
  <c r="V127" i="10" s="1"/>
  <c r="W127" i="10" s="1"/>
  <c r="X127" i="10" s="1"/>
  <c r="Y127" i="10" s="1"/>
  <c r="Z127" i="10" s="1"/>
  <c r="AA127" i="10" s="1"/>
  <c r="AB127" i="10" s="1"/>
  <c r="AC127" i="10" s="1"/>
  <c r="AD127" i="10" s="1"/>
  <c r="AE127" i="10" s="1"/>
  <c r="AF127" i="10" s="1"/>
  <c r="R126" i="10"/>
  <c r="S126" i="10" s="1"/>
  <c r="T126" i="10" s="1"/>
  <c r="U126" i="10" s="1"/>
  <c r="V126" i="10" s="1"/>
  <c r="W126" i="10" s="1"/>
  <c r="X126" i="10" s="1"/>
  <c r="Y126" i="10" s="1"/>
  <c r="Z126" i="10" s="1"/>
  <c r="AA126" i="10" s="1"/>
  <c r="AB126" i="10" s="1"/>
  <c r="AC126" i="10" s="1"/>
  <c r="AD126" i="10" s="1"/>
  <c r="AE126" i="10" s="1"/>
  <c r="AF126" i="10" s="1"/>
  <c r="R125" i="10"/>
  <c r="S125" i="10" s="1"/>
  <c r="T125" i="10" s="1"/>
  <c r="U125" i="10" s="1"/>
  <c r="V125" i="10" s="1"/>
  <c r="W125" i="10" s="1"/>
  <c r="X125" i="10" s="1"/>
  <c r="Y125" i="10" s="1"/>
  <c r="Z125" i="10" s="1"/>
  <c r="AA125" i="10" s="1"/>
  <c r="AB125" i="10" s="1"/>
  <c r="AC125" i="10" s="1"/>
  <c r="AD125" i="10" s="1"/>
  <c r="AE125" i="10" s="1"/>
  <c r="AF125" i="10" s="1"/>
  <c r="R124" i="10"/>
  <c r="S124" i="10" s="1"/>
  <c r="T124" i="10" s="1"/>
  <c r="U124" i="10" s="1"/>
  <c r="V124" i="10" s="1"/>
  <c r="W124" i="10" s="1"/>
  <c r="X124" i="10" s="1"/>
  <c r="Y124" i="10" s="1"/>
  <c r="Z124" i="10" s="1"/>
  <c r="AA124" i="10" s="1"/>
  <c r="AB124" i="10" s="1"/>
  <c r="AC124" i="10" s="1"/>
  <c r="AD124" i="10" s="1"/>
  <c r="AE124" i="10" s="1"/>
  <c r="AF124" i="10" s="1"/>
  <c r="R123" i="10"/>
  <c r="S123" i="10" s="1"/>
  <c r="T123" i="10" s="1"/>
  <c r="U123" i="10" s="1"/>
  <c r="V123" i="10" s="1"/>
  <c r="W123" i="10" s="1"/>
  <c r="X123" i="10" s="1"/>
  <c r="Y123" i="10" s="1"/>
  <c r="Z123" i="10" s="1"/>
  <c r="AA123" i="10" s="1"/>
  <c r="AB123" i="10" s="1"/>
  <c r="AC123" i="10" s="1"/>
  <c r="AD123" i="10" s="1"/>
  <c r="AE123" i="10" s="1"/>
  <c r="AF123" i="10" s="1"/>
  <c r="R122" i="10"/>
  <c r="S122" i="10" s="1"/>
  <c r="T122" i="10" s="1"/>
  <c r="U122" i="10" s="1"/>
  <c r="V122" i="10" s="1"/>
  <c r="W122" i="10" s="1"/>
  <c r="X122" i="10" s="1"/>
  <c r="Y122" i="10" s="1"/>
  <c r="Z122" i="10" s="1"/>
  <c r="AA122" i="10" s="1"/>
  <c r="AB122" i="10" s="1"/>
  <c r="AC122" i="10" s="1"/>
  <c r="AD122" i="10" s="1"/>
  <c r="AE122" i="10" s="1"/>
  <c r="AF122" i="10" s="1"/>
  <c r="R121" i="10"/>
  <c r="S121" i="10" s="1"/>
  <c r="T121" i="10" s="1"/>
  <c r="U121" i="10" s="1"/>
  <c r="V121" i="10" s="1"/>
  <c r="W121" i="10" s="1"/>
  <c r="X121" i="10" s="1"/>
  <c r="Y121" i="10" s="1"/>
  <c r="Z121" i="10" s="1"/>
  <c r="AA121" i="10" s="1"/>
  <c r="AB121" i="10" s="1"/>
  <c r="AC121" i="10" s="1"/>
  <c r="AD121" i="10" s="1"/>
  <c r="AE121" i="10" s="1"/>
  <c r="AF121" i="10" s="1"/>
  <c r="R120" i="10"/>
  <c r="S120" i="10" s="1"/>
  <c r="T120" i="10" s="1"/>
  <c r="U120" i="10" s="1"/>
  <c r="V120" i="10" s="1"/>
  <c r="W120" i="10" s="1"/>
  <c r="X120" i="10" s="1"/>
  <c r="Y120" i="10" s="1"/>
  <c r="Z120" i="10" s="1"/>
  <c r="AA120" i="10" s="1"/>
  <c r="AB120" i="10" s="1"/>
  <c r="AC120" i="10" s="1"/>
  <c r="AD120" i="10" s="1"/>
  <c r="AE120" i="10" s="1"/>
  <c r="AF120" i="10" s="1"/>
  <c r="R119" i="10"/>
  <c r="S119" i="10" s="1"/>
  <c r="T119" i="10" s="1"/>
  <c r="U119" i="10" s="1"/>
  <c r="V119" i="10" s="1"/>
  <c r="W119" i="10" s="1"/>
  <c r="X119" i="10" s="1"/>
  <c r="Y119" i="10" s="1"/>
  <c r="Z119" i="10" s="1"/>
  <c r="AA119" i="10" s="1"/>
  <c r="AB119" i="10" s="1"/>
  <c r="AC119" i="10" s="1"/>
  <c r="AD119" i="10" s="1"/>
  <c r="AE119" i="10" s="1"/>
  <c r="AF119" i="10" s="1"/>
  <c r="R118" i="10"/>
  <c r="S118" i="10" s="1"/>
  <c r="T118" i="10" s="1"/>
  <c r="U118" i="10" s="1"/>
  <c r="R117" i="10"/>
  <c r="S113" i="4" s="1"/>
  <c r="R116" i="10"/>
  <c r="S116" i="10" s="1"/>
  <c r="R115" i="10"/>
  <c r="R114" i="10"/>
  <c r="S114" i="10" s="1"/>
  <c r="T114" i="10" s="1"/>
  <c r="U114" i="10" s="1"/>
  <c r="V114" i="10" s="1"/>
  <c r="W114" i="10" s="1"/>
  <c r="X114" i="10" s="1"/>
  <c r="Y114" i="10" s="1"/>
  <c r="Z114" i="10" s="1"/>
  <c r="AA114" i="10" s="1"/>
  <c r="AB114" i="10" s="1"/>
  <c r="AC114" i="10" s="1"/>
  <c r="AD114" i="10" s="1"/>
  <c r="AE114" i="10" s="1"/>
  <c r="AF114" i="10" s="1"/>
  <c r="AG110" i="4" s="1"/>
  <c r="R113" i="10"/>
  <c r="S113" i="10" s="1"/>
  <c r="T113" i="10" s="1"/>
  <c r="U113" i="10" s="1"/>
  <c r="V113" i="10" s="1"/>
  <c r="W113" i="10" s="1"/>
  <c r="X113" i="10" s="1"/>
  <c r="Y113" i="10" s="1"/>
  <c r="R112" i="10"/>
  <c r="S112" i="10" s="1"/>
  <c r="T112" i="10" s="1"/>
  <c r="U112" i="10" s="1"/>
  <c r="V112" i="10" s="1"/>
  <c r="W112" i="10" s="1"/>
  <c r="X112" i="10" s="1"/>
  <c r="Y112" i="10" s="1"/>
  <c r="Z112" i="10" s="1"/>
  <c r="AA112" i="10" s="1"/>
  <c r="AB112" i="10" s="1"/>
  <c r="AC112" i="10" s="1"/>
  <c r="AD112" i="10" s="1"/>
  <c r="AE112" i="10" s="1"/>
  <c r="AF112" i="10" s="1"/>
  <c r="AG108" i="4" s="1"/>
  <c r="R111" i="10"/>
  <c r="S107" i="4" s="1"/>
  <c r="R110" i="10"/>
  <c r="S110" i="10" s="1"/>
  <c r="T110" i="10" s="1"/>
  <c r="U110" i="10" s="1"/>
  <c r="V110" i="10" s="1"/>
  <c r="W110" i="10" s="1"/>
  <c r="X110" i="10" s="1"/>
  <c r="Y110" i="10" s="1"/>
  <c r="Z110" i="10" s="1"/>
  <c r="AA110" i="10" s="1"/>
  <c r="AB110" i="10" s="1"/>
  <c r="AC110" i="10" s="1"/>
  <c r="AD110" i="10" s="1"/>
  <c r="AE110" i="10" s="1"/>
  <c r="AF110" i="10" s="1"/>
  <c r="AG106" i="4" s="1"/>
  <c r="R109" i="10"/>
  <c r="S109" i="10" s="1"/>
  <c r="T109" i="10" s="1"/>
  <c r="U109" i="10" s="1"/>
  <c r="V109" i="10" s="1"/>
  <c r="W109" i="10" s="1"/>
  <c r="X109" i="10" s="1"/>
  <c r="Y109" i="10" s="1"/>
  <c r="Z109" i="10" s="1"/>
  <c r="AA109" i="10" s="1"/>
  <c r="AB109" i="10" s="1"/>
  <c r="AC109" i="10" s="1"/>
  <c r="AD109" i="10" s="1"/>
  <c r="AE109" i="10" s="1"/>
  <c r="AF109" i="10" s="1"/>
  <c r="R108" i="10"/>
  <c r="S108" i="10" s="1"/>
  <c r="T108" i="10" s="1"/>
  <c r="U108" i="10" s="1"/>
  <c r="V108" i="10" s="1"/>
  <c r="W108" i="10" s="1"/>
  <c r="X108" i="10" s="1"/>
  <c r="Y108" i="10" s="1"/>
  <c r="Z108" i="10" s="1"/>
  <c r="AA108" i="10" s="1"/>
  <c r="AB108" i="10" s="1"/>
  <c r="AC108" i="10" s="1"/>
  <c r="AD108" i="10" s="1"/>
  <c r="AE108" i="10" s="1"/>
  <c r="AF108" i="10" s="1"/>
  <c r="R107" i="10"/>
  <c r="S107" i="10" s="1"/>
  <c r="T107" i="10" s="1"/>
  <c r="U107" i="10" s="1"/>
  <c r="V107" i="10" s="1"/>
  <c r="W107" i="10" s="1"/>
  <c r="X107" i="10" s="1"/>
  <c r="Y107" i="10" s="1"/>
  <c r="Z107" i="10" s="1"/>
  <c r="AA107" i="10" s="1"/>
  <c r="AB107" i="10" s="1"/>
  <c r="AC107" i="10" s="1"/>
  <c r="AD107" i="10" s="1"/>
  <c r="AE107" i="10" s="1"/>
  <c r="AF107" i="10" s="1"/>
  <c r="P96" i="10"/>
  <c r="O96" i="10"/>
  <c r="N96" i="10"/>
  <c r="M96" i="10"/>
  <c r="L96" i="10"/>
  <c r="K96" i="10"/>
  <c r="J96" i="10"/>
  <c r="I96" i="10"/>
  <c r="P94" i="10"/>
  <c r="O94" i="10"/>
  <c r="N94" i="10"/>
  <c r="M94" i="10"/>
  <c r="L94" i="10"/>
  <c r="K94" i="10"/>
  <c r="J94" i="10"/>
  <c r="I94" i="10"/>
  <c r="P93" i="10"/>
  <c r="O93" i="10"/>
  <c r="N93" i="10"/>
  <c r="M93" i="10"/>
  <c r="L93" i="10"/>
  <c r="K93" i="10"/>
  <c r="J93" i="10"/>
  <c r="I93" i="10"/>
  <c r="P92" i="10"/>
  <c r="O92" i="10"/>
  <c r="N92" i="10"/>
  <c r="M92" i="10"/>
  <c r="L92" i="10"/>
  <c r="K92" i="10"/>
  <c r="J92" i="10"/>
  <c r="I92" i="10"/>
  <c r="P90" i="10"/>
  <c r="O90" i="10"/>
  <c r="N90" i="10"/>
  <c r="M90" i="10"/>
  <c r="L90" i="10"/>
  <c r="K90" i="10"/>
  <c r="J90" i="10"/>
  <c r="I90" i="10"/>
  <c r="P89" i="10"/>
  <c r="O89" i="10"/>
  <c r="N89" i="10"/>
  <c r="M89" i="10"/>
  <c r="L89" i="10"/>
  <c r="K89" i="10"/>
  <c r="J89" i="10"/>
  <c r="I89" i="10"/>
  <c r="P88" i="10"/>
  <c r="O88" i="10"/>
  <c r="N88" i="10"/>
  <c r="M88" i="10"/>
  <c r="L88" i="10"/>
  <c r="K88" i="10"/>
  <c r="J88" i="10"/>
  <c r="I88" i="10"/>
  <c r="P86" i="10"/>
  <c r="O86" i="10"/>
  <c r="N86" i="10"/>
  <c r="M86" i="10"/>
  <c r="L86" i="10"/>
  <c r="K86" i="10"/>
  <c r="J86" i="10"/>
  <c r="I86" i="10"/>
  <c r="P84" i="10"/>
  <c r="O84" i="10"/>
  <c r="N84" i="10"/>
  <c r="M84" i="10"/>
  <c r="L84" i="10"/>
  <c r="K84" i="10"/>
  <c r="J84" i="10"/>
  <c r="I84" i="10"/>
  <c r="P82" i="10"/>
  <c r="O82" i="10"/>
  <c r="N82" i="10"/>
  <c r="M82" i="10"/>
  <c r="L82" i="10"/>
  <c r="K82" i="10"/>
  <c r="J82" i="10"/>
  <c r="I82" i="10"/>
  <c r="P81" i="10"/>
  <c r="O81" i="10"/>
  <c r="N81" i="10"/>
  <c r="M81" i="10"/>
  <c r="L81" i="10"/>
  <c r="K81" i="10"/>
  <c r="J81" i="10"/>
  <c r="I81" i="10"/>
  <c r="P80" i="10"/>
  <c r="O80" i="10"/>
  <c r="N80" i="10"/>
  <c r="M80" i="10"/>
  <c r="L80" i="10"/>
  <c r="K80" i="10"/>
  <c r="J80" i="10"/>
  <c r="I80" i="10"/>
  <c r="P78" i="10"/>
  <c r="O78" i="10"/>
  <c r="N78" i="10"/>
  <c r="M78" i="10"/>
  <c r="L78" i="10"/>
  <c r="K78" i="10"/>
  <c r="J78" i="10"/>
  <c r="I78" i="10"/>
  <c r="P77" i="10"/>
  <c r="O77" i="10"/>
  <c r="N77" i="10"/>
  <c r="M77" i="10"/>
  <c r="L77" i="10"/>
  <c r="K77" i="10"/>
  <c r="J77" i="10"/>
  <c r="I77" i="10"/>
  <c r="P76" i="10"/>
  <c r="O76" i="10"/>
  <c r="N76" i="10"/>
  <c r="M76" i="10"/>
  <c r="L76" i="10"/>
  <c r="K76" i="10"/>
  <c r="J76" i="10"/>
  <c r="I76" i="10"/>
  <c r="I74" i="10"/>
  <c r="P72" i="10"/>
  <c r="O72" i="10"/>
  <c r="N72" i="10"/>
  <c r="M72" i="10"/>
  <c r="L72" i="10"/>
  <c r="K72" i="10"/>
  <c r="J72" i="10"/>
  <c r="I72" i="10"/>
  <c r="P70" i="10"/>
  <c r="O70" i="10"/>
  <c r="N70" i="10"/>
  <c r="M70" i="10"/>
  <c r="L70" i="10"/>
  <c r="K70" i="10"/>
  <c r="J70" i="10"/>
  <c r="I70" i="10"/>
  <c r="P69" i="10"/>
  <c r="O69" i="10"/>
  <c r="N69" i="10"/>
  <c r="M69" i="10"/>
  <c r="L69" i="10"/>
  <c r="K69" i="10"/>
  <c r="J69" i="10"/>
  <c r="I69" i="10"/>
  <c r="P68" i="10"/>
  <c r="O68" i="10"/>
  <c r="N68" i="10"/>
  <c r="M68" i="10"/>
  <c r="L68" i="10"/>
  <c r="K68" i="10"/>
  <c r="J68" i="10"/>
  <c r="I68" i="10"/>
  <c r="P64" i="10"/>
  <c r="O64" i="10"/>
  <c r="N64" i="10"/>
  <c r="M64" i="10"/>
  <c r="L64" i="10"/>
  <c r="K64" i="10"/>
  <c r="J64" i="10"/>
  <c r="I64" i="10"/>
  <c r="R55" i="10"/>
  <c r="S55" i="10" s="1"/>
  <c r="T55" i="10" s="1"/>
  <c r="U55" i="10" s="1"/>
  <c r="V55" i="10" s="1"/>
  <c r="W55" i="10" s="1"/>
  <c r="X55" i="10" s="1"/>
  <c r="Y55" i="10" s="1"/>
  <c r="Z55" i="10" s="1"/>
  <c r="AA55" i="10" s="1"/>
  <c r="AB55" i="10" s="1"/>
  <c r="AC55" i="10" s="1"/>
  <c r="AD55" i="10" s="1"/>
  <c r="AE55" i="10" s="1"/>
  <c r="AF55" i="10" s="1"/>
  <c r="U54" i="10"/>
  <c r="V54" i="10" s="1"/>
  <c r="W54" i="10" s="1"/>
  <c r="X54" i="10" s="1"/>
  <c r="Y54" i="10" s="1"/>
  <c r="Z54" i="10" s="1"/>
  <c r="AA54" i="10" s="1"/>
  <c r="AB54" i="10" s="1"/>
  <c r="AC54" i="10" s="1"/>
  <c r="AD54" i="10" s="1"/>
  <c r="AE54" i="10" s="1"/>
  <c r="AF54" i="10" s="1"/>
  <c r="P52" i="10"/>
  <c r="O52" i="10"/>
  <c r="N52" i="10"/>
  <c r="M52" i="10"/>
  <c r="L52" i="10"/>
  <c r="K52" i="10"/>
  <c r="J52" i="10"/>
  <c r="I52" i="10"/>
  <c r="AD435" i="4"/>
  <c r="X435" i="4"/>
  <c r="W435" i="4"/>
  <c r="W274" i="4" s="1"/>
  <c r="V435" i="4"/>
  <c r="V274" i="4" s="1"/>
  <c r="R435" i="4"/>
  <c r="R274" i="4" s="1"/>
  <c r="P47" i="10"/>
  <c r="O47" i="10"/>
  <c r="N47" i="10"/>
  <c r="M47" i="10"/>
  <c r="L47" i="10"/>
  <c r="K47" i="10"/>
  <c r="J47" i="10"/>
  <c r="I47" i="10"/>
  <c r="P45" i="10"/>
  <c r="O45" i="10"/>
  <c r="N45" i="10"/>
  <c r="M45" i="10"/>
  <c r="L45" i="10"/>
  <c r="K45" i="10"/>
  <c r="J45" i="10"/>
  <c r="I45" i="10"/>
  <c r="P44" i="10"/>
  <c r="O44" i="10"/>
  <c r="N44" i="10"/>
  <c r="M44" i="10"/>
  <c r="L44" i="10"/>
  <c r="K44" i="10"/>
  <c r="J44" i="10"/>
  <c r="I44" i="10"/>
  <c r="Q35" i="10"/>
  <c r="R573" i="4" s="1"/>
  <c r="AF34" i="10"/>
  <c r="AG572" i="4" s="1"/>
  <c r="AE34" i="10"/>
  <c r="AF572" i="4" s="1"/>
  <c r="AD34" i="10"/>
  <c r="AE572" i="4" s="1"/>
  <c r="AC34" i="10"/>
  <c r="AD572" i="4" s="1"/>
  <c r="AB34" i="10"/>
  <c r="AC572" i="4" s="1"/>
  <c r="AA34" i="10"/>
  <c r="AB572" i="4" s="1"/>
  <c r="Z34" i="10"/>
  <c r="AA572" i="4" s="1"/>
  <c r="Y34" i="10"/>
  <c r="Z572" i="4" s="1"/>
  <c r="X34" i="10"/>
  <c r="Y572" i="4" s="1"/>
  <c r="W34" i="10"/>
  <c r="X572" i="4" s="1"/>
  <c r="V34" i="10"/>
  <c r="W572" i="4" s="1"/>
  <c r="U34" i="10"/>
  <c r="V572" i="4" s="1"/>
  <c r="T34" i="10"/>
  <c r="U572" i="4" s="1"/>
  <c r="S34" i="10"/>
  <c r="T572" i="4" s="1"/>
  <c r="R34" i="10"/>
  <c r="S572" i="4" s="1"/>
  <c r="Q34" i="10"/>
  <c r="R572" i="4" s="1"/>
  <c r="Q32" i="10"/>
  <c r="Q31" i="10"/>
  <c r="R31" i="10" s="1"/>
  <c r="P29" i="10"/>
  <c r="O29" i="10"/>
  <c r="N29" i="10"/>
  <c r="M29" i="10"/>
  <c r="L29" i="10"/>
  <c r="K29" i="10"/>
  <c r="J29" i="10"/>
  <c r="I29" i="10"/>
  <c r="P25" i="10"/>
  <c r="O25" i="10"/>
  <c r="N25" i="10"/>
  <c r="M25" i="10"/>
  <c r="L25" i="10"/>
  <c r="K25" i="10"/>
  <c r="J25" i="10"/>
  <c r="I25" i="10"/>
  <c r="P21" i="10"/>
  <c r="O21" i="10"/>
  <c r="N21" i="10"/>
  <c r="M21" i="10"/>
  <c r="L21" i="10"/>
  <c r="K21" i="10"/>
  <c r="J21" i="10"/>
  <c r="I21" i="10"/>
  <c r="Q18" i="10"/>
  <c r="S18" i="10" s="1"/>
  <c r="T18" i="10" s="1"/>
  <c r="U18" i="10" s="1"/>
  <c r="V18" i="10" s="1"/>
  <c r="W18" i="10" s="1"/>
  <c r="X18" i="10" s="1"/>
  <c r="Y18" i="10" s="1"/>
  <c r="Z18" i="10" s="1"/>
  <c r="Q17" i="10"/>
  <c r="R65" i="4" s="1"/>
  <c r="AF15" i="10"/>
  <c r="AG63" i="4" s="1"/>
  <c r="AE15" i="10"/>
  <c r="AF63" i="4" s="1"/>
  <c r="AD15" i="10"/>
  <c r="AE63" i="4" s="1"/>
  <c r="AC15" i="10"/>
  <c r="AD63" i="4" s="1"/>
  <c r="AB15" i="10"/>
  <c r="AC63" i="4" s="1"/>
  <c r="AA15" i="10"/>
  <c r="AB63" i="4" s="1"/>
  <c r="Z15" i="10"/>
  <c r="AA63" i="4" s="1"/>
  <c r="Y15" i="10"/>
  <c r="Z63" i="4" s="1"/>
  <c r="X15" i="10"/>
  <c r="Y63" i="4" s="1"/>
  <c r="W15" i="10"/>
  <c r="X63" i="4" s="1"/>
  <c r="V15" i="10"/>
  <c r="W63" i="4" s="1"/>
  <c r="U15" i="10"/>
  <c r="V63" i="4" s="1"/>
  <c r="T15" i="10"/>
  <c r="U63" i="4" s="1"/>
  <c r="S15" i="10"/>
  <c r="T63" i="4" s="1"/>
  <c r="R15" i="10"/>
  <c r="S63" i="4" s="1"/>
  <c r="Q15" i="10"/>
  <c r="R63" i="4" s="1"/>
  <c r="P12" i="10"/>
  <c r="O12" i="10"/>
  <c r="N12" i="10"/>
  <c r="M12" i="10"/>
  <c r="L12" i="10"/>
  <c r="K12" i="10"/>
  <c r="J12" i="10"/>
  <c r="I12" i="10"/>
  <c r="P11" i="10"/>
  <c r="Q57" i="4" s="1"/>
  <c r="O11" i="10"/>
  <c r="P57" i="4" s="1"/>
  <c r="N11" i="10"/>
  <c r="O57" i="4" s="1"/>
  <c r="M11" i="10"/>
  <c r="L11" i="10"/>
  <c r="K11" i="10"/>
  <c r="L833" i="4" s="1"/>
  <c r="N369" i="2" s="1"/>
  <c r="J11" i="10"/>
  <c r="I11" i="10"/>
  <c r="P10" i="10"/>
  <c r="O10" i="10"/>
  <c r="N10" i="10"/>
  <c r="O56" i="4" s="1"/>
  <c r="M10" i="10"/>
  <c r="L10" i="10"/>
  <c r="M56" i="4" s="1"/>
  <c r="K10" i="10"/>
  <c r="L56" i="4" s="1"/>
  <c r="J10" i="10"/>
  <c r="K56" i="4" s="1"/>
  <c r="I10" i="10"/>
  <c r="P9" i="10"/>
  <c r="Q55" i="4" s="1"/>
  <c r="O9" i="10"/>
  <c r="P55" i="4" s="1"/>
  <c r="N9" i="10"/>
  <c r="O55" i="4" s="1"/>
  <c r="M9" i="10"/>
  <c r="N55" i="4" s="1"/>
  <c r="L9" i="10"/>
  <c r="M55" i="4" s="1"/>
  <c r="K9" i="10"/>
  <c r="J9" i="10"/>
  <c r="I9" i="10"/>
  <c r="J55" i="4" s="1"/>
  <c r="I7" i="10"/>
  <c r="J4" i="10"/>
  <c r="K4" i="10" s="1"/>
  <c r="R1178" i="4"/>
  <c r="W1173" i="4"/>
  <c r="X466" i="4"/>
  <c r="AB597" i="4"/>
  <c r="T915" i="4"/>
  <c r="T1144" i="4" s="1"/>
  <c r="Z253" i="8"/>
  <c r="Y253" i="8"/>
  <c r="Z252" i="8"/>
  <c r="Y252" i="8"/>
  <c r="Z251" i="8"/>
  <c r="Y251" i="8"/>
  <c r="Z250" i="8"/>
  <c r="Y250" i="8"/>
  <c r="Z249" i="8"/>
  <c r="Y249" i="8"/>
  <c r="Z248" i="8"/>
  <c r="Y248" i="8"/>
  <c r="Y245" i="8"/>
  <c r="S245" i="8"/>
  <c r="Z245" i="8" s="1"/>
  <c r="Z244" i="8"/>
  <c r="Y244" i="8"/>
  <c r="Z243" i="8"/>
  <c r="Y243" i="8"/>
  <c r="Z242" i="8"/>
  <c r="Y242" i="8"/>
  <c r="Z241" i="8"/>
  <c r="Y241" i="8"/>
  <c r="D223" i="8"/>
  <c r="C223" i="8"/>
  <c r="D222" i="8"/>
  <c r="C222" i="8"/>
  <c r="D221" i="8"/>
  <c r="C221" i="8"/>
  <c r="D220" i="8"/>
  <c r="C220" i="8"/>
  <c r="Q216" i="8"/>
  <c r="Q211" i="8"/>
  <c r="Q210" i="8"/>
  <c r="Q209" i="8"/>
  <c r="Q208" i="8"/>
  <c r="Q207" i="8"/>
  <c r="Q206" i="8"/>
  <c r="Q205" i="8"/>
  <c r="Q204" i="8"/>
  <c r="Q203" i="8"/>
  <c r="Q202" i="8"/>
  <c r="Q201" i="8"/>
  <c r="Q200" i="8"/>
  <c r="Q199" i="8"/>
  <c r="Q198" i="8"/>
  <c r="Q197" i="8"/>
  <c r="Q196" i="8"/>
  <c r="Q195" i="8"/>
  <c r="Q194" i="8"/>
  <c r="Q193" i="8"/>
  <c r="Q192" i="8"/>
  <c r="Q191" i="8"/>
  <c r="P187" i="8"/>
  <c r="O187" i="8"/>
  <c r="N187" i="8"/>
  <c r="M187" i="8"/>
  <c r="L187" i="8"/>
  <c r="K187" i="8"/>
  <c r="J187" i="8"/>
  <c r="I187" i="8"/>
  <c r="Q186" i="8"/>
  <c r="Q185" i="8"/>
  <c r="Q184" i="8"/>
  <c r="Q183" i="8"/>
  <c r="Q182" i="8"/>
  <c r="Q214" i="8" s="1"/>
  <c r="I180" i="8"/>
  <c r="Q69" i="8"/>
  <c r="Q68" i="8"/>
  <c r="Q67" i="8"/>
  <c r="Q66" i="8"/>
  <c r="Q65" i="8"/>
  <c r="Q64" i="8"/>
  <c r="Q63" i="8"/>
  <c r="Q60" i="8"/>
  <c r="Q59" i="8"/>
  <c r="Q58" i="8"/>
  <c r="Q57" i="8"/>
  <c r="Q56" i="8"/>
  <c r="Q55" i="8"/>
  <c r="Q54" i="8"/>
  <c r="I52" i="8"/>
  <c r="R46" i="8"/>
  <c r="Q46" i="8"/>
  <c r="P46" i="8"/>
  <c r="O46" i="8"/>
  <c r="N46" i="8"/>
  <c r="M46" i="8"/>
  <c r="L46" i="8"/>
  <c r="K46" i="8"/>
  <c r="V46" i="8" s="1"/>
  <c r="J46" i="8"/>
  <c r="I46" i="8"/>
  <c r="H46" i="8"/>
  <c r="G46" i="8"/>
  <c r="F46" i="8"/>
  <c r="E46" i="8"/>
  <c r="D46" i="8"/>
  <c r="C46" i="8"/>
  <c r="R43" i="8"/>
  <c r="Q44" i="4" s="1"/>
  <c r="Q43" i="8"/>
  <c r="P45" i="4" s="1"/>
  <c r="P43" i="8"/>
  <c r="O45" i="4" s="1"/>
  <c r="O43" i="8"/>
  <c r="N45" i="4" s="1"/>
  <c r="N43" i="8"/>
  <c r="M45" i="4" s="1"/>
  <c r="M43" i="8"/>
  <c r="K104" i="10" s="1"/>
  <c r="L43" i="8"/>
  <c r="J104" i="10" s="1"/>
  <c r="K43" i="8"/>
  <c r="I104" i="10" s="1"/>
  <c r="J43" i="8"/>
  <c r="J45" i="8" s="1"/>
  <c r="I43" i="8"/>
  <c r="I45" i="8" s="1"/>
  <c r="H43" i="8"/>
  <c r="H45" i="8" s="1"/>
  <c r="G43" i="8"/>
  <c r="G45" i="8" s="1"/>
  <c r="F43" i="8"/>
  <c r="E43" i="8"/>
  <c r="D43" i="8"/>
  <c r="C43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R39" i="8"/>
  <c r="P100" i="10" s="1"/>
  <c r="Q39" i="8"/>
  <c r="O100" i="10" s="1"/>
  <c r="P39" i="8"/>
  <c r="N100" i="10" s="1"/>
  <c r="O39" i="8"/>
  <c r="N39" i="8"/>
  <c r="L100" i="10" s="1"/>
  <c r="M39" i="8"/>
  <c r="K100" i="10" s="1"/>
  <c r="L39" i="8"/>
  <c r="J100" i="10" s="1"/>
  <c r="K39" i="8"/>
  <c r="I99" i="10" s="1"/>
  <c r="J39" i="8"/>
  <c r="I39" i="8"/>
  <c r="H39" i="8"/>
  <c r="G39" i="8"/>
  <c r="F39" i="8"/>
  <c r="E39" i="8"/>
  <c r="D39" i="8"/>
  <c r="C39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AB33" i="8"/>
  <c r="AA33" i="8"/>
  <c r="Z33" i="8"/>
  <c r="Y33" i="8"/>
  <c r="X33" i="8"/>
  <c r="W33" i="8"/>
  <c r="V33" i="8"/>
  <c r="U33" i="8"/>
  <c r="T33" i="8"/>
  <c r="AB32" i="8"/>
  <c r="AA32" i="8"/>
  <c r="Z32" i="8"/>
  <c r="Y32" i="8"/>
  <c r="X32" i="8"/>
  <c r="W32" i="8"/>
  <c r="V32" i="8"/>
  <c r="U32" i="8"/>
  <c r="T32" i="8"/>
  <c r="AB31" i="8"/>
  <c r="AA31" i="8"/>
  <c r="Z31" i="8"/>
  <c r="Y31" i="8"/>
  <c r="X31" i="8"/>
  <c r="W31" i="8"/>
  <c r="V31" i="8"/>
  <c r="U31" i="8"/>
  <c r="T31" i="8"/>
  <c r="AB30" i="8"/>
  <c r="AA30" i="8"/>
  <c r="Z30" i="8"/>
  <c r="Y30" i="8"/>
  <c r="X30" i="8"/>
  <c r="W30" i="8"/>
  <c r="V30" i="8"/>
  <c r="U30" i="8"/>
  <c r="T30" i="8"/>
  <c r="AB29" i="8"/>
  <c r="AA29" i="8"/>
  <c r="Z29" i="8"/>
  <c r="Y29" i="8"/>
  <c r="X29" i="8"/>
  <c r="W29" i="8"/>
  <c r="V29" i="8"/>
  <c r="U29" i="8"/>
  <c r="T29" i="8"/>
  <c r="AB28" i="8"/>
  <c r="AA28" i="8"/>
  <c r="Z28" i="8"/>
  <c r="Y28" i="8"/>
  <c r="X28" i="8"/>
  <c r="W28" i="8"/>
  <c r="V28" i="8"/>
  <c r="U28" i="8"/>
  <c r="T28" i="8"/>
  <c r="AB27" i="8"/>
  <c r="AA27" i="8"/>
  <c r="Z27" i="8"/>
  <c r="Y27" i="8"/>
  <c r="X27" i="8"/>
  <c r="W27" i="8"/>
  <c r="V27" i="8"/>
  <c r="U27" i="8"/>
  <c r="T27" i="8"/>
  <c r="AB26" i="8"/>
  <c r="AA26" i="8"/>
  <c r="Z26" i="8"/>
  <c r="Y26" i="8"/>
  <c r="X26" i="8"/>
  <c r="W26" i="8"/>
  <c r="V26" i="8"/>
  <c r="U26" i="8"/>
  <c r="T26" i="8"/>
  <c r="AB25" i="8"/>
  <c r="AA25" i="8"/>
  <c r="Z25" i="8"/>
  <c r="Y25" i="8"/>
  <c r="X25" i="8"/>
  <c r="W25" i="8"/>
  <c r="V25" i="8"/>
  <c r="U25" i="8"/>
  <c r="T25" i="8"/>
  <c r="AB24" i="8"/>
  <c r="AA24" i="8"/>
  <c r="Z24" i="8"/>
  <c r="Y24" i="8"/>
  <c r="X24" i="8"/>
  <c r="W24" i="8"/>
  <c r="V24" i="8"/>
  <c r="U24" i="8"/>
  <c r="T24" i="8"/>
  <c r="AB23" i="8"/>
  <c r="AA23" i="8"/>
  <c r="Z23" i="8"/>
  <c r="Y23" i="8"/>
  <c r="X23" i="8"/>
  <c r="W23" i="8"/>
  <c r="V23" i="8"/>
  <c r="U23" i="8"/>
  <c r="T23" i="8"/>
  <c r="AB22" i="8"/>
  <c r="AA22" i="8"/>
  <c r="Z22" i="8"/>
  <c r="Y22" i="8"/>
  <c r="X22" i="8"/>
  <c r="W22" i="8"/>
  <c r="V22" i="8"/>
  <c r="U22" i="8"/>
  <c r="T22" i="8"/>
  <c r="AB21" i="8"/>
  <c r="AA21" i="8"/>
  <c r="Z21" i="8"/>
  <c r="Y21" i="8"/>
  <c r="X21" i="8"/>
  <c r="W21" i="8"/>
  <c r="V21" i="8"/>
  <c r="U21" i="8"/>
  <c r="T21" i="8"/>
  <c r="AB20" i="8"/>
  <c r="AA20" i="8"/>
  <c r="Z20" i="8"/>
  <c r="Y20" i="8"/>
  <c r="X20" i="8"/>
  <c r="W20" i="8"/>
  <c r="V20" i="8"/>
  <c r="U20" i="8"/>
  <c r="T20" i="8"/>
  <c r="AB19" i="8"/>
  <c r="AA19" i="8"/>
  <c r="Z19" i="8"/>
  <c r="Y19" i="8"/>
  <c r="X19" i="8"/>
  <c r="W19" i="8"/>
  <c r="V19" i="8"/>
  <c r="U19" i="8"/>
  <c r="T19" i="8"/>
  <c r="AB18" i="8"/>
  <c r="AA18" i="8"/>
  <c r="Z18" i="8"/>
  <c r="Y18" i="8"/>
  <c r="X18" i="8"/>
  <c r="W18" i="8"/>
  <c r="V18" i="8"/>
  <c r="U18" i="8"/>
  <c r="T18" i="8"/>
  <c r="AB17" i="8"/>
  <c r="AA17" i="8"/>
  <c r="Z17" i="8"/>
  <c r="Y17" i="8"/>
  <c r="X17" i="8"/>
  <c r="W17" i="8"/>
  <c r="V17" i="8"/>
  <c r="U17" i="8"/>
  <c r="T17" i="8"/>
  <c r="AB16" i="8"/>
  <c r="AA16" i="8"/>
  <c r="Z16" i="8"/>
  <c r="Y16" i="8"/>
  <c r="X16" i="8"/>
  <c r="W16" i="8"/>
  <c r="V16" i="8"/>
  <c r="U16" i="8"/>
  <c r="T16" i="8"/>
  <c r="AB15" i="8"/>
  <c r="AA15" i="8"/>
  <c r="Z15" i="8"/>
  <c r="Y15" i="8"/>
  <c r="X15" i="8"/>
  <c r="W15" i="8"/>
  <c r="V15" i="8"/>
  <c r="U15" i="8"/>
  <c r="T15" i="8"/>
  <c r="AB14" i="8"/>
  <c r="AA14" i="8"/>
  <c r="Z14" i="8"/>
  <c r="Y14" i="8"/>
  <c r="X14" i="8"/>
  <c r="W14" i="8"/>
  <c r="V14" i="8"/>
  <c r="U14" i="8"/>
  <c r="T14" i="8"/>
  <c r="AB13" i="8"/>
  <c r="AA13" i="8"/>
  <c r="Z13" i="8"/>
  <c r="Y13" i="8"/>
  <c r="X13" i="8"/>
  <c r="W13" i="8"/>
  <c r="V13" i="8"/>
  <c r="U13" i="8"/>
  <c r="T13" i="8"/>
  <c r="AB12" i="8"/>
  <c r="AA12" i="8"/>
  <c r="Z12" i="8"/>
  <c r="Y12" i="8"/>
  <c r="X12" i="8"/>
  <c r="W12" i="8"/>
  <c r="V12" i="8"/>
  <c r="U12" i="8"/>
  <c r="T12" i="8"/>
  <c r="AB11" i="8"/>
  <c r="AA11" i="8"/>
  <c r="Z11" i="8"/>
  <c r="Y11" i="8"/>
  <c r="X11" i="8"/>
  <c r="W11" i="8"/>
  <c r="V11" i="8"/>
  <c r="U11" i="8"/>
  <c r="T11" i="8"/>
  <c r="AB10" i="8"/>
  <c r="AA10" i="8"/>
  <c r="Z10" i="8"/>
  <c r="Y10" i="8"/>
  <c r="X10" i="8"/>
  <c r="W10" i="8"/>
  <c r="V10" i="8"/>
  <c r="U10" i="8"/>
  <c r="T10" i="8"/>
  <c r="AB9" i="8"/>
  <c r="AA9" i="8"/>
  <c r="Z9" i="8"/>
  <c r="Y9" i="8"/>
  <c r="X9" i="8"/>
  <c r="W9" i="8"/>
  <c r="V9" i="8"/>
  <c r="U9" i="8"/>
  <c r="T9" i="8"/>
  <c r="AB8" i="8"/>
  <c r="AA8" i="8"/>
  <c r="Z8" i="8"/>
  <c r="Y8" i="8"/>
  <c r="X8" i="8"/>
  <c r="W8" i="8"/>
  <c r="V8" i="8"/>
  <c r="U8" i="8"/>
  <c r="T8" i="8"/>
  <c r="AB7" i="8"/>
  <c r="AA7" i="8"/>
  <c r="Z7" i="8"/>
  <c r="Y7" i="8"/>
  <c r="X7" i="8"/>
  <c r="W7" i="8"/>
  <c r="V7" i="8"/>
  <c r="U7" i="8"/>
  <c r="T7" i="8"/>
  <c r="J183" i="7"/>
  <c r="I183" i="7"/>
  <c r="H183" i="7"/>
  <c r="G183" i="7"/>
  <c r="F183" i="7"/>
  <c r="E183" i="7"/>
  <c r="D183" i="7"/>
  <c r="C183" i="7"/>
  <c r="K181" i="7"/>
  <c r="K179" i="7"/>
  <c r="K178" i="7"/>
  <c r="K177" i="7"/>
  <c r="K176" i="7"/>
  <c r="K175" i="7"/>
  <c r="K174" i="7"/>
  <c r="K173" i="7"/>
  <c r="K172" i="7"/>
  <c r="K171" i="7"/>
  <c r="K170" i="7"/>
  <c r="K169" i="7"/>
  <c r="K168" i="7"/>
  <c r="K167" i="7"/>
  <c r="K166" i="7"/>
  <c r="K165" i="7"/>
  <c r="K164" i="7"/>
  <c r="K163" i="7"/>
  <c r="K162" i="7"/>
  <c r="K161" i="7"/>
  <c r="K160" i="7"/>
  <c r="K159" i="7"/>
  <c r="K158" i="7"/>
  <c r="K157" i="7"/>
  <c r="K155" i="7"/>
  <c r="K154" i="7"/>
  <c r="K153" i="7"/>
  <c r="K152" i="7"/>
  <c r="K151" i="7"/>
  <c r="K150" i="7"/>
  <c r="K149" i="7"/>
  <c r="K148" i="7"/>
  <c r="K147" i="7"/>
  <c r="K146" i="7"/>
  <c r="K145" i="7"/>
  <c r="K144" i="7"/>
  <c r="K143" i="7"/>
  <c r="K142" i="7"/>
  <c r="K140" i="7"/>
  <c r="K137" i="7"/>
  <c r="K136" i="7"/>
  <c r="K135" i="7"/>
  <c r="K134" i="7"/>
  <c r="K133" i="7"/>
  <c r="K132" i="7"/>
  <c r="K131" i="7"/>
  <c r="K130" i="7"/>
  <c r="K129" i="7"/>
  <c r="K126" i="7"/>
  <c r="K125" i="7"/>
  <c r="K124" i="7"/>
  <c r="K123" i="7"/>
  <c r="K122" i="7"/>
  <c r="K121" i="7"/>
  <c r="K120" i="7"/>
  <c r="K119" i="7"/>
  <c r="K118" i="7"/>
  <c r="K117" i="7"/>
  <c r="K116" i="7"/>
  <c r="K115" i="7"/>
  <c r="K114" i="7"/>
  <c r="K113" i="7"/>
  <c r="K112" i="7"/>
  <c r="K111" i="7"/>
  <c r="K110" i="7"/>
  <c r="K109" i="7"/>
  <c r="K108" i="7"/>
  <c r="K107" i="7"/>
  <c r="K106" i="7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69" i="7"/>
  <c r="K183" i="7" s="1"/>
  <c r="K68" i="7"/>
  <c r="K67" i="7"/>
  <c r="K66" i="7"/>
  <c r="K65" i="7"/>
  <c r="K64" i="7"/>
  <c r="K63" i="7"/>
  <c r="K62" i="7"/>
  <c r="K61" i="7"/>
  <c r="K60" i="7"/>
  <c r="K58" i="7"/>
  <c r="K57" i="7"/>
  <c r="K54" i="7"/>
  <c r="K52" i="7"/>
  <c r="K51" i="7"/>
  <c r="K50" i="7"/>
  <c r="K49" i="7"/>
  <c r="K48" i="7"/>
  <c r="K47" i="7"/>
  <c r="K46" i="7"/>
  <c r="K44" i="7"/>
  <c r="K43" i="7"/>
  <c r="K42" i="7"/>
  <c r="K41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2" i="7"/>
  <c r="K11" i="7"/>
  <c r="K9" i="7"/>
  <c r="K8" i="7"/>
  <c r="K7" i="7"/>
  <c r="N162" i="6"/>
  <c r="F160" i="6"/>
  <c r="P160" i="6" s="1"/>
  <c r="P155" i="6"/>
  <c r="P153" i="6"/>
  <c r="N150" i="6"/>
  <c r="N157" i="6" s="1"/>
  <c r="P148" i="6"/>
  <c r="P147" i="6"/>
  <c r="P146" i="6"/>
  <c r="P145" i="6"/>
  <c r="P144" i="6"/>
  <c r="P143" i="6"/>
  <c r="P142" i="6"/>
  <c r="P141" i="6"/>
  <c r="P140" i="6"/>
  <c r="P139" i="6"/>
  <c r="P138" i="6"/>
  <c r="P137" i="6"/>
  <c r="P136" i="6"/>
  <c r="P135" i="6"/>
  <c r="P133" i="6"/>
  <c r="P132" i="6"/>
  <c r="P131" i="6"/>
  <c r="O130" i="6"/>
  <c r="O150" i="6" s="1"/>
  <c r="O157" i="6" s="1"/>
  <c r="O162" i="6" s="1"/>
  <c r="G130" i="6"/>
  <c r="G150" i="6" s="1"/>
  <c r="G157" i="6" s="1"/>
  <c r="G162" i="6" s="1"/>
  <c r="O128" i="6"/>
  <c r="N128" i="6"/>
  <c r="L128" i="6"/>
  <c r="K128" i="6"/>
  <c r="J128" i="6"/>
  <c r="H128" i="6"/>
  <c r="G128" i="6"/>
  <c r="O127" i="6"/>
  <c r="N127" i="6"/>
  <c r="M127" i="6"/>
  <c r="M128" i="6" s="1"/>
  <c r="L127" i="6"/>
  <c r="K127" i="6"/>
  <c r="J127" i="6"/>
  <c r="I127" i="6"/>
  <c r="I128" i="6" s="1"/>
  <c r="H127" i="6"/>
  <c r="G127" i="6"/>
  <c r="F127" i="6"/>
  <c r="E127" i="6"/>
  <c r="D127" i="6"/>
  <c r="P126" i="6"/>
  <c r="P125" i="6"/>
  <c r="P124" i="6"/>
  <c r="P123" i="6"/>
  <c r="P122" i="6"/>
  <c r="P121" i="6"/>
  <c r="P120" i="6"/>
  <c r="P119" i="6"/>
  <c r="P118" i="6"/>
  <c r="P117" i="6"/>
  <c r="P116" i="6"/>
  <c r="P115" i="6"/>
  <c r="P114" i="6"/>
  <c r="P113" i="6"/>
  <c r="P112" i="6"/>
  <c r="P111" i="6"/>
  <c r="Q110" i="6"/>
  <c r="O110" i="6"/>
  <c r="N110" i="6"/>
  <c r="M110" i="6"/>
  <c r="L110" i="6"/>
  <c r="K110" i="6"/>
  <c r="J110" i="6"/>
  <c r="I110" i="6"/>
  <c r="H110" i="6"/>
  <c r="G110" i="6"/>
  <c r="F110" i="6"/>
  <c r="F128" i="6" s="1"/>
  <c r="E110" i="6"/>
  <c r="D110" i="6"/>
  <c r="P109" i="6"/>
  <c r="P108" i="6"/>
  <c r="P107" i="6"/>
  <c r="P106" i="6"/>
  <c r="P105" i="6"/>
  <c r="P104" i="6"/>
  <c r="P103" i="6"/>
  <c r="P102" i="6"/>
  <c r="P101" i="6"/>
  <c r="P99" i="6"/>
  <c r="N98" i="6"/>
  <c r="N130" i="6" s="1"/>
  <c r="M98" i="6"/>
  <c r="L98" i="6"/>
  <c r="L130" i="6" s="1"/>
  <c r="L150" i="6" s="1"/>
  <c r="L157" i="6" s="1"/>
  <c r="L162" i="6" s="1"/>
  <c r="K98" i="6"/>
  <c r="K130" i="6" s="1"/>
  <c r="K150" i="6" s="1"/>
  <c r="K157" i="6" s="1"/>
  <c r="K162" i="6" s="1"/>
  <c r="J98" i="6"/>
  <c r="I98" i="6"/>
  <c r="Q97" i="6"/>
  <c r="O97" i="6"/>
  <c r="N97" i="6"/>
  <c r="M97" i="6"/>
  <c r="L97" i="6"/>
  <c r="K97" i="6"/>
  <c r="P97" i="6" s="1"/>
  <c r="J97" i="6"/>
  <c r="I97" i="6"/>
  <c r="H97" i="6"/>
  <c r="G97" i="6"/>
  <c r="F97" i="6"/>
  <c r="E97" i="6"/>
  <c r="D97" i="6"/>
  <c r="P96" i="6"/>
  <c r="P95" i="6"/>
  <c r="P94" i="6"/>
  <c r="P93" i="6"/>
  <c r="P92" i="6"/>
  <c r="P91" i="6"/>
  <c r="P90" i="6"/>
  <c r="P89" i="6"/>
  <c r="P88" i="6"/>
  <c r="P87" i="6"/>
  <c r="P86" i="6"/>
  <c r="P85" i="6"/>
  <c r="P84" i="6"/>
  <c r="P83" i="6"/>
  <c r="P82" i="6"/>
  <c r="P81" i="6"/>
  <c r="P80" i="6"/>
  <c r="P79" i="6"/>
  <c r="P78" i="6"/>
  <c r="P77" i="6"/>
  <c r="P76" i="6"/>
  <c r="P75" i="6"/>
  <c r="P74" i="6"/>
  <c r="P73" i="6"/>
  <c r="P72" i="6"/>
  <c r="P71" i="6"/>
  <c r="P70" i="6"/>
  <c r="P69" i="6"/>
  <c r="P68" i="6"/>
  <c r="P67" i="6"/>
  <c r="P66" i="6"/>
  <c r="P65" i="6"/>
  <c r="P64" i="6"/>
  <c r="P63" i="6"/>
  <c r="P62" i="6"/>
  <c r="P61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42" i="6"/>
  <c r="O41" i="6"/>
  <c r="O98" i="6" s="1"/>
  <c r="M41" i="6"/>
  <c r="L41" i="6"/>
  <c r="F41" i="6"/>
  <c r="F98" i="6" s="1"/>
  <c r="Q40" i="6"/>
  <c r="P40" i="6"/>
  <c r="O40" i="6"/>
  <c r="N40" i="6"/>
  <c r="N41" i="6" s="1"/>
  <c r="M40" i="6"/>
  <c r="L40" i="6"/>
  <c r="K40" i="6"/>
  <c r="K41" i="6" s="1"/>
  <c r="J40" i="6"/>
  <c r="I40" i="6"/>
  <c r="H40" i="6"/>
  <c r="G40" i="6"/>
  <c r="F40" i="6"/>
  <c r="E40" i="6"/>
  <c r="D40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Q17" i="6"/>
  <c r="O17" i="6"/>
  <c r="N17" i="6"/>
  <c r="M17" i="6"/>
  <c r="L17" i="6"/>
  <c r="K17" i="6"/>
  <c r="J17" i="6"/>
  <c r="J41" i="6" s="1"/>
  <c r="I17" i="6"/>
  <c r="I41" i="6" s="1"/>
  <c r="H17" i="6"/>
  <c r="H41" i="6" s="1"/>
  <c r="H98" i="6" s="1"/>
  <c r="H130" i="6" s="1"/>
  <c r="H150" i="6" s="1"/>
  <c r="H157" i="6" s="1"/>
  <c r="H162" i="6" s="1"/>
  <c r="H165" i="6" s="1"/>
  <c r="G17" i="6"/>
  <c r="G41" i="6" s="1"/>
  <c r="G98" i="6" s="1"/>
  <c r="F17" i="6"/>
  <c r="E17" i="6"/>
  <c r="E41" i="6" s="1"/>
  <c r="E98" i="6" s="1"/>
  <c r="D17" i="6"/>
  <c r="P16" i="6"/>
  <c r="P15" i="6"/>
  <c r="P14" i="6"/>
  <c r="P13" i="6"/>
  <c r="P12" i="6"/>
  <c r="P11" i="6"/>
  <c r="P10" i="6"/>
  <c r="P9" i="6"/>
  <c r="P8" i="6"/>
  <c r="P7" i="6"/>
  <c r="J200" i="5"/>
  <c r="P199" i="5"/>
  <c r="O199" i="5"/>
  <c r="N199" i="5"/>
  <c r="M199" i="5"/>
  <c r="L199" i="5"/>
  <c r="K199" i="5"/>
  <c r="J199" i="5"/>
  <c r="I199" i="5"/>
  <c r="H199" i="5"/>
  <c r="G199" i="5"/>
  <c r="F199" i="5"/>
  <c r="E199" i="5"/>
  <c r="P188" i="5"/>
  <c r="L188" i="5"/>
  <c r="L200" i="5" s="1"/>
  <c r="P187" i="5"/>
  <c r="O187" i="5"/>
  <c r="O188" i="5" s="1"/>
  <c r="O200" i="5" s="1"/>
  <c r="N187" i="5"/>
  <c r="M187" i="5"/>
  <c r="L187" i="5"/>
  <c r="K187" i="5"/>
  <c r="J187" i="5"/>
  <c r="I187" i="5"/>
  <c r="H187" i="5"/>
  <c r="G187" i="5"/>
  <c r="F187" i="5"/>
  <c r="E187" i="5"/>
  <c r="K182" i="5"/>
  <c r="K188" i="5" s="1"/>
  <c r="K200" i="5" s="1"/>
  <c r="J182" i="5"/>
  <c r="J188" i="5" s="1"/>
  <c r="H182" i="5"/>
  <c r="G182" i="5"/>
  <c r="G188" i="5" s="1"/>
  <c r="G200" i="5" s="1"/>
  <c r="F182" i="5"/>
  <c r="F188" i="5" s="1"/>
  <c r="F200" i="5" s="1"/>
  <c r="P181" i="5"/>
  <c r="O181" i="5"/>
  <c r="N181" i="5"/>
  <c r="M181" i="5"/>
  <c r="L181" i="5"/>
  <c r="K181" i="5"/>
  <c r="J181" i="5"/>
  <c r="I181" i="5"/>
  <c r="H181" i="5"/>
  <c r="G181" i="5"/>
  <c r="F181" i="5"/>
  <c r="E181" i="5"/>
  <c r="E182" i="5" s="1"/>
  <c r="P161" i="5"/>
  <c r="P182" i="5" s="1"/>
  <c r="O161" i="5"/>
  <c r="O182" i="5" s="1"/>
  <c r="N161" i="5"/>
  <c r="N182" i="5" s="1"/>
  <c r="N188" i="5" s="1"/>
  <c r="N200" i="5" s="1"/>
  <c r="M161" i="5"/>
  <c r="L161" i="5"/>
  <c r="L182" i="5" s="1"/>
  <c r="K161" i="5"/>
  <c r="J161" i="5"/>
  <c r="I161" i="5"/>
  <c r="I182" i="5" s="1"/>
  <c r="I188" i="5" s="1"/>
  <c r="I200" i="5" s="1"/>
  <c r="H161" i="5"/>
  <c r="G161" i="5"/>
  <c r="F161" i="5"/>
  <c r="E161" i="5"/>
  <c r="J132" i="5"/>
  <c r="I132" i="5"/>
  <c r="H132" i="5"/>
  <c r="G132" i="5"/>
  <c r="P131" i="5"/>
  <c r="O131" i="5"/>
  <c r="N131" i="5"/>
  <c r="M131" i="5"/>
  <c r="L131" i="5"/>
  <c r="K131" i="5"/>
  <c r="J131" i="5"/>
  <c r="I131" i="5"/>
  <c r="H131" i="5"/>
  <c r="G131" i="5"/>
  <c r="F131" i="5"/>
  <c r="F132" i="5" s="1"/>
  <c r="E131" i="5"/>
  <c r="E132" i="5" s="1"/>
  <c r="P108" i="5"/>
  <c r="O108" i="5"/>
  <c r="O132" i="5" s="1"/>
  <c r="N108" i="5"/>
  <c r="N132" i="5" s="1"/>
  <c r="M108" i="5"/>
  <c r="M132" i="5" s="1"/>
  <c r="L108" i="5"/>
  <c r="L132" i="5" s="1"/>
  <c r="K108" i="5"/>
  <c r="K132" i="5" s="1"/>
  <c r="J108" i="5"/>
  <c r="I108" i="5"/>
  <c r="H108" i="5"/>
  <c r="G108" i="5"/>
  <c r="F108" i="5"/>
  <c r="E108" i="5"/>
  <c r="K84" i="5"/>
  <c r="K135" i="5" s="1"/>
  <c r="K201" i="5" s="1"/>
  <c r="J84" i="5"/>
  <c r="J135" i="5" s="1"/>
  <c r="J201" i="5" s="1"/>
  <c r="P83" i="5"/>
  <c r="O83" i="5"/>
  <c r="N83" i="5"/>
  <c r="M83" i="5"/>
  <c r="L83" i="5"/>
  <c r="K83" i="5"/>
  <c r="J83" i="5"/>
  <c r="I83" i="5"/>
  <c r="H83" i="5"/>
  <c r="G83" i="5"/>
  <c r="F83" i="5"/>
  <c r="F84" i="5" s="1"/>
  <c r="F135" i="5" s="1"/>
  <c r="F201" i="5" s="1"/>
  <c r="E83" i="5"/>
  <c r="P56" i="5"/>
  <c r="O56" i="5"/>
  <c r="N56" i="5"/>
  <c r="M56" i="5"/>
  <c r="L56" i="5"/>
  <c r="K56" i="5"/>
  <c r="J56" i="5"/>
  <c r="I56" i="5"/>
  <c r="H56" i="5"/>
  <c r="G56" i="5"/>
  <c r="F56" i="5"/>
  <c r="E56" i="5"/>
  <c r="P43" i="5"/>
  <c r="O43" i="5"/>
  <c r="N43" i="5"/>
  <c r="N84" i="5" s="1"/>
  <c r="M43" i="5"/>
  <c r="M84" i="5" s="1"/>
  <c r="M135" i="5" s="1"/>
  <c r="L43" i="5"/>
  <c r="L84" i="5" s="1"/>
  <c r="L135" i="5" s="1"/>
  <c r="L201" i="5" s="1"/>
  <c r="K43" i="5"/>
  <c r="J43" i="5"/>
  <c r="I43" i="5"/>
  <c r="H43" i="5"/>
  <c r="G43" i="5"/>
  <c r="F43" i="5"/>
  <c r="E43" i="5"/>
  <c r="P28" i="5"/>
  <c r="O28" i="5"/>
  <c r="N28" i="5"/>
  <c r="M28" i="5"/>
  <c r="L28" i="5"/>
  <c r="K28" i="5"/>
  <c r="J28" i="5"/>
  <c r="I28" i="5"/>
  <c r="I84" i="5" s="1"/>
  <c r="H28" i="5"/>
  <c r="H84" i="5" s="1"/>
  <c r="H135" i="5" s="1"/>
  <c r="G28" i="5"/>
  <c r="G84" i="5" s="1"/>
  <c r="F28" i="5"/>
  <c r="E28" i="5"/>
  <c r="H1458" i="3"/>
  <c r="F1458" i="3"/>
  <c r="E1458" i="3"/>
  <c r="D1458" i="3"/>
  <c r="H1457" i="3"/>
  <c r="E1457" i="3"/>
  <c r="D1457" i="3"/>
  <c r="H1456" i="3"/>
  <c r="E1456" i="3"/>
  <c r="D1456" i="3"/>
  <c r="H1455" i="3"/>
  <c r="E1455" i="3"/>
  <c r="D1455" i="3"/>
  <c r="F1455" i="3" s="1"/>
  <c r="H1454" i="3"/>
  <c r="F1454" i="3"/>
  <c r="E1454" i="3"/>
  <c r="D1454" i="3"/>
  <c r="AB1448" i="3"/>
  <c r="AA1447" i="3"/>
  <c r="Y1447" i="3"/>
  <c r="Y1449" i="3" s="1"/>
  <c r="X1447" i="3"/>
  <c r="W1447" i="3"/>
  <c r="AB1446" i="3"/>
  <c r="AB1447" i="3" s="1"/>
  <c r="AA1446" i="3"/>
  <c r="Z1446" i="3"/>
  <c r="Y1446" i="3"/>
  <c r="X1446" i="3"/>
  <c r="W1446" i="3"/>
  <c r="V1446" i="3"/>
  <c r="U1446" i="3"/>
  <c r="AB1445" i="3"/>
  <c r="AA1445" i="3"/>
  <c r="Z1445" i="3"/>
  <c r="Z1447" i="3" s="1"/>
  <c r="Z1449" i="3" s="1"/>
  <c r="Y1445" i="3"/>
  <c r="X1445" i="3"/>
  <c r="W1445" i="3"/>
  <c r="V1445" i="3"/>
  <c r="V1447" i="3" s="1"/>
  <c r="V1449" i="3" s="1"/>
  <c r="U1445" i="3"/>
  <c r="U1447" i="3" s="1"/>
  <c r="AB1444" i="3"/>
  <c r="AA1444" i="3"/>
  <c r="Z1444" i="3"/>
  <c r="Y1444" i="3"/>
  <c r="X1444" i="3"/>
  <c r="W1444" i="3"/>
  <c r="V1444" i="3"/>
  <c r="U1444" i="3"/>
  <c r="AB1443" i="3"/>
  <c r="AA1443" i="3"/>
  <c r="Z1443" i="3"/>
  <c r="Y1443" i="3"/>
  <c r="X1443" i="3"/>
  <c r="W1443" i="3"/>
  <c r="V1443" i="3"/>
  <c r="U1443" i="3"/>
  <c r="AB1442" i="3"/>
  <c r="AA1442" i="3"/>
  <c r="Z1442" i="3"/>
  <c r="Z1448" i="3" s="1"/>
  <c r="Y1442" i="3"/>
  <c r="Y1448" i="3" s="1"/>
  <c r="X1442" i="3"/>
  <c r="X1448" i="3" s="1"/>
  <c r="W1442" i="3"/>
  <c r="W1448" i="3" s="1"/>
  <c r="W1449" i="3" s="1"/>
  <c r="V1442" i="3"/>
  <c r="V1448" i="3" s="1"/>
  <c r="U1442" i="3"/>
  <c r="AV1441" i="3"/>
  <c r="AU1441" i="3"/>
  <c r="AT1441" i="3"/>
  <c r="AS1441" i="3"/>
  <c r="AR1441" i="3"/>
  <c r="AQ1441" i="3"/>
  <c r="AP1441" i="3"/>
  <c r="AO1441" i="3"/>
  <c r="AN1441" i="3"/>
  <c r="AM1441" i="3"/>
  <c r="AL1441" i="3"/>
  <c r="AK1441" i="3"/>
  <c r="AJ1441" i="3"/>
  <c r="AI1441" i="3"/>
  <c r="AH1441" i="3"/>
  <c r="AG1441" i="3"/>
  <c r="AB1441" i="3"/>
  <c r="AA1441" i="3"/>
  <c r="Z1441" i="3"/>
  <c r="Y1441" i="3"/>
  <c r="X1441" i="3"/>
  <c r="W1441" i="3"/>
  <c r="V1441" i="3"/>
  <c r="U1441" i="3"/>
  <c r="AB1434" i="3"/>
  <c r="AA1434" i="3"/>
  <c r="Z1434" i="3"/>
  <c r="Y1434" i="3"/>
  <c r="X1434" i="3"/>
  <c r="W1434" i="3"/>
  <c r="V1434" i="3"/>
  <c r="U1434" i="3"/>
  <c r="AV1433" i="3"/>
  <c r="AU1433" i="3"/>
  <c r="AT1433" i="3"/>
  <c r="AS1433" i="3"/>
  <c r="AR1433" i="3"/>
  <c r="AQ1433" i="3"/>
  <c r="AP1433" i="3"/>
  <c r="AO1433" i="3"/>
  <c r="AN1433" i="3"/>
  <c r="AM1433" i="3"/>
  <c r="AL1433" i="3"/>
  <c r="AK1433" i="3"/>
  <c r="AJ1433" i="3"/>
  <c r="AI1433" i="3"/>
  <c r="AH1433" i="3"/>
  <c r="AG1433" i="3"/>
  <c r="AB1433" i="3"/>
  <c r="AA1433" i="3"/>
  <c r="AA1435" i="3" s="1"/>
  <c r="Z1433" i="3"/>
  <c r="Z1435" i="3" s="1"/>
  <c r="Y1433" i="3"/>
  <c r="Y1435" i="3" s="1"/>
  <c r="X1433" i="3"/>
  <c r="X1435" i="3" s="1"/>
  <c r="W1433" i="3"/>
  <c r="V1433" i="3"/>
  <c r="V1435" i="3" s="1"/>
  <c r="U1433" i="3"/>
  <c r="U1435" i="3" s="1"/>
  <c r="AB1432" i="3"/>
  <c r="AB1431" i="3"/>
  <c r="AA1431" i="3"/>
  <c r="Z1431" i="3"/>
  <c r="Y1431" i="3"/>
  <c r="X1431" i="3"/>
  <c r="W1431" i="3"/>
  <c r="V1431" i="3"/>
  <c r="U1431" i="3"/>
  <c r="AB1430" i="3"/>
  <c r="AA1430" i="3"/>
  <c r="AA1432" i="3" s="1"/>
  <c r="Z1430" i="3"/>
  <c r="Z1432" i="3" s="1"/>
  <c r="Y1430" i="3"/>
  <c r="Y1432" i="3" s="1"/>
  <c r="X1430" i="3"/>
  <c r="X1432" i="3" s="1"/>
  <c r="W1430" i="3"/>
  <c r="W1432" i="3" s="1"/>
  <c r="V1430" i="3"/>
  <c r="V1432" i="3" s="1"/>
  <c r="U1430" i="3"/>
  <c r="U1432" i="3" s="1"/>
  <c r="AA1429" i="3"/>
  <c r="Z1429" i="3"/>
  <c r="AB1428" i="3"/>
  <c r="AA1428" i="3"/>
  <c r="Z1428" i="3"/>
  <c r="Y1428" i="3"/>
  <c r="X1428" i="3"/>
  <c r="W1428" i="3"/>
  <c r="V1428" i="3"/>
  <c r="U1428" i="3"/>
  <c r="AB1427" i="3"/>
  <c r="AB1429" i="3" s="1"/>
  <c r="AA1427" i="3"/>
  <c r="Z1427" i="3"/>
  <c r="Y1427" i="3"/>
  <c r="Y1429" i="3" s="1"/>
  <c r="X1427" i="3"/>
  <c r="X1429" i="3" s="1"/>
  <c r="W1427" i="3"/>
  <c r="V1427" i="3"/>
  <c r="V1429" i="3" s="1"/>
  <c r="U1427" i="3"/>
  <c r="U1429" i="3" s="1"/>
  <c r="AB1425" i="3"/>
  <c r="AA1425" i="3"/>
  <c r="Z1425" i="3"/>
  <c r="Y1425" i="3"/>
  <c r="Y1426" i="3" s="1"/>
  <c r="X1425" i="3"/>
  <c r="X1426" i="3" s="1"/>
  <c r="W1425" i="3"/>
  <c r="W1426" i="3" s="1"/>
  <c r="V1425" i="3"/>
  <c r="U1425" i="3"/>
  <c r="AB1424" i="3"/>
  <c r="AB1426" i="3" s="1"/>
  <c r="AA1424" i="3"/>
  <c r="AA1426" i="3" s="1"/>
  <c r="Z1424" i="3"/>
  <c r="Z1426" i="3" s="1"/>
  <c r="Y1424" i="3"/>
  <c r="X1424" i="3"/>
  <c r="W1424" i="3"/>
  <c r="V1424" i="3"/>
  <c r="V1426" i="3" s="1"/>
  <c r="U1424" i="3"/>
  <c r="Z1423" i="3"/>
  <c r="Y1423" i="3"/>
  <c r="X1423" i="3"/>
  <c r="AB1422" i="3"/>
  <c r="AA1422" i="3"/>
  <c r="Z1422" i="3"/>
  <c r="Y1422" i="3"/>
  <c r="X1422" i="3"/>
  <c r="W1422" i="3"/>
  <c r="V1422" i="3"/>
  <c r="U1422" i="3"/>
  <c r="AB1421" i="3"/>
  <c r="AA1421" i="3"/>
  <c r="AA1423" i="3" s="1"/>
  <c r="Z1421" i="3"/>
  <c r="Y1421" i="3"/>
  <c r="X1421" i="3"/>
  <c r="W1421" i="3"/>
  <c r="W1423" i="3" s="1"/>
  <c r="V1421" i="3"/>
  <c r="V1423" i="3" s="1"/>
  <c r="U1421" i="3"/>
  <c r="AA1420" i="3"/>
  <c r="Z1420" i="3"/>
  <c r="Y1420" i="3"/>
  <c r="AB1419" i="3"/>
  <c r="AA1419" i="3"/>
  <c r="Z1419" i="3"/>
  <c r="Y1419" i="3"/>
  <c r="X1419" i="3"/>
  <c r="W1419" i="3"/>
  <c r="V1419" i="3"/>
  <c r="U1419" i="3"/>
  <c r="AB1418" i="3"/>
  <c r="AB1420" i="3" s="1"/>
  <c r="AA1418" i="3"/>
  <c r="Z1418" i="3"/>
  <c r="Y1418" i="3"/>
  <c r="X1418" i="3"/>
  <c r="W1418" i="3"/>
  <c r="W1420" i="3" s="1"/>
  <c r="V1418" i="3"/>
  <c r="V1420" i="3" s="1"/>
  <c r="U1418" i="3"/>
  <c r="U1420" i="3" s="1"/>
  <c r="V1417" i="3"/>
  <c r="U1417" i="3"/>
  <c r="AB1416" i="3"/>
  <c r="AA1416" i="3"/>
  <c r="Z1416" i="3"/>
  <c r="Y1416" i="3"/>
  <c r="X1416" i="3"/>
  <c r="X1417" i="3" s="1"/>
  <c r="W1416" i="3"/>
  <c r="W1417" i="3" s="1"/>
  <c r="V1416" i="3"/>
  <c r="U1416" i="3"/>
  <c r="AB1415" i="3"/>
  <c r="AA1415" i="3"/>
  <c r="Z1415" i="3"/>
  <c r="Y1415" i="3"/>
  <c r="Y1417" i="3" s="1"/>
  <c r="X1415" i="3"/>
  <c r="W1415" i="3"/>
  <c r="V1415" i="3"/>
  <c r="U1415" i="3"/>
  <c r="AB1414" i="3"/>
  <c r="AA1414" i="3"/>
  <c r="Y1414" i="3"/>
  <c r="U1414" i="3"/>
  <c r="AB1413" i="3"/>
  <c r="AA1413" i="3"/>
  <c r="Z1413" i="3"/>
  <c r="Y1413" i="3"/>
  <c r="X1413" i="3"/>
  <c r="W1413" i="3"/>
  <c r="V1413" i="3"/>
  <c r="U1413" i="3"/>
  <c r="AB1412" i="3"/>
  <c r="AA1412" i="3"/>
  <c r="Z1412" i="3"/>
  <c r="Z1414" i="3" s="1"/>
  <c r="Y1412" i="3"/>
  <c r="X1412" i="3"/>
  <c r="X1414" i="3" s="1"/>
  <c r="W1412" i="3"/>
  <c r="W1414" i="3" s="1"/>
  <c r="V1412" i="3"/>
  <c r="V1414" i="3" s="1"/>
  <c r="U1412" i="3"/>
  <c r="Z1411" i="3"/>
  <c r="AB1410" i="3"/>
  <c r="AA1410" i="3"/>
  <c r="Z1410" i="3"/>
  <c r="Y1410" i="3"/>
  <c r="Y1411" i="3" s="1"/>
  <c r="X1410" i="3"/>
  <c r="X1411" i="3" s="1"/>
  <c r="W1410" i="3"/>
  <c r="V1410" i="3"/>
  <c r="U1410" i="3"/>
  <c r="AB1409" i="3"/>
  <c r="AB1411" i="3" s="1"/>
  <c r="AA1409" i="3"/>
  <c r="AA1411" i="3" s="1"/>
  <c r="Z1409" i="3"/>
  <c r="Y1409" i="3"/>
  <c r="X1409" i="3"/>
  <c r="W1409" i="3"/>
  <c r="V1409" i="3"/>
  <c r="U1409" i="3"/>
  <c r="U1411" i="3" s="1"/>
  <c r="U1408" i="3"/>
  <c r="AB1407" i="3"/>
  <c r="AA1407" i="3"/>
  <c r="Z1407" i="3"/>
  <c r="Z1408" i="3" s="1"/>
  <c r="Y1407" i="3"/>
  <c r="X1407" i="3"/>
  <c r="W1407" i="3"/>
  <c r="V1407" i="3"/>
  <c r="U1407" i="3"/>
  <c r="AB1406" i="3"/>
  <c r="AB1408" i="3" s="1"/>
  <c r="AA1406" i="3"/>
  <c r="AA1408" i="3" s="1"/>
  <c r="Z1406" i="3"/>
  <c r="Y1406" i="3"/>
  <c r="Y1408" i="3" s="1"/>
  <c r="X1406" i="3"/>
  <c r="W1406" i="3"/>
  <c r="W1408" i="3" s="1"/>
  <c r="V1406" i="3"/>
  <c r="U1406" i="3"/>
  <c r="AB1404" i="3"/>
  <c r="AA1404" i="3"/>
  <c r="Z1404" i="3"/>
  <c r="Y1404" i="3"/>
  <c r="X1404" i="3"/>
  <c r="W1404" i="3"/>
  <c r="V1404" i="3"/>
  <c r="U1404" i="3"/>
  <c r="AB1403" i="3"/>
  <c r="AB1405" i="3" s="1"/>
  <c r="AA1403" i="3"/>
  <c r="AA1405" i="3" s="1"/>
  <c r="Z1403" i="3"/>
  <c r="Z1405" i="3" s="1"/>
  <c r="Y1403" i="3"/>
  <c r="X1403" i="3"/>
  <c r="X1405" i="3" s="1"/>
  <c r="W1403" i="3"/>
  <c r="W1405" i="3" s="1"/>
  <c r="V1403" i="3"/>
  <c r="V1405" i="3" s="1"/>
  <c r="U1403" i="3"/>
  <c r="AB1401" i="3"/>
  <c r="AA1401" i="3"/>
  <c r="Z1401" i="3"/>
  <c r="Y1401" i="3"/>
  <c r="X1401" i="3"/>
  <c r="W1401" i="3"/>
  <c r="W1402" i="3" s="1"/>
  <c r="V1401" i="3"/>
  <c r="U1401" i="3"/>
  <c r="AB1400" i="3"/>
  <c r="AA1400" i="3"/>
  <c r="Z1400" i="3"/>
  <c r="Z1402" i="3" s="1"/>
  <c r="Y1400" i="3"/>
  <c r="X1400" i="3"/>
  <c r="W1400" i="3"/>
  <c r="V1400" i="3"/>
  <c r="V1402" i="3" s="1"/>
  <c r="U1400" i="3"/>
  <c r="AB1399" i="3"/>
  <c r="X1399" i="3"/>
  <c r="W1399" i="3"/>
  <c r="V1399" i="3"/>
  <c r="U1399" i="3"/>
  <c r="AB1398" i="3"/>
  <c r="AA1398" i="3"/>
  <c r="Z1398" i="3"/>
  <c r="Z1437" i="3" s="1"/>
  <c r="Y1398" i="3"/>
  <c r="Y1437" i="3" s="1"/>
  <c r="X1398" i="3"/>
  <c r="W1398" i="3"/>
  <c r="V1398" i="3"/>
  <c r="U1398" i="3"/>
  <c r="AB1397" i="3"/>
  <c r="AA1397" i="3"/>
  <c r="AA1399" i="3" s="1"/>
  <c r="Z1397" i="3"/>
  <c r="Y1397" i="3"/>
  <c r="X1397" i="3"/>
  <c r="X1436" i="3" s="1"/>
  <c r="W1397" i="3"/>
  <c r="V1397" i="3"/>
  <c r="U1397" i="3"/>
  <c r="AV1396" i="3"/>
  <c r="AU1396" i="3"/>
  <c r="AT1396" i="3"/>
  <c r="AS1396" i="3"/>
  <c r="AR1396" i="3"/>
  <c r="AQ1396" i="3"/>
  <c r="AP1396" i="3"/>
  <c r="AO1396" i="3"/>
  <c r="AN1396" i="3"/>
  <c r="AM1396" i="3"/>
  <c r="AL1396" i="3"/>
  <c r="AK1396" i="3"/>
  <c r="AJ1396" i="3"/>
  <c r="AI1396" i="3"/>
  <c r="AH1396" i="3"/>
  <c r="AG1396" i="3"/>
  <c r="AB1396" i="3"/>
  <c r="AA1396" i="3"/>
  <c r="Z1396" i="3"/>
  <c r="Y1396" i="3"/>
  <c r="X1396" i="3"/>
  <c r="W1396" i="3"/>
  <c r="V1396" i="3"/>
  <c r="U1396" i="3"/>
  <c r="AB1392" i="3"/>
  <c r="AA1392" i="3"/>
  <c r="Z1392" i="3"/>
  <c r="Y1392" i="3"/>
  <c r="X1392" i="3"/>
  <c r="W1392" i="3"/>
  <c r="V1392" i="3"/>
  <c r="U1392" i="3"/>
  <c r="T1392" i="3"/>
  <c r="Q1392" i="3"/>
  <c r="AF1391" i="3"/>
  <c r="AE1391" i="3"/>
  <c r="AC1391" i="3"/>
  <c r="AD1391" i="3" s="1"/>
  <c r="AF1390" i="3"/>
  <c r="AE1390" i="3"/>
  <c r="AG1390" i="3" s="1"/>
  <c r="AC1390" i="3"/>
  <c r="AD1390" i="3" s="1"/>
  <c r="AG1389" i="3"/>
  <c r="AE1389" i="3"/>
  <c r="AF1389" i="3" s="1"/>
  <c r="AC1389" i="3"/>
  <c r="AD1389" i="3" s="1"/>
  <c r="AE1388" i="3"/>
  <c r="AF1388" i="3" s="1"/>
  <c r="AD1388" i="3"/>
  <c r="AC1388" i="3"/>
  <c r="AE1387" i="3"/>
  <c r="AF1387" i="3" s="1"/>
  <c r="AD1387" i="3"/>
  <c r="AC1387" i="3"/>
  <c r="AG1386" i="3"/>
  <c r="AE1386" i="3"/>
  <c r="AF1386" i="3" s="1"/>
  <c r="AD1386" i="3"/>
  <c r="AC1386" i="3"/>
  <c r="AE1385" i="3"/>
  <c r="AF1385" i="3" s="1"/>
  <c r="AD1385" i="3"/>
  <c r="AC1385" i="3"/>
  <c r="AE1384" i="3"/>
  <c r="AC1384" i="3"/>
  <c r="AD1384" i="3" s="1"/>
  <c r="AE1383" i="3"/>
  <c r="AF1383" i="3" s="1"/>
  <c r="AC1383" i="3"/>
  <c r="AD1383" i="3" s="1"/>
  <c r="AF1382" i="3"/>
  <c r="AE1382" i="3"/>
  <c r="AD1382" i="3"/>
  <c r="AC1382" i="3"/>
  <c r="AE1381" i="3"/>
  <c r="AF1381" i="3" s="1"/>
  <c r="AC1381" i="3"/>
  <c r="AD1381" i="3" s="1"/>
  <c r="AF1380" i="3"/>
  <c r="AE1380" i="3"/>
  <c r="AC1380" i="3"/>
  <c r="AD1380" i="3" s="1"/>
  <c r="AE1379" i="3"/>
  <c r="AF1379" i="3" s="1"/>
  <c r="AC1379" i="3"/>
  <c r="AD1379" i="3" s="1"/>
  <c r="AE1378" i="3"/>
  <c r="AF1378" i="3" s="1"/>
  <c r="AC1378" i="3"/>
  <c r="AD1378" i="3" s="1"/>
  <c r="AE1377" i="3"/>
  <c r="AF1377" i="3" s="1"/>
  <c r="AC1377" i="3"/>
  <c r="AD1377" i="3" s="1"/>
  <c r="AG1376" i="3"/>
  <c r="AF1376" i="3"/>
  <c r="AE1376" i="3"/>
  <c r="AC1376" i="3"/>
  <c r="AD1376" i="3" s="1"/>
  <c r="AE1375" i="3"/>
  <c r="AF1375" i="3" s="1"/>
  <c r="AD1375" i="3"/>
  <c r="AC1375" i="3"/>
  <c r="AE1374" i="3"/>
  <c r="AF1374" i="3" s="1"/>
  <c r="AC1374" i="3"/>
  <c r="AD1374" i="3" s="1"/>
  <c r="AE1373" i="3"/>
  <c r="AF1373" i="3" s="1"/>
  <c r="AC1373" i="3"/>
  <c r="AD1373" i="3" s="1"/>
  <c r="AG1372" i="3"/>
  <c r="AF1372" i="3"/>
  <c r="AE1372" i="3"/>
  <c r="AC1372" i="3"/>
  <c r="AD1372" i="3" s="1"/>
  <c r="AF1371" i="3"/>
  <c r="AE1371" i="3"/>
  <c r="AC1371" i="3"/>
  <c r="AD1371" i="3" s="1"/>
  <c r="AV1370" i="3"/>
  <c r="AU1370" i="3"/>
  <c r="AT1370" i="3"/>
  <c r="AS1370" i="3"/>
  <c r="AR1370" i="3"/>
  <c r="AQ1370" i="3"/>
  <c r="AP1370" i="3"/>
  <c r="AO1370" i="3"/>
  <c r="AN1370" i="3"/>
  <c r="AM1370" i="3"/>
  <c r="AL1370" i="3"/>
  <c r="AK1370" i="3"/>
  <c r="AJ1370" i="3"/>
  <c r="AI1370" i="3"/>
  <c r="AH1370" i="3"/>
  <c r="AG1370" i="3"/>
  <c r="AE1370" i="3"/>
  <c r="AF1370" i="3" s="1"/>
  <c r="AC1370" i="3"/>
  <c r="AD1370" i="3" s="1"/>
  <c r="AE1369" i="3"/>
  <c r="AF1369" i="3" s="1"/>
  <c r="AC1369" i="3"/>
  <c r="AD1369" i="3" s="1"/>
  <c r="AE1368" i="3"/>
  <c r="AF1368" i="3" s="1"/>
  <c r="AC1368" i="3"/>
  <c r="AD1368" i="3" s="1"/>
  <c r="AE1367" i="3"/>
  <c r="AF1367" i="3" s="1"/>
  <c r="AC1367" i="3"/>
  <c r="AD1367" i="3" s="1"/>
  <c r="AE1366" i="3"/>
  <c r="AF1366" i="3" s="1"/>
  <c r="AD1366" i="3"/>
  <c r="AC1366" i="3"/>
  <c r="AV1365" i="3"/>
  <c r="AU1365" i="3"/>
  <c r="AT1365" i="3"/>
  <c r="AS1365" i="3"/>
  <c r="AR1365" i="3"/>
  <c r="AQ1365" i="3"/>
  <c r="AP1365" i="3"/>
  <c r="AO1365" i="3"/>
  <c r="AN1365" i="3"/>
  <c r="AM1365" i="3"/>
  <c r="AL1365" i="3"/>
  <c r="AK1365" i="3"/>
  <c r="AJ1365" i="3"/>
  <c r="AI1365" i="3"/>
  <c r="AH1365" i="3"/>
  <c r="AG1365" i="3"/>
  <c r="AE1365" i="3"/>
  <c r="AF1365" i="3" s="1"/>
  <c r="AC1365" i="3"/>
  <c r="AD1365" i="3" s="1"/>
  <c r="AF1364" i="3"/>
  <c r="AE1364" i="3"/>
  <c r="AC1364" i="3"/>
  <c r="AD1364" i="3" s="1"/>
  <c r="AG1363" i="3"/>
  <c r="AE1363" i="3"/>
  <c r="AF1363" i="3" s="1"/>
  <c r="AD1363" i="3"/>
  <c r="AC1363" i="3"/>
  <c r="AE1362" i="3"/>
  <c r="AF1362" i="3" s="1"/>
  <c r="AC1362" i="3"/>
  <c r="AD1362" i="3" s="1"/>
  <c r="AF1361" i="3"/>
  <c r="AE1361" i="3"/>
  <c r="AD1361" i="3"/>
  <c r="AC1361" i="3"/>
  <c r="AG1360" i="3"/>
  <c r="AE1360" i="3"/>
  <c r="AF1360" i="3" s="1"/>
  <c r="AC1360" i="3"/>
  <c r="AD1360" i="3" s="1"/>
  <c r="AE1359" i="3"/>
  <c r="AF1359" i="3" s="1"/>
  <c r="AC1359" i="3"/>
  <c r="AD1359" i="3" s="1"/>
  <c r="AV1358" i="3"/>
  <c r="AU1358" i="3"/>
  <c r="AT1358" i="3"/>
  <c r="AS1358" i="3"/>
  <c r="AR1358" i="3"/>
  <c r="AQ1358" i="3"/>
  <c r="AP1358" i="3"/>
  <c r="AO1358" i="3"/>
  <c r="AN1358" i="3"/>
  <c r="AM1358" i="3"/>
  <c r="AL1358" i="3"/>
  <c r="AK1358" i="3"/>
  <c r="AJ1358" i="3"/>
  <c r="AI1358" i="3"/>
  <c r="AH1358" i="3"/>
  <c r="AG1358" i="3"/>
  <c r="AF1358" i="3"/>
  <c r="AE1358" i="3"/>
  <c r="AD1358" i="3"/>
  <c r="AC1358" i="3"/>
  <c r="AV1357" i="3"/>
  <c r="AU1357" i="3"/>
  <c r="AT1357" i="3"/>
  <c r="AS1357" i="3"/>
  <c r="AR1357" i="3"/>
  <c r="AQ1357" i="3"/>
  <c r="AP1357" i="3"/>
  <c r="AO1357" i="3"/>
  <c r="AN1357" i="3"/>
  <c r="AM1357" i="3"/>
  <c r="AL1357" i="3"/>
  <c r="AK1357" i="3"/>
  <c r="AJ1357" i="3"/>
  <c r="AI1357" i="3"/>
  <c r="AH1357" i="3"/>
  <c r="AG1357" i="3"/>
  <c r="AE1357" i="3"/>
  <c r="AF1357" i="3" s="1"/>
  <c r="AC1357" i="3"/>
  <c r="AD1357" i="3" s="1"/>
  <c r="AV1356" i="3"/>
  <c r="AU1356" i="3"/>
  <c r="AT1356" i="3"/>
  <c r="AS1356" i="3"/>
  <c r="AR1356" i="3"/>
  <c r="AQ1356" i="3"/>
  <c r="AP1356" i="3"/>
  <c r="AO1356" i="3"/>
  <c r="AN1356" i="3"/>
  <c r="AM1356" i="3"/>
  <c r="AL1356" i="3"/>
  <c r="AK1356" i="3"/>
  <c r="AJ1356" i="3"/>
  <c r="AI1356" i="3"/>
  <c r="AH1356" i="3"/>
  <c r="AG1356" i="3"/>
  <c r="AF1356" i="3"/>
  <c r="AE1356" i="3"/>
  <c r="AC1356" i="3"/>
  <c r="AD1356" i="3" s="1"/>
  <c r="AG1355" i="3"/>
  <c r="AF1355" i="3"/>
  <c r="AE1355" i="3"/>
  <c r="AC1355" i="3"/>
  <c r="AD1355" i="3" s="1"/>
  <c r="AG1354" i="3"/>
  <c r="AE1354" i="3"/>
  <c r="AF1354" i="3" s="1"/>
  <c r="AC1354" i="3"/>
  <c r="AD1354" i="3" s="1"/>
  <c r="AE1353" i="3"/>
  <c r="AF1353" i="3" s="1"/>
  <c r="AD1353" i="3"/>
  <c r="AC1353" i="3"/>
  <c r="AE1352" i="3"/>
  <c r="AF1352" i="3" s="1"/>
  <c r="AC1352" i="3"/>
  <c r="AD1352" i="3" s="1"/>
  <c r="AE1351" i="3"/>
  <c r="AF1351" i="3" s="1"/>
  <c r="AD1351" i="3"/>
  <c r="AC1351" i="3"/>
  <c r="AG1350" i="3"/>
  <c r="AF1350" i="3"/>
  <c r="AE1350" i="3"/>
  <c r="AC1350" i="3"/>
  <c r="AD1350" i="3" s="1"/>
  <c r="AV1349" i="3"/>
  <c r="AU1349" i="3"/>
  <c r="AT1349" i="3"/>
  <c r="AS1349" i="3"/>
  <c r="AR1349" i="3"/>
  <c r="AQ1349" i="3"/>
  <c r="AP1349" i="3"/>
  <c r="AO1349" i="3"/>
  <c r="AN1349" i="3"/>
  <c r="AM1349" i="3"/>
  <c r="AL1349" i="3"/>
  <c r="AK1349" i="3"/>
  <c r="AJ1349" i="3"/>
  <c r="AI1349" i="3"/>
  <c r="AH1349" i="3"/>
  <c r="AG1349" i="3"/>
  <c r="AE1349" i="3"/>
  <c r="AF1349" i="3" s="1"/>
  <c r="AC1349" i="3"/>
  <c r="AD1349" i="3" s="1"/>
  <c r="AG1348" i="3"/>
  <c r="AF1348" i="3"/>
  <c r="AE1348" i="3"/>
  <c r="AC1348" i="3"/>
  <c r="AD1348" i="3" s="1"/>
  <c r="AE1347" i="3"/>
  <c r="AF1347" i="3" s="1"/>
  <c r="AD1347" i="3"/>
  <c r="AC1347" i="3"/>
  <c r="AG1346" i="3"/>
  <c r="AE1346" i="3"/>
  <c r="AF1346" i="3" s="1"/>
  <c r="AD1346" i="3"/>
  <c r="AC1346" i="3"/>
  <c r="AG1345" i="3"/>
  <c r="AE1345" i="3"/>
  <c r="AF1345" i="3" s="1"/>
  <c r="AC1345" i="3"/>
  <c r="AD1345" i="3" s="1"/>
  <c r="AG1344" i="3"/>
  <c r="AF1344" i="3"/>
  <c r="AE1344" i="3"/>
  <c r="AC1344" i="3"/>
  <c r="AD1344" i="3" s="1"/>
  <c r="AE1343" i="3"/>
  <c r="AC1343" i="3"/>
  <c r="AD1343" i="3" s="1"/>
  <c r="AV1342" i="3"/>
  <c r="AU1342" i="3"/>
  <c r="AT1342" i="3"/>
  <c r="AS1342" i="3"/>
  <c r="AR1342" i="3"/>
  <c r="AQ1342" i="3"/>
  <c r="AP1342" i="3"/>
  <c r="AO1342" i="3"/>
  <c r="AN1342" i="3"/>
  <c r="AM1342" i="3"/>
  <c r="AL1342" i="3"/>
  <c r="AK1342" i="3"/>
  <c r="AJ1342" i="3"/>
  <c r="AI1342" i="3"/>
  <c r="AH1342" i="3"/>
  <c r="AG1342" i="3"/>
  <c r="AF1342" i="3"/>
  <c r="AE1342" i="3"/>
  <c r="AC1342" i="3"/>
  <c r="AD1342" i="3" s="1"/>
  <c r="AE1341" i="3"/>
  <c r="AF1341" i="3" s="1"/>
  <c r="AC1341" i="3"/>
  <c r="AD1341" i="3" s="1"/>
  <c r="AF1340" i="3"/>
  <c r="AE1340" i="3"/>
  <c r="AC1340" i="3"/>
  <c r="AD1340" i="3" s="1"/>
  <c r="AF1339" i="3"/>
  <c r="AE1339" i="3"/>
  <c r="AC1339" i="3"/>
  <c r="AD1339" i="3" s="1"/>
  <c r="AE1338" i="3"/>
  <c r="AF1338" i="3" s="1"/>
  <c r="AD1338" i="3"/>
  <c r="AC1338" i="3"/>
  <c r="AE1337" i="3"/>
  <c r="AF1337" i="3" s="1"/>
  <c r="AD1337" i="3"/>
  <c r="AC1337" i="3"/>
  <c r="AV1336" i="3"/>
  <c r="AU1336" i="3"/>
  <c r="AT1336" i="3"/>
  <c r="AS1336" i="3"/>
  <c r="AR1336" i="3"/>
  <c r="AQ1336" i="3"/>
  <c r="AP1336" i="3"/>
  <c r="AO1336" i="3"/>
  <c r="AN1336" i="3"/>
  <c r="AM1336" i="3"/>
  <c r="AL1336" i="3"/>
  <c r="AK1336" i="3"/>
  <c r="AJ1336" i="3"/>
  <c r="AI1336" i="3"/>
  <c r="AH1336" i="3"/>
  <c r="AG1336" i="3"/>
  <c r="AF1336" i="3"/>
  <c r="AE1336" i="3"/>
  <c r="AC1336" i="3"/>
  <c r="AD1336" i="3" s="1"/>
  <c r="AF1335" i="3"/>
  <c r="AE1335" i="3"/>
  <c r="AC1335" i="3"/>
  <c r="AD1335" i="3" s="1"/>
  <c r="AE1334" i="3"/>
  <c r="AF1334" i="3" s="1"/>
  <c r="AC1334" i="3"/>
  <c r="AD1334" i="3" s="1"/>
  <c r="AE1333" i="3"/>
  <c r="AF1333" i="3" s="1"/>
  <c r="AC1333" i="3"/>
  <c r="AD1333" i="3" s="1"/>
  <c r="AE1332" i="3"/>
  <c r="AF1332" i="3" s="1"/>
  <c r="AD1332" i="3"/>
  <c r="AC1332" i="3"/>
  <c r="AE1331" i="3"/>
  <c r="AF1331" i="3" s="1"/>
  <c r="AD1331" i="3"/>
  <c r="AC1331" i="3"/>
  <c r="AE1330" i="3"/>
  <c r="AF1330" i="3" s="1"/>
  <c r="AC1330" i="3"/>
  <c r="AD1330" i="3" s="1"/>
  <c r="AG1329" i="3"/>
  <c r="AE1329" i="3"/>
  <c r="AF1329" i="3" s="1"/>
  <c r="AC1329" i="3"/>
  <c r="AD1329" i="3" s="1"/>
  <c r="AF1328" i="3"/>
  <c r="AE1328" i="3"/>
  <c r="AC1328" i="3"/>
  <c r="AD1328" i="3" s="1"/>
  <c r="AG1327" i="3"/>
  <c r="AE1327" i="3"/>
  <c r="AF1327" i="3" s="1"/>
  <c r="AD1327" i="3"/>
  <c r="AC1327" i="3"/>
  <c r="AG1326" i="3"/>
  <c r="AE1326" i="3"/>
  <c r="AF1326" i="3" s="1"/>
  <c r="AD1326" i="3"/>
  <c r="AC1326" i="3"/>
  <c r="AE1325" i="3"/>
  <c r="AC1325" i="3"/>
  <c r="AD1325" i="3" s="1"/>
  <c r="AE1324" i="3"/>
  <c r="AC1324" i="3"/>
  <c r="AD1324" i="3" s="1"/>
  <c r="AG1323" i="3"/>
  <c r="AE1323" i="3"/>
  <c r="AC1323" i="3"/>
  <c r="AD1323" i="3" s="1"/>
  <c r="AV1322" i="3"/>
  <c r="AU1322" i="3"/>
  <c r="AT1322" i="3"/>
  <c r="AS1322" i="3"/>
  <c r="AR1322" i="3"/>
  <c r="AQ1322" i="3"/>
  <c r="AP1322" i="3"/>
  <c r="AO1322" i="3"/>
  <c r="AN1322" i="3"/>
  <c r="AM1322" i="3"/>
  <c r="AL1322" i="3"/>
  <c r="AK1322" i="3"/>
  <c r="AJ1322" i="3"/>
  <c r="AI1322" i="3"/>
  <c r="AH1322" i="3"/>
  <c r="AG1322" i="3"/>
  <c r="AE1322" i="3"/>
  <c r="AF1322" i="3" s="1"/>
  <c r="AD1322" i="3"/>
  <c r="AC1322" i="3"/>
  <c r="AE1321" i="3"/>
  <c r="AF1321" i="3" s="1"/>
  <c r="AD1321" i="3"/>
  <c r="AC1321" i="3"/>
  <c r="AV1320" i="3"/>
  <c r="AU1320" i="3"/>
  <c r="AT1320" i="3"/>
  <c r="AS1320" i="3"/>
  <c r="AR1320" i="3"/>
  <c r="AQ1320" i="3"/>
  <c r="AP1320" i="3"/>
  <c r="AO1320" i="3"/>
  <c r="AN1320" i="3"/>
  <c r="AM1320" i="3"/>
  <c r="AL1320" i="3"/>
  <c r="AK1320" i="3"/>
  <c r="AJ1320" i="3"/>
  <c r="AI1320" i="3"/>
  <c r="AH1320" i="3"/>
  <c r="AG1320" i="3"/>
  <c r="AE1320" i="3"/>
  <c r="AF1320" i="3" s="1"/>
  <c r="AD1320" i="3"/>
  <c r="AC1320" i="3"/>
  <c r="AG1319" i="3"/>
  <c r="AF1319" i="3"/>
  <c r="AE1319" i="3"/>
  <c r="AC1319" i="3"/>
  <c r="AD1319" i="3" s="1"/>
  <c r="AV1318" i="3"/>
  <c r="AU1318" i="3"/>
  <c r="AT1318" i="3"/>
  <c r="AS1318" i="3"/>
  <c r="AR1318" i="3"/>
  <c r="AQ1318" i="3"/>
  <c r="AP1318" i="3"/>
  <c r="AO1318" i="3"/>
  <c r="AN1318" i="3"/>
  <c r="AM1318" i="3"/>
  <c r="AL1318" i="3"/>
  <c r="AK1318" i="3"/>
  <c r="AJ1318" i="3"/>
  <c r="AI1318" i="3"/>
  <c r="AH1318" i="3"/>
  <c r="AG1318" i="3"/>
  <c r="AW1318" i="3" s="1"/>
  <c r="AX1318" i="3" s="1"/>
  <c r="AE1318" i="3"/>
  <c r="AF1318" i="3" s="1"/>
  <c r="AC1318" i="3"/>
  <c r="AD1318" i="3" s="1"/>
  <c r="AE1317" i="3"/>
  <c r="AF1317" i="3" s="1"/>
  <c r="AC1317" i="3"/>
  <c r="AD1317" i="3" s="1"/>
  <c r="AV1316" i="3"/>
  <c r="AU1316" i="3"/>
  <c r="AT1316" i="3"/>
  <c r="AS1316" i="3"/>
  <c r="AR1316" i="3"/>
  <c r="AQ1316" i="3"/>
  <c r="AP1316" i="3"/>
  <c r="AO1316" i="3"/>
  <c r="AN1316" i="3"/>
  <c r="AM1316" i="3"/>
  <c r="AL1316" i="3"/>
  <c r="AK1316" i="3"/>
  <c r="AJ1316" i="3"/>
  <c r="AI1316" i="3"/>
  <c r="AH1316" i="3"/>
  <c r="AG1316" i="3"/>
  <c r="AE1316" i="3"/>
  <c r="AF1316" i="3" s="1"/>
  <c r="AC1316" i="3"/>
  <c r="AD1316" i="3" s="1"/>
  <c r="AE1315" i="3"/>
  <c r="AF1315" i="3" s="1"/>
  <c r="AD1315" i="3"/>
  <c r="AC1315" i="3"/>
  <c r="AV1314" i="3"/>
  <c r="AU1314" i="3"/>
  <c r="AT1314" i="3"/>
  <c r="AS1314" i="3"/>
  <c r="AR1314" i="3"/>
  <c r="AQ1314" i="3"/>
  <c r="AP1314" i="3"/>
  <c r="AO1314" i="3"/>
  <c r="AN1314" i="3"/>
  <c r="AM1314" i="3"/>
  <c r="AL1314" i="3"/>
  <c r="AK1314" i="3"/>
  <c r="AJ1314" i="3"/>
  <c r="AI1314" i="3"/>
  <c r="AH1314" i="3"/>
  <c r="AG1314" i="3"/>
  <c r="AF1314" i="3"/>
  <c r="AE1314" i="3"/>
  <c r="AC1314" i="3"/>
  <c r="AD1314" i="3" s="1"/>
  <c r="AE1313" i="3"/>
  <c r="AF1313" i="3" s="1"/>
  <c r="AD1313" i="3"/>
  <c r="AC1313" i="3"/>
  <c r="AV1312" i="3"/>
  <c r="AU1312" i="3"/>
  <c r="AT1312" i="3"/>
  <c r="AS1312" i="3"/>
  <c r="AR1312" i="3"/>
  <c r="AQ1312" i="3"/>
  <c r="AP1312" i="3"/>
  <c r="AO1312" i="3"/>
  <c r="AN1312" i="3"/>
  <c r="AM1312" i="3"/>
  <c r="AL1312" i="3"/>
  <c r="AK1312" i="3"/>
  <c r="AJ1312" i="3"/>
  <c r="AI1312" i="3"/>
  <c r="AH1312" i="3"/>
  <c r="AG1312" i="3"/>
  <c r="AE1312" i="3"/>
  <c r="AF1312" i="3" s="1"/>
  <c r="AC1312" i="3"/>
  <c r="AD1312" i="3" s="1"/>
  <c r="AH1311" i="3"/>
  <c r="AG1311" i="3"/>
  <c r="AE1311" i="3"/>
  <c r="AF1311" i="3" s="1"/>
  <c r="AC1311" i="3"/>
  <c r="AD1311" i="3" s="1"/>
  <c r="AE1310" i="3"/>
  <c r="AF1310" i="3" s="1"/>
  <c r="AC1310" i="3"/>
  <c r="AD1310" i="3" s="1"/>
  <c r="AG1309" i="3"/>
  <c r="AE1309" i="3"/>
  <c r="AF1309" i="3" s="1"/>
  <c r="AD1309" i="3"/>
  <c r="AC1309" i="3"/>
  <c r="AF1308" i="3"/>
  <c r="AE1308" i="3"/>
  <c r="AC1308" i="3"/>
  <c r="AD1308" i="3" s="1"/>
  <c r="AV1307" i="3"/>
  <c r="AU1307" i="3"/>
  <c r="AT1307" i="3"/>
  <c r="AS1307" i="3"/>
  <c r="AR1307" i="3"/>
  <c r="AQ1307" i="3"/>
  <c r="AP1307" i="3"/>
  <c r="AO1307" i="3"/>
  <c r="AN1307" i="3"/>
  <c r="AM1307" i="3"/>
  <c r="AL1307" i="3"/>
  <c r="AK1307" i="3"/>
  <c r="AJ1307" i="3"/>
  <c r="AI1307" i="3"/>
  <c r="AH1307" i="3"/>
  <c r="AG1307" i="3"/>
  <c r="AE1307" i="3"/>
  <c r="AF1307" i="3" s="1"/>
  <c r="AC1307" i="3"/>
  <c r="AD1307" i="3" s="1"/>
  <c r="AE1306" i="3"/>
  <c r="AF1306" i="3" s="1"/>
  <c r="AC1306" i="3"/>
  <c r="AD1306" i="3" s="1"/>
  <c r="AG1305" i="3"/>
  <c r="AE1305" i="3"/>
  <c r="AF1305" i="3" s="1"/>
  <c r="AD1305" i="3"/>
  <c r="AC1305" i="3"/>
  <c r="AF1304" i="3"/>
  <c r="AE1304" i="3"/>
  <c r="AC1304" i="3"/>
  <c r="AD1304" i="3" s="1"/>
  <c r="AH1303" i="3"/>
  <c r="AG1303" i="3"/>
  <c r="AF1303" i="3"/>
  <c r="AE1303" i="3"/>
  <c r="AD1303" i="3"/>
  <c r="AC1303" i="3"/>
  <c r="AE1302" i="3"/>
  <c r="AF1302" i="3" s="1"/>
  <c r="AC1302" i="3"/>
  <c r="AD1302" i="3" s="1"/>
  <c r="AV1301" i="3"/>
  <c r="AU1301" i="3"/>
  <c r="AT1301" i="3"/>
  <c r="AS1301" i="3"/>
  <c r="AR1301" i="3"/>
  <c r="AQ1301" i="3"/>
  <c r="AP1301" i="3"/>
  <c r="AO1301" i="3"/>
  <c r="AN1301" i="3"/>
  <c r="AM1301" i="3"/>
  <c r="AL1301" i="3"/>
  <c r="AK1301" i="3"/>
  <c r="AJ1301" i="3"/>
  <c r="AI1301" i="3"/>
  <c r="AH1301" i="3"/>
  <c r="AG1301" i="3"/>
  <c r="AW1301" i="3" s="1"/>
  <c r="AE1301" i="3"/>
  <c r="AF1301" i="3" s="1"/>
  <c r="AD1301" i="3"/>
  <c r="AC1301" i="3"/>
  <c r="AF1300" i="3"/>
  <c r="AE1300" i="3"/>
  <c r="AD1300" i="3"/>
  <c r="AC1300" i="3"/>
  <c r="AV1299" i="3"/>
  <c r="AU1299" i="3"/>
  <c r="AT1299" i="3"/>
  <c r="AS1299" i="3"/>
  <c r="AR1299" i="3"/>
  <c r="AQ1299" i="3"/>
  <c r="AP1299" i="3"/>
  <c r="AO1299" i="3"/>
  <c r="AN1299" i="3"/>
  <c r="AM1299" i="3"/>
  <c r="AL1299" i="3"/>
  <c r="AK1299" i="3"/>
  <c r="AJ1299" i="3"/>
  <c r="AI1299" i="3"/>
  <c r="AH1299" i="3"/>
  <c r="AG1299" i="3"/>
  <c r="AF1299" i="3"/>
  <c r="AE1299" i="3"/>
  <c r="AC1299" i="3"/>
  <c r="AD1299" i="3" s="1"/>
  <c r="AF1298" i="3"/>
  <c r="AE1298" i="3"/>
  <c r="AD1298" i="3"/>
  <c r="AC1298" i="3"/>
  <c r="AE1297" i="3"/>
  <c r="AF1297" i="3" s="1"/>
  <c r="AD1297" i="3"/>
  <c r="AC1297" i="3"/>
  <c r="AE1296" i="3"/>
  <c r="AF1296" i="3" s="1"/>
  <c r="AD1296" i="3"/>
  <c r="AC1296" i="3"/>
  <c r="AE1295" i="3"/>
  <c r="AF1295" i="3" s="1"/>
  <c r="AD1295" i="3"/>
  <c r="AC1295" i="3"/>
  <c r="AE1294" i="3"/>
  <c r="AF1294" i="3" s="1"/>
  <c r="AC1294" i="3"/>
  <c r="AD1294" i="3" s="1"/>
  <c r="AF1293" i="3"/>
  <c r="AE1293" i="3"/>
  <c r="AC1293" i="3"/>
  <c r="AD1293" i="3" s="1"/>
  <c r="AG1292" i="3"/>
  <c r="AF1292" i="3"/>
  <c r="AE1292" i="3"/>
  <c r="AC1292" i="3"/>
  <c r="AD1292" i="3" s="1"/>
  <c r="AE1291" i="3"/>
  <c r="AF1291" i="3" s="1"/>
  <c r="AD1291" i="3"/>
  <c r="AC1291" i="3"/>
  <c r="AF1290" i="3"/>
  <c r="AE1290" i="3"/>
  <c r="AD1290" i="3"/>
  <c r="AC1290" i="3"/>
  <c r="AV1289" i="3"/>
  <c r="AU1289" i="3"/>
  <c r="AT1289" i="3"/>
  <c r="AS1289" i="3"/>
  <c r="AR1289" i="3"/>
  <c r="AQ1289" i="3"/>
  <c r="AP1289" i="3"/>
  <c r="AO1289" i="3"/>
  <c r="AN1289" i="3"/>
  <c r="AM1289" i="3"/>
  <c r="AL1289" i="3"/>
  <c r="AK1289" i="3"/>
  <c r="AJ1289" i="3"/>
  <c r="AI1289" i="3"/>
  <c r="AH1289" i="3"/>
  <c r="AG1289" i="3"/>
  <c r="AE1289" i="3"/>
  <c r="AF1289" i="3" s="1"/>
  <c r="AD1289" i="3"/>
  <c r="AC1289" i="3"/>
  <c r="AG1288" i="3"/>
  <c r="AE1288" i="3"/>
  <c r="AF1288" i="3" s="1"/>
  <c r="AC1288" i="3"/>
  <c r="AD1288" i="3" s="1"/>
  <c r="AV1287" i="3"/>
  <c r="AU1287" i="3"/>
  <c r="AT1287" i="3"/>
  <c r="AS1287" i="3"/>
  <c r="AR1287" i="3"/>
  <c r="AQ1287" i="3"/>
  <c r="AP1287" i="3"/>
  <c r="AO1287" i="3"/>
  <c r="AN1287" i="3"/>
  <c r="AM1287" i="3"/>
  <c r="AL1287" i="3"/>
  <c r="AK1287" i="3"/>
  <c r="AJ1287" i="3"/>
  <c r="AI1287" i="3"/>
  <c r="AH1287" i="3"/>
  <c r="AG1287" i="3"/>
  <c r="AE1287" i="3"/>
  <c r="AF1287" i="3" s="1"/>
  <c r="AC1287" i="3"/>
  <c r="AD1287" i="3" s="1"/>
  <c r="AH1286" i="3"/>
  <c r="AG1286" i="3"/>
  <c r="AF1286" i="3"/>
  <c r="AE1286" i="3"/>
  <c r="AC1286" i="3"/>
  <c r="AD1286" i="3" s="1"/>
  <c r="AE1285" i="3"/>
  <c r="AF1285" i="3" s="1"/>
  <c r="AC1285" i="3"/>
  <c r="AD1285" i="3" s="1"/>
  <c r="AH1284" i="3"/>
  <c r="AG1284" i="3"/>
  <c r="AF1284" i="3"/>
  <c r="AE1284" i="3"/>
  <c r="AC1284" i="3"/>
  <c r="AD1284" i="3" s="1"/>
  <c r="AE1283" i="3"/>
  <c r="AF1283" i="3" s="1"/>
  <c r="AD1283" i="3"/>
  <c r="AC1283" i="3"/>
  <c r="AF1282" i="3"/>
  <c r="AE1282" i="3"/>
  <c r="AD1282" i="3"/>
  <c r="AC1282" i="3"/>
  <c r="AF1281" i="3"/>
  <c r="AE1281" i="3"/>
  <c r="AD1281" i="3"/>
  <c r="AC1281" i="3"/>
  <c r="AE1280" i="3"/>
  <c r="AF1280" i="3" s="1"/>
  <c r="AC1280" i="3"/>
  <c r="AD1280" i="3" s="1"/>
  <c r="AE1279" i="3"/>
  <c r="AF1279" i="3" s="1"/>
  <c r="AD1279" i="3"/>
  <c r="AC1279" i="3"/>
  <c r="AF1278" i="3"/>
  <c r="AE1278" i="3"/>
  <c r="AC1278" i="3"/>
  <c r="AD1278" i="3" s="1"/>
  <c r="AE1277" i="3"/>
  <c r="AF1277" i="3" s="1"/>
  <c r="AC1277" i="3"/>
  <c r="AD1277" i="3" s="1"/>
  <c r="AE1276" i="3"/>
  <c r="AF1276" i="3" s="1"/>
  <c r="AD1276" i="3"/>
  <c r="AC1276" i="3"/>
  <c r="AE1275" i="3"/>
  <c r="AF1275" i="3" s="1"/>
  <c r="AD1275" i="3"/>
  <c r="AC1275" i="3"/>
  <c r="AE1274" i="3"/>
  <c r="AF1274" i="3" s="1"/>
  <c r="AC1274" i="3"/>
  <c r="AD1274" i="3" s="1"/>
  <c r="AI1273" i="3"/>
  <c r="AH1273" i="3"/>
  <c r="AF1273" i="3"/>
  <c r="AE1273" i="3"/>
  <c r="AG1273" i="3" s="1"/>
  <c r="AD1273" i="3"/>
  <c r="AC1273" i="3"/>
  <c r="AG1272" i="3"/>
  <c r="AE1272" i="3"/>
  <c r="AF1272" i="3" s="1"/>
  <c r="AD1272" i="3"/>
  <c r="AC1272" i="3"/>
  <c r="AE1271" i="3"/>
  <c r="AF1271" i="3" s="1"/>
  <c r="AC1271" i="3"/>
  <c r="AD1271" i="3" s="1"/>
  <c r="AI1270" i="3"/>
  <c r="AH1270" i="3"/>
  <c r="AG1270" i="3"/>
  <c r="AF1270" i="3"/>
  <c r="AE1270" i="3"/>
  <c r="AC1270" i="3"/>
  <c r="AD1270" i="3" s="1"/>
  <c r="AF1269" i="3"/>
  <c r="AE1269" i="3"/>
  <c r="AD1269" i="3"/>
  <c r="AC1269" i="3"/>
  <c r="AE1268" i="3"/>
  <c r="AF1268" i="3" s="1"/>
  <c r="AD1268" i="3"/>
  <c r="AC1268" i="3"/>
  <c r="AE1267" i="3"/>
  <c r="AF1267" i="3" s="1"/>
  <c r="AD1267" i="3"/>
  <c r="AC1267" i="3"/>
  <c r="AE1266" i="3"/>
  <c r="AF1266" i="3" s="1"/>
  <c r="AD1266" i="3"/>
  <c r="AC1266" i="3"/>
  <c r="AE1265" i="3"/>
  <c r="AD1265" i="3"/>
  <c r="AC1265" i="3"/>
  <c r="AG1264" i="3"/>
  <c r="AF1264" i="3"/>
  <c r="AE1264" i="3"/>
  <c r="AD1264" i="3"/>
  <c r="AC1264" i="3"/>
  <c r="AH1263" i="3"/>
  <c r="AG1263" i="3"/>
  <c r="AF1263" i="3"/>
  <c r="AE1263" i="3"/>
  <c r="AC1263" i="3"/>
  <c r="AD1263" i="3" s="1"/>
  <c r="AF1262" i="3"/>
  <c r="AE1262" i="3"/>
  <c r="AC1262" i="3"/>
  <c r="AD1262" i="3" s="1"/>
  <c r="AE1261" i="3"/>
  <c r="AF1261" i="3" s="1"/>
  <c r="AD1261" i="3"/>
  <c r="AC1261" i="3"/>
  <c r="AE1260" i="3"/>
  <c r="AF1260" i="3" s="1"/>
  <c r="AC1260" i="3"/>
  <c r="AD1260" i="3" s="1"/>
  <c r="AF1259" i="3"/>
  <c r="AE1259" i="3"/>
  <c r="AC1259" i="3"/>
  <c r="AD1259" i="3" s="1"/>
  <c r="AG1258" i="3"/>
  <c r="AF1258" i="3"/>
  <c r="AE1258" i="3"/>
  <c r="AD1258" i="3"/>
  <c r="AC1258" i="3"/>
  <c r="AF1257" i="3"/>
  <c r="AE1257" i="3"/>
  <c r="AD1257" i="3"/>
  <c r="AC1257" i="3"/>
  <c r="AE1256" i="3"/>
  <c r="AF1256" i="3" s="1"/>
  <c r="AC1256" i="3"/>
  <c r="AD1256" i="3" s="1"/>
  <c r="AF1255" i="3"/>
  <c r="AE1255" i="3"/>
  <c r="AD1255" i="3"/>
  <c r="AC1255" i="3"/>
  <c r="AG1254" i="3"/>
  <c r="AF1254" i="3"/>
  <c r="AE1254" i="3"/>
  <c r="AD1254" i="3"/>
  <c r="AC1254" i="3"/>
  <c r="AE1253" i="3"/>
  <c r="AF1253" i="3" s="1"/>
  <c r="AC1253" i="3"/>
  <c r="AD1253" i="3" s="1"/>
  <c r="AG1252" i="3"/>
  <c r="AE1252" i="3"/>
  <c r="AF1252" i="3" s="1"/>
  <c r="AC1252" i="3"/>
  <c r="AD1252" i="3" s="1"/>
  <c r="AF1251" i="3"/>
  <c r="AE1251" i="3"/>
  <c r="AD1251" i="3"/>
  <c r="AC1251" i="3"/>
  <c r="AG1250" i="3"/>
  <c r="AE1250" i="3"/>
  <c r="AF1250" i="3" s="1"/>
  <c r="AC1250" i="3"/>
  <c r="AD1250" i="3" s="1"/>
  <c r="AG1249" i="3"/>
  <c r="AE1249" i="3"/>
  <c r="AF1249" i="3" s="1"/>
  <c r="AD1249" i="3"/>
  <c r="AC1249" i="3"/>
  <c r="AG1248" i="3"/>
  <c r="AF1248" i="3"/>
  <c r="AE1248" i="3"/>
  <c r="AD1248" i="3"/>
  <c r="AC1248" i="3"/>
  <c r="AH1247" i="3"/>
  <c r="AG1247" i="3"/>
  <c r="AF1247" i="3"/>
  <c r="AE1247" i="3"/>
  <c r="AD1247" i="3"/>
  <c r="AC1247" i="3"/>
  <c r="AF1246" i="3"/>
  <c r="AE1246" i="3"/>
  <c r="AD1246" i="3"/>
  <c r="AC1246" i="3"/>
  <c r="AE1245" i="3"/>
  <c r="AD1245" i="3"/>
  <c r="AC1245" i="3"/>
  <c r="AE1244" i="3"/>
  <c r="AF1244" i="3" s="1"/>
  <c r="AC1244" i="3"/>
  <c r="AD1244" i="3" s="1"/>
  <c r="AV1243" i="3"/>
  <c r="AU1243" i="3"/>
  <c r="AT1243" i="3"/>
  <c r="AS1243" i="3"/>
  <c r="AR1243" i="3"/>
  <c r="AQ1243" i="3"/>
  <c r="AP1243" i="3"/>
  <c r="AO1243" i="3"/>
  <c r="AN1243" i="3"/>
  <c r="AM1243" i="3"/>
  <c r="AL1243" i="3"/>
  <c r="AK1243" i="3"/>
  <c r="AJ1243" i="3"/>
  <c r="AI1243" i="3"/>
  <c r="AH1243" i="3"/>
  <c r="AG1243" i="3"/>
  <c r="AE1243" i="3"/>
  <c r="AF1243" i="3" s="1"/>
  <c r="AC1243" i="3"/>
  <c r="AD1243" i="3" s="1"/>
  <c r="AF1242" i="3"/>
  <c r="AE1242" i="3"/>
  <c r="AC1242" i="3"/>
  <c r="AD1242" i="3" s="1"/>
  <c r="AV1241" i="3"/>
  <c r="AU1241" i="3"/>
  <c r="AT1241" i="3"/>
  <c r="AS1241" i="3"/>
  <c r="AR1241" i="3"/>
  <c r="AQ1241" i="3"/>
  <c r="AP1241" i="3"/>
  <c r="AO1241" i="3"/>
  <c r="AN1241" i="3"/>
  <c r="AM1241" i="3"/>
  <c r="AL1241" i="3"/>
  <c r="AK1241" i="3"/>
  <c r="AJ1241" i="3"/>
  <c r="AI1241" i="3"/>
  <c r="AH1241" i="3"/>
  <c r="AG1241" i="3"/>
  <c r="AE1241" i="3"/>
  <c r="AF1241" i="3" s="1"/>
  <c r="AD1241" i="3"/>
  <c r="AC1241" i="3"/>
  <c r="AE1240" i="3"/>
  <c r="AF1240" i="3" s="1"/>
  <c r="AD1240" i="3"/>
  <c r="AC1240" i="3"/>
  <c r="AE1239" i="3"/>
  <c r="AF1239" i="3" s="1"/>
  <c r="AC1239" i="3"/>
  <c r="AD1239" i="3" s="1"/>
  <c r="AV1238" i="3"/>
  <c r="AU1238" i="3"/>
  <c r="AT1238" i="3"/>
  <c r="AS1238" i="3"/>
  <c r="AR1238" i="3"/>
  <c r="AQ1238" i="3"/>
  <c r="AP1238" i="3"/>
  <c r="AO1238" i="3"/>
  <c r="AN1238" i="3"/>
  <c r="AM1238" i="3"/>
  <c r="AL1238" i="3"/>
  <c r="AK1238" i="3"/>
  <c r="AJ1238" i="3"/>
  <c r="AI1238" i="3"/>
  <c r="AH1238" i="3"/>
  <c r="AG1238" i="3"/>
  <c r="AF1238" i="3"/>
  <c r="AE1238" i="3"/>
  <c r="AD1238" i="3"/>
  <c r="AC1238" i="3"/>
  <c r="AE1237" i="3"/>
  <c r="AF1237" i="3" s="1"/>
  <c r="AC1237" i="3"/>
  <c r="AD1237" i="3" s="1"/>
  <c r="AG1236" i="3"/>
  <c r="AE1236" i="3"/>
  <c r="AF1236" i="3" s="1"/>
  <c r="AD1236" i="3"/>
  <c r="AC1236" i="3"/>
  <c r="AE1235" i="3"/>
  <c r="AF1235" i="3" s="1"/>
  <c r="AD1235" i="3"/>
  <c r="AC1235" i="3"/>
  <c r="AG1234" i="3"/>
  <c r="AF1234" i="3"/>
  <c r="AE1234" i="3"/>
  <c r="AC1234" i="3"/>
  <c r="AD1234" i="3" s="1"/>
  <c r="AF1233" i="3"/>
  <c r="AE1233" i="3"/>
  <c r="AD1233" i="3"/>
  <c r="AC1233" i="3"/>
  <c r="AG1232" i="3"/>
  <c r="AF1232" i="3"/>
  <c r="AE1232" i="3"/>
  <c r="AD1232" i="3"/>
  <c r="AC1232" i="3"/>
  <c r="AE1231" i="3"/>
  <c r="AC1231" i="3"/>
  <c r="AD1231" i="3" s="1"/>
  <c r="AF1230" i="3"/>
  <c r="AE1230" i="3"/>
  <c r="AD1230" i="3"/>
  <c r="AC1230" i="3"/>
  <c r="AF1229" i="3"/>
  <c r="AE1229" i="3"/>
  <c r="AC1229" i="3"/>
  <c r="AD1229" i="3" s="1"/>
  <c r="AG1228" i="3"/>
  <c r="AF1228" i="3"/>
  <c r="AE1228" i="3"/>
  <c r="AD1228" i="3"/>
  <c r="AC1228" i="3"/>
  <c r="AE1227" i="3"/>
  <c r="AF1227" i="3" s="1"/>
  <c r="AC1227" i="3"/>
  <c r="AD1227" i="3" s="1"/>
  <c r="AF1226" i="3"/>
  <c r="AE1226" i="3"/>
  <c r="AC1226" i="3"/>
  <c r="AD1226" i="3" s="1"/>
  <c r="AG1225" i="3"/>
  <c r="AE1225" i="3"/>
  <c r="AF1225" i="3" s="1"/>
  <c r="AD1225" i="3"/>
  <c r="AC1225" i="3"/>
  <c r="AE1224" i="3"/>
  <c r="AF1224" i="3" s="1"/>
  <c r="AD1224" i="3"/>
  <c r="AC1224" i="3"/>
  <c r="AE1223" i="3"/>
  <c r="AF1223" i="3" s="1"/>
  <c r="AD1223" i="3"/>
  <c r="AC1223" i="3"/>
  <c r="AF1222" i="3"/>
  <c r="AE1222" i="3"/>
  <c r="AC1222" i="3"/>
  <c r="AD1222" i="3" s="1"/>
  <c r="AF1221" i="3"/>
  <c r="AE1221" i="3"/>
  <c r="AC1221" i="3"/>
  <c r="AD1221" i="3" s="1"/>
  <c r="AF1220" i="3"/>
  <c r="AE1220" i="3"/>
  <c r="AC1220" i="3"/>
  <c r="AD1220" i="3" s="1"/>
  <c r="AV1219" i="3"/>
  <c r="AU1219" i="3"/>
  <c r="AT1219" i="3"/>
  <c r="AS1219" i="3"/>
  <c r="AR1219" i="3"/>
  <c r="AQ1219" i="3"/>
  <c r="AP1219" i="3"/>
  <c r="AO1219" i="3"/>
  <c r="AN1219" i="3"/>
  <c r="AM1219" i="3"/>
  <c r="AL1219" i="3"/>
  <c r="AK1219" i="3"/>
  <c r="AJ1219" i="3"/>
  <c r="AI1219" i="3"/>
  <c r="AH1219" i="3"/>
  <c r="AG1219" i="3"/>
  <c r="AF1219" i="3"/>
  <c r="AE1219" i="3"/>
  <c r="AD1219" i="3"/>
  <c r="AC1219" i="3"/>
  <c r="AF1218" i="3"/>
  <c r="AE1218" i="3"/>
  <c r="AC1218" i="3"/>
  <c r="AD1218" i="3" s="1"/>
  <c r="AG1217" i="3"/>
  <c r="AE1217" i="3"/>
  <c r="AF1217" i="3" s="1"/>
  <c r="AD1217" i="3"/>
  <c r="AC1217" i="3"/>
  <c r="AV1216" i="3"/>
  <c r="AU1216" i="3"/>
  <c r="AT1216" i="3"/>
  <c r="AS1216" i="3"/>
  <c r="AR1216" i="3"/>
  <c r="AQ1216" i="3"/>
  <c r="AP1216" i="3"/>
  <c r="AO1216" i="3"/>
  <c r="AN1216" i="3"/>
  <c r="AM1216" i="3"/>
  <c r="AL1216" i="3"/>
  <c r="AK1216" i="3"/>
  <c r="AJ1216" i="3"/>
  <c r="AI1216" i="3"/>
  <c r="AH1216" i="3"/>
  <c r="AG1216" i="3"/>
  <c r="AE1216" i="3"/>
  <c r="AF1216" i="3" s="1"/>
  <c r="AD1216" i="3"/>
  <c r="AC1216" i="3"/>
  <c r="AV1215" i="3"/>
  <c r="AU1215" i="3"/>
  <c r="AT1215" i="3"/>
  <c r="AS1215" i="3"/>
  <c r="AR1215" i="3"/>
  <c r="AQ1215" i="3"/>
  <c r="AP1215" i="3"/>
  <c r="AO1215" i="3"/>
  <c r="AN1215" i="3"/>
  <c r="AM1215" i="3"/>
  <c r="AL1215" i="3"/>
  <c r="AK1215" i="3"/>
  <c r="AJ1215" i="3"/>
  <c r="AI1215" i="3"/>
  <c r="AH1215" i="3"/>
  <c r="AG1215" i="3"/>
  <c r="AW1215" i="3" s="1"/>
  <c r="AF1215" i="3"/>
  <c r="AE1215" i="3"/>
  <c r="AC1215" i="3"/>
  <c r="AD1215" i="3" s="1"/>
  <c r="AF1214" i="3"/>
  <c r="AE1214" i="3"/>
  <c r="AD1214" i="3"/>
  <c r="AC1214" i="3"/>
  <c r="AG1213" i="3"/>
  <c r="AF1213" i="3"/>
  <c r="AE1213" i="3"/>
  <c r="AC1213" i="3"/>
  <c r="AD1213" i="3" s="1"/>
  <c r="AF1212" i="3"/>
  <c r="AE1212" i="3"/>
  <c r="AC1212" i="3"/>
  <c r="AD1212" i="3" s="1"/>
  <c r="AE1211" i="3"/>
  <c r="AF1211" i="3" s="1"/>
  <c r="AD1211" i="3"/>
  <c r="AC1211" i="3"/>
  <c r="AF1210" i="3"/>
  <c r="AE1210" i="3"/>
  <c r="AC1210" i="3"/>
  <c r="AD1210" i="3" s="1"/>
  <c r="AH1209" i="3"/>
  <c r="AG1209" i="3"/>
  <c r="AF1209" i="3"/>
  <c r="AE1209" i="3"/>
  <c r="AD1209" i="3"/>
  <c r="AC1209" i="3"/>
  <c r="AE1208" i="3"/>
  <c r="AF1208" i="3" s="1"/>
  <c r="AC1208" i="3"/>
  <c r="AD1208" i="3" s="1"/>
  <c r="AE1207" i="3"/>
  <c r="AF1207" i="3" s="1"/>
  <c r="AD1207" i="3"/>
  <c r="AC1207" i="3"/>
  <c r="AE1206" i="3"/>
  <c r="AD1206" i="3"/>
  <c r="AC1206" i="3"/>
  <c r="AE1205" i="3"/>
  <c r="AC1205" i="3"/>
  <c r="AD1205" i="3" s="1"/>
  <c r="AG1204" i="3"/>
  <c r="AE1204" i="3"/>
  <c r="AF1204" i="3" s="1"/>
  <c r="AC1204" i="3"/>
  <c r="AD1204" i="3" s="1"/>
  <c r="AF1203" i="3"/>
  <c r="AE1203" i="3"/>
  <c r="AD1203" i="3"/>
  <c r="AC1203" i="3"/>
  <c r="AH1202" i="3"/>
  <c r="AF1202" i="3"/>
  <c r="AE1202" i="3"/>
  <c r="AG1202" i="3" s="1"/>
  <c r="AC1202" i="3"/>
  <c r="AD1202" i="3" s="1"/>
  <c r="AV1201" i="3"/>
  <c r="AU1201" i="3"/>
  <c r="AT1201" i="3"/>
  <c r="AS1201" i="3"/>
  <c r="AR1201" i="3"/>
  <c r="AQ1201" i="3"/>
  <c r="AP1201" i="3"/>
  <c r="AO1201" i="3"/>
  <c r="AN1201" i="3"/>
  <c r="AM1201" i="3"/>
  <c r="AL1201" i="3"/>
  <c r="AK1201" i="3"/>
  <c r="AJ1201" i="3"/>
  <c r="AI1201" i="3"/>
  <c r="AH1201" i="3"/>
  <c r="AG1201" i="3"/>
  <c r="AE1201" i="3"/>
  <c r="AF1201" i="3" s="1"/>
  <c r="AD1201" i="3"/>
  <c r="AC1201" i="3"/>
  <c r="AF1200" i="3"/>
  <c r="AE1200" i="3"/>
  <c r="AC1200" i="3"/>
  <c r="AD1200" i="3" s="1"/>
  <c r="AF1199" i="3"/>
  <c r="AE1199" i="3"/>
  <c r="AC1199" i="3"/>
  <c r="AD1199" i="3" s="1"/>
  <c r="AE1198" i="3"/>
  <c r="AC1198" i="3"/>
  <c r="AD1198" i="3" s="1"/>
  <c r="AE1197" i="3"/>
  <c r="AC1197" i="3"/>
  <c r="AD1197" i="3" s="1"/>
  <c r="AE1196" i="3"/>
  <c r="AD1196" i="3"/>
  <c r="AC1196" i="3"/>
  <c r="AE1195" i="3"/>
  <c r="AC1195" i="3"/>
  <c r="AD1195" i="3" s="1"/>
  <c r="AG1194" i="3"/>
  <c r="AE1194" i="3"/>
  <c r="AF1194" i="3" s="1"/>
  <c r="AC1194" i="3"/>
  <c r="AD1194" i="3" s="1"/>
  <c r="AV1193" i="3"/>
  <c r="AU1193" i="3"/>
  <c r="AT1193" i="3"/>
  <c r="AS1193" i="3"/>
  <c r="AR1193" i="3"/>
  <c r="AQ1193" i="3"/>
  <c r="AP1193" i="3"/>
  <c r="AO1193" i="3"/>
  <c r="AN1193" i="3"/>
  <c r="AM1193" i="3"/>
  <c r="AL1193" i="3"/>
  <c r="AK1193" i="3"/>
  <c r="AJ1193" i="3"/>
  <c r="AI1193" i="3"/>
  <c r="AH1193" i="3"/>
  <c r="AG1193" i="3"/>
  <c r="AE1193" i="3"/>
  <c r="AF1193" i="3" s="1"/>
  <c r="AD1193" i="3"/>
  <c r="AC1193" i="3"/>
  <c r="AE1192" i="3"/>
  <c r="AF1192" i="3" s="1"/>
  <c r="AD1192" i="3"/>
  <c r="AC1192" i="3"/>
  <c r="AV1191" i="3"/>
  <c r="AU1191" i="3"/>
  <c r="AT1191" i="3"/>
  <c r="AS1191" i="3"/>
  <c r="AR1191" i="3"/>
  <c r="AQ1191" i="3"/>
  <c r="AP1191" i="3"/>
  <c r="AO1191" i="3"/>
  <c r="AN1191" i="3"/>
  <c r="AM1191" i="3"/>
  <c r="AL1191" i="3"/>
  <c r="AK1191" i="3"/>
  <c r="AJ1191" i="3"/>
  <c r="AI1191" i="3"/>
  <c r="AH1191" i="3"/>
  <c r="AG1191" i="3"/>
  <c r="AE1191" i="3"/>
  <c r="AF1191" i="3" s="1"/>
  <c r="AC1191" i="3"/>
  <c r="AD1191" i="3" s="1"/>
  <c r="AF1190" i="3"/>
  <c r="AE1190" i="3"/>
  <c r="AC1190" i="3"/>
  <c r="AD1190" i="3" s="1"/>
  <c r="AV1189" i="3"/>
  <c r="AU1189" i="3"/>
  <c r="AT1189" i="3"/>
  <c r="AS1189" i="3"/>
  <c r="AR1189" i="3"/>
  <c r="AQ1189" i="3"/>
  <c r="AP1189" i="3"/>
  <c r="AO1189" i="3"/>
  <c r="AN1189" i="3"/>
  <c r="AM1189" i="3"/>
  <c r="AL1189" i="3"/>
  <c r="AK1189" i="3"/>
  <c r="AJ1189" i="3"/>
  <c r="AI1189" i="3"/>
  <c r="AH1189" i="3"/>
  <c r="AG1189" i="3"/>
  <c r="AE1189" i="3"/>
  <c r="AF1189" i="3" s="1"/>
  <c r="AC1189" i="3"/>
  <c r="AD1189" i="3" s="1"/>
  <c r="AE1188" i="3"/>
  <c r="AF1188" i="3" s="1"/>
  <c r="AD1188" i="3"/>
  <c r="AC1188" i="3"/>
  <c r="AE1187" i="3"/>
  <c r="AF1187" i="3" s="1"/>
  <c r="AC1187" i="3"/>
  <c r="AD1187" i="3" s="1"/>
  <c r="AE1186" i="3"/>
  <c r="AC1186" i="3"/>
  <c r="AD1186" i="3" s="1"/>
  <c r="AE1185" i="3"/>
  <c r="AF1185" i="3" s="1"/>
  <c r="AD1185" i="3"/>
  <c r="AC1185" i="3"/>
  <c r="AE1184" i="3"/>
  <c r="AC1184" i="3"/>
  <c r="AD1184" i="3" s="1"/>
  <c r="AG1183" i="3"/>
  <c r="AE1183" i="3"/>
  <c r="AC1183" i="3"/>
  <c r="AD1183" i="3" s="1"/>
  <c r="AE1182" i="3"/>
  <c r="AC1182" i="3"/>
  <c r="AD1182" i="3" s="1"/>
  <c r="AE1181" i="3"/>
  <c r="AF1181" i="3" s="1"/>
  <c r="AD1181" i="3"/>
  <c r="AC1181" i="3"/>
  <c r="AG1180" i="3"/>
  <c r="AE1180" i="3"/>
  <c r="AC1180" i="3"/>
  <c r="AD1180" i="3" s="1"/>
  <c r="AF1179" i="3"/>
  <c r="AE1179" i="3"/>
  <c r="AD1179" i="3"/>
  <c r="AC1179" i="3"/>
  <c r="AG1178" i="3"/>
  <c r="AF1178" i="3"/>
  <c r="AE1178" i="3"/>
  <c r="AC1178" i="3"/>
  <c r="AD1178" i="3" s="1"/>
  <c r="AE1177" i="3"/>
  <c r="AD1177" i="3"/>
  <c r="AC1177" i="3"/>
  <c r="AE1176" i="3"/>
  <c r="AD1176" i="3"/>
  <c r="AC1176" i="3"/>
  <c r="AE1175" i="3"/>
  <c r="AC1175" i="3"/>
  <c r="AD1175" i="3" s="1"/>
  <c r="AF1174" i="3"/>
  <c r="AE1174" i="3"/>
  <c r="AC1174" i="3"/>
  <c r="AD1174" i="3" s="1"/>
  <c r="AH1173" i="3"/>
  <c r="AG1173" i="3"/>
  <c r="AE1173" i="3"/>
  <c r="AF1173" i="3" s="1"/>
  <c r="AC1173" i="3"/>
  <c r="AD1173" i="3" s="1"/>
  <c r="AE1172" i="3"/>
  <c r="AF1172" i="3" s="1"/>
  <c r="AD1172" i="3"/>
  <c r="AC1172" i="3"/>
  <c r="AE1171" i="3"/>
  <c r="AD1171" i="3"/>
  <c r="AC1171" i="3"/>
  <c r="AE1170" i="3"/>
  <c r="AC1170" i="3"/>
  <c r="AD1170" i="3" s="1"/>
  <c r="AG1169" i="3"/>
  <c r="AE1169" i="3"/>
  <c r="AF1169" i="3" s="1"/>
  <c r="AD1169" i="3"/>
  <c r="AC1169" i="3"/>
  <c r="AH1168" i="3"/>
  <c r="AG1168" i="3"/>
  <c r="AF1168" i="3"/>
  <c r="AE1168" i="3"/>
  <c r="AD1168" i="3"/>
  <c r="AC1168" i="3"/>
  <c r="AH1167" i="3"/>
  <c r="AG1167" i="3"/>
  <c r="AF1167" i="3"/>
  <c r="AE1167" i="3"/>
  <c r="AD1167" i="3"/>
  <c r="AC1167" i="3"/>
  <c r="AE1166" i="3"/>
  <c r="AC1166" i="3"/>
  <c r="AD1166" i="3" s="1"/>
  <c r="AE1165" i="3"/>
  <c r="AC1165" i="3"/>
  <c r="AD1165" i="3" s="1"/>
  <c r="AG1164" i="3"/>
  <c r="AE1164" i="3"/>
  <c r="AD1164" i="3"/>
  <c r="AC1164" i="3"/>
  <c r="AE1163" i="3"/>
  <c r="AC1163" i="3"/>
  <c r="AD1163" i="3" s="1"/>
  <c r="AE1162" i="3"/>
  <c r="AD1162" i="3"/>
  <c r="AC1162" i="3"/>
  <c r="AF1161" i="3"/>
  <c r="AE1161" i="3"/>
  <c r="AD1161" i="3"/>
  <c r="AC1161" i="3"/>
  <c r="AF1160" i="3"/>
  <c r="AE1160" i="3"/>
  <c r="AC1160" i="3"/>
  <c r="AD1160" i="3" s="1"/>
  <c r="AE1159" i="3"/>
  <c r="AC1159" i="3"/>
  <c r="AD1159" i="3" s="1"/>
  <c r="AE1158" i="3"/>
  <c r="AD1158" i="3"/>
  <c r="AC1158" i="3"/>
  <c r="AE1157" i="3"/>
  <c r="AF1157" i="3" s="1"/>
  <c r="AC1157" i="3"/>
  <c r="AD1157" i="3" s="1"/>
  <c r="AE1156" i="3"/>
  <c r="AF1156" i="3" s="1"/>
  <c r="AD1156" i="3"/>
  <c r="AC1156" i="3"/>
  <c r="AE1155" i="3"/>
  <c r="AF1155" i="3" s="1"/>
  <c r="AC1155" i="3"/>
  <c r="AD1155" i="3" s="1"/>
  <c r="AE1154" i="3"/>
  <c r="AD1154" i="3"/>
  <c r="AC1154" i="3"/>
  <c r="AE1153" i="3"/>
  <c r="AD1153" i="3"/>
  <c r="AC1153" i="3"/>
  <c r="AE1152" i="3"/>
  <c r="AD1152" i="3"/>
  <c r="AC1152" i="3"/>
  <c r="AE1151" i="3"/>
  <c r="AD1151" i="3"/>
  <c r="AC1151" i="3"/>
  <c r="AE1150" i="3"/>
  <c r="AC1150" i="3"/>
  <c r="AD1150" i="3" s="1"/>
  <c r="AE1149" i="3"/>
  <c r="AC1149" i="3"/>
  <c r="AD1149" i="3" s="1"/>
  <c r="AF1148" i="3"/>
  <c r="AE1148" i="3"/>
  <c r="AC1148" i="3"/>
  <c r="AD1148" i="3" s="1"/>
  <c r="AF1147" i="3"/>
  <c r="AE1147" i="3"/>
  <c r="AC1147" i="3"/>
  <c r="AD1147" i="3" s="1"/>
  <c r="AG1146" i="3"/>
  <c r="AE1146" i="3"/>
  <c r="AC1146" i="3"/>
  <c r="AD1146" i="3" s="1"/>
  <c r="AE1145" i="3"/>
  <c r="AD1145" i="3"/>
  <c r="AC1145" i="3"/>
  <c r="AG1144" i="3"/>
  <c r="AF1144" i="3"/>
  <c r="AE1144" i="3"/>
  <c r="AD1144" i="3"/>
  <c r="AC1144" i="3"/>
  <c r="AF1143" i="3"/>
  <c r="AE1143" i="3"/>
  <c r="AC1143" i="3"/>
  <c r="AD1143" i="3" s="1"/>
  <c r="AF1142" i="3"/>
  <c r="AE1142" i="3"/>
  <c r="AD1142" i="3"/>
  <c r="AC1142" i="3"/>
  <c r="AG1141" i="3"/>
  <c r="AF1141" i="3"/>
  <c r="AE1141" i="3"/>
  <c r="AD1141" i="3"/>
  <c r="AC1141" i="3"/>
  <c r="AE1140" i="3"/>
  <c r="AF1140" i="3" s="1"/>
  <c r="AD1140" i="3"/>
  <c r="AC1140" i="3"/>
  <c r="AF1139" i="3"/>
  <c r="AE1139" i="3"/>
  <c r="AD1139" i="3"/>
  <c r="AC1139" i="3"/>
  <c r="AG1138" i="3"/>
  <c r="AE1138" i="3"/>
  <c r="AF1138" i="3" s="1"/>
  <c r="AD1138" i="3"/>
  <c r="AC1138" i="3"/>
  <c r="AV1137" i="3"/>
  <c r="AU1137" i="3"/>
  <c r="AT1137" i="3"/>
  <c r="AS1137" i="3"/>
  <c r="AR1137" i="3"/>
  <c r="AQ1137" i="3"/>
  <c r="AP1137" i="3"/>
  <c r="AO1137" i="3"/>
  <c r="AN1137" i="3"/>
  <c r="AM1137" i="3"/>
  <c r="AL1137" i="3"/>
  <c r="AK1137" i="3"/>
  <c r="AJ1137" i="3"/>
  <c r="AI1137" i="3"/>
  <c r="AH1137" i="3"/>
  <c r="AG1137" i="3"/>
  <c r="AE1137" i="3"/>
  <c r="AF1137" i="3" s="1"/>
  <c r="AD1137" i="3"/>
  <c r="AC1137" i="3"/>
  <c r="AE1136" i="3"/>
  <c r="AF1136" i="3" s="1"/>
  <c r="AC1136" i="3"/>
  <c r="AD1136" i="3" s="1"/>
  <c r="AV1135" i="3"/>
  <c r="AU1135" i="3"/>
  <c r="AT1135" i="3"/>
  <c r="AS1135" i="3"/>
  <c r="AR1135" i="3"/>
  <c r="AQ1135" i="3"/>
  <c r="AP1135" i="3"/>
  <c r="AO1135" i="3"/>
  <c r="AN1135" i="3"/>
  <c r="AM1135" i="3"/>
  <c r="AL1135" i="3"/>
  <c r="AK1135" i="3"/>
  <c r="AJ1135" i="3"/>
  <c r="AI1135" i="3"/>
  <c r="AH1135" i="3"/>
  <c r="AG1135" i="3"/>
  <c r="AE1135" i="3"/>
  <c r="AF1135" i="3" s="1"/>
  <c r="AD1135" i="3"/>
  <c r="AC1135" i="3"/>
  <c r="AG1134" i="3"/>
  <c r="AF1134" i="3"/>
  <c r="AE1134" i="3"/>
  <c r="AC1134" i="3"/>
  <c r="AD1134" i="3" s="1"/>
  <c r="AF1133" i="3"/>
  <c r="AE1133" i="3"/>
  <c r="AC1133" i="3"/>
  <c r="AD1133" i="3" s="1"/>
  <c r="AE1132" i="3"/>
  <c r="AF1132" i="3" s="1"/>
  <c r="AD1132" i="3"/>
  <c r="AC1132" i="3"/>
  <c r="AF1131" i="3"/>
  <c r="AE1131" i="3"/>
  <c r="AC1131" i="3"/>
  <c r="AD1131" i="3" s="1"/>
  <c r="AF1130" i="3"/>
  <c r="AE1130" i="3"/>
  <c r="AD1130" i="3"/>
  <c r="AC1130" i="3"/>
  <c r="AE1129" i="3"/>
  <c r="AF1129" i="3" s="1"/>
  <c r="AD1129" i="3"/>
  <c r="AC1129" i="3"/>
  <c r="AE1128" i="3"/>
  <c r="AF1128" i="3" s="1"/>
  <c r="AD1128" i="3"/>
  <c r="AC1128" i="3"/>
  <c r="AF1127" i="3"/>
  <c r="AE1127" i="3"/>
  <c r="AD1127" i="3"/>
  <c r="AC1127" i="3"/>
  <c r="AF1126" i="3"/>
  <c r="AE1126" i="3"/>
  <c r="AD1126" i="3"/>
  <c r="AC1126" i="3"/>
  <c r="AE1125" i="3"/>
  <c r="AF1125" i="3" s="1"/>
  <c r="AD1125" i="3"/>
  <c r="AC1125" i="3"/>
  <c r="AH1124" i="3"/>
  <c r="AI1124" i="3" s="1"/>
  <c r="AG1124" i="3"/>
  <c r="AE1124" i="3"/>
  <c r="AF1124" i="3" s="1"/>
  <c r="AD1124" i="3"/>
  <c r="AC1124" i="3"/>
  <c r="AH1123" i="3"/>
  <c r="AG1123" i="3"/>
  <c r="AF1123" i="3"/>
  <c r="AE1123" i="3"/>
  <c r="AC1123" i="3"/>
  <c r="AD1123" i="3" s="1"/>
  <c r="AF1122" i="3"/>
  <c r="AE1122" i="3"/>
  <c r="AC1122" i="3"/>
  <c r="AD1122" i="3" s="1"/>
  <c r="AF1121" i="3"/>
  <c r="AE1121" i="3"/>
  <c r="AC1121" i="3"/>
  <c r="AD1121" i="3" s="1"/>
  <c r="AE1120" i="3"/>
  <c r="AF1120" i="3" s="1"/>
  <c r="AC1120" i="3"/>
  <c r="AD1120" i="3" s="1"/>
  <c r="AV1119" i="3"/>
  <c r="AU1119" i="3"/>
  <c r="AT1119" i="3"/>
  <c r="AS1119" i="3"/>
  <c r="AR1119" i="3"/>
  <c r="AQ1119" i="3"/>
  <c r="AP1119" i="3"/>
  <c r="AO1119" i="3"/>
  <c r="AN1119" i="3"/>
  <c r="AM1119" i="3"/>
  <c r="AL1119" i="3"/>
  <c r="AK1119" i="3"/>
  <c r="AJ1119" i="3"/>
  <c r="AI1119" i="3"/>
  <c r="AH1119" i="3"/>
  <c r="AG1119" i="3"/>
  <c r="AF1119" i="3"/>
  <c r="AE1119" i="3"/>
  <c r="AC1119" i="3"/>
  <c r="AD1119" i="3" s="1"/>
  <c r="AG1118" i="3"/>
  <c r="AF1118" i="3"/>
  <c r="AE1118" i="3"/>
  <c r="AD1118" i="3"/>
  <c r="AC1118" i="3"/>
  <c r="AE1117" i="3"/>
  <c r="AF1117" i="3" s="1"/>
  <c r="AC1117" i="3"/>
  <c r="AD1117" i="3" s="1"/>
  <c r="AF1116" i="3"/>
  <c r="AE1116" i="3"/>
  <c r="AD1116" i="3"/>
  <c r="AC1116" i="3"/>
  <c r="AF1115" i="3"/>
  <c r="AE1115" i="3"/>
  <c r="AC1115" i="3"/>
  <c r="AD1115" i="3" s="1"/>
  <c r="AE1114" i="3"/>
  <c r="AF1114" i="3" s="1"/>
  <c r="AD1114" i="3"/>
  <c r="AC1114" i="3"/>
  <c r="AV1113" i="3"/>
  <c r="AU1113" i="3"/>
  <c r="AT1113" i="3"/>
  <c r="AS1113" i="3"/>
  <c r="AR1113" i="3"/>
  <c r="AQ1113" i="3"/>
  <c r="AP1113" i="3"/>
  <c r="AO1113" i="3"/>
  <c r="AN1113" i="3"/>
  <c r="AM1113" i="3"/>
  <c r="AL1113" i="3"/>
  <c r="AK1113" i="3"/>
  <c r="AJ1113" i="3"/>
  <c r="AI1113" i="3"/>
  <c r="AH1113" i="3"/>
  <c r="AG1113" i="3"/>
  <c r="AE1113" i="3"/>
  <c r="AF1113" i="3" s="1"/>
  <c r="AC1113" i="3"/>
  <c r="AD1113" i="3" s="1"/>
  <c r="AF1112" i="3"/>
  <c r="AE1112" i="3"/>
  <c r="AC1112" i="3"/>
  <c r="AD1112" i="3" s="1"/>
  <c r="AF1111" i="3"/>
  <c r="AE1111" i="3"/>
  <c r="AC1111" i="3"/>
  <c r="AD1111" i="3" s="1"/>
  <c r="AE1110" i="3"/>
  <c r="AF1110" i="3" s="1"/>
  <c r="AD1110" i="3"/>
  <c r="AC1110" i="3"/>
  <c r="AF1109" i="3"/>
  <c r="AE1109" i="3"/>
  <c r="AG1109" i="3" s="1"/>
  <c r="AD1109" i="3"/>
  <c r="AC1109" i="3"/>
  <c r="AE1108" i="3"/>
  <c r="AC1108" i="3"/>
  <c r="AD1108" i="3" s="1"/>
  <c r="AF1107" i="3"/>
  <c r="AE1107" i="3"/>
  <c r="AC1107" i="3"/>
  <c r="AD1107" i="3" s="1"/>
  <c r="AG1106" i="3"/>
  <c r="AH1106" i="3" s="1"/>
  <c r="AF1106" i="3"/>
  <c r="AE1106" i="3"/>
  <c r="AD1106" i="3"/>
  <c r="AC1106" i="3"/>
  <c r="AE1105" i="3"/>
  <c r="AF1105" i="3" s="1"/>
  <c r="AD1105" i="3"/>
  <c r="AC1105" i="3"/>
  <c r="AE1104" i="3"/>
  <c r="AF1104" i="3" s="1"/>
  <c r="AD1104" i="3"/>
  <c r="AC1104" i="3"/>
  <c r="AF1103" i="3"/>
  <c r="AE1103" i="3"/>
  <c r="AD1103" i="3"/>
  <c r="AC1103" i="3"/>
  <c r="AG1102" i="3"/>
  <c r="AE1102" i="3"/>
  <c r="AF1102" i="3" s="1"/>
  <c r="AD1102" i="3"/>
  <c r="AC1102" i="3"/>
  <c r="AG1101" i="3"/>
  <c r="AE1101" i="3"/>
  <c r="AF1101" i="3" s="1"/>
  <c r="AD1101" i="3"/>
  <c r="AC1101" i="3"/>
  <c r="AE1100" i="3"/>
  <c r="AF1100" i="3" s="1"/>
  <c r="AD1100" i="3"/>
  <c r="AC1100" i="3"/>
  <c r="AF1099" i="3"/>
  <c r="AE1099" i="3"/>
  <c r="AC1099" i="3"/>
  <c r="AD1099" i="3" s="1"/>
  <c r="AG1098" i="3"/>
  <c r="AF1098" i="3"/>
  <c r="AE1098" i="3"/>
  <c r="AD1098" i="3"/>
  <c r="AC1098" i="3"/>
  <c r="AG1097" i="3"/>
  <c r="AF1097" i="3"/>
  <c r="AE1097" i="3"/>
  <c r="AC1097" i="3"/>
  <c r="AD1097" i="3" s="1"/>
  <c r="AE1096" i="3"/>
  <c r="AF1096" i="3" s="1"/>
  <c r="AC1096" i="3"/>
  <c r="AD1096" i="3" s="1"/>
  <c r="AG1095" i="3"/>
  <c r="AF1095" i="3"/>
  <c r="AE1095" i="3"/>
  <c r="AD1095" i="3"/>
  <c r="AC1095" i="3"/>
  <c r="AE1094" i="3"/>
  <c r="AD1094" i="3"/>
  <c r="AC1094" i="3"/>
  <c r="AE1093" i="3"/>
  <c r="AF1093" i="3" s="1"/>
  <c r="AC1093" i="3"/>
  <c r="AD1093" i="3" s="1"/>
  <c r="AF1092" i="3"/>
  <c r="AE1092" i="3"/>
  <c r="AC1092" i="3"/>
  <c r="AD1092" i="3" s="1"/>
  <c r="AF1091" i="3"/>
  <c r="AE1091" i="3"/>
  <c r="AD1091" i="3"/>
  <c r="AC1091" i="3"/>
  <c r="AE1090" i="3"/>
  <c r="AF1090" i="3" s="1"/>
  <c r="AD1090" i="3"/>
  <c r="AC1090" i="3"/>
  <c r="AE1089" i="3"/>
  <c r="AF1089" i="3" s="1"/>
  <c r="AD1089" i="3"/>
  <c r="AC1089" i="3"/>
  <c r="AF1088" i="3"/>
  <c r="AE1088" i="3"/>
  <c r="AC1088" i="3"/>
  <c r="AD1088" i="3" s="1"/>
  <c r="AE1087" i="3"/>
  <c r="AF1087" i="3" s="1"/>
  <c r="AC1087" i="3"/>
  <c r="AD1087" i="3" s="1"/>
  <c r="AE1086" i="3"/>
  <c r="AF1086" i="3" s="1"/>
  <c r="AD1086" i="3"/>
  <c r="AC1086" i="3"/>
  <c r="AF1085" i="3"/>
  <c r="AE1085" i="3"/>
  <c r="AD1085" i="3"/>
  <c r="AC1085" i="3"/>
  <c r="AG1084" i="3"/>
  <c r="AF1084" i="3"/>
  <c r="AE1084" i="3"/>
  <c r="AD1084" i="3"/>
  <c r="AC1084" i="3"/>
  <c r="AG1083" i="3"/>
  <c r="AF1083" i="3"/>
  <c r="AE1083" i="3"/>
  <c r="AC1083" i="3"/>
  <c r="AD1083" i="3" s="1"/>
  <c r="AE1082" i="3"/>
  <c r="AF1082" i="3" s="1"/>
  <c r="AC1082" i="3"/>
  <c r="AD1082" i="3" s="1"/>
  <c r="AE1081" i="3"/>
  <c r="AF1081" i="3" s="1"/>
  <c r="AC1081" i="3"/>
  <c r="AD1081" i="3" s="1"/>
  <c r="AG1080" i="3"/>
  <c r="AF1080" i="3"/>
  <c r="AE1080" i="3"/>
  <c r="AD1080" i="3"/>
  <c r="AC1080" i="3"/>
  <c r="AF1079" i="3"/>
  <c r="AE1079" i="3"/>
  <c r="AC1079" i="3"/>
  <c r="AD1079" i="3" s="1"/>
  <c r="AF1078" i="3"/>
  <c r="AE1078" i="3"/>
  <c r="AC1078" i="3"/>
  <c r="AD1078" i="3" s="1"/>
  <c r="AF1077" i="3"/>
  <c r="AE1077" i="3"/>
  <c r="AC1077" i="3"/>
  <c r="AD1077" i="3" s="1"/>
  <c r="AF1076" i="3"/>
  <c r="AE1076" i="3"/>
  <c r="AC1076" i="3"/>
  <c r="AD1076" i="3" s="1"/>
  <c r="AE1075" i="3"/>
  <c r="AF1075" i="3" s="1"/>
  <c r="AD1075" i="3"/>
  <c r="AC1075" i="3"/>
  <c r="AE1074" i="3"/>
  <c r="AF1074" i="3" s="1"/>
  <c r="AC1074" i="3"/>
  <c r="AD1074" i="3" s="1"/>
  <c r="AF1073" i="3"/>
  <c r="AE1073" i="3"/>
  <c r="AC1073" i="3"/>
  <c r="AD1073" i="3" s="1"/>
  <c r="AF1072" i="3"/>
  <c r="AE1072" i="3"/>
  <c r="AD1072" i="3"/>
  <c r="AC1072" i="3"/>
  <c r="AF1071" i="3"/>
  <c r="AE1071" i="3"/>
  <c r="AD1071" i="3"/>
  <c r="AC1071" i="3"/>
  <c r="AG1070" i="3"/>
  <c r="AF1070" i="3"/>
  <c r="AE1070" i="3"/>
  <c r="AC1070" i="3"/>
  <c r="AD1070" i="3" s="1"/>
  <c r="AF1069" i="3"/>
  <c r="AE1069" i="3"/>
  <c r="AD1069" i="3"/>
  <c r="AC1069" i="3"/>
  <c r="AE1068" i="3"/>
  <c r="AF1068" i="3" s="1"/>
  <c r="AC1068" i="3"/>
  <c r="AD1068" i="3" s="1"/>
  <c r="AE1067" i="3"/>
  <c r="AF1067" i="3" s="1"/>
  <c r="AD1067" i="3"/>
  <c r="AC1067" i="3"/>
  <c r="AE1066" i="3"/>
  <c r="AF1066" i="3" s="1"/>
  <c r="AC1066" i="3"/>
  <c r="AD1066" i="3" s="1"/>
  <c r="AG1065" i="3"/>
  <c r="AF1065" i="3"/>
  <c r="AE1065" i="3"/>
  <c r="AD1065" i="3"/>
  <c r="AC1065" i="3"/>
  <c r="AE1064" i="3"/>
  <c r="AF1064" i="3" s="1"/>
  <c r="AD1064" i="3"/>
  <c r="AC1064" i="3"/>
  <c r="AF1063" i="3"/>
  <c r="AE1063" i="3"/>
  <c r="AC1063" i="3"/>
  <c r="AD1063" i="3" s="1"/>
  <c r="AH1062" i="3"/>
  <c r="AG1062" i="3"/>
  <c r="AE1062" i="3"/>
  <c r="AF1062" i="3" s="1"/>
  <c r="AC1062" i="3"/>
  <c r="AD1062" i="3" s="1"/>
  <c r="AG1061" i="3"/>
  <c r="AE1061" i="3"/>
  <c r="AF1061" i="3" s="1"/>
  <c r="AC1061" i="3"/>
  <c r="AD1061" i="3" s="1"/>
  <c r="AG1060" i="3"/>
  <c r="AF1060" i="3"/>
  <c r="AE1060" i="3"/>
  <c r="AD1060" i="3"/>
  <c r="AC1060" i="3"/>
  <c r="AG1059" i="3"/>
  <c r="AE1059" i="3"/>
  <c r="AF1059" i="3" s="1"/>
  <c r="AD1059" i="3"/>
  <c r="AC1059" i="3"/>
  <c r="AF1058" i="3"/>
  <c r="AE1058" i="3"/>
  <c r="AD1058" i="3"/>
  <c r="AC1058" i="3"/>
  <c r="AF1057" i="3"/>
  <c r="AE1057" i="3"/>
  <c r="AD1057" i="3"/>
  <c r="AC1057" i="3"/>
  <c r="AG1056" i="3"/>
  <c r="AF1056" i="3"/>
  <c r="AE1056" i="3"/>
  <c r="AD1056" i="3"/>
  <c r="AC1056" i="3"/>
  <c r="AF1055" i="3"/>
  <c r="AE1055" i="3"/>
  <c r="AC1055" i="3"/>
  <c r="AD1055" i="3" s="1"/>
  <c r="AE1054" i="3"/>
  <c r="AG1054" i="3" s="1"/>
  <c r="AC1054" i="3"/>
  <c r="AD1054" i="3" s="1"/>
  <c r="AE1053" i="3"/>
  <c r="AD1053" i="3"/>
  <c r="AC1053" i="3"/>
  <c r="AG1052" i="3"/>
  <c r="AF1052" i="3"/>
  <c r="AE1052" i="3"/>
  <c r="AD1052" i="3"/>
  <c r="AC1052" i="3"/>
  <c r="AF1051" i="3"/>
  <c r="AE1051" i="3"/>
  <c r="AC1051" i="3"/>
  <c r="AD1051" i="3" s="1"/>
  <c r="AG1050" i="3"/>
  <c r="AF1050" i="3"/>
  <c r="AE1050" i="3"/>
  <c r="AD1050" i="3"/>
  <c r="AC1050" i="3"/>
  <c r="AE1049" i="3"/>
  <c r="AF1049" i="3" s="1"/>
  <c r="AD1049" i="3"/>
  <c r="AC1049" i="3"/>
  <c r="AE1048" i="3"/>
  <c r="AF1048" i="3" s="1"/>
  <c r="AC1048" i="3"/>
  <c r="AD1048" i="3" s="1"/>
  <c r="AF1047" i="3"/>
  <c r="AE1047" i="3"/>
  <c r="AD1047" i="3"/>
  <c r="AC1047" i="3"/>
  <c r="AH1046" i="3"/>
  <c r="AG1046" i="3"/>
  <c r="AF1046" i="3"/>
  <c r="AE1046" i="3"/>
  <c r="AD1046" i="3"/>
  <c r="AC1046" i="3"/>
  <c r="AF1045" i="3"/>
  <c r="AE1045" i="3"/>
  <c r="AD1045" i="3"/>
  <c r="AC1045" i="3"/>
  <c r="AF1044" i="3"/>
  <c r="AE1044" i="3"/>
  <c r="AD1044" i="3"/>
  <c r="AC1044" i="3"/>
  <c r="AE1043" i="3"/>
  <c r="AF1043" i="3" s="1"/>
  <c r="AC1043" i="3"/>
  <c r="AD1043" i="3" s="1"/>
  <c r="AF1042" i="3"/>
  <c r="AE1042" i="3"/>
  <c r="AC1042" i="3"/>
  <c r="AD1042" i="3" s="1"/>
  <c r="AG1041" i="3"/>
  <c r="AE1041" i="3"/>
  <c r="AF1041" i="3" s="1"/>
  <c r="AC1041" i="3"/>
  <c r="AD1041" i="3" s="1"/>
  <c r="AE1040" i="3"/>
  <c r="AF1040" i="3" s="1"/>
  <c r="AD1040" i="3"/>
  <c r="AC1040" i="3"/>
  <c r="AE1039" i="3"/>
  <c r="AF1039" i="3" s="1"/>
  <c r="AC1039" i="3"/>
  <c r="AD1039" i="3" s="1"/>
  <c r="AE1038" i="3"/>
  <c r="AF1038" i="3" s="1"/>
  <c r="AC1038" i="3"/>
  <c r="AD1038" i="3" s="1"/>
  <c r="AH1037" i="3"/>
  <c r="AG1037" i="3"/>
  <c r="AF1037" i="3"/>
  <c r="AE1037" i="3"/>
  <c r="AD1037" i="3"/>
  <c r="AC1037" i="3"/>
  <c r="AG1036" i="3"/>
  <c r="AE1036" i="3"/>
  <c r="AF1036" i="3" s="1"/>
  <c r="AC1036" i="3"/>
  <c r="AD1036" i="3" s="1"/>
  <c r="AE1035" i="3"/>
  <c r="AF1035" i="3" s="1"/>
  <c r="AD1035" i="3"/>
  <c r="AC1035" i="3"/>
  <c r="AG1034" i="3"/>
  <c r="AF1034" i="3"/>
  <c r="AE1034" i="3"/>
  <c r="AD1034" i="3"/>
  <c r="AC1034" i="3"/>
  <c r="AG1033" i="3"/>
  <c r="AE1033" i="3"/>
  <c r="AF1033" i="3" s="1"/>
  <c r="AC1033" i="3"/>
  <c r="AD1033" i="3" s="1"/>
  <c r="AF1032" i="3"/>
  <c r="AE1032" i="3"/>
  <c r="AD1032" i="3"/>
  <c r="AC1032" i="3"/>
  <c r="AE1031" i="3"/>
  <c r="AF1031" i="3" s="1"/>
  <c r="AC1031" i="3"/>
  <c r="AD1031" i="3" s="1"/>
  <c r="AG1030" i="3"/>
  <c r="AF1030" i="3"/>
  <c r="AE1030" i="3"/>
  <c r="AD1030" i="3"/>
  <c r="AC1030" i="3"/>
  <c r="AE1029" i="3"/>
  <c r="AF1029" i="3" s="1"/>
  <c r="AD1029" i="3"/>
  <c r="AC1029" i="3"/>
  <c r="AG1028" i="3"/>
  <c r="AF1028" i="3"/>
  <c r="AE1028" i="3"/>
  <c r="AD1028" i="3"/>
  <c r="AC1028" i="3"/>
  <c r="AE1027" i="3"/>
  <c r="AF1027" i="3" s="1"/>
  <c r="AD1027" i="3"/>
  <c r="AC1027" i="3"/>
  <c r="AF1026" i="3"/>
  <c r="AE1026" i="3"/>
  <c r="AD1026" i="3"/>
  <c r="AC1026" i="3"/>
  <c r="AF1025" i="3"/>
  <c r="AE1025" i="3"/>
  <c r="AC1025" i="3"/>
  <c r="AD1025" i="3" s="1"/>
  <c r="AF1024" i="3"/>
  <c r="AE1024" i="3"/>
  <c r="AD1024" i="3"/>
  <c r="AC1024" i="3"/>
  <c r="AV1023" i="3"/>
  <c r="AU1023" i="3"/>
  <c r="AT1023" i="3"/>
  <c r="AS1023" i="3"/>
  <c r="AR1023" i="3"/>
  <c r="AQ1023" i="3"/>
  <c r="AP1023" i="3"/>
  <c r="AO1023" i="3"/>
  <c r="AN1023" i="3"/>
  <c r="AM1023" i="3"/>
  <c r="AL1023" i="3"/>
  <c r="AK1023" i="3"/>
  <c r="AJ1023" i="3"/>
  <c r="AI1023" i="3"/>
  <c r="AH1023" i="3"/>
  <c r="AG1023" i="3"/>
  <c r="AF1023" i="3"/>
  <c r="AE1023" i="3"/>
  <c r="AD1023" i="3"/>
  <c r="AC1023" i="3"/>
  <c r="AG1022" i="3"/>
  <c r="AE1022" i="3"/>
  <c r="AF1022" i="3" s="1"/>
  <c r="AD1022" i="3"/>
  <c r="AC1022" i="3"/>
  <c r="AV1021" i="3"/>
  <c r="AU1021" i="3"/>
  <c r="AT1021" i="3"/>
  <c r="AS1021" i="3"/>
  <c r="AR1021" i="3"/>
  <c r="AQ1021" i="3"/>
  <c r="AP1021" i="3"/>
  <c r="AO1021" i="3"/>
  <c r="AN1021" i="3"/>
  <c r="AM1021" i="3"/>
  <c r="AL1021" i="3"/>
  <c r="AK1021" i="3"/>
  <c r="AJ1021" i="3"/>
  <c r="AI1021" i="3"/>
  <c r="AH1021" i="3"/>
  <c r="AG1021" i="3"/>
  <c r="AF1021" i="3"/>
  <c r="AE1021" i="3"/>
  <c r="AD1021" i="3"/>
  <c r="AC1021" i="3"/>
  <c r="AH1020" i="3"/>
  <c r="AG1020" i="3"/>
  <c r="AF1020" i="3"/>
  <c r="AE1020" i="3"/>
  <c r="AD1020" i="3"/>
  <c r="AC1020" i="3"/>
  <c r="AV1019" i="3"/>
  <c r="AU1019" i="3"/>
  <c r="AT1019" i="3"/>
  <c r="AS1019" i="3"/>
  <c r="AR1019" i="3"/>
  <c r="AQ1019" i="3"/>
  <c r="AP1019" i="3"/>
  <c r="AO1019" i="3"/>
  <c r="AN1019" i="3"/>
  <c r="AM1019" i="3"/>
  <c r="AL1019" i="3"/>
  <c r="AK1019" i="3"/>
  <c r="AJ1019" i="3"/>
  <c r="AI1019" i="3"/>
  <c r="AH1019" i="3"/>
  <c r="AG1019" i="3"/>
  <c r="AF1019" i="3"/>
  <c r="AE1019" i="3"/>
  <c r="AC1019" i="3"/>
  <c r="AD1019" i="3" s="1"/>
  <c r="AF1018" i="3"/>
  <c r="AE1018" i="3"/>
  <c r="AC1018" i="3"/>
  <c r="AD1018" i="3" s="1"/>
  <c r="AV1017" i="3"/>
  <c r="AU1017" i="3"/>
  <c r="AT1017" i="3"/>
  <c r="AS1017" i="3"/>
  <c r="AR1017" i="3"/>
  <c r="AQ1017" i="3"/>
  <c r="AP1017" i="3"/>
  <c r="AO1017" i="3"/>
  <c r="AN1017" i="3"/>
  <c r="AM1017" i="3"/>
  <c r="AL1017" i="3"/>
  <c r="AK1017" i="3"/>
  <c r="AJ1017" i="3"/>
  <c r="AI1017" i="3"/>
  <c r="AH1017" i="3"/>
  <c r="AG1017" i="3"/>
  <c r="AF1017" i="3"/>
  <c r="AE1017" i="3"/>
  <c r="AD1017" i="3"/>
  <c r="AC1017" i="3"/>
  <c r="AE1016" i="3"/>
  <c r="AF1016" i="3" s="1"/>
  <c r="AC1016" i="3"/>
  <c r="AD1016" i="3" s="1"/>
  <c r="AV1015" i="3"/>
  <c r="AU1015" i="3"/>
  <c r="AT1015" i="3"/>
  <c r="AS1015" i="3"/>
  <c r="AR1015" i="3"/>
  <c r="AQ1015" i="3"/>
  <c r="AP1015" i="3"/>
  <c r="AO1015" i="3"/>
  <c r="AN1015" i="3"/>
  <c r="AM1015" i="3"/>
  <c r="AL1015" i="3"/>
  <c r="AK1015" i="3"/>
  <c r="AJ1015" i="3"/>
  <c r="AI1015" i="3"/>
  <c r="AH1015" i="3"/>
  <c r="AG1015" i="3"/>
  <c r="AE1015" i="3"/>
  <c r="AF1015" i="3" s="1"/>
  <c r="AC1015" i="3"/>
  <c r="AD1015" i="3" s="1"/>
  <c r="AG1014" i="3"/>
  <c r="AF1014" i="3"/>
  <c r="AE1014" i="3"/>
  <c r="AD1014" i="3"/>
  <c r="AC1014" i="3"/>
  <c r="AV1013" i="3"/>
  <c r="AU1013" i="3"/>
  <c r="AT1013" i="3"/>
  <c r="AS1013" i="3"/>
  <c r="AR1013" i="3"/>
  <c r="AQ1013" i="3"/>
  <c r="AP1013" i="3"/>
  <c r="AO1013" i="3"/>
  <c r="AN1013" i="3"/>
  <c r="AM1013" i="3"/>
  <c r="AL1013" i="3"/>
  <c r="AK1013" i="3"/>
  <c r="AJ1013" i="3"/>
  <c r="AI1013" i="3"/>
  <c r="AH1013" i="3"/>
  <c r="AG1013" i="3"/>
  <c r="AE1013" i="3"/>
  <c r="AF1013" i="3" s="1"/>
  <c r="AD1013" i="3"/>
  <c r="AC1013" i="3"/>
  <c r="AE1012" i="3"/>
  <c r="AF1012" i="3" s="1"/>
  <c r="AD1012" i="3"/>
  <c r="AC1012" i="3"/>
  <c r="AV1011" i="3"/>
  <c r="AU1011" i="3"/>
  <c r="AT1011" i="3"/>
  <c r="AS1011" i="3"/>
  <c r="AR1011" i="3"/>
  <c r="AQ1011" i="3"/>
  <c r="AP1011" i="3"/>
  <c r="AO1011" i="3"/>
  <c r="AN1011" i="3"/>
  <c r="AM1011" i="3"/>
  <c r="AL1011" i="3"/>
  <c r="AK1011" i="3"/>
  <c r="AJ1011" i="3"/>
  <c r="AI1011" i="3"/>
  <c r="AH1011" i="3"/>
  <c r="AG1011" i="3"/>
  <c r="AE1011" i="3"/>
  <c r="AF1011" i="3" s="1"/>
  <c r="AC1011" i="3"/>
  <c r="AD1011" i="3" s="1"/>
  <c r="AF1010" i="3"/>
  <c r="AE1010" i="3"/>
  <c r="AC1010" i="3"/>
  <c r="AD1010" i="3" s="1"/>
  <c r="AV1009" i="3"/>
  <c r="AU1009" i="3"/>
  <c r="AT1009" i="3"/>
  <c r="AS1009" i="3"/>
  <c r="AR1009" i="3"/>
  <c r="AQ1009" i="3"/>
  <c r="AP1009" i="3"/>
  <c r="AO1009" i="3"/>
  <c r="AN1009" i="3"/>
  <c r="AM1009" i="3"/>
  <c r="AL1009" i="3"/>
  <c r="AK1009" i="3"/>
  <c r="AJ1009" i="3"/>
  <c r="AI1009" i="3"/>
  <c r="AH1009" i="3"/>
  <c r="AG1009" i="3"/>
  <c r="AE1009" i="3"/>
  <c r="AF1009" i="3" s="1"/>
  <c r="AC1009" i="3"/>
  <c r="AD1009" i="3" s="1"/>
  <c r="AE1008" i="3"/>
  <c r="AD1008" i="3"/>
  <c r="AC1008" i="3"/>
  <c r="AV1007" i="3"/>
  <c r="AU1007" i="3"/>
  <c r="AT1007" i="3"/>
  <c r="AS1007" i="3"/>
  <c r="AR1007" i="3"/>
  <c r="AQ1007" i="3"/>
  <c r="AP1007" i="3"/>
  <c r="AO1007" i="3"/>
  <c r="AN1007" i="3"/>
  <c r="AM1007" i="3"/>
  <c r="AL1007" i="3"/>
  <c r="AK1007" i="3"/>
  <c r="AJ1007" i="3"/>
  <c r="AI1007" i="3"/>
  <c r="AH1007" i="3"/>
  <c r="AG1007" i="3"/>
  <c r="AF1007" i="3"/>
  <c r="AE1007" i="3"/>
  <c r="AC1007" i="3"/>
  <c r="AD1007" i="3" s="1"/>
  <c r="AF1006" i="3"/>
  <c r="AE1006" i="3"/>
  <c r="AD1006" i="3"/>
  <c r="AC1006" i="3"/>
  <c r="AV1005" i="3"/>
  <c r="AU1005" i="3"/>
  <c r="AT1005" i="3"/>
  <c r="AS1005" i="3"/>
  <c r="AR1005" i="3"/>
  <c r="AQ1005" i="3"/>
  <c r="AP1005" i="3"/>
  <c r="AO1005" i="3"/>
  <c r="AN1005" i="3"/>
  <c r="AM1005" i="3"/>
  <c r="AL1005" i="3"/>
  <c r="AK1005" i="3"/>
  <c r="AJ1005" i="3"/>
  <c r="AI1005" i="3"/>
  <c r="AH1005" i="3"/>
  <c r="AG1005" i="3"/>
  <c r="AW1005" i="3" s="1"/>
  <c r="AX1005" i="3" s="1"/>
  <c r="AF1005" i="3"/>
  <c r="AE1005" i="3"/>
  <c r="AD1005" i="3"/>
  <c r="AC1005" i="3"/>
  <c r="AF1004" i="3"/>
  <c r="AE1004" i="3"/>
  <c r="AC1004" i="3"/>
  <c r="AD1004" i="3" s="1"/>
  <c r="AV1003" i="3"/>
  <c r="AU1003" i="3"/>
  <c r="AT1003" i="3"/>
  <c r="AS1003" i="3"/>
  <c r="AR1003" i="3"/>
  <c r="AQ1003" i="3"/>
  <c r="AP1003" i="3"/>
  <c r="AO1003" i="3"/>
  <c r="AN1003" i="3"/>
  <c r="AM1003" i="3"/>
  <c r="AL1003" i="3"/>
  <c r="AK1003" i="3"/>
  <c r="AJ1003" i="3"/>
  <c r="AI1003" i="3"/>
  <c r="AH1003" i="3"/>
  <c r="AG1003" i="3"/>
  <c r="AE1003" i="3"/>
  <c r="AF1003" i="3" s="1"/>
  <c r="AC1003" i="3"/>
  <c r="AD1003" i="3" s="1"/>
  <c r="AF1002" i="3"/>
  <c r="AE1002" i="3"/>
  <c r="AC1002" i="3"/>
  <c r="AD1002" i="3" s="1"/>
  <c r="AV1001" i="3"/>
  <c r="AU1001" i="3"/>
  <c r="AT1001" i="3"/>
  <c r="AS1001" i="3"/>
  <c r="AR1001" i="3"/>
  <c r="AQ1001" i="3"/>
  <c r="AP1001" i="3"/>
  <c r="AO1001" i="3"/>
  <c r="AN1001" i="3"/>
  <c r="AM1001" i="3"/>
  <c r="AL1001" i="3"/>
  <c r="AK1001" i="3"/>
  <c r="AJ1001" i="3"/>
  <c r="AI1001" i="3"/>
  <c r="AH1001" i="3"/>
  <c r="AG1001" i="3"/>
  <c r="AF1001" i="3"/>
  <c r="AE1001" i="3"/>
  <c r="AC1001" i="3"/>
  <c r="AD1001" i="3" s="1"/>
  <c r="AF1000" i="3"/>
  <c r="AE1000" i="3"/>
  <c r="AD1000" i="3"/>
  <c r="AC1000" i="3"/>
  <c r="AV999" i="3"/>
  <c r="AU999" i="3"/>
  <c r="AT999" i="3"/>
  <c r="AS999" i="3"/>
  <c r="AR999" i="3"/>
  <c r="AQ999" i="3"/>
  <c r="AP999" i="3"/>
  <c r="AO999" i="3"/>
  <c r="AN999" i="3"/>
  <c r="AM999" i="3"/>
  <c r="AL999" i="3"/>
  <c r="AK999" i="3"/>
  <c r="AJ999" i="3"/>
  <c r="AI999" i="3"/>
  <c r="AH999" i="3"/>
  <c r="AG999" i="3"/>
  <c r="AE999" i="3"/>
  <c r="AF999" i="3" s="1"/>
  <c r="AC999" i="3"/>
  <c r="AD999" i="3" s="1"/>
  <c r="AE998" i="3"/>
  <c r="AF998" i="3" s="1"/>
  <c r="AC998" i="3"/>
  <c r="AD998" i="3" s="1"/>
  <c r="AV997" i="3"/>
  <c r="AU997" i="3"/>
  <c r="AT997" i="3"/>
  <c r="AS997" i="3"/>
  <c r="AR997" i="3"/>
  <c r="AQ997" i="3"/>
  <c r="AP997" i="3"/>
  <c r="AO997" i="3"/>
  <c r="AN997" i="3"/>
  <c r="AM997" i="3"/>
  <c r="AL997" i="3"/>
  <c r="AK997" i="3"/>
  <c r="AJ997" i="3"/>
  <c r="AI997" i="3"/>
  <c r="AH997" i="3"/>
  <c r="AG997" i="3"/>
  <c r="AE997" i="3"/>
  <c r="AF997" i="3" s="1"/>
  <c r="AD997" i="3"/>
  <c r="AC997" i="3"/>
  <c r="AG996" i="3"/>
  <c r="AF996" i="3"/>
  <c r="AE996" i="3"/>
  <c r="AD996" i="3"/>
  <c r="AC996" i="3"/>
  <c r="AV995" i="3"/>
  <c r="AU995" i="3"/>
  <c r="AT995" i="3"/>
  <c r="AS995" i="3"/>
  <c r="AR995" i="3"/>
  <c r="AQ995" i="3"/>
  <c r="AP995" i="3"/>
  <c r="AO995" i="3"/>
  <c r="AN995" i="3"/>
  <c r="AM995" i="3"/>
  <c r="AL995" i="3"/>
  <c r="AK995" i="3"/>
  <c r="AJ995" i="3"/>
  <c r="AI995" i="3"/>
  <c r="AH995" i="3"/>
  <c r="AG995" i="3"/>
  <c r="AF995" i="3"/>
  <c r="AE995" i="3"/>
  <c r="AD995" i="3"/>
  <c r="AC995" i="3"/>
  <c r="AF994" i="3"/>
  <c r="AE994" i="3"/>
  <c r="AC994" i="3"/>
  <c r="AD994" i="3" s="1"/>
  <c r="AV993" i="3"/>
  <c r="AU993" i="3"/>
  <c r="AT993" i="3"/>
  <c r="AS993" i="3"/>
  <c r="AR993" i="3"/>
  <c r="AQ993" i="3"/>
  <c r="AP993" i="3"/>
  <c r="AO993" i="3"/>
  <c r="AN993" i="3"/>
  <c r="AM993" i="3"/>
  <c r="AL993" i="3"/>
  <c r="AK993" i="3"/>
  <c r="AJ993" i="3"/>
  <c r="AI993" i="3"/>
  <c r="AH993" i="3"/>
  <c r="AG993" i="3"/>
  <c r="AE993" i="3"/>
  <c r="AF993" i="3" s="1"/>
  <c r="AD993" i="3"/>
  <c r="AC993" i="3"/>
  <c r="AG992" i="3"/>
  <c r="AF992" i="3"/>
  <c r="AE992" i="3"/>
  <c r="AD992" i="3"/>
  <c r="AC992" i="3"/>
  <c r="AF991" i="3"/>
  <c r="AE991" i="3"/>
  <c r="AD991" i="3"/>
  <c r="AC991" i="3"/>
  <c r="AG990" i="3"/>
  <c r="AE990" i="3"/>
  <c r="AC990" i="3"/>
  <c r="AD990" i="3" s="1"/>
  <c r="AE989" i="3"/>
  <c r="AF989" i="3" s="1"/>
  <c r="AD989" i="3"/>
  <c r="AC989" i="3"/>
  <c r="AE988" i="3"/>
  <c r="AC988" i="3"/>
  <c r="AD988" i="3" s="1"/>
  <c r="AG987" i="3"/>
  <c r="AF987" i="3"/>
  <c r="AE987" i="3"/>
  <c r="AD987" i="3"/>
  <c r="AC987" i="3"/>
  <c r="AE986" i="3"/>
  <c r="AD986" i="3"/>
  <c r="AC986" i="3"/>
  <c r="AE985" i="3"/>
  <c r="AF985" i="3" s="1"/>
  <c r="AD985" i="3"/>
  <c r="AC985" i="3"/>
  <c r="AH984" i="3"/>
  <c r="AG984" i="3"/>
  <c r="AE984" i="3"/>
  <c r="AC984" i="3"/>
  <c r="AD984" i="3" s="1"/>
  <c r="AE983" i="3"/>
  <c r="AF983" i="3" s="1"/>
  <c r="AD983" i="3"/>
  <c r="AC983" i="3"/>
  <c r="AE982" i="3"/>
  <c r="AD982" i="3"/>
  <c r="AC982" i="3"/>
  <c r="AG981" i="3"/>
  <c r="AE981" i="3"/>
  <c r="AF981" i="3" s="1"/>
  <c r="AD981" i="3"/>
  <c r="AC981" i="3"/>
  <c r="AH980" i="3"/>
  <c r="AG980" i="3"/>
  <c r="AF980" i="3"/>
  <c r="AE980" i="3"/>
  <c r="AC980" i="3"/>
  <c r="AD980" i="3" s="1"/>
  <c r="AE979" i="3"/>
  <c r="AF979" i="3" s="1"/>
  <c r="AC979" i="3"/>
  <c r="AD979" i="3" s="1"/>
  <c r="AG978" i="3"/>
  <c r="AF978" i="3"/>
  <c r="AE978" i="3"/>
  <c r="AD978" i="3"/>
  <c r="AC978" i="3"/>
  <c r="AG977" i="3"/>
  <c r="AE977" i="3"/>
  <c r="AC977" i="3"/>
  <c r="AD977" i="3" s="1"/>
  <c r="AG976" i="3"/>
  <c r="AE976" i="3"/>
  <c r="AD976" i="3"/>
  <c r="AC976" i="3"/>
  <c r="AE975" i="3"/>
  <c r="AC975" i="3"/>
  <c r="AD975" i="3" s="1"/>
  <c r="AG974" i="3"/>
  <c r="AE974" i="3"/>
  <c r="AD974" i="3"/>
  <c r="AC974" i="3"/>
  <c r="AF973" i="3"/>
  <c r="AE973" i="3"/>
  <c r="AG973" i="3" s="1"/>
  <c r="AD973" i="3"/>
  <c r="AC973" i="3"/>
  <c r="AE972" i="3"/>
  <c r="AF972" i="3" s="1"/>
  <c r="AC972" i="3"/>
  <c r="AD972" i="3" s="1"/>
  <c r="AE971" i="3"/>
  <c r="AC971" i="3"/>
  <c r="AD971" i="3" s="1"/>
  <c r="AF970" i="3"/>
  <c r="AE970" i="3"/>
  <c r="AD970" i="3"/>
  <c r="AC970" i="3"/>
  <c r="AF969" i="3"/>
  <c r="AE969" i="3"/>
  <c r="AC969" i="3"/>
  <c r="AD969" i="3" s="1"/>
  <c r="AE968" i="3"/>
  <c r="AC968" i="3"/>
  <c r="AD968" i="3" s="1"/>
  <c r="AE967" i="3"/>
  <c r="AF967" i="3" s="1"/>
  <c r="AD967" i="3"/>
  <c r="AC967" i="3"/>
  <c r="AE966" i="3"/>
  <c r="AC966" i="3"/>
  <c r="AD966" i="3" s="1"/>
  <c r="AE965" i="3"/>
  <c r="AC965" i="3"/>
  <c r="AD965" i="3" s="1"/>
  <c r="AE964" i="3"/>
  <c r="AD964" i="3"/>
  <c r="AC964" i="3"/>
  <c r="AE963" i="3"/>
  <c r="AC963" i="3"/>
  <c r="AD963" i="3" s="1"/>
  <c r="AF962" i="3"/>
  <c r="AE962" i="3"/>
  <c r="AD962" i="3"/>
  <c r="AC962" i="3"/>
  <c r="AF961" i="3"/>
  <c r="AE961" i="3"/>
  <c r="AD961" i="3"/>
  <c r="AC961" i="3"/>
  <c r="AE960" i="3"/>
  <c r="AD960" i="3"/>
  <c r="AC960" i="3"/>
  <c r="AE959" i="3"/>
  <c r="AD959" i="3"/>
  <c r="AC959" i="3"/>
  <c r="AF958" i="3"/>
  <c r="AE958" i="3"/>
  <c r="AD958" i="3"/>
  <c r="AC958" i="3"/>
  <c r="AE957" i="3"/>
  <c r="AD957" i="3"/>
  <c r="AC957" i="3"/>
  <c r="AG956" i="3"/>
  <c r="AF956" i="3"/>
  <c r="AE956" i="3"/>
  <c r="AC956" i="3"/>
  <c r="AD956" i="3" s="1"/>
  <c r="AE955" i="3"/>
  <c r="AC955" i="3"/>
  <c r="AD955" i="3" s="1"/>
  <c r="AE954" i="3"/>
  <c r="AD954" i="3"/>
  <c r="AC954" i="3"/>
  <c r="AE953" i="3"/>
  <c r="AC953" i="3"/>
  <c r="AD953" i="3" s="1"/>
  <c r="AE952" i="3"/>
  <c r="AC952" i="3"/>
  <c r="AD952" i="3" s="1"/>
  <c r="AG951" i="3"/>
  <c r="AF951" i="3"/>
  <c r="AE951" i="3"/>
  <c r="AC951" i="3"/>
  <c r="AD951" i="3" s="1"/>
  <c r="AE950" i="3"/>
  <c r="AD950" i="3"/>
  <c r="AC950" i="3"/>
  <c r="AG949" i="3"/>
  <c r="AE949" i="3"/>
  <c r="AD949" i="3"/>
  <c r="AC949" i="3"/>
  <c r="AE948" i="3"/>
  <c r="AD948" i="3"/>
  <c r="AC948" i="3"/>
  <c r="AH947" i="3"/>
  <c r="AG947" i="3"/>
  <c r="AF947" i="3"/>
  <c r="AE947" i="3"/>
  <c r="AC947" i="3"/>
  <c r="AD947" i="3" s="1"/>
  <c r="AE946" i="3"/>
  <c r="AD946" i="3"/>
  <c r="AC946" i="3"/>
  <c r="AE945" i="3"/>
  <c r="AD945" i="3"/>
  <c r="AC945" i="3"/>
  <c r="AE944" i="3"/>
  <c r="AC944" i="3"/>
  <c r="AD944" i="3" s="1"/>
  <c r="AE943" i="3"/>
  <c r="AF943" i="3" s="1"/>
  <c r="AD943" i="3"/>
  <c r="AC943" i="3"/>
  <c r="AI942" i="3"/>
  <c r="AH942" i="3"/>
  <c r="AG942" i="3"/>
  <c r="AF942" i="3"/>
  <c r="AE942" i="3"/>
  <c r="AC942" i="3"/>
  <c r="AD942" i="3" s="1"/>
  <c r="AE941" i="3"/>
  <c r="AD941" i="3"/>
  <c r="AC941" i="3"/>
  <c r="AE940" i="3"/>
  <c r="AC940" i="3"/>
  <c r="AD940" i="3" s="1"/>
  <c r="AF939" i="3"/>
  <c r="AE939" i="3"/>
  <c r="AC939" i="3"/>
  <c r="AD939" i="3" s="1"/>
  <c r="AE938" i="3"/>
  <c r="AF938" i="3" s="1"/>
  <c r="AD938" i="3"/>
  <c r="AC938" i="3"/>
  <c r="AE937" i="3"/>
  <c r="AC937" i="3"/>
  <c r="AD937" i="3" s="1"/>
  <c r="AG936" i="3"/>
  <c r="AE936" i="3"/>
  <c r="AC936" i="3"/>
  <c r="AD936" i="3" s="1"/>
  <c r="AE935" i="3"/>
  <c r="AF935" i="3" s="1"/>
  <c r="AD935" i="3"/>
  <c r="AC935" i="3"/>
  <c r="AE934" i="3"/>
  <c r="AC934" i="3"/>
  <c r="AD934" i="3" s="1"/>
  <c r="AE933" i="3"/>
  <c r="AC933" i="3"/>
  <c r="AD933" i="3" s="1"/>
  <c r="AH932" i="3"/>
  <c r="AG932" i="3"/>
  <c r="AE932" i="3"/>
  <c r="AF932" i="3" s="1"/>
  <c r="AD932" i="3"/>
  <c r="AC932" i="3"/>
  <c r="AG931" i="3"/>
  <c r="AF931" i="3"/>
  <c r="AE931" i="3"/>
  <c r="AC931" i="3"/>
  <c r="AD931" i="3" s="1"/>
  <c r="AG930" i="3"/>
  <c r="AE930" i="3"/>
  <c r="AF930" i="3" s="1"/>
  <c r="AC930" i="3"/>
  <c r="AD930" i="3" s="1"/>
  <c r="AE929" i="3"/>
  <c r="AF929" i="3" s="1"/>
  <c r="AC929" i="3"/>
  <c r="AD929" i="3" s="1"/>
  <c r="AG928" i="3"/>
  <c r="AH928" i="3" s="1"/>
  <c r="AE928" i="3"/>
  <c r="AD928" i="3"/>
  <c r="AC928" i="3"/>
  <c r="AE927" i="3"/>
  <c r="AF927" i="3" s="1"/>
  <c r="AC927" i="3"/>
  <c r="AD927" i="3" s="1"/>
  <c r="AE926" i="3"/>
  <c r="AD926" i="3"/>
  <c r="AC926" i="3"/>
  <c r="AE925" i="3"/>
  <c r="AC925" i="3"/>
  <c r="AD925" i="3" s="1"/>
  <c r="AF924" i="3"/>
  <c r="AE924" i="3"/>
  <c r="AD924" i="3"/>
  <c r="AC924" i="3"/>
  <c r="AF923" i="3"/>
  <c r="AE923" i="3"/>
  <c r="AC923" i="3"/>
  <c r="AD923" i="3" s="1"/>
  <c r="AE922" i="3"/>
  <c r="AC922" i="3"/>
  <c r="AD922" i="3" s="1"/>
  <c r="AG921" i="3"/>
  <c r="AE921" i="3"/>
  <c r="AF921" i="3" s="1"/>
  <c r="AD921" i="3"/>
  <c r="AC921" i="3"/>
  <c r="AE920" i="3"/>
  <c r="AF920" i="3" s="1"/>
  <c r="AC920" i="3"/>
  <c r="AD920" i="3" s="1"/>
  <c r="AE919" i="3"/>
  <c r="AF919" i="3" s="1"/>
  <c r="AD919" i="3"/>
  <c r="AC919" i="3"/>
  <c r="AF918" i="3"/>
  <c r="AE918" i="3"/>
  <c r="AC918" i="3"/>
  <c r="AD918" i="3" s="1"/>
  <c r="AE917" i="3"/>
  <c r="AD917" i="3"/>
  <c r="AC917" i="3"/>
  <c r="AH916" i="3"/>
  <c r="AG916" i="3"/>
  <c r="AF916" i="3"/>
  <c r="AE916" i="3"/>
  <c r="AD916" i="3"/>
  <c r="AC916" i="3"/>
  <c r="AE915" i="3"/>
  <c r="AD915" i="3"/>
  <c r="AC915" i="3"/>
  <c r="AF914" i="3"/>
  <c r="AE914" i="3"/>
  <c r="AC914" i="3"/>
  <c r="AD914" i="3" s="1"/>
  <c r="AE913" i="3"/>
  <c r="AC913" i="3"/>
  <c r="AD913" i="3" s="1"/>
  <c r="AE912" i="3"/>
  <c r="AC912" i="3"/>
  <c r="AD912" i="3" s="1"/>
  <c r="AE911" i="3"/>
  <c r="AF911" i="3" s="1"/>
  <c r="AD911" i="3"/>
  <c r="AC911" i="3"/>
  <c r="AF910" i="3"/>
  <c r="AE910" i="3"/>
  <c r="AC910" i="3"/>
  <c r="AD910" i="3" s="1"/>
  <c r="AE909" i="3"/>
  <c r="AD909" i="3"/>
  <c r="AC909" i="3"/>
  <c r="AG908" i="3"/>
  <c r="AF908" i="3"/>
  <c r="AE908" i="3"/>
  <c r="AC908" i="3"/>
  <c r="AD908" i="3" s="1"/>
  <c r="AF907" i="3"/>
  <c r="AE907" i="3"/>
  <c r="AG907" i="3" s="1"/>
  <c r="AD907" i="3"/>
  <c r="AC907" i="3"/>
  <c r="AF906" i="3"/>
  <c r="AE906" i="3"/>
  <c r="AD906" i="3"/>
  <c r="AC906" i="3"/>
  <c r="AE905" i="3"/>
  <c r="AC905" i="3"/>
  <c r="AD905" i="3" s="1"/>
  <c r="AG904" i="3"/>
  <c r="AF904" i="3"/>
  <c r="AE904" i="3"/>
  <c r="AC904" i="3"/>
  <c r="AD904" i="3" s="1"/>
  <c r="AE903" i="3"/>
  <c r="AC903" i="3"/>
  <c r="AD903" i="3" s="1"/>
  <c r="AF902" i="3"/>
  <c r="AE902" i="3"/>
  <c r="AD902" i="3"/>
  <c r="AC902" i="3"/>
  <c r="AE901" i="3"/>
  <c r="AD901" i="3"/>
  <c r="AC901" i="3"/>
  <c r="AE900" i="3"/>
  <c r="AC900" i="3"/>
  <c r="AD900" i="3" s="1"/>
  <c r="AE899" i="3"/>
  <c r="AD899" i="3"/>
  <c r="AC899" i="3"/>
  <c r="AE898" i="3"/>
  <c r="AC898" i="3"/>
  <c r="AD898" i="3" s="1"/>
  <c r="AI897" i="3"/>
  <c r="AH897" i="3"/>
  <c r="AG897" i="3"/>
  <c r="AF897" i="3"/>
  <c r="AE897" i="3"/>
  <c r="AD897" i="3"/>
  <c r="AC897" i="3"/>
  <c r="AE896" i="3"/>
  <c r="AF896" i="3" s="1"/>
  <c r="AD896" i="3"/>
  <c r="AC896" i="3"/>
  <c r="AE895" i="3"/>
  <c r="AC895" i="3"/>
  <c r="AD895" i="3" s="1"/>
  <c r="AE894" i="3"/>
  <c r="AC894" i="3"/>
  <c r="AD894" i="3" s="1"/>
  <c r="AE893" i="3"/>
  <c r="AD893" i="3"/>
  <c r="AC893" i="3"/>
  <c r="AG892" i="3"/>
  <c r="AF892" i="3"/>
  <c r="AE892" i="3"/>
  <c r="AD892" i="3"/>
  <c r="AC892" i="3"/>
  <c r="AF891" i="3"/>
  <c r="AE891" i="3"/>
  <c r="AC891" i="3"/>
  <c r="AD891" i="3" s="1"/>
  <c r="AE890" i="3"/>
  <c r="AC890" i="3"/>
  <c r="AD890" i="3" s="1"/>
  <c r="AE889" i="3"/>
  <c r="AF889" i="3" s="1"/>
  <c r="AD889" i="3"/>
  <c r="AC889" i="3"/>
  <c r="AE888" i="3"/>
  <c r="AC888" i="3"/>
  <c r="AD888" i="3" s="1"/>
  <c r="AE887" i="3"/>
  <c r="AF887" i="3" s="1"/>
  <c r="AC887" i="3"/>
  <c r="AD887" i="3" s="1"/>
  <c r="AE886" i="3"/>
  <c r="AC886" i="3"/>
  <c r="AD886" i="3" s="1"/>
  <c r="AG885" i="3"/>
  <c r="AF885" i="3"/>
  <c r="AE885" i="3"/>
  <c r="AD885" i="3"/>
  <c r="AC885" i="3"/>
  <c r="AH884" i="3"/>
  <c r="AG884" i="3"/>
  <c r="AE884" i="3"/>
  <c r="AF884" i="3" s="1"/>
  <c r="AC884" i="3"/>
  <c r="AD884" i="3" s="1"/>
  <c r="AF883" i="3"/>
  <c r="AE883" i="3"/>
  <c r="AD883" i="3"/>
  <c r="AC883" i="3"/>
  <c r="AE882" i="3"/>
  <c r="AC882" i="3"/>
  <c r="AD882" i="3" s="1"/>
  <c r="AG881" i="3"/>
  <c r="AE881" i="3"/>
  <c r="AD881" i="3"/>
  <c r="AC881" i="3"/>
  <c r="AE880" i="3"/>
  <c r="AD880" i="3"/>
  <c r="AC880" i="3"/>
  <c r="AE879" i="3"/>
  <c r="AD879" i="3"/>
  <c r="AC879" i="3"/>
  <c r="AE878" i="3"/>
  <c r="AC878" i="3"/>
  <c r="AD878" i="3" s="1"/>
  <c r="AE877" i="3"/>
  <c r="AD877" i="3"/>
  <c r="AC877" i="3"/>
  <c r="AF876" i="3"/>
  <c r="AE876" i="3"/>
  <c r="AG876" i="3" s="1"/>
  <c r="AD876" i="3"/>
  <c r="AC876" i="3"/>
  <c r="AE875" i="3"/>
  <c r="AC875" i="3"/>
  <c r="AD875" i="3" s="1"/>
  <c r="AE874" i="3"/>
  <c r="AC874" i="3"/>
  <c r="AD874" i="3" s="1"/>
  <c r="AH873" i="3"/>
  <c r="AG873" i="3"/>
  <c r="AF873" i="3"/>
  <c r="AE873" i="3"/>
  <c r="AD873" i="3"/>
  <c r="AC873" i="3"/>
  <c r="AI872" i="3"/>
  <c r="AH872" i="3"/>
  <c r="AG872" i="3"/>
  <c r="AF872" i="3"/>
  <c r="AE872" i="3"/>
  <c r="AC872" i="3"/>
  <c r="AD872" i="3" s="1"/>
  <c r="AE871" i="3"/>
  <c r="AF871" i="3" s="1"/>
  <c r="AC871" i="3"/>
  <c r="AD871" i="3" s="1"/>
  <c r="AF870" i="3"/>
  <c r="AE870" i="3"/>
  <c r="AD870" i="3"/>
  <c r="AC870" i="3"/>
  <c r="AI869" i="3"/>
  <c r="AH869" i="3"/>
  <c r="AG869" i="3"/>
  <c r="AF869" i="3"/>
  <c r="AE869" i="3"/>
  <c r="AD869" i="3"/>
  <c r="AC869" i="3"/>
  <c r="AE868" i="3"/>
  <c r="AF868" i="3" s="1"/>
  <c r="AD868" i="3"/>
  <c r="AC868" i="3"/>
  <c r="AE867" i="3"/>
  <c r="AC867" i="3"/>
  <c r="AD867" i="3" s="1"/>
  <c r="AE866" i="3"/>
  <c r="AC866" i="3"/>
  <c r="AD866" i="3" s="1"/>
  <c r="AE865" i="3"/>
  <c r="AD865" i="3"/>
  <c r="AC865" i="3"/>
  <c r="AE864" i="3"/>
  <c r="AF864" i="3" s="1"/>
  <c r="AD864" i="3"/>
  <c r="AC864" i="3"/>
  <c r="AE863" i="3"/>
  <c r="AF863" i="3" s="1"/>
  <c r="AD863" i="3"/>
  <c r="AC863" i="3"/>
  <c r="AE862" i="3"/>
  <c r="AC862" i="3"/>
  <c r="AD862" i="3" s="1"/>
  <c r="AE861" i="3"/>
  <c r="AD861" i="3"/>
  <c r="AC861" i="3"/>
  <c r="AF860" i="3"/>
  <c r="AE860" i="3"/>
  <c r="AD860" i="3"/>
  <c r="AC860" i="3"/>
  <c r="AG859" i="3"/>
  <c r="AF859" i="3"/>
  <c r="AE859" i="3"/>
  <c r="AC859" i="3"/>
  <c r="AD859" i="3" s="1"/>
  <c r="AE858" i="3"/>
  <c r="AC858" i="3"/>
  <c r="AD858" i="3" s="1"/>
  <c r="AE857" i="3"/>
  <c r="AD857" i="3"/>
  <c r="AC857" i="3"/>
  <c r="AE856" i="3"/>
  <c r="AF856" i="3" s="1"/>
  <c r="AD856" i="3"/>
  <c r="AC856" i="3"/>
  <c r="AE855" i="3"/>
  <c r="AC855" i="3"/>
  <c r="AD855" i="3" s="1"/>
  <c r="AH854" i="3"/>
  <c r="AG854" i="3"/>
  <c r="AF854" i="3"/>
  <c r="AE854" i="3"/>
  <c r="AC854" i="3"/>
  <c r="AD854" i="3" s="1"/>
  <c r="AG853" i="3"/>
  <c r="AF853" i="3"/>
  <c r="AE853" i="3"/>
  <c r="AD853" i="3"/>
  <c r="AC853" i="3"/>
  <c r="AE852" i="3"/>
  <c r="AC852" i="3"/>
  <c r="AD852" i="3" s="1"/>
  <c r="AE851" i="3"/>
  <c r="AC851" i="3"/>
  <c r="AD851" i="3" s="1"/>
  <c r="AG850" i="3"/>
  <c r="AF850" i="3"/>
  <c r="AE850" i="3"/>
  <c r="AC850" i="3"/>
  <c r="AD850" i="3" s="1"/>
  <c r="AH849" i="3"/>
  <c r="AG849" i="3"/>
  <c r="AF849" i="3"/>
  <c r="AE849" i="3"/>
  <c r="AC849" i="3"/>
  <c r="AD849" i="3" s="1"/>
  <c r="AE848" i="3"/>
  <c r="AF848" i="3" s="1"/>
  <c r="AD848" i="3"/>
  <c r="AC848" i="3"/>
  <c r="AE847" i="3"/>
  <c r="AF847" i="3" s="1"/>
  <c r="AD847" i="3"/>
  <c r="AC847" i="3"/>
  <c r="AH846" i="3"/>
  <c r="AG846" i="3"/>
  <c r="AE846" i="3"/>
  <c r="AF846" i="3" s="1"/>
  <c r="AD846" i="3"/>
  <c r="AC846" i="3"/>
  <c r="AE845" i="3"/>
  <c r="AD845" i="3"/>
  <c r="AC845" i="3"/>
  <c r="AG844" i="3"/>
  <c r="AH844" i="3" s="1"/>
  <c r="AE844" i="3"/>
  <c r="AC844" i="3"/>
  <c r="AD844" i="3" s="1"/>
  <c r="AJ843" i="3"/>
  <c r="AI843" i="3"/>
  <c r="AH843" i="3"/>
  <c r="AG843" i="3"/>
  <c r="AF843" i="3"/>
  <c r="AE843" i="3"/>
  <c r="AD843" i="3"/>
  <c r="AC843" i="3"/>
  <c r="AE842" i="3"/>
  <c r="AD842" i="3"/>
  <c r="AC842" i="3"/>
  <c r="AE841" i="3"/>
  <c r="AF841" i="3" s="1"/>
  <c r="AD841" i="3"/>
  <c r="AC841" i="3"/>
  <c r="AH840" i="3"/>
  <c r="AI840" i="3" s="1"/>
  <c r="AG840" i="3"/>
  <c r="AF840" i="3"/>
  <c r="AE840" i="3"/>
  <c r="AD840" i="3"/>
  <c r="AC840" i="3"/>
  <c r="AE839" i="3"/>
  <c r="AC839" i="3"/>
  <c r="AD839" i="3" s="1"/>
  <c r="AE838" i="3"/>
  <c r="AF838" i="3" s="1"/>
  <c r="AD838" i="3"/>
  <c r="AC838" i="3"/>
  <c r="AE837" i="3"/>
  <c r="AD837" i="3"/>
  <c r="AC837" i="3"/>
  <c r="AH836" i="3"/>
  <c r="AG836" i="3"/>
  <c r="AF836" i="3"/>
  <c r="AE836" i="3"/>
  <c r="AC836" i="3"/>
  <c r="AD836" i="3" s="1"/>
  <c r="AG835" i="3"/>
  <c r="AE835" i="3"/>
  <c r="AC835" i="3"/>
  <c r="AD835" i="3" s="1"/>
  <c r="AE834" i="3"/>
  <c r="AC834" i="3"/>
  <c r="AD834" i="3" s="1"/>
  <c r="AE833" i="3"/>
  <c r="AD833" i="3"/>
  <c r="AC833" i="3"/>
  <c r="AE832" i="3"/>
  <c r="AF832" i="3" s="1"/>
  <c r="AD832" i="3"/>
  <c r="AC832" i="3"/>
  <c r="AE831" i="3"/>
  <c r="AF831" i="3" s="1"/>
  <c r="AD831" i="3"/>
  <c r="AC831" i="3"/>
  <c r="AE830" i="3"/>
  <c r="AC830" i="3"/>
  <c r="AD830" i="3" s="1"/>
  <c r="AE829" i="3"/>
  <c r="AD829" i="3"/>
  <c r="AC829" i="3"/>
  <c r="AE828" i="3"/>
  <c r="AF828" i="3" s="1"/>
  <c r="AD828" i="3"/>
  <c r="AC828" i="3"/>
  <c r="AG827" i="3"/>
  <c r="AE827" i="3"/>
  <c r="AC827" i="3"/>
  <c r="AD827" i="3" s="1"/>
  <c r="AF826" i="3"/>
  <c r="AE826" i="3"/>
  <c r="AC826" i="3"/>
  <c r="AD826" i="3" s="1"/>
  <c r="AE825" i="3"/>
  <c r="AD825" i="3"/>
  <c r="AC825" i="3"/>
  <c r="AE824" i="3"/>
  <c r="AF824" i="3" s="1"/>
  <c r="AD824" i="3"/>
  <c r="AC824" i="3"/>
  <c r="AE823" i="3"/>
  <c r="AF823" i="3" s="1"/>
  <c r="AD823" i="3"/>
  <c r="AC823" i="3"/>
  <c r="AF822" i="3"/>
  <c r="AE822" i="3"/>
  <c r="AC822" i="3"/>
  <c r="AD822" i="3" s="1"/>
  <c r="AG821" i="3"/>
  <c r="AF821" i="3"/>
  <c r="AE821" i="3"/>
  <c r="AD821" i="3"/>
  <c r="AC821" i="3"/>
  <c r="AE820" i="3"/>
  <c r="AC820" i="3"/>
  <c r="AD820" i="3" s="1"/>
  <c r="AE819" i="3"/>
  <c r="AD819" i="3"/>
  <c r="AC819" i="3"/>
  <c r="AI818" i="3"/>
  <c r="AH818" i="3"/>
  <c r="AG818" i="3"/>
  <c r="AF818" i="3"/>
  <c r="AE818" i="3"/>
  <c r="AD818" i="3"/>
  <c r="AC818" i="3"/>
  <c r="AH817" i="3"/>
  <c r="AG817" i="3"/>
  <c r="AF817" i="3"/>
  <c r="AE817" i="3"/>
  <c r="AD817" i="3"/>
  <c r="AC817" i="3"/>
  <c r="AG816" i="3"/>
  <c r="AE816" i="3"/>
  <c r="AF816" i="3" s="1"/>
  <c r="AD816" i="3"/>
  <c r="AC816" i="3"/>
  <c r="AE815" i="3"/>
  <c r="AD815" i="3"/>
  <c r="AC815" i="3"/>
  <c r="AE814" i="3"/>
  <c r="AF814" i="3" s="1"/>
  <c r="AC814" i="3"/>
  <c r="AD814" i="3" s="1"/>
  <c r="AE813" i="3"/>
  <c r="AD813" i="3"/>
  <c r="AC813" i="3"/>
  <c r="AE812" i="3"/>
  <c r="AD812" i="3"/>
  <c r="AC812" i="3"/>
  <c r="AE811" i="3"/>
  <c r="AC811" i="3"/>
  <c r="AD811" i="3" s="1"/>
  <c r="AG810" i="3"/>
  <c r="AF810" i="3"/>
  <c r="AE810" i="3"/>
  <c r="AD810" i="3"/>
  <c r="AC810" i="3"/>
  <c r="AE809" i="3"/>
  <c r="AC809" i="3"/>
  <c r="AD809" i="3" s="1"/>
  <c r="AE808" i="3"/>
  <c r="AC808" i="3"/>
  <c r="AD808" i="3" s="1"/>
  <c r="AE807" i="3"/>
  <c r="AD807" i="3"/>
  <c r="AC807" i="3"/>
  <c r="AE806" i="3"/>
  <c r="AF806" i="3" s="1"/>
  <c r="AC806" i="3"/>
  <c r="AD806" i="3" s="1"/>
  <c r="AI805" i="3"/>
  <c r="AH805" i="3"/>
  <c r="AG805" i="3"/>
  <c r="AE805" i="3"/>
  <c r="AF805" i="3" s="1"/>
  <c r="AD805" i="3"/>
  <c r="AC805" i="3"/>
  <c r="AH804" i="3"/>
  <c r="AG804" i="3"/>
  <c r="AF804" i="3"/>
  <c r="AE804" i="3"/>
  <c r="AC804" i="3"/>
  <c r="AD804" i="3" s="1"/>
  <c r="AG803" i="3"/>
  <c r="AF803" i="3"/>
  <c r="AE803" i="3"/>
  <c r="AC803" i="3"/>
  <c r="AD803" i="3" s="1"/>
  <c r="AG802" i="3"/>
  <c r="AE802" i="3"/>
  <c r="AC802" i="3"/>
  <c r="AD802" i="3" s="1"/>
  <c r="AF801" i="3"/>
  <c r="AE801" i="3"/>
  <c r="AC801" i="3"/>
  <c r="AD801" i="3" s="1"/>
  <c r="AE800" i="3"/>
  <c r="AG800" i="3" s="1"/>
  <c r="AC800" i="3"/>
  <c r="AD800" i="3" s="1"/>
  <c r="AE799" i="3"/>
  <c r="AC799" i="3"/>
  <c r="AD799" i="3" s="1"/>
  <c r="AF798" i="3"/>
  <c r="AE798" i="3"/>
  <c r="AC798" i="3"/>
  <c r="AD798" i="3" s="1"/>
  <c r="AE797" i="3"/>
  <c r="AD797" i="3"/>
  <c r="AC797" i="3"/>
  <c r="AE796" i="3"/>
  <c r="AC796" i="3"/>
  <c r="AD796" i="3" s="1"/>
  <c r="AE795" i="3"/>
  <c r="AD795" i="3"/>
  <c r="AC795" i="3"/>
  <c r="AF794" i="3"/>
  <c r="AE794" i="3"/>
  <c r="AC794" i="3"/>
  <c r="AD794" i="3" s="1"/>
  <c r="AH793" i="3"/>
  <c r="AG793" i="3"/>
  <c r="AE793" i="3"/>
  <c r="AF793" i="3" s="1"/>
  <c r="AC793" i="3"/>
  <c r="AD793" i="3" s="1"/>
  <c r="AF792" i="3"/>
  <c r="AE792" i="3"/>
  <c r="AC792" i="3"/>
  <c r="AD792" i="3" s="1"/>
  <c r="AE791" i="3"/>
  <c r="AF791" i="3" s="1"/>
  <c r="AC791" i="3"/>
  <c r="AD791" i="3" s="1"/>
  <c r="AF790" i="3"/>
  <c r="AE790" i="3"/>
  <c r="AG790" i="3" s="1"/>
  <c r="AC790" i="3"/>
  <c r="AD790" i="3" s="1"/>
  <c r="AG789" i="3"/>
  <c r="AE789" i="3"/>
  <c r="AF789" i="3" s="1"/>
  <c r="AD789" i="3"/>
  <c r="AC789" i="3"/>
  <c r="AF788" i="3"/>
  <c r="AE788" i="3"/>
  <c r="AD788" i="3"/>
  <c r="AC788" i="3"/>
  <c r="AG787" i="3"/>
  <c r="AF787" i="3"/>
  <c r="AE787" i="3"/>
  <c r="AD787" i="3"/>
  <c r="AC787" i="3"/>
  <c r="AF786" i="3"/>
  <c r="AE786" i="3"/>
  <c r="AC786" i="3"/>
  <c r="AD786" i="3" s="1"/>
  <c r="AF785" i="3"/>
  <c r="AE785" i="3"/>
  <c r="AC785" i="3"/>
  <c r="AD785" i="3" s="1"/>
  <c r="AE784" i="3"/>
  <c r="AF784" i="3" s="1"/>
  <c r="AC784" i="3"/>
  <c r="AD784" i="3" s="1"/>
  <c r="AE783" i="3"/>
  <c r="AF783" i="3" s="1"/>
  <c r="AD783" i="3"/>
  <c r="AC783" i="3"/>
  <c r="AE782" i="3"/>
  <c r="AF782" i="3" s="1"/>
  <c r="AC782" i="3"/>
  <c r="AD782" i="3" s="1"/>
  <c r="AE781" i="3"/>
  <c r="AF781" i="3" s="1"/>
  <c r="AD781" i="3"/>
  <c r="AC781" i="3"/>
  <c r="AG780" i="3"/>
  <c r="AF780" i="3"/>
  <c r="AE780" i="3"/>
  <c r="AC780" i="3"/>
  <c r="AD780" i="3" s="1"/>
  <c r="AF779" i="3"/>
  <c r="AE779" i="3"/>
  <c r="AD779" i="3"/>
  <c r="AC779" i="3"/>
  <c r="AG778" i="3"/>
  <c r="AF778" i="3"/>
  <c r="AE778" i="3"/>
  <c r="AD778" i="3"/>
  <c r="AC778" i="3"/>
  <c r="AI777" i="3"/>
  <c r="AH777" i="3"/>
  <c r="AG777" i="3"/>
  <c r="AE777" i="3"/>
  <c r="AF777" i="3" s="1"/>
  <c r="AC777" i="3"/>
  <c r="AD777" i="3" s="1"/>
  <c r="AE776" i="3"/>
  <c r="AF776" i="3" s="1"/>
  <c r="AC776" i="3"/>
  <c r="AD776" i="3" s="1"/>
  <c r="AE775" i="3"/>
  <c r="AF775" i="3" s="1"/>
  <c r="AD775" i="3"/>
  <c r="AC775" i="3"/>
  <c r="AH774" i="3"/>
  <c r="AG774" i="3"/>
  <c r="AE774" i="3"/>
  <c r="AF774" i="3" s="1"/>
  <c r="AC774" i="3"/>
  <c r="AD774" i="3" s="1"/>
  <c r="AE773" i="3"/>
  <c r="AF773" i="3" s="1"/>
  <c r="AD773" i="3"/>
  <c r="AC773" i="3"/>
  <c r="AH772" i="3"/>
  <c r="AG772" i="3"/>
  <c r="AE772" i="3"/>
  <c r="AF772" i="3" s="1"/>
  <c r="AD772" i="3"/>
  <c r="AC772" i="3"/>
  <c r="AF771" i="3"/>
  <c r="AE771" i="3"/>
  <c r="AC771" i="3"/>
  <c r="AD771" i="3" s="1"/>
  <c r="AF770" i="3"/>
  <c r="AE770" i="3"/>
  <c r="AD770" i="3"/>
  <c r="AC770" i="3"/>
  <c r="AE769" i="3"/>
  <c r="AF769" i="3" s="1"/>
  <c r="AC769" i="3"/>
  <c r="AD769" i="3" s="1"/>
  <c r="AE768" i="3"/>
  <c r="AF768" i="3" s="1"/>
  <c r="AC768" i="3"/>
  <c r="AD768" i="3" s="1"/>
  <c r="AF767" i="3"/>
  <c r="AE767" i="3"/>
  <c r="AC767" i="3"/>
  <c r="AD767" i="3" s="1"/>
  <c r="AG766" i="3"/>
  <c r="AF766" i="3"/>
  <c r="AE766" i="3"/>
  <c r="AD766" i="3"/>
  <c r="AC766" i="3"/>
  <c r="AE765" i="3"/>
  <c r="AD765" i="3"/>
  <c r="AC765" i="3"/>
  <c r="AF764" i="3"/>
  <c r="AE764" i="3"/>
  <c r="AD764" i="3"/>
  <c r="AC764" i="3"/>
  <c r="AF763" i="3"/>
  <c r="AE763" i="3"/>
  <c r="AD763" i="3"/>
  <c r="AC763" i="3"/>
  <c r="AF762" i="3"/>
  <c r="AE762" i="3"/>
  <c r="AC762" i="3"/>
  <c r="AD762" i="3" s="1"/>
  <c r="AG761" i="3"/>
  <c r="AF761" i="3"/>
  <c r="AE761" i="3"/>
  <c r="AC761" i="3"/>
  <c r="AD761" i="3" s="1"/>
  <c r="AE760" i="3"/>
  <c r="AF760" i="3" s="1"/>
  <c r="AC760" i="3"/>
  <c r="AD760" i="3" s="1"/>
  <c r="AE759" i="3"/>
  <c r="AF759" i="3" s="1"/>
  <c r="AD759" i="3"/>
  <c r="AC759" i="3"/>
  <c r="AK758" i="3"/>
  <c r="AJ758" i="3"/>
  <c r="AI758" i="3"/>
  <c r="AH758" i="3"/>
  <c r="AG758" i="3"/>
  <c r="AF758" i="3"/>
  <c r="AE758" i="3"/>
  <c r="AD758" i="3"/>
  <c r="AC758" i="3"/>
  <c r="AG757" i="3"/>
  <c r="AH757" i="3" s="1"/>
  <c r="AF757" i="3"/>
  <c r="AE757" i="3"/>
  <c r="AD757" i="3"/>
  <c r="AC757" i="3"/>
  <c r="AF756" i="3"/>
  <c r="AE756" i="3"/>
  <c r="AC756" i="3"/>
  <c r="AD756" i="3" s="1"/>
  <c r="AE755" i="3"/>
  <c r="AF755" i="3" s="1"/>
  <c r="AD755" i="3"/>
  <c r="AC755" i="3"/>
  <c r="AG754" i="3"/>
  <c r="AF754" i="3"/>
  <c r="AE754" i="3"/>
  <c r="AC754" i="3"/>
  <c r="AD754" i="3" s="1"/>
  <c r="AF753" i="3"/>
  <c r="AE753" i="3"/>
  <c r="AD753" i="3"/>
  <c r="AC753" i="3"/>
  <c r="AE752" i="3"/>
  <c r="AF752" i="3" s="1"/>
  <c r="AC752" i="3"/>
  <c r="AD752" i="3" s="1"/>
  <c r="AE751" i="3"/>
  <c r="AF751" i="3" s="1"/>
  <c r="AD751" i="3"/>
  <c r="AC751" i="3"/>
  <c r="AE750" i="3"/>
  <c r="AF750" i="3" s="1"/>
  <c r="AC750" i="3"/>
  <c r="AD750" i="3" s="1"/>
  <c r="AG749" i="3"/>
  <c r="AE749" i="3"/>
  <c r="AF749" i="3" s="1"/>
  <c r="AD749" i="3"/>
  <c r="AC749" i="3"/>
  <c r="AE748" i="3"/>
  <c r="AF748" i="3" s="1"/>
  <c r="AC748" i="3"/>
  <c r="AD748" i="3" s="1"/>
  <c r="AI747" i="3"/>
  <c r="AH747" i="3"/>
  <c r="AG747" i="3"/>
  <c r="AE747" i="3"/>
  <c r="AF747" i="3" s="1"/>
  <c r="AD747" i="3"/>
  <c r="AC747" i="3"/>
  <c r="AF746" i="3"/>
  <c r="AE746" i="3"/>
  <c r="AC746" i="3"/>
  <c r="AD746" i="3" s="1"/>
  <c r="AF745" i="3"/>
  <c r="AE745" i="3"/>
  <c r="AD745" i="3"/>
  <c r="AC745" i="3"/>
  <c r="AG744" i="3"/>
  <c r="AF744" i="3"/>
  <c r="AE744" i="3"/>
  <c r="AC744" i="3"/>
  <c r="AD744" i="3" s="1"/>
  <c r="AE743" i="3"/>
  <c r="AF743" i="3" s="1"/>
  <c r="AC743" i="3"/>
  <c r="AD743" i="3" s="1"/>
  <c r="AG742" i="3"/>
  <c r="AF742" i="3"/>
  <c r="AE742" i="3"/>
  <c r="AC742" i="3"/>
  <c r="AD742" i="3" s="1"/>
  <c r="AG741" i="3"/>
  <c r="AF741" i="3"/>
  <c r="AE741" i="3"/>
  <c r="AD741" i="3"/>
  <c r="AC741" i="3"/>
  <c r="AE740" i="3"/>
  <c r="AF740" i="3" s="1"/>
  <c r="AD740" i="3"/>
  <c r="AC740" i="3"/>
  <c r="AK739" i="3"/>
  <c r="AJ739" i="3"/>
  <c r="AI739" i="3"/>
  <c r="AH739" i="3"/>
  <c r="AG739" i="3"/>
  <c r="AE739" i="3"/>
  <c r="AF739" i="3" s="1"/>
  <c r="AC739" i="3"/>
  <c r="AD739" i="3" s="1"/>
  <c r="AF738" i="3"/>
  <c r="AE738" i="3"/>
  <c r="AD738" i="3"/>
  <c r="AC738" i="3"/>
  <c r="AE737" i="3"/>
  <c r="AF737" i="3" s="1"/>
  <c r="AD737" i="3"/>
  <c r="AC737" i="3"/>
  <c r="AG736" i="3"/>
  <c r="AF736" i="3"/>
  <c r="AE736" i="3"/>
  <c r="AC736" i="3"/>
  <c r="AD736" i="3" s="1"/>
  <c r="AF735" i="3"/>
  <c r="AE735" i="3"/>
  <c r="AC735" i="3"/>
  <c r="AD735" i="3" s="1"/>
  <c r="AF734" i="3"/>
  <c r="AE734" i="3"/>
  <c r="AC734" i="3"/>
  <c r="AD734" i="3" s="1"/>
  <c r="AE733" i="3"/>
  <c r="AD733" i="3"/>
  <c r="AC733" i="3"/>
  <c r="AF732" i="3"/>
  <c r="AE732" i="3"/>
  <c r="AD732" i="3"/>
  <c r="AC732" i="3"/>
  <c r="AG731" i="3"/>
  <c r="AE731" i="3"/>
  <c r="AF731" i="3" s="1"/>
  <c r="AC731" i="3"/>
  <c r="AD731" i="3" s="1"/>
  <c r="AF730" i="3"/>
  <c r="AE730" i="3"/>
  <c r="AD730" i="3"/>
  <c r="AC730" i="3"/>
  <c r="AG729" i="3"/>
  <c r="AH729" i="3" s="1"/>
  <c r="AF729" i="3"/>
  <c r="AE729" i="3"/>
  <c r="AC729" i="3"/>
  <c r="AD729" i="3" s="1"/>
  <c r="AI728" i="3"/>
  <c r="AH728" i="3"/>
  <c r="AG728" i="3"/>
  <c r="AF728" i="3"/>
  <c r="AE728" i="3"/>
  <c r="AD728" i="3"/>
  <c r="AC728" i="3"/>
  <c r="AE727" i="3"/>
  <c r="AF727" i="3" s="1"/>
  <c r="AD727" i="3"/>
  <c r="AC727" i="3"/>
  <c r="AE726" i="3"/>
  <c r="AF726" i="3" s="1"/>
  <c r="AC726" i="3"/>
  <c r="AD726" i="3" s="1"/>
  <c r="AF725" i="3"/>
  <c r="AE725" i="3"/>
  <c r="AD725" i="3"/>
  <c r="AC725" i="3"/>
  <c r="AE724" i="3"/>
  <c r="AF724" i="3" s="1"/>
  <c r="AC724" i="3"/>
  <c r="AD724" i="3" s="1"/>
  <c r="AE723" i="3"/>
  <c r="AF723" i="3" s="1"/>
  <c r="AC723" i="3"/>
  <c r="AD723" i="3" s="1"/>
  <c r="AF722" i="3"/>
  <c r="AE722" i="3"/>
  <c r="AD722" i="3"/>
  <c r="AC722" i="3"/>
  <c r="AJ721" i="3"/>
  <c r="AI721" i="3"/>
  <c r="AH721" i="3"/>
  <c r="AG721" i="3"/>
  <c r="AF721" i="3"/>
  <c r="AE721" i="3"/>
  <c r="AC721" i="3"/>
  <c r="AD721" i="3" s="1"/>
  <c r="AE720" i="3"/>
  <c r="AF720" i="3" s="1"/>
  <c r="AC720" i="3"/>
  <c r="AD720" i="3" s="1"/>
  <c r="AE719" i="3"/>
  <c r="AF719" i="3" s="1"/>
  <c r="AC719" i="3"/>
  <c r="AD719" i="3" s="1"/>
  <c r="AG718" i="3"/>
  <c r="AF718" i="3"/>
  <c r="AE718" i="3"/>
  <c r="AD718" i="3"/>
  <c r="AC718" i="3"/>
  <c r="AE717" i="3"/>
  <c r="AF717" i="3" s="1"/>
  <c r="AD717" i="3"/>
  <c r="AC717" i="3"/>
  <c r="AE716" i="3"/>
  <c r="AF716" i="3" s="1"/>
  <c r="AD716" i="3"/>
  <c r="AC716" i="3"/>
  <c r="AE715" i="3"/>
  <c r="AD715" i="3"/>
  <c r="AC715" i="3"/>
  <c r="AF714" i="3"/>
  <c r="AE714" i="3"/>
  <c r="AD714" i="3"/>
  <c r="AC714" i="3"/>
  <c r="AE713" i="3"/>
  <c r="AF713" i="3" s="1"/>
  <c r="AD713" i="3"/>
  <c r="AC713" i="3"/>
  <c r="AE712" i="3"/>
  <c r="AF712" i="3" s="1"/>
  <c r="AD712" i="3"/>
  <c r="AC712" i="3"/>
  <c r="AF711" i="3"/>
  <c r="AE711" i="3"/>
  <c r="AC711" i="3"/>
  <c r="AD711" i="3" s="1"/>
  <c r="AH710" i="3"/>
  <c r="AG710" i="3"/>
  <c r="AF710" i="3"/>
  <c r="AE710" i="3"/>
  <c r="AD710" i="3"/>
  <c r="AC710" i="3"/>
  <c r="AG709" i="3"/>
  <c r="AF709" i="3"/>
  <c r="AE709" i="3"/>
  <c r="AD709" i="3"/>
  <c r="AC709" i="3"/>
  <c r="AH708" i="3"/>
  <c r="AG708" i="3"/>
  <c r="AF708" i="3"/>
  <c r="AE708" i="3"/>
  <c r="AC708" i="3"/>
  <c r="AD708" i="3" s="1"/>
  <c r="AF707" i="3"/>
  <c r="AE707" i="3"/>
  <c r="AC707" i="3"/>
  <c r="AD707" i="3" s="1"/>
  <c r="AF706" i="3"/>
  <c r="AE706" i="3"/>
  <c r="AC706" i="3"/>
  <c r="AD706" i="3" s="1"/>
  <c r="AE705" i="3"/>
  <c r="AF705" i="3" s="1"/>
  <c r="AD705" i="3"/>
  <c r="AC705" i="3"/>
  <c r="AE704" i="3"/>
  <c r="AF704" i="3" s="1"/>
  <c r="AD704" i="3"/>
  <c r="AC704" i="3"/>
  <c r="AE703" i="3"/>
  <c r="AF703" i="3" s="1"/>
  <c r="AD703" i="3"/>
  <c r="AC703" i="3"/>
  <c r="AG702" i="3"/>
  <c r="AF702" i="3"/>
  <c r="AE702" i="3"/>
  <c r="AC702" i="3"/>
  <c r="AD702" i="3" s="1"/>
  <c r="AE701" i="3"/>
  <c r="AF701" i="3" s="1"/>
  <c r="AD701" i="3"/>
  <c r="AC701" i="3"/>
  <c r="AE700" i="3"/>
  <c r="AF700" i="3" s="1"/>
  <c r="AC700" i="3"/>
  <c r="AD700" i="3" s="1"/>
  <c r="AE699" i="3"/>
  <c r="AD699" i="3"/>
  <c r="AC699" i="3"/>
  <c r="AG698" i="3"/>
  <c r="AF698" i="3"/>
  <c r="AE698" i="3"/>
  <c r="AC698" i="3"/>
  <c r="AD698" i="3" s="1"/>
  <c r="AF697" i="3"/>
  <c r="AE697" i="3"/>
  <c r="AC697" i="3"/>
  <c r="AD697" i="3" s="1"/>
  <c r="AG696" i="3"/>
  <c r="AF696" i="3"/>
  <c r="AE696" i="3"/>
  <c r="AC696" i="3"/>
  <c r="AD696" i="3" s="1"/>
  <c r="AE695" i="3"/>
  <c r="AF695" i="3" s="1"/>
  <c r="AD695" i="3"/>
  <c r="AC695" i="3"/>
  <c r="AE694" i="3"/>
  <c r="AF694" i="3" s="1"/>
  <c r="AD694" i="3"/>
  <c r="AC694" i="3"/>
  <c r="AF693" i="3"/>
  <c r="AE693" i="3"/>
  <c r="AD693" i="3"/>
  <c r="AC693" i="3"/>
  <c r="AF692" i="3"/>
  <c r="AE692" i="3"/>
  <c r="AG692" i="3" s="1"/>
  <c r="AD692" i="3"/>
  <c r="AC692" i="3"/>
  <c r="AE691" i="3"/>
  <c r="AF691" i="3" s="1"/>
  <c r="AC691" i="3"/>
  <c r="AD691" i="3" s="1"/>
  <c r="AF690" i="3"/>
  <c r="AE690" i="3"/>
  <c r="AD690" i="3"/>
  <c r="AC690" i="3"/>
  <c r="AG689" i="3"/>
  <c r="AF689" i="3"/>
  <c r="AE689" i="3"/>
  <c r="AD689" i="3"/>
  <c r="AC689" i="3"/>
  <c r="AE688" i="3"/>
  <c r="AF688" i="3" s="1"/>
  <c r="AD688" i="3"/>
  <c r="AC688" i="3"/>
  <c r="AF687" i="3"/>
  <c r="AE687" i="3"/>
  <c r="AD687" i="3"/>
  <c r="AC687" i="3"/>
  <c r="AE686" i="3"/>
  <c r="AF686" i="3" s="1"/>
  <c r="AC686" i="3"/>
  <c r="AD686" i="3" s="1"/>
  <c r="AF685" i="3"/>
  <c r="AE685" i="3"/>
  <c r="AG685" i="3" s="1"/>
  <c r="AD685" i="3"/>
  <c r="AC685" i="3"/>
  <c r="AE684" i="3"/>
  <c r="AF684" i="3" s="1"/>
  <c r="AC684" i="3"/>
  <c r="AD684" i="3" s="1"/>
  <c r="AG683" i="3"/>
  <c r="AF683" i="3"/>
  <c r="AE683" i="3"/>
  <c r="AD683" i="3"/>
  <c r="AC683" i="3"/>
  <c r="AF682" i="3"/>
  <c r="AE682" i="3"/>
  <c r="AD682" i="3"/>
  <c r="AC682" i="3"/>
  <c r="AF681" i="3"/>
  <c r="AE681" i="3"/>
  <c r="AC681" i="3"/>
  <c r="AD681" i="3" s="1"/>
  <c r="AE680" i="3"/>
  <c r="AF680" i="3" s="1"/>
  <c r="AD680" i="3"/>
  <c r="AC680" i="3"/>
  <c r="AE679" i="3"/>
  <c r="AF679" i="3" s="1"/>
  <c r="AC679" i="3"/>
  <c r="AD679" i="3" s="1"/>
  <c r="AE678" i="3"/>
  <c r="AF678" i="3" s="1"/>
  <c r="AD678" i="3"/>
  <c r="AC678" i="3"/>
  <c r="AH677" i="3"/>
  <c r="AI677" i="3" s="1"/>
  <c r="AG677" i="3"/>
  <c r="AE677" i="3"/>
  <c r="AF677" i="3" s="1"/>
  <c r="AD677" i="3"/>
  <c r="AC677" i="3"/>
  <c r="AF676" i="3"/>
  <c r="AE676" i="3"/>
  <c r="AD676" i="3"/>
  <c r="AC676" i="3"/>
  <c r="AF675" i="3"/>
  <c r="AE675" i="3"/>
  <c r="AC675" i="3"/>
  <c r="AD675" i="3" s="1"/>
  <c r="AF674" i="3"/>
  <c r="AE674" i="3"/>
  <c r="AD674" i="3"/>
  <c r="AC674" i="3"/>
  <c r="AE673" i="3"/>
  <c r="AF673" i="3" s="1"/>
  <c r="AC673" i="3"/>
  <c r="AD673" i="3" s="1"/>
  <c r="AE672" i="3"/>
  <c r="AF672" i="3" s="1"/>
  <c r="AC672" i="3"/>
  <c r="AD672" i="3" s="1"/>
  <c r="AE671" i="3"/>
  <c r="AF671" i="3" s="1"/>
  <c r="AD671" i="3"/>
  <c r="AC671" i="3"/>
  <c r="AJ670" i="3"/>
  <c r="AI670" i="3"/>
  <c r="AH670" i="3"/>
  <c r="AG670" i="3"/>
  <c r="AE670" i="3"/>
  <c r="AF670" i="3" s="1"/>
  <c r="AC670" i="3"/>
  <c r="AD670" i="3" s="1"/>
  <c r="AE669" i="3"/>
  <c r="AF669" i="3" s="1"/>
  <c r="AD669" i="3"/>
  <c r="AC669" i="3"/>
  <c r="AE668" i="3"/>
  <c r="AF668" i="3" s="1"/>
  <c r="AD668" i="3"/>
  <c r="AC668" i="3"/>
  <c r="AE667" i="3"/>
  <c r="AF667" i="3" s="1"/>
  <c r="AD667" i="3"/>
  <c r="AC667" i="3"/>
  <c r="AH666" i="3"/>
  <c r="AG666" i="3"/>
  <c r="AF666" i="3"/>
  <c r="AE666" i="3"/>
  <c r="AC666" i="3"/>
  <c r="AD666" i="3" s="1"/>
  <c r="AE665" i="3"/>
  <c r="AF665" i="3" s="1"/>
  <c r="AC665" i="3"/>
  <c r="AD665" i="3" s="1"/>
  <c r="AI664" i="3"/>
  <c r="AH664" i="3"/>
  <c r="AG664" i="3"/>
  <c r="AF664" i="3"/>
  <c r="AE664" i="3"/>
  <c r="AD664" i="3"/>
  <c r="AC664" i="3"/>
  <c r="AF663" i="3"/>
  <c r="AE663" i="3"/>
  <c r="AC663" i="3"/>
  <c r="AD663" i="3" s="1"/>
  <c r="AE662" i="3"/>
  <c r="AC662" i="3"/>
  <c r="AD662" i="3" s="1"/>
  <c r="AG661" i="3"/>
  <c r="AF661" i="3"/>
  <c r="AE661" i="3"/>
  <c r="AD661" i="3"/>
  <c r="AC661" i="3"/>
  <c r="AH660" i="3"/>
  <c r="AG660" i="3"/>
  <c r="AF660" i="3"/>
  <c r="AE660" i="3"/>
  <c r="AD660" i="3"/>
  <c r="AC660" i="3"/>
  <c r="AG659" i="3"/>
  <c r="AF659" i="3"/>
  <c r="AE659" i="3"/>
  <c r="AD659" i="3"/>
  <c r="AC659" i="3"/>
  <c r="AF658" i="3"/>
  <c r="AE658" i="3"/>
  <c r="AC658" i="3"/>
  <c r="AD658" i="3" s="1"/>
  <c r="AF657" i="3"/>
  <c r="AE657" i="3"/>
  <c r="AD657" i="3"/>
  <c r="AC657" i="3"/>
  <c r="AE656" i="3"/>
  <c r="AF656" i="3" s="1"/>
  <c r="AC656" i="3"/>
  <c r="AD656" i="3" s="1"/>
  <c r="AE655" i="3"/>
  <c r="AF655" i="3" s="1"/>
  <c r="AD655" i="3"/>
  <c r="AC655" i="3"/>
  <c r="AH654" i="3"/>
  <c r="AG654" i="3"/>
  <c r="AF654" i="3"/>
  <c r="AE654" i="3"/>
  <c r="AC654" i="3"/>
  <c r="AD654" i="3" s="1"/>
  <c r="AE653" i="3"/>
  <c r="AF653" i="3" s="1"/>
  <c r="AD653" i="3"/>
  <c r="AC653" i="3"/>
  <c r="AG652" i="3"/>
  <c r="AF652" i="3"/>
  <c r="AE652" i="3"/>
  <c r="AC652" i="3"/>
  <c r="AD652" i="3" s="1"/>
  <c r="AE651" i="3"/>
  <c r="AF651" i="3" s="1"/>
  <c r="AC651" i="3"/>
  <c r="AD651" i="3" s="1"/>
  <c r="AF650" i="3"/>
  <c r="AE650" i="3"/>
  <c r="AC650" i="3"/>
  <c r="AD650" i="3" s="1"/>
  <c r="AG649" i="3"/>
  <c r="AF649" i="3"/>
  <c r="AE649" i="3"/>
  <c r="AC649" i="3"/>
  <c r="AD649" i="3" s="1"/>
  <c r="AG648" i="3"/>
  <c r="AF648" i="3"/>
  <c r="AE648" i="3"/>
  <c r="AC648" i="3"/>
  <c r="AD648" i="3" s="1"/>
  <c r="AE647" i="3"/>
  <c r="AF647" i="3" s="1"/>
  <c r="AC647" i="3"/>
  <c r="AD647" i="3" s="1"/>
  <c r="AG646" i="3"/>
  <c r="AF646" i="3"/>
  <c r="AE646" i="3"/>
  <c r="AD646" i="3"/>
  <c r="AC646" i="3"/>
  <c r="AE645" i="3"/>
  <c r="AF645" i="3" s="1"/>
  <c r="AD645" i="3"/>
  <c r="AC645" i="3"/>
  <c r="AF644" i="3"/>
  <c r="AE644" i="3"/>
  <c r="AD644" i="3"/>
  <c r="AC644" i="3"/>
  <c r="AV643" i="3"/>
  <c r="AU643" i="3"/>
  <c r="AT643" i="3"/>
  <c r="AS643" i="3"/>
  <c r="AR643" i="3"/>
  <c r="AQ643" i="3"/>
  <c r="AP643" i="3"/>
  <c r="AO643" i="3"/>
  <c r="AN643" i="3"/>
  <c r="AM643" i="3"/>
  <c r="AL643" i="3"/>
  <c r="AK643" i="3"/>
  <c r="AJ643" i="3"/>
  <c r="AI643" i="3"/>
  <c r="AH643" i="3"/>
  <c r="AG643" i="3"/>
  <c r="AW643" i="3" s="1"/>
  <c r="AF643" i="3"/>
  <c r="AE643" i="3"/>
  <c r="AD643" i="3"/>
  <c r="AC643" i="3"/>
  <c r="AF642" i="3"/>
  <c r="AE642" i="3"/>
  <c r="AC642" i="3"/>
  <c r="AD642" i="3" s="1"/>
  <c r="AF641" i="3"/>
  <c r="AE641" i="3"/>
  <c r="AD641" i="3"/>
  <c r="AC641" i="3"/>
  <c r="AH640" i="3"/>
  <c r="AG640" i="3"/>
  <c r="AF640" i="3"/>
  <c r="AE640" i="3"/>
  <c r="AD640" i="3"/>
  <c r="AC640" i="3"/>
  <c r="AF639" i="3"/>
  <c r="AE639" i="3"/>
  <c r="AC639" i="3"/>
  <c r="AD639" i="3" s="1"/>
  <c r="AE638" i="3"/>
  <c r="AF638" i="3" s="1"/>
  <c r="AD638" i="3"/>
  <c r="AC638" i="3"/>
  <c r="AE637" i="3"/>
  <c r="AF637" i="3" s="1"/>
  <c r="AD637" i="3"/>
  <c r="AC637" i="3"/>
  <c r="AH636" i="3"/>
  <c r="AG636" i="3"/>
  <c r="AF636" i="3"/>
  <c r="AE636" i="3"/>
  <c r="AC636" i="3"/>
  <c r="AD636" i="3" s="1"/>
  <c r="AG635" i="3"/>
  <c r="AF635" i="3"/>
  <c r="AE635" i="3"/>
  <c r="AD635" i="3"/>
  <c r="AC635" i="3"/>
  <c r="AF634" i="3"/>
  <c r="AE634" i="3"/>
  <c r="AC634" i="3"/>
  <c r="AD634" i="3" s="1"/>
  <c r="AF633" i="3"/>
  <c r="AE633" i="3"/>
  <c r="AD633" i="3"/>
  <c r="AC633" i="3"/>
  <c r="AE632" i="3"/>
  <c r="AF632" i="3" s="1"/>
  <c r="AD632" i="3"/>
  <c r="AC632" i="3"/>
  <c r="AE631" i="3"/>
  <c r="AF631" i="3" s="1"/>
  <c r="AD631" i="3"/>
  <c r="AC631" i="3"/>
  <c r="AG630" i="3"/>
  <c r="AE630" i="3"/>
  <c r="AF630" i="3" s="1"/>
  <c r="AD630" i="3"/>
  <c r="AC630" i="3"/>
  <c r="AE629" i="3"/>
  <c r="AF629" i="3" s="1"/>
  <c r="AD629" i="3"/>
  <c r="AC629" i="3"/>
  <c r="AE628" i="3"/>
  <c r="AF628" i="3" s="1"/>
  <c r="AD628" i="3"/>
  <c r="AC628" i="3"/>
  <c r="AG627" i="3"/>
  <c r="AE627" i="3"/>
  <c r="AF627" i="3" s="1"/>
  <c r="AC627" i="3"/>
  <c r="AD627" i="3" s="1"/>
  <c r="AF626" i="3"/>
  <c r="AE626" i="3"/>
  <c r="AC626" i="3"/>
  <c r="AD626" i="3" s="1"/>
  <c r="AE625" i="3"/>
  <c r="AF625" i="3" s="1"/>
  <c r="AD625" i="3"/>
  <c r="AC625" i="3"/>
  <c r="AE624" i="3"/>
  <c r="AF624" i="3" s="1"/>
  <c r="AC624" i="3"/>
  <c r="AD624" i="3" s="1"/>
  <c r="AE623" i="3"/>
  <c r="AF623" i="3" s="1"/>
  <c r="AD623" i="3"/>
  <c r="AC623" i="3"/>
  <c r="AV622" i="3"/>
  <c r="AU622" i="3"/>
  <c r="AT622" i="3"/>
  <c r="AS622" i="3"/>
  <c r="AR622" i="3"/>
  <c r="AQ622" i="3"/>
  <c r="AP622" i="3"/>
  <c r="AO622" i="3"/>
  <c r="AN622" i="3"/>
  <c r="AM622" i="3"/>
  <c r="AL622" i="3"/>
  <c r="AK622" i="3"/>
  <c r="AJ622" i="3"/>
  <c r="AI622" i="3"/>
  <c r="AH622" i="3"/>
  <c r="AG622" i="3"/>
  <c r="AF622" i="3"/>
  <c r="AE622" i="3"/>
  <c r="AD622" i="3"/>
  <c r="AC622" i="3"/>
  <c r="AE621" i="3"/>
  <c r="AF621" i="3" s="1"/>
  <c r="AD621" i="3"/>
  <c r="AC621" i="3"/>
  <c r="AG620" i="3"/>
  <c r="AE620" i="3"/>
  <c r="AF620" i="3" s="1"/>
  <c r="AD620" i="3"/>
  <c r="AC620" i="3"/>
  <c r="AE619" i="3"/>
  <c r="AF619" i="3" s="1"/>
  <c r="AD619" i="3"/>
  <c r="AC619" i="3"/>
  <c r="AF618" i="3"/>
  <c r="AE618" i="3"/>
  <c r="AC618" i="3"/>
  <c r="AD618" i="3" s="1"/>
  <c r="AH617" i="3"/>
  <c r="AG617" i="3"/>
  <c r="AE617" i="3"/>
  <c r="AF617" i="3" s="1"/>
  <c r="AD617" i="3"/>
  <c r="AC617" i="3"/>
  <c r="AE616" i="3"/>
  <c r="AF616" i="3" s="1"/>
  <c r="AC616" i="3"/>
  <c r="AD616" i="3" s="1"/>
  <c r="AE615" i="3"/>
  <c r="AF615" i="3" s="1"/>
  <c r="AC615" i="3"/>
  <c r="AD615" i="3" s="1"/>
  <c r="AF614" i="3"/>
  <c r="AE614" i="3"/>
  <c r="AC614" i="3"/>
  <c r="AD614" i="3" s="1"/>
  <c r="AG613" i="3"/>
  <c r="AF613" i="3"/>
  <c r="AE613" i="3"/>
  <c r="AD613" i="3"/>
  <c r="AC613" i="3"/>
  <c r="AF612" i="3"/>
  <c r="AE612" i="3"/>
  <c r="AD612" i="3"/>
  <c r="AC612" i="3"/>
  <c r="AF611" i="3"/>
  <c r="AE611" i="3"/>
  <c r="AD611" i="3"/>
  <c r="AC611" i="3"/>
  <c r="AG610" i="3"/>
  <c r="AF610" i="3"/>
  <c r="AE610" i="3"/>
  <c r="AC610" i="3"/>
  <c r="AD610" i="3" s="1"/>
  <c r="AF609" i="3"/>
  <c r="AE609" i="3"/>
  <c r="AC609" i="3"/>
  <c r="AD609" i="3" s="1"/>
  <c r="AE608" i="3"/>
  <c r="AF608" i="3" s="1"/>
  <c r="AD608" i="3"/>
  <c r="AC608" i="3"/>
  <c r="AE607" i="3"/>
  <c r="AF607" i="3" s="1"/>
  <c r="AC607" i="3"/>
  <c r="AD607" i="3" s="1"/>
  <c r="AE606" i="3"/>
  <c r="AF606" i="3" s="1"/>
  <c r="AC606" i="3"/>
  <c r="AD606" i="3" s="1"/>
  <c r="AG605" i="3"/>
  <c r="AF605" i="3"/>
  <c r="AE605" i="3"/>
  <c r="AD605" i="3"/>
  <c r="AC605" i="3"/>
  <c r="AV604" i="3"/>
  <c r="AU604" i="3"/>
  <c r="AT604" i="3"/>
  <c r="AS604" i="3"/>
  <c r="AR604" i="3"/>
  <c r="AQ604" i="3"/>
  <c r="AP604" i="3"/>
  <c r="AO604" i="3"/>
  <c r="AN604" i="3"/>
  <c r="AM604" i="3"/>
  <c r="AL604" i="3"/>
  <c r="AK604" i="3"/>
  <c r="AJ604" i="3"/>
  <c r="AI604" i="3"/>
  <c r="AH604" i="3"/>
  <c r="AG604" i="3"/>
  <c r="AE604" i="3"/>
  <c r="AF604" i="3" s="1"/>
  <c r="AC604" i="3"/>
  <c r="AD604" i="3" s="1"/>
  <c r="AE603" i="3"/>
  <c r="AF603" i="3" s="1"/>
  <c r="AC603" i="3"/>
  <c r="AD603" i="3" s="1"/>
  <c r="AF602" i="3"/>
  <c r="AE602" i="3"/>
  <c r="AD602" i="3"/>
  <c r="AC602" i="3"/>
  <c r="AE601" i="3"/>
  <c r="AF601" i="3" s="1"/>
  <c r="AC601" i="3"/>
  <c r="AD601" i="3" s="1"/>
  <c r="AE600" i="3"/>
  <c r="AF600" i="3" s="1"/>
  <c r="AD600" i="3"/>
  <c r="AC600" i="3"/>
  <c r="AE599" i="3"/>
  <c r="AF599" i="3" s="1"/>
  <c r="AC599" i="3"/>
  <c r="AD599" i="3" s="1"/>
  <c r="AG598" i="3"/>
  <c r="AE598" i="3"/>
  <c r="AF598" i="3" s="1"/>
  <c r="AC598" i="3"/>
  <c r="AD598" i="3" s="1"/>
  <c r="AH597" i="3"/>
  <c r="AG597" i="3"/>
  <c r="AF597" i="3"/>
  <c r="AE597" i="3"/>
  <c r="AD597" i="3"/>
  <c r="AC597" i="3"/>
  <c r="AE596" i="3"/>
  <c r="AF596" i="3" s="1"/>
  <c r="AD596" i="3"/>
  <c r="AC596" i="3"/>
  <c r="AE595" i="3"/>
  <c r="AF595" i="3" s="1"/>
  <c r="AC595" i="3"/>
  <c r="AD595" i="3" s="1"/>
  <c r="AF594" i="3"/>
  <c r="AE594" i="3"/>
  <c r="AD594" i="3"/>
  <c r="AC594" i="3"/>
  <c r="AE593" i="3"/>
  <c r="AF593" i="3" s="1"/>
  <c r="AD593" i="3"/>
  <c r="AC593" i="3"/>
  <c r="AH592" i="3"/>
  <c r="AG592" i="3"/>
  <c r="AF592" i="3"/>
  <c r="AE592" i="3"/>
  <c r="AD592" i="3"/>
  <c r="AC592" i="3"/>
  <c r="AF591" i="3"/>
  <c r="AE591" i="3"/>
  <c r="AD591" i="3"/>
  <c r="AC591" i="3"/>
  <c r="AE590" i="3"/>
  <c r="AF590" i="3" s="1"/>
  <c r="AC590" i="3"/>
  <c r="AD590" i="3" s="1"/>
  <c r="AG589" i="3"/>
  <c r="AE589" i="3"/>
  <c r="AF589" i="3" s="1"/>
  <c r="AD589" i="3"/>
  <c r="AC589" i="3"/>
  <c r="AG588" i="3"/>
  <c r="AE588" i="3"/>
  <c r="AF588" i="3" s="1"/>
  <c r="AC588" i="3"/>
  <c r="AD588" i="3" s="1"/>
  <c r="AF587" i="3"/>
  <c r="AE587" i="3"/>
  <c r="AC587" i="3"/>
  <c r="AD587" i="3" s="1"/>
  <c r="AG586" i="3"/>
  <c r="AF586" i="3"/>
  <c r="AE586" i="3"/>
  <c r="AC586" i="3"/>
  <c r="AD586" i="3" s="1"/>
  <c r="AF585" i="3"/>
  <c r="AE585" i="3"/>
  <c r="AC585" i="3"/>
  <c r="AD585" i="3" s="1"/>
  <c r="AG584" i="3"/>
  <c r="AF584" i="3"/>
  <c r="AE584" i="3"/>
  <c r="AC584" i="3"/>
  <c r="AD584" i="3" s="1"/>
  <c r="AF583" i="3"/>
  <c r="AE583" i="3"/>
  <c r="AD583" i="3"/>
  <c r="AC583" i="3"/>
  <c r="AG582" i="3"/>
  <c r="AE582" i="3"/>
  <c r="AF582" i="3" s="1"/>
  <c r="AD582" i="3"/>
  <c r="AC582" i="3"/>
  <c r="AH581" i="3"/>
  <c r="AG581" i="3"/>
  <c r="AE581" i="3"/>
  <c r="AF581" i="3" s="1"/>
  <c r="AD581" i="3"/>
  <c r="AC581" i="3"/>
  <c r="AE580" i="3"/>
  <c r="AF580" i="3" s="1"/>
  <c r="AD580" i="3"/>
  <c r="AC580" i="3"/>
  <c r="AG579" i="3"/>
  <c r="AF579" i="3"/>
  <c r="AE579" i="3"/>
  <c r="AD579" i="3"/>
  <c r="AC579" i="3"/>
  <c r="AF578" i="3"/>
  <c r="AE578" i="3"/>
  <c r="AD578" i="3"/>
  <c r="AC578" i="3"/>
  <c r="AE577" i="3"/>
  <c r="AF577" i="3" s="1"/>
  <c r="AC577" i="3"/>
  <c r="AD577" i="3" s="1"/>
  <c r="AG576" i="3"/>
  <c r="AF576" i="3"/>
  <c r="AE576" i="3"/>
  <c r="AD576" i="3"/>
  <c r="AC576" i="3"/>
  <c r="AE575" i="3"/>
  <c r="AF575" i="3" s="1"/>
  <c r="AD575" i="3"/>
  <c r="AC575" i="3"/>
  <c r="AH574" i="3"/>
  <c r="AG574" i="3"/>
  <c r="AF574" i="3"/>
  <c r="AE574" i="3"/>
  <c r="AC574" i="3"/>
  <c r="AD574" i="3" s="1"/>
  <c r="AE573" i="3"/>
  <c r="AD573" i="3"/>
  <c r="AC573" i="3"/>
  <c r="AF572" i="3"/>
  <c r="AE572" i="3"/>
  <c r="AC572" i="3"/>
  <c r="AD572" i="3" s="1"/>
  <c r="AG571" i="3"/>
  <c r="AF571" i="3"/>
  <c r="AE571" i="3"/>
  <c r="AD571" i="3"/>
  <c r="AC571" i="3"/>
  <c r="AF570" i="3"/>
  <c r="AE570" i="3"/>
  <c r="AD570" i="3"/>
  <c r="AC570" i="3"/>
  <c r="AF569" i="3"/>
  <c r="AE569" i="3"/>
  <c r="AG569" i="3" s="1"/>
  <c r="AD569" i="3"/>
  <c r="AC569" i="3"/>
  <c r="AG568" i="3"/>
  <c r="AE568" i="3"/>
  <c r="AF568" i="3" s="1"/>
  <c r="AC568" i="3"/>
  <c r="AD568" i="3" s="1"/>
  <c r="AF567" i="3"/>
  <c r="AE567" i="3"/>
  <c r="AC567" i="3"/>
  <c r="AD567" i="3" s="1"/>
  <c r="AG566" i="3"/>
  <c r="AE566" i="3"/>
  <c r="AF566" i="3" s="1"/>
  <c r="AD566" i="3"/>
  <c r="AC566" i="3"/>
  <c r="AG565" i="3"/>
  <c r="AE565" i="3"/>
  <c r="AF565" i="3" s="1"/>
  <c r="AC565" i="3"/>
  <c r="AD565" i="3" s="1"/>
  <c r="AF564" i="3"/>
  <c r="AE564" i="3"/>
  <c r="AD564" i="3"/>
  <c r="AC564" i="3"/>
  <c r="AE563" i="3"/>
  <c r="AF563" i="3" s="1"/>
  <c r="AC563" i="3"/>
  <c r="AD563" i="3" s="1"/>
  <c r="AE562" i="3"/>
  <c r="AF562" i="3" s="1"/>
  <c r="AD562" i="3"/>
  <c r="AC562" i="3"/>
  <c r="AG561" i="3"/>
  <c r="AF561" i="3"/>
  <c r="AE561" i="3"/>
  <c r="AD561" i="3"/>
  <c r="AC561" i="3"/>
  <c r="AE560" i="3"/>
  <c r="AF560" i="3" s="1"/>
  <c r="AC560" i="3"/>
  <c r="AD560" i="3" s="1"/>
  <c r="AG559" i="3"/>
  <c r="AE559" i="3"/>
  <c r="AF559" i="3" s="1"/>
  <c r="AD559" i="3"/>
  <c r="AC559" i="3"/>
  <c r="AF558" i="3"/>
  <c r="AE558" i="3"/>
  <c r="AC558" i="3"/>
  <c r="AD558" i="3" s="1"/>
  <c r="AH557" i="3"/>
  <c r="AG557" i="3"/>
  <c r="AE557" i="3"/>
  <c r="AF557" i="3" s="1"/>
  <c r="AC557" i="3"/>
  <c r="AD557" i="3" s="1"/>
  <c r="AF556" i="3"/>
  <c r="AE556" i="3"/>
  <c r="AC556" i="3"/>
  <c r="AD556" i="3" s="1"/>
  <c r="AL555" i="3"/>
  <c r="AK555" i="3"/>
  <c r="AJ555" i="3"/>
  <c r="AI555" i="3"/>
  <c r="AG555" i="3"/>
  <c r="AH555" i="3" s="1"/>
  <c r="AE555" i="3"/>
  <c r="AF555" i="3" s="1"/>
  <c r="AC555" i="3"/>
  <c r="AD555" i="3" s="1"/>
  <c r="AE554" i="3"/>
  <c r="AF554" i="3" s="1"/>
  <c r="AC554" i="3"/>
  <c r="AD554" i="3" s="1"/>
  <c r="AE553" i="3"/>
  <c r="AF553" i="3" s="1"/>
  <c r="AD553" i="3"/>
  <c r="AC553" i="3"/>
  <c r="AG552" i="3"/>
  <c r="AF552" i="3"/>
  <c r="AE552" i="3"/>
  <c r="AC552" i="3"/>
  <c r="AD552" i="3" s="1"/>
  <c r="AH551" i="3"/>
  <c r="AG551" i="3"/>
  <c r="AF551" i="3"/>
  <c r="AE551" i="3"/>
  <c r="AC551" i="3"/>
  <c r="AD551" i="3" s="1"/>
  <c r="AF550" i="3"/>
  <c r="AE550" i="3"/>
  <c r="AC550" i="3"/>
  <c r="AD550" i="3" s="1"/>
  <c r="AE549" i="3"/>
  <c r="AF549" i="3" s="1"/>
  <c r="AD549" i="3"/>
  <c r="AC549" i="3"/>
  <c r="AE548" i="3"/>
  <c r="AF548" i="3" s="1"/>
  <c r="AD548" i="3"/>
  <c r="AC548" i="3"/>
  <c r="AF547" i="3"/>
  <c r="AE547" i="3"/>
  <c r="AD547" i="3"/>
  <c r="AC547" i="3"/>
  <c r="AG546" i="3"/>
  <c r="AF546" i="3"/>
  <c r="AE546" i="3"/>
  <c r="AC546" i="3"/>
  <c r="AD546" i="3" s="1"/>
  <c r="AG545" i="3"/>
  <c r="AF545" i="3"/>
  <c r="AE545" i="3"/>
  <c r="AC545" i="3"/>
  <c r="AD545" i="3" s="1"/>
  <c r="AH544" i="3"/>
  <c r="AI544" i="3" s="1"/>
  <c r="AG544" i="3"/>
  <c r="AF544" i="3"/>
  <c r="AE544" i="3"/>
  <c r="AC544" i="3"/>
  <c r="AD544" i="3" s="1"/>
  <c r="AF543" i="3"/>
  <c r="AE543" i="3"/>
  <c r="AD543" i="3"/>
  <c r="AC543" i="3"/>
  <c r="AG542" i="3"/>
  <c r="AF542" i="3"/>
  <c r="AE542" i="3"/>
  <c r="AC542" i="3"/>
  <c r="AD542" i="3" s="1"/>
  <c r="AE541" i="3"/>
  <c r="AF541" i="3" s="1"/>
  <c r="AD541" i="3"/>
  <c r="AC541" i="3"/>
  <c r="AF540" i="3"/>
  <c r="AE540" i="3"/>
  <c r="AD540" i="3"/>
  <c r="AC540" i="3"/>
  <c r="AG539" i="3"/>
  <c r="AF539" i="3"/>
  <c r="AE539" i="3"/>
  <c r="AD539" i="3"/>
  <c r="AC539" i="3"/>
  <c r="AF538" i="3"/>
  <c r="AE538" i="3"/>
  <c r="AD538" i="3"/>
  <c r="AC538" i="3"/>
  <c r="AH537" i="3"/>
  <c r="AG537" i="3"/>
  <c r="AF537" i="3"/>
  <c r="AE537" i="3"/>
  <c r="AD537" i="3"/>
  <c r="AC537" i="3"/>
  <c r="AE536" i="3"/>
  <c r="AF536" i="3" s="1"/>
  <c r="AC536" i="3"/>
  <c r="AD536" i="3" s="1"/>
  <c r="AG535" i="3"/>
  <c r="AF535" i="3"/>
  <c r="AE535" i="3"/>
  <c r="AC535" i="3"/>
  <c r="AD535" i="3" s="1"/>
  <c r="AF534" i="3"/>
  <c r="AE534" i="3"/>
  <c r="AD534" i="3"/>
  <c r="AC534" i="3"/>
  <c r="AE533" i="3"/>
  <c r="AF533" i="3" s="1"/>
  <c r="AD533" i="3"/>
  <c r="AC533" i="3"/>
  <c r="AG532" i="3"/>
  <c r="AE532" i="3"/>
  <c r="AF532" i="3" s="1"/>
  <c r="AD532" i="3"/>
  <c r="AC532" i="3"/>
  <c r="AF531" i="3"/>
  <c r="AE531" i="3"/>
  <c r="AC531" i="3"/>
  <c r="AD531" i="3" s="1"/>
  <c r="AG530" i="3"/>
  <c r="AF530" i="3"/>
  <c r="AE530" i="3"/>
  <c r="AD530" i="3"/>
  <c r="AC530" i="3"/>
  <c r="AF529" i="3"/>
  <c r="AE529" i="3"/>
  <c r="AD529" i="3"/>
  <c r="AC529" i="3"/>
  <c r="AH528" i="3"/>
  <c r="AG528" i="3"/>
  <c r="AF528" i="3"/>
  <c r="AE528" i="3"/>
  <c r="AC528" i="3"/>
  <c r="AD528" i="3" s="1"/>
  <c r="AE527" i="3"/>
  <c r="AF527" i="3" s="1"/>
  <c r="AD527" i="3"/>
  <c r="AC527" i="3"/>
  <c r="AE526" i="3"/>
  <c r="AF526" i="3" s="1"/>
  <c r="AC526" i="3"/>
  <c r="AD526" i="3" s="1"/>
  <c r="AE525" i="3"/>
  <c r="AF525" i="3" s="1"/>
  <c r="AC525" i="3"/>
  <c r="AD525" i="3" s="1"/>
  <c r="AE524" i="3"/>
  <c r="AF524" i="3" s="1"/>
  <c r="AC524" i="3"/>
  <c r="AD524" i="3" s="1"/>
  <c r="AG523" i="3"/>
  <c r="AF523" i="3"/>
  <c r="AE523" i="3"/>
  <c r="AC523" i="3"/>
  <c r="AD523" i="3" s="1"/>
  <c r="AE522" i="3"/>
  <c r="AF522" i="3" s="1"/>
  <c r="AD522" i="3"/>
  <c r="AC522" i="3"/>
  <c r="AG521" i="3"/>
  <c r="AF521" i="3"/>
  <c r="AE521" i="3"/>
  <c r="AD521" i="3"/>
  <c r="AC521" i="3"/>
  <c r="AE520" i="3"/>
  <c r="AC520" i="3"/>
  <c r="AD520" i="3" s="1"/>
  <c r="AE519" i="3"/>
  <c r="AF519" i="3" s="1"/>
  <c r="AD519" i="3"/>
  <c r="AC519" i="3"/>
  <c r="AF518" i="3"/>
  <c r="AE518" i="3"/>
  <c r="AC518" i="3"/>
  <c r="AD518" i="3" s="1"/>
  <c r="AE517" i="3"/>
  <c r="AF517" i="3" s="1"/>
  <c r="AC517" i="3"/>
  <c r="AD517" i="3" s="1"/>
  <c r="AF516" i="3"/>
  <c r="AE516" i="3"/>
  <c r="AC516" i="3"/>
  <c r="AD516" i="3" s="1"/>
  <c r="AE515" i="3"/>
  <c r="AF515" i="3" s="1"/>
  <c r="AD515" i="3"/>
  <c r="AC515" i="3"/>
  <c r="AE514" i="3"/>
  <c r="AF514" i="3" s="1"/>
  <c r="AC514" i="3"/>
  <c r="AD514" i="3" s="1"/>
  <c r="AE513" i="3"/>
  <c r="AF513" i="3" s="1"/>
  <c r="AD513" i="3"/>
  <c r="AC513" i="3"/>
  <c r="AE512" i="3"/>
  <c r="AF512" i="3" s="1"/>
  <c r="AC512" i="3"/>
  <c r="AD512" i="3" s="1"/>
  <c r="AG511" i="3"/>
  <c r="AF511" i="3"/>
  <c r="AE511" i="3"/>
  <c r="AD511" i="3"/>
  <c r="AC511" i="3"/>
  <c r="AE510" i="3"/>
  <c r="AF510" i="3" s="1"/>
  <c r="AC510" i="3"/>
  <c r="AD510" i="3" s="1"/>
  <c r="AG509" i="3"/>
  <c r="AE509" i="3"/>
  <c r="AF509" i="3" s="1"/>
  <c r="AC509" i="3"/>
  <c r="AD509" i="3" s="1"/>
  <c r="AH508" i="3"/>
  <c r="AG508" i="3"/>
  <c r="AE508" i="3"/>
  <c r="AF508" i="3" s="1"/>
  <c r="AC508" i="3"/>
  <c r="AD508" i="3" s="1"/>
  <c r="AG507" i="3"/>
  <c r="AF507" i="3"/>
  <c r="AE507" i="3"/>
  <c r="AD507" i="3"/>
  <c r="AC507" i="3"/>
  <c r="AG506" i="3"/>
  <c r="AE506" i="3"/>
  <c r="AF506" i="3" s="1"/>
  <c r="AC506" i="3"/>
  <c r="AD506" i="3" s="1"/>
  <c r="AE505" i="3"/>
  <c r="AF505" i="3" s="1"/>
  <c r="AD505" i="3"/>
  <c r="AC505" i="3"/>
  <c r="AE504" i="3"/>
  <c r="AF504" i="3" s="1"/>
  <c r="AC504" i="3"/>
  <c r="AD504" i="3" s="1"/>
  <c r="AG503" i="3"/>
  <c r="AF503" i="3"/>
  <c r="AE503" i="3"/>
  <c r="AD503" i="3"/>
  <c r="AC503" i="3"/>
  <c r="AH502" i="3"/>
  <c r="AG502" i="3"/>
  <c r="AF502" i="3"/>
  <c r="AE502" i="3"/>
  <c r="AC502" i="3"/>
  <c r="AD502" i="3" s="1"/>
  <c r="AI501" i="3"/>
  <c r="AH501" i="3"/>
  <c r="AG501" i="3"/>
  <c r="AE501" i="3"/>
  <c r="AF501" i="3" s="1"/>
  <c r="AC501" i="3"/>
  <c r="AD501" i="3" s="1"/>
  <c r="AE500" i="3"/>
  <c r="AF500" i="3" s="1"/>
  <c r="AC500" i="3"/>
  <c r="AD500" i="3" s="1"/>
  <c r="AF499" i="3"/>
  <c r="AE499" i="3"/>
  <c r="AD499" i="3"/>
  <c r="AC499" i="3"/>
  <c r="AF498" i="3"/>
  <c r="AE498" i="3"/>
  <c r="AD498" i="3"/>
  <c r="AC498" i="3"/>
  <c r="AE497" i="3"/>
  <c r="AF497" i="3" s="1"/>
  <c r="AC497" i="3"/>
  <c r="AD497" i="3" s="1"/>
  <c r="AF496" i="3"/>
  <c r="AE496" i="3"/>
  <c r="AC496" i="3"/>
  <c r="AD496" i="3" s="1"/>
  <c r="AF495" i="3"/>
  <c r="AE495" i="3"/>
  <c r="AD495" i="3"/>
  <c r="AC495" i="3"/>
  <c r="AE494" i="3"/>
  <c r="AF494" i="3" s="1"/>
  <c r="AC494" i="3"/>
  <c r="AD494" i="3" s="1"/>
  <c r="AE493" i="3"/>
  <c r="AF493" i="3" s="1"/>
  <c r="AD493" i="3"/>
  <c r="AC493" i="3"/>
  <c r="AG492" i="3"/>
  <c r="AE492" i="3"/>
  <c r="AF492" i="3" s="1"/>
  <c r="AD492" i="3"/>
  <c r="AC492" i="3"/>
  <c r="AE491" i="3"/>
  <c r="AD491" i="3"/>
  <c r="AC491" i="3"/>
  <c r="AF490" i="3"/>
  <c r="AE490" i="3"/>
  <c r="AC490" i="3"/>
  <c r="AD490" i="3" s="1"/>
  <c r="AE489" i="3"/>
  <c r="AF489" i="3" s="1"/>
  <c r="AC489" i="3"/>
  <c r="AD489" i="3" s="1"/>
  <c r="AE488" i="3"/>
  <c r="AC488" i="3"/>
  <c r="AD488" i="3" s="1"/>
  <c r="AE487" i="3"/>
  <c r="AF487" i="3" s="1"/>
  <c r="AC487" i="3"/>
  <c r="AD487" i="3" s="1"/>
  <c r="AF486" i="3"/>
  <c r="AE486" i="3"/>
  <c r="AD486" i="3"/>
  <c r="AC486" i="3"/>
  <c r="AI485" i="3"/>
  <c r="AH485" i="3"/>
  <c r="AG485" i="3"/>
  <c r="AE485" i="3"/>
  <c r="AF485" i="3" s="1"/>
  <c r="AD485" i="3"/>
  <c r="AC485" i="3"/>
  <c r="AE484" i="3"/>
  <c r="AF484" i="3" s="1"/>
  <c r="AC484" i="3"/>
  <c r="AD484" i="3" s="1"/>
  <c r="AE483" i="3"/>
  <c r="AF483" i="3" s="1"/>
  <c r="AD483" i="3"/>
  <c r="AG483" i="3" s="1"/>
  <c r="AC483" i="3"/>
  <c r="AF482" i="3"/>
  <c r="AE482" i="3"/>
  <c r="AC482" i="3"/>
  <c r="AD482" i="3" s="1"/>
  <c r="AE481" i="3"/>
  <c r="AF481" i="3" s="1"/>
  <c r="AC481" i="3"/>
  <c r="AD481" i="3" s="1"/>
  <c r="AG480" i="3"/>
  <c r="AF480" i="3"/>
  <c r="AE480" i="3"/>
  <c r="AC480" i="3"/>
  <c r="AD480" i="3" s="1"/>
  <c r="AE479" i="3"/>
  <c r="AG479" i="3" s="1"/>
  <c r="AD479" i="3"/>
  <c r="AC479" i="3"/>
  <c r="AE478" i="3"/>
  <c r="AF478" i="3" s="1"/>
  <c r="AD478" i="3"/>
  <c r="AC478" i="3"/>
  <c r="AE477" i="3"/>
  <c r="AF477" i="3" s="1"/>
  <c r="AC477" i="3"/>
  <c r="AD477" i="3" s="1"/>
  <c r="AE476" i="3"/>
  <c r="AF476" i="3" s="1"/>
  <c r="AD476" i="3"/>
  <c r="AC476" i="3"/>
  <c r="AG475" i="3"/>
  <c r="AF475" i="3"/>
  <c r="AE475" i="3"/>
  <c r="AC475" i="3"/>
  <c r="AD475" i="3" s="1"/>
  <c r="AE474" i="3"/>
  <c r="AF474" i="3" s="1"/>
  <c r="AC474" i="3"/>
  <c r="AD474" i="3" s="1"/>
  <c r="AE473" i="3"/>
  <c r="AD473" i="3"/>
  <c r="AC473" i="3"/>
  <c r="AF472" i="3"/>
  <c r="AE472" i="3"/>
  <c r="AC472" i="3"/>
  <c r="AD472" i="3" s="1"/>
  <c r="AE471" i="3"/>
  <c r="AF471" i="3" s="1"/>
  <c r="AD471" i="3"/>
  <c r="AC471" i="3"/>
  <c r="AH470" i="3"/>
  <c r="AI470" i="3" s="1"/>
  <c r="AG470" i="3"/>
  <c r="AF470" i="3"/>
  <c r="AE470" i="3"/>
  <c r="AC470" i="3"/>
  <c r="AD470" i="3" s="1"/>
  <c r="AE469" i="3"/>
  <c r="AF469" i="3" s="1"/>
  <c r="AD469" i="3"/>
  <c r="AC469" i="3"/>
  <c r="AG468" i="3"/>
  <c r="AF468" i="3"/>
  <c r="AE468" i="3"/>
  <c r="AC468" i="3"/>
  <c r="AD468" i="3" s="1"/>
  <c r="AE467" i="3"/>
  <c r="AF467" i="3" s="1"/>
  <c r="AC467" i="3"/>
  <c r="AD467" i="3" s="1"/>
  <c r="AE466" i="3"/>
  <c r="AF466" i="3" s="1"/>
  <c r="AD466" i="3"/>
  <c r="AC466" i="3"/>
  <c r="AH465" i="3"/>
  <c r="AG465" i="3"/>
  <c r="AF465" i="3"/>
  <c r="AE465" i="3"/>
  <c r="AD465" i="3"/>
  <c r="AC465" i="3"/>
  <c r="AE464" i="3"/>
  <c r="AF464" i="3" s="1"/>
  <c r="AC464" i="3"/>
  <c r="AD464" i="3" s="1"/>
  <c r="AF463" i="3"/>
  <c r="AE463" i="3"/>
  <c r="AC463" i="3"/>
  <c r="AD463" i="3" s="1"/>
  <c r="AE462" i="3"/>
  <c r="AF462" i="3" s="1"/>
  <c r="AD462" i="3"/>
  <c r="AC462" i="3"/>
  <c r="AE461" i="3"/>
  <c r="AF461" i="3" s="1"/>
  <c r="AC461" i="3"/>
  <c r="AD461" i="3" s="1"/>
  <c r="AH460" i="3"/>
  <c r="AG460" i="3"/>
  <c r="AF460" i="3"/>
  <c r="AE460" i="3"/>
  <c r="AD460" i="3"/>
  <c r="AC460" i="3"/>
  <c r="AF459" i="3"/>
  <c r="AE459" i="3"/>
  <c r="AD459" i="3"/>
  <c r="AC459" i="3"/>
  <c r="AV458" i="3"/>
  <c r="AU458" i="3"/>
  <c r="AT458" i="3"/>
  <c r="AS458" i="3"/>
  <c r="AR458" i="3"/>
  <c r="AQ458" i="3"/>
  <c r="AP458" i="3"/>
  <c r="AO458" i="3"/>
  <c r="AN458" i="3"/>
  <c r="AM458" i="3"/>
  <c r="AL458" i="3"/>
  <c r="AK458" i="3"/>
  <c r="AJ458" i="3"/>
  <c r="AI458" i="3"/>
  <c r="AH458" i="3"/>
  <c r="AG458" i="3"/>
  <c r="AF458" i="3"/>
  <c r="AE458" i="3"/>
  <c r="AC458" i="3"/>
  <c r="AD458" i="3" s="1"/>
  <c r="AE457" i="3"/>
  <c r="AF457" i="3" s="1"/>
  <c r="AD457" i="3"/>
  <c r="AC457" i="3"/>
  <c r="AG456" i="3"/>
  <c r="AF456" i="3"/>
  <c r="AE456" i="3"/>
  <c r="AC456" i="3"/>
  <c r="AD456" i="3" s="1"/>
  <c r="AG455" i="3"/>
  <c r="AF455" i="3"/>
  <c r="AE455" i="3"/>
  <c r="AD455" i="3"/>
  <c r="AC455" i="3"/>
  <c r="AE454" i="3"/>
  <c r="AF454" i="3" s="1"/>
  <c r="AC454" i="3"/>
  <c r="AD454" i="3" s="1"/>
  <c r="AE453" i="3"/>
  <c r="AF453" i="3" s="1"/>
  <c r="AC453" i="3"/>
  <c r="AD453" i="3" s="1"/>
  <c r="AH452" i="3"/>
  <c r="AG452" i="3"/>
  <c r="AF452" i="3"/>
  <c r="AE452" i="3"/>
  <c r="AD452" i="3"/>
  <c r="AC452" i="3"/>
  <c r="AH451" i="3"/>
  <c r="AG451" i="3"/>
  <c r="AF451" i="3"/>
  <c r="AE451" i="3"/>
  <c r="AC451" i="3"/>
  <c r="AD451" i="3" s="1"/>
  <c r="AG450" i="3"/>
  <c r="AF450" i="3"/>
  <c r="AE450" i="3"/>
  <c r="AC450" i="3"/>
  <c r="AD450" i="3" s="1"/>
  <c r="AF449" i="3"/>
  <c r="AE449" i="3"/>
  <c r="AC449" i="3"/>
  <c r="AD449" i="3" s="1"/>
  <c r="AI448" i="3"/>
  <c r="AH448" i="3"/>
  <c r="AG448" i="3"/>
  <c r="AF448" i="3"/>
  <c r="AE448" i="3"/>
  <c r="AC448" i="3"/>
  <c r="AD448" i="3" s="1"/>
  <c r="AE447" i="3"/>
  <c r="AF447" i="3" s="1"/>
  <c r="AD447" i="3"/>
  <c r="AC447" i="3"/>
  <c r="AF446" i="3"/>
  <c r="AE446" i="3"/>
  <c r="AC446" i="3"/>
  <c r="AD446" i="3" s="1"/>
  <c r="AE445" i="3"/>
  <c r="AF445" i="3" s="1"/>
  <c r="AC445" i="3"/>
  <c r="AD445" i="3" s="1"/>
  <c r="AG444" i="3"/>
  <c r="AF444" i="3"/>
  <c r="AE444" i="3"/>
  <c r="AC444" i="3"/>
  <c r="AD444" i="3" s="1"/>
  <c r="AH443" i="3"/>
  <c r="AG443" i="3"/>
  <c r="AF443" i="3"/>
  <c r="AE443" i="3"/>
  <c r="AC443" i="3"/>
  <c r="AD443" i="3" s="1"/>
  <c r="AE442" i="3"/>
  <c r="AF442" i="3" s="1"/>
  <c r="AC442" i="3"/>
  <c r="AD442" i="3" s="1"/>
  <c r="AE441" i="3"/>
  <c r="AF441" i="3" s="1"/>
  <c r="AD441" i="3"/>
  <c r="AC441" i="3"/>
  <c r="AE440" i="3"/>
  <c r="AF440" i="3" s="1"/>
  <c r="AC440" i="3"/>
  <c r="AD440" i="3" s="1"/>
  <c r="AG439" i="3"/>
  <c r="AF439" i="3"/>
  <c r="AE439" i="3"/>
  <c r="AD439" i="3"/>
  <c r="AC439" i="3"/>
  <c r="AF438" i="3"/>
  <c r="AE438" i="3"/>
  <c r="AD438" i="3"/>
  <c r="AC438" i="3"/>
  <c r="AG437" i="3"/>
  <c r="AE437" i="3"/>
  <c r="AF437" i="3" s="1"/>
  <c r="AC437" i="3"/>
  <c r="AD437" i="3" s="1"/>
  <c r="AG436" i="3"/>
  <c r="AF436" i="3"/>
  <c r="AE436" i="3"/>
  <c r="AC436" i="3"/>
  <c r="AD436" i="3" s="1"/>
  <c r="AE435" i="3"/>
  <c r="AF435" i="3" s="1"/>
  <c r="AD435" i="3"/>
  <c r="AC435" i="3"/>
  <c r="AG434" i="3"/>
  <c r="AF434" i="3"/>
  <c r="AE434" i="3"/>
  <c r="AD434" i="3"/>
  <c r="AC434" i="3"/>
  <c r="AF433" i="3"/>
  <c r="AE433" i="3"/>
  <c r="AD433" i="3"/>
  <c r="AC433" i="3"/>
  <c r="AG432" i="3"/>
  <c r="AF432" i="3"/>
  <c r="AE432" i="3"/>
  <c r="AC432" i="3"/>
  <c r="AD432" i="3" s="1"/>
  <c r="AF431" i="3"/>
  <c r="AE431" i="3"/>
  <c r="AC431" i="3"/>
  <c r="AD431" i="3" s="1"/>
  <c r="AH430" i="3"/>
  <c r="AG430" i="3"/>
  <c r="AE430" i="3"/>
  <c r="AF430" i="3" s="1"/>
  <c r="AD430" i="3"/>
  <c r="AC430" i="3"/>
  <c r="AE429" i="3"/>
  <c r="AF429" i="3" s="1"/>
  <c r="AC429" i="3"/>
  <c r="AD429" i="3" s="1"/>
  <c r="AF428" i="3"/>
  <c r="AE428" i="3"/>
  <c r="AD428" i="3"/>
  <c r="AC428" i="3"/>
  <c r="AF427" i="3"/>
  <c r="AE427" i="3"/>
  <c r="AC427" i="3"/>
  <c r="AD427" i="3" s="1"/>
  <c r="AF426" i="3"/>
  <c r="AE426" i="3"/>
  <c r="AD426" i="3"/>
  <c r="AC426" i="3"/>
  <c r="AG425" i="3"/>
  <c r="AE425" i="3"/>
  <c r="AF425" i="3" s="1"/>
  <c r="AD425" i="3"/>
  <c r="AC425" i="3"/>
  <c r="AF424" i="3"/>
  <c r="AE424" i="3"/>
  <c r="AC424" i="3"/>
  <c r="AD424" i="3" s="1"/>
  <c r="AG423" i="3"/>
  <c r="AE423" i="3"/>
  <c r="AF423" i="3" s="1"/>
  <c r="AD423" i="3"/>
  <c r="AC423" i="3"/>
  <c r="AE422" i="3"/>
  <c r="AF422" i="3" s="1"/>
  <c r="AD422" i="3"/>
  <c r="AC422" i="3"/>
  <c r="AE421" i="3"/>
  <c r="AF421" i="3" s="1"/>
  <c r="AC421" i="3"/>
  <c r="AD421" i="3" s="1"/>
  <c r="AG420" i="3"/>
  <c r="AE420" i="3"/>
  <c r="AF420" i="3" s="1"/>
  <c r="AC420" i="3"/>
  <c r="AD420" i="3" s="1"/>
  <c r="AE419" i="3"/>
  <c r="AF419" i="3" s="1"/>
  <c r="AC419" i="3"/>
  <c r="AD419" i="3" s="1"/>
  <c r="AG418" i="3"/>
  <c r="AF418" i="3"/>
  <c r="AE418" i="3"/>
  <c r="AD418" i="3"/>
  <c r="AC418" i="3"/>
  <c r="AG417" i="3"/>
  <c r="AE417" i="3"/>
  <c r="AF417" i="3" s="1"/>
  <c r="AD417" i="3"/>
  <c r="AC417" i="3"/>
  <c r="AE416" i="3"/>
  <c r="AF416" i="3" s="1"/>
  <c r="AC416" i="3"/>
  <c r="AD416" i="3" s="1"/>
  <c r="AF415" i="3"/>
  <c r="AE415" i="3"/>
  <c r="AC415" i="3"/>
  <c r="AD415" i="3" s="1"/>
  <c r="AF414" i="3"/>
  <c r="AE414" i="3"/>
  <c r="AD414" i="3"/>
  <c r="AC414" i="3"/>
  <c r="AG413" i="3"/>
  <c r="AE413" i="3"/>
  <c r="AF413" i="3" s="1"/>
  <c r="AC413" i="3"/>
  <c r="AD413" i="3" s="1"/>
  <c r="AE412" i="3"/>
  <c r="AF412" i="3" s="1"/>
  <c r="AD412" i="3"/>
  <c r="AC412" i="3"/>
  <c r="AF411" i="3"/>
  <c r="AE411" i="3"/>
  <c r="AC411" i="3"/>
  <c r="AD411" i="3" s="1"/>
  <c r="AG410" i="3"/>
  <c r="AF410" i="3"/>
  <c r="AE410" i="3"/>
  <c r="AD410" i="3"/>
  <c r="AC410" i="3"/>
  <c r="AE409" i="3"/>
  <c r="AF409" i="3" s="1"/>
  <c r="AD409" i="3"/>
  <c r="AC409" i="3"/>
  <c r="AG408" i="3"/>
  <c r="AF408" i="3"/>
  <c r="AE408" i="3"/>
  <c r="AC408" i="3"/>
  <c r="AD408" i="3" s="1"/>
  <c r="AE407" i="3"/>
  <c r="AF407" i="3" s="1"/>
  <c r="AD407" i="3"/>
  <c r="AC407" i="3"/>
  <c r="AF406" i="3"/>
  <c r="AE406" i="3"/>
  <c r="AC406" i="3"/>
  <c r="AD406" i="3" s="1"/>
  <c r="AE405" i="3"/>
  <c r="AF405" i="3" s="1"/>
  <c r="AC405" i="3"/>
  <c r="AD405" i="3" s="1"/>
  <c r="AF404" i="3"/>
  <c r="AE404" i="3"/>
  <c r="AC404" i="3"/>
  <c r="AD404" i="3" s="1"/>
  <c r="AG403" i="3"/>
  <c r="AF403" i="3"/>
  <c r="AE403" i="3"/>
  <c r="AD403" i="3"/>
  <c r="AC403" i="3"/>
  <c r="AE402" i="3"/>
  <c r="AF402" i="3" s="1"/>
  <c r="AD402" i="3"/>
  <c r="AC402" i="3"/>
  <c r="AH401" i="3"/>
  <c r="AG401" i="3"/>
  <c r="AF401" i="3"/>
  <c r="AE401" i="3"/>
  <c r="AC401" i="3"/>
  <c r="AD401" i="3" s="1"/>
  <c r="AE400" i="3"/>
  <c r="AF400" i="3" s="1"/>
  <c r="AC400" i="3"/>
  <c r="AD400" i="3" s="1"/>
  <c r="AF399" i="3"/>
  <c r="AE399" i="3"/>
  <c r="AC399" i="3"/>
  <c r="AD399" i="3" s="1"/>
  <c r="AF398" i="3"/>
  <c r="AE398" i="3"/>
  <c r="AC398" i="3"/>
  <c r="AD398" i="3" s="1"/>
  <c r="AI397" i="3"/>
  <c r="AH397" i="3"/>
  <c r="AG397" i="3"/>
  <c r="AE397" i="3"/>
  <c r="AF397" i="3" s="1"/>
  <c r="AD397" i="3"/>
  <c r="AC397" i="3"/>
  <c r="AH396" i="3"/>
  <c r="AG396" i="3"/>
  <c r="AF396" i="3"/>
  <c r="AE396" i="3"/>
  <c r="AD396" i="3"/>
  <c r="AC396" i="3"/>
  <c r="AF395" i="3"/>
  <c r="AE395" i="3"/>
  <c r="AD395" i="3"/>
  <c r="AC395" i="3"/>
  <c r="AF394" i="3"/>
  <c r="AE394" i="3"/>
  <c r="AC394" i="3"/>
  <c r="AD394" i="3" s="1"/>
  <c r="AV393" i="3"/>
  <c r="AU393" i="3"/>
  <c r="AT393" i="3"/>
  <c r="AS393" i="3"/>
  <c r="AR393" i="3"/>
  <c r="AQ393" i="3"/>
  <c r="AP393" i="3"/>
  <c r="AO393" i="3"/>
  <c r="AN393" i="3"/>
  <c r="AM393" i="3"/>
  <c r="AL393" i="3"/>
  <c r="AK393" i="3"/>
  <c r="AJ393" i="3"/>
  <c r="AI393" i="3"/>
  <c r="AH393" i="3"/>
  <c r="AG393" i="3"/>
  <c r="AF393" i="3"/>
  <c r="AE393" i="3"/>
  <c r="AC393" i="3"/>
  <c r="AD393" i="3" s="1"/>
  <c r="AE392" i="3"/>
  <c r="AF392" i="3" s="1"/>
  <c r="AC392" i="3"/>
  <c r="AD392" i="3" s="1"/>
  <c r="AV391" i="3"/>
  <c r="AU391" i="3"/>
  <c r="AT391" i="3"/>
  <c r="AS391" i="3"/>
  <c r="AR391" i="3"/>
  <c r="AQ391" i="3"/>
  <c r="AP391" i="3"/>
  <c r="AO391" i="3"/>
  <c r="AN391" i="3"/>
  <c r="AM391" i="3"/>
  <c r="AL391" i="3"/>
  <c r="AK391" i="3"/>
  <c r="AJ391" i="3"/>
  <c r="AI391" i="3"/>
  <c r="AH391" i="3"/>
  <c r="AG391" i="3"/>
  <c r="AE391" i="3"/>
  <c r="AF391" i="3" s="1"/>
  <c r="AC391" i="3"/>
  <c r="AD391" i="3" s="1"/>
  <c r="AG390" i="3"/>
  <c r="AF390" i="3"/>
  <c r="AE390" i="3"/>
  <c r="AC390" i="3"/>
  <c r="AD390" i="3" s="1"/>
  <c r="AV389" i="3"/>
  <c r="AU389" i="3"/>
  <c r="AT389" i="3"/>
  <c r="AS389" i="3"/>
  <c r="AR389" i="3"/>
  <c r="AQ389" i="3"/>
  <c r="AP389" i="3"/>
  <c r="AO389" i="3"/>
  <c r="AN389" i="3"/>
  <c r="AM389" i="3"/>
  <c r="AL389" i="3"/>
  <c r="AK389" i="3"/>
  <c r="AJ389" i="3"/>
  <c r="AI389" i="3"/>
  <c r="AH389" i="3"/>
  <c r="AG389" i="3"/>
  <c r="AE389" i="3"/>
  <c r="AF389" i="3" s="1"/>
  <c r="AD389" i="3"/>
  <c r="AC389" i="3"/>
  <c r="AE388" i="3"/>
  <c r="AF388" i="3" s="1"/>
  <c r="AC388" i="3"/>
  <c r="AD388" i="3" s="1"/>
  <c r="AV387" i="3"/>
  <c r="AU387" i="3"/>
  <c r="AT387" i="3"/>
  <c r="AS387" i="3"/>
  <c r="AR387" i="3"/>
  <c r="AQ387" i="3"/>
  <c r="AP387" i="3"/>
  <c r="AO387" i="3"/>
  <c r="AN387" i="3"/>
  <c r="AM387" i="3"/>
  <c r="AL387" i="3"/>
  <c r="AK387" i="3"/>
  <c r="AJ387" i="3"/>
  <c r="AI387" i="3"/>
  <c r="AH387" i="3"/>
  <c r="AG387" i="3"/>
  <c r="AE387" i="3"/>
  <c r="AF387" i="3" s="1"/>
  <c r="AD387" i="3"/>
  <c r="AC387" i="3"/>
  <c r="AG386" i="3"/>
  <c r="AF386" i="3"/>
  <c r="AE386" i="3"/>
  <c r="AC386" i="3"/>
  <c r="AD386" i="3" s="1"/>
  <c r="AV385" i="3"/>
  <c r="AU385" i="3"/>
  <c r="AT385" i="3"/>
  <c r="AS385" i="3"/>
  <c r="AR385" i="3"/>
  <c r="AQ385" i="3"/>
  <c r="AP385" i="3"/>
  <c r="AO385" i="3"/>
  <c r="AN385" i="3"/>
  <c r="AM385" i="3"/>
  <c r="AL385" i="3"/>
  <c r="AK385" i="3"/>
  <c r="AJ385" i="3"/>
  <c r="AI385" i="3"/>
  <c r="AH385" i="3"/>
  <c r="AG385" i="3"/>
  <c r="AF385" i="3"/>
  <c r="AE385" i="3"/>
  <c r="AD385" i="3"/>
  <c r="AC385" i="3"/>
  <c r="AF384" i="3"/>
  <c r="AE384" i="3"/>
  <c r="AC384" i="3"/>
  <c r="AD384" i="3" s="1"/>
  <c r="AV383" i="3"/>
  <c r="AU383" i="3"/>
  <c r="AT383" i="3"/>
  <c r="AS383" i="3"/>
  <c r="AR383" i="3"/>
  <c r="AQ383" i="3"/>
  <c r="AP383" i="3"/>
  <c r="AO383" i="3"/>
  <c r="AN383" i="3"/>
  <c r="AM383" i="3"/>
  <c r="AL383" i="3"/>
  <c r="AK383" i="3"/>
  <c r="AJ383" i="3"/>
  <c r="AI383" i="3"/>
  <c r="AH383" i="3"/>
  <c r="AG383" i="3"/>
  <c r="AW383" i="3" s="1"/>
  <c r="AF383" i="3"/>
  <c r="AE383" i="3"/>
  <c r="AC383" i="3"/>
  <c r="AD383" i="3" s="1"/>
  <c r="AE382" i="3"/>
  <c r="AF382" i="3" s="1"/>
  <c r="AD382" i="3"/>
  <c r="AC382" i="3"/>
  <c r="AV381" i="3"/>
  <c r="AU381" i="3"/>
  <c r="AT381" i="3"/>
  <c r="AS381" i="3"/>
  <c r="AR381" i="3"/>
  <c r="AQ381" i="3"/>
  <c r="AP381" i="3"/>
  <c r="AO381" i="3"/>
  <c r="AN381" i="3"/>
  <c r="AM381" i="3"/>
  <c r="AL381" i="3"/>
  <c r="AK381" i="3"/>
  <c r="AJ381" i="3"/>
  <c r="AI381" i="3"/>
  <c r="AH381" i="3"/>
  <c r="AG381" i="3"/>
  <c r="AE381" i="3"/>
  <c r="AF381" i="3" s="1"/>
  <c r="AC381" i="3"/>
  <c r="AD381" i="3" s="1"/>
  <c r="AF380" i="3"/>
  <c r="AE380" i="3"/>
  <c r="AC380" i="3"/>
  <c r="AG379" i="3"/>
  <c r="AF379" i="3"/>
  <c r="AE379" i="3"/>
  <c r="AC379" i="3"/>
  <c r="AD379" i="3" s="1"/>
  <c r="AF378" i="3"/>
  <c r="AE378" i="3"/>
  <c r="AD378" i="3"/>
  <c r="AC378" i="3"/>
  <c r="AH377" i="3"/>
  <c r="AG377" i="3"/>
  <c r="AF377" i="3"/>
  <c r="AE377" i="3"/>
  <c r="AC377" i="3"/>
  <c r="AD377" i="3" s="1"/>
  <c r="AE376" i="3"/>
  <c r="AF376" i="3" s="1"/>
  <c r="AC376" i="3"/>
  <c r="AD376" i="3" s="1"/>
  <c r="AF375" i="3"/>
  <c r="AE375" i="3"/>
  <c r="AC375" i="3"/>
  <c r="AD375" i="3" s="1"/>
  <c r="AF374" i="3"/>
  <c r="AE374" i="3"/>
  <c r="AC374" i="3"/>
  <c r="AD374" i="3" s="1"/>
  <c r="AI373" i="3"/>
  <c r="AH373" i="3"/>
  <c r="AG373" i="3"/>
  <c r="AE373" i="3"/>
  <c r="AF373" i="3" s="1"/>
  <c r="AC373" i="3"/>
  <c r="AD373" i="3" s="1"/>
  <c r="AG372" i="3"/>
  <c r="AF372" i="3"/>
  <c r="AE372" i="3"/>
  <c r="AC372" i="3"/>
  <c r="AD372" i="3" s="1"/>
  <c r="AE371" i="3"/>
  <c r="AF371" i="3" s="1"/>
  <c r="AD371" i="3"/>
  <c r="AC371" i="3"/>
  <c r="AE370" i="3"/>
  <c r="AF370" i="3" s="1"/>
  <c r="AC370" i="3"/>
  <c r="AD370" i="3" s="1"/>
  <c r="AF369" i="3"/>
  <c r="AE369" i="3"/>
  <c r="AD369" i="3"/>
  <c r="AC369" i="3"/>
  <c r="AG368" i="3"/>
  <c r="AF368" i="3"/>
  <c r="AE368" i="3"/>
  <c r="AC368" i="3"/>
  <c r="AD368" i="3" s="1"/>
  <c r="AE367" i="3"/>
  <c r="AC367" i="3"/>
  <c r="AD367" i="3" s="1"/>
  <c r="AE366" i="3"/>
  <c r="AC366" i="3"/>
  <c r="AD366" i="3" s="1"/>
  <c r="AE365" i="3"/>
  <c r="AC365" i="3"/>
  <c r="AD365" i="3" s="1"/>
  <c r="AF364" i="3"/>
  <c r="AE364" i="3"/>
  <c r="AC364" i="3"/>
  <c r="AD364" i="3" s="1"/>
  <c r="AI363" i="3"/>
  <c r="AH363" i="3"/>
  <c r="AG363" i="3"/>
  <c r="AF363" i="3"/>
  <c r="AE363" i="3"/>
  <c r="AD363" i="3"/>
  <c r="AC363" i="3"/>
  <c r="AE362" i="3"/>
  <c r="AF362" i="3" s="1"/>
  <c r="AC362" i="3"/>
  <c r="AD362" i="3" s="1"/>
  <c r="AG361" i="3"/>
  <c r="AE361" i="3"/>
  <c r="AC361" i="3"/>
  <c r="AD361" i="3" s="1"/>
  <c r="AE360" i="3"/>
  <c r="AC360" i="3"/>
  <c r="AD360" i="3" s="1"/>
  <c r="AG359" i="3"/>
  <c r="AE359" i="3"/>
  <c r="AD359" i="3"/>
  <c r="AC359" i="3"/>
  <c r="AE358" i="3"/>
  <c r="AC358" i="3"/>
  <c r="AD358" i="3" s="1"/>
  <c r="AE357" i="3"/>
  <c r="AD357" i="3"/>
  <c r="AC357" i="3"/>
  <c r="AI356" i="3"/>
  <c r="AH356" i="3"/>
  <c r="AG356" i="3"/>
  <c r="AF356" i="3"/>
  <c r="AE356" i="3"/>
  <c r="AD356" i="3"/>
  <c r="AC356" i="3"/>
  <c r="AG355" i="3"/>
  <c r="AF355" i="3"/>
  <c r="AE355" i="3"/>
  <c r="AD355" i="3"/>
  <c r="AC355" i="3"/>
  <c r="AE354" i="3"/>
  <c r="AC354" i="3"/>
  <c r="AD354" i="3" s="1"/>
  <c r="AE353" i="3"/>
  <c r="AF353" i="3" s="1"/>
  <c r="AC353" i="3"/>
  <c r="AD353" i="3" s="1"/>
  <c r="AE352" i="3"/>
  <c r="AC352" i="3"/>
  <c r="AD352" i="3" s="1"/>
  <c r="AI351" i="3"/>
  <c r="AH351" i="3"/>
  <c r="AG351" i="3"/>
  <c r="AE351" i="3"/>
  <c r="AC351" i="3"/>
  <c r="AD351" i="3" s="1"/>
  <c r="AE350" i="3"/>
  <c r="AD350" i="3"/>
  <c r="AC350" i="3"/>
  <c r="AH349" i="3"/>
  <c r="AG349" i="3"/>
  <c r="AE349" i="3"/>
  <c r="AD349" i="3"/>
  <c r="AC349" i="3"/>
  <c r="AE348" i="3"/>
  <c r="AC348" i="3"/>
  <c r="AD348" i="3" s="1"/>
  <c r="AE347" i="3"/>
  <c r="AC347" i="3"/>
  <c r="AD347" i="3" s="1"/>
  <c r="AE346" i="3"/>
  <c r="AD346" i="3"/>
  <c r="AC346" i="3"/>
  <c r="AE345" i="3"/>
  <c r="AF345" i="3" s="1"/>
  <c r="AD345" i="3"/>
  <c r="AC345" i="3"/>
  <c r="AE344" i="3"/>
  <c r="AF344" i="3" s="1"/>
  <c r="AD344" i="3"/>
  <c r="AC344" i="3"/>
  <c r="AG343" i="3"/>
  <c r="AF343" i="3"/>
  <c r="AE343" i="3"/>
  <c r="AD343" i="3"/>
  <c r="AC343" i="3"/>
  <c r="AE342" i="3"/>
  <c r="AC342" i="3"/>
  <c r="AD342" i="3" s="1"/>
  <c r="AF341" i="3"/>
  <c r="AE341" i="3"/>
  <c r="AD341" i="3"/>
  <c r="AC341" i="3"/>
  <c r="AE340" i="3"/>
  <c r="AC340" i="3"/>
  <c r="AD340" i="3" s="1"/>
  <c r="AG339" i="3"/>
  <c r="AF339" i="3"/>
  <c r="AE339" i="3"/>
  <c r="AC339" i="3"/>
  <c r="AD339" i="3" s="1"/>
  <c r="AF338" i="3"/>
  <c r="AE338" i="3"/>
  <c r="AD338" i="3"/>
  <c r="AC338" i="3"/>
  <c r="AE337" i="3"/>
  <c r="AD337" i="3"/>
  <c r="AC337" i="3"/>
  <c r="AG336" i="3"/>
  <c r="AH336" i="3" s="1"/>
  <c r="AF336" i="3"/>
  <c r="AE336" i="3"/>
  <c r="AD336" i="3"/>
  <c r="AC336" i="3"/>
  <c r="AE335" i="3"/>
  <c r="AC335" i="3"/>
  <c r="AD335" i="3" s="1"/>
  <c r="AE334" i="3"/>
  <c r="AC334" i="3"/>
  <c r="AD334" i="3" s="1"/>
  <c r="AE333" i="3"/>
  <c r="AD333" i="3"/>
  <c r="AC333" i="3"/>
  <c r="AE332" i="3"/>
  <c r="AC332" i="3"/>
  <c r="AD332" i="3" s="1"/>
  <c r="AE331" i="3"/>
  <c r="AF331" i="3" s="1"/>
  <c r="AC331" i="3"/>
  <c r="AD331" i="3" s="1"/>
  <c r="AE330" i="3"/>
  <c r="AF330" i="3" s="1"/>
  <c r="AD330" i="3"/>
  <c r="AC330" i="3"/>
  <c r="AE329" i="3"/>
  <c r="AC329" i="3"/>
  <c r="AD329" i="3" s="1"/>
  <c r="AE328" i="3"/>
  <c r="AC328" i="3"/>
  <c r="AD328" i="3" s="1"/>
  <c r="AF327" i="3"/>
  <c r="AE327" i="3"/>
  <c r="AD327" i="3"/>
  <c r="AC327" i="3"/>
  <c r="AG326" i="3"/>
  <c r="AF326" i="3"/>
  <c r="AE326" i="3"/>
  <c r="AC326" i="3"/>
  <c r="AD326" i="3" s="1"/>
  <c r="AE325" i="3"/>
  <c r="AC325" i="3"/>
  <c r="AD325" i="3" s="1"/>
  <c r="AE324" i="3"/>
  <c r="AD324" i="3"/>
  <c r="AC324" i="3"/>
  <c r="AG323" i="3"/>
  <c r="AF323" i="3"/>
  <c r="AE323" i="3"/>
  <c r="AD323" i="3"/>
  <c r="AC323" i="3"/>
  <c r="AE322" i="3"/>
  <c r="AD322" i="3"/>
  <c r="AC322" i="3"/>
  <c r="AG321" i="3"/>
  <c r="AE321" i="3"/>
  <c r="AC321" i="3"/>
  <c r="AD321" i="3" s="1"/>
  <c r="AH320" i="3"/>
  <c r="AG320" i="3"/>
  <c r="AF320" i="3"/>
  <c r="AE320" i="3"/>
  <c r="AD320" i="3"/>
  <c r="AC320" i="3"/>
  <c r="AE319" i="3"/>
  <c r="AC319" i="3"/>
  <c r="AD319" i="3" s="1"/>
  <c r="AE318" i="3"/>
  <c r="AD318" i="3"/>
  <c r="AC318" i="3"/>
  <c r="AI317" i="3"/>
  <c r="AH317" i="3"/>
  <c r="AG317" i="3"/>
  <c r="AF317" i="3"/>
  <c r="AE317" i="3"/>
  <c r="AD317" i="3"/>
  <c r="AC317" i="3"/>
  <c r="AF316" i="3"/>
  <c r="AE316" i="3"/>
  <c r="AC316" i="3"/>
  <c r="AD316" i="3" s="1"/>
  <c r="AG315" i="3"/>
  <c r="AF315" i="3"/>
  <c r="AE315" i="3"/>
  <c r="AC315" i="3"/>
  <c r="AD315" i="3" s="1"/>
  <c r="AE314" i="3"/>
  <c r="AG314" i="3" s="1"/>
  <c r="AD314" i="3"/>
  <c r="AC314" i="3"/>
  <c r="AE313" i="3"/>
  <c r="AF313" i="3" s="1"/>
  <c r="AD313" i="3"/>
  <c r="AC313" i="3"/>
  <c r="AE312" i="3"/>
  <c r="AD312" i="3"/>
  <c r="AC312" i="3"/>
  <c r="AE311" i="3"/>
  <c r="AC311" i="3"/>
  <c r="AD311" i="3" s="1"/>
  <c r="AH310" i="3"/>
  <c r="AG310" i="3"/>
  <c r="AF310" i="3"/>
  <c r="AE310" i="3"/>
  <c r="AD310" i="3"/>
  <c r="AC310" i="3"/>
  <c r="AE309" i="3"/>
  <c r="AF309" i="3" s="1"/>
  <c r="AD309" i="3"/>
  <c r="AC309" i="3"/>
  <c r="AE308" i="3"/>
  <c r="AD308" i="3"/>
  <c r="AC308" i="3"/>
  <c r="AE307" i="3"/>
  <c r="AG307" i="3" s="1"/>
  <c r="AD307" i="3"/>
  <c r="AC307" i="3"/>
  <c r="AG306" i="3"/>
  <c r="AF306" i="3"/>
  <c r="AE306" i="3"/>
  <c r="AD306" i="3"/>
  <c r="AC306" i="3"/>
  <c r="AG305" i="3"/>
  <c r="AF305" i="3"/>
  <c r="AE305" i="3"/>
  <c r="AD305" i="3"/>
  <c r="AC305" i="3"/>
  <c r="AG304" i="3"/>
  <c r="AE304" i="3"/>
  <c r="AF304" i="3" s="1"/>
  <c r="AC304" i="3"/>
  <c r="AD304" i="3" s="1"/>
  <c r="AH303" i="3"/>
  <c r="AI303" i="3" s="1"/>
  <c r="AG303" i="3"/>
  <c r="AE303" i="3"/>
  <c r="AC303" i="3"/>
  <c r="AD303" i="3" s="1"/>
  <c r="AE302" i="3"/>
  <c r="AF302" i="3" s="1"/>
  <c r="AC302" i="3"/>
  <c r="AD302" i="3" s="1"/>
  <c r="AF301" i="3"/>
  <c r="AE301" i="3"/>
  <c r="AC301" i="3"/>
  <c r="AD301" i="3" s="1"/>
  <c r="AF300" i="3"/>
  <c r="AE300" i="3"/>
  <c r="AD300" i="3"/>
  <c r="AC300" i="3"/>
  <c r="AE299" i="3"/>
  <c r="AC299" i="3"/>
  <c r="AD299" i="3" s="1"/>
  <c r="AH298" i="3"/>
  <c r="AG298" i="3"/>
  <c r="AF298" i="3"/>
  <c r="AE298" i="3"/>
  <c r="AD298" i="3"/>
  <c r="AC298" i="3"/>
  <c r="AE297" i="3"/>
  <c r="AC297" i="3"/>
  <c r="AD297" i="3" s="1"/>
  <c r="AE296" i="3"/>
  <c r="AC296" i="3"/>
  <c r="AD296" i="3" s="1"/>
  <c r="AE295" i="3"/>
  <c r="AC295" i="3"/>
  <c r="AD295" i="3" s="1"/>
  <c r="AE294" i="3"/>
  <c r="AD294" i="3"/>
  <c r="AC294" i="3"/>
  <c r="AE293" i="3"/>
  <c r="AC293" i="3"/>
  <c r="AD293" i="3" s="1"/>
  <c r="AE292" i="3"/>
  <c r="AF292" i="3" s="1"/>
  <c r="AD292" i="3"/>
  <c r="AC292" i="3"/>
  <c r="AF291" i="3"/>
  <c r="AE291" i="3"/>
  <c r="AD291" i="3"/>
  <c r="AC291" i="3"/>
  <c r="AF290" i="3"/>
  <c r="AE290" i="3"/>
  <c r="AG290" i="3" s="1"/>
  <c r="AD290" i="3"/>
  <c r="AC290" i="3"/>
  <c r="AE289" i="3"/>
  <c r="AD289" i="3"/>
  <c r="AC289" i="3"/>
  <c r="AE288" i="3"/>
  <c r="AC288" i="3"/>
  <c r="AD288" i="3" s="1"/>
  <c r="AF287" i="3"/>
  <c r="AE287" i="3"/>
  <c r="AD287" i="3"/>
  <c r="AC287" i="3"/>
  <c r="AE286" i="3"/>
  <c r="AC286" i="3"/>
  <c r="AD286" i="3" s="1"/>
  <c r="AG285" i="3"/>
  <c r="AE285" i="3"/>
  <c r="AC285" i="3"/>
  <c r="AD285" i="3" s="1"/>
  <c r="AF284" i="3"/>
  <c r="AE284" i="3"/>
  <c r="AD284" i="3"/>
  <c r="AC284" i="3"/>
  <c r="AG283" i="3"/>
  <c r="AE283" i="3"/>
  <c r="AC283" i="3"/>
  <c r="AD283" i="3" s="1"/>
  <c r="AE282" i="3"/>
  <c r="AF282" i="3" s="1"/>
  <c r="AD282" i="3"/>
  <c r="AC282" i="3"/>
  <c r="AF281" i="3"/>
  <c r="AE281" i="3"/>
  <c r="AD281" i="3"/>
  <c r="AC281" i="3"/>
  <c r="AG280" i="3"/>
  <c r="AF280" i="3"/>
  <c r="AE280" i="3"/>
  <c r="AD280" i="3"/>
  <c r="AC280" i="3"/>
  <c r="AE279" i="3"/>
  <c r="AC279" i="3"/>
  <c r="AD279" i="3" s="1"/>
  <c r="AH278" i="3"/>
  <c r="AG278" i="3"/>
  <c r="AE278" i="3"/>
  <c r="AC278" i="3"/>
  <c r="AD278" i="3" s="1"/>
  <c r="AH277" i="3"/>
  <c r="AF277" i="3"/>
  <c r="AE277" i="3"/>
  <c r="AG277" i="3" s="1"/>
  <c r="AD277" i="3"/>
  <c r="AC277" i="3"/>
  <c r="AE276" i="3"/>
  <c r="AC276" i="3"/>
  <c r="AD276" i="3" s="1"/>
  <c r="AF275" i="3"/>
  <c r="AE275" i="3"/>
  <c r="AD275" i="3"/>
  <c r="AC275" i="3"/>
  <c r="AE274" i="3"/>
  <c r="AF274" i="3" s="1"/>
  <c r="AD274" i="3"/>
  <c r="AC274" i="3"/>
  <c r="AE273" i="3"/>
  <c r="AD273" i="3"/>
  <c r="AC273" i="3"/>
  <c r="AE272" i="3"/>
  <c r="AF272" i="3" s="1"/>
  <c r="AC272" i="3"/>
  <c r="AD272" i="3" s="1"/>
  <c r="AJ271" i="3"/>
  <c r="AI271" i="3"/>
  <c r="AH271" i="3"/>
  <c r="AG271" i="3"/>
  <c r="AF271" i="3"/>
  <c r="AE271" i="3"/>
  <c r="AD271" i="3"/>
  <c r="AC271" i="3"/>
  <c r="AJ270" i="3"/>
  <c r="AI270" i="3"/>
  <c r="AH270" i="3"/>
  <c r="AG270" i="3"/>
  <c r="AE270" i="3"/>
  <c r="AC270" i="3"/>
  <c r="AD270" i="3" s="1"/>
  <c r="AF269" i="3"/>
  <c r="AE269" i="3"/>
  <c r="AC269" i="3"/>
  <c r="AD269" i="3" s="1"/>
  <c r="AE268" i="3"/>
  <c r="AC268" i="3"/>
  <c r="AD268" i="3" s="1"/>
  <c r="AG267" i="3"/>
  <c r="AE267" i="3"/>
  <c r="AF267" i="3" s="1"/>
  <c r="AD267" i="3"/>
  <c r="AC267" i="3"/>
  <c r="AE266" i="3"/>
  <c r="AD266" i="3"/>
  <c r="AC266" i="3"/>
  <c r="AE265" i="3"/>
  <c r="AC265" i="3"/>
  <c r="AD265" i="3" s="1"/>
  <c r="AE264" i="3"/>
  <c r="AF264" i="3" s="1"/>
  <c r="AD264" i="3"/>
  <c r="AC264" i="3"/>
  <c r="AE263" i="3"/>
  <c r="AD263" i="3"/>
  <c r="AC263" i="3"/>
  <c r="AF262" i="3"/>
  <c r="AE262" i="3"/>
  <c r="AD262" i="3"/>
  <c r="AC262" i="3"/>
  <c r="AG261" i="3"/>
  <c r="AF261" i="3"/>
  <c r="AE261" i="3"/>
  <c r="AD261" i="3"/>
  <c r="AC261" i="3"/>
  <c r="AE260" i="3"/>
  <c r="AC260" i="3"/>
  <c r="AD260" i="3" s="1"/>
  <c r="AE259" i="3"/>
  <c r="AC259" i="3"/>
  <c r="AD259" i="3" s="1"/>
  <c r="AF258" i="3"/>
  <c r="AE258" i="3"/>
  <c r="AG258" i="3" s="1"/>
  <c r="AD258" i="3"/>
  <c r="AC258" i="3"/>
  <c r="AE257" i="3"/>
  <c r="AC257" i="3"/>
  <c r="AD257" i="3" s="1"/>
  <c r="AF256" i="3"/>
  <c r="AE256" i="3"/>
  <c r="AD256" i="3"/>
  <c r="AC256" i="3"/>
  <c r="AH255" i="3"/>
  <c r="AG255" i="3"/>
  <c r="AF255" i="3"/>
  <c r="AE255" i="3"/>
  <c r="AD255" i="3"/>
  <c r="AC255" i="3"/>
  <c r="AE254" i="3"/>
  <c r="AF254" i="3" s="1"/>
  <c r="AD254" i="3"/>
  <c r="AC254" i="3"/>
  <c r="AE253" i="3"/>
  <c r="AD253" i="3"/>
  <c r="AC253" i="3"/>
  <c r="AE252" i="3"/>
  <c r="AC252" i="3"/>
  <c r="AD252" i="3" s="1"/>
  <c r="AE251" i="3"/>
  <c r="AC251" i="3"/>
  <c r="AD251" i="3" s="1"/>
  <c r="AE250" i="3"/>
  <c r="AD250" i="3"/>
  <c r="AC250" i="3"/>
  <c r="AG249" i="3"/>
  <c r="AF249" i="3"/>
  <c r="AE249" i="3"/>
  <c r="AD249" i="3"/>
  <c r="AC249" i="3"/>
  <c r="AG248" i="3"/>
  <c r="AF248" i="3"/>
  <c r="AE248" i="3"/>
  <c r="AD248" i="3"/>
  <c r="AC248" i="3"/>
  <c r="AH247" i="3"/>
  <c r="AG247" i="3"/>
  <c r="AE247" i="3"/>
  <c r="AC247" i="3"/>
  <c r="AD247" i="3" s="1"/>
  <c r="AG246" i="3"/>
  <c r="AF246" i="3"/>
  <c r="AE246" i="3"/>
  <c r="AC246" i="3"/>
  <c r="AD246" i="3" s="1"/>
  <c r="AE245" i="3"/>
  <c r="AF245" i="3" s="1"/>
  <c r="AD245" i="3"/>
  <c r="AC245" i="3"/>
  <c r="AF244" i="3"/>
  <c r="AE244" i="3"/>
  <c r="AD244" i="3"/>
  <c r="AC244" i="3"/>
  <c r="AF243" i="3"/>
  <c r="AE243" i="3"/>
  <c r="AD243" i="3"/>
  <c r="AC243" i="3"/>
  <c r="AJ242" i="3"/>
  <c r="AI242" i="3"/>
  <c r="AH242" i="3"/>
  <c r="AG242" i="3"/>
  <c r="AE242" i="3"/>
  <c r="AF242" i="3" s="1"/>
  <c r="AD242" i="3"/>
  <c r="AC242" i="3"/>
  <c r="AH241" i="3"/>
  <c r="AG241" i="3"/>
  <c r="AF241" i="3"/>
  <c r="AE241" i="3"/>
  <c r="AD241" i="3"/>
  <c r="AC241" i="3"/>
  <c r="AE240" i="3"/>
  <c r="AF240" i="3" s="1"/>
  <c r="AC240" i="3"/>
  <c r="AD240" i="3" s="1"/>
  <c r="AG239" i="3"/>
  <c r="AF239" i="3"/>
  <c r="AE239" i="3"/>
  <c r="AD239" i="3"/>
  <c r="AC239" i="3"/>
  <c r="AE238" i="3"/>
  <c r="AF238" i="3" s="1"/>
  <c r="AC238" i="3"/>
  <c r="AD238" i="3" s="1"/>
  <c r="AE237" i="3"/>
  <c r="AF237" i="3" s="1"/>
  <c r="AD237" i="3"/>
  <c r="AC237" i="3"/>
  <c r="AF236" i="3"/>
  <c r="AE236" i="3"/>
  <c r="AD236" i="3"/>
  <c r="AC236" i="3"/>
  <c r="AE235" i="3"/>
  <c r="AF235" i="3" s="1"/>
  <c r="AC235" i="3"/>
  <c r="AD235" i="3" s="1"/>
  <c r="AH234" i="3"/>
  <c r="AG234" i="3"/>
  <c r="AF234" i="3"/>
  <c r="AE234" i="3"/>
  <c r="AD234" i="3"/>
  <c r="AC234" i="3"/>
  <c r="AG233" i="3"/>
  <c r="AE233" i="3"/>
  <c r="AF233" i="3" s="1"/>
  <c r="AC233" i="3"/>
  <c r="AD233" i="3" s="1"/>
  <c r="AE232" i="3"/>
  <c r="AF232" i="3" s="1"/>
  <c r="AD232" i="3"/>
  <c r="AC232" i="3"/>
  <c r="AG231" i="3"/>
  <c r="AF231" i="3"/>
  <c r="AE231" i="3"/>
  <c r="AD231" i="3"/>
  <c r="AC231" i="3"/>
  <c r="AF230" i="3"/>
  <c r="AE230" i="3"/>
  <c r="AD230" i="3"/>
  <c r="AC230" i="3"/>
  <c r="AG229" i="3"/>
  <c r="AF229" i="3"/>
  <c r="AE229" i="3"/>
  <c r="AD229" i="3"/>
  <c r="AC229" i="3"/>
  <c r="AE228" i="3"/>
  <c r="AF228" i="3" s="1"/>
  <c r="AC228" i="3"/>
  <c r="AD228" i="3" s="1"/>
  <c r="AE227" i="3"/>
  <c r="AF227" i="3" s="1"/>
  <c r="AC227" i="3"/>
  <c r="AD227" i="3" s="1"/>
  <c r="AE226" i="3"/>
  <c r="AF226" i="3" s="1"/>
  <c r="AD226" i="3"/>
  <c r="AC226" i="3"/>
  <c r="AE225" i="3"/>
  <c r="AF225" i="3" s="1"/>
  <c r="AC225" i="3"/>
  <c r="AD225" i="3" s="1"/>
  <c r="AI224" i="3"/>
  <c r="AH224" i="3"/>
  <c r="AG224" i="3"/>
  <c r="AF224" i="3"/>
  <c r="AE224" i="3"/>
  <c r="AC224" i="3"/>
  <c r="AD224" i="3" s="1"/>
  <c r="AF223" i="3"/>
  <c r="AE223" i="3"/>
  <c r="AD223" i="3"/>
  <c r="AC223" i="3"/>
  <c r="AF222" i="3"/>
  <c r="AE222" i="3"/>
  <c r="AD222" i="3"/>
  <c r="AC222" i="3"/>
  <c r="AG221" i="3"/>
  <c r="AF221" i="3"/>
  <c r="AE221" i="3"/>
  <c r="AC221" i="3"/>
  <c r="AD221" i="3" s="1"/>
  <c r="AE220" i="3"/>
  <c r="AF220" i="3" s="1"/>
  <c r="AD220" i="3"/>
  <c r="AC220" i="3"/>
  <c r="AF219" i="3"/>
  <c r="AE219" i="3"/>
  <c r="AD219" i="3"/>
  <c r="AC219" i="3"/>
  <c r="AF218" i="3"/>
  <c r="AE218" i="3"/>
  <c r="AD218" i="3"/>
  <c r="AC218" i="3"/>
  <c r="AE217" i="3"/>
  <c r="AF217" i="3" s="1"/>
  <c r="AD217" i="3"/>
  <c r="AC217" i="3"/>
  <c r="AG216" i="3"/>
  <c r="AE216" i="3"/>
  <c r="AF216" i="3" s="1"/>
  <c r="AD216" i="3"/>
  <c r="AC216" i="3"/>
  <c r="AF215" i="3"/>
  <c r="AE215" i="3"/>
  <c r="AD215" i="3"/>
  <c r="AC215" i="3"/>
  <c r="AE214" i="3"/>
  <c r="AF214" i="3" s="1"/>
  <c r="AD214" i="3"/>
  <c r="AC214" i="3"/>
  <c r="AG213" i="3"/>
  <c r="AH213" i="3" s="1"/>
  <c r="AF213" i="3"/>
  <c r="AE213" i="3"/>
  <c r="AD213" i="3"/>
  <c r="AC213" i="3"/>
  <c r="AE212" i="3"/>
  <c r="AF212" i="3" s="1"/>
  <c r="AD212" i="3"/>
  <c r="AC212" i="3"/>
  <c r="AV211" i="3"/>
  <c r="AU211" i="3"/>
  <c r="AT211" i="3"/>
  <c r="AS211" i="3"/>
  <c r="AR211" i="3"/>
  <c r="AQ211" i="3"/>
  <c r="AP211" i="3"/>
  <c r="AO211" i="3"/>
  <c r="AN211" i="3"/>
  <c r="AM211" i="3"/>
  <c r="AL211" i="3"/>
  <c r="AK211" i="3"/>
  <c r="AJ211" i="3"/>
  <c r="AI211" i="3"/>
  <c r="AH211" i="3"/>
  <c r="AG211" i="3"/>
  <c r="AE211" i="3"/>
  <c r="AF211" i="3" s="1"/>
  <c r="AC211" i="3"/>
  <c r="AD211" i="3" s="1"/>
  <c r="AE210" i="3"/>
  <c r="AF210" i="3" s="1"/>
  <c r="AD210" i="3"/>
  <c r="AC210" i="3"/>
  <c r="AV209" i="3"/>
  <c r="AU209" i="3"/>
  <c r="AT209" i="3"/>
  <c r="AS209" i="3"/>
  <c r="AR209" i="3"/>
  <c r="AQ209" i="3"/>
  <c r="AP209" i="3"/>
  <c r="AO209" i="3"/>
  <c r="AN209" i="3"/>
  <c r="AM209" i="3"/>
  <c r="AL209" i="3"/>
  <c r="AK209" i="3"/>
  <c r="AJ209" i="3"/>
  <c r="AI209" i="3"/>
  <c r="AH209" i="3"/>
  <c r="AG209" i="3"/>
  <c r="AW209" i="3" s="1"/>
  <c r="AX209" i="3" s="1"/>
  <c r="AE209" i="3"/>
  <c r="AF209" i="3" s="1"/>
  <c r="AD209" i="3"/>
  <c r="AC209" i="3"/>
  <c r="AE208" i="3"/>
  <c r="AD208" i="3"/>
  <c r="AC208" i="3"/>
  <c r="AF207" i="3"/>
  <c r="AE207" i="3"/>
  <c r="AC207" i="3"/>
  <c r="AD207" i="3" s="1"/>
  <c r="AV206" i="3"/>
  <c r="AU206" i="3"/>
  <c r="AT206" i="3"/>
  <c r="AS206" i="3"/>
  <c r="AR206" i="3"/>
  <c r="AQ206" i="3"/>
  <c r="AP206" i="3"/>
  <c r="AO206" i="3"/>
  <c r="AN206" i="3"/>
  <c r="AM206" i="3"/>
  <c r="AL206" i="3"/>
  <c r="AK206" i="3"/>
  <c r="AJ206" i="3"/>
  <c r="AI206" i="3"/>
  <c r="AH206" i="3"/>
  <c r="AG206" i="3"/>
  <c r="AE206" i="3"/>
  <c r="AF206" i="3" s="1"/>
  <c r="AD206" i="3"/>
  <c r="AC206" i="3"/>
  <c r="AF205" i="3"/>
  <c r="AE205" i="3"/>
  <c r="AD205" i="3"/>
  <c r="AC205" i="3"/>
  <c r="AE204" i="3"/>
  <c r="AF204" i="3" s="1"/>
  <c r="AC204" i="3"/>
  <c r="AD204" i="3" s="1"/>
  <c r="AE203" i="3"/>
  <c r="AF203" i="3" s="1"/>
  <c r="AD203" i="3"/>
  <c r="AC203" i="3"/>
  <c r="AE202" i="3"/>
  <c r="AF202" i="3" s="1"/>
  <c r="AD202" i="3"/>
  <c r="AC202" i="3"/>
  <c r="AF201" i="3"/>
  <c r="AE201" i="3"/>
  <c r="AD201" i="3"/>
  <c r="AC201" i="3"/>
  <c r="AV200" i="3"/>
  <c r="AU200" i="3"/>
  <c r="AT200" i="3"/>
  <c r="AS200" i="3"/>
  <c r="AR200" i="3"/>
  <c r="AQ200" i="3"/>
  <c r="AP200" i="3"/>
  <c r="AO200" i="3"/>
  <c r="AN200" i="3"/>
  <c r="AM200" i="3"/>
  <c r="AL200" i="3"/>
  <c r="AK200" i="3"/>
  <c r="AJ200" i="3"/>
  <c r="AI200" i="3"/>
  <c r="AH200" i="3"/>
  <c r="AG200" i="3"/>
  <c r="AF200" i="3"/>
  <c r="AE200" i="3"/>
  <c r="AD200" i="3"/>
  <c r="AC200" i="3"/>
  <c r="AF199" i="3"/>
  <c r="AE199" i="3"/>
  <c r="AD199" i="3"/>
  <c r="AC199" i="3"/>
  <c r="AH198" i="3"/>
  <c r="AI198" i="3" s="1"/>
  <c r="AG198" i="3"/>
  <c r="AE198" i="3"/>
  <c r="AF198" i="3" s="1"/>
  <c r="AD198" i="3"/>
  <c r="AC198" i="3"/>
  <c r="AV197" i="3"/>
  <c r="AU197" i="3"/>
  <c r="AT197" i="3"/>
  <c r="AS197" i="3"/>
  <c r="AR197" i="3"/>
  <c r="AQ197" i="3"/>
  <c r="AP197" i="3"/>
  <c r="AO197" i="3"/>
  <c r="AN197" i="3"/>
  <c r="AM197" i="3"/>
  <c r="AL197" i="3"/>
  <c r="AK197" i="3"/>
  <c r="AJ197" i="3"/>
  <c r="AI197" i="3"/>
  <c r="AH197" i="3"/>
  <c r="AG197" i="3"/>
  <c r="AF197" i="3"/>
  <c r="AE197" i="3"/>
  <c r="AD197" i="3"/>
  <c r="AC197" i="3"/>
  <c r="AF196" i="3"/>
  <c r="AE196" i="3"/>
  <c r="AC196" i="3"/>
  <c r="AD196" i="3" s="1"/>
  <c r="AE195" i="3"/>
  <c r="AF195" i="3" s="1"/>
  <c r="AC195" i="3"/>
  <c r="AD195" i="3" s="1"/>
  <c r="AV194" i="3"/>
  <c r="AU194" i="3"/>
  <c r="AT194" i="3"/>
  <c r="AS194" i="3"/>
  <c r="AR194" i="3"/>
  <c r="AQ194" i="3"/>
  <c r="AP194" i="3"/>
  <c r="AO194" i="3"/>
  <c r="AN194" i="3"/>
  <c r="AM194" i="3"/>
  <c r="AL194" i="3"/>
  <c r="AK194" i="3"/>
  <c r="AJ194" i="3"/>
  <c r="AI194" i="3"/>
  <c r="AH194" i="3"/>
  <c r="AG194" i="3"/>
  <c r="AF194" i="3"/>
  <c r="AE194" i="3"/>
  <c r="AD194" i="3"/>
  <c r="AC194" i="3"/>
  <c r="AH193" i="3"/>
  <c r="AG193" i="3"/>
  <c r="AF193" i="3"/>
  <c r="AE193" i="3"/>
  <c r="AC193" i="3"/>
  <c r="AD193" i="3" s="1"/>
  <c r="AV192" i="3"/>
  <c r="AU192" i="3"/>
  <c r="AT192" i="3"/>
  <c r="AS192" i="3"/>
  <c r="AR192" i="3"/>
  <c r="AQ192" i="3"/>
  <c r="AP192" i="3"/>
  <c r="AO192" i="3"/>
  <c r="AN192" i="3"/>
  <c r="AM192" i="3"/>
  <c r="AL192" i="3"/>
  <c r="AK192" i="3"/>
  <c r="AJ192" i="3"/>
  <c r="AI192" i="3"/>
  <c r="AH192" i="3"/>
  <c r="AG192" i="3"/>
  <c r="AF192" i="3"/>
  <c r="AE192" i="3"/>
  <c r="AC192" i="3"/>
  <c r="AD192" i="3" s="1"/>
  <c r="AG191" i="3"/>
  <c r="AF191" i="3"/>
  <c r="AE191" i="3"/>
  <c r="AD191" i="3"/>
  <c r="AC191" i="3"/>
  <c r="AF190" i="3"/>
  <c r="AE190" i="3"/>
  <c r="AC190" i="3"/>
  <c r="AD190" i="3" s="1"/>
  <c r="AV189" i="3"/>
  <c r="AU189" i="3"/>
  <c r="AT189" i="3"/>
  <c r="AS189" i="3"/>
  <c r="AR189" i="3"/>
  <c r="AQ189" i="3"/>
  <c r="AP189" i="3"/>
  <c r="AO189" i="3"/>
  <c r="AN189" i="3"/>
  <c r="AM189" i="3"/>
  <c r="AL189" i="3"/>
  <c r="AK189" i="3"/>
  <c r="AJ189" i="3"/>
  <c r="AI189" i="3"/>
  <c r="AH189" i="3"/>
  <c r="AG189" i="3"/>
  <c r="AW189" i="3" s="1"/>
  <c r="AE189" i="3"/>
  <c r="AF189" i="3" s="1"/>
  <c r="AD189" i="3"/>
  <c r="AC189" i="3"/>
  <c r="AE188" i="3"/>
  <c r="AF188" i="3" s="1"/>
  <c r="AD188" i="3"/>
  <c r="AC188" i="3"/>
  <c r="AF187" i="3"/>
  <c r="AE187" i="3"/>
  <c r="AC187" i="3"/>
  <c r="AD187" i="3" s="1"/>
  <c r="AE186" i="3"/>
  <c r="AF186" i="3" s="1"/>
  <c r="AD186" i="3"/>
  <c r="AC186" i="3"/>
  <c r="AE185" i="3"/>
  <c r="AF185" i="3" s="1"/>
  <c r="AC185" i="3"/>
  <c r="AD185" i="3" s="1"/>
  <c r="AE184" i="3"/>
  <c r="AF184" i="3" s="1"/>
  <c r="AD184" i="3"/>
  <c r="AC184" i="3"/>
  <c r="AF183" i="3"/>
  <c r="AE183" i="3"/>
  <c r="AC183" i="3"/>
  <c r="AD183" i="3" s="1"/>
  <c r="AE182" i="3"/>
  <c r="AF182" i="3" s="1"/>
  <c r="AC182" i="3"/>
  <c r="AD182" i="3" s="1"/>
  <c r="AE181" i="3"/>
  <c r="AF181" i="3" s="1"/>
  <c r="AC181" i="3"/>
  <c r="AD181" i="3" s="1"/>
  <c r="AE180" i="3"/>
  <c r="AF180" i="3" s="1"/>
  <c r="AD180" i="3"/>
  <c r="AC180" i="3"/>
  <c r="AH179" i="3"/>
  <c r="AG179" i="3"/>
  <c r="AF179" i="3"/>
  <c r="AE179" i="3"/>
  <c r="AD179" i="3"/>
  <c r="AC179" i="3"/>
  <c r="AH178" i="3"/>
  <c r="AG178" i="3"/>
  <c r="AF178" i="3"/>
  <c r="AE178" i="3"/>
  <c r="AD178" i="3"/>
  <c r="AC178" i="3"/>
  <c r="AF177" i="3"/>
  <c r="AE177" i="3"/>
  <c r="AC177" i="3"/>
  <c r="AD177" i="3" s="1"/>
  <c r="AG176" i="3"/>
  <c r="AE176" i="3"/>
  <c r="AF176" i="3" s="1"/>
  <c r="AD176" i="3"/>
  <c r="AC176" i="3"/>
  <c r="AF175" i="3"/>
  <c r="AE175" i="3"/>
  <c r="AC175" i="3"/>
  <c r="AD175" i="3" s="1"/>
  <c r="AG174" i="3"/>
  <c r="AF174" i="3"/>
  <c r="AE174" i="3"/>
  <c r="AC174" i="3"/>
  <c r="AD174" i="3" s="1"/>
  <c r="AG173" i="3"/>
  <c r="AH173" i="3" s="1"/>
  <c r="AE173" i="3"/>
  <c r="AF173" i="3" s="1"/>
  <c r="AD173" i="3"/>
  <c r="AC173" i="3"/>
  <c r="AE172" i="3"/>
  <c r="AF172" i="3" s="1"/>
  <c r="AC172" i="3"/>
  <c r="AD172" i="3" s="1"/>
  <c r="AE171" i="3"/>
  <c r="AF171" i="3" s="1"/>
  <c r="AC171" i="3"/>
  <c r="AD171" i="3" s="1"/>
  <c r="AF170" i="3"/>
  <c r="AE170" i="3"/>
  <c r="AD170" i="3"/>
  <c r="AC170" i="3"/>
  <c r="AG169" i="3"/>
  <c r="AF169" i="3"/>
  <c r="AE169" i="3"/>
  <c r="AD169" i="3"/>
  <c r="AC169" i="3"/>
  <c r="AF168" i="3"/>
  <c r="AE168" i="3"/>
  <c r="AD168" i="3"/>
  <c r="AC168" i="3"/>
  <c r="AF167" i="3"/>
  <c r="AE167" i="3"/>
  <c r="AD167" i="3"/>
  <c r="AC167" i="3"/>
  <c r="AE166" i="3"/>
  <c r="AF166" i="3" s="1"/>
  <c r="AC166" i="3"/>
  <c r="AD166" i="3" s="1"/>
  <c r="AH165" i="3"/>
  <c r="AG165" i="3"/>
  <c r="AF165" i="3"/>
  <c r="AE165" i="3"/>
  <c r="AD165" i="3"/>
  <c r="AC165" i="3"/>
  <c r="AF164" i="3"/>
  <c r="AE164" i="3"/>
  <c r="AC164" i="3"/>
  <c r="AD164" i="3" s="1"/>
  <c r="AF163" i="3"/>
  <c r="AE163" i="3"/>
  <c r="AC163" i="3"/>
  <c r="AD163" i="3" s="1"/>
  <c r="AG162" i="3"/>
  <c r="AF162" i="3"/>
  <c r="AE162" i="3"/>
  <c r="AD162" i="3"/>
  <c r="AC162" i="3"/>
  <c r="AH161" i="3"/>
  <c r="AG161" i="3"/>
  <c r="AE161" i="3"/>
  <c r="AF161" i="3" s="1"/>
  <c r="AD161" i="3"/>
  <c r="AC161" i="3"/>
  <c r="AG160" i="3"/>
  <c r="AF160" i="3"/>
  <c r="AE160" i="3"/>
  <c r="AD160" i="3"/>
  <c r="AC160" i="3"/>
  <c r="AF159" i="3"/>
  <c r="AE159" i="3"/>
  <c r="AC159" i="3"/>
  <c r="AD159" i="3" s="1"/>
  <c r="AE158" i="3"/>
  <c r="AF158" i="3" s="1"/>
  <c r="AC158" i="3"/>
  <c r="AD158" i="3" s="1"/>
  <c r="AE157" i="3"/>
  <c r="AF157" i="3" s="1"/>
  <c r="AC157" i="3"/>
  <c r="AD157" i="3" s="1"/>
  <c r="AE156" i="3"/>
  <c r="AF156" i="3" s="1"/>
  <c r="AC156" i="3"/>
  <c r="AD156" i="3" s="1"/>
  <c r="AF155" i="3"/>
  <c r="AE155" i="3"/>
  <c r="AD155" i="3"/>
  <c r="AC155" i="3"/>
  <c r="AF154" i="3"/>
  <c r="AE154" i="3"/>
  <c r="AD154" i="3"/>
  <c r="AC154" i="3"/>
  <c r="AF153" i="3"/>
  <c r="AE153" i="3"/>
  <c r="AD153" i="3"/>
  <c r="AC153" i="3"/>
  <c r="AG152" i="3"/>
  <c r="AF152" i="3"/>
  <c r="AE152" i="3"/>
  <c r="AD152" i="3"/>
  <c r="AC152" i="3"/>
  <c r="AF151" i="3"/>
  <c r="AE151" i="3"/>
  <c r="AC151" i="3"/>
  <c r="AD151" i="3" s="1"/>
  <c r="AE150" i="3"/>
  <c r="AF150" i="3" s="1"/>
  <c r="AD150" i="3"/>
  <c r="AC150" i="3"/>
  <c r="AG149" i="3"/>
  <c r="AF149" i="3"/>
  <c r="AE149" i="3"/>
  <c r="AD149" i="3"/>
  <c r="AC149" i="3"/>
  <c r="AE148" i="3"/>
  <c r="AF148" i="3" s="1"/>
  <c r="AC148" i="3"/>
  <c r="AD148" i="3" s="1"/>
  <c r="AE147" i="3"/>
  <c r="AF147" i="3" s="1"/>
  <c r="AC147" i="3"/>
  <c r="AD147" i="3" s="1"/>
  <c r="AE146" i="3"/>
  <c r="AF146" i="3" s="1"/>
  <c r="AD146" i="3"/>
  <c r="AC146" i="3"/>
  <c r="AE145" i="3"/>
  <c r="AF145" i="3" s="1"/>
  <c r="AD145" i="3"/>
  <c r="AC145" i="3"/>
  <c r="AE144" i="3"/>
  <c r="AF144" i="3" s="1"/>
  <c r="AC144" i="3"/>
  <c r="AD144" i="3" s="1"/>
  <c r="AF143" i="3"/>
  <c r="AE143" i="3"/>
  <c r="AD143" i="3"/>
  <c r="AC143" i="3"/>
  <c r="AG142" i="3"/>
  <c r="AF142" i="3"/>
  <c r="AE142" i="3"/>
  <c r="AD142" i="3"/>
  <c r="AC142" i="3"/>
  <c r="AF141" i="3"/>
  <c r="AE141" i="3"/>
  <c r="AD141" i="3"/>
  <c r="AC141" i="3"/>
  <c r="AF140" i="3"/>
  <c r="AE140" i="3"/>
  <c r="AD140" i="3"/>
  <c r="AC140" i="3"/>
  <c r="AE139" i="3"/>
  <c r="AF139" i="3" s="1"/>
  <c r="AC139" i="3"/>
  <c r="AD139" i="3" s="1"/>
  <c r="AE138" i="3"/>
  <c r="AG138" i="3" s="1"/>
  <c r="AD138" i="3"/>
  <c r="AC138" i="3"/>
  <c r="AG137" i="3"/>
  <c r="AE137" i="3"/>
  <c r="AF137" i="3" s="1"/>
  <c r="AD137" i="3"/>
  <c r="AC137" i="3"/>
  <c r="AE136" i="3"/>
  <c r="AF136" i="3" s="1"/>
  <c r="AC136" i="3"/>
  <c r="AD136" i="3" s="1"/>
  <c r="AG135" i="3"/>
  <c r="AF135" i="3"/>
  <c r="AE135" i="3"/>
  <c r="AD135" i="3"/>
  <c r="AC135" i="3"/>
  <c r="AF134" i="3"/>
  <c r="AE134" i="3"/>
  <c r="AD134" i="3"/>
  <c r="AC134" i="3"/>
  <c r="AF133" i="3"/>
  <c r="AE133" i="3"/>
  <c r="AC133" i="3"/>
  <c r="AD133" i="3" s="1"/>
  <c r="AF132" i="3"/>
  <c r="AE132" i="3"/>
  <c r="AD132" i="3"/>
  <c r="AC132" i="3"/>
  <c r="AG131" i="3"/>
  <c r="AF131" i="3"/>
  <c r="AE131" i="3"/>
  <c r="AC131" i="3"/>
  <c r="AD131" i="3" s="1"/>
  <c r="AH130" i="3"/>
  <c r="AG130" i="3"/>
  <c r="AF130" i="3"/>
  <c r="AE130" i="3"/>
  <c r="AD130" i="3"/>
  <c r="AC130" i="3"/>
  <c r="AG129" i="3"/>
  <c r="AH129" i="3" s="1"/>
  <c r="AE129" i="3"/>
  <c r="AF129" i="3" s="1"/>
  <c r="AC129" i="3"/>
  <c r="AD129" i="3" s="1"/>
  <c r="AF128" i="3"/>
  <c r="AE128" i="3"/>
  <c r="AC128" i="3"/>
  <c r="AD128" i="3" s="1"/>
  <c r="AH127" i="3"/>
  <c r="AG127" i="3"/>
  <c r="AF127" i="3"/>
  <c r="AE127" i="3"/>
  <c r="AD127" i="3"/>
  <c r="AC127" i="3"/>
  <c r="AE126" i="3"/>
  <c r="AF126" i="3" s="1"/>
  <c r="AC126" i="3"/>
  <c r="AD126" i="3" s="1"/>
  <c r="AF125" i="3"/>
  <c r="AE125" i="3"/>
  <c r="AD125" i="3"/>
  <c r="AC125" i="3"/>
  <c r="AE124" i="3"/>
  <c r="AF124" i="3" s="1"/>
  <c r="AD124" i="3"/>
  <c r="AC124" i="3"/>
  <c r="AE123" i="3"/>
  <c r="AF123" i="3" s="1"/>
  <c r="AC123" i="3"/>
  <c r="AD123" i="3" s="1"/>
  <c r="AE122" i="3"/>
  <c r="AF122" i="3" s="1"/>
  <c r="AD122" i="3"/>
  <c r="AC122" i="3"/>
  <c r="AE121" i="3"/>
  <c r="AF121" i="3" s="1"/>
  <c r="AD121" i="3"/>
  <c r="AC121" i="3"/>
  <c r="AF120" i="3"/>
  <c r="AE120" i="3"/>
  <c r="AC120" i="3"/>
  <c r="AD120" i="3" s="1"/>
  <c r="AF119" i="3"/>
  <c r="AE119" i="3"/>
  <c r="AC119" i="3"/>
  <c r="AD119" i="3" s="1"/>
  <c r="AF118" i="3"/>
  <c r="AE118" i="3"/>
  <c r="AC118" i="3"/>
  <c r="AD118" i="3" s="1"/>
  <c r="AF117" i="3"/>
  <c r="AE117" i="3"/>
  <c r="AD117" i="3"/>
  <c r="AC117" i="3"/>
  <c r="AE116" i="3"/>
  <c r="AF116" i="3" s="1"/>
  <c r="AC116" i="3"/>
  <c r="AD116" i="3" s="1"/>
  <c r="AE115" i="3"/>
  <c r="AF115" i="3" s="1"/>
  <c r="AD115" i="3"/>
  <c r="AC115" i="3"/>
  <c r="AF114" i="3"/>
  <c r="AE114" i="3"/>
  <c r="AD114" i="3"/>
  <c r="AC114" i="3"/>
  <c r="AG113" i="3"/>
  <c r="AF113" i="3"/>
  <c r="AE113" i="3"/>
  <c r="AD113" i="3"/>
  <c r="AC113" i="3"/>
  <c r="AH112" i="3"/>
  <c r="AG112" i="3"/>
  <c r="AE112" i="3"/>
  <c r="AF112" i="3" s="1"/>
  <c r="AC112" i="3"/>
  <c r="AD112" i="3" s="1"/>
  <c r="AF111" i="3"/>
  <c r="AE111" i="3"/>
  <c r="AC111" i="3"/>
  <c r="AD111" i="3" s="1"/>
  <c r="AF110" i="3"/>
  <c r="AE110" i="3"/>
  <c r="AD110" i="3"/>
  <c r="AC110" i="3"/>
  <c r="AE109" i="3"/>
  <c r="AF109" i="3" s="1"/>
  <c r="AD109" i="3"/>
  <c r="AC109" i="3"/>
  <c r="AF108" i="3"/>
  <c r="AE108" i="3"/>
  <c r="AC108" i="3"/>
  <c r="AD108" i="3" s="1"/>
  <c r="AE107" i="3"/>
  <c r="AF107" i="3" s="1"/>
  <c r="AC107" i="3"/>
  <c r="AD107" i="3" s="1"/>
  <c r="AG106" i="3"/>
  <c r="AF106" i="3"/>
  <c r="AE106" i="3"/>
  <c r="AD106" i="3"/>
  <c r="AC106" i="3"/>
  <c r="AE105" i="3"/>
  <c r="AF105" i="3" s="1"/>
  <c r="AC105" i="3"/>
  <c r="AD105" i="3" s="1"/>
  <c r="AE104" i="3"/>
  <c r="AF104" i="3" s="1"/>
  <c r="AD104" i="3"/>
  <c r="AC104" i="3"/>
  <c r="AF103" i="3"/>
  <c r="AE103" i="3"/>
  <c r="AC103" i="3"/>
  <c r="AD103" i="3" s="1"/>
  <c r="AE102" i="3"/>
  <c r="AG102" i="3" s="1"/>
  <c r="AD102" i="3"/>
  <c r="AC102" i="3"/>
  <c r="AG101" i="3"/>
  <c r="AF101" i="3"/>
  <c r="AE101" i="3"/>
  <c r="AD101" i="3"/>
  <c r="AC101" i="3"/>
  <c r="AF100" i="3"/>
  <c r="AE100" i="3"/>
  <c r="AD100" i="3"/>
  <c r="AC100" i="3"/>
  <c r="AG99" i="3"/>
  <c r="AH99" i="3" s="1"/>
  <c r="AE99" i="3"/>
  <c r="AF99" i="3" s="1"/>
  <c r="AC99" i="3"/>
  <c r="AD99" i="3" s="1"/>
  <c r="AE98" i="3"/>
  <c r="AF98" i="3" s="1"/>
  <c r="AD98" i="3"/>
  <c r="AC98" i="3"/>
  <c r="AG97" i="3"/>
  <c r="AF97" i="3"/>
  <c r="AE97" i="3"/>
  <c r="AD97" i="3"/>
  <c r="AC97" i="3"/>
  <c r="AE96" i="3"/>
  <c r="AF96" i="3" s="1"/>
  <c r="AC96" i="3"/>
  <c r="AD96" i="3" s="1"/>
  <c r="AH95" i="3"/>
  <c r="AG95" i="3"/>
  <c r="AF95" i="3"/>
  <c r="AE95" i="3"/>
  <c r="AD95" i="3"/>
  <c r="AC95" i="3"/>
  <c r="AE94" i="3"/>
  <c r="AF94" i="3" s="1"/>
  <c r="AD94" i="3"/>
  <c r="AC94" i="3"/>
  <c r="AE93" i="3"/>
  <c r="AF93" i="3" s="1"/>
  <c r="AC93" i="3"/>
  <c r="AD93" i="3" s="1"/>
  <c r="AE92" i="3"/>
  <c r="AF92" i="3" s="1"/>
  <c r="AD92" i="3"/>
  <c r="AC92" i="3"/>
  <c r="AF91" i="3"/>
  <c r="AE91" i="3"/>
  <c r="AC91" i="3"/>
  <c r="AD91" i="3" s="1"/>
  <c r="AG90" i="3"/>
  <c r="AE90" i="3"/>
  <c r="AF90" i="3" s="1"/>
  <c r="AD90" i="3"/>
  <c r="AC90" i="3"/>
  <c r="AF89" i="3"/>
  <c r="AE89" i="3"/>
  <c r="AC89" i="3"/>
  <c r="AD89" i="3" s="1"/>
  <c r="AF88" i="3"/>
  <c r="AE88" i="3"/>
  <c r="AD88" i="3"/>
  <c r="AC88" i="3"/>
  <c r="AF87" i="3"/>
  <c r="AE87" i="3"/>
  <c r="AD87" i="3"/>
  <c r="AC87" i="3"/>
  <c r="AF86" i="3"/>
  <c r="AE86" i="3"/>
  <c r="AC86" i="3"/>
  <c r="AD86" i="3" s="1"/>
  <c r="AE85" i="3"/>
  <c r="AF85" i="3" s="1"/>
  <c r="AC85" i="3"/>
  <c r="AD85" i="3" s="1"/>
  <c r="AE84" i="3"/>
  <c r="AF84" i="3" s="1"/>
  <c r="AC84" i="3"/>
  <c r="AD84" i="3" s="1"/>
  <c r="AE83" i="3"/>
  <c r="AF83" i="3" s="1"/>
  <c r="AC83" i="3"/>
  <c r="AD83" i="3" s="1"/>
  <c r="AG82" i="3"/>
  <c r="AF82" i="3"/>
  <c r="AE82" i="3"/>
  <c r="AD82" i="3"/>
  <c r="AC82" i="3"/>
  <c r="AE81" i="3"/>
  <c r="AF81" i="3" s="1"/>
  <c r="AC81" i="3"/>
  <c r="AD81" i="3" s="1"/>
  <c r="AE80" i="3"/>
  <c r="AF80" i="3" s="1"/>
  <c r="AD80" i="3"/>
  <c r="AC80" i="3"/>
  <c r="AG79" i="3"/>
  <c r="AF79" i="3"/>
  <c r="AE79" i="3"/>
  <c r="AD79" i="3"/>
  <c r="AC79" i="3"/>
  <c r="AG78" i="3"/>
  <c r="AF78" i="3"/>
  <c r="AE78" i="3"/>
  <c r="AD78" i="3"/>
  <c r="AC78" i="3"/>
  <c r="AE77" i="3"/>
  <c r="AF77" i="3" s="1"/>
  <c r="AD77" i="3"/>
  <c r="AC77" i="3"/>
  <c r="AE76" i="3"/>
  <c r="AC76" i="3"/>
  <c r="AD76" i="3" s="1"/>
  <c r="AE75" i="3"/>
  <c r="AC75" i="3"/>
  <c r="AD75" i="3" s="1"/>
  <c r="AH74" i="3"/>
  <c r="AI74" i="3" s="1"/>
  <c r="AG74" i="3"/>
  <c r="AF74" i="3"/>
  <c r="AE74" i="3"/>
  <c r="AD74" i="3"/>
  <c r="AC74" i="3"/>
  <c r="AE73" i="3"/>
  <c r="AC73" i="3"/>
  <c r="AD73" i="3" s="1"/>
  <c r="AE72" i="3"/>
  <c r="AC72" i="3"/>
  <c r="AD72" i="3" s="1"/>
  <c r="AE71" i="3"/>
  <c r="AC71" i="3"/>
  <c r="AD71" i="3" s="1"/>
  <c r="AG70" i="3"/>
  <c r="AE70" i="3"/>
  <c r="AF70" i="3" s="1"/>
  <c r="AC70" i="3"/>
  <c r="AD70" i="3" s="1"/>
  <c r="AV69" i="3"/>
  <c r="AU69" i="3"/>
  <c r="AT69" i="3"/>
  <c r="AS69" i="3"/>
  <c r="AR69" i="3"/>
  <c r="AQ69" i="3"/>
  <c r="AP69" i="3"/>
  <c r="AO69" i="3"/>
  <c r="AN69" i="3"/>
  <c r="AM69" i="3"/>
  <c r="AL69" i="3"/>
  <c r="AK69" i="3"/>
  <c r="AJ69" i="3"/>
  <c r="AI69" i="3"/>
  <c r="AH69" i="3"/>
  <c r="AG69" i="3"/>
  <c r="AE69" i="3"/>
  <c r="AF69" i="3" s="1"/>
  <c r="AD69" i="3"/>
  <c r="AC69" i="3"/>
  <c r="AF68" i="3"/>
  <c r="AE68" i="3"/>
  <c r="AD68" i="3"/>
  <c r="AC68" i="3"/>
  <c r="AE67" i="3"/>
  <c r="AD67" i="3"/>
  <c r="AC67" i="3"/>
  <c r="AV66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E65" i="3"/>
  <c r="AG65" i="3" s="1"/>
  <c r="AC65" i="3"/>
  <c r="AD65" i="3" s="1"/>
  <c r="AH64" i="3"/>
  <c r="AG64" i="3"/>
  <c r="AF64" i="3"/>
  <c r="AE64" i="3"/>
  <c r="AD64" i="3"/>
  <c r="AC64" i="3"/>
  <c r="AF63" i="3"/>
  <c r="AE63" i="3"/>
  <c r="AD63" i="3"/>
  <c r="AC63" i="3"/>
  <c r="AV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W62" i="3" s="1"/>
  <c r="AX62" i="3" s="1"/>
  <c r="AF62" i="3"/>
  <c r="AE62" i="3"/>
  <c r="AD62" i="3"/>
  <c r="AC62" i="3"/>
  <c r="AG61" i="3"/>
  <c r="AF61" i="3"/>
  <c r="AE61" i="3"/>
  <c r="AD61" i="3"/>
  <c r="AC61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E60" i="3"/>
  <c r="AF60" i="3" s="1"/>
  <c r="AD60" i="3"/>
  <c r="AC60" i="3"/>
  <c r="AG59" i="3"/>
  <c r="AH59" i="3" s="1"/>
  <c r="AF59" i="3"/>
  <c r="AE59" i="3"/>
  <c r="AD59" i="3"/>
  <c r="AC59" i="3"/>
  <c r="AH58" i="3"/>
  <c r="AG58" i="3"/>
  <c r="AF58" i="3"/>
  <c r="AE58" i="3"/>
  <c r="AD58" i="3"/>
  <c r="AC58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E57" i="3"/>
  <c r="AF57" i="3" s="1"/>
  <c r="AC57" i="3"/>
  <c r="AD57" i="3" s="1"/>
  <c r="AF56" i="3"/>
  <c r="AE56" i="3"/>
  <c r="AD56" i="3"/>
  <c r="AC56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W55" i="3" s="1"/>
  <c r="AX55" i="3" s="1"/>
  <c r="AF55" i="3"/>
  <c r="AE55" i="3"/>
  <c r="AD55" i="3"/>
  <c r="AC55" i="3"/>
  <c r="AE54" i="3"/>
  <c r="AF54" i="3" s="1"/>
  <c r="AD54" i="3"/>
  <c r="AC54" i="3"/>
  <c r="AV53" i="3"/>
  <c r="AU53" i="3"/>
  <c r="AT53" i="3"/>
  <c r="AS53" i="3"/>
  <c r="AR53" i="3"/>
  <c r="AQ53" i="3"/>
  <c r="AP53" i="3"/>
  <c r="AO53" i="3"/>
  <c r="AN53" i="3"/>
  <c r="AM53" i="3"/>
  <c r="AL53" i="3"/>
  <c r="AK53" i="3"/>
  <c r="AJ53" i="3"/>
  <c r="AI53" i="3"/>
  <c r="AH53" i="3"/>
  <c r="AG53" i="3"/>
  <c r="AE53" i="3"/>
  <c r="AF53" i="3" s="1"/>
  <c r="AD53" i="3"/>
  <c r="AC53" i="3"/>
  <c r="AF52" i="3"/>
  <c r="AE52" i="3"/>
  <c r="AD52" i="3"/>
  <c r="AC52" i="3"/>
  <c r="AF51" i="3"/>
  <c r="AE51" i="3"/>
  <c r="AD51" i="3"/>
  <c r="AC51" i="3"/>
  <c r="AG50" i="3"/>
  <c r="AH50" i="3" s="1"/>
  <c r="AF50" i="3"/>
  <c r="AE50" i="3"/>
  <c r="AD50" i="3"/>
  <c r="AC50" i="3"/>
  <c r="AF49" i="3"/>
  <c r="AE49" i="3"/>
  <c r="AC49" i="3"/>
  <c r="AD49" i="3" s="1"/>
  <c r="AG48" i="3"/>
  <c r="AF48" i="3"/>
  <c r="AE48" i="3"/>
  <c r="AD48" i="3"/>
  <c r="AC48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E47" i="3"/>
  <c r="AF47" i="3" s="1"/>
  <c r="AD47" i="3"/>
  <c r="AC47" i="3"/>
  <c r="AE46" i="3"/>
  <c r="AF46" i="3" s="1"/>
  <c r="AD46" i="3"/>
  <c r="AC46" i="3"/>
  <c r="AE45" i="3"/>
  <c r="AF45" i="3" s="1"/>
  <c r="AC45" i="3"/>
  <c r="AD45" i="3" s="1"/>
  <c r="AF44" i="3"/>
  <c r="AE44" i="3"/>
  <c r="AD44" i="3"/>
  <c r="AC44" i="3"/>
  <c r="AG43" i="3"/>
  <c r="AE43" i="3"/>
  <c r="AF43" i="3" s="1"/>
  <c r="AC43" i="3"/>
  <c r="AD43" i="3" s="1"/>
  <c r="AI42" i="3"/>
  <c r="AH42" i="3"/>
  <c r="AG42" i="3"/>
  <c r="AF42" i="3"/>
  <c r="AE42" i="3"/>
  <c r="AD42" i="3"/>
  <c r="AC42" i="3"/>
  <c r="AF41" i="3"/>
  <c r="AE41" i="3"/>
  <c r="AC41" i="3"/>
  <c r="AD41" i="3" s="1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C40" i="3"/>
  <c r="AD40" i="3" s="1"/>
  <c r="AF39" i="3"/>
  <c r="AE39" i="3"/>
  <c r="AD39" i="3"/>
  <c r="AC39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E38" i="3"/>
  <c r="AF38" i="3" s="1"/>
  <c r="AD38" i="3"/>
  <c r="AC38" i="3"/>
  <c r="AE37" i="3"/>
  <c r="AF37" i="3" s="1"/>
  <c r="AC37" i="3"/>
  <c r="AD37" i="3" s="1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G35" i="3"/>
  <c r="AF35" i="3"/>
  <c r="AE35" i="3"/>
  <c r="AD35" i="3"/>
  <c r="AC35" i="3"/>
  <c r="AE34" i="3"/>
  <c r="AD34" i="3"/>
  <c r="AC34" i="3"/>
  <c r="AF33" i="3"/>
  <c r="AE33" i="3"/>
  <c r="AC33" i="3"/>
  <c r="AD33" i="3" s="1"/>
  <c r="AI32" i="3"/>
  <c r="AH32" i="3"/>
  <c r="AG32" i="3"/>
  <c r="AF32" i="3"/>
  <c r="AE32" i="3"/>
  <c r="AD32" i="3"/>
  <c r="AC32" i="3"/>
  <c r="AE31" i="3"/>
  <c r="AF31" i="3" s="1"/>
  <c r="AD31" i="3"/>
  <c r="AC31" i="3"/>
  <c r="AE30" i="3"/>
  <c r="AC30" i="3"/>
  <c r="AD30" i="3" s="1"/>
  <c r="AE29" i="3"/>
  <c r="AF29" i="3" s="1"/>
  <c r="AC29" i="3"/>
  <c r="AD29" i="3" s="1"/>
  <c r="AF28" i="3"/>
  <c r="AE28" i="3"/>
  <c r="AD28" i="3"/>
  <c r="AC28" i="3"/>
  <c r="AE27" i="3"/>
  <c r="AF27" i="3" s="1"/>
  <c r="AD27" i="3"/>
  <c r="AC27" i="3"/>
  <c r="AE26" i="3"/>
  <c r="AC26" i="3"/>
  <c r="AD26" i="3" s="1"/>
  <c r="AF25" i="3"/>
  <c r="AE25" i="3"/>
  <c r="AC25" i="3"/>
  <c r="AD25" i="3" s="1"/>
  <c r="AE24" i="3"/>
  <c r="AF24" i="3" s="1"/>
  <c r="AC24" i="3"/>
  <c r="AD24" i="3" s="1"/>
  <c r="AE23" i="3"/>
  <c r="AD23" i="3"/>
  <c r="AC23" i="3"/>
  <c r="AE22" i="3"/>
  <c r="AD22" i="3"/>
  <c r="AC22" i="3"/>
  <c r="AE21" i="3"/>
  <c r="AC21" i="3"/>
  <c r="AD21" i="3" s="1"/>
  <c r="AG20" i="3"/>
  <c r="AF20" i="3"/>
  <c r="AE20" i="3"/>
  <c r="AD20" i="3"/>
  <c r="AC20" i="3"/>
  <c r="AG19" i="3"/>
  <c r="AE19" i="3"/>
  <c r="AC19" i="3"/>
  <c r="AD19" i="3" s="1"/>
  <c r="AE18" i="3"/>
  <c r="AD18" i="3"/>
  <c r="AC18" i="3"/>
  <c r="AE17" i="3"/>
  <c r="AC17" i="3"/>
  <c r="AD17" i="3" s="1"/>
  <c r="AE16" i="3"/>
  <c r="AD16" i="3"/>
  <c r="AC16" i="3"/>
  <c r="AE15" i="3"/>
  <c r="AG15" i="3" s="1"/>
  <c r="AD15" i="3"/>
  <c r="AC15" i="3"/>
  <c r="AE14" i="3"/>
  <c r="AC14" i="3"/>
  <c r="AD14" i="3" s="1"/>
  <c r="AH13" i="3"/>
  <c r="AG13" i="3"/>
  <c r="AF13" i="3"/>
  <c r="AE13" i="3"/>
  <c r="AD13" i="3"/>
  <c r="AC13" i="3"/>
  <c r="AH12" i="3"/>
  <c r="AG12" i="3"/>
  <c r="AF12" i="3"/>
  <c r="AE12" i="3"/>
  <c r="AD12" i="3"/>
  <c r="AC12" i="3"/>
  <c r="AE11" i="3"/>
  <c r="AD11" i="3"/>
  <c r="AC11" i="3"/>
  <c r="AG10" i="3"/>
  <c r="AF10" i="3"/>
  <c r="AE10" i="3"/>
  <c r="AD10" i="3"/>
  <c r="AC10" i="3"/>
  <c r="AE9" i="3"/>
  <c r="AC9" i="3"/>
  <c r="AD9" i="3" s="1"/>
  <c r="AG8" i="3"/>
  <c r="AE8" i="3"/>
  <c r="AC8" i="3"/>
  <c r="AD8" i="3" s="1"/>
  <c r="AE7" i="3"/>
  <c r="AD7" i="3"/>
  <c r="AC7" i="3"/>
  <c r="S376" i="2"/>
  <c r="R376" i="2"/>
  <c r="Q376" i="2"/>
  <c r="P376" i="2"/>
  <c r="O376" i="2"/>
  <c r="N376" i="2"/>
  <c r="M376" i="2"/>
  <c r="L376" i="2"/>
  <c r="S375" i="2"/>
  <c r="R375" i="2"/>
  <c r="Q375" i="2"/>
  <c r="P375" i="2"/>
  <c r="O375" i="2"/>
  <c r="N375" i="2"/>
  <c r="M375" i="2"/>
  <c r="L375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W374" i="2"/>
  <c r="V374" i="2"/>
  <c r="U374" i="2"/>
  <c r="T374" i="2"/>
  <c r="AI372" i="2"/>
  <c r="AH372" i="2"/>
  <c r="AG372" i="2"/>
  <c r="AF372" i="2"/>
  <c r="AE372" i="2"/>
  <c r="AD372" i="2"/>
  <c r="AC372" i="2"/>
  <c r="AB372" i="2"/>
  <c r="AA372" i="2"/>
  <c r="Z372" i="2"/>
  <c r="Y372" i="2"/>
  <c r="X372" i="2"/>
  <c r="W372" i="2"/>
  <c r="V372" i="2"/>
  <c r="U372" i="2"/>
  <c r="T372" i="2"/>
  <c r="S368" i="2"/>
  <c r="R368" i="2"/>
  <c r="Q368" i="2"/>
  <c r="P368" i="2"/>
  <c r="O368" i="2"/>
  <c r="N368" i="2"/>
  <c r="M368" i="2"/>
  <c r="L368" i="2"/>
  <c r="S356" i="2"/>
  <c r="R356" i="2"/>
  <c r="Q356" i="2"/>
  <c r="P356" i="2"/>
  <c r="O356" i="2"/>
  <c r="N356" i="2"/>
  <c r="M356" i="2"/>
  <c r="L356" i="2"/>
  <c r="S345" i="2"/>
  <c r="R345" i="2"/>
  <c r="Q345" i="2"/>
  <c r="P345" i="2"/>
  <c r="O345" i="2"/>
  <c r="N345" i="2"/>
  <c r="M345" i="2"/>
  <c r="L345" i="2"/>
  <c r="S344" i="2"/>
  <c r="R344" i="2"/>
  <c r="Q344" i="2"/>
  <c r="P344" i="2"/>
  <c r="O344" i="2"/>
  <c r="N344" i="2"/>
  <c r="M344" i="2"/>
  <c r="L344" i="2"/>
  <c r="AI330" i="2"/>
  <c r="AH330" i="2"/>
  <c r="AG330" i="2"/>
  <c r="AF330" i="2"/>
  <c r="AE330" i="2"/>
  <c r="AD330" i="2"/>
  <c r="AC330" i="2"/>
  <c r="AB330" i="2"/>
  <c r="AA330" i="2"/>
  <c r="Z330" i="2"/>
  <c r="Y330" i="2"/>
  <c r="X330" i="2"/>
  <c r="W330" i="2"/>
  <c r="V330" i="2"/>
  <c r="U330" i="2"/>
  <c r="T330" i="2"/>
  <c r="S324" i="2"/>
  <c r="S305" i="2" s="1"/>
  <c r="R324" i="2"/>
  <c r="R305" i="2" s="1"/>
  <c r="Q324" i="2"/>
  <c r="Q305" i="2" s="1"/>
  <c r="P324" i="2"/>
  <c r="P305" i="2" s="1"/>
  <c r="O324" i="2"/>
  <c r="O305" i="2" s="1"/>
  <c r="N324" i="2"/>
  <c r="N305" i="2" s="1"/>
  <c r="M324" i="2"/>
  <c r="M305" i="2" s="1"/>
  <c r="L324" i="2"/>
  <c r="L305" i="2" s="1"/>
  <c r="AI305" i="2"/>
  <c r="AH305" i="2"/>
  <c r="AG305" i="2"/>
  <c r="AF305" i="2"/>
  <c r="AE305" i="2"/>
  <c r="AD305" i="2"/>
  <c r="AC305" i="2"/>
  <c r="AB305" i="2"/>
  <c r="AA305" i="2"/>
  <c r="Z305" i="2"/>
  <c r="Y305" i="2"/>
  <c r="X305" i="2"/>
  <c r="W305" i="2"/>
  <c r="V305" i="2"/>
  <c r="U305" i="2"/>
  <c r="T305" i="2"/>
  <c r="AI304" i="2"/>
  <c r="AH304" i="2"/>
  <c r="AG304" i="2"/>
  <c r="AF304" i="2"/>
  <c r="AE304" i="2"/>
  <c r="AD304" i="2"/>
  <c r="AC304" i="2"/>
  <c r="AB304" i="2"/>
  <c r="AA304" i="2"/>
  <c r="Z304" i="2"/>
  <c r="Y304" i="2"/>
  <c r="X304" i="2"/>
  <c r="W304" i="2"/>
  <c r="V304" i="2"/>
  <c r="U304" i="2"/>
  <c r="T304" i="2"/>
  <c r="S304" i="2"/>
  <c r="R304" i="2"/>
  <c r="Q304" i="2"/>
  <c r="P304" i="2"/>
  <c r="O304" i="2"/>
  <c r="N304" i="2"/>
  <c r="M304" i="2"/>
  <c r="L304" i="2"/>
  <c r="S261" i="2"/>
  <c r="T261" i="2" s="1"/>
  <c r="U261" i="2" s="1"/>
  <c r="V261" i="2" s="1"/>
  <c r="W261" i="2" s="1"/>
  <c r="R261" i="2"/>
  <c r="Q261" i="2"/>
  <c r="P261" i="2"/>
  <c r="O261" i="2"/>
  <c r="N261" i="2"/>
  <c r="M261" i="2"/>
  <c r="L261" i="2"/>
  <c r="S260" i="2"/>
  <c r="T260" i="2" s="1"/>
  <c r="U260" i="2" s="1"/>
  <c r="V260" i="2" s="1"/>
  <c r="W260" i="2" s="1"/>
  <c r="R260" i="2"/>
  <c r="S176" i="2" s="1"/>
  <c r="Q260" i="2"/>
  <c r="Q176" i="2" s="1"/>
  <c r="P260" i="2"/>
  <c r="O260" i="2"/>
  <c r="N260" i="2"/>
  <c r="M260" i="2"/>
  <c r="L260" i="2"/>
  <c r="S259" i="2"/>
  <c r="T259" i="2" s="1"/>
  <c r="U259" i="2" s="1"/>
  <c r="V259" i="2" s="1"/>
  <c r="W259" i="2" s="1"/>
  <c r="R259" i="2"/>
  <c r="Q259" i="2"/>
  <c r="P259" i="2"/>
  <c r="O259" i="2"/>
  <c r="N259" i="2"/>
  <c r="M259" i="2"/>
  <c r="L259" i="2"/>
  <c r="S257" i="2"/>
  <c r="T257" i="2" s="1"/>
  <c r="U257" i="2" s="1"/>
  <c r="V257" i="2" s="1"/>
  <c r="W257" i="2" s="1"/>
  <c r="X257" i="2" s="1"/>
  <c r="R257" i="2"/>
  <c r="Q257" i="2"/>
  <c r="P257" i="2"/>
  <c r="O257" i="2"/>
  <c r="N257" i="2"/>
  <c r="M257" i="2"/>
  <c r="L257" i="2"/>
  <c r="L256" i="2"/>
  <c r="S255" i="2"/>
  <c r="T255" i="2" s="1"/>
  <c r="U255" i="2" s="1"/>
  <c r="V255" i="2" s="1"/>
  <c r="W255" i="2" s="1"/>
  <c r="X255" i="2" s="1"/>
  <c r="R255" i="2"/>
  <c r="Q255" i="2"/>
  <c r="P255" i="2"/>
  <c r="O255" i="2"/>
  <c r="N255" i="2"/>
  <c r="M255" i="2"/>
  <c r="L255" i="2"/>
  <c r="P252" i="2"/>
  <c r="O252" i="2"/>
  <c r="S251" i="2"/>
  <c r="R251" i="2"/>
  <c r="Q251" i="2"/>
  <c r="Q252" i="2" s="1"/>
  <c r="P251" i="2"/>
  <c r="O251" i="2"/>
  <c r="P154" i="2" s="1"/>
  <c r="N251" i="2"/>
  <c r="O154" i="2" s="1"/>
  <c r="M251" i="2"/>
  <c r="M252" i="2" s="1"/>
  <c r="L251" i="2"/>
  <c r="S249" i="2"/>
  <c r="T249" i="2" s="1"/>
  <c r="R249" i="2"/>
  <c r="R325" i="2" s="1"/>
  <c r="Q249" i="2"/>
  <c r="R169" i="2" s="1"/>
  <c r="P249" i="2"/>
  <c r="Q323" i="2" s="1"/>
  <c r="O249" i="2"/>
  <c r="O248" i="2" s="1"/>
  <c r="N249" i="2"/>
  <c r="M249" i="2"/>
  <c r="M325" i="2" s="1"/>
  <c r="L249" i="2"/>
  <c r="M323" i="2" s="1"/>
  <c r="S247" i="2"/>
  <c r="T247" i="2" s="1"/>
  <c r="U247" i="2" s="1"/>
  <c r="V247" i="2" s="1"/>
  <c r="W247" i="2" s="1"/>
  <c r="R247" i="2"/>
  <c r="Q247" i="2"/>
  <c r="P247" i="2"/>
  <c r="O247" i="2"/>
  <c r="N247" i="2"/>
  <c r="M247" i="2"/>
  <c r="L247" i="2"/>
  <c r="S246" i="2"/>
  <c r="T246" i="2" s="1"/>
  <c r="U246" i="2" s="1"/>
  <c r="V246" i="2" s="1"/>
  <c r="W246" i="2" s="1"/>
  <c r="R246" i="2"/>
  <c r="Q246" i="2"/>
  <c r="P246" i="2"/>
  <c r="O246" i="2"/>
  <c r="N246" i="2"/>
  <c r="M246" i="2"/>
  <c r="L246" i="2"/>
  <c r="S245" i="2"/>
  <c r="T245" i="2" s="1"/>
  <c r="U245" i="2" s="1"/>
  <c r="V245" i="2" s="1"/>
  <c r="W245" i="2" s="1"/>
  <c r="R245" i="2"/>
  <c r="Q245" i="2"/>
  <c r="P245" i="2"/>
  <c r="O245" i="2"/>
  <c r="N245" i="2"/>
  <c r="M245" i="2"/>
  <c r="L245" i="2"/>
  <c r="S244" i="2"/>
  <c r="R244" i="2"/>
  <c r="Q244" i="2"/>
  <c r="P244" i="2"/>
  <c r="O244" i="2"/>
  <c r="N244" i="2"/>
  <c r="M244" i="2"/>
  <c r="L244" i="2"/>
  <c r="S243" i="2"/>
  <c r="T243" i="2" s="1"/>
  <c r="R243" i="2"/>
  <c r="Q243" i="2"/>
  <c r="P243" i="2"/>
  <c r="O243" i="2"/>
  <c r="N243" i="2"/>
  <c r="M243" i="2"/>
  <c r="L243" i="2"/>
  <c r="S241" i="2"/>
  <c r="T241" i="2" s="1"/>
  <c r="U241" i="2" s="1"/>
  <c r="V241" i="2" s="1"/>
  <c r="W241" i="2" s="1"/>
  <c r="K241" i="2" s="1"/>
  <c r="R241" i="2"/>
  <c r="Q241" i="2"/>
  <c r="P241" i="2"/>
  <c r="O241" i="2"/>
  <c r="N241" i="2"/>
  <c r="M241" i="2"/>
  <c r="L241" i="2"/>
  <c r="S240" i="2"/>
  <c r="T240" i="2" s="1"/>
  <c r="U240" i="2" s="1"/>
  <c r="V240" i="2" s="1"/>
  <c r="W240" i="2" s="1"/>
  <c r="R240" i="2"/>
  <c r="Q240" i="2"/>
  <c r="P240" i="2"/>
  <c r="O240" i="2"/>
  <c r="N240" i="2"/>
  <c r="M240" i="2"/>
  <c r="L240" i="2"/>
  <c r="S239" i="2"/>
  <c r="R239" i="2"/>
  <c r="Q239" i="2"/>
  <c r="P239" i="2"/>
  <c r="O239" i="2"/>
  <c r="N239" i="2"/>
  <c r="M239" i="2"/>
  <c r="L239" i="2"/>
  <c r="S238" i="2"/>
  <c r="R238" i="2"/>
  <c r="Q238" i="2"/>
  <c r="P238" i="2"/>
  <c r="O238" i="2"/>
  <c r="N238" i="2"/>
  <c r="M238" i="2"/>
  <c r="L238" i="2"/>
  <c r="S237" i="2"/>
  <c r="R237" i="2"/>
  <c r="Q237" i="2"/>
  <c r="P237" i="2"/>
  <c r="O237" i="2"/>
  <c r="N237" i="2"/>
  <c r="M237" i="2"/>
  <c r="L237" i="2"/>
  <c r="S236" i="2"/>
  <c r="R236" i="2"/>
  <c r="Q236" i="2"/>
  <c r="P236" i="2"/>
  <c r="O236" i="2"/>
  <c r="N236" i="2"/>
  <c r="M236" i="2"/>
  <c r="L236" i="2"/>
  <c r="S235" i="2"/>
  <c r="R235" i="2"/>
  <c r="Q235" i="2"/>
  <c r="P235" i="2"/>
  <c r="O235" i="2"/>
  <c r="O234" i="2" s="1"/>
  <c r="N235" i="2"/>
  <c r="M235" i="2"/>
  <c r="L235" i="2"/>
  <c r="S233" i="2"/>
  <c r="T233" i="2" s="1"/>
  <c r="U233" i="2" s="1"/>
  <c r="V233" i="2" s="1"/>
  <c r="W233" i="2" s="1"/>
  <c r="K233" i="2" s="1"/>
  <c r="R233" i="2"/>
  <c r="Q233" i="2"/>
  <c r="P233" i="2"/>
  <c r="O233" i="2"/>
  <c r="N233" i="2"/>
  <c r="M233" i="2"/>
  <c r="L233" i="2"/>
  <c r="S232" i="2"/>
  <c r="R232" i="2"/>
  <c r="Q232" i="2"/>
  <c r="P232" i="2"/>
  <c r="O232" i="2"/>
  <c r="O231" i="2" s="1"/>
  <c r="N232" i="2"/>
  <c r="M232" i="2"/>
  <c r="L232" i="2"/>
  <c r="S230" i="2"/>
  <c r="T230" i="2" s="1"/>
  <c r="U230" i="2" s="1"/>
  <c r="V230" i="2" s="1"/>
  <c r="W230" i="2" s="1"/>
  <c r="X230" i="2" s="1"/>
  <c r="Y230" i="2" s="1"/>
  <c r="Z230" i="2" s="1"/>
  <c r="AA230" i="2" s="1"/>
  <c r="AB230" i="2" s="1"/>
  <c r="AC230" i="2" s="1"/>
  <c r="AD230" i="2" s="1"/>
  <c r="AE230" i="2" s="1"/>
  <c r="AF230" i="2" s="1"/>
  <c r="AG230" i="2" s="1"/>
  <c r="AH230" i="2" s="1"/>
  <c r="AI230" i="2" s="1"/>
  <c r="R230" i="2"/>
  <c r="Q230" i="2"/>
  <c r="P230" i="2"/>
  <c r="O230" i="2"/>
  <c r="N230" i="2"/>
  <c r="M230" i="2"/>
  <c r="M228" i="2" s="1"/>
  <c r="L230" i="2"/>
  <c r="K230" i="2"/>
  <c r="S229" i="2"/>
  <c r="S228" i="2" s="1"/>
  <c r="R229" i="2"/>
  <c r="R228" i="2" s="1"/>
  <c r="Q229" i="2"/>
  <c r="P229" i="2"/>
  <c r="O229" i="2"/>
  <c r="N229" i="2"/>
  <c r="M229" i="2"/>
  <c r="L229" i="2"/>
  <c r="S227" i="2"/>
  <c r="T227" i="2" s="1"/>
  <c r="R227" i="2"/>
  <c r="Q227" i="2"/>
  <c r="R329" i="2" s="1"/>
  <c r="P227" i="2"/>
  <c r="O227" i="2"/>
  <c r="P329" i="2" s="1"/>
  <c r="N227" i="2"/>
  <c r="N331" i="2" s="1"/>
  <c r="M227" i="2"/>
  <c r="M331" i="2" s="1"/>
  <c r="L227" i="2"/>
  <c r="M170" i="2" s="1"/>
  <c r="M330" i="2" s="1"/>
  <c r="S224" i="2"/>
  <c r="T224" i="2" s="1"/>
  <c r="U224" i="2" s="1"/>
  <c r="V224" i="2" s="1"/>
  <c r="W224" i="2" s="1"/>
  <c r="X224" i="2" s="1"/>
  <c r="Y224" i="2" s="1"/>
  <c r="Z224" i="2" s="1"/>
  <c r="AA224" i="2" s="1"/>
  <c r="AB224" i="2" s="1"/>
  <c r="AC224" i="2" s="1"/>
  <c r="AD224" i="2" s="1"/>
  <c r="AE224" i="2" s="1"/>
  <c r="AF224" i="2" s="1"/>
  <c r="AG224" i="2" s="1"/>
  <c r="AH224" i="2" s="1"/>
  <c r="AI224" i="2" s="1"/>
  <c r="R224" i="2"/>
  <c r="Q224" i="2"/>
  <c r="P224" i="2"/>
  <c r="O224" i="2"/>
  <c r="N224" i="2"/>
  <c r="M224" i="2"/>
  <c r="L224" i="2"/>
  <c r="S223" i="2"/>
  <c r="T223" i="2" s="1"/>
  <c r="R223" i="2"/>
  <c r="Q223" i="2"/>
  <c r="P223" i="2"/>
  <c r="O223" i="2"/>
  <c r="N223" i="2"/>
  <c r="M223" i="2"/>
  <c r="L223" i="2"/>
  <c r="S222" i="2"/>
  <c r="R222" i="2"/>
  <c r="Q222" i="2"/>
  <c r="P222" i="2"/>
  <c r="O222" i="2"/>
  <c r="N222" i="2"/>
  <c r="M222" i="2"/>
  <c r="L222" i="2"/>
  <c r="S221" i="2"/>
  <c r="R221" i="2"/>
  <c r="Q221" i="2"/>
  <c r="P221" i="2"/>
  <c r="O221" i="2"/>
  <c r="N221" i="2"/>
  <c r="M221" i="2"/>
  <c r="L221" i="2"/>
  <c r="S220" i="2"/>
  <c r="R220" i="2"/>
  <c r="Q220" i="2"/>
  <c r="P220" i="2"/>
  <c r="O220" i="2"/>
  <c r="N220" i="2"/>
  <c r="M220" i="2"/>
  <c r="L220" i="2"/>
  <c r="S219" i="2"/>
  <c r="R219" i="2"/>
  <c r="Q219" i="2"/>
  <c r="P219" i="2"/>
  <c r="O219" i="2"/>
  <c r="N219" i="2"/>
  <c r="M219" i="2"/>
  <c r="L219" i="2"/>
  <c r="S218" i="2"/>
  <c r="R218" i="2"/>
  <c r="Q218" i="2"/>
  <c r="P218" i="2"/>
  <c r="O218" i="2"/>
  <c r="N218" i="2"/>
  <c r="M218" i="2"/>
  <c r="L218" i="2"/>
  <c r="S216" i="2"/>
  <c r="T216" i="2" s="1"/>
  <c r="U216" i="2" s="1"/>
  <c r="V216" i="2" s="1"/>
  <c r="W216" i="2" s="1"/>
  <c r="K216" i="2" s="1"/>
  <c r="R216" i="2"/>
  <c r="Q216" i="2"/>
  <c r="P216" i="2"/>
  <c r="O216" i="2"/>
  <c r="N216" i="2"/>
  <c r="M216" i="2"/>
  <c r="L216" i="2"/>
  <c r="S215" i="2"/>
  <c r="T215" i="2" s="1"/>
  <c r="U215" i="2" s="1"/>
  <c r="V215" i="2" s="1"/>
  <c r="W215" i="2" s="1"/>
  <c r="R215" i="2"/>
  <c r="Q215" i="2"/>
  <c r="P215" i="2"/>
  <c r="O215" i="2"/>
  <c r="N215" i="2"/>
  <c r="M215" i="2"/>
  <c r="L215" i="2"/>
  <c r="S214" i="2"/>
  <c r="T214" i="2" s="1"/>
  <c r="U214" i="2" s="1"/>
  <c r="V214" i="2" s="1"/>
  <c r="W214" i="2" s="1"/>
  <c r="X214" i="2" s="1"/>
  <c r="Y214" i="2" s="1"/>
  <c r="Z214" i="2" s="1"/>
  <c r="AA214" i="2" s="1"/>
  <c r="AB214" i="2" s="1"/>
  <c r="AC214" i="2" s="1"/>
  <c r="AD214" i="2" s="1"/>
  <c r="AE214" i="2" s="1"/>
  <c r="AF214" i="2" s="1"/>
  <c r="AG214" i="2" s="1"/>
  <c r="AH214" i="2" s="1"/>
  <c r="AI214" i="2" s="1"/>
  <c r="R214" i="2"/>
  <c r="Q214" i="2"/>
  <c r="P214" i="2"/>
  <c r="O214" i="2"/>
  <c r="N214" i="2"/>
  <c r="M214" i="2"/>
  <c r="L214" i="2"/>
  <c r="K214" i="2"/>
  <c r="S213" i="2"/>
  <c r="R213" i="2"/>
  <c r="Q213" i="2"/>
  <c r="P213" i="2"/>
  <c r="O213" i="2"/>
  <c r="O164" i="2" s="1"/>
  <c r="N213" i="2"/>
  <c r="M213" i="2"/>
  <c r="L213" i="2"/>
  <c r="M164" i="2" s="1"/>
  <c r="S212" i="2"/>
  <c r="R212" i="2"/>
  <c r="Q212" i="2"/>
  <c r="P212" i="2"/>
  <c r="O212" i="2"/>
  <c r="N212" i="2"/>
  <c r="M212" i="2"/>
  <c r="M301" i="2" s="1"/>
  <c r="L212" i="2"/>
  <c r="S208" i="2"/>
  <c r="R208" i="2"/>
  <c r="S147" i="2" s="1"/>
  <c r="Q208" i="2"/>
  <c r="P208" i="2"/>
  <c r="Q147" i="2" s="1"/>
  <c r="O208" i="2"/>
  <c r="P147" i="2" s="1"/>
  <c r="N208" i="2"/>
  <c r="M208" i="2"/>
  <c r="L208" i="2"/>
  <c r="M147" i="2" s="1"/>
  <c r="S207" i="2"/>
  <c r="R207" i="2"/>
  <c r="Q207" i="2"/>
  <c r="P207" i="2"/>
  <c r="O207" i="2"/>
  <c r="N207" i="2"/>
  <c r="M207" i="2"/>
  <c r="L207" i="2"/>
  <c r="S206" i="2"/>
  <c r="R206" i="2"/>
  <c r="Q206" i="2"/>
  <c r="P206" i="2"/>
  <c r="O206" i="2"/>
  <c r="N206" i="2"/>
  <c r="M206" i="2"/>
  <c r="L206" i="2"/>
  <c r="S205" i="2"/>
  <c r="R205" i="2"/>
  <c r="Q205" i="2"/>
  <c r="P205" i="2"/>
  <c r="O205" i="2"/>
  <c r="N205" i="2"/>
  <c r="M205" i="2"/>
  <c r="L205" i="2"/>
  <c r="S204" i="2"/>
  <c r="R204" i="2"/>
  <c r="Q204" i="2"/>
  <c r="P204" i="2"/>
  <c r="O204" i="2"/>
  <c r="N204" i="2"/>
  <c r="M204" i="2"/>
  <c r="L204" i="2"/>
  <c r="S203" i="2"/>
  <c r="R203" i="2"/>
  <c r="Q203" i="2"/>
  <c r="P203" i="2"/>
  <c r="O203" i="2"/>
  <c r="N203" i="2"/>
  <c r="M203" i="2"/>
  <c r="M202" i="2" s="1"/>
  <c r="L203" i="2"/>
  <c r="S201" i="2"/>
  <c r="T201" i="2" s="1"/>
  <c r="U201" i="2" s="1"/>
  <c r="V201" i="2" s="1"/>
  <c r="W201" i="2" s="1"/>
  <c r="R201" i="2"/>
  <c r="Q201" i="2"/>
  <c r="P201" i="2"/>
  <c r="O201" i="2"/>
  <c r="N201" i="2"/>
  <c r="M201" i="2"/>
  <c r="L201" i="2"/>
  <c r="S200" i="2"/>
  <c r="T200" i="2" s="1"/>
  <c r="U200" i="2" s="1"/>
  <c r="V200" i="2" s="1"/>
  <c r="W200" i="2" s="1"/>
  <c r="R200" i="2"/>
  <c r="Q200" i="2"/>
  <c r="P200" i="2"/>
  <c r="O200" i="2"/>
  <c r="N200" i="2"/>
  <c r="M200" i="2"/>
  <c r="L200" i="2"/>
  <c r="S199" i="2"/>
  <c r="R199" i="2"/>
  <c r="Q199" i="2"/>
  <c r="P199" i="2"/>
  <c r="O199" i="2"/>
  <c r="N199" i="2"/>
  <c r="M199" i="2"/>
  <c r="L199" i="2"/>
  <c r="S198" i="2"/>
  <c r="T198" i="2" s="1"/>
  <c r="U198" i="2" s="1"/>
  <c r="R198" i="2"/>
  <c r="Q198" i="2"/>
  <c r="P198" i="2"/>
  <c r="O198" i="2"/>
  <c r="N198" i="2"/>
  <c r="M198" i="2"/>
  <c r="L198" i="2"/>
  <c r="S196" i="2"/>
  <c r="R196" i="2"/>
  <c r="Q196" i="2"/>
  <c r="P196" i="2"/>
  <c r="O196" i="2"/>
  <c r="N196" i="2"/>
  <c r="M196" i="2"/>
  <c r="L196" i="2"/>
  <c r="K196" i="2"/>
  <c r="S195" i="2"/>
  <c r="R195" i="2"/>
  <c r="Q195" i="2"/>
  <c r="P195" i="2"/>
  <c r="O195" i="2"/>
  <c r="N195" i="2"/>
  <c r="M195" i="2"/>
  <c r="L195" i="2"/>
  <c r="S194" i="2"/>
  <c r="R194" i="2"/>
  <c r="Q194" i="2"/>
  <c r="P194" i="2"/>
  <c r="O194" i="2"/>
  <c r="N194" i="2"/>
  <c r="M194" i="2"/>
  <c r="L194" i="2"/>
  <c r="S191" i="2"/>
  <c r="T191" i="2" s="1"/>
  <c r="R191" i="2"/>
  <c r="Q191" i="2"/>
  <c r="R138" i="2" s="1"/>
  <c r="P191" i="2"/>
  <c r="O191" i="2"/>
  <c r="P138" i="2" s="1"/>
  <c r="N191" i="2"/>
  <c r="M191" i="2"/>
  <c r="L191" i="2"/>
  <c r="S190" i="2"/>
  <c r="T190" i="2" s="1"/>
  <c r="R190" i="2"/>
  <c r="Q190" i="2"/>
  <c r="P190" i="2"/>
  <c r="O190" i="2"/>
  <c r="N190" i="2"/>
  <c r="M190" i="2"/>
  <c r="L190" i="2"/>
  <c r="S189" i="2"/>
  <c r="T189" i="2" s="1"/>
  <c r="U189" i="2" s="1"/>
  <c r="V189" i="2" s="1"/>
  <c r="R189" i="2"/>
  <c r="Q189" i="2"/>
  <c r="P189" i="2"/>
  <c r="O189" i="2"/>
  <c r="N189" i="2"/>
  <c r="M189" i="2"/>
  <c r="L189" i="2"/>
  <c r="S187" i="2"/>
  <c r="R187" i="2"/>
  <c r="Q187" i="2"/>
  <c r="P187" i="2"/>
  <c r="O187" i="2"/>
  <c r="N187" i="2"/>
  <c r="M187" i="2"/>
  <c r="L187" i="2"/>
  <c r="S186" i="2"/>
  <c r="R186" i="2"/>
  <c r="Q186" i="2"/>
  <c r="P186" i="2"/>
  <c r="O186" i="2"/>
  <c r="N186" i="2"/>
  <c r="M186" i="2"/>
  <c r="L186" i="2"/>
  <c r="S184" i="2"/>
  <c r="R184" i="2"/>
  <c r="Q184" i="2"/>
  <c r="P184" i="2"/>
  <c r="O184" i="2"/>
  <c r="N184" i="2"/>
  <c r="M184" i="2"/>
  <c r="L184" i="2"/>
  <c r="AJ176" i="2"/>
  <c r="N176" i="2"/>
  <c r="M176" i="2"/>
  <c r="L176" i="2"/>
  <c r="AJ175" i="2"/>
  <c r="L175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AJ173" i="2"/>
  <c r="S173" i="2"/>
  <c r="R173" i="2"/>
  <c r="Q173" i="2"/>
  <c r="P173" i="2"/>
  <c r="O173" i="2"/>
  <c r="N173" i="2"/>
  <c r="M173" i="2"/>
  <c r="L173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AJ170" i="2"/>
  <c r="L170" i="2"/>
  <c r="AJ169" i="2"/>
  <c r="L169" i="2"/>
  <c r="AI167" i="2"/>
  <c r="AI303" i="2" s="1"/>
  <c r="AH167" i="2"/>
  <c r="AH303" i="2" s="1"/>
  <c r="AG167" i="2"/>
  <c r="AG303" i="2" s="1"/>
  <c r="AF167" i="2"/>
  <c r="AF303" i="2" s="1"/>
  <c r="AE167" i="2"/>
  <c r="AE303" i="2" s="1"/>
  <c r="AD167" i="2"/>
  <c r="AD303" i="2" s="1"/>
  <c r="AC167" i="2"/>
  <c r="AC303" i="2" s="1"/>
  <c r="AB167" i="2"/>
  <c r="AB303" i="2" s="1"/>
  <c r="AA167" i="2"/>
  <c r="AA303" i="2" s="1"/>
  <c r="Z167" i="2"/>
  <c r="Z303" i="2" s="1"/>
  <c r="Y167" i="2"/>
  <c r="Y303" i="2" s="1"/>
  <c r="X167" i="2"/>
  <c r="W167" i="2"/>
  <c r="W303" i="2" s="1"/>
  <c r="V167" i="2"/>
  <c r="V303" i="2" s="1"/>
  <c r="U167" i="2"/>
  <c r="U303" i="2" s="1"/>
  <c r="T167" i="2"/>
  <c r="T303" i="2" s="1"/>
  <c r="AJ166" i="2"/>
  <c r="L166" i="2"/>
  <c r="AJ165" i="2"/>
  <c r="L165" i="2"/>
  <c r="AJ164" i="2"/>
  <c r="N164" i="2"/>
  <c r="L164" i="2"/>
  <c r="AJ163" i="2"/>
  <c r="L163" i="2"/>
  <c r="AI159" i="2"/>
  <c r="AH159" i="2"/>
  <c r="AG159" i="2"/>
  <c r="AF159" i="2"/>
  <c r="AE159" i="2"/>
  <c r="AD159" i="2"/>
  <c r="AC159" i="2"/>
  <c r="AB159" i="2"/>
  <c r="AA159" i="2"/>
  <c r="Z159" i="2"/>
  <c r="Y159" i="2"/>
  <c r="X159" i="2"/>
  <c r="W159" i="2"/>
  <c r="V159" i="2"/>
  <c r="U159" i="2"/>
  <c r="T159" i="2"/>
  <c r="L156" i="2"/>
  <c r="L155" i="2"/>
  <c r="Q154" i="2"/>
  <c r="L154" i="2"/>
  <c r="AI153" i="2"/>
  <c r="AH153" i="2"/>
  <c r="AG153" i="2"/>
  <c r="AF153" i="2"/>
  <c r="AE153" i="2"/>
  <c r="AD153" i="2"/>
  <c r="AC153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L149" i="2"/>
  <c r="L148" i="2"/>
  <c r="L147" i="2"/>
  <c r="L146" i="2"/>
  <c r="L145" i="2"/>
  <c r="L144" i="2"/>
  <c r="L143" i="2"/>
  <c r="L139" i="2"/>
  <c r="L138" i="2"/>
  <c r="L137" i="2"/>
  <c r="L136" i="2"/>
  <c r="L131" i="2"/>
  <c r="S119" i="2"/>
  <c r="R119" i="2"/>
  <c r="Q119" i="2"/>
  <c r="P119" i="2"/>
  <c r="O119" i="2"/>
  <c r="N119" i="2"/>
  <c r="M119" i="2"/>
  <c r="L119" i="2"/>
  <c r="AJ117" i="2"/>
  <c r="S117" i="2"/>
  <c r="R117" i="2"/>
  <c r="Q117" i="2"/>
  <c r="P117" i="2"/>
  <c r="O117" i="2"/>
  <c r="N117" i="2"/>
  <c r="M117" i="2"/>
  <c r="L117" i="2"/>
  <c r="AJ116" i="2"/>
  <c r="S116" i="2"/>
  <c r="R116" i="2"/>
  <c r="Q116" i="2"/>
  <c r="P116" i="2"/>
  <c r="O116" i="2"/>
  <c r="N116" i="2"/>
  <c r="M116" i="2"/>
  <c r="L116" i="2"/>
  <c r="AJ115" i="2"/>
  <c r="S115" i="2"/>
  <c r="R115" i="2"/>
  <c r="Q115" i="2"/>
  <c r="P115" i="2"/>
  <c r="O115" i="2"/>
  <c r="N115" i="2"/>
  <c r="M115" i="2"/>
  <c r="L115" i="2"/>
  <c r="AJ114" i="2"/>
  <c r="S114" i="2"/>
  <c r="S174" i="2" s="1"/>
  <c r="R114" i="2"/>
  <c r="R174" i="2" s="1"/>
  <c r="Q114" i="2"/>
  <c r="Q174" i="2" s="1"/>
  <c r="P114" i="2"/>
  <c r="P174" i="2" s="1"/>
  <c r="O114" i="2"/>
  <c r="O174" i="2" s="1"/>
  <c r="N114" i="2"/>
  <c r="N174" i="2" s="1"/>
  <c r="M114" i="2"/>
  <c r="M174" i="2" s="1"/>
  <c r="L114" i="2"/>
  <c r="L174" i="2" s="1"/>
  <c r="AJ113" i="2"/>
  <c r="S113" i="2"/>
  <c r="R113" i="2"/>
  <c r="Q113" i="2"/>
  <c r="P113" i="2"/>
  <c r="O113" i="2"/>
  <c r="N113" i="2"/>
  <c r="M113" i="2"/>
  <c r="L113" i="2"/>
  <c r="AJ110" i="2"/>
  <c r="S110" i="2"/>
  <c r="R110" i="2"/>
  <c r="Q110" i="2"/>
  <c r="P110" i="2"/>
  <c r="O110" i="2"/>
  <c r="N110" i="2"/>
  <c r="M110" i="2"/>
  <c r="L110" i="2"/>
  <c r="S109" i="2"/>
  <c r="R109" i="2"/>
  <c r="Q109" i="2"/>
  <c r="P109" i="2"/>
  <c r="O109" i="2"/>
  <c r="N109" i="2"/>
  <c r="M109" i="2"/>
  <c r="L109" i="2"/>
  <c r="AJ108" i="2"/>
  <c r="S108" i="2"/>
  <c r="R108" i="2"/>
  <c r="Q108" i="2"/>
  <c r="P108" i="2"/>
  <c r="O108" i="2"/>
  <c r="N108" i="2"/>
  <c r="M108" i="2"/>
  <c r="L108" i="2"/>
  <c r="AJ107" i="2"/>
  <c r="S107" i="2"/>
  <c r="R107" i="2"/>
  <c r="Q107" i="2"/>
  <c r="P107" i="2"/>
  <c r="O107" i="2"/>
  <c r="N107" i="2"/>
  <c r="M107" i="2"/>
  <c r="L107" i="2"/>
  <c r="AJ106" i="2"/>
  <c r="S106" i="2"/>
  <c r="R106" i="2"/>
  <c r="Q106" i="2"/>
  <c r="P106" i="2"/>
  <c r="O106" i="2"/>
  <c r="N106" i="2"/>
  <c r="M106" i="2"/>
  <c r="L106" i="2"/>
  <c r="AJ105" i="2"/>
  <c r="S105" i="2"/>
  <c r="R105" i="2"/>
  <c r="Q105" i="2"/>
  <c r="P105" i="2"/>
  <c r="O105" i="2"/>
  <c r="N105" i="2"/>
  <c r="M105" i="2"/>
  <c r="L105" i="2"/>
  <c r="AJ104" i="2"/>
  <c r="S104" i="2"/>
  <c r="R104" i="2"/>
  <c r="Q104" i="2"/>
  <c r="P104" i="2"/>
  <c r="O104" i="2"/>
  <c r="N104" i="2"/>
  <c r="M104" i="2"/>
  <c r="L104" i="2"/>
  <c r="AJ103" i="2"/>
  <c r="S103" i="2"/>
  <c r="R103" i="2"/>
  <c r="Q103" i="2"/>
  <c r="P103" i="2"/>
  <c r="O103" i="2"/>
  <c r="N103" i="2"/>
  <c r="M103" i="2"/>
  <c r="L103" i="2"/>
  <c r="AJ102" i="2"/>
  <c r="S102" i="2"/>
  <c r="R102" i="2"/>
  <c r="Q102" i="2"/>
  <c r="P102" i="2"/>
  <c r="O102" i="2"/>
  <c r="N102" i="2"/>
  <c r="M102" i="2"/>
  <c r="L102" i="2"/>
  <c r="S101" i="2"/>
  <c r="R101" i="2"/>
  <c r="Q101" i="2"/>
  <c r="P101" i="2"/>
  <c r="O101" i="2"/>
  <c r="N101" i="2"/>
  <c r="M101" i="2"/>
  <c r="L101" i="2"/>
  <c r="S100" i="2"/>
  <c r="R100" i="2"/>
  <c r="Q100" i="2"/>
  <c r="T100" i="2" s="1"/>
  <c r="P100" i="2"/>
  <c r="O100" i="2"/>
  <c r="N100" i="2"/>
  <c r="M100" i="2"/>
  <c r="L100" i="2"/>
  <c r="S99" i="2"/>
  <c r="S152" i="2" s="1"/>
  <c r="R99" i="2"/>
  <c r="Q99" i="2"/>
  <c r="Q152" i="2" s="1"/>
  <c r="P99" i="2"/>
  <c r="P152" i="2" s="1"/>
  <c r="O99" i="2"/>
  <c r="O152" i="2" s="1"/>
  <c r="N99" i="2"/>
  <c r="N152" i="2" s="1"/>
  <c r="M99" i="2"/>
  <c r="M152" i="2" s="1"/>
  <c r="L99" i="2"/>
  <c r="AJ97" i="2"/>
  <c r="S97" i="2"/>
  <c r="R97" i="2"/>
  <c r="Q97" i="2"/>
  <c r="P97" i="2"/>
  <c r="O97" i="2"/>
  <c r="N97" i="2"/>
  <c r="M97" i="2"/>
  <c r="L97" i="2"/>
  <c r="AJ96" i="2"/>
  <c r="S96" i="2"/>
  <c r="R96" i="2"/>
  <c r="Q96" i="2"/>
  <c r="P96" i="2"/>
  <c r="O96" i="2"/>
  <c r="N96" i="2"/>
  <c r="M96" i="2"/>
  <c r="L96" i="2"/>
  <c r="S95" i="2"/>
  <c r="R95" i="2"/>
  <c r="Q95" i="2"/>
  <c r="P95" i="2"/>
  <c r="O95" i="2"/>
  <c r="N95" i="2"/>
  <c r="M95" i="2"/>
  <c r="L95" i="2"/>
  <c r="S73" i="2"/>
  <c r="R73" i="2"/>
  <c r="Q73" i="2"/>
  <c r="P73" i="2"/>
  <c r="O73" i="2"/>
  <c r="N73" i="2"/>
  <c r="M73" i="2"/>
  <c r="L73" i="2"/>
  <c r="K71" i="2"/>
  <c r="I71" i="2"/>
  <c r="S62" i="2"/>
  <c r="R62" i="2"/>
  <c r="Q62" i="2"/>
  <c r="P62" i="2"/>
  <c r="O62" i="2"/>
  <c r="N62" i="2"/>
  <c r="M62" i="2"/>
  <c r="L62" i="2"/>
  <c r="S61" i="2"/>
  <c r="R61" i="2"/>
  <c r="Q61" i="2"/>
  <c r="P61" i="2"/>
  <c r="O61" i="2"/>
  <c r="N61" i="2"/>
  <c r="M61" i="2"/>
  <c r="L61" i="2"/>
  <c r="S60" i="2"/>
  <c r="R60" i="2"/>
  <c r="Q60" i="2"/>
  <c r="P60" i="2"/>
  <c r="O60" i="2"/>
  <c r="N60" i="2"/>
  <c r="M60" i="2"/>
  <c r="L60" i="2"/>
  <c r="S59" i="2"/>
  <c r="R59" i="2"/>
  <c r="Q59" i="2"/>
  <c r="P59" i="2"/>
  <c r="O59" i="2"/>
  <c r="N59" i="2"/>
  <c r="M59" i="2"/>
  <c r="L59" i="2"/>
  <c r="S58" i="2"/>
  <c r="R58" i="2"/>
  <c r="Q58" i="2"/>
  <c r="P58" i="2"/>
  <c r="O58" i="2"/>
  <c r="N58" i="2"/>
  <c r="M58" i="2"/>
  <c r="L58" i="2"/>
  <c r="S47" i="2"/>
  <c r="R47" i="2"/>
  <c r="Q47" i="2"/>
  <c r="P47" i="2"/>
  <c r="O47" i="2"/>
  <c r="N47" i="2"/>
  <c r="M47" i="2"/>
  <c r="L47" i="2"/>
  <c r="S46" i="2"/>
  <c r="R46" i="2"/>
  <c r="Q46" i="2"/>
  <c r="P46" i="2"/>
  <c r="O46" i="2"/>
  <c r="N46" i="2"/>
  <c r="M46" i="2"/>
  <c r="L46" i="2"/>
  <c r="S45" i="2"/>
  <c r="R45" i="2"/>
  <c r="Q45" i="2"/>
  <c r="P45" i="2"/>
  <c r="O45" i="2"/>
  <c r="N45" i="2"/>
  <c r="M45" i="2"/>
  <c r="L45" i="2"/>
  <c r="S44" i="2"/>
  <c r="R44" i="2"/>
  <c r="Q44" i="2"/>
  <c r="P44" i="2"/>
  <c r="O44" i="2"/>
  <c r="N44" i="2"/>
  <c r="M44" i="2"/>
  <c r="L44" i="2"/>
  <c r="S43" i="2"/>
  <c r="R43" i="2"/>
  <c r="Q43" i="2"/>
  <c r="P43" i="2"/>
  <c r="O43" i="2"/>
  <c r="N43" i="2"/>
  <c r="M43" i="2"/>
  <c r="L43" i="2"/>
  <c r="S32" i="2"/>
  <c r="R32" i="2"/>
  <c r="Q32" i="2"/>
  <c r="P32" i="2"/>
  <c r="O32" i="2"/>
  <c r="N32" i="2"/>
  <c r="M32" i="2"/>
  <c r="L32" i="2"/>
  <c r="S31" i="2"/>
  <c r="R31" i="2"/>
  <c r="Q31" i="2"/>
  <c r="P31" i="2"/>
  <c r="O31" i="2"/>
  <c r="N31" i="2"/>
  <c r="M31" i="2"/>
  <c r="L31" i="2"/>
  <c r="S30" i="2"/>
  <c r="R30" i="2"/>
  <c r="Q30" i="2"/>
  <c r="P30" i="2"/>
  <c r="O30" i="2"/>
  <c r="N30" i="2"/>
  <c r="M30" i="2"/>
  <c r="L30" i="2"/>
  <c r="S29" i="2"/>
  <c r="R29" i="2"/>
  <c r="Q29" i="2"/>
  <c r="P29" i="2"/>
  <c r="O29" i="2"/>
  <c r="N29" i="2"/>
  <c r="M29" i="2"/>
  <c r="L29" i="2"/>
  <c r="S28" i="2"/>
  <c r="R28" i="2"/>
  <c r="Q28" i="2"/>
  <c r="P28" i="2"/>
  <c r="O28" i="2"/>
  <c r="N28" i="2"/>
  <c r="M28" i="2"/>
  <c r="L28" i="2"/>
  <c r="AJ16" i="2"/>
  <c r="S16" i="2"/>
  <c r="R16" i="2"/>
  <c r="R14" i="2" s="1"/>
  <c r="R17" i="2" s="1"/>
  <c r="Q16" i="2"/>
  <c r="P16" i="2"/>
  <c r="O16" i="2"/>
  <c r="N16" i="2"/>
  <c r="N14" i="2" s="1"/>
  <c r="M16" i="2"/>
  <c r="L16" i="2"/>
  <c r="AJ15" i="2"/>
  <c r="S15" i="2"/>
  <c r="Q15" i="2"/>
  <c r="P15" i="2"/>
  <c r="O15" i="2"/>
  <c r="M15" i="2"/>
  <c r="L15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0" i="2"/>
  <c r="R10" i="2"/>
  <c r="Q10" i="2"/>
  <c r="P10" i="2"/>
  <c r="O10" i="2"/>
  <c r="N10" i="2"/>
  <c r="M10" i="2"/>
  <c r="L10" i="2"/>
  <c r="S9" i="2"/>
  <c r="R9" i="2"/>
  <c r="Q9" i="2"/>
  <c r="P9" i="2"/>
  <c r="O9" i="2"/>
  <c r="N9" i="2"/>
  <c r="M9" i="2"/>
  <c r="L9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M5" i="2"/>
  <c r="M3" i="2" s="1"/>
  <c r="J5" i="2"/>
  <c r="L3" i="2"/>
  <c r="AG1276" i="4"/>
  <c r="AF1276" i="4"/>
  <c r="AE1276" i="4"/>
  <c r="AD1276" i="4"/>
  <c r="AC1276" i="4"/>
  <c r="AB1276" i="4"/>
  <c r="AA1276" i="4"/>
  <c r="AA1278" i="4" s="1"/>
  <c r="Z1276" i="4"/>
  <c r="Y1276" i="4"/>
  <c r="X1276" i="4"/>
  <c r="W1276" i="4"/>
  <c r="W1278" i="4" s="1"/>
  <c r="V1276" i="4"/>
  <c r="V1278" i="4" s="1"/>
  <c r="U1276" i="4"/>
  <c r="U1278" i="4" s="1"/>
  <c r="T1276" i="4"/>
  <c r="T1278" i="4" s="1"/>
  <c r="S1276" i="4"/>
  <c r="S1277" i="4" s="1"/>
  <c r="R1276" i="4"/>
  <c r="R1278" i="4" s="1"/>
  <c r="AG1210" i="4"/>
  <c r="AG1214" i="4" s="1"/>
  <c r="AF1210" i="4"/>
  <c r="AF1214" i="4" s="1"/>
  <c r="AF1218" i="4" s="1"/>
  <c r="AE1210" i="4"/>
  <c r="AE1214" i="4" s="1"/>
  <c r="AD1210" i="4"/>
  <c r="AD1214" i="4" s="1"/>
  <c r="AD1218" i="4" s="1"/>
  <c r="AC1210" i="4"/>
  <c r="AC1214" i="4" s="1"/>
  <c r="AC1218" i="4" s="1"/>
  <c r="AB1210" i="4"/>
  <c r="AA1210" i="4"/>
  <c r="AA1214" i="4" s="1"/>
  <c r="Z1210" i="4"/>
  <c r="Z1214" i="4" s="1"/>
  <c r="Y1210" i="4"/>
  <c r="Y1214" i="4" s="1"/>
  <c r="X1210" i="4"/>
  <c r="X1214" i="4" s="1"/>
  <c r="W1210" i="4"/>
  <c r="W1214" i="4" s="1"/>
  <c r="V1210" i="4"/>
  <c r="U1210" i="4"/>
  <c r="U1214" i="4" s="1"/>
  <c r="U1218" i="4" s="1"/>
  <c r="T1210" i="4"/>
  <c r="T1214" i="4" s="1"/>
  <c r="T1218" i="4" s="1"/>
  <c r="S1210" i="4"/>
  <c r="S1214" i="4" s="1"/>
  <c r="R1210" i="4"/>
  <c r="R1214" i="4" s="1"/>
  <c r="Q1210" i="4"/>
  <c r="Q1214" i="4" s="1"/>
  <c r="P1210" i="4"/>
  <c r="P1214" i="4" s="1"/>
  <c r="P1218" i="4" s="1"/>
  <c r="O1210" i="4"/>
  <c r="O1214" i="4" s="1"/>
  <c r="N1210" i="4"/>
  <c r="N1214" i="4" s="1"/>
  <c r="M1210" i="4"/>
  <c r="M1214" i="4" s="1"/>
  <c r="M1218" i="4" s="1"/>
  <c r="L1210" i="4"/>
  <c r="L1214" i="4" s="1"/>
  <c r="K1210" i="4"/>
  <c r="J1210" i="4"/>
  <c r="AG1204" i="4"/>
  <c r="AF1204" i="4"/>
  <c r="AE1204" i="4"/>
  <c r="AD1204" i="4"/>
  <c r="AD1213" i="4" s="1"/>
  <c r="AC1204" i="4"/>
  <c r="AB1204" i="4"/>
  <c r="AB1213" i="4" s="1"/>
  <c r="AA1204" i="4"/>
  <c r="AA1213" i="4" s="1"/>
  <c r="Z1204" i="4"/>
  <c r="Y1204" i="4"/>
  <c r="X1204" i="4"/>
  <c r="W1204" i="4"/>
  <c r="V1204" i="4"/>
  <c r="U1204" i="4"/>
  <c r="T1204" i="4"/>
  <c r="S1204" i="4"/>
  <c r="S1213" i="4" s="1"/>
  <c r="R1204" i="4"/>
  <c r="R1213" i="4" s="1"/>
  <c r="Q1204" i="4"/>
  <c r="Q1213" i="4" s="1"/>
  <c r="P1204" i="4"/>
  <c r="O1204" i="4"/>
  <c r="O1213" i="4" s="1"/>
  <c r="N1204" i="4"/>
  <c r="M1204" i="4"/>
  <c r="L1204" i="4"/>
  <c r="L1213" i="4" s="1"/>
  <c r="K1204" i="4"/>
  <c r="K1213" i="4" s="1"/>
  <c r="J1204" i="4"/>
  <c r="J1213" i="4" s="1"/>
  <c r="P1190" i="4"/>
  <c r="P938" i="4" s="1"/>
  <c r="P196" i="4" s="1"/>
  <c r="P192" i="4" s="1"/>
  <c r="K1190" i="4"/>
  <c r="K938" i="4" s="1"/>
  <c r="K196" i="4" s="1"/>
  <c r="K192" i="4" s="1"/>
  <c r="J1190" i="4"/>
  <c r="Q1186" i="4"/>
  <c r="P1186" i="4"/>
  <c r="O1186" i="4"/>
  <c r="N1186" i="4"/>
  <c r="M1186" i="4"/>
  <c r="L1186" i="4"/>
  <c r="K1186" i="4"/>
  <c r="J1186" i="4"/>
  <c r="P1178" i="4"/>
  <c r="M1178" i="4"/>
  <c r="P1173" i="4"/>
  <c r="M1173" i="4"/>
  <c r="P1168" i="4"/>
  <c r="M1168" i="4"/>
  <c r="P1166" i="4"/>
  <c r="P934" i="4" s="1"/>
  <c r="M1166" i="4"/>
  <c r="M934" i="4" s="1"/>
  <c r="K1166" i="4"/>
  <c r="K934" i="4" s="1"/>
  <c r="J1166" i="4"/>
  <c r="J934" i="4" s="1"/>
  <c r="P1163" i="4"/>
  <c r="M1163" i="4"/>
  <c r="P1158" i="4"/>
  <c r="M1158" i="4"/>
  <c r="Q1154" i="4"/>
  <c r="P1154" i="4"/>
  <c r="N1154" i="4"/>
  <c r="M1154" i="4"/>
  <c r="K1154" i="4"/>
  <c r="J1154" i="4"/>
  <c r="P1151" i="4"/>
  <c r="P931" i="4" s="1"/>
  <c r="M1151" i="4"/>
  <c r="M931" i="4" s="1"/>
  <c r="K1151" i="4"/>
  <c r="K931" i="4" s="1"/>
  <c r="J1151" i="4"/>
  <c r="J931" i="4" s="1"/>
  <c r="P1148" i="4"/>
  <c r="M1148" i="4"/>
  <c r="P1143" i="4"/>
  <c r="M1143" i="4"/>
  <c r="P1137" i="4"/>
  <c r="M1137" i="4"/>
  <c r="Q1130" i="4"/>
  <c r="Q1131" i="4" s="1"/>
  <c r="P1130" i="4"/>
  <c r="P1131" i="4" s="1"/>
  <c r="O1130" i="4"/>
  <c r="O1131" i="4" s="1"/>
  <c r="N1130" i="4"/>
  <c r="N1131" i="4" s="1"/>
  <c r="M1130" i="4"/>
  <c r="M1131" i="4" s="1"/>
  <c r="L1130" i="4"/>
  <c r="L1131" i="4" s="1"/>
  <c r="K1130" i="4"/>
  <c r="K1131" i="4" s="1"/>
  <c r="J1130" i="4"/>
  <c r="J1131" i="4" s="1"/>
  <c r="Q1126" i="4"/>
  <c r="Q1127" i="4" s="1"/>
  <c r="P1126" i="4"/>
  <c r="P1127" i="4" s="1"/>
  <c r="O1126" i="4"/>
  <c r="O1127" i="4" s="1"/>
  <c r="N1126" i="4"/>
  <c r="N1127" i="4" s="1"/>
  <c r="M1126" i="4"/>
  <c r="M1127" i="4" s="1"/>
  <c r="L1126" i="4"/>
  <c r="L1127" i="4" s="1"/>
  <c r="K1126" i="4"/>
  <c r="K1127" i="4" s="1"/>
  <c r="J1126" i="4"/>
  <c r="J1127" i="4" s="1"/>
  <c r="AG1122" i="4"/>
  <c r="AF1122" i="4"/>
  <c r="AF1123" i="4" s="1"/>
  <c r="AE1122" i="4"/>
  <c r="AE1123" i="4" s="1"/>
  <c r="AD1122" i="4"/>
  <c r="AC1122" i="4"/>
  <c r="AC1123" i="4" s="1"/>
  <c r="AB1122" i="4"/>
  <c r="AB1123" i="4" s="1"/>
  <c r="AA1122" i="4"/>
  <c r="AA1123" i="4" s="1"/>
  <c r="Z1122" i="4"/>
  <c r="Y1122" i="4"/>
  <c r="X1122" i="4"/>
  <c r="W1122" i="4"/>
  <c r="V1122" i="4"/>
  <c r="U1122" i="4"/>
  <c r="U1123" i="4" s="1"/>
  <c r="T1122" i="4"/>
  <c r="T1123" i="4" s="1"/>
  <c r="S1122" i="4"/>
  <c r="S1123" i="4" s="1"/>
  <c r="R1122" i="4"/>
  <c r="R1123" i="4" s="1"/>
  <c r="Q1102" i="4"/>
  <c r="P1102" i="4"/>
  <c r="O1102" i="4"/>
  <c r="N1102" i="4"/>
  <c r="M1102" i="4"/>
  <c r="L1102" i="4"/>
  <c r="K1102" i="4"/>
  <c r="J1102" i="4"/>
  <c r="Q1100" i="4"/>
  <c r="P1100" i="4"/>
  <c r="O1100" i="4"/>
  <c r="N1100" i="4"/>
  <c r="M1100" i="4"/>
  <c r="L1100" i="4"/>
  <c r="K1100" i="4"/>
  <c r="J1100" i="4"/>
  <c r="Q1099" i="4"/>
  <c r="P1099" i="4"/>
  <c r="O1099" i="4"/>
  <c r="N1099" i="4"/>
  <c r="M1099" i="4"/>
  <c r="L1099" i="4"/>
  <c r="K1099" i="4"/>
  <c r="J1099" i="4"/>
  <c r="Q1098" i="4"/>
  <c r="P1098" i="4"/>
  <c r="O1098" i="4"/>
  <c r="N1098" i="4"/>
  <c r="M1098" i="4"/>
  <c r="L1098" i="4"/>
  <c r="K1098" i="4"/>
  <c r="J1098" i="4"/>
  <c r="Q1096" i="4"/>
  <c r="R1093" i="4" s="1"/>
  <c r="P1096" i="4"/>
  <c r="O1096" i="4"/>
  <c r="N1096" i="4"/>
  <c r="M1096" i="4"/>
  <c r="L1096" i="4"/>
  <c r="K1096" i="4"/>
  <c r="J1096" i="4"/>
  <c r="Q1091" i="4"/>
  <c r="R1088" i="4" s="1"/>
  <c r="P1091" i="4"/>
  <c r="O1091" i="4"/>
  <c r="N1091" i="4"/>
  <c r="M1091" i="4"/>
  <c r="L1091" i="4"/>
  <c r="K1091" i="4"/>
  <c r="J1091" i="4"/>
  <c r="Q1086" i="4"/>
  <c r="R1083" i="4" s="1"/>
  <c r="P1086" i="4"/>
  <c r="O1086" i="4"/>
  <c r="N1086" i="4"/>
  <c r="M1086" i="4"/>
  <c r="L1086" i="4"/>
  <c r="K1086" i="4"/>
  <c r="J1086" i="4"/>
  <c r="AG1082" i="4"/>
  <c r="AF1082" i="4"/>
  <c r="AE1082" i="4"/>
  <c r="AD1082" i="4"/>
  <c r="AC1082" i="4"/>
  <c r="AB1082" i="4"/>
  <c r="AA1082" i="4"/>
  <c r="Z1082" i="4"/>
  <c r="Y1082" i="4"/>
  <c r="X1082" i="4"/>
  <c r="W1082" i="4"/>
  <c r="V1082" i="4"/>
  <c r="U1082" i="4"/>
  <c r="T1082" i="4"/>
  <c r="S1082" i="4"/>
  <c r="R1082" i="4"/>
  <c r="Q1081" i="4"/>
  <c r="R1078" i="4" s="1"/>
  <c r="P1081" i="4"/>
  <c r="O1081" i="4"/>
  <c r="N1081" i="4"/>
  <c r="M1081" i="4"/>
  <c r="L1081" i="4"/>
  <c r="K1081" i="4"/>
  <c r="J1081" i="4"/>
  <c r="Q1076" i="4"/>
  <c r="R1073" i="4" s="1"/>
  <c r="P1076" i="4"/>
  <c r="O1076" i="4"/>
  <c r="N1076" i="4"/>
  <c r="M1076" i="4"/>
  <c r="L1076" i="4"/>
  <c r="K1076" i="4"/>
  <c r="J1076" i="4"/>
  <c r="Q1071" i="4"/>
  <c r="R1068" i="4" s="1"/>
  <c r="P1071" i="4"/>
  <c r="O1071" i="4"/>
  <c r="N1071" i="4"/>
  <c r="M1071" i="4"/>
  <c r="L1071" i="4"/>
  <c r="K1071" i="4"/>
  <c r="J1071" i="4"/>
  <c r="Q1066" i="4"/>
  <c r="R1063" i="4" s="1"/>
  <c r="P1066" i="4"/>
  <c r="O1066" i="4"/>
  <c r="N1066" i="4"/>
  <c r="M1066" i="4"/>
  <c r="L1066" i="4"/>
  <c r="K1066" i="4"/>
  <c r="J1066" i="4"/>
  <c r="Q1061" i="4"/>
  <c r="R1058" i="4" s="1"/>
  <c r="P1061" i="4"/>
  <c r="O1061" i="4"/>
  <c r="N1061" i="4"/>
  <c r="M1061" i="4"/>
  <c r="L1061" i="4"/>
  <c r="K1061" i="4"/>
  <c r="J1061" i="4"/>
  <c r="Q1056" i="4"/>
  <c r="R1053" i="4" s="1"/>
  <c r="P1056" i="4"/>
  <c r="O1056" i="4"/>
  <c r="N1056" i="4"/>
  <c r="M1056" i="4"/>
  <c r="L1056" i="4"/>
  <c r="K1056" i="4"/>
  <c r="J1056" i="4"/>
  <c r="Q1051" i="4"/>
  <c r="R1048" i="4" s="1"/>
  <c r="P1051" i="4"/>
  <c r="O1051" i="4"/>
  <c r="N1051" i="4"/>
  <c r="M1051" i="4"/>
  <c r="L1051" i="4"/>
  <c r="K1051" i="4"/>
  <c r="J1051" i="4"/>
  <c r="Q1046" i="4"/>
  <c r="R1043" i="4" s="1"/>
  <c r="P1046" i="4"/>
  <c r="O1046" i="4"/>
  <c r="N1046" i="4"/>
  <c r="M1046" i="4"/>
  <c r="L1046" i="4"/>
  <c r="K1046" i="4"/>
  <c r="J1046" i="4"/>
  <c r="Q1041" i="4"/>
  <c r="R1038" i="4" s="1"/>
  <c r="P1041" i="4"/>
  <c r="O1041" i="4"/>
  <c r="N1041" i="4"/>
  <c r="M1041" i="4"/>
  <c r="L1041" i="4"/>
  <c r="K1041" i="4"/>
  <c r="J1041" i="4"/>
  <c r="Q1036" i="4"/>
  <c r="R1033" i="4" s="1"/>
  <c r="P1036" i="4"/>
  <c r="O1036" i="4"/>
  <c r="N1036" i="4"/>
  <c r="M1036" i="4"/>
  <c r="L1036" i="4"/>
  <c r="K1036" i="4"/>
  <c r="J1036" i="4"/>
  <c r="Q1031" i="4"/>
  <c r="R1028" i="4" s="1"/>
  <c r="P1031" i="4"/>
  <c r="O1031" i="4"/>
  <c r="N1031" i="4"/>
  <c r="M1031" i="4"/>
  <c r="L1031" i="4"/>
  <c r="K1031" i="4"/>
  <c r="J1031" i="4"/>
  <c r="Q1026" i="4"/>
  <c r="R1023" i="4" s="1"/>
  <c r="P1026" i="4"/>
  <c r="O1026" i="4"/>
  <c r="N1026" i="4"/>
  <c r="M1026" i="4"/>
  <c r="L1026" i="4"/>
  <c r="K1026" i="4"/>
  <c r="J1026" i="4"/>
  <c r="Q1021" i="4"/>
  <c r="R1018" i="4" s="1"/>
  <c r="P1021" i="4"/>
  <c r="O1021" i="4"/>
  <c r="N1021" i="4"/>
  <c r="M1021" i="4"/>
  <c r="L1021" i="4"/>
  <c r="K1021" i="4"/>
  <c r="J1021" i="4"/>
  <c r="Q1016" i="4"/>
  <c r="R1013" i="4" s="1"/>
  <c r="P1016" i="4"/>
  <c r="O1016" i="4"/>
  <c r="N1016" i="4"/>
  <c r="M1016" i="4"/>
  <c r="L1016" i="4"/>
  <c r="K1016" i="4"/>
  <c r="J1016" i="4"/>
  <c r="Q1011" i="4"/>
  <c r="R1008" i="4" s="1"/>
  <c r="P1011" i="4"/>
  <c r="O1011" i="4"/>
  <c r="N1011" i="4"/>
  <c r="M1011" i="4"/>
  <c r="L1011" i="4"/>
  <c r="K1011" i="4"/>
  <c r="J1011" i="4"/>
  <c r="Q1006" i="4"/>
  <c r="R1003" i="4" s="1"/>
  <c r="P1006" i="4"/>
  <c r="O1006" i="4"/>
  <c r="N1006" i="4"/>
  <c r="M1006" i="4"/>
  <c r="L1006" i="4"/>
  <c r="K1006" i="4"/>
  <c r="J1006" i="4"/>
  <c r="Q1001" i="4"/>
  <c r="R998" i="4" s="1"/>
  <c r="P1001" i="4"/>
  <c r="O1001" i="4"/>
  <c r="N1001" i="4"/>
  <c r="M1001" i="4"/>
  <c r="L1001" i="4"/>
  <c r="K1001" i="4"/>
  <c r="J1001" i="4"/>
  <c r="Q996" i="4"/>
  <c r="R993" i="4" s="1"/>
  <c r="P996" i="4"/>
  <c r="O996" i="4"/>
  <c r="N996" i="4"/>
  <c r="M996" i="4"/>
  <c r="L996" i="4"/>
  <c r="K996" i="4"/>
  <c r="J996" i="4"/>
  <c r="Q991" i="4"/>
  <c r="R988" i="4" s="1"/>
  <c r="P991" i="4"/>
  <c r="O991" i="4"/>
  <c r="N991" i="4"/>
  <c r="M991" i="4"/>
  <c r="L991" i="4"/>
  <c r="K991" i="4"/>
  <c r="J991" i="4"/>
  <c r="Q986" i="4"/>
  <c r="R983" i="4" s="1"/>
  <c r="P986" i="4"/>
  <c r="O986" i="4"/>
  <c r="N986" i="4"/>
  <c r="M986" i="4"/>
  <c r="L986" i="4"/>
  <c r="K986" i="4"/>
  <c r="J986" i="4"/>
  <c r="Q981" i="4"/>
  <c r="R978" i="4" s="1"/>
  <c r="P981" i="4"/>
  <c r="O981" i="4"/>
  <c r="N981" i="4"/>
  <c r="M981" i="4"/>
  <c r="L981" i="4"/>
  <c r="K981" i="4"/>
  <c r="J981" i="4"/>
  <c r="Q976" i="4"/>
  <c r="R973" i="4" s="1"/>
  <c r="P976" i="4"/>
  <c r="O976" i="4"/>
  <c r="N976" i="4"/>
  <c r="M976" i="4"/>
  <c r="L976" i="4"/>
  <c r="K976" i="4"/>
  <c r="J976" i="4"/>
  <c r="Q971" i="4"/>
  <c r="P971" i="4"/>
  <c r="O971" i="4"/>
  <c r="N971" i="4"/>
  <c r="M971" i="4"/>
  <c r="L971" i="4"/>
  <c r="K971" i="4"/>
  <c r="J971" i="4"/>
  <c r="AG958" i="4"/>
  <c r="AF958" i="4"/>
  <c r="AE958" i="4"/>
  <c r="AD958" i="4"/>
  <c r="AC958" i="4"/>
  <c r="AB958" i="4"/>
  <c r="AA958" i="4"/>
  <c r="Z958" i="4"/>
  <c r="Y958" i="4"/>
  <c r="X958" i="4"/>
  <c r="W958" i="4"/>
  <c r="V958" i="4"/>
  <c r="U958" i="4"/>
  <c r="T958" i="4"/>
  <c r="S958" i="4"/>
  <c r="R958" i="4"/>
  <c r="R953" i="4"/>
  <c r="R950" i="4"/>
  <c r="Q939" i="4"/>
  <c r="P939" i="4"/>
  <c r="O939" i="4"/>
  <c r="N939" i="4"/>
  <c r="M939" i="4"/>
  <c r="L939" i="4"/>
  <c r="K939" i="4"/>
  <c r="J939" i="4"/>
  <c r="Q938" i="4"/>
  <c r="Q196" i="4" s="1"/>
  <c r="Q192" i="4" s="1"/>
  <c r="O938" i="4"/>
  <c r="O196" i="4" s="1"/>
  <c r="O192" i="4" s="1"/>
  <c r="N938" i="4"/>
  <c r="N196" i="4" s="1"/>
  <c r="N192" i="4" s="1"/>
  <c r="M938" i="4"/>
  <c r="M196" i="4" s="1"/>
  <c r="M192" i="4" s="1"/>
  <c r="L938" i="4"/>
  <c r="L196" i="4" s="1"/>
  <c r="L192" i="4" s="1"/>
  <c r="Q937" i="4"/>
  <c r="P937" i="4"/>
  <c r="O937" i="4"/>
  <c r="N937" i="4"/>
  <c r="M937" i="4"/>
  <c r="L937" i="4"/>
  <c r="K937" i="4"/>
  <c r="J937" i="4"/>
  <c r="Q936" i="4"/>
  <c r="P936" i="4"/>
  <c r="O936" i="4"/>
  <c r="N936" i="4"/>
  <c r="M936" i="4"/>
  <c r="L936" i="4"/>
  <c r="K936" i="4"/>
  <c r="J936" i="4"/>
  <c r="Q935" i="4"/>
  <c r="P935" i="4"/>
  <c r="O935" i="4"/>
  <c r="N935" i="4"/>
  <c r="M935" i="4"/>
  <c r="L935" i="4"/>
  <c r="K935" i="4"/>
  <c r="J935" i="4"/>
  <c r="Q934" i="4"/>
  <c r="O934" i="4"/>
  <c r="N934" i="4"/>
  <c r="L934" i="4"/>
  <c r="Q933" i="4"/>
  <c r="P933" i="4"/>
  <c r="O933" i="4"/>
  <c r="N933" i="4"/>
  <c r="M933" i="4"/>
  <c r="L933" i="4"/>
  <c r="K933" i="4"/>
  <c r="J933" i="4"/>
  <c r="Q932" i="4"/>
  <c r="P932" i="4"/>
  <c r="O932" i="4"/>
  <c r="N932" i="4"/>
  <c r="M932" i="4"/>
  <c r="L932" i="4"/>
  <c r="K932" i="4"/>
  <c r="J932" i="4"/>
  <c r="Q931" i="4"/>
  <c r="O931" i="4"/>
  <c r="N931" i="4"/>
  <c r="L931" i="4"/>
  <c r="Q930" i="4"/>
  <c r="P930" i="4"/>
  <c r="O930" i="4"/>
  <c r="N930" i="4"/>
  <c r="M930" i="4"/>
  <c r="L930" i="4"/>
  <c r="K930" i="4"/>
  <c r="J930" i="4"/>
  <c r="Q922" i="4"/>
  <c r="P922" i="4"/>
  <c r="O922" i="4"/>
  <c r="N922" i="4"/>
  <c r="M922" i="4"/>
  <c r="L922" i="4"/>
  <c r="K922" i="4"/>
  <c r="J922" i="4"/>
  <c r="Q918" i="4"/>
  <c r="P918" i="4"/>
  <c r="O918" i="4"/>
  <c r="O921" i="4" s="1"/>
  <c r="N918" i="4"/>
  <c r="N921" i="4" s="1"/>
  <c r="M918" i="4"/>
  <c r="M923" i="4" s="1"/>
  <c r="L918" i="4"/>
  <c r="L923" i="4" s="1"/>
  <c r="K918" i="4"/>
  <c r="J918" i="4"/>
  <c r="J923" i="4" s="1"/>
  <c r="Q914" i="4"/>
  <c r="Q916" i="4" s="1"/>
  <c r="P914" i="4"/>
  <c r="P916" i="4" s="1"/>
  <c r="O914" i="4"/>
  <c r="O916" i="4" s="1"/>
  <c r="N914" i="4"/>
  <c r="N916" i="4" s="1"/>
  <c r="M914" i="4"/>
  <c r="M916" i="4" s="1"/>
  <c r="L914" i="4"/>
  <c r="L916" i="4" s="1"/>
  <c r="K914" i="4"/>
  <c r="K916" i="4" s="1"/>
  <c r="J914" i="4"/>
  <c r="J916" i="4" s="1"/>
  <c r="AG907" i="4"/>
  <c r="AF907" i="4"/>
  <c r="AE907" i="4"/>
  <c r="AD907" i="4"/>
  <c r="AC907" i="4"/>
  <c r="AB907" i="4"/>
  <c r="AA907" i="4"/>
  <c r="Z907" i="4"/>
  <c r="Y907" i="4"/>
  <c r="X907" i="4"/>
  <c r="W907" i="4"/>
  <c r="V907" i="4"/>
  <c r="U907" i="4"/>
  <c r="T907" i="4"/>
  <c r="S907" i="4"/>
  <c r="R907" i="4"/>
  <c r="AG906" i="4"/>
  <c r="AF906" i="4"/>
  <c r="AE906" i="4"/>
  <c r="AD906" i="4"/>
  <c r="AC906" i="4"/>
  <c r="AB906" i="4"/>
  <c r="AA906" i="4"/>
  <c r="Z906" i="4"/>
  <c r="Y906" i="4"/>
  <c r="X906" i="4"/>
  <c r="W906" i="4"/>
  <c r="V906" i="4"/>
  <c r="U906" i="4"/>
  <c r="T906" i="4"/>
  <c r="S906" i="4"/>
  <c r="R906" i="4"/>
  <c r="Q903" i="4"/>
  <c r="P903" i="4"/>
  <c r="O903" i="4"/>
  <c r="N903" i="4"/>
  <c r="M903" i="4"/>
  <c r="L903" i="4"/>
  <c r="K903" i="4"/>
  <c r="J903" i="4"/>
  <c r="Q902" i="4"/>
  <c r="Q910" i="4" s="1"/>
  <c r="P902" i="4"/>
  <c r="P910" i="4" s="1"/>
  <c r="O902" i="4"/>
  <c r="O910" i="4" s="1"/>
  <c r="N902" i="4"/>
  <c r="N910" i="4" s="1"/>
  <c r="M902" i="4"/>
  <c r="M910" i="4" s="1"/>
  <c r="L902" i="4"/>
  <c r="L910" i="4" s="1"/>
  <c r="K902" i="4"/>
  <c r="K910" i="4" s="1"/>
  <c r="J902" i="4"/>
  <c r="J910" i="4" s="1"/>
  <c r="Q901" i="4"/>
  <c r="Q909" i="4" s="1"/>
  <c r="P901" i="4"/>
  <c r="P909" i="4" s="1"/>
  <c r="O901" i="4"/>
  <c r="O909" i="4" s="1"/>
  <c r="N901" i="4"/>
  <c r="N909" i="4" s="1"/>
  <c r="M901" i="4"/>
  <c r="M909" i="4" s="1"/>
  <c r="L901" i="4"/>
  <c r="L909" i="4" s="1"/>
  <c r="K901" i="4"/>
  <c r="K909" i="4" s="1"/>
  <c r="J901" i="4"/>
  <c r="J909" i="4" s="1"/>
  <c r="Q900" i="4"/>
  <c r="Q908" i="4" s="1"/>
  <c r="P900" i="4"/>
  <c r="O900" i="4"/>
  <c r="N900" i="4"/>
  <c r="M900" i="4"/>
  <c r="L900" i="4"/>
  <c r="L908" i="4" s="1"/>
  <c r="K900" i="4"/>
  <c r="J900" i="4"/>
  <c r="Q898" i="4"/>
  <c r="P898" i="4"/>
  <c r="O898" i="4"/>
  <c r="N898" i="4"/>
  <c r="M898" i="4"/>
  <c r="L898" i="4"/>
  <c r="K898" i="4"/>
  <c r="J898" i="4"/>
  <c r="Q885" i="4"/>
  <c r="P885" i="4"/>
  <c r="O885" i="4"/>
  <c r="N885" i="4"/>
  <c r="M885" i="4"/>
  <c r="L885" i="4"/>
  <c r="K885" i="4"/>
  <c r="J885" i="4"/>
  <c r="R878" i="4"/>
  <c r="T59" i="2" s="1"/>
  <c r="Q861" i="4"/>
  <c r="P861" i="4"/>
  <c r="O861" i="4"/>
  <c r="N861" i="4"/>
  <c r="M861" i="4"/>
  <c r="L861" i="4"/>
  <c r="K861" i="4"/>
  <c r="J861" i="4"/>
  <c r="R858" i="4"/>
  <c r="R845" i="4"/>
  <c r="Q836" i="4"/>
  <c r="P836" i="4"/>
  <c r="O836" i="4"/>
  <c r="N836" i="4"/>
  <c r="M836" i="4"/>
  <c r="L836" i="4"/>
  <c r="K836" i="4"/>
  <c r="J836" i="4"/>
  <c r="AG834" i="4"/>
  <c r="AG841" i="4" s="1"/>
  <c r="AG854" i="4" s="1"/>
  <c r="AG875" i="4" s="1"/>
  <c r="AI58" i="2" s="1"/>
  <c r="AF834" i="4"/>
  <c r="AF841" i="4" s="1"/>
  <c r="AF854" i="4" s="1"/>
  <c r="AF875" i="4" s="1"/>
  <c r="AH58" i="2" s="1"/>
  <c r="AE834" i="4"/>
  <c r="AE841" i="4" s="1"/>
  <c r="AE854" i="4" s="1"/>
  <c r="AE875" i="4" s="1"/>
  <c r="AG58" i="2" s="1"/>
  <c r="AD834" i="4"/>
  <c r="AD841" i="4" s="1"/>
  <c r="AD854" i="4" s="1"/>
  <c r="AD875" i="4" s="1"/>
  <c r="AF58" i="2" s="1"/>
  <c r="AC834" i="4"/>
  <c r="AC841" i="4" s="1"/>
  <c r="AC854" i="4" s="1"/>
  <c r="AC875" i="4" s="1"/>
  <c r="AE58" i="2" s="1"/>
  <c r="AB834" i="4"/>
  <c r="AB841" i="4" s="1"/>
  <c r="AB854" i="4" s="1"/>
  <c r="AB875" i="4" s="1"/>
  <c r="AD58" i="2" s="1"/>
  <c r="AA834" i="4"/>
  <c r="AA841" i="4" s="1"/>
  <c r="AA854" i="4" s="1"/>
  <c r="AA875" i="4" s="1"/>
  <c r="AC58" i="2" s="1"/>
  <c r="Z834" i="4"/>
  <c r="Z841" i="4" s="1"/>
  <c r="Z854" i="4" s="1"/>
  <c r="Z875" i="4" s="1"/>
  <c r="AB58" i="2" s="1"/>
  <c r="Y834" i="4"/>
  <c r="Y841" i="4" s="1"/>
  <c r="Y854" i="4" s="1"/>
  <c r="Y875" i="4" s="1"/>
  <c r="AA58" i="2" s="1"/>
  <c r="X834" i="4"/>
  <c r="X841" i="4" s="1"/>
  <c r="X854" i="4" s="1"/>
  <c r="X875" i="4" s="1"/>
  <c r="Z58" i="2" s="1"/>
  <c r="W834" i="4"/>
  <c r="W841" i="4" s="1"/>
  <c r="W854" i="4" s="1"/>
  <c r="W875" i="4" s="1"/>
  <c r="Y58" i="2" s="1"/>
  <c r="V834" i="4"/>
  <c r="V841" i="4" s="1"/>
  <c r="V854" i="4" s="1"/>
  <c r="V875" i="4" s="1"/>
  <c r="X58" i="2" s="1"/>
  <c r="U834" i="4"/>
  <c r="U841" i="4" s="1"/>
  <c r="U854" i="4" s="1"/>
  <c r="U875" i="4" s="1"/>
  <c r="W58" i="2" s="1"/>
  <c r="T834" i="4"/>
  <c r="T841" i="4" s="1"/>
  <c r="T854" i="4" s="1"/>
  <c r="T875" i="4" s="1"/>
  <c r="V58" i="2" s="1"/>
  <c r="S834" i="4"/>
  <c r="S841" i="4" s="1"/>
  <c r="S854" i="4" s="1"/>
  <c r="S875" i="4" s="1"/>
  <c r="U58" i="2" s="1"/>
  <c r="R834" i="4"/>
  <c r="R841" i="4" s="1"/>
  <c r="R854" i="4" s="1"/>
  <c r="R875" i="4" s="1"/>
  <c r="T58" i="2" s="1"/>
  <c r="AG833" i="4"/>
  <c r="AF833" i="4"/>
  <c r="AH369" i="2" s="1"/>
  <c r="AE833" i="4"/>
  <c r="AG369" i="2" s="1"/>
  <c r="AD833" i="4"/>
  <c r="AF369" i="2" s="1"/>
  <c r="AC833" i="4"/>
  <c r="AB833" i="4"/>
  <c r="AA833" i="4"/>
  <c r="Z833" i="4"/>
  <c r="Z847" i="4" s="1"/>
  <c r="Y833" i="4"/>
  <c r="X833" i="4"/>
  <c r="W833" i="4"/>
  <c r="V833" i="4"/>
  <c r="U833" i="4"/>
  <c r="T833" i="4"/>
  <c r="S833" i="4"/>
  <c r="R833" i="4"/>
  <c r="Q830" i="4"/>
  <c r="P830" i="4"/>
  <c r="O830" i="4"/>
  <c r="N830" i="4"/>
  <c r="M830" i="4"/>
  <c r="L830" i="4"/>
  <c r="K830" i="4"/>
  <c r="J830" i="4"/>
  <c r="AG829" i="4"/>
  <c r="AF829" i="4"/>
  <c r="AE829" i="4"/>
  <c r="AD829" i="4"/>
  <c r="AC829" i="4"/>
  <c r="AB829" i="4"/>
  <c r="AA829" i="4"/>
  <c r="Z829" i="4"/>
  <c r="Y829" i="4"/>
  <c r="X829" i="4"/>
  <c r="W829" i="4"/>
  <c r="V829" i="4"/>
  <c r="U829" i="4"/>
  <c r="T829" i="4"/>
  <c r="S829" i="4"/>
  <c r="R829" i="4"/>
  <c r="Q829" i="4"/>
  <c r="P829" i="4"/>
  <c r="O829" i="4"/>
  <c r="N829" i="4"/>
  <c r="M829" i="4"/>
  <c r="L829" i="4"/>
  <c r="K829" i="4"/>
  <c r="J829" i="4"/>
  <c r="Q821" i="4"/>
  <c r="Q870" i="4" s="1"/>
  <c r="S54" i="2" s="1"/>
  <c r="P821" i="4"/>
  <c r="P870" i="4" s="1"/>
  <c r="R54" i="2" s="1"/>
  <c r="O821" i="4"/>
  <c r="O870" i="4" s="1"/>
  <c r="Q54" i="2" s="1"/>
  <c r="N821" i="4"/>
  <c r="N870" i="4" s="1"/>
  <c r="P54" i="2" s="1"/>
  <c r="M821" i="4"/>
  <c r="M870" i="4" s="1"/>
  <c r="O54" i="2" s="1"/>
  <c r="L821" i="4"/>
  <c r="L870" i="4" s="1"/>
  <c r="N54" i="2" s="1"/>
  <c r="K821" i="4"/>
  <c r="K870" i="4" s="1"/>
  <c r="M54" i="2" s="1"/>
  <c r="J821" i="4"/>
  <c r="J870" i="4" s="1"/>
  <c r="L54" i="2" s="1"/>
  <c r="Q820" i="4"/>
  <c r="P820" i="4"/>
  <c r="O820" i="4"/>
  <c r="N820" i="4"/>
  <c r="M820" i="4"/>
  <c r="L820" i="4"/>
  <c r="K820" i="4"/>
  <c r="J820" i="4"/>
  <c r="Q819" i="4"/>
  <c r="P819" i="4"/>
  <c r="O819" i="4"/>
  <c r="N819" i="4"/>
  <c r="M819" i="4"/>
  <c r="L819" i="4"/>
  <c r="K819" i="4"/>
  <c r="J819" i="4"/>
  <c r="L818" i="4"/>
  <c r="J818" i="4"/>
  <c r="Q817" i="4"/>
  <c r="P817" i="4"/>
  <c r="O817" i="4"/>
  <c r="N817" i="4"/>
  <c r="M817" i="4"/>
  <c r="L817" i="4"/>
  <c r="K817" i="4"/>
  <c r="J817" i="4"/>
  <c r="Q816" i="4"/>
  <c r="O816" i="4"/>
  <c r="N816" i="4"/>
  <c r="M816" i="4"/>
  <c r="L816" i="4"/>
  <c r="K816" i="4"/>
  <c r="J816" i="4"/>
  <c r="Q815" i="4"/>
  <c r="P815" i="4"/>
  <c r="O815" i="4"/>
  <c r="N815" i="4"/>
  <c r="M815" i="4"/>
  <c r="L815" i="4"/>
  <c r="K815" i="4"/>
  <c r="J815" i="4"/>
  <c r="Q814" i="4"/>
  <c r="Q868" i="4" s="1"/>
  <c r="S52" i="2" s="1"/>
  <c r="P814" i="4"/>
  <c r="P868" i="4" s="1"/>
  <c r="R52" i="2" s="1"/>
  <c r="O814" i="4"/>
  <c r="O868" i="4" s="1"/>
  <c r="Q52" i="2" s="1"/>
  <c r="N814" i="4"/>
  <c r="N868" i="4" s="1"/>
  <c r="P52" i="2" s="1"/>
  <c r="M814" i="4"/>
  <c r="M868" i="4" s="1"/>
  <c r="O52" i="2" s="1"/>
  <c r="L814" i="4"/>
  <c r="L868" i="4" s="1"/>
  <c r="N52" i="2" s="1"/>
  <c r="K814" i="4"/>
  <c r="K868" i="4" s="1"/>
  <c r="M52" i="2" s="1"/>
  <c r="J814" i="4"/>
  <c r="J868" i="4" s="1"/>
  <c r="L52" i="2" s="1"/>
  <c r="L813" i="4"/>
  <c r="L867" i="4" s="1"/>
  <c r="N51" i="2" s="1"/>
  <c r="J813" i="4"/>
  <c r="J867" i="4" s="1"/>
  <c r="L51" i="2" s="1"/>
  <c r="L812" i="4"/>
  <c r="L866" i="4" s="1"/>
  <c r="J812" i="4"/>
  <c r="Q799" i="4"/>
  <c r="Q800" i="4" s="1"/>
  <c r="P799" i="4"/>
  <c r="P800" i="4" s="1"/>
  <c r="O799" i="4"/>
  <c r="O800" i="4" s="1"/>
  <c r="N799" i="4"/>
  <c r="N800" i="4" s="1"/>
  <c r="M799" i="4"/>
  <c r="M800" i="4" s="1"/>
  <c r="L799" i="4"/>
  <c r="K799" i="4"/>
  <c r="K800" i="4" s="1"/>
  <c r="J799" i="4"/>
  <c r="Q789" i="4"/>
  <c r="Q818" i="4" s="1"/>
  <c r="P789" i="4"/>
  <c r="P818" i="4" s="1"/>
  <c r="O789" i="4"/>
  <c r="O818" i="4" s="1"/>
  <c r="N789" i="4"/>
  <c r="N818" i="4" s="1"/>
  <c r="M789" i="4"/>
  <c r="M818" i="4" s="1"/>
  <c r="K789" i="4"/>
  <c r="K818" i="4" s="1"/>
  <c r="P779" i="4"/>
  <c r="P816" i="4" s="1"/>
  <c r="Q767" i="4"/>
  <c r="P767" i="4"/>
  <c r="O767" i="4"/>
  <c r="N767" i="4"/>
  <c r="M767" i="4"/>
  <c r="K767" i="4"/>
  <c r="Q764" i="4"/>
  <c r="Q813" i="4" s="1"/>
  <c r="Q867" i="4" s="1"/>
  <c r="S51" i="2" s="1"/>
  <c r="P764" i="4"/>
  <c r="P813" i="4" s="1"/>
  <c r="P867" i="4" s="1"/>
  <c r="R51" i="2" s="1"/>
  <c r="O764" i="4"/>
  <c r="O813" i="4" s="1"/>
  <c r="O867" i="4" s="1"/>
  <c r="Q51" i="2" s="1"/>
  <c r="N764" i="4"/>
  <c r="N813" i="4" s="1"/>
  <c r="N867" i="4" s="1"/>
  <c r="P51" i="2" s="1"/>
  <c r="M764" i="4"/>
  <c r="M813" i="4" s="1"/>
  <c r="M867" i="4" s="1"/>
  <c r="O51" i="2" s="1"/>
  <c r="K764" i="4"/>
  <c r="K813" i="4" s="1"/>
  <c r="K867" i="4" s="1"/>
  <c r="M51" i="2" s="1"/>
  <c r="Q753" i="4"/>
  <c r="Q812" i="4" s="1"/>
  <c r="Q866" i="4" s="1"/>
  <c r="S50" i="2" s="1"/>
  <c r="P753" i="4"/>
  <c r="P812" i="4" s="1"/>
  <c r="O753" i="4"/>
  <c r="O812" i="4" s="1"/>
  <c r="N753" i="4"/>
  <c r="N812" i="4" s="1"/>
  <c r="M753" i="4"/>
  <c r="M812" i="4" s="1"/>
  <c r="M866" i="4" s="1"/>
  <c r="K753" i="4"/>
  <c r="K812" i="4" s="1"/>
  <c r="K866" i="4" s="1"/>
  <c r="AG750" i="4"/>
  <c r="AF750" i="4"/>
  <c r="AE750" i="4"/>
  <c r="AD750" i="4"/>
  <c r="AC750" i="4"/>
  <c r="AB750" i="4"/>
  <c r="AA750" i="4"/>
  <c r="Z750" i="4"/>
  <c r="Y750" i="4"/>
  <c r="X750" i="4"/>
  <c r="W750" i="4"/>
  <c r="V750" i="4"/>
  <c r="U750" i="4"/>
  <c r="T750" i="4"/>
  <c r="S750" i="4"/>
  <c r="R750" i="4"/>
  <c r="Q750" i="4"/>
  <c r="P750" i="4"/>
  <c r="O750" i="4"/>
  <c r="N750" i="4"/>
  <c r="M750" i="4"/>
  <c r="L750" i="4"/>
  <c r="K750" i="4"/>
  <c r="J750" i="4"/>
  <c r="AG749" i="4"/>
  <c r="AF749" i="4"/>
  <c r="AE749" i="4"/>
  <c r="AD749" i="4"/>
  <c r="AC749" i="4"/>
  <c r="AB749" i="4"/>
  <c r="AA749" i="4"/>
  <c r="Z749" i="4"/>
  <c r="Y749" i="4"/>
  <c r="X749" i="4"/>
  <c r="W749" i="4"/>
  <c r="V749" i="4"/>
  <c r="U749" i="4"/>
  <c r="T749" i="4"/>
  <c r="S749" i="4"/>
  <c r="R749" i="4"/>
  <c r="Q741" i="4"/>
  <c r="Q48" i="4" s="1"/>
  <c r="P741" i="4"/>
  <c r="P791" i="4" s="1"/>
  <c r="O741" i="4"/>
  <c r="O756" i="4" s="1"/>
  <c r="N741" i="4"/>
  <c r="N48" i="4" s="1"/>
  <c r="M741" i="4"/>
  <c r="M756" i="4" s="1"/>
  <c r="L741" i="4"/>
  <c r="L48" i="4" s="1"/>
  <c r="K741" i="4"/>
  <c r="J741" i="4"/>
  <c r="J828" i="4" s="1"/>
  <c r="AG738" i="4"/>
  <c r="AF738" i="4"/>
  <c r="AE738" i="4"/>
  <c r="AD738" i="4"/>
  <c r="AC738" i="4"/>
  <c r="AB738" i="4"/>
  <c r="AA738" i="4"/>
  <c r="Z738" i="4"/>
  <c r="Y738" i="4"/>
  <c r="X738" i="4"/>
  <c r="W738" i="4"/>
  <c r="V738" i="4"/>
  <c r="U738" i="4"/>
  <c r="T738" i="4"/>
  <c r="S738" i="4"/>
  <c r="R738" i="4"/>
  <c r="AG737" i="4"/>
  <c r="AF737" i="4"/>
  <c r="AE737" i="4"/>
  <c r="AD737" i="4"/>
  <c r="AC737" i="4"/>
  <c r="AB737" i="4"/>
  <c r="AA737" i="4"/>
  <c r="Z737" i="4"/>
  <c r="Y737" i="4"/>
  <c r="X737" i="4"/>
  <c r="W737" i="4"/>
  <c r="V737" i="4"/>
  <c r="U737" i="4"/>
  <c r="T737" i="4"/>
  <c r="S737" i="4"/>
  <c r="R737" i="4"/>
  <c r="AG736" i="4"/>
  <c r="AF736" i="4"/>
  <c r="AE736" i="4"/>
  <c r="AD736" i="4"/>
  <c r="AC736" i="4"/>
  <c r="AB736" i="4"/>
  <c r="AA736" i="4"/>
  <c r="Z736" i="4"/>
  <c r="Y736" i="4"/>
  <c r="X736" i="4"/>
  <c r="W736" i="4"/>
  <c r="V736" i="4"/>
  <c r="U736" i="4"/>
  <c r="T736" i="4"/>
  <c r="S736" i="4"/>
  <c r="R736" i="4"/>
  <c r="AG735" i="4"/>
  <c r="AF735" i="4"/>
  <c r="AE735" i="4"/>
  <c r="AD735" i="4"/>
  <c r="AC735" i="4"/>
  <c r="AB735" i="4"/>
  <c r="AA735" i="4"/>
  <c r="Z735" i="4"/>
  <c r="Y735" i="4"/>
  <c r="X735" i="4"/>
  <c r="W735" i="4"/>
  <c r="V735" i="4"/>
  <c r="U735" i="4"/>
  <c r="T735" i="4"/>
  <c r="S735" i="4"/>
  <c r="R735" i="4"/>
  <c r="Q735" i="4"/>
  <c r="Q738" i="4" s="1"/>
  <c r="P735" i="4"/>
  <c r="O735" i="4"/>
  <c r="N735" i="4"/>
  <c r="M735" i="4"/>
  <c r="L735" i="4"/>
  <c r="K735" i="4"/>
  <c r="J735" i="4"/>
  <c r="R726" i="4"/>
  <c r="Q721" i="4"/>
  <c r="P721" i="4"/>
  <c r="O721" i="4"/>
  <c r="N721" i="4"/>
  <c r="M721" i="4"/>
  <c r="L721" i="4"/>
  <c r="K721" i="4"/>
  <c r="J721" i="4"/>
  <c r="R714" i="4"/>
  <c r="T44" i="2" s="1"/>
  <c r="Q697" i="4"/>
  <c r="R694" i="4" s="1"/>
  <c r="R717" i="4" s="1"/>
  <c r="T46" i="2" s="1"/>
  <c r="P697" i="4"/>
  <c r="O697" i="4"/>
  <c r="N697" i="4"/>
  <c r="M697" i="4"/>
  <c r="L697" i="4"/>
  <c r="K697" i="4"/>
  <c r="J697" i="4"/>
  <c r="Q684" i="4"/>
  <c r="R681" i="4" s="1"/>
  <c r="Q679" i="4"/>
  <c r="AG672" i="4"/>
  <c r="AF672" i="4"/>
  <c r="AE672" i="4"/>
  <c r="AD672" i="4"/>
  <c r="AC672" i="4"/>
  <c r="AB672" i="4"/>
  <c r="AA672" i="4"/>
  <c r="Z672" i="4"/>
  <c r="Y672" i="4"/>
  <c r="X672" i="4"/>
  <c r="W672" i="4"/>
  <c r="V672" i="4"/>
  <c r="U672" i="4"/>
  <c r="T672" i="4"/>
  <c r="S672" i="4"/>
  <c r="R672" i="4"/>
  <c r="Q672" i="4"/>
  <c r="P672" i="4"/>
  <c r="O672" i="4"/>
  <c r="N672" i="4"/>
  <c r="M672" i="4"/>
  <c r="L672" i="4"/>
  <c r="K672" i="4"/>
  <c r="J672" i="4"/>
  <c r="Q671" i="4"/>
  <c r="P671" i="4"/>
  <c r="O671" i="4"/>
  <c r="N671" i="4"/>
  <c r="M671" i="4"/>
  <c r="L671" i="4"/>
  <c r="K671" i="4"/>
  <c r="J671" i="4"/>
  <c r="AG670" i="4"/>
  <c r="AG677" i="4" s="1"/>
  <c r="AG690" i="4" s="1"/>
  <c r="AG711" i="4" s="1"/>
  <c r="AI43" i="2" s="1"/>
  <c r="AF670" i="4"/>
  <c r="AF677" i="4" s="1"/>
  <c r="AF690" i="4" s="1"/>
  <c r="AF711" i="4" s="1"/>
  <c r="AH43" i="2" s="1"/>
  <c r="AE670" i="4"/>
  <c r="AE677" i="4" s="1"/>
  <c r="AE690" i="4" s="1"/>
  <c r="AE711" i="4" s="1"/>
  <c r="AG43" i="2" s="1"/>
  <c r="AD670" i="4"/>
  <c r="AD677" i="4" s="1"/>
  <c r="AD690" i="4" s="1"/>
  <c r="AD711" i="4" s="1"/>
  <c r="AF43" i="2" s="1"/>
  <c r="AC670" i="4"/>
  <c r="AC677" i="4" s="1"/>
  <c r="AC690" i="4" s="1"/>
  <c r="AC711" i="4" s="1"/>
  <c r="AE43" i="2" s="1"/>
  <c r="AB670" i="4"/>
  <c r="AB677" i="4" s="1"/>
  <c r="AB690" i="4" s="1"/>
  <c r="AB711" i="4" s="1"/>
  <c r="AD43" i="2" s="1"/>
  <c r="AA670" i="4"/>
  <c r="AA677" i="4" s="1"/>
  <c r="AA690" i="4" s="1"/>
  <c r="AA711" i="4" s="1"/>
  <c r="AC43" i="2" s="1"/>
  <c r="Z670" i="4"/>
  <c r="Z677" i="4" s="1"/>
  <c r="Z690" i="4" s="1"/>
  <c r="Z711" i="4" s="1"/>
  <c r="AB43" i="2" s="1"/>
  <c r="Y670" i="4"/>
  <c r="Y677" i="4" s="1"/>
  <c r="Y690" i="4" s="1"/>
  <c r="Y711" i="4" s="1"/>
  <c r="AA43" i="2" s="1"/>
  <c r="X670" i="4"/>
  <c r="X677" i="4" s="1"/>
  <c r="X690" i="4" s="1"/>
  <c r="X711" i="4" s="1"/>
  <c r="Z43" i="2" s="1"/>
  <c r="W670" i="4"/>
  <c r="W677" i="4" s="1"/>
  <c r="W690" i="4" s="1"/>
  <c r="W711" i="4" s="1"/>
  <c r="Y43" i="2" s="1"/>
  <c r="V670" i="4"/>
  <c r="V677" i="4" s="1"/>
  <c r="V690" i="4" s="1"/>
  <c r="V711" i="4" s="1"/>
  <c r="X43" i="2" s="1"/>
  <c r="U670" i="4"/>
  <c r="U677" i="4" s="1"/>
  <c r="U690" i="4" s="1"/>
  <c r="U711" i="4" s="1"/>
  <c r="W43" i="2" s="1"/>
  <c r="T670" i="4"/>
  <c r="T677" i="4" s="1"/>
  <c r="T690" i="4" s="1"/>
  <c r="T711" i="4" s="1"/>
  <c r="V43" i="2" s="1"/>
  <c r="S670" i="4"/>
  <c r="S677" i="4" s="1"/>
  <c r="S690" i="4" s="1"/>
  <c r="S711" i="4" s="1"/>
  <c r="U43" i="2" s="1"/>
  <c r="R670" i="4"/>
  <c r="R677" i="4" s="1"/>
  <c r="R690" i="4" s="1"/>
  <c r="R711" i="4" s="1"/>
  <c r="T43" i="2" s="1"/>
  <c r="Q670" i="4"/>
  <c r="P670" i="4"/>
  <c r="O670" i="4"/>
  <c r="N670" i="4"/>
  <c r="M670" i="4"/>
  <c r="L670" i="4"/>
  <c r="K670" i="4"/>
  <c r="J670" i="4"/>
  <c r="Q666" i="4"/>
  <c r="P666" i="4"/>
  <c r="O666" i="4"/>
  <c r="N666" i="4"/>
  <c r="M666" i="4"/>
  <c r="L666" i="4"/>
  <c r="K666" i="4"/>
  <c r="J666" i="4"/>
  <c r="AG665" i="4"/>
  <c r="AF665" i="4"/>
  <c r="AE665" i="4"/>
  <c r="AD665" i="4"/>
  <c r="AC665" i="4"/>
  <c r="AB665" i="4"/>
  <c r="AA665" i="4"/>
  <c r="Z665" i="4"/>
  <c r="Y665" i="4"/>
  <c r="X665" i="4"/>
  <c r="W665" i="4"/>
  <c r="V665" i="4"/>
  <c r="U665" i="4"/>
  <c r="T665" i="4"/>
  <c r="S665" i="4"/>
  <c r="R665" i="4"/>
  <c r="Q665" i="4"/>
  <c r="P665" i="4"/>
  <c r="O665" i="4"/>
  <c r="N665" i="4"/>
  <c r="M665" i="4"/>
  <c r="L665" i="4"/>
  <c r="K665" i="4"/>
  <c r="J665" i="4"/>
  <c r="Q657" i="4"/>
  <c r="Q706" i="4" s="1"/>
  <c r="S39" i="2" s="1"/>
  <c r="P657" i="4"/>
  <c r="P706" i="4" s="1"/>
  <c r="R39" i="2" s="1"/>
  <c r="O657" i="4"/>
  <c r="O706" i="4" s="1"/>
  <c r="Q39" i="2" s="1"/>
  <c r="N657" i="4"/>
  <c r="N706" i="4" s="1"/>
  <c r="P39" i="2" s="1"/>
  <c r="M657" i="4"/>
  <c r="M706" i="4" s="1"/>
  <c r="O39" i="2" s="1"/>
  <c r="L657" i="4"/>
  <c r="L706" i="4" s="1"/>
  <c r="N39" i="2" s="1"/>
  <c r="K657" i="4"/>
  <c r="K706" i="4" s="1"/>
  <c r="M39" i="2" s="1"/>
  <c r="J657" i="4"/>
  <c r="J706" i="4" s="1"/>
  <c r="L39" i="2" s="1"/>
  <c r="Q656" i="4"/>
  <c r="P656" i="4"/>
  <c r="O656" i="4"/>
  <c r="N656" i="4"/>
  <c r="M656" i="4"/>
  <c r="L656" i="4"/>
  <c r="K656" i="4"/>
  <c r="J656" i="4"/>
  <c r="Q655" i="4"/>
  <c r="P655" i="4"/>
  <c r="O655" i="4"/>
  <c r="N655" i="4"/>
  <c r="M655" i="4"/>
  <c r="L655" i="4"/>
  <c r="K655" i="4"/>
  <c r="J655" i="4"/>
  <c r="J654" i="4"/>
  <c r="Q653" i="4"/>
  <c r="P653" i="4"/>
  <c r="O653" i="4"/>
  <c r="N653" i="4"/>
  <c r="M653" i="4"/>
  <c r="L653" i="4"/>
  <c r="K653" i="4"/>
  <c r="J653" i="4"/>
  <c r="Q652" i="4"/>
  <c r="O652" i="4"/>
  <c r="N652" i="4"/>
  <c r="L652" i="4"/>
  <c r="Q651" i="4"/>
  <c r="P651" i="4"/>
  <c r="O651" i="4"/>
  <c r="N651" i="4"/>
  <c r="M651" i="4"/>
  <c r="L651" i="4"/>
  <c r="K651" i="4"/>
  <c r="J651" i="4"/>
  <c r="Q650" i="4"/>
  <c r="Q704" i="4" s="1"/>
  <c r="S37" i="2" s="1"/>
  <c r="P650" i="4"/>
  <c r="P704" i="4" s="1"/>
  <c r="R37" i="2" s="1"/>
  <c r="O650" i="4"/>
  <c r="N650" i="4"/>
  <c r="N704" i="4" s="1"/>
  <c r="P37" i="2" s="1"/>
  <c r="M650" i="4"/>
  <c r="M704" i="4" s="1"/>
  <c r="O37" i="2" s="1"/>
  <c r="L650" i="4"/>
  <c r="L704" i="4" s="1"/>
  <c r="N37" i="2" s="1"/>
  <c r="K650" i="4"/>
  <c r="K704" i="4" s="1"/>
  <c r="M37" i="2" s="1"/>
  <c r="J650" i="4"/>
  <c r="J704" i="4" s="1"/>
  <c r="L37" i="2" s="1"/>
  <c r="Q635" i="4"/>
  <c r="Q636" i="4" s="1"/>
  <c r="P635" i="4"/>
  <c r="P636" i="4" s="1"/>
  <c r="O635" i="4"/>
  <c r="O636" i="4" s="1"/>
  <c r="N635" i="4"/>
  <c r="N636" i="4" s="1"/>
  <c r="M635" i="4"/>
  <c r="M636" i="4" s="1"/>
  <c r="L635" i="4"/>
  <c r="L636" i="4" s="1"/>
  <c r="K635" i="4"/>
  <c r="K636" i="4" s="1"/>
  <c r="J635" i="4"/>
  <c r="J636" i="4" s="1"/>
  <c r="Q627" i="4"/>
  <c r="P627" i="4"/>
  <c r="O627" i="4"/>
  <c r="N627" i="4"/>
  <c r="M627" i="4"/>
  <c r="L627" i="4"/>
  <c r="K627" i="4"/>
  <c r="Q625" i="4"/>
  <c r="Q654" i="4" s="1"/>
  <c r="P625" i="4"/>
  <c r="P654" i="4" s="1"/>
  <c r="O625" i="4"/>
  <c r="O654" i="4" s="1"/>
  <c r="N625" i="4"/>
  <c r="N654" i="4" s="1"/>
  <c r="M625" i="4"/>
  <c r="M654" i="4" s="1"/>
  <c r="L625" i="4"/>
  <c r="L654" i="4" s="1"/>
  <c r="K625" i="4"/>
  <c r="K654" i="4" s="1"/>
  <c r="Q622" i="4"/>
  <c r="P622" i="4"/>
  <c r="O622" i="4"/>
  <c r="N622" i="4"/>
  <c r="M622" i="4"/>
  <c r="L622" i="4"/>
  <c r="K622" i="4"/>
  <c r="Q617" i="4"/>
  <c r="P617" i="4"/>
  <c r="O617" i="4"/>
  <c r="N617" i="4"/>
  <c r="M617" i="4"/>
  <c r="L617" i="4"/>
  <c r="K617" i="4"/>
  <c r="P615" i="4"/>
  <c r="P652" i="4" s="1"/>
  <c r="M615" i="4"/>
  <c r="M652" i="4" s="1"/>
  <c r="K615" i="4"/>
  <c r="K652" i="4" s="1"/>
  <c r="J615" i="4"/>
  <c r="J652" i="4" s="1"/>
  <c r="Q612" i="4"/>
  <c r="P612" i="4"/>
  <c r="O612" i="4"/>
  <c r="N612" i="4"/>
  <c r="M612" i="4"/>
  <c r="L612" i="4"/>
  <c r="K612" i="4"/>
  <c r="Q607" i="4"/>
  <c r="P607" i="4"/>
  <c r="O607" i="4"/>
  <c r="N607" i="4"/>
  <c r="M607" i="4"/>
  <c r="L607" i="4"/>
  <c r="K607" i="4"/>
  <c r="Q603" i="4"/>
  <c r="P74" i="10" s="1"/>
  <c r="P603" i="4"/>
  <c r="O74" i="10" s="1"/>
  <c r="O603" i="4"/>
  <c r="N74" i="10" s="1"/>
  <c r="N603" i="4"/>
  <c r="M74" i="10" s="1"/>
  <c r="M603" i="4"/>
  <c r="L74" i="10" s="1"/>
  <c r="L603" i="4"/>
  <c r="K74" i="10" s="1"/>
  <c r="K603" i="4"/>
  <c r="Q600" i="4"/>
  <c r="Q649" i="4" s="1"/>
  <c r="Q703" i="4" s="1"/>
  <c r="S36" i="2" s="1"/>
  <c r="P600" i="4"/>
  <c r="P649" i="4" s="1"/>
  <c r="P703" i="4" s="1"/>
  <c r="R36" i="2" s="1"/>
  <c r="O600" i="4"/>
  <c r="O649" i="4" s="1"/>
  <c r="O703" i="4" s="1"/>
  <c r="Q36" i="2" s="1"/>
  <c r="N600" i="4"/>
  <c r="N649" i="4" s="1"/>
  <c r="N703" i="4" s="1"/>
  <c r="P36" i="2" s="1"/>
  <c r="M600" i="4"/>
  <c r="M649" i="4" s="1"/>
  <c r="M703" i="4" s="1"/>
  <c r="O36" i="2" s="1"/>
  <c r="L600" i="4"/>
  <c r="L649" i="4" s="1"/>
  <c r="L703" i="4" s="1"/>
  <c r="N36" i="2" s="1"/>
  <c r="K600" i="4"/>
  <c r="K649" i="4" s="1"/>
  <c r="K703" i="4" s="1"/>
  <c r="M36" i="2" s="1"/>
  <c r="J600" i="4"/>
  <c r="J649" i="4" s="1"/>
  <c r="J703" i="4" s="1"/>
  <c r="L36" i="2" s="1"/>
  <c r="Q597" i="4"/>
  <c r="P597" i="4"/>
  <c r="O597" i="4"/>
  <c r="N597" i="4"/>
  <c r="M597" i="4"/>
  <c r="L597" i="4"/>
  <c r="K597" i="4"/>
  <c r="AG592" i="4"/>
  <c r="AF592" i="4"/>
  <c r="AE592" i="4"/>
  <c r="AD592" i="4"/>
  <c r="AC592" i="4"/>
  <c r="AB592" i="4"/>
  <c r="AA592" i="4"/>
  <c r="Z592" i="4"/>
  <c r="Y592" i="4"/>
  <c r="X592" i="4"/>
  <c r="W592" i="4"/>
  <c r="V592" i="4"/>
  <c r="U592" i="4"/>
  <c r="T592" i="4"/>
  <c r="S592" i="4"/>
  <c r="R592" i="4"/>
  <c r="Q592" i="4"/>
  <c r="P592" i="4"/>
  <c r="O592" i="4"/>
  <c r="N592" i="4"/>
  <c r="M592" i="4"/>
  <c r="L592" i="4"/>
  <c r="K592" i="4"/>
  <c r="Q589" i="4"/>
  <c r="Q648" i="4" s="1"/>
  <c r="Q702" i="4" s="1"/>
  <c r="P589" i="4"/>
  <c r="P648" i="4" s="1"/>
  <c r="P702" i="4" s="1"/>
  <c r="R35" i="2" s="1"/>
  <c r="O589" i="4"/>
  <c r="O648" i="4" s="1"/>
  <c r="O702" i="4" s="1"/>
  <c r="Q35" i="2" s="1"/>
  <c r="N589" i="4"/>
  <c r="N648" i="4" s="1"/>
  <c r="M589" i="4"/>
  <c r="M648" i="4" s="1"/>
  <c r="M702" i="4" s="1"/>
  <c r="L589" i="4"/>
  <c r="L648" i="4" s="1"/>
  <c r="K589" i="4"/>
  <c r="K648" i="4" s="1"/>
  <c r="K702" i="4" s="1"/>
  <c r="M35" i="2" s="1"/>
  <c r="J589" i="4"/>
  <c r="J648" i="4" s="1"/>
  <c r="AG586" i="4"/>
  <c r="AF586" i="4"/>
  <c r="AE586" i="4"/>
  <c r="AD586" i="4"/>
  <c r="AC586" i="4"/>
  <c r="AB586" i="4"/>
  <c r="AA586" i="4"/>
  <c r="Z586" i="4"/>
  <c r="Y586" i="4"/>
  <c r="X586" i="4"/>
  <c r="W586" i="4"/>
  <c r="V586" i="4"/>
  <c r="U586" i="4"/>
  <c r="T586" i="4"/>
  <c r="S586" i="4"/>
  <c r="R586" i="4"/>
  <c r="Q586" i="4"/>
  <c r="P586" i="4"/>
  <c r="O586" i="4"/>
  <c r="N586" i="4"/>
  <c r="M586" i="4"/>
  <c r="L586" i="4"/>
  <c r="K586" i="4"/>
  <c r="J586" i="4"/>
  <c r="AG585" i="4"/>
  <c r="AF585" i="4"/>
  <c r="AE585" i="4"/>
  <c r="AD585" i="4"/>
  <c r="AC585" i="4"/>
  <c r="AB585" i="4"/>
  <c r="AA585" i="4"/>
  <c r="Z585" i="4"/>
  <c r="Y585" i="4"/>
  <c r="X585" i="4"/>
  <c r="W585" i="4"/>
  <c r="V585" i="4"/>
  <c r="U585" i="4"/>
  <c r="T585" i="4"/>
  <c r="S585" i="4"/>
  <c r="R585" i="4"/>
  <c r="AG578" i="4"/>
  <c r="AG669" i="4" s="1"/>
  <c r="AG683" i="4" s="1"/>
  <c r="AF578" i="4"/>
  <c r="AE578" i="4"/>
  <c r="AD578" i="4"/>
  <c r="AC578" i="4"/>
  <c r="AB578" i="4"/>
  <c r="AA578" i="4"/>
  <c r="Z578" i="4"/>
  <c r="Z727" i="4" s="1"/>
  <c r="Y578" i="4"/>
  <c r="X578" i="4"/>
  <c r="W578" i="4"/>
  <c r="V578" i="4"/>
  <c r="V664" i="4" s="1"/>
  <c r="U578" i="4"/>
  <c r="U727" i="4" s="1"/>
  <c r="T578" i="4"/>
  <c r="T727" i="4" s="1"/>
  <c r="S578" i="4"/>
  <c r="S669" i="4" s="1"/>
  <c r="U357" i="2" s="1"/>
  <c r="R578" i="4"/>
  <c r="R669" i="4" s="1"/>
  <c r="T357" i="2" s="1"/>
  <c r="Q578" i="4"/>
  <c r="P578" i="4"/>
  <c r="P669" i="4" s="1"/>
  <c r="R357" i="2" s="1"/>
  <c r="O578" i="4"/>
  <c r="O669" i="4" s="1"/>
  <c r="Q357" i="2" s="1"/>
  <c r="N578" i="4"/>
  <c r="N669" i="4" s="1"/>
  <c r="P357" i="2" s="1"/>
  <c r="M578" i="4"/>
  <c r="L578" i="4"/>
  <c r="K578" i="4"/>
  <c r="J578" i="4"/>
  <c r="J664" i="4" s="1"/>
  <c r="Q575" i="4"/>
  <c r="P575" i="4"/>
  <c r="O575" i="4"/>
  <c r="N575" i="4"/>
  <c r="M575" i="4"/>
  <c r="L575" i="4"/>
  <c r="K575" i="4"/>
  <c r="J575" i="4"/>
  <c r="AG574" i="4"/>
  <c r="AF574" i="4"/>
  <c r="AE574" i="4"/>
  <c r="AD574" i="4"/>
  <c r="AC574" i="4"/>
  <c r="AB574" i="4"/>
  <c r="AA574" i="4"/>
  <c r="Z574" i="4"/>
  <c r="Y574" i="4"/>
  <c r="X574" i="4"/>
  <c r="W574" i="4"/>
  <c r="V574" i="4"/>
  <c r="U574" i="4"/>
  <c r="T574" i="4"/>
  <c r="S574" i="4"/>
  <c r="R574" i="4"/>
  <c r="Q565" i="4"/>
  <c r="P565" i="4"/>
  <c r="O565" i="4"/>
  <c r="N565" i="4"/>
  <c r="M565" i="4"/>
  <c r="L565" i="4"/>
  <c r="K565" i="4"/>
  <c r="J565" i="4"/>
  <c r="R561" i="4"/>
  <c r="T31" i="2" s="1"/>
  <c r="R558" i="4"/>
  <c r="T29" i="2" s="1"/>
  <c r="Q541" i="4"/>
  <c r="P541" i="4"/>
  <c r="O541" i="4"/>
  <c r="N541" i="4"/>
  <c r="M541" i="4"/>
  <c r="L541" i="4"/>
  <c r="K541" i="4"/>
  <c r="J541" i="4"/>
  <c r="R525" i="4"/>
  <c r="R518" i="4"/>
  <c r="Q516" i="4"/>
  <c r="P516" i="4"/>
  <c r="O516" i="4"/>
  <c r="N516" i="4"/>
  <c r="M516" i="4"/>
  <c r="L516" i="4"/>
  <c r="K516" i="4"/>
  <c r="J516" i="4"/>
  <c r="Q508" i="4"/>
  <c r="P508" i="4"/>
  <c r="O508" i="4"/>
  <c r="N508" i="4"/>
  <c r="M508" i="4"/>
  <c r="L508" i="4"/>
  <c r="K508" i="4"/>
  <c r="J508" i="4"/>
  <c r="Q500" i="4"/>
  <c r="P500" i="4"/>
  <c r="O500" i="4"/>
  <c r="N500" i="4"/>
  <c r="M500" i="4"/>
  <c r="L500" i="4"/>
  <c r="K500" i="4"/>
  <c r="J500" i="4"/>
  <c r="Q497" i="4"/>
  <c r="P497" i="4"/>
  <c r="O497" i="4"/>
  <c r="N497" i="4"/>
  <c r="M497" i="4"/>
  <c r="L497" i="4"/>
  <c r="K497" i="4"/>
  <c r="J497" i="4"/>
  <c r="Q496" i="4"/>
  <c r="P496" i="4"/>
  <c r="O496" i="4"/>
  <c r="N496" i="4"/>
  <c r="M496" i="4"/>
  <c r="L496" i="4"/>
  <c r="K496" i="4"/>
  <c r="J496" i="4"/>
  <c r="Q494" i="4"/>
  <c r="Q548" i="4" s="1"/>
  <c r="S22" i="2" s="1"/>
  <c r="P494" i="4"/>
  <c r="P548" i="4" s="1"/>
  <c r="R22" i="2" s="1"/>
  <c r="O494" i="4"/>
  <c r="O548" i="4" s="1"/>
  <c r="Q22" i="2" s="1"/>
  <c r="N494" i="4"/>
  <c r="N548" i="4" s="1"/>
  <c r="P22" i="2" s="1"/>
  <c r="M494" i="4"/>
  <c r="M548" i="4" s="1"/>
  <c r="O22" i="2" s="1"/>
  <c r="L494" i="4"/>
  <c r="L548" i="4" s="1"/>
  <c r="N22" i="2" s="1"/>
  <c r="K494" i="4"/>
  <c r="K548" i="4" s="1"/>
  <c r="M22" i="2" s="1"/>
  <c r="J494" i="4"/>
  <c r="J548" i="4" s="1"/>
  <c r="L22" i="2" s="1"/>
  <c r="Q483" i="4"/>
  <c r="Q501" i="4" s="1"/>
  <c r="Q550" i="4" s="1"/>
  <c r="S24" i="2" s="1"/>
  <c r="P483" i="4"/>
  <c r="P501" i="4" s="1"/>
  <c r="P550" i="4" s="1"/>
  <c r="R24" i="2" s="1"/>
  <c r="O483" i="4"/>
  <c r="O501" i="4" s="1"/>
  <c r="O550" i="4" s="1"/>
  <c r="Q24" i="2" s="1"/>
  <c r="N483" i="4"/>
  <c r="N501" i="4" s="1"/>
  <c r="N550" i="4" s="1"/>
  <c r="P24" i="2" s="1"/>
  <c r="M483" i="4"/>
  <c r="M501" i="4" s="1"/>
  <c r="M550" i="4" s="1"/>
  <c r="O24" i="2" s="1"/>
  <c r="L483" i="4"/>
  <c r="L501" i="4" s="1"/>
  <c r="L550" i="4" s="1"/>
  <c r="N24" i="2" s="1"/>
  <c r="K483" i="4"/>
  <c r="K501" i="4" s="1"/>
  <c r="K550" i="4" s="1"/>
  <c r="M24" i="2" s="1"/>
  <c r="J483" i="4"/>
  <c r="AG479" i="4"/>
  <c r="AG481" i="4" s="1"/>
  <c r="AF479" i="4"/>
  <c r="AF481" i="4" s="1"/>
  <c r="AE479" i="4"/>
  <c r="AE481" i="4" s="1"/>
  <c r="AD479" i="4"/>
  <c r="AD481" i="4" s="1"/>
  <c r="AC479" i="4"/>
  <c r="AC481" i="4" s="1"/>
  <c r="AB479" i="4"/>
  <c r="AB481" i="4" s="1"/>
  <c r="AA479" i="4"/>
  <c r="AA481" i="4" s="1"/>
  <c r="Z479" i="4"/>
  <c r="Z481" i="4" s="1"/>
  <c r="Y479" i="4"/>
  <c r="Y481" i="4" s="1"/>
  <c r="X479" i="4"/>
  <c r="X481" i="4" s="1"/>
  <c r="W479" i="4"/>
  <c r="W481" i="4" s="1"/>
  <c r="V479" i="4"/>
  <c r="V481" i="4" s="1"/>
  <c r="U479" i="4"/>
  <c r="U481" i="4" s="1"/>
  <c r="T479" i="4"/>
  <c r="T481" i="4" s="1"/>
  <c r="S479" i="4"/>
  <c r="S481" i="4" s="1"/>
  <c r="R479" i="4"/>
  <c r="R481" i="4" s="1"/>
  <c r="Q479" i="4"/>
  <c r="Q480" i="4" s="1"/>
  <c r="P479" i="4"/>
  <c r="P480" i="4" s="1"/>
  <c r="O479" i="4"/>
  <c r="O480" i="4" s="1"/>
  <c r="N479" i="4"/>
  <c r="N480" i="4" s="1"/>
  <c r="M479" i="4"/>
  <c r="M480" i="4" s="1"/>
  <c r="L479" i="4"/>
  <c r="L480" i="4" s="1"/>
  <c r="K479" i="4"/>
  <c r="K480" i="4" s="1"/>
  <c r="J479" i="4"/>
  <c r="J480" i="4" s="1"/>
  <c r="Q474" i="4"/>
  <c r="Q499" i="4" s="1"/>
  <c r="P474" i="4"/>
  <c r="P499" i="4" s="1"/>
  <c r="O474" i="4"/>
  <c r="O499" i="4" s="1"/>
  <c r="N474" i="4"/>
  <c r="N499" i="4" s="1"/>
  <c r="M474" i="4"/>
  <c r="M499" i="4" s="1"/>
  <c r="L474" i="4"/>
  <c r="L499" i="4" s="1"/>
  <c r="K474" i="4"/>
  <c r="K499" i="4" s="1"/>
  <c r="J474" i="4"/>
  <c r="J499" i="4" s="1"/>
  <c r="Q469" i="4"/>
  <c r="Q498" i="4" s="1"/>
  <c r="P469" i="4"/>
  <c r="P498" i="4" s="1"/>
  <c r="O469" i="4"/>
  <c r="O498" i="4" s="1"/>
  <c r="N469" i="4"/>
  <c r="N498" i="4" s="1"/>
  <c r="M469" i="4"/>
  <c r="M498" i="4" s="1"/>
  <c r="L469" i="4"/>
  <c r="L498" i="4" s="1"/>
  <c r="K469" i="4"/>
  <c r="K498" i="4" s="1"/>
  <c r="J469" i="4"/>
  <c r="J498" i="4" s="1"/>
  <c r="Q462" i="4"/>
  <c r="P85" i="10" s="1"/>
  <c r="P462" i="4"/>
  <c r="O85" i="10" s="1"/>
  <c r="O462" i="4"/>
  <c r="N85" i="10" s="1"/>
  <c r="N462" i="4"/>
  <c r="M85" i="10" s="1"/>
  <c r="M462" i="4"/>
  <c r="L85" i="10" s="1"/>
  <c r="L462" i="4"/>
  <c r="K85" i="10" s="1"/>
  <c r="K462" i="4"/>
  <c r="J85" i="10" s="1"/>
  <c r="J462" i="4"/>
  <c r="Q458" i="4"/>
  <c r="P458" i="4"/>
  <c r="O458" i="4"/>
  <c r="N458" i="4"/>
  <c r="M458" i="4"/>
  <c r="L458" i="4"/>
  <c r="K458" i="4"/>
  <c r="J458" i="4"/>
  <c r="Q454" i="4"/>
  <c r="Q495" i="4" s="1"/>
  <c r="P454" i="4"/>
  <c r="P495" i="4" s="1"/>
  <c r="O454" i="4"/>
  <c r="O495" i="4" s="1"/>
  <c r="N454" i="4"/>
  <c r="N495" i="4" s="1"/>
  <c r="M454" i="4"/>
  <c r="M495" i="4" s="1"/>
  <c r="L454" i="4"/>
  <c r="L495" i="4" s="1"/>
  <c r="K454" i="4"/>
  <c r="K495" i="4" s="1"/>
  <c r="J454" i="4"/>
  <c r="J495" i="4" s="1"/>
  <c r="Q447" i="4"/>
  <c r="P73" i="10" s="1"/>
  <c r="P447" i="4"/>
  <c r="O73" i="10" s="1"/>
  <c r="O447" i="4"/>
  <c r="N73" i="10" s="1"/>
  <c r="N447" i="4"/>
  <c r="M73" i="10" s="1"/>
  <c r="M447" i="4"/>
  <c r="L73" i="10" s="1"/>
  <c r="L447" i="4"/>
  <c r="K73" i="10" s="1"/>
  <c r="K447" i="4"/>
  <c r="J73" i="10" s="1"/>
  <c r="J447" i="4"/>
  <c r="Q444" i="4"/>
  <c r="Q493" i="4" s="1"/>
  <c r="Q547" i="4" s="1"/>
  <c r="S21" i="2" s="1"/>
  <c r="P444" i="4"/>
  <c r="P493" i="4" s="1"/>
  <c r="P547" i="4" s="1"/>
  <c r="R21" i="2" s="1"/>
  <c r="O444" i="4"/>
  <c r="O493" i="4" s="1"/>
  <c r="O547" i="4" s="1"/>
  <c r="Q21" i="2" s="1"/>
  <c r="N444" i="4"/>
  <c r="N493" i="4" s="1"/>
  <c r="N547" i="4" s="1"/>
  <c r="P21" i="2" s="1"/>
  <c r="M444" i="4"/>
  <c r="M493" i="4" s="1"/>
  <c r="M547" i="4" s="1"/>
  <c r="O21" i="2" s="1"/>
  <c r="L444" i="4"/>
  <c r="L493" i="4" s="1"/>
  <c r="L547" i="4" s="1"/>
  <c r="N21" i="2" s="1"/>
  <c r="K444" i="4"/>
  <c r="K493" i="4" s="1"/>
  <c r="K547" i="4" s="1"/>
  <c r="M21" i="2" s="1"/>
  <c r="J444" i="4"/>
  <c r="J493" i="4" s="1"/>
  <c r="J547" i="4" s="1"/>
  <c r="L21" i="2" s="1"/>
  <c r="Q438" i="4"/>
  <c r="Q439" i="4" s="1"/>
  <c r="P438" i="4"/>
  <c r="P439" i="4" s="1"/>
  <c r="O438" i="4"/>
  <c r="O439" i="4" s="1"/>
  <c r="N438" i="4"/>
  <c r="N439" i="4" s="1"/>
  <c r="M438" i="4"/>
  <c r="M439" i="4" s="1"/>
  <c r="L438" i="4"/>
  <c r="L439" i="4" s="1"/>
  <c r="K438" i="4"/>
  <c r="K439" i="4" s="1"/>
  <c r="J438" i="4"/>
  <c r="J439" i="4" s="1"/>
  <c r="Q436" i="4"/>
  <c r="Q437" i="4" s="1"/>
  <c r="P436" i="4"/>
  <c r="P437" i="4" s="1"/>
  <c r="O436" i="4"/>
  <c r="O437" i="4" s="1"/>
  <c r="N436" i="4"/>
  <c r="N437" i="4" s="1"/>
  <c r="M436" i="4"/>
  <c r="M437" i="4" s="1"/>
  <c r="L436" i="4"/>
  <c r="L437" i="4" s="1"/>
  <c r="K436" i="4"/>
  <c r="K437" i="4" s="1"/>
  <c r="J436" i="4"/>
  <c r="AG435" i="4"/>
  <c r="AG274" i="4" s="1"/>
  <c r="AF435" i="4"/>
  <c r="AE435" i="4"/>
  <c r="AE274" i="4" s="1"/>
  <c r="AC435" i="4"/>
  <c r="AC274" i="4" s="1"/>
  <c r="AB435" i="4"/>
  <c r="AA435" i="4"/>
  <c r="AA274" i="4" s="1"/>
  <c r="Z435" i="4"/>
  <c r="Z274" i="4" s="1"/>
  <c r="Y435" i="4"/>
  <c r="U435" i="4"/>
  <c r="U274" i="4" s="1"/>
  <c r="T435" i="4"/>
  <c r="S435" i="4"/>
  <c r="S274" i="4" s="1"/>
  <c r="Q430" i="4"/>
  <c r="P430" i="4"/>
  <c r="O430" i="4"/>
  <c r="N430" i="4"/>
  <c r="M430" i="4"/>
  <c r="L430" i="4"/>
  <c r="K430" i="4"/>
  <c r="J430" i="4"/>
  <c r="J431" i="4" s="1"/>
  <c r="Q427" i="4"/>
  <c r="P427" i="4"/>
  <c r="O427" i="4"/>
  <c r="N427" i="4"/>
  <c r="M427" i="4"/>
  <c r="L427" i="4"/>
  <c r="K427" i="4"/>
  <c r="J427" i="4"/>
  <c r="AG424" i="4"/>
  <c r="AF424" i="4"/>
  <c r="AE424" i="4"/>
  <c r="AD424" i="4"/>
  <c r="AC424" i="4"/>
  <c r="AB424" i="4"/>
  <c r="AA424" i="4"/>
  <c r="Z424" i="4"/>
  <c r="Y424" i="4"/>
  <c r="X424" i="4"/>
  <c r="W424" i="4"/>
  <c r="V424" i="4"/>
  <c r="U424" i="4"/>
  <c r="T424" i="4"/>
  <c r="S424" i="4"/>
  <c r="R424" i="4"/>
  <c r="Q424" i="4"/>
  <c r="Q425" i="4" s="1"/>
  <c r="P424" i="4"/>
  <c r="P425" i="4" s="1"/>
  <c r="O424" i="4"/>
  <c r="O425" i="4" s="1"/>
  <c r="N424" i="4"/>
  <c r="N425" i="4" s="1"/>
  <c r="M424" i="4"/>
  <c r="M425" i="4" s="1"/>
  <c r="L424" i="4"/>
  <c r="L425" i="4" s="1"/>
  <c r="K424" i="4"/>
  <c r="K425" i="4" s="1"/>
  <c r="J424" i="4"/>
  <c r="J425" i="4" s="1"/>
  <c r="Q415" i="4"/>
  <c r="P415" i="4"/>
  <c r="O415" i="4"/>
  <c r="N415" i="4"/>
  <c r="M415" i="4"/>
  <c r="L415" i="4"/>
  <c r="K415" i="4"/>
  <c r="J415" i="4"/>
  <c r="Q414" i="4"/>
  <c r="P414" i="4"/>
  <c r="O414" i="4"/>
  <c r="N414" i="4"/>
  <c r="M414" i="4"/>
  <c r="L414" i="4"/>
  <c r="K414" i="4"/>
  <c r="J414" i="4"/>
  <c r="Q404" i="4"/>
  <c r="Q406" i="4" s="1"/>
  <c r="P404" i="4"/>
  <c r="P406" i="4" s="1"/>
  <c r="P407" i="4" s="1"/>
  <c r="R193" i="2" s="1"/>
  <c r="O404" i="4"/>
  <c r="O406" i="4" s="1"/>
  <c r="O407" i="4" s="1"/>
  <c r="Q193" i="2" s="1"/>
  <c r="N404" i="4"/>
  <c r="M404" i="4"/>
  <c r="M406" i="4" s="1"/>
  <c r="L404" i="4"/>
  <c r="K404" i="4"/>
  <c r="J404" i="4"/>
  <c r="J406" i="4" s="1"/>
  <c r="Q403" i="4"/>
  <c r="P403" i="4"/>
  <c r="O403" i="4"/>
  <c r="N403" i="4"/>
  <c r="M403" i="4"/>
  <c r="L403" i="4"/>
  <c r="K403" i="4"/>
  <c r="J403" i="4"/>
  <c r="Q402" i="4"/>
  <c r="P402" i="4"/>
  <c r="O402" i="4"/>
  <c r="N402" i="4"/>
  <c r="M402" i="4"/>
  <c r="L402" i="4"/>
  <c r="K402" i="4"/>
  <c r="J402" i="4"/>
  <c r="AG390" i="4"/>
  <c r="AF390" i="4"/>
  <c r="AE390" i="4"/>
  <c r="AD390" i="4"/>
  <c r="AC390" i="4"/>
  <c r="AB390" i="4"/>
  <c r="AA390" i="4"/>
  <c r="Z390" i="4"/>
  <c r="Y390" i="4"/>
  <c r="X390" i="4"/>
  <c r="W390" i="4"/>
  <c r="V390" i="4"/>
  <c r="U390" i="4"/>
  <c r="T390" i="4"/>
  <c r="S390" i="4"/>
  <c r="R390" i="4"/>
  <c r="AG388" i="4"/>
  <c r="AF388" i="4"/>
  <c r="AE388" i="4"/>
  <c r="AD388" i="4"/>
  <c r="AC388" i="4"/>
  <c r="AB388" i="4"/>
  <c r="AA388" i="4"/>
  <c r="Z388" i="4"/>
  <c r="Y388" i="4"/>
  <c r="X388" i="4"/>
  <c r="W388" i="4"/>
  <c r="V388" i="4"/>
  <c r="U388" i="4"/>
  <c r="T388" i="4"/>
  <c r="S388" i="4"/>
  <c r="R388" i="4"/>
  <c r="AG374" i="4"/>
  <c r="AF374" i="4"/>
  <c r="AE374" i="4"/>
  <c r="AD374" i="4"/>
  <c r="AC374" i="4"/>
  <c r="AB374" i="4"/>
  <c r="AA374" i="4"/>
  <c r="Z374" i="4"/>
  <c r="Y374" i="4"/>
  <c r="X374" i="4"/>
  <c r="W374" i="4"/>
  <c r="V374" i="4"/>
  <c r="U374" i="4"/>
  <c r="T374" i="4"/>
  <c r="S374" i="4"/>
  <c r="R374" i="4"/>
  <c r="AG372" i="4"/>
  <c r="AF372" i="4"/>
  <c r="AE372" i="4"/>
  <c r="AD372" i="4"/>
  <c r="AC372" i="4"/>
  <c r="AB372" i="4"/>
  <c r="AA372" i="4"/>
  <c r="Z372" i="4"/>
  <c r="Y372" i="4"/>
  <c r="X372" i="4"/>
  <c r="W372" i="4"/>
  <c r="V372" i="4"/>
  <c r="U372" i="4"/>
  <c r="T372" i="4"/>
  <c r="S372" i="4"/>
  <c r="R372" i="4"/>
  <c r="AG358" i="4"/>
  <c r="AF358" i="4"/>
  <c r="AE358" i="4"/>
  <c r="AD358" i="4"/>
  <c r="AC358" i="4"/>
  <c r="AB358" i="4"/>
  <c r="AA358" i="4"/>
  <c r="Z358" i="4"/>
  <c r="Y358" i="4"/>
  <c r="X358" i="4"/>
  <c r="W358" i="4"/>
  <c r="V358" i="4"/>
  <c r="U358" i="4"/>
  <c r="T358" i="4"/>
  <c r="S358" i="4"/>
  <c r="R358" i="4"/>
  <c r="AG356" i="4"/>
  <c r="AF356" i="4"/>
  <c r="AE356" i="4"/>
  <c r="AD356" i="4"/>
  <c r="AC356" i="4"/>
  <c r="AB356" i="4"/>
  <c r="AA356" i="4"/>
  <c r="Z356" i="4"/>
  <c r="Y356" i="4"/>
  <c r="X356" i="4"/>
  <c r="W356" i="4"/>
  <c r="V356" i="4"/>
  <c r="U356" i="4"/>
  <c r="T356" i="4"/>
  <c r="S356" i="4"/>
  <c r="R356" i="4"/>
  <c r="AG342" i="4"/>
  <c r="AF342" i="4"/>
  <c r="AE342" i="4"/>
  <c r="AD342" i="4"/>
  <c r="AC342" i="4"/>
  <c r="AB342" i="4"/>
  <c r="AA342" i="4"/>
  <c r="Z342" i="4"/>
  <c r="Y342" i="4"/>
  <c r="X342" i="4"/>
  <c r="W342" i="4"/>
  <c r="V342" i="4"/>
  <c r="U342" i="4"/>
  <c r="T342" i="4"/>
  <c r="S342" i="4"/>
  <c r="R342" i="4"/>
  <c r="AG340" i="4"/>
  <c r="AF340" i="4"/>
  <c r="AE340" i="4"/>
  <c r="AD340" i="4"/>
  <c r="AC340" i="4"/>
  <c r="AB340" i="4"/>
  <c r="AA340" i="4"/>
  <c r="Z340" i="4"/>
  <c r="Y340" i="4"/>
  <c r="X340" i="4"/>
  <c r="W340" i="4"/>
  <c r="V340" i="4"/>
  <c r="U340" i="4"/>
  <c r="T340" i="4"/>
  <c r="S340" i="4"/>
  <c r="R340" i="4"/>
  <c r="AG326" i="4"/>
  <c r="AF326" i="4"/>
  <c r="AE326" i="4"/>
  <c r="AD326" i="4"/>
  <c r="AC326" i="4"/>
  <c r="AB326" i="4"/>
  <c r="AA326" i="4"/>
  <c r="Z326" i="4"/>
  <c r="Y326" i="4"/>
  <c r="X326" i="4"/>
  <c r="W326" i="4"/>
  <c r="V326" i="4"/>
  <c r="U326" i="4"/>
  <c r="T326" i="4"/>
  <c r="S326" i="4"/>
  <c r="R326" i="4"/>
  <c r="AG324" i="4"/>
  <c r="AF324" i="4"/>
  <c r="AE324" i="4"/>
  <c r="AD324" i="4"/>
  <c r="AC324" i="4"/>
  <c r="AB324" i="4"/>
  <c r="AA324" i="4"/>
  <c r="Z324" i="4"/>
  <c r="Y324" i="4"/>
  <c r="X324" i="4"/>
  <c r="W324" i="4"/>
  <c r="V324" i="4"/>
  <c r="U324" i="4"/>
  <c r="T324" i="4"/>
  <c r="S324" i="4"/>
  <c r="R324" i="4"/>
  <c r="AG310" i="4"/>
  <c r="AF310" i="4"/>
  <c r="AE310" i="4"/>
  <c r="AD310" i="4"/>
  <c r="AC310" i="4"/>
  <c r="AB310" i="4"/>
  <c r="AA310" i="4"/>
  <c r="Z310" i="4"/>
  <c r="Y310" i="4"/>
  <c r="X310" i="4"/>
  <c r="W310" i="4"/>
  <c r="V310" i="4"/>
  <c r="U310" i="4"/>
  <c r="T310" i="4"/>
  <c r="S310" i="4"/>
  <c r="R310" i="4"/>
  <c r="AG308" i="4"/>
  <c r="AF308" i="4"/>
  <c r="AE308" i="4"/>
  <c r="AD308" i="4"/>
  <c r="AC308" i="4"/>
  <c r="AB308" i="4"/>
  <c r="AA308" i="4"/>
  <c r="Z308" i="4"/>
  <c r="Y308" i="4"/>
  <c r="X308" i="4"/>
  <c r="W308" i="4"/>
  <c r="V308" i="4"/>
  <c r="U308" i="4"/>
  <c r="T308" i="4"/>
  <c r="S308" i="4"/>
  <c r="R308" i="4"/>
  <c r="AG294" i="4"/>
  <c r="AF294" i="4"/>
  <c r="AE294" i="4"/>
  <c r="AD294" i="4"/>
  <c r="AC294" i="4"/>
  <c r="AB294" i="4"/>
  <c r="AA294" i="4"/>
  <c r="Z294" i="4"/>
  <c r="Y294" i="4"/>
  <c r="X294" i="4"/>
  <c r="W294" i="4"/>
  <c r="V294" i="4"/>
  <c r="U294" i="4"/>
  <c r="T294" i="4"/>
  <c r="S294" i="4"/>
  <c r="R294" i="4"/>
  <c r="AG292" i="4"/>
  <c r="AF292" i="4"/>
  <c r="AE292" i="4"/>
  <c r="AD292" i="4"/>
  <c r="AC292" i="4"/>
  <c r="AB292" i="4"/>
  <c r="AA292" i="4"/>
  <c r="Z292" i="4"/>
  <c r="Y292" i="4"/>
  <c r="X292" i="4"/>
  <c r="W292" i="4"/>
  <c r="V292" i="4"/>
  <c r="U292" i="4"/>
  <c r="T292" i="4"/>
  <c r="S292" i="4"/>
  <c r="R292" i="4"/>
  <c r="AG278" i="4"/>
  <c r="AF278" i="4"/>
  <c r="AE278" i="4"/>
  <c r="AD278" i="4"/>
  <c r="AC278" i="4"/>
  <c r="AB278" i="4"/>
  <c r="AA278" i="4"/>
  <c r="Z278" i="4"/>
  <c r="Y278" i="4"/>
  <c r="X278" i="4"/>
  <c r="W278" i="4"/>
  <c r="V278" i="4"/>
  <c r="U278" i="4"/>
  <c r="T278" i="4"/>
  <c r="S278" i="4"/>
  <c r="R278" i="4"/>
  <c r="AG276" i="4"/>
  <c r="AF276" i="4"/>
  <c r="AE276" i="4"/>
  <c r="AD276" i="4"/>
  <c r="AC276" i="4"/>
  <c r="AB276" i="4"/>
  <c r="AA276" i="4"/>
  <c r="Z276" i="4"/>
  <c r="Y276" i="4"/>
  <c r="X276" i="4"/>
  <c r="W276" i="4"/>
  <c r="V276" i="4"/>
  <c r="U276" i="4"/>
  <c r="T276" i="4"/>
  <c r="S276" i="4"/>
  <c r="R276" i="4"/>
  <c r="AG262" i="4"/>
  <c r="AF262" i="4"/>
  <c r="AE262" i="4"/>
  <c r="AD262" i="4"/>
  <c r="AC262" i="4"/>
  <c r="AB262" i="4"/>
  <c r="AA262" i="4"/>
  <c r="Z262" i="4"/>
  <c r="Y262" i="4"/>
  <c r="X262" i="4"/>
  <c r="W262" i="4"/>
  <c r="V262" i="4"/>
  <c r="U262" i="4"/>
  <c r="T262" i="4"/>
  <c r="S262" i="4"/>
  <c r="R262" i="4"/>
  <c r="AG260" i="4"/>
  <c r="AF260" i="4"/>
  <c r="AE260" i="4"/>
  <c r="AD260" i="4"/>
  <c r="AC260" i="4"/>
  <c r="AB260" i="4"/>
  <c r="AA260" i="4"/>
  <c r="Z260" i="4"/>
  <c r="Y260" i="4"/>
  <c r="X260" i="4"/>
  <c r="W260" i="4"/>
  <c r="V260" i="4"/>
  <c r="U260" i="4"/>
  <c r="T260" i="4"/>
  <c r="S260" i="4"/>
  <c r="R260" i="4"/>
  <c r="AG258" i="4"/>
  <c r="AF258" i="4"/>
  <c r="AE258" i="4"/>
  <c r="AD258" i="4"/>
  <c r="AC258" i="4"/>
  <c r="AB258" i="4"/>
  <c r="AA258" i="4"/>
  <c r="Z258" i="4"/>
  <c r="Y258" i="4"/>
  <c r="X258" i="4"/>
  <c r="W258" i="4"/>
  <c r="V258" i="4"/>
  <c r="U258" i="4"/>
  <c r="T258" i="4"/>
  <c r="S258" i="4"/>
  <c r="R258" i="4"/>
  <c r="Q253" i="4"/>
  <c r="S85" i="2" s="1"/>
  <c r="P253" i="4"/>
  <c r="R85" i="2" s="1"/>
  <c r="O253" i="4"/>
  <c r="Q85" i="2" s="1"/>
  <c r="N253" i="4"/>
  <c r="P85" i="2" s="1"/>
  <c r="M253" i="4"/>
  <c r="O85" i="2" s="1"/>
  <c r="L253" i="4"/>
  <c r="N85" i="2" s="1"/>
  <c r="K253" i="4"/>
  <c r="M85" i="2" s="1"/>
  <c r="J253" i="4"/>
  <c r="L85" i="2" s="1"/>
  <c r="Q251" i="4"/>
  <c r="S66" i="2" s="1"/>
  <c r="P251" i="4"/>
  <c r="R66" i="2" s="1"/>
  <c r="O251" i="4"/>
  <c r="Q66" i="2" s="1"/>
  <c r="N251" i="4"/>
  <c r="P66" i="2" s="1"/>
  <c r="M251" i="4"/>
  <c r="O66" i="2" s="1"/>
  <c r="L251" i="4"/>
  <c r="K251" i="4"/>
  <c r="M66" i="2" s="1"/>
  <c r="J251" i="4"/>
  <c r="AG211" i="4"/>
  <c r="AG207" i="4" s="1"/>
  <c r="AF211" i="4"/>
  <c r="AF207" i="4" s="1"/>
  <c r="AE211" i="4"/>
  <c r="AE207" i="4" s="1"/>
  <c r="AD211" i="4"/>
  <c r="AD207" i="4" s="1"/>
  <c r="AC211" i="4"/>
  <c r="AC207" i="4" s="1"/>
  <c r="AB211" i="4"/>
  <c r="AB207" i="4" s="1"/>
  <c r="AA211" i="4"/>
  <c r="AA207" i="4" s="1"/>
  <c r="Z211" i="4"/>
  <c r="Z207" i="4" s="1"/>
  <c r="Y211" i="4"/>
  <c r="Y207" i="4" s="1"/>
  <c r="X211" i="4"/>
  <c r="X207" i="4" s="1"/>
  <c r="W211" i="4"/>
  <c r="W207" i="4" s="1"/>
  <c r="V211" i="4"/>
  <c r="V207" i="4" s="1"/>
  <c r="U211" i="4"/>
  <c r="U207" i="4" s="1"/>
  <c r="T211" i="4"/>
  <c r="T207" i="4" s="1"/>
  <c r="S211" i="4"/>
  <c r="S207" i="4" s="1"/>
  <c r="R211" i="4"/>
  <c r="R207" i="4" s="1"/>
  <c r="Q211" i="4"/>
  <c r="Q207" i="4" s="1"/>
  <c r="P211" i="4"/>
  <c r="P207" i="4" s="1"/>
  <c r="O211" i="4"/>
  <c r="O207" i="4" s="1"/>
  <c r="N211" i="4"/>
  <c r="N207" i="4" s="1"/>
  <c r="M211" i="4"/>
  <c r="M207" i="4" s="1"/>
  <c r="L211" i="4"/>
  <c r="L207" i="4" s="1"/>
  <c r="K211" i="4"/>
  <c r="K207" i="4" s="1"/>
  <c r="J211" i="4"/>
  <c r="J207" i="4" s="1"/>
  <c r="Q206" i="4"/>
  <c r="P206" i="4"/>
  <c r="O206" i="4"/>
  <c r="N206" i="4"/>
  <c r="M206" i="4"/>
  <c r="L206" i="4"/>
  <c r="K206" i="4"/>
  <c r="J206" i="4"/>
  <c r="Q205" i="4"/>
  <c r="P205" i="4"/>
  <c r="O205" i="4"/>
  <c r="N205" i="4"/>
  <c r="M205" i="4"/>
  <c r="L205" i="4"/>
  <c r="K205" i="4"/>
  <c r="J205" i="4"/>
  <c r="AG192" i="4"/>
  <c r="AF192" i="4"/>
  <c r="AE192" i="4"/>
  <c r="AD192" i="4"/>
  <c r="AC192" i="4"/>
  <c r="AB192" i="4"/>
  <c r="AA192" i="4"/>
  <c r="Z192" i="4"/>
  <c r="Y192" i="4"/>
  <c r="X192" i="4"/>
  <c r="W192" i="4"/>
  <c r="V192" i="4"/>
  <c r="U192" i="4"/>
  <c r="T192" i="4"/>
  <c r="S192" i="4"/>
  <c r="R192" i="4"/>
  <c r="Q171" i="4"/>
  <c r="S84" i="2" s="1"/>
  <c r="P171" i="4"/>
  <c r="R84" i="2" s="1"/>
  <c r="O171" i="4"/>
  <c r="Q84" i="2" s="1"/>
  <c r="N171" i="4"/>
  <c r="P84" i="2" s="1"/>
  <c r="M171" i="4"/>
  <c r="O84" i="2" s="1"/>
  <c r="L171" i="4"/>
  <c r="K171" i="4"/>
  <c r="M84" i="2" s="1"/>
  <c r="J171" i="4"/>
  <c r="L84" i="2" s="1"/>
  <c r="AG168" i="4"/>
  <c r="AF168" i="4"/>
  <c r="AE168" i="4"/>
  <c r="AD168" i="4"/>
  <c r="AC168" i="4"/>
  <c r="AB168" i="4"/>
  <c r="AA168" i="4"/>
  <c r="Z168" i="4"/>
  <c r="Y168" i="4"/>
  <c r="X168" i="4"/>
  <c r="W168" i="4"/>
  <c r="V168" i="4"/>
  <c r="U168" i="4"/>
  <c r="T168" i="4"/>
  <c r="S168" i="4"/>
  <c r="R168" i="4"/>
  <c r="Q168" i="4"/>
  <c r="P168" i="4"/>
  <c r="O168" i="4"/>
  <c r="N168" i="4"/>
  <c r="M168" i="4"/>
  <c r="L168" i="4"/>
  <c r="K168" i="4"/>
  <c r="J168" i="4"/>
  <c r="Q167" i="4"/>
  <c r="P167" i="4"/>
  <c r="O167" i="4"/>
  <c r="N167" i="4"/>
  <c r="M167" i="4"/>
  <c r="L167" i="4"/>
  <c r="K167" i="4"/>
  <c r="J167" i="4"/>
  <c r="Q166" i="4"/>
  <c r="P166" i="4"/>
  <c r="O166" i="4"/>
  <c r="N166" i="4"/>
  <c r="M166" i="4"/>
  <c r="L166" i="4"/>
  <c r="K166" i="4"/>
  <c r="J166" i="4"/>
  <c r="Q165" i="4"/>
  <c r="P165" i="4"/>
  <c r="O165" i="4"/>
  <c r="N165" i="4"/>
  <c r="M165" i="4"/>
  <c r="L165" i="4"/>
  <c r="K165" i="4"/>
  <c r="J165" i="4"/>
  <c r="Q164" i="4"/>
  <c r="P164" i="4"/>
  <c r="O164" i="4"/>
  <c r="N164" i="4"/>
  <c r="M164" i="4"/>
  <c r="L164" i="4"/>
  <c r="K164" i="4"/>
  <c r="J164" i="4"/>
  <c r="Q163" i="4"/>
  <c r="P163" i="4"/>
  <c r="O163" i="4"/>
  <c r="N163" i="4"/>
  <c r="M163" i="4"/>
  <c r="L163" i="4"/>
  <c r="K163" i="4"/>
  <c r="J163" i="4"/>
  <c r="Q162" i="4"/>
  <c r="P162" i="4"/>
  <c r="O162" i="4"/>
  <c r="N162" i="4"/>
  <c r="M162" i="4"/>
  <c r="L162" i="4"/>
  <c r="K162" i="4"/>
  <c r="J162" i="4"/>
  <c r="Q160" i="4"/>
  <c r="S81" i="2" s="1"/>
  <c r="P160" i="4"/>
  <c r="R81" i="2" s="1"/>
  <c r="O160" i="4"/>
  <c r="Q81" i="2" s="1"/>
  <c r="N160" i="4"/>
  <c r="P81" i="2" s="1"/>
  <c r="M160" i="4"/>
  <c r="O81" i="2" s="1"/>
  <c r="L160" i="4"/>
  <c r="N81" i="2" s="1"/>
  <c r="K160" i="4"/>
  <c r="J160" i="4"/>
  <c r="Q159" i="4"/>
  <c r="S80" i="2" s="1"/>
  <c r="P159" i="4"/>
  <c r="R80" i="2" s="1"/>
  <c r="O159" i="4"/>
  <c r="Q80" i="2" s="1"/>
  <c r="N159" i="4"/>
  <c r="P80" i="2" s="1"/>
  <c r="M159" i="4"/>
  <c r="O80" i="2" s="1"/>
  <c r="L159" i="4"/>
  <c r="N80" i="2" s="1"/>
  <c r="K159" i="4"/>
  <c r="M80" i="2" s="1"/>
  <c r="J159" i="4"/>
  <c r="L80" i="2" s="1"/>
  <c r="Q158" i="4"/>
  <c r="P158" i="4"/>
  <c r="O158" i="4"/>
  <c r="Q79" i="2" s="1"/>
  <c r="N158" i="4"/>
  <c r="P79" i="2" s="1"/>
  <c r="M158" i="4"/>
  <c r="O79" i="2" s="1"/>
  <c r="L158" i="4"/>
  <c r="K158" i="4"/>
  <c r="M79" i="2" s="1"/>
  <c r="J158" i="4"/>
  <c r="Q156" i="4"/>
  <c r="P156" i="4"/>
  <c r="R78" i="2" s="1"/>
  <c r="O156" i="4"/>
  <c r="N156" i="4"/>
  <c r="P78" i="2" s="1"/>
  <c r="M156" i="4"/>
  <c r="O78" i="2" s="1"/>
  <c r="L156" i="4"/>
  <c r="K156" i="4"/>
  <c r="M78" i="2" s="1"/>
  <c r="J156" i="4"/>
  <c r="Q153" i="4"/>
  <c r="P153" i="4"/>
  <c r="O153" i="4"/>
  <c r="N153" i="4"/>
  <c r="M153" i="4"/>
  <c r="L153" i="4"/>
  <c r="K153" i="4"/>
  <c r="J153" i="4"/>
  <c r="Q152" i="4"/>
  <c r="P152" i="4"/>
  <c r="O152" i="4"/>
  <c r="N152" i="4"/>
  <c r="M152" i="4"/>
  <c r="L152" i="4"/>
  <c r="K152" i="4"/>
  <c r="J152" i="4"/>
  <c r="Q150" i="4"/>
  <c r="S76" i="2" s="1"/>
  <c r="P150" i="4"/>
  <c r="O150" i="4"/>
  <c r="N150" i="4"/>
  <c r="M150" i="4"/>
  <c r="L150" i="4"/>
  <c r="N76" i="2" s="1"/>
  <c r="K150" i="4"/>
  <c r="K148" i="4" s="1"/>
  <c r="J150" i="4"/>
  <c r="R149" i="4"/>
  <c r="S149" i="4" s="1"/>
  <c r="T149" i="4" s="1"/>
  <c r="U149" i="4" s="1"/>
  <c r="V149" i="4" s="1"/>
  <c r="W149" i="4" s="1"/>
  <c r="X149" i="4" s="1"/>
  <c r="Y149" i="4" s="1"/>
  <c r="Z149" i="4" s="1"/>
  <c r="AA149" i="4" s="1"/>
  <c r="AB149" i="4" s="1"/>
  <c r="AC149" i="4" s="1"/>
  <c r="AD149" i="4" s="1"/>
  <c r="AE149" i="4" s="1"/>
  <c r="AF149" i="4" s="1"/>
  <c r="AG149" i="4" s="1"/>
  <c r="Q144" i="4"/>
  <c r="P144" i="4"/>
  <c r="O144" i="4"/>
  <c r="N144" i="4"/>
  <c r="M144" i="4"/>
  <c r="L144" i="4"/>
  <c r="K144" i="4"/>
  <c r="J144" i="4"/>
  <c r="Q139" i="4"/>
  <c r="P139" i="4"/>
  <c r="O139" i="4"/>
  <c r="N139" i="4"/>
  <c r="M139" i="4"/>
  <c r="L139" i="4"/>
  <c r="K139" i="4"/>
  <c r="J139" i="4"/>
  <c r="R133" i="4"/>
  <c r="S133" i="4" s="1"/>
  <c r="T133" i="4" s="1"/>
  <c r="U133" i="4" s="1"/>
  <c r="V133" i="4" s="1"/>
  <c r="W133" i="4" s="1"/>
  <c r="X133" i="4" s="1"/>
  <c r="Y133" i="4" s="1"/>
  <c r="Z133" i="4" s="1"/>
  <c r="AA133" i="4" s="1"/>
  <c r="AB133" i="4" s="1"/>
  <c r="AC133" i="4" s="1"/>
  <c r="AD133" i="4" s="1"/>
  <c r="AE133" i="4" s="1"/>
  <c r="AF133" i="4" s="1"/>
  <c r="AG133" i="4" s="1"/>
  <c r="I133" i="4"/>
  <c r="R132" i="4"/>
  <c r="S132" i="4" s="1"/>
  <c r="T132" i="4" s="1"/>
  <c r="U132" i="4" s="1"/>
  <c r="V132" i="4" s="1"/>
  <c r="W132" i="4" s="1"/>
  <c r="X132" i="4" s="1"/>
  <c r="Y132" i="4" s="1"/>
  <c r="Z132" i="4" s="1"/>
  <c r="AA132" i="4" s="1"/>
  <c r="AB132" i="4" s="1"/>
  <c r="AC132" i="4" s="1"/>
  <c r="AD132" i="4" s="1"/>
  <c r="AE132" i="4" s="1"/>
  <c r="AF132" i="4" s="1"/>
  <c r="AG132" i="4" s="1"/>
  <c r="I132" i="4"/>
  <c r="R131" i="4"/>
  <c r="S131" i="4" s="1"/>
  <c r="T131" i="4" s="1"/>
  <c r="U131" i="4" s="1"/>
  <c r="V131" i="4" s="1"/>
  <c r="W131" i="4" s="1"/>
  <c r="X131" i="4" s="1"/>
  <c r="Y131" i="4" s="1"/>
  <c r="Z131" i="4" s="1"/>
  <c r="AA131" i="4" s="1"/>
  <c r="AB131" i="4" s="1"/>
  <c r="AC131" i="4" s="1"/>
  <c r="AD131" i="4" s="1"/>
  <c r="AE131" i="4" s="1"/>
  <c r="AF131" i="4" s="1"/>
  <c r="AG131" i="4" s="1"/>
  <c r="I131" i="4"/>
  <c r="R130" i="4"/>
  <c r="S130" i="4" s="1"/>
  <c r="T130" i="4" s="1"/>
  <c r="U130" i="4" s="1"/>
  <c r="V130" i="4" s="1"/>
  <c r="W130" i="4" s="1"/>
  <c r="X130" i="4" s="1"/>
  <c r="Y130" i="4" s="1"/>
  <c r="Z130" i="4" s="1"/>
  <c r="AA130" i="4" s="1"/>
  <c r="AB130" i="4" s="1"/>
  <c r="AC130" i="4" s="1"/>
  <c r="AD130" i="4" s="1"/>
  <c r="AE130" i="4" s="1"/>
  <c r="AF130" i="4" s="1"/>
  <c r="AG130" i="4" s="1"/>
  <c r="I130" i="4"/>
  <c r="R129" i="4"/>
  <c r="S129" i="4" s="1"/>
  <c r="T129" i="4" s="1"/>
  <c r="U129" i="4" s="1"/>
  <c r="V129" i="4" s="1"/>
  <c r="W129" i="4" s="1"/>
  <c r="X129" i="4" s="1"/>
  <c r="Y129" i="4" s="1"/>
  <c r="Z129" i="4" s="1"/>
  <c r="AA129" i="4" s="1"/>
  <c r="AB129" i="4" s="1"/>
  <c r="AC129" i="4" s="1"/>
  <c r="AD129" i="4" s="1"/>
  <c r="AE129" i="4" s="1"/>
  <c r="AF129" i="4" s="1"/>
  <c r="AG129" i="4" s="1"/>
  <c r="I129" i="4"/>
  <c r="R128" i="4"/>
  <c r="S128" i="4" s="1"/>
  <c r="T128" i="4" s="1"/>
  <c r="U128" i="4" s="1"/>
  <c r="V128" i="4" s="1"/>
  <c r="W128" i="4" s="1"/>
  <c r="X128" i="4" s="1"/>
  <c r="Y128" i="4" s="1"/>
  <c r="Z128" i="4" s="1"/>
  <c r="AA128" i="4" s="1"/>
  <c r="AB128" i="4" s="1"/>
  <c r="AC128" i="4" s="1"/>
  <c r="AD128" i="4" s="1"/>
  <c r="AE128" i="4" s="1"/>
  <c r="AF128" i="4" s="1"/>
  <c r="AG128" i="4" s="1"/>
  <c r="I128" i="4"/>
  <c r="R127" i="4"/>
  <c r="S127" i="4" s="1"/>
  <c r="T127" i="4" s="1"/>
  <c r="U127" i="4" s="1"/>
  <c r="V127" i="4" s="1"/>
  <c r="W127" i="4" s="1"/>
  <c r="X127" i="4" s="1"/>
  <c r="Y127" i="4" s="1"/>
  <c r="Z127" i="4" s="1"/>
  <c r="AA127" i="4" s="1"/>
  <c r="AB127" i="4" s="1"/>
  <c r="AC127" i="4" s="1"/>
  <c r="AD127" i="4" s="1"/>
  <c r="AE127" i="4" s="1"/>
  <c r="AF127" i="4" s="1"/>
  <c r="AG127" i="4" s="1"/>
  <c r="I127" i="4"/>
  <c r="R126" i="4"/>
  <c r="S126" i="4" s="1"/>
  <c r="T126" i="4" s="1"/>
  <c r="U126" i="4" s="1"/>
  <c r="V126" i="4" s="1"/>
  <c r="W126" i="4" s="1"/>
  <c r="X126" i="4" s="1"/>
  <c r="Y126" i="4" s="1"/>
  <c r="Z126" i="4" s="1"/>
  <c r="AA126" i="4" s="1"/>
  <c r="AB126" i="4" s="1"/>
  <c r="AC126" i="4" s="1"/>
  <c r="AD126" i="4" s="1"/>
  <c r="AE126" i="4" s="1"/>
  <c r="AF126" i="4" s="1"/>
  <c r="AG126" i="4" s="1"/>
  <c r="I126" i="4"/>
  <c r="R125" i="4"/>
  <c r="S125" i="4" s="1"/>
  <c r="T125" i="4" s="1"/>
  <c r="U125" i="4" s="1"/>
  <c r="V125" i="4" s="1"/>
  <c r="W125" i="4" s="1"/>
  <c r="X125" i="4" s="1"/>
  <c r="Y125" i="4" s="1"/>
  <c r="Z125" i="4" s="1"/>
  <c r="AA125" i="4" s="1"/>
  <c r="AB125" i="4" s="1"/>
  <c r="AC125" i="4" s="1"/>
  <c r="AD125" i="4" s="1"/>
  <c r="AE125" i="4" s="1"/>
  <c r="AF125" i="4" s="1"/>
  <c r="AG125" i="4" s="1"/>
  <c r="I125" i="4"/>
  <c r="R124" i="4"/>
  <c r="S124" i="4" s="1"/>
  <c r="T124" i="4" s="1"/>
  <c r="U124" i="4" s="1"/>
  <c r="V124" i="4" s="1"/>
  <c r="W124" i="4" s="1"/>
  <c r="X124" i="4" s="1"/>
  <c r="Y124" i="4" s="1"/>
  <c r="Z124" i="4" s="1"/>
  <c r="AA124" i="4" s="1"/>
  <c r="AB124" i="4" s="1"/>
  <c r="AC124" i="4" s="1"/>
  <c r="AD124" i="4" s="1"/>
  <c r="AE124" i="4" s="1"/>
  <c r="AF124" i="4" s="1"/>
  <c r="AG124" i="4" s="1"/>
  <c r="I124" i="4"/>
  <c r="R123" i="4"/>
  <c r="S123" i="4" s="1"/>
  <c r="T123" i="4" s="1"/>
  <c r="U123" i="4" s="1"/>
  <c r="V123" i="4" s="1"/>
  <c r="W123" i="4" s="1"/>
  <c r="X123" i="4" s="1"/>
  <c r="Y123" i="4" s="1"/>
  <c r="Z123" i="4" s="1"/>
  <c r="AA123" i="4" s="1"/>
  <c r="AB123" i="4" s="1"/>
  <c r="AC123" i="4" s="1"/>
  <c r="AD123" i="4" s="1"/>
  <c r="AE123" i="4" s="1"/>
  <c r="AF123" i="4" s="1"/>
  <c r="AG123" i="4" s="1"/>
  <c r="I123" i="4"/>
  <c r="R122" i="4"/>
  <c r="I122" i="4"/>
  <c r="R121" i="4"/>
  <c r="S121" i="4" s="1"/>
  <c r="I121" i="4"/>
  <c r="R114" i="4"/>
  <c r="R113" i="4"/>
  <c r="R112" i="4"/>
  <c r="R111" i="4"/>
  <c r="R110" i="4"/>
  <c r="R109" i="4"/>
  <c r="R108" i="4"/>
  <c r="R107" i="4"/>
  <c r="R106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93" i="4"/>
  <c r="P93" i="4"/>
  <c r="P102" i="4" s="1"/>
  <c r="O93" i="4"/>
  <c r="N93" i="4"/>
  <c r="N102" i="4" s="1"/>
  <c r="M93" i="4"/>
  <c r="L93" i="4"/>
  <c r="K93" i="4"/>
  <c r="J93" i="4"/>
  <c r="J102" i="4" s="1"/>
  <c r="Q85" i="4"/>
  <c r="P85" i="4"/>
  <c r="O85" i="4"/>
  <c r="N85" i="4"/>
  <c r="M85" i="4"/>
  <c r="L85" i="4"/>
  <c r="K85" i="4"/>
  <c r="J85" i="4"/>
  <c r="Q83" i="4"/>
  <c r="P83" i="4"/>
  <c r="O83" i="4"/>
  <c r="N83" i="4"/>
  <c r="M83" i="4"/>
  <c r="O372" i="2" s="1"/>
  <c r="L83" i="4"/>
  <c r="K83" i="4"/>
  <c r="M372" i="2" s="1"/>
  <c r="J83" i="4"/>
  <c r="L372" i="2" s="1"/>
  <c r="Q81" i="4"/>
  <c r="P81" i="4"/>
  <c r="O81" i="4"/>
  <c r="N81" i="4"/>
  <c r="M81" i="4"/>
  <c r="L81" i="4"/>
  <c r="K81" i="4"/>
  <c r="J81" i="4"/>
  <c r="Q78" i="4"/>
  <c r="P78" i="4"/>
  <c r="O78" i="4"/>
  <c r="N78" i="4"/>
  <c r="P12" i="2" s="1"/>
  <c r="M78" i="4"/>
  <c r="L78" i="4"/>
  <c r="K78" i="4"/>
  <c r="J78" i="4"/>
  <c r="Q77" i="4"/>
  <c r="P77" i="4"/>
  <c r="R11" i="2" s="1"/>
  <c r="O77" i="4"/>
  <c r="N77" i="4"/>
  <c r="M77" i="4"/>
  <c r="L77" i="4"/>
  <c r="K77" i="4"/>
  <c r="J77" i="4"/>
  <c r="Q76" i="4"/>
  <c r="P76" i="4"/>
  <c r="O76" i="4"/>
  <c r="N76" i="4"/>
  <c r="P336" i="2" s="1"/>
  <c r="M76" i="4"/>
  <c r="L76" i="4"/>
  <c r="K76" i="4"/>
  <c r="M336" i="2" s="1"/>
  <c r="J76" i="4"/>
  <c r="L336" i="2" s="1"/>
  <c r="Q72" i="4"/>
  <c r="O72" i="4"/>
  <c r="N72" i="4"/>
  <c r="L72" i="4"/>
  <c r="K72" i="4"/>
  <c r="J72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Q69" i="4"/>
  <c r="P69" i="4"/>
  <c r="O69" i="4"/>
  <c r="N69" i="4"/>
  <c r="M69" i="4"/>
  <c r="L69" i="4"/>
  <c r="K69" i="4"/>
  <c r="J69" i="4"/>
  <c r="Q68" i="4"/>
  <c r="P68" i="4"/>
  <c r="O68" i="4"/>
  <c r="N68" i="4"/>
  <c r="M68" i="4"/>
  <c r="L68" i="4"/>
  <c r="K68" i="4"/>
  <c r="J68" i="4"/>
  <c r="AG62" i="4"/>
  <c r="AG1256" i="4" s="1"/>
  <c r="AF62" i="4"/>
  <c r="AF1256" i="4" s="1"/>
  <c r="AE62" i="4"/>
  <c r="AE1256" i="4" s="1"/>
  <c r="AD62" i="4"/>
  <c r="AD1256" i="4" s="1"/>
  <c r="AC62" i="4"/>
  <c r="AC1256" i="4" s="1"/>
  <c r="AB62" i="4"/>
  <c r="AB1256" i="4" s="1"/>
  <c r="AA62" i="4"/>
  <c r="AA1256" i="4" s="1"/>
  <c r="Z62" i="4"/>
  <c r="Z1256" i="4" s="1"/>
  <c r="Y62" i="4"/>
  <c r="Y1256" i="4" s="1"/>
  <c r="X62" i="4"/>
  <c r="X1256" i="4" s="1"/>
  <c r="W62" i="4"/>
  <c r="W1256" i="4" s="1"/>
  <c r="V62" i="4"/>
  <c r="V1256" i="4" s="1"/>
  <c r="U62" i="4"/>
  <c r="U1256" i="4" s="1"/>
  <c r="T62" i="4"/>
  <c r="T1256" i="4" s="1"/>
  <c r="S62" i="4"/>
  <c r="S1256" i="4" s="1"/>
  <c r="R62" i="4"/>
  <c r="M44" i="4"/>
  <c r="L44" i="4"/>
  <c r="K44" i="4"/>
  <c r="Q30" i="4"/>
  <c r="Q31" i="4" s="1"/>
  <c r="P30" i="4"/>
  <c r="P31" i="4" s="1"/>
  <c r="O30" i="4"/>
  <c r="O31" i="4" s="1"/>
  <c r="N30" i="4"/>
  <c r="N31" i="4" s="1"/>
  <c r="M30" i="4"/>
  <c r="M31" i="4" s="1"/>
  <c r="L30" i="4"/>
  <c r="L31" i="4" s="1"/>
  <c r="K30" i="4"/>
  <c r="K31" i="4" s="1"/>
  <c r="J30" i="4"/>
  <c r="J31" i="4" s="1"/>
  <c r="AG29" i="4"/>
  <c r="AG30" i="4" s="1"/>
  <c r="AG31" i="4" s="1"/>
  <c r="AF29" i="4"/>
  <c r="AF30" i="4" s="1"/>
  <c r="AF31" i="4" s="1"/>
  <c r="AE29" i="4"/>
  <c r="AE30" i="4" s="1"/>
  <c r="AE31" i="4" s="1"/>
  <c r="AD29" i="4"/>
  <c r="AD30" i="4" s="1"/>
  <c r="AD31" i="4" s="1"/>
  <c r="AC29" i="4"/>
  <c r="AC30" i="4" s="1"/>
  <c r="AC31" i="4" s="1"/>
  <c r="AB29" i="4"/>
  <c r="AB30" i="4" s="1"/>
  <c r="AB31" i="4" s="1"/>
  <c r="AA29" i="4"/>
  <c r="AA30" i="4" s="1"/>
  <c r="AA31" i="4" s="1"/>
  <c r="Z29" i="4"/>
  <c r="Z30" i="4" s="1"/>
  <c r="Z31" i="4" s="1"/>
  <c r="Y29" i="4"/>
  <c r="Y30" i="4" s="1"/>
  <c r="Y31" i="4" s="1"/>
  <c r="X29" i="4"/>
  <c r="X30" i="4" s="1"/>
  <c r="X31" i="4" s="1"/>
  <c r="W29" i="4"/>
  <c r="W30" i="4" s="1"/>
  <c r="W31" i="4" s="1"/>
  <c r="V29" i="4"/>
  <c r="V30" i="4" s="1"/>
  <c r="V31" i="4" s="1"/>
  <c r="U29" i="4"/>
  <c r="U30" i="4" s="1"/>
  <c r="U31" i="4" s="1"/>
  <c r="T29" i="4"/>
  <c r="T30" i="4" s="1"/>
  <c r="T31" i="4" s="1"/>
  <c r="S29" i="4"/>
  <c r="S30" i="4" s="1"/>
  <c r="S31" i="4" s="1"/>
  <c r="R29" i="4"/>
  <c r="R30" i="4" s="1"/>
  <c r="R31" i="4" s="1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J24" i="4"/>
  <c r="J26" i="4" s="1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R12" i="4"/>
  <c r="S12" i="4" s="1"/>
  <c r="R10" i="4"/>
  <c r="K4" i="4"/>
  <c r="L4" i="4" s="1"/>
  <c r="R164" i="2" l="1"/>
  <c r="K114" i="2"/>
  <c r="M165" i="2"/>
  <c r="V139" i="2"/>
  <c r="W177" i="2"/>
  <c r="Q144" i="2"/>
  <c r="R197" i="2"/>
  <c r="R144" i="2"/>
  <c r="Q197" i="2"/>
  <c r="R156" i="2" s="1"/>
  <c r="AJ153" i="2"/>
  <c r="M185" i="2"/>
  <c r="N136" i="2" s="1"/>
  <c r="T144" i="2"/>
  <c r="P164" i="2"/>
  <c r="U139" i="2"/>
  <c r="N301" i="2"/>
  <c r="O301" i="2"/>
  <c r="X177" i="2"/>
  <c r="P144" i="2"/>
  <c r="N228" i="2"/>
  <c r="N154" i="2"/>
  <c r="K104" i="2"/>
  <c r="I104" i="2" s="1"/>
  <c r="N147" i="2"/>
  <c r="N252" i="2"/>
  <c r="N169" i="2"/>
  <c r="Q165" i="2"/>
  <c r="S165" i="2"/>
  <c r="P145" i="2"/>
  <c r="S325" i="2"/>
  <c r="K16" i="2"/>
  <c r="I16" i="2" s="1"/>
  <c r="M159" i="2"/>
  <c r="AJ172" i="2"/>
  <c r="P185" i="2"/>
  <c r="P127" i="2" s="1"/>
  <c r="Q145" i="2"/>
  <c r="O147" i="2"/>
  <c r="N329" i="2"/>
  <c r="P165" i="2"/>
  <c r="P163" i="2"/>
  <c r="R165" i="2"/>
  <c r="N185" i="2"/>
  <c r="M242" i="2"/>
  <c r="M283" i="2" s="1"/>
  <c r="Q185" i="2"/>
  <c r="R136" i="2" s="1"/>
  <c r="K224" i="2"/>
  <c r="Q234" i="2"/>
  <c r="P323" i="2"/>
  <c r="Q163" i="2"/>
  <c r="Q167" i="2" s="1"/>
  <c r="Q303" i="2" s="1"/>
  <c r="O14" i="2"/>
  <c r="O17" i="2" s="1"/>
  <c r="S185" i="2"/>
  <c r="S127" i="2" s="1"/>
  <c r="Q164" i="2"/>
  <c r="N144" i="2"/>
  <c r="R323" i="2"/>
  <c r="P169" i="2"/>
  <c r="Q139" i="2"/>
  <c r="R163" i="2"/>
  <c r="O325" i="2"/>
  <c r="O185" i="2"/>
  <c r="R185" i="2"/>
  <c r="R127" i="2" s="1"/>
  <c r="O309" i="2"/>
  <c r="R234" i="2"/>
  <c r="K257" i="2"/>
  <c r="P14" i="2"/>
  <c r="P17" i="2" s="1"/>
  <c r="P135" i="2" s="1"/>
  <c r="K117" i="2"/>
  <c r="P310" i="2"/>
  <c r="O144" i="2"/>
  <c r="M231" i="2"/>
  <c r="M282" i="2" s="1"/>
  <c r="S323" i="2"/>
  <c r="N202" i="2"/>
  <c r="N137" i="2" s="1"/>
  <c r="R176" i="2"/>
  <c r="K173" i="2"/>
  <c r="L159" i="2"/>
  <c r="M14" i="2"/>
  <c r="M17" i="2" s="1"/>
  <c r="M277" i="2" s="1"/>
  <c r="N17" i="2"/>
  <c r="N135" i="2" s="1"/>
  <c r="K108" i="2"/>
  <c r="I108" i="2" s="1"/>
  <c r="S166" i="2"/>
  <c r="V177" i="2"/>
  <c r="AD177" i="2"/>
  <c r="N138" i="2"/>
  <c r="N231" i="2"/>
  <c r="N282" i="2" s="1"/>
  <c r="T323" i="2"/>
  <c r="T326" i="2" s="1"/>
  <c r="T327" i="2" s="1"/>
  <c r="O127" i="2"/>
  <c r="P136" i="2"/>
  <c r="X260" i="2"/>
  <c r="Y260" i="2" s="1"/>
  <c r="Z260" i="2" s="1"/>
  <c r="AA260" i="2" s="1"/>
  <c r="AB260" i="2" s="1"/>
  <c r="AC260" i="2" s="1"/>
  <c r="AD260" i="2" s="1"/>
  <c r="AE260" i="2" s="1"/>
  <c r="AF260" i="2" s="1"/>
  <c r="AG260" i="2" s="1"/>
  <c r="AH260" i="2" s="1"/>
  <c r="AI260" i="2" s="1"/>
  <c r="K260" i="2"/>
  <c r="T325" i="2"/>
  <c r="U249" i="2"/>
  <c r="V249" i="2" s="1"/>
  <c r="T248" i="2"/>
  <c r="U323" i="2"/>
  <c r="U227" i="2"/>
  <c r="V329" i="2" s="1"/>
  <c r="U329" i="2"/>
  <c r="Q127" i="2"/>
  <c r="K245" i="2"/>
  <c r="X245" i="2"/>
  <c r="Y245" i="2" s="1"/>
  <c r="Z245" i="2" s="1"/>
  <c r="AA245" i="2" s="1"/>
  <c r="AB245" i="2" s="1"/>
  <c r="AC245" i="2" s="1"/>
  <c r="AD245" i="2" s="1"/>
  <c r="AE245" i="2" s="1"/>
  <c r="AF245" i="2" s="1"/>
  <c r="AG245" i="2" s="1"/>
  <c r="AH245" i="2" s="1"/>
  <c r="AI245" i="2" s="1"/>
  <c r="X247" i="2"/>
  <c r="Y247" i="2" s="1"/>
  <c r="Z247" i="2" s="1"/>
  <c r="AA247" i="2" s="1"/>
  <c r="AB247" i="2" s="1"/>
  <c r="AC247" i="2" s="1"/>
  <c r="AD247" i="2" s="1"/>
  <c r="AE247" i="2" s="1"/>
  <c r="AF247" i="2" s="1"/>
  <c r="AG247" i="2" s="1"/>
  <c r="AH247" i="2" s="1"/>
  <c r="AI247" i="2" s="1"/>
  <c r="K247" i="2"/>
  <c r="AJ14" i="2"/>
  <c r="S234" i="2"/>
  <c r="S158" i="2" s="1"/>
  <c r="O169" i="2"/>
  <c r="L14" i="2"/>
  <c r="L17" i="2" s="1"/>
  <c r="L288" i="2" s="1"/>
  <c r="S231" i="2"/>
  <c r="N165" i="2"/>
  <c r="N309" i="2"/>
  <c r="O242" i="2"/>
  <c r="O283" i="2" s="1"/>
  <c r="N323" i="2"/>
  <c r="S164" i="2"/>
  <c r="T187" i="2"/>
  <c r="U187" i="2" s="1"/>
  <c r="V187" i="2" s="1"/>
  <c r="W187" i="2" s="1"/>
  <c r="X187" i="2" s="1"/>
  <c r="Y187" i="2" s="1"/>
  <c r="Z187" i="2" s="1"/>
  <c r="AA187" i="2" s="1"/>
  <c r="AB187" i="2" s="1"/>
  <c r="AC187" i="2" s="1"/>
  <c r="AD187" i="2" s="1"/>
  <c r="AE187" i="2" s="1"/>
  <c r="AF187" i="2" s="1"/>
  <c r="AG187" i="2" s="1"/>
  <c r="AH187" i="2" s="1"/>
  <c r="AI187" i="2" s="1"/>
  <c r="Y177" i="2"/>
  <c r="AE177" i="2"/>
  <c r="S188" i="2"/>
  <c r="P234" i="2"/>
  <c r="P158" i="2" s="1"/>
  <c r="N170" i="2"/>
  <c r="N330" i="2" s="1"/>
  <c r="K97" i="2"/>
  <c r="I97" i="2" s="1"/>
  <c r="O159" i="2"/>
  <c r="P242" i="2"/>
  <c r="M248" i="2"/>
  <c r="S197" i="2"/>
  <c r="N159" i="2"/>
  <c r="P188" i="2"/>
  <c r="Q138" i="2"/>
  <c r="T199" i="2"/>
  <c r="T197" i="2" s="1"/>
  <c r="O228" i="2"/>
  <c r="O148" i="2" s="1"/>
  <c r="P231" i="2"/>
  <c r="P282" i="2" s="1"/>
  <c r="R242" i="2"/>
  <c r="R283" i="2" s="1"/>
  <c r="R248" i="2"/>
  <c r="K110" i="2"/>
  <c r="I110" i="2" s="1"/>
  <c r="K102" i="2"/>
  <c r="I102" i="2" s="1"/>
  <c r="N166" i="2"/>
  <c r="O166" i="2"/>
  <c r="N139" i="2"/>
  <c r="K107" i="2"/>
  <c r="I107" i="2" s="1"/>
  <c r="P166" i="2"/>
  <c r="O300" i="2"/>
  <c r="O165" i="2"/>
  <c r="AA177" i="2"/>
  <c r="T212" i="2"/>
  <c r="U212" i="2" s="1"/>
  <c r="T145" i="2"/>
  <c r="K171" i="2"/>
  <c r="AB177" i="2"/>
  <c r="T177" i="2"/>
  <c r="P159" i="2"/>
  <c r="AC177" i="2"/>
  <c r="AI177" i="2"/>
  <c r="R159" i="2"/>
  <c r="S144" i="2"/>
  <c r="P228" i="2"/>
  <c r="P128" i="2" s="1"/>
  <c r="T232" i="2"/>
  <c r="T231" i="2" s="1"/>
  <c r="T282" i="2" s="1"/>
  <c r="O163" i="2"/>
  <c r="U177" i="2"/>
  <c r="S14" i="2"/>
  <c r="S17" i="2" s="1"/>
  <c r="S135" i="2" s="1"/>
  <c r="T139" i="2"/>
  <c r="S163" i="2"/>
  <c r="AF177" i="2"/>
  <c r="S138" i="2"/>
  <c r="X216" i="2"/>
  <c r="Y216" i="2" s="1"/>
  <c r="Z216" i="2" s="1"/>
  <c r="AA216" i="2" s="1"/>
  <c r="AB216" i="2" s="1"/>
  <c r="AC216" i="2" s="1"/>
  <c r="AD216" i="2" s="1"/>
  <c r="AE216" i="2" s="1"/>
  <c r="AF216" i="2" s="1"/>
  <c r="AG216" i="2" s="1"/>
  <c r="AH216" i="2" s="1"/>
  <c r="AI216" i="2" s="1"/>
  <c r="Q228" i="2"/>
  <c r="R148" i="2" s="1"/>
  <c r="I98" i="10"/>
  <c r="I100" i="10"/>
  <c r="J98" i="10"/>
  <c r="K98" i="10"/>
  <c r="L98" i="10"/>
  <c r="N98" i="10"/>
  <c r="O98" i="10"/>
  <c r="P98" i="10"/>
  <c r="V109" i="4"/>
  <c r="X109" i="4"/>
  <c r="AE110" i="4"/>
  <c r="V110" i="4"/>
  <c r="AF110" i="4"/>
  <c r="W109" i="4"/>
  <c r="S110" i="4"/>
  <c r="T110" i="4"/>
  <c r="U110" i="4"/>
  <c r="O58" i="4"/>
  <c r="O61" i="4" s="1"/>
  <c r="O1255" i="4" s="1"/>
  <c r="AB108" i="4"/>
  <c r="AA110" i="4"/>
  <c r="S108" i="4"/>
  <c r="W110" i="4"/>
  <c r="AA108" i="4"/>
  <c r="AF108" i="4"/>
  <c r="Z110" i="4"/>
  <c r="R727" i="4"/>
  <c r="S109" i="4"/>
  <c r="AB110" i="4"/>
  <c r="X108" i="4"/>
  <c r="Z108" i="4"/>
  <c r="X110" i="4"/>
  <c r="Y110" i="4"/>
  <c r="T109" i="4"/>
  <c r="AC110" i="4"/>
  <c r="U109" i="4"/>
  <c r="AD110" i="4"/>
  <c r="N56" i="4"/>
  <c r="Q56" i="4"/>
  <c r="Q58" i="4" s="1"/>
  <c r="Q61" i="4" s="1"/>
  <c r="AC106" i="4"/>
  <c r="Y109" i="4"/>
  <c r="J56" i="4"/>
  <c r="K57" i="4"/>
  <c r="R411" i="4"/>
  <c r="P56" i="4"/>
  <c r="P58" i="4" s="1"/>
  <c r="P61" i="4" s="1"/>
  <c r="L1261" i="4"/>
  <c r="L1262" i="4" s="1"/>
  <c r="L1265" i="4" s="1"/>
  <c r="M1261" i="4"/>
  <c r="M1262" i="4" s="1"/>
  <c r="M1265" i="4" s="1"/>
  <c r="AC1261" i="4"/>
  <c r="K55" i="4"/>
  <c r="M57" i="4"/>
  <c r="M58" i="4" s="1"/>
  <c r="M61" i="4" s="1"/>
  <c r="AB106" i="4"/>
  <c r="T1261" i="4"/>
  <c r="J57" i="4"/>
  <c r="L57" i="4"/>
  <c r="N1261" i="4"/>
  <c r="N1262" i="4" s="1"/>
  <c r="N1265" i="4" s="1"/>
  <c r="AD1261" i="4"/>
  <c r="L55" i="4"/>
  <c r="L58" i="4" s="1"/>
  <c r="L61" i="4" s="1"/>
  <c r="N57" i="4"/>
  <c r="O47" i="4"/>
  <c r="N47" i="4"/>
  <c r="N50" i="4" s="1"/>
  <c r="P47" i="4"/>
  <c r="Q47" i="4"/>
  <c r="Q49" i="4" s="1"/>
  <c r="P67" i="4"/>
  <c r="Y108" i="4"/>
  <c r="O1261" i="4"/>
  <c r="O1262" i="4" s="1"/>
  <c r="O1265" i="4" s="1"/>
  <c r="AE1261" i="4"/>
  <c r="P1261" i="4"/>
  <c r="P1262" i="4" s="1"/>
  <c r="P1265" i="4" s="1"/>
  <c r="Q1261" i="4"/>
  <c r="Q1262" i="4" s="1"/>
  <c r="Q1265" i="4" s="1"/>
  <c r="R66" i="4"/>
  <c r="AC108" i="4"/>
  <c r="AD108" i="4"/>
  <c r="AE108" i="4"/>
  <c r="AF1143" i="4"/>
  <c r="AA1116" i="4"/>
  <c r="Z1118" i="4"/>
  <c r="Y1130" i="4"/>
  <c r="W1130" i="4"/>
  <c r="W1143" i="4"/>
  <c r="Q33" i="10"/>
  <c r="R413" i="4" s="1"/>
  <c r="J7" i="10"/>
  <c r="S114" i="4"/>
  <c r="Z106" i="4"/>
  <c r="O833" i="4"/>
  <c r="Q369" i="2" s="1"/>
  <c r="X106" i="4"/>
  <c r="T114" i="4"/>
  <c r="Y106" i="4"/>
  <c r="U114" i="4"/>
  <c r="AA106" i="4"/>
  <c r="P833" i="4"/>
  <c r="R369" i="2" s="1"/>
  <c r="N44" i="4"/>
  <c r="Q43" i="4"/>
  <c r="J44" i="4"/>
  <c r="L44" i="8"/>
  <c r="M44" i="8"/>
  <c r="N44" i="8"/>
  <c r="O43" i="4"/>
  <c r="I102" i="10"/>
  <c r="J102" i="10"/>
  <c r="K102" i="10"/>
  <c r="Q73" i="8"/>
  <c r="K44" i="8"/>
  <c r="P43" i="4"/>
  <c r="AA37" i="8"/>
  <c r="AA40" i="8"/>
  <c r="Q45" i="4"/>
  <c r="V36" i="8"/>
  <c r="Z260" i="8"/>
  <c r="X441" i="4"/>
  <c r="P45" i="8"/>
  <c r="Y441" i="4"/>
  <c r="O44" i="4"/>
  <c r="Q45" i="8"/>
  <c r="Z441" i="4"/>
  <c r="P44" i="4"/>
  <c r="Q833" i="4"/>
  <c r="Z258" i="8"/>
  <c r="V39" i="8"/>
  <c r="V42" i="8"/>
  <c r="V37" i="8"/>
  <c r="Z259" i="8"/>
  <c r="Q74" i="8"/>
  <c r="X39" i="8"/>
  <c r="AB42" i="8"/>
  <c r="Q187" i="8"/>
  <c r="D224" i="8"/>
  <c r="J43" i="4"/>
  <c r="J45" i="4"/>
  <c r="J47" i="4" s="1"/>
  <c r="Q72" i="8"/>
  <c r="Q87" i="8"/>
  <c r="K45" i="8"/>
  <c r="I103" i="10"/>
  <c r="Z40" i="8"/>
  <c r="L45" i="8"/>
  <c r="J103" i="10"/>
  <c r="M45" i="8"/>
  <c r="K103" i="10"/>
  <c r="N45" i="8"/>
  <c r="V41" i="8"/>
  <c r="C224" i="8"/>
  <c r="K43" i="4"/>
  <c r="K45" i="4"/>
  <c r="J17" i="2"/>
  <c r="G44" i="8"/>
  <c r="Z256" i="8"/>
  <c r="L43" i="4"/>
  <c r="L45" i="4"/>
  <c r="H44" i="8"/>
  <c r="M43" i="4"/>
  <c r="I44" i="8"/>
  <c r="Z257" i="8"/>
  <c r="N43" i="4"/>
  <c r="J44" i="8"/>
  <c r="O1257" i="4"/>
  <c r="AF1261" i="4"/>
  <c r="U739" i="4"/>
  <c r="J1261" i="4"/>
  <c r="J1262" i="4" s="1"/>
  <c r="J1265" i="4" s="1"/>
  <c r="U100" i="2"/>
  <c r="V100" i="2" s="1"/>
  <c r="R1256" i="4"/>
  <c r="AG1261" i="4"/>
  <c r="Z1261" i="4"/>
  <c r="K1261" i="4"/>
  <c r="K1262" i="4" s="1"/>
  <c r="K1265" i="4" s="1"/>
  <c r="N67" i="4"/>
  <c r="AA1261" i="4"/>
  <c r="AB1261" i="4"/>
  <c r="R1261" i="4"/>
  <c r="U1261" i="4"/>
  <c r="V1261" i="4"/>
  <c r="W1261" i="4"/>
  <c r="S1261" i="4"/>
  <c r="X1261" i="4"/>
  <c r="Y1261" i="4"/>
  <c r="W1246" i="4"/>
  <c r="X1246" i="4"/>
  <c r="Y1246" i="4"/>
  <c r="Z1246" i="4"/>
  <c r="AA1246" i="4"/>
  <c r="T1246" i="4"/>
  <c r="V1246" i="4"/>
  <c r="N1246" i="4"/>
  <c r="AD1246" i="4"/>
  <c r="J1246" i="4"/>
  <c r="S1246" i="4"/>
  <c r="K1246" i="4"/>
  <c r="L1246" i="4"/>
  <c r="AC1246" i="4"/>
  <c r="AB1246" i="4"/>
  <c r="M1246" i="4"/>
  <c r="R1246" i="4"/>
  <c r="U1246" i="4"/>
  <c r="AE1246" i="4"/>
  <c r="AF1246" i="4"/>
  <c r="AG1246" i="4"/>
  <c r="O1246" i="4"/>
  <c r="P1246" i="4"/>
  <c r="Q1246" i="4"/>
  <c r="R1241" i="4"/>
  <c r="T1241" i="4"/>
  <c r="U1241" i="4"/>
  <c r="V1241" i="4"/>
  <c r="W1241" i="4"/>
  <c r="S1241" i="4"/>
  <c r="X1241" i="4"/>
  <c r="Y1241" i="4"/>
  <c r="Z1241" i="4"/>
  <c r="AA1241" i="4"/>
  <c r="AB1241" i="4"/>
  <c r="AG1241" i="4"/>
  <c r="AF1241" i="4"/>
  <c r="R412" i="4"/>
  <c r="AA18" i="10"/>
  <c r="AA66" i="4"/>
  <c r="V118" i="10"/>
  <c r="V114" i="4"/>
  <c r="T116" i="10"/>
  <c r="T112" i="4"/>
  <c r="S31" i="10"/>
  <c r="S411" i="4"/>
  <c r="Z113" i="10"/>
  <c r="Z109" i="4"/>
  <c r="S111" i="4"/>
  <c r="S115" i="10"/>
  <c r="V66" i="4"/>
  <c r="AE106" i="4"/>
  <c r="Z66" i="4"/>
  <c r="S112" i="4"/>
  <c r="T106" i="4"/>
  <c r="T108" i="4"/>
  <c r="K833" i="4"/>
  <c r="M369" i="2" s="1"/>
  <c r="AC1241" i="4"/>
  <c r="U66" i="4"/>
  <c r="AD106" i="4"/>
  <c r="S117" i="10"/>
  <c r="U106" i="4"/>
  <c r="U108" i="4"/>
  <c r="AD1241" i="4"/>
  <c r="S66" i="4"/>
  <c r="T66" i="4"/>
  <c r="S111" i="10"/>
  <c r="W66" i="4"/>
  <c r="X66" i="4"/>
  <c r="J833" i="4"/>
  <c r="L369" i="2" s="1"/>
  <c r="V106" i="4"/>
  <c r="V108" i="4"/>
  <c r="M833" i="4"/>
  <c r="O369" i="2" s="1"/>
  <c r="AE1241" i="4"/>
  <c r="AF106" i="4"/>
  <c r="Y66" i="4"/>
  <c r="S106" i="4"/>
  <c r="W106" i="4"/>
  <c r="W108" i="4"/>
  <c r="N833" i="4"/>
  <c r="P369" i="2" s="1"/>
  <c r="P141" i="4"/>
  <c r="U607" i="4"/>
  <c r="U608" i="4" s="1"/>
  <c r="T1277" i="4"/>
  <c r="T1279" i="4" s="1"/>
  <c r="V99" i="2" s="1"/>
  <c r="V152" i="2" s="1"/>
  <c r="M72" i="4"/>
  <c r="J67" i="4"/>
  <c r="L141" i="4"/>
  <c r="AA1014" i="4"/>
  <c r="P178" i="4"/>
  <c r="AB1014" i="4"/>
  <c r="AG1014" i="4"/>
  <c r="Z1014" i="4"/>
  <c r="AG1004" i="4"/>
  <c r="AF1009" i="4"/>
  <c r="L231" i="2"/>
  <c r="L282" i="2" s="1"/>
  <c r="L248" i="2"/>
  <c r="P146" i="4"/>
  <c r="U1216" i="4"/>
  <c r="P351" i="2"/>
  <c r="O431" i="4"/>
  <c r="O492" i="4" s="1"/>
  <c r="O546" i="4" s="1"/>
  <c r="Z277" i="4"/>
  <c r="AA617" i="4"/>
  <c r="AA618" i="4" s="1"/>
  <c r="AA277" i="4"/>
  <c r="AG617" i="4"/>
  <c r="AG618" i="4" s="1"/>
  <c r="M431" i="4"/>
  <c r="M492" i="4" s="1"/>
  <c r="M546" i="4" s="1"/>
  <c r="X617" i="4"/>
  <c r="X618" i="4" s="1"/>
  <c r="S727" i="4"/>
  <c r="S607" i="4"/>
  <c r="S608" i="4" s="1"/>
  <c r="T607" i="4"/>
  <c r="T608" i="4" s="1"/>
  <c r="T261" i="4"/>
  <c r="T622" i="4"/>
  <c r="S339" i="2"/>
  <c r="K204" i="4"/>
  <c r="K202" i="4" s="1"/>
  <c r="L204" i="4"/>
  <c r="L202" i="4" s="1"/>
  <c r="K431" i="4"/>
  <c r="K492" i="4" s="1"/>
  <c r="K546" i="4" s="1"/>
  <c r="M47" i="4"/>
  <c r="V607" i="4"/>
  <c r="V608" i="4" s="1"/>
  <c r="AG1154" i="4"/>
  <c r="S1215" i="4"/>
  <c r="W1174" i="4"/>
  <c r="AE1094" i="4"/>
  <c r="L738" i="4"/>
  <c r="L739" i="4" s="1"/>
  <c r="AD1024" i="4"/>
  <c r="M146" i="4"/>
  <c r="M738" i="4"/>
  <c r="M739" i="4" s="1"/>
  <c r="W1230" i="4"/>
  <c r="O1226" i="4"/>
  <c r="AE1228" i="4"/>
  <c r="O791" i="4"/>
  <c r="AC1024" i="4"/>
  <c r="AG1009" i="4"/>
  <c r="O48" i="4"/>
  <c r="O146" i="4"/>
  <c r="Y1014" i="4"/>
  <c r="S622" i="4"/>
  <c r="R117" i="4"/>
  <c r="N756" i="4"/>
  <c r="AF261" i="4"/>
  <c r="M204" i="4"/>
  <c r="M202" i="4" s="1"/>
  <c r="N363" i="2"/>
  <c r="N364" i="2"/>
  <c r="R597" i="4"/>
  <c r="R1158" i="4"/>
  <c r="N204" i="4"/>
  <c r="N202" i="4" s="1"/>
  <c r="R664" i="4"/>
  <c r="V597" i="4"/>
  <c r="S1158" i="4"/>
  <c r="U622" i="4"/>
  <c r="O204" i="4"/>
  <c r="O202" i="4" s="1"/>
  <c r="W739" i="4"/>
  <c r="S1216" i="4"/>
  <c r="T1158" i="4"/>
  <c r="T1159" i="4" s="1"/>
  <c r="W622" i="4"/>
  <c r="W1126" i="4"/>
  <c r="J908" i="4"/>
  <c r="J911" i="4" s="1"/>
  <c r="J920" i="4"/>
  <c r="I58" i="10" s="1"/>
  <c r="Q756" i="4"/>
  <c r="Y617" i="4"/>
  <c r="Y618" i="4" s="1"/>
  <c r="AF617" i="4"/>
  <c r="AF618" i="4" s="1"/>
  <c r="AE617" i="4"/>
  <c r="AE618" i="4" s="1"/>
  <c r="AD617" i="4"/>
  <c r="AD618" i="4" s="1"/>
  <c r="AC617" i="4"/>
  <c r="AC618" i="4" s="1"/>
  <c r="AB617" i="4"/>
  <c r="AB618" i="4" s="1"/>
  <c r="Z451" i="4"/>
  <c r="AF847" i="4"/>
  <c r="R1009" i="4"/>
  <c r="R1011" i="4" s="1"/>
  <c r="S1008" i="4" s="1"/>
  <c r="O352" i="2"/>
  <c r="M154" i="2"/>
  <c r="L252" i="2"/>
  <c r="Z622" i="4"/>
  <c r="R76" i="2"/>
  <c r="P148" i="4"/>
  <c r="W277" i="4"/>
  <c r="N738" i="4"/>
  <c r="N739" i="4" s="1"/>
  <c r="AA1009" i="4"/>
  <c r="S1014" i="4"/>
  <c r="Y1216" i="4"/>
  <c r="AG1230" i="4"/>
  <c r="R339" i="2"/>
  <c r="R340" i="2"/>
  <c r="Y466" i="4"/>
  <c r="AA622" i="4"/>
  <c r="AG1168" i="4"/>
  <c r="AG1169" i="4" s="1"/>
  <c r="AF1168" i="4"/>
  <c r="AE1168" i="4"/>
  <c r="W999" i="4"/>
  <c r="V999" i="4"/>
  <c r="AF1094" i="4"/>
  <c r="Y1069" i="4"/>
  <c r="Z1069" i="4"/>
  <c r="AD1168" i="4"/>
  <c r="AD1169" i="4" s="1"/>
  <c r="X1074" i="4"/>
  <c r="J705" i="4"/>
  <c r="L38" i="2" s="1"/>
  <c r="T451" i="4"/>
  <c r="Z466" i="4"/>
  <c r="AC1168" i="4"/>
  <c r="O664" i="4"/>
  <c r="AG456" i="4"/>
  <c r="AF456" i="4"/>
  <c r="Y1074" i="4"/>
  <c r="P756" i="4"/>
  <c r="K908" i="4"/>
  <c r="K911" i="4" s="1"/>
  <c r="K920" i="4"/>
  <c r="J58" i="10" s="1"/>
  <c r="L188" i="2"/>
  <c r="M138" i="2"/>
  <c r="O76" i="2"/>
  <c r="M148" i="4"/>
  <c r="AE607" i="4"/>
  <c r="AE608" i="4" s="1"/>
  <c r="AA451" i="4"/>
  <c r="Y622" i="4"/>
  <c r="V277" i="4"/>
  <c r="Z1009" i="4"/>
  <c r="P169" i="4"/>
  <c r="O738" i="4"/>
  <c r="O739" i="4" s="1"/>
  <c r="Z1216" i="4"/>
  <c r="Z1213" i="4"/>
  <c r="Z1215" i="4" s="1"/>
  <c r="O178" i="4"/>
  <c r="P155" i="4"/>
  <c r="P738" i="4"/>
  <c r="P739" i="4" s="1"/>
  <c r="AC1009" i="4"/>
  <c r="W1014" i="4"/>
  <c r="AD1178" i="4"/>
  <c r="AD1179" i="4" s="1"/>
  <c r="V451" i="4"/>
  <c r="R974" i="4"/>
  <c r="R976" i="4" s="1"/>
  <c r="S973" i="4" s="1"/>
  <c r="W451" i="4"/>
  <c r="AD607" i="4"/>
  <c r="AD608" i="4" s="1"/>
  <c r="AE847" i="4"/>
  <c r="N352" i="2"/>
  <c r="R994" i="4"/>
  <c r="R996" i="4" s="1"/>
  <c r="S993" i="4" s="1"/>
  <c r="N178" i="4"/>
  <c r="AB1009" i="4"/>
  <c r="P48" i="4"/>
  <c r="Q336" i="2"/>
  <c r="O67" i="4"/>
  <c r="M77" i="2"/>
  <c r="N406" i="4"/>
  <c r="N407" i="4" s="1"/>
  <c r="P193" i="2" s="1"/>
  <c r="AG739" i="4"/>
  <c r="AD1009" i="4"/>
  <c r="X1014" i="4"/>
  <c r="L1216" i="4"/>
  <c r="L363" i="2"/>
  <c r="L364" i="2"/>
  <c r="AG1178" i="4"/>
  <c r="Q146" i="4"/>
  <c r="X451" i="4"/>
  <c r="AC607" i="4"/>
  <c r="AC608" i="4" s="1"/>
  <c r="AD847" i="4"/>
  <c r="Q791" i="4"/>
  <c r="X1216" i="4"/>
  <c r="V1014" i="4"/>
  <c r="K146" i="4"/>
  <c r="K147" i="4" s="1"/>
  <c r="J177" i="4"/>
  <c r="L146" i="4"/>
  <c r="J745" i="4"/>
  <c r="J48" i="4"/>
  <c r="R1216" i="4"/>
  <c r="M363" i="2"/>
  <c r="M364" i="2"/>
  <c r="X1163" i="4"/>
  <c r="S1163" i="4"/>
  <c r="AA1215" i="4"/>
  <c r="L339" i="2"/>
  <c r="O363" i="2"/>
  <c r="O364" i="2"/>
  <c r="AA1069" i="4"/>
  <c r="N77" i="2"/>
  <c r="T664" i="4"/>
  <c r="Q911" i="4"/>
  <c r="J1103" i="4"/>
  <c r="M339" i="2"/>
  <c r="R351" i="2"/>
  <c r="M169" i="2"/>
  <c r="X1004" i="4"/>
  <c r="L155" i="4"/>
  <c r="M958" i="4"/>
  <c r="M960" i="4" s="1"/>
  <c r="M963" i="4" s="1"/>
  <c r="K1103" i="4"/>
  <c r="S351" i="2"/>
  <c r="L228" i="2"/>
  <c r="L128" i="2" s="1"/>
  <c r="L325" i="2"/>
  <c r="AB1024" i="4"/>
  <c r="S261" i="4"/>
  <c r="S664" i="4"/>
  <c r="Q351" i="2"/>
  <c r="Q407" i="4"/>
  <c r="S193" i="2" s="1"/>
  <c r="S209" i="2" s="1"/>
  <c r="V1216" i="4"/>
  <c r="L352" i="2"/>
  <c r="R363" i="2"/>
  <c r="R364" i="2"/>
  <c r="M300" i="2"/>
  <c r="M302" i="2" s="1"/>
  <c r="AG1118" i="4"/>
  <c r="M13" i="2"/>
  <c r="M352" i="2"/>
  <c r="S363" i="2"/>
  <c r="AG1159" i="4"/>
  <c r="AC1094" i="4"/>
  <c r="T979" i="4"/>
  <c r="S915" i="4"/>
  <c r="S1144" i="4" s="1"/>
  <c r="S922" i="4" s="1"/>
  <c r="U1024" i="4"/>
  <c r="AC1153" i="4"/>
  <c r="V1024" i="4"/>
  <c r="Y915" i="4"/>
  <c r="Y1144" i="4" s="1"/>
  <c r="Y922" i="4" s="1"/>
  <c r="AD1153" i="4"/>
  <c r="AD1158" i="4"/>
  <c r="U1173" i="4"/>
  <c r="L920" i="4"/>
  <c r="K58" i="10" s="1"/>
  <c r="O923" i="4"/>
  <c r="W1024" i="4"/>
  <c r="AC915" i="4"/>
  <c r="AC1144" i="4" s="1"/>
  <c r="AC922" i="4" s="1"/>
  <c r="AE1153" i="4"/>
  <c r="AE1158" i="4"/>
  <c r="AC1173" i="4"/>
  <c r="L921" i="4"/>
  <c r="W1004" i="4"/>
  <c r="Y1024" i="4"/>
  <c r="Y1004" i="4"/>
  <c r="AF1153" i="4"/>
  <c r="W1064" i="4"/>
  <c r="Z1163" i="4"/>
  <c r="X915" i="4"/>
  <c r="X1144" i="4" s="1"/>
  <c r="X922" i="4" s="1"/>
  <c r="X1158" i="4"/>
  <c r="M921" i="4"/>
  <c r="Z1024" i="4"/>
  <c r="U1004" i="4"/>
  <c r="V1064" i="4"/>
  <c r="AG1069" i="4"/>
  <c r="V1158" i="4"/>
  <c r="U979" i="4"/>
  <c r="W1158" i="4"/>
  <c r="AB1163" i="4"/>
  <c r="N923" i="4"/>
  <c r="AD1004" i="4"/>
  <c r="AA1024" i="4"/>
  <c r="AE1069" i="4"/>
  <c r="AF1069" i="4"/>
  <c r="U1158" i="4"/>
  <c r="X1064" i="4"/>
  <c r="Y1064" i="4"/>
  <c r="AA1163" i="4"/>
  <c r="AG1049" i="4"/>
  <c r="U999" i="4"/>
  <c r="AE1004" i="4"/>
  <c r="AE1009" i="4"/>
  <c r="R1277" i="4"/>
  <c r="R1279" i="4" s="1"/>
  <c r="T99" i="2" s="1"/>
  <c r="T152" i="2" s="1"/>
  <c r="S1278" i="4"/>
  <c r="S1279" i="4" s="1"/>
  <c r="U99" i="2" s="1"/>
  <c r="U152" i="2" s="1"/>
  <c r="J34" i="4"/>
  <c r="J36" i="4"/>
  <c r="J1117" i="4" s="1"/>
  <c r="J35" i="4"/>
  <c r="AF274" i="4"/>
  <c r="AF277" i="4" s="1"/>
  <c r="AD274" i="4"/>
  <c r="AD277" i="4" s="1"/>
  <c r="N920" i="4"/>
  <c r="M58" i="10" s="1"/>
  <c r="N908" i="4"/>
  <c r="N911" i="4" s="1"/>
  <c r="L234" i="2"/>
  <c r="K406" i="4"/>
  <c r="K407" i="4" s="1"/>
  <c r="M193" i="2" s="1"/>
  <c r="O348" i="2"/>
  <c r="O11" i="2"/>
  <c r="L869" i="4"/>
  <c r="N53" i="2" s="1"/>
  <c r="M163" i="2"/>
  <c r="M869" i="4"/>
  <c r="O53" i="2" s="1"/>
  <c r="AC369" i="2"/>
  <c r="AA847" i="4"/>
  <c r="Q188" i="4"/>
  <c r="Q238" i="4" s="1"/>
  <c r="AG261" i="4"/>
  <c r="L12" i="2"/>
  <c r="L360" i="2"/>
  <c r="Z1064" i="4"/>
  <c r="Z1074" i="4"/>
  <c r="U669" i="4"/>
  <c r="W357" i="2" s="1"/>
  <c r="W727" i="4"/>
  <c r="W664" i="4"/>
  <c r="S79" i="2"/>
  <c r="Q178" i="4"/>
  <c r="K869" i="4"/>
  <c r="M53" i="2" s="1"/>
  <c r="P188" i="4"/>
  <c r="P238" i="4" s="1"/>
  <c r="M1101" i="4"/>
  <c r="U664" i="4"/>
  <c r="P923" i="4"/>
  <c r="P921" i="4"/>
  <c r="Y999" i="4"/>
  <c r="V979" i="4"/>
  <c r="R739" i="4"/>
  <c r="Q921" i="4"/>
  <c r="Q923" i="4"/>
  <c r="X999" i="4"/>
  <c r="AC1278" i="4"/>
  <c r="AC1277" i="4"/>
  <c r="AJ374" i="2"/>
  <c r="L80" i="4"/>
  <c r="L1221" i="4" s="1"/>
  <c r="N336" i="2"/>
  <c r="N372" i="2"/>
  <c r="N13" i="2"/>
  <c r="L102" i="4"/>
  <c r="W669" i="4"/>
  <c r="W676" i="4" s="1"/>
  <c r="S979" i="4"/>
  <c r="AC1004" i="4"/>
  <c r="AD1278" i="4"/>
  <c r="AD1277" i="4"/>
  <c r="V1214" i="4"/>
  <c r="V1227" i="4" s="1"/>
  <c r="AI357" i="2"/>
  <c r="AG676" i="4"/>
  <c r="AG682" i="4" s="1"/>
  <c r="T612" i="4"/>
  <c r="X612" i="4"/>
  <c r="W612" i="4"/>
  <c r="S612" i="4"/>
  <c r="AF612" i="4"/>
  <c r="Z612" i="4"/>
  <c r="Y612" i="4"/>
  <c r="J204" i="4"/>
  <c r="J202" i="4" s="1"/>
  <c r="J146" i="4"/>
  <c r="X580" i="4"/>
  <c r="X671" i="4" s="1"/>
  <c r="X678" i="4" s="1"/>
  <c r="T739" i="4"/>
  <c r="AD369" i="2"/>
  <c r="AB847" i="4"/>
  <c r="L1101" i="4"/>
  <c r="R595" i="4"/>
  <c r="S11" i="2"/>
  <c r="S348" i="2"/>
  <c r="P431" i="4"/>
  <c r="P492" i="4" s="1"/>
  <c r="P546" i="4" s="1"/>
  <c r="K1101" i="4"/>
  <c r="AE1278" i="4"/>
  <c r="AE1277" i="4"/>
  <c r="M908" i="4"/>
  <c r="M911" i="4" s="1"/>
  <c r="M920" i="4"/>
  <c r="L58" i="10" s="1"/>
  <c r="AF1278" i="4"/>
  <c r="AF1277" i="4"/>
  <c r="AG1278" i="4"/>
  <c r="W979" i="4"/>
  <c r="Z999" i="4"/>
  <c r="AA1064" i="4"/>
  <c r="S1024" i="4"/>
  <c r="R1024" i="4"/>
  <c r="R1026" i="4" s="1"/>
  <c r="S1023" i="4" s="1"/>
  <c r="AG1024" i="4"/>
  <c r="X1024" i="4"/>
  <c r="AF1024" i="4"/>
  <c r="AE1024" i="4"/>
  <c r="AB1074" i="4"/>
  <c r="O13" i="2"/>
  <c r="J179" i="4"/>
  <c r="T1049" i="4"/>
  <c r="V1094" i="4"/>
  <c r="P705" i="4"/>
  <c r="R38" i="2" s="1"/>
  <c r="R350" i="2" s="1"/>
  <c r="Z979" i="4"/>
  <c r="AD1064" i="4"/>
  <c r="W1094" i="4"/>
  <c r="L197" i="2"/>
  <c r="K169" i="4"/>
  <c r="AD999" i="4"/>
  <c r="U1069" i="4"/>
  <c r="O1215" i="4"/>
  <c r="AG1277" i="4"/>
  <c r="S969" i="4"/>
  <c r="R1049" i="4"/>
  <c r="R1051" i="4" s="1"/>
  <c r="S1048" i="4" s="1"/>
  <c r="AA1074" i="4"/>
  <c r="AG847" i="4"/>
  <c r="AI369" i="2"/>
  <c r="AA999" i="4"/>
  <c r="S1049" i="4"/>
  <c r="AC1074" i="4"/>
  <c r="M76" i="2"/>
  <c r="K179" i="4"/>
  <c r="L549" i="4"/>
  <c r="N23" i="2" s="1"/>
  <c r="AC999" i="4"/>
  <c r="U1049" i="4"/>
  <c r="AD1074" i="4"/>
  <c r="T1118" i="4"/>
  <c r="J938" i="4"/>
  <c r="J196" i="4" s="1"/>
  <c r="J192" i="4" s="1"/>
  <c r="AA979" i="4"/>
  <c r="V1049" i="4"/>
  <c r="AE1064" i="4"/>
  <c r="AE1074" i="4"/>
  <c r="X1094" i="4"/>
  <c r="R1218" i="4"/>
  <c r="R1229" i="4"/>
  <c r="AG277" i="4"/>
  <c r="AD580" i="4"/>
  <c r="AD582" i="4" s="1"/>
  <c r="P664" i="4"/>
  <c r="J958" i="4"/>
  <c r="J960" i="4" s="1"/>
  <c r="J1104" i="4" s="1"/>
  <c r="AC969" i="4"/>
  <c r="AB979" i="4"/>
  <c r="T1004" i="4"/>
  <c r="W1049" i="4"/>
  <c r="AF1064" i="4"/>
  <c r="V1069" i="4"/>
  <c r="AF1074" i="4"/>
  <c r="AB1094" i="4"/>
  <c r="S1218" i="4"/>
  <c r="S1229" i="4"/>
  <c r="S1228" i="4"/>
  <c r="S1227" i="4"/>
  <c r="Q1215" i="4"/>
  <c r="AA1229" i="4"/>
  <c r="L340" i="2"/>
  <c r="L331" i="2"/>
  <c r="M329" i="2"/>
  <c r="M332" i="2" s="1"/>
  <c r="M333" i="2" s="1"/>
  <c r="AA969" i="4"/>
  <c r="V261" i="4"/>
  <c r="P76" i="2"/>
  <c r="N148" i="4"/>
  <c r="R277" i="4"/>
  <c r="AE664" i="4"/>
  <c r="AE580" i="4"/>
  <c r="AE671" i="4" s="1"/>
  <c r="AE678" i="4" s="1"/>
  <c r="K958" i="4"/>
  <c r="K960" i="4" s="1"/>
  <c r="AC979" i="4"/>
  <c r="X1049" i="4"/>
  <c r="W1069" i="4"/>
  <c r="AG1074" i="4"/>
  <c r="R1215" i="4"/>
  <c r="R1230" i="4"/>
  <c r="M340" i="2"/>
  <c r="X1178" i="4"/>
  <c r="W1178" i="4"/>
  <c r="U1178" i="4"/>
  <c r="T1178" i="4"/>
  <c r="T1179" i="4" s="1"/>
  <c r="S1178" i="4"/>
  <c r="AB1004" i="4"/>
  <c r="AG999" i="4"/>
  <c r="AG979" i="4"/>
  <c r="R969" i="4"/>
  <c r="AA1004" i="4"/>
  <c r="AF999" i="4"/>
  <c r="AF979" i="4"/>
  <c r="AG969" i="4"/>
  <c r="Z1004" i="4"/>
  <c r="AE999" i="4"/>
  <c r="AE979" i="4"/>
  <c r="AF1004" i="4"/>
  <c r="X969" i="4"/>
  <c r="S1004" i="4"/>
  <c r="T999" i="4"/>
  <c r="R979" i="4"/>
  <c r="R981" i="4" s="1"/>
  <c r="S978" i="4" s="1"/>
  <c r="Y969" i="4"/>
  <c r="R1004" i="4"/>
  <c r="R1006" i="4" s="1"/>
  <c r="S1003" i="4" s="1"/>
  <c r="S999" i="4"/>
  <c r="W969" i="4"/>
  <c r="R999" i="4"/>
  <c r="R1001" i="4" s="1"/>
  <c r="S998" i="4" s="1"/>
  <c r="V969" i="4"/>
  <c r="U969" i="4"/>
  <c r="AA1094" i="4"/>
  <c r="W1074" i="4"/>
  <c r="AD1069" i="4"/>
  <c r="S1064" i="4"/>
  <c r="AC1049" i="4"/>
  <c r="Z1094" i="4"/>
  <c r="V1074" i="4"/>
  <c r="AC1069" i="4"/>
  <c r="R1064" i="4"/>
  <c r="R1066" i="4" s="1"/>
  <c r="S1063" i="4" s="1"/>
  <c r="AB1049" i="4"/>
  <c r="Y1094" i="4"/>
  <c r="U1074" i="4"/>
  <c r="AB1069" i="4"/>
  <c r="AG1064" i="4"/>
  <c r="AA1049" i="4"/>
  <c r="AG1094" i="4"/>
  <c r="T1094" i="4"/>
  <c r="T1074" i="4"/>
  <c r="T1069" i="4"/>
  <c r="U1064" i="4"/>
  <c r="AF1049" i="4"/>
  <c r="R1094" i="4"/>
  <c r="R1096" i="4" s="1"/>
  <c r="S1093" i="4" s="1"/>
  <c r="AD1049" i="4"/>
  <c r="S1094" i="4"/>
  <c r="S1074" i="4"/>
  <c r="S1069" i="4"/>
  <c r="T1064" i="4"/>
  <c r="AE1049" i="4"/>
  <c r="R1069" i="4"/>
  <c r="R1071" i="4" s="1"/>
  <c r="S1068" i="4" s="1"/>
  <c r="R1074" i="4"/>
  <c r="R1076" i="4" s="1"/>
  <c r="S1073" i="4" s="1"/>
  <c r="Z1049" i="4"/>
  <c r="R261" i="4"/>
  <c r="X979" i="4"/>
  <c r="AB1064" i="4"/>
  <c r="U1094" i="4"/>
  <c r="W1216" i="4"/>
  <c r="Z969" i="4"/>
  <c r="Y979" i="4"/>
  <c r="AB999" i="4"/>
  <c r="AC1064" i="4"/>
  <c r="N169" i="4"/>
  <c r="S277" i="4"/>
  <c r="R192" i="2"/>
  <c r="R273" i="2" s="1"/>
  <c r="AF669" i="4"/>
  <c r="AF683" i="4" s="1"/>
  <c r="AF580" i="4"/>
  <c r="AF671" i="4" s="1"/>
  <c r="AF727" i="4"/>
  <c r="AE969" i="4"/>
  <c r="AD979" i="4"/>
  <c r="V1004" i="4"/>
  <c r="T1024" i="4"/>
  <c r="Y1049" i="4"/>
  <c r="X1069" i="4"/>
  <c r="AD1094" i="4"/>
  <c r="L310" i="2"/>
  <c r="AB466" i="4"/>
  <c r="W466" i="4"/>
  <c r="V466" i="4"/>
  <c r="U466" i="4"/>
  <c r="X1009" i="4"/>
  <c r="W1009" i="4"/>
  <c r="V1009" i="4"/>
  <c r="Y1009" i="4"/>
  <c r="U1009" i="4"/>
  <c r="T1009" i="4"/>
  <c r="S1009" i="4"/>
  <c r="N146" i="4"/>
  <c r="AF1014" i="4"/>
  <c r="AE1014" i="4"/>
  <c r="AD1014" i="4"/>
  <c r="AC1014" i="4"/>
  <c r="AB607" i="4"/>
  <c r="AB608" i="4" s="1"/>
  <c r="W261" i="4"/>
  <c r="Q669" i="4"/>
  <c r="S357" i="2" s="1"/>
  <c r="Q664" i="4"/>
  <c r="AG727" i="4"/>
  <c r="AG664" i="4"/>
  <c r="O869" i="4"/>
  <c r="Q53" i="2" s="1"/>
  <c r="AE369" i="2"/>
  <c r="AC847" i="4"/>
  <c r="L958" i="4"/>
  <c r="L960" i="4" s="1"/>
  <c r="L216" i="4" s="1"/>
  <c r="L212" i="4" s="1"/>
  <c r="R1014" i="4"/>
  <c r="R1016" i="4" s="1"/>
  <c r="S1013" i="4" s="1"/>
  <c r="S352" i="2"/>
  <c r="P364" i="2"/>
  <c r="R360" i="2"/>
  <c r="R12" i="2"/>
  <c r="M141" i="4"/>
  <c r="R152" i="4"/>
  <c r="S152" i="4" s="1"/>
  <c r="T1014" i="4"/>
  <c r="Q363" i="2"/>
  <c r="Q364" i="2"/>
  <c r="L202" i="2"/>
  <c r="M137" i="2" s="1"/>
  <c r="M144" i="2"/>
  <c r="W1168" i="4"/>
  <c r="T1168" i="4"/>
  <c r="T1169" i="4" s="1"/>
  <c r="S1168" i="4"/>
  <c r="R1168" i="4"/>
  <c r="Q549" i="4"/>
  <c r="S23" i="2" s="1"/>
  <c r="S12" i="2"/>
  <c r="S360" i="2"/>
  <c r="N141" i="4"/>
  <c r="Z261" i="4"/>
  <c r="AG580" i="4"/>
  <c r="AG666" i="4" s="1"/>
  <c r="T669" i="4"/>
  <c r="T683" i="4" s="1"/>
  <c r="U1014" i="4"/>
  <c r="R1228" i="4"/>
  <c r="R1227" i="4"/>
  <c r="R1226" i="4"/>
  <c r="AD1173" i="4"/>
  <c r="T1173" i="4"/>
  <c r="T1174" i="4" s="1"/>
  <c r="AB1173" i="4"/>
  <c r="Z1173" i="4"/>
  <c r="Y1173" i="4"/>
  <c r="X1173" i="4"/>
  <c r="K155" i="4"/>
  <c r="AE261" i="4"/>
  <c r="U277" i="4"/>
  <c r="R575" i="4"/>
  <c r="N705" i="4"/>
  <c r="P38" i="2" s="1"/>
  <c r="O920" i="4"/>
  <c r="N58" i="10" s="1"/>
  <c r="O908" i="4"/>
  <c r="O911" i="4" s="1"/>
  <c r="S340" i="2"/>
  <c r="W915" i="4"/>
  <c r="W1144" i="4" s="1"/>
  <c r="W922" i="4" s="1"/>
  <c r="V915" i="4"/>
  <c r="V1144" i="4" s="1"/>
  <c r="V922" i="4" s="1"/>
  <c r="U915" i="4"/>
  <c r="U1144" i="4" s="1"/>
  <c r="U922" i="4" s="1"/>
  <c r="P204" i="4"/>
  <c r="P202" i="4" s="1"/>
  <c r="AF1158" i="4"/>
  <c r="T1163" i="4"/>
  <c r="T1164" i="4" s="1"/>
  <c r="AF597" i="4"/>
  <c r="U597" i="4"/>
  <c r="T597" i="4"/>
  <c r="S597" i="4"/>
  <c r="Q204" i="4"/>
  <c r="Q202" i="4" s="1"/>
  <c r="W1163" i="4"/>
  <c r="V1163" i="4"/>
  <c r="U1163" i="4"/>
  <c r="Y1163" i="4"/>
  <c r="J667" i="4"/>
  <c r="J869" i="4"/>
  <c r="L53" i="2" s="1"/>
  <c r="S1230" i="4"/>
  <c r="N340" i="2"/>
  <c r="W617" i="4"/>
  <c r="W618" i="4" s="1"/>
  <c r="Q192" i="2"/>
  <c r="N549" i="4"/>
  <c r="P23" i="2" s="1"/>
  <c r="T1226" i="4"/>
  <c r="O340" i="2"/>
  <c r="Q352" i="2"/>
  <c r="Q339" i="2"/>
  <c r="R352" i="2"/>
  <c r="R622" i="4"/>
  <c r="M1103" i="4"/>
  <c r="V847" i="4"/>
  <c r="X369" i="2"/>
  <c r="V739" i="4"/>
  <c r="AH611" i="3"/>
  <c r="AG611" i="3"/>
  <c r="AJ611" i="3" s="1"/>
  <c r="AI611" i="3"/>
  <c r="W847" i="4"/>
  <c r="Y369" i="2"/>
  <c r="L1218" i="4"/>
  <c r="L1229" i="4"/>
  <c r="L1230" i="4"/>
  <c r="L1228" i="4"/>
  <c r="L1226" i="4"/>
  <c r="L1227" i="4"/>
  <c r="Z369" i="2"/>
  <c r="X847" i="4"/>
  <c r="AG23" i="3"/>
  <c r="AG109" i="3"/>
  <c r="AG171" i="3"/>
  <c r="S639" i="4"/>
  <c r="S657" i="4" s="1"/>
  <c r="S706" i="4" s="1"/>
  <c r="U39" i="2" s="1"/>
  <c r="T12" i="4"/>
  <c r="O77" i="2"/>
  <c r="M186" i="4"/>
  <c r="M179" i="4"/>
  <c r="P77" i="2"/>
  <c r="N186" i="4"/>
  <c r="N179" i="4"/>
  <c r="T1126" i="4"/>
  <c r="T1130" i="4"/>
  <c r="AG119" i="3"/>
  <c r="AG388" i="3"/>
  <c r="Q77" i="2"/>
  <c r="O186" i="4"/>
  <c r="R153" i="4"/>
  <c r="Y261" i="4"/>
  <c r="AI288" i="3"/>
  <c r="AH288" i="3"/>
  <c r="AF288" i="3"/>
  <c r="AG288" i="3"/>
  <c r="AG407" i="3"/>
  <c r="O50" i="2"/>
  <c r="N269" i="2"/>
  <c r="AG525" i="3"/>
  <c r="T1229" i="4"/>
  <c r="AH331" i="3"/>
  <c r="AG331" i="3"/>
  <c r="AG775" i="3"/>
  <c r="AI118" i="3"/>
  <c r="AH118" i="3"/>
  <c r="AG118" i="3"/>
  <c r="K180" i="8"/>
  <c r="K52" i="8"/>
  <c r="M4" i="4"/>
  <c r="L24" i="4"/>
  <c r="L26" i="4" s="1"/>
  <c r="L36" i="4" s="1"/>
  <c r="X739" i="4"/>
  <c r="J501" i="4"/>
  <c r="J550" i="4" s="1"/>
  <c r="L24" i="2" s="1"/>
  <c r="AH800" i="3"/>
  <c r="M12" i="2"/>
  <c r="M360" i="2"/>
  <c r="M169" i="4"/>
  <c r="AG83" i="3"/>
  <c r="AG342" i="3"/>
  <c r="AH342" i="3"/>
  <c r="N12" i="2"/>
  <c r="N360" i="2"/>
  <c r="X215" i="2"/>
  <c r="Y215" i="2" s="1"/>
  <c r="Z215" i="2" s="1"/>
  <c r="AA215" i="2" s="1"/>
  <c r="AB215" i="2" s="1"/>
  <c r="AC215" i="2" s="1"/>
  <c r="AD215" i="2" s="1"/>
  <c r="AE215" i="2" s="1"/>
  <c r="AF215" i="2" s="1"/>
  <c r="AG215" i="2" s="1"/>
  <c r="AH215" i="2" s="1"/>
  <c r="AI215" i="2" s="1"/>
  <c r="K215" i="2"/>
  <c r="AE277" i="4"/>
  <c r="O12" i="2"/>
  <c r="O360" i="2"/>
  <c r="R374" i="2"/>
  <c r="M128" i="2"/>
  <c r="AF23" i="3"/>
  <c r="AJ363" i="3"/>
  <c r="AB274" i="4"/>
  <c r="AG148" i="3"/>
  <c r="AI148" i="3"/>
  <c r="AJ148" i="3" s="1"/>
  <c r="AH148" i="3"/>
  <c r="AG227" i="3"/>
  <c r="Y669" i="4"/>
  <c r="Y727" i="4"/>
  <c r="Y580" i="4"/>
  <c r="Y664" i="4"/>
  <c r="AH123" i="3"/>
  <c r="AG123" i="3"/>
  <c r="O141" i="4"/>
  <c r="AG294" i="3"/>
  <c r="M348" i="2"/>
  <c r="M11" i="2"/>
  <c r="R13" i="2"/>
  <c r="R372" i="2"/>
  <c r="N348" i="2"/>
  <c r="N11" i="2"/>
  <c r="M178" i="4"/>
  <c r="M102" i="4"/>
  <c r="P72" i="4"/>
  <c r="T580" i="4"/>
  <c r="M50" i="2"/>
  <c r="AH21" i="3"/>
  <c r="AG21" i="3"/>
  <c r="AF76" i="3"/>
  <c r="AG86" i="3"/>
  <c r="AH251" i="3"/>
  <c r="AG251" i="3"/>
  <c r="AF367" i="3"/>
  <c r="AH367" i="3"/>
  <c r="AG367" i="3"/>
  <c r="AH632" i="3"/>
  <c r="AG632" i="3"/>
  <c r="AI632" i="3"/>
  <c r="N50" i="2"/>
  <c r="L158" i="2"/>
  <c r="AF21" i="3"/>
  <c r="AH80" i="3"/>
  <c r="AG80" i="3"/>
  <c r="AG111" i="3"/>
  <c r="AG144" i="3"/>
  <c r="AI144" i="3" s="1"/>
  <c r="AK144" i="3" s="1"/>
  <c r="AH144" i="3"/>
  <c r="AJ144" i="3" s="1"/>
  <c r="M177" i="4"/>
  <c r="L66" i="2"/>
  <c r="AG347" i="3"/>
  <c r="AF347" i="3"/>
  <c r="R639" i="4"/>
  <c r="R657" i="4" s="1"/>
  <c r="R706" i="4" s="1"/>
  <c r="T39" i="2" s="1"/>
  <c r="AG84" i="3"/>
  <c r="AJ84" i="3"/>
  <c r="AI84" i="3"/>
  <c r="AH84" i="3"/>
  <c r="AG515" i="3"/>
  <c r="U190" i="2"/>
  <c r="U145" i="2" s="1"/>
  <c r="T188" i="2"/>
  <c r="X246" i="2"/>
  <c r="Y246" i="2" s="1"/>
  <c r="Z246" i="2" s="1"/>
  <c r="AA246" i="2" s="1"/>
  <c r="AB246" i="2" s="1"/>
  <c r="AC246" i="2" s="1"/>
  <c r="AD246" i="2" s="1"/>
  <c r="AE246" i="2" s="1"/>
  <c r="AF246" i="2" s="1"/>
  <c r="AG246" i="2" s="1"/>
  <c r="AH246" i="2" s="1"/>
  <c r="AI246" i="2" s="1"/>
  <c r="K246" i="2"/>
  <c r="AF15" i="3"/>
  <c r="N84" i="2"/>
  <c r="L179" i="4"/>
  <c r="AG308" i="3"/>
  <c r="S372" i="2"/>
  <c r="S13" i="2"/>
  <c r="AH8" i="3"/>
  <c r="AG76" i="3"/>
  <c r="AJ76" i="3"/>
  <c r="AI76" i="3"/>
  <c r="AH76" i="3"/>
  <c r="AF308" i="3"/>
  <c r="AG733" i="3"/>
  <c r="AF733" i="3"/>
  <c r="O102" i="4"/>
  <c r="O117" i="4" s="1"/>
  <c r="O142" i="4" s="1"/>
  <c r="L431" i="4"/>
  <c r="L492" i="4" s="1"/>
  <c r="AI44" i="3"/>
  <c r="AH44" i="3"/>
  <c r="AG44" i="3"/>
  <c r="AG67" i="3"/>
  <c r="AH67" i="3" s="1"/>
  <c r="AF67" i="3"/>
  <c r="AH72" i="3"/>
  <c r="AG72" i="3"/>
  <c r="AG182" i="3"/>
  <c r="AG344" i="3"/>
  <c r="AH484" i="3"/>
  <c r="AI484" i="3" s="1"/>
  <c r="AG484" i="3"/>
  <c r="AI138" i="3"/>
  <c r="AJ138" i="3"/>
  <c r="AH138" i="3"/>
  <c r="N177" i="4"/>
  <c r="AH65" i="3"/>
  <c r="N66" i="2"/>
  <c r="X261" i="2"/>
  <c r="Y261" i="2" s="1"/>
  <c r="Z261" i="2" s="1"/>
  <c r="AA261" i="2" s="1"/>
  <c r="AB261" i="2" s="1"/>
  <c r="AC261" i="2" s="1"/>
  <c r="AD261" i="2" s="1"/>
  <c r="AE261" i="2" s="1"/>
  <c r="AF261" i="2" s="1"/>
  <c r="AG261" i="2" s="1"/>
  <c r="AH261" i="2" s="1"/>
  <c r="AI261" i="2" s="1"/>
  <c r="K261" i="2"/>
  <c r="AG75" i="3"/>
  <c r="N127" i="2"/>
  <c r="O136" i="2"/>
  <c r="R188" i="2"/>
  <c r="S145" i="2"/>
  <c r="AX36" i="3"/>
  <c r="AG325" i="3"/>
  <c r="AF325" i="3"/>
  <c r="AG354" i="3"/>
  <c r="AF354" i="3"/>
  <c r="AG489" i="3"/>
  <c r="AH569" i="3"/>
  <c r="N431" i="4"/>
  <c r="N492" i="4" s="1"/>
  <c r="N866" i="4"/>
  <c r="L911" i="4"/>
  <c r="T101" i="2"/>
  <c r="K105" i="2"/>
  <c r="I105" i="2" s="1"/>
  <c r="K115" i="2"/>
  <c r="AI265" i="3"/>
  <c r="AJ265" i="3"/>
  <c r="AG265" i="3"/>
  <c r="AH265" i="3"/>
  <c r="AI405" i="3"/>
  <c r="AH405" i="3"/>
  <c r="AG405" i="3"/>
  <c r="AH205" i="3"/>
  <c r="AI205" i="3"/>
  <c r="AJ205" i="3" s="1"/>
  <c r="AG205" i="3"/>
  <c r="N80" i="4"/>
  <c r="P117" i="4"/>
  <c r="P137" i="4" s="1"/>
  <c r="L169" i="4"/>
  <c r="N82" i="2"/>
  <c r="N123" i="2" s="1"/>
  <c r="AG208" i="3"/>
  <c r="AF208" i="3"/>
  <c r="K669" i="4"/>
  <c r="M357" i="2" s="1"/>
  <c r="K664" i="4"/>
  <c r="N1228" i="4"/>
  <c r="N1218" i="4"/>
  <c r="P363" i="2"/>
  <c r="L78" i="2"/>
  <c r="J188" i="4"/>
  <c r="J238" i="4" s="1"/>
  <c r="P170" i="2"/>
  <c r="Q329" i="2"/>
  <c r="P331" i="2"/>
  <c r="P250" i="2"/>
  <c r="P253" i="2" s="1"/>
  <c r="AF26" i="3"/>
  <c r="AH26" i="3"/>
  <c r="AG26" i="3"/>
  <c r="AW40" i="3"/>
  <c r="AG254" i="3"/>
  <c r="AI503" i="3"/>
  <c r="AH503" i="3"/>
  <c r="AG663" i="3"/>
  <c r="AH769" i="3"/>
  <c r="AF9" i="3"/>
  <c r="AH226" i="3"/>
  <c r="AG226" i="3"/>
  <c r="AG319" i="3"/>
  <c r="AF319" i="3"/>
  <c r="AH319" i="3"/>
  <c r="Q705" i="4"/>
  <c r="S38" i="2" s="1"/>
  <c r="O866" i="4"/>
  <c r="M139" i="2"/>
  <c r="Q348" i="2"/>
  <c r="O80" i="4"/>
  <c r="Q11" i="2"/>
  <c r="Q102" i="4"/>
  <c r="Q117" i="4" s="1"/>
  <c r="Q177" i="4"/>
  <c r="R77" i="2"/>
  <c r="P179" i="4"/>
  <c r="J187" i="4"/>
  <c r="J235" i="4" s="1"/>
  <c r="J644" i="4" s="1"/>
  <c r="J661" i="4" s="1"/>
  <c r="AB261" i="4"/>
  <c r="Z739" i="4"/>
  <c r="AH29" i="3"/>
  <c r="AG404" i="3"/>
  <c r="AD1123" i="4"/>
  <c r="AW36" i="3"/>
  <c r="AH125" i="3"/>
  <c r="AG125" i="3"/>
  <c r="AG238" i="3"/>
  <c r="AF314" i="3"/>
  <c r="AH457" i="3"/>
  <c r="AG457" i="3"/>
  <c r="AG691" i="3"/>
  <c r="AJ691" i="3"/>
  <c r="AI691" i="3"/>
  <c r="O82" i="2"/>
  <c r="O123" i="2" s="1"/>
  <c r="M669" i="4"/>
  <c r="O357" i="2" s="1"/>
  <c r="M664" i="4"/>
  <c r="AG45" i="3"/>
  <c r="AG52" i="3"/>
  <c r="AG155" i="3"/>
  <c r="AH191" i="3"/>
  <c r="AK303" i="3"/>
  <c r="AJ303" i="3"/>
  <c r="AG398" i="3"/>
  <c r="J87" i="10"/>
  <c r="J79" i="10"/>
  <c r="J91" i="10"/>
  <c r="J95" i="10"/>
  <c r="J71" i="10"/>
  <c r="J83" i="10"/>
  <c r="J75" i="10"/>
  <c r="K756" i="4"/>
  <c r="K791" i="4"/>
  <c r="K828" i="4"/>
  <c r="K745" i="4"/>
  <c r="K781" i="4"/>
  <c r="Y1230" i="4"/>
  <c r="Z1229" i="4"/>
  <c r="Z1227" i="4"/>
  <c r="Z1230" i="4"/>
  <c r="Z1228" i="4"/>
  <c r="P352" i="2"/>
  <c r="AG16" i="3"/>
  <c r="AF16" i="3"/>
  <c r="AG29" i="3"/>
  <c r="AG147" i="3"/>
  <c r="AI147" i="3"/>
  <c r="AH147" i="3"/>
  <c r="AH282" i="3"/>
  <c r="AG282" i="3"/>
  <c r="AG467" i="3"/>
  <c r="AH566" i="3"/>
  <c r="AH803" i="3"/>
  <c r="J702" i="4"/>
  <c r="J866" i="4"/>
  <c r="R1084" i="4"/>
  <c r="R1086" i="4" s="1"/>
  <c r="S1083" i="4" s="1"/>
  <c r="AG34" i="3"/>
  <c r="AG376" i="3"/>
  <c r="AH376" i="3"/>
  <c r="AG419" i="3"/>
  <c r="AH419" i="3" s="1"/>
  <c r="AG512" i="3"/>
  <c r="S10" i="4"/>
  <c r="L87" i="10"/>
  <c r="L95" i="10"/>
  <c r="L91" i="10"/>
  <c r="L79" i="10"/>
  <c r="L71" i="10"/>
  <c r="L75" i="10"/>
  <c r="L83" i="10"/>
  <c r="M791" i="4"/>
  <c r="M828" i="4"/>
  <c r="M745" i="4"/>
  <c r="M771" i="4"/>
  <c r="M781" i="4"/>
  <c r="M374" i="2"/>
  <c r="L269" i="2"/>
  <c r="AF65" i="3"/>
  <c r="AH352" i="3"/>
  <c r="AG352" i="3"/>
  <c r="AH372" i="3"/>
  <c r="AH479" i="3"/>
  <c r="AH755" i="3"/>
  <c r="AG755" i="3"/>
  <c r="AG895" i="3"/>
  <c r="AH895" i="3"/>
  <c r="AG975" i="3"/>
  <c r="AH975" i="3" s="1"/>
  <c r="K24" i="4"/>
  <c r="K26" i="4" s="1"/>
  <c r="K36" i="4" s="1"/>
  <c r="J117" i="4"/>
  <c r="J137" i="4" s="1"/>
  <c r="J407" i="4"/>
  <c r="L193" i="2" s="1"/>
  <c r="L192" i="2" s="1"/>
  <c r="N374" i="2"/>
  <c r="L1215" i="4"/>
  <c r="AE1230" i="4"/>
  <c r="N78" i="2"/>
  <c r="O111" i="2"/>
  <c r="O151" i="2" s="1"/>
  <c r="X233" i="2"/>
  <c r="Y233" i="2" s="1"/>
  <c r="Z233" i="2" s="1"/>
  <c r="AA233" i="2" s="1"/>
  <c r="AB233" i="2" s="1"/>
  <c r="AC233" i="2" s="1"/>
  <c r="AD233" i="2" s="1"/>
  <c r="AE233" i="2" s="1"/>
  <c r="AF233" i="2" s="1"/>
  <c r="AG233" i="2" s="1"/>
  <c r="AH233" i="2" s="1"/>
  <c r="AI233" i="2" s="1"/>
  <c r="U243" i="2"/>
  <c r="AF17" i="3"/>
  <c r="AL32" i="3"/>
  <c r="AH48" i="3"/>
  <c r="AI142" i="3"/>
  <c r="AJ173" i="3"/>
  <c r="AG210" i="3"/>
  <c r="AH210" i="3"/>
  <c r="AG228" i="3"/>
  <c r="AJ228" i="3"/>
  <c r="AL228" i="3" s="1"/>
  <c r="AI228" i="3"/>
  <c r="AK228" i="3"/>
  <c r="AH228" i="3"/>
  <c r="AH246" i="3"/>
  <c r="AG252" i="3"/>
  <c r="AH252" i="3"/>
  <c r="AF252" i="3"/>
  <c r="AG318" i="3"/>
  <c r="AF318" i="3"/>
  <c r="AI320" i="3"/>
  <c r="AJ320" i="3" s="1"/>
  <c r="AG334" i="3"/>
  <c r="AH366" i="3"/>
  <c r="AF366" i="3"/>
  <c r="AF479" i="3"/>
  <c r="AG762" i="3"/>
  <c r="AF895" i="3"/>
  <c r="AG1018" i="3"/>
  <c r="M48" i="4"/>
  <c r="K102" i="4"/>
  <c r="K141" i="4"/>
  <c r="J141" i="4"/>
  <c r="AA261" i="4"/>
  <c r="J669" i="4"/>
  <c r="L357" i="2" s="1"/>
  <c r="N87" i="10"/>
  <c r="N95" i="10"/>
  <c r="N75" i="10"/>
  <c r="N71" i="10"/>
  <c r="N91" i="10"/>
  <c r="N79" i="10"/>
  <c r="N83" i="10"/>
  <c r="O828" i="4"/>
  <c r="O745" i="4"/>
  <c r="O771" i="4"/>
  <c r="O781" i="4"/>
  <c r="M1229" i="4"/>
  <c r="M1227" i="4"/>
  <c r="M1216" i="4"/>
  <c r="M1213" i="4"/>
  <c r="M1215" i="4" s="1"/>
  <c r="M1226" i="4"/>
  <c r="M1230" i="4"/>
  <c r="M1228" i="4"/>
  <c r="AC1229" i="4"/>
  <c r="AC1227" i="4"/>
  <c r="AC1216" i="4"/>
  <c r="AC1228" i="4"/>
  <c r="AC1226" i="4"/>
  <c r="AC1230" i="4"/>
  <c r="AC1213" i="4"/>
  <c r="AC1215" i="4" s="1"/>
  <c r="AD1228" i="4"/>
  <c r="AF1230" i="4"/>
  <c r="W1277" i="4"/>
  <c r="W1279" i="4" s="1"/>
  <c r="Y99" i="2" s="1"/>
  <c r="N5" i="2"/>
  <c r="N275" i="2"/>
  <c r="N276" i="2"/>
  <c r="N287" i="2"/>
  <c r="N278" i="2"/>
  <c r="K153" i="2"/>
  <c r="AJ167" i="2"/>
  <c r="X303" i="2"/>
  <c r="R209" i="2"/>
  <c r="R147" i="2"/>
  <c r="Q231" i="2"/>
  <c r="L250" i="2"/>
  <c r="AG7" i="3"/>
  <c r="AW38" i="3"/>
  <c r="AX38" i="3" s="1"/>
  <c r="AF102" i="3"/>
  <c r="AI112" i="3"/>
  <c r="AH142" i="3"/>
  <c r="AI165" i="3"/>
  <c r="AH168" i="3"/>
  <c r="AG168" i="3"/>
  <c r="AW194" i="3"/>
  <c r="AX194" i="3" s="1"/>
  <c r="AH195" i="3"/>
  <c r="AG195" i="3"/>
  <c r="AW200" i="3"/>
  <c r="AX200" i="3" s="1"/>
  <c r="AH290" i="3"/>
  <c r="AH306" i="3"/>
  <c r="AH339" i="3"/>
  <c r="AG353" i="3"/>
  <c r="AI359" i="3"/>
  <c r="AF359" i="3"/>
  <c r="AH359" i="3"/>
  <c r="AJ359" i="3" s="1"/>
  <c r="AJ396" i="3"/>
  <c r="AI396" i="3"/>
  <c r="AH446" i="3"/>
  <c r="AG446" i="3"/>
  <c r="AG459" i="3"/>
  <c r="AH618" i="3"/>
  <c r="AI618" i="3"/>
  <c r="AG618" i="3"/>
  <c r="AJ660" i="3"/>
  <c r="AF800" i="3"/>
  <c r="AG813" i="3"/>
  <c r="AF813" i="3"/>
  <c r="AH864" i="3"/>
  <c r="AG864" i="3"/>
  <c r="AJ928" i="3"/>
  <c r="AI928" i="3"/>
  <c r="AF975" i="3"/>
  <c r="AG1048" i="3"/>
  <c r="AH106" i="3"/>
  <c r="AG776" i="3"/>
  <c r="Z669" i="4"/>
  <c r="Z664" i="4"/>
  <c r="O282" i="2"/>
  <c r="AF138" i="3"/>
  <c r="AG276" i="3"/>
  <c r="AI276" i="3"/>
  <c r="AH276" i="3"/>
  <c r="AH425" i="3"/>
  <c r="AI640" i="3"/>
  <c r="AA669" i="4"/>
  <c r="AA580" i="4"/>
  <c r="AA582" i="4" s="1"/>
  <c r="AA727" i="4"/>
  <c r="AA664" i="4"/>
  <c r="K43" i="2"/>
  <c r="I43" i="2" s="1"/>
  <c r="M310" i="2"/>
  <c r="N143" i="2"/>
  <c r="AJ42" i="3"/>
  <c r="AG167" i="3"/>
  <c r="AG175" i="3"/>
  <c r="AH314" i="3"/>
  <c r="AG486" i="3"/>
  <c r="Q431" i="4"/>
  <c r="Q492" i="4" s="1"/>
  <c r="L669" i="4"/>
  <c r="N357" i="2" s="1"/>
  <c r="L664" i="4"/>
  <c r="AA739" i="4"/>
  <c r="Q374" i="2"/>
  <c r="U1227" i="4"/>
  <c r="AG235" i="3"/>
  <c r="AG595" i="3"/>
  <c r="AH595" i="3"/>
  <c r="AI595" i="3" s="1"/>
  <c r="AF898" i="3"/>
  <c r="AG898" i="3"/>
  <c r="AI898" i="3"/>
  <c r="AG1069" i="3"/>
  <c r="AH1069" i="3" s="1"/>
  <c r="S336" i="2"/>
  <c r="Q67" i="4"/>
  <c r="Q80" i="4"/>
  <c r="N79" i="2"/>
  <c r="L187" i="4"/>
  <c r="L234" i="4" s="1"/>
  <c r="L488" i="4" s="1"/>
  <c r="L505" i="4" s="1"/>
  <c r="Y1218" i="4"/>
  <c r="Y1229" i="4"/>
  <c r="Y1227" i="4"/>
  <c r="K200" i="2"/>
  <c r="X200" i="2"/>
  <c r="Y200" i="2" s="1"/>
  <c r="Z200" i="2" s="1"/>
  <c r="AA200" i="2" s="1"/>
  <c r="AB200" i="2" s="1"/>
  <c r="AC200" i="2" s="1"/>
  <c r="AD200" i="2" s="1"/>
  <c r="AE200" i="2" s="1"/>
  <c r="AF200" i="2" s="1"/>
  <c r="AG200" i="2" s="1"/>
  <c r="AH200" i="2" s="1"/>
  <c r="AI200" i="2" s="1"/>
  <c r="AH37" i="3"/>
  <c r="AG37" i="3"/>
  <c r="AH326" i="3"/>
  <c r="AK483" i="3"/>
  <c r="AL483" i="3" s="1"/>
  <c r="AJ483" i="3"/>
  <c r="AI483" i="3"/>
  <c r="AH483" i="3"/>
  <c r="AG599" i="3"/>
  <c r="AH599" i="3"/>
  <c r="AH1198" i="3"/>
  <c r="AG1198" i="3"/>
  <c r="AF1198" i="3"/>
  <c r="Q1228" i="4"/>
  <c r="Q1218" i="4"/>
  <c r="AI50" i="3"/>
  <c r="AH175" i="3"/>
  <c r="AH285" i="3"/>
  <c r="AG769" i="3"/>
  <c r="AH898" i="3"/>
  <c r="R1089" i="4"/>
  <c r="R1091" i="4" s="1"/>
  <c r="S1088" i="4" s="1"/>
  <c r="R1079" i="4"/>
  <c r="R1081" i="4" s="1"/>
  <c r="S1078" i="4" s="1"/>
  <c r="R1059" i="4"/>
  <c r="R1061" i="4" s="1"/>
  <c r="S1058" i="4" s="1"/>
  <c r="R1039" i="4"/>
  <c r="R1041" i="4" s="1"/>
  <c r="S1038" i="4" s="1"/>
  <c r="R1029" i="4"/>
  <c r="R1031" i="4" s="1"/>
  <c r="S1028" i="4" s="1"/>
  <c r="R1019" i="4"/>
  <c r="R1021" i="4" s="1"/>
  <c r="S1018" i="4" s="1"/>
  <c r="R989" i="4"/>
  <c r="R991" i="4" s="1"/>
  <c r="S988" i="4" s="1"/>
  <c r="R759" i="4"/>
  <c r="R656" i="4"/>
  <c r="M188" i="4"/>
  <c r="M238" i="4" s="1"/>
  <c r="X261" i="4"/>
  <c r="K87" i="10"/>
  <c r="K79" i="10"/>
  <c r="K91" i="10"/>
  <c r="K95" i="10"/>
  <c r="K71" i="10"/>
  <c r="K75" i="10"/>
  <c r="K83" i="10"/>
  <c r="L791" i="4"/>
  <c r="L828" i="4"/>
  <c r="L745" i="4"/>
  <c r="L756" i="4"/>
  <c r="L781" i="4"/>
  <c r="AG30" i="3"/>
  <c r="AG107" i="3"/>
  <c r="AG522" i="3"/>
  <c r="K48" i="4"/>
  <c r="R134" i="4"/>
  <c r="AE1116" i="4"/>
  <c r="AE1143" i="4"/>
  <c r="P360" i="2"/>
  <c r="AF34" i="3"/>
  <c r="AI518" i="3"/>
  <c r="AJ518" i="3" s="1"/>
  <c r="AH518" i="3"/>
  <c r="AG518" i="3"/>
  <c r="J180" i="8"/>
  <c r="J52" i="8"/>
  <c r="Q88" i="8"/>
  <c r="L76" i="2"/>
  <c r="J148" i="4"/>
  <c r="J186" i="4"/>
  <c r="J178" i="4"/>
  <c r="P549" i="4"/>
  <c r="R23" i="2" s="1"/>
  <c r="S35" i="2"/>
  <c r="L702" i="4"/>
  <c r="O704" i="4"/>
  <c r="T369" i="2"/>
  <c r="R847" i="4"/>
  <c r="R840" i="4"/>
  <c r="R984" i="4"/>
  <c r="R986" i="4" s="1"/>
  <c r="S983" i="4" s="1"/>
  <c r="R1034" i="4"/>
  <c r="R1036" i="4" s="1"/>
  <c r="S1033" i="4" s="1"/>
  <c r="N1226" i="4"/>
  <c r="X1277" i="4"/>
  <c r="X1278" i="4"/>
  <c r="K15" i="2"/>
  <c r="I15" i="2" s="1"/>
  <c r="Q14" i="2"/>
  <c r="O135" i="2"/>
  <c r="K116" i="2"/>
  <c r="AJ174" i="2"/>
  <c r="R128" i="2"/>
  <c r="R231" i="2"/>
  <c r="AE1392" i="3"/>
  <c r="AF7" i="3"/>
  <c r="AG14" i="3"/>
  <c r="AG46" i="3"/>
  <c r="AG88" i="3"/>
  <c r="AG105" i="3"/>
  <c r="AJ112" i="3"/>
  <c r="AX189" i="3"/>
  <c r="AI321" i="3"/>
  <c r="AG324" i="3"/>
  <c r="AH324" i="3"/>
  <c r="AF334" i="3"/>
  <c r="AG337" i="3"/>
  <c r="AF337" i="3"/>
  <c r="AG366" i="3"/>
  <c r="AJ427" i="3"/>
  <c r="AI427" i="3"/>
  <c r="AH427" i="3"/>
  <c r="AG427" i="3"/>
  <c r="AH476" i="3"/>
  <c r="AG476" i="3"/>
  <c r="AG202" i="3"/>
  <c r="AG322" i="3"/>
  <c r="P11" i="2"/>
  <c r="P348" i="2"/>
  <c r="N958" i="4"/>
  <c r="N960" i="4" s="1"/>
  <c r="AG220" i="3"/>
  <c r="AH220" i="3"/>
  <c r="AH361" i="3"/>
  <c r="AG867" i="3"/>
  <c r="AJ1355" i="3"/>
  <c r="AH1355" i="3"/>
  <c r="AI1355" i="3"/>
  <c r="P866" i="4"/>
  <c r="P374" i="2"/>
  <c r="AG9" i="3"/>
  <c r="AG172" i="3"/>
  <c r="AI172" i="3"/>
  <c r="AI425" i="3"/>
  <c r="AG678" i="3"/>
  <c r="AI678" i="3"/>
  <c r="AH678" i="3"/>
  <c r="AF893" i="3"/>
  <c r="AG893" i="3"/>
  <c r="R336" i="2"/>
  <c r="P80" i="4"/>
  <c r="AB669" i="4"/>
  <c r="AB664" i="4"/>
  <c r="AB727" i="4"/>
  <c r="K921" i="4"/>
  <c r="K923" i="4"/>
  <c r="AE1218" i="4"/>
  <c r="AE1226" i="4"/>
  <c r="AG73" i="3"/>
  <c r="AH73" i="3"/>
  <c r="AI73" i="3" s="1"/>
  <c r="AF73" i="3"/>
  <c r="AH150" i="3"/>
  <c r="AG150" i="3"/>
  <c r="AG603" i="3"/>
  <c r="AH603" i="3"/>
  <c r="AI603" i="3" s="1"/>
  <c r="AC669" i="4"/>
  <c r="AC727" i="4"/>
  <c r="AC664" i="4"/>
  <c r="S374" i="2"/>
  <c r="X1230" i="4"/>
  <c r="V198" i="2"/>
  <c r="AI13" i="3"/>
  <c r="AG188" i="3"/>
  <c r="AG375" i="3"/>
  <c r="AG1218" i="4"/>
  <c r="AG1226" i="4"/>
  <c r="Q1230" i="4"/>
  <c r="L152" i="2"/>
  <c r="U199" i="2"/>
  <c r="S154" i="2"/>
  <c r="S252" i="2"/>
  <c r="T251" i="2"/>
  <c r="AG136" i="3"/>
  <c r="AG158" i="3"/>
  <c r="AH494" i="3"/>
  <c r="AG494" i="3"/>
  <c r="AG765" i="3"/>
  <c r="AF765" i="3"/>
  <c r="O169" i="4"/>
  <c r="Q82" i="2"/>
  <c r="Q123" i="2" s="1"/>
  <c r="Q869" i="4"/>
  <c r="S53" i="2" s="1"/>
  <c r="S362" i="2" s="1"/>
  <c r="AG17" i="3"/>
  <c r="AH17" i="3"/>
  <c r="AF257" i="3"/>
  <c r="AG257" i="3"/>
  <c r="AI336" i="3"/>
  <c r="AJ336" i="3" s="1"/>
  <c r="AH1369" i="3"/>
  <c r="AG1369" i="3"/>
  <c r="N188" i="4"/>
  <c r="N238" i="4" s="1"/>
  <c r="J549" i="4"/>
  <c r="L23" i="2" s="1"/>
  <c r="R1054" i="4"/>
  <c r="R1056" i="4" s="1"/>
  <c r="S1053" i="4" s="1"/>
  <c r="AD1230" i="4"/>
  <c r="U1277" i="4"/>
  <c r="U1279" i="4" s="1"/>
  <c r="W99" i="2" s="1"/>
  <c r="N111" i="2"/>
  <c r="N151" i="2" s="1"/>
  <c r="J155" i="4"/>
  <c r="O155" i="4"/>
  <c r="Q78" i="2"/>
  <c r="O188" i="4"/>
  <c r="O238" i="4" s="1"/>
  <c r="S82" i="2"/>
  <c r="S123" i="2" s="1"/>
  <c r="Q169" i="4"/>
  <c r="M155" i="4"/>
  <c r="L178" i="4"/>
  <c r="U261" i="4"/>
  <c r="X274" i="4"/>
  <c r="I73" i="10"/>
  <c r="Z580" i="4"/>
  <c r="Z582" i="4" s="1"/>
  <c r="O35" i="2"/>
  <c r="P91" i="10"/>
  <c r="P95" i="10"/>
  <c r="P75" i="10"/>
  <c r="P71" i="10"/>
  <c r="P79" i="10"/>
  <c r="P87" i="10"/>
  <c r="P83" i="10"/>
  <c r="Q771" i="4"/>
  <c r="Q781" i="4"/>
  <c r="Q745" i="4"/>
  <c r="Q828" i="4"/>
  <c r="K771" i="4"/>
  <c r="U369" i="2"/>
  <c r="S847" i="4"/>
  <c r="T922" i="4"/>
  <c r="O1230" i="4"/>
  <c r="W1218" i="4"/>
  <c r="W1229" i="4"/>
  <c r="W1227" i="4"/>
  <c r="AG1228" i="4"/>
  <c r="Y1277" i="4"/>
  <c r="Y1278" i="4"/>
  <c r="R111" i="2"/>
  <c r="R151" i="2" s="1"/>
  <c r="T208" i="2"/>
  <c r="T147" i="2" s="1"/>
  <c r="S128" i="2"/>
  <c r="S148" i="2"/>
  <c r="L301" i="2"/>
  <c r="AI12" i="3"/>
  <c r="AG49" i="3"/>
  <c r="AI95" i="3"/>
  <c r="AG151" i="3"/>
  <c r="AG222" i="3"/>
  <c r="AH249" i="3"/>
  <c r="AI258" i="3"/>
  <c r="AH258" i="3"/>
  <c r="AJ258" i="3"/>
  <c r="AG297" i="3"/>
  <c r="AF321" i="3"/>
  <c r="AH420" i="3"/>
  <c r="AG575" i="3"/>
  <c r="AH575" i="3"/>
  <c r="P1226" i="4"/>
  <c r="L13" i="2"/>
  <c r="S111" i="2"/>
  <c r="S151" i="2" s="1"/>
  <c r="AG177" i="2"/>
  <c r="R301" i="2"/>
  <c r="S300" i="2"/>
  <c r="R225" i="2"/>
  <c r="M256" i="2"/>
  <c r="K259" i="2"/>
  <c r="X259" i="2"/>
  <c r="Y259" i="2" s="1"/>
  <c r="Z259" i="2" s="1"/>
  <c r="AA259" i="2" s="1"/>
  <c r="AB259" i="2" s="1"/>
  <c r="AC259" i="2" s="1"/>
  <c r="AD259" i="2" s="1"/>
  <c r="AE259" i="2" s="1"/>
  <c r="AF259" i="2" s="1"/>
  <c r="AG259" i="2" s="1"/>
  <c r="AH259" i="2" s="1"/>
  <c r="AI259" i="2" s="1"/>
  <c r="AI8" i="3"/>
  <c r="AG140" i="3"/>
  <c r="AG154" i="3"/>
  <c r="AH154" i="3"/>
  <c r="AG190" i="3"/>
  <c r="AL271" i="3"/>
  <c r="AK271" i="3"/>
  <c r="AG287" i="3"/>
  <c r="AG350" i="3"/>
  <c r="AF350" i="3"/>
  <c r="AW393" i="3"/>
  <c r="AX393" i="3" s="1"/>
  <c r="AH439" i="3"/>
  <c r="AI455" i="3"/>
  <c r="AG510" i="3"/>
  <c r="AH510" i="3"/>
  <c r="AX40" i="3"/>
  <c r="AF72" i="3"/>
  <c r="AG954" i="3"/>
  <c r="AF954" i="3"/>
  <c r="L82" i="2"/>
  <c r="J169" i="4"/>
  <c r="L177" i="4"/>
  <c r="Y739" i="4"/>
  <c r="AA369" i="2"/>
  <c r="Y847" i="4"/>
  <c r="U1229" i="4"/>
  <c r="AG141" i="3"/>
  <c r="AH169" i="3"/>
  <c r="AG473" i="3"/>
  <c r="AF473" i="3"/>
  <c r="AG1128" i="3"/>
  <c r="AH1128" i="3"/>
  <c r="M82" i="2"/>
  <c r="M123" i="2" s="1"/>
  <c r="J738" i="4"/>
  <c r="J739" i="4" s="1"/>
  <c r="O958" i="4"/>
  <c r="O960" i="4" s="1"/>
  <c r="O250" i="2"/>
  <c r="O295" i="2" s="1"/>
  <c r="AF276" i="3"/>
  <c r="AH656" i="3"/>
  <c r="AI656" i="3" s="1"/>
  <c r="AG656" i="3"/>
  <c r="AC261" i="4"/>
  <c r="K738" i="4"/>
  <c r="K739" i="4" s="1"/>
  <c r="O1228" i="4"/>
  <c r="O1218" i="4"/>
  <c r="X1218" i="4"/>
  <c r="X1229" i="4"/>
  <c r="X1227" i="4"/>
  <c r="N1230" i="4"/>
  <c r="AI59" i="3"/>
  <c r="AG104" i="3"/>
  <c r="AG218" i="3"/>
  <c r="AF348" i="3"/>
  <c r="AG348" i="3"/>
  <c r="AG466" i="3"/>
  <c r="AG533" i="3"/>
  <c r="AH741" i="3"/>
  <c r="P177" i="4"/>
  <c r="Q958" i="4"/>
  <c r="Q960" i="4" s="1"/>
  <c r="P1230" i="4"/>
  <c r="AH172" i="3"/>
  <c r="AH248" i="3"/>
  <c r="AF265" i="3"/>
  <c r="L188" i="4"/>
  <c r="L238" i="4" s="1"/>
  <c r="P82" i="2"/>
  <c r="P123" i="2" s="1"/>
  <c r="N187" i="4"/>
  <c r="N235" i="4" s="1"/>
  <c r="N644" i="4" s="1"/>
  <c r="N661" i="4" s="1"/>
  <c r="AC1143" i="4"/>
  <c r="AC1116" i="4"/>
  <c r="AC1118" i="4"/>
  <c r="AI87" i="3"/>
  <c r="AH87" i="3"/>
  <c r="AG87" i="3"/>
  <c r="AI248" i="3"/>
  <c r="AL303" i="3"/>
  <c r="AL351" i="3"/>
  <c r="AX391" i="3"/>
  <c r="AH691" i="3"/>
  <c r="AG799" i="3"/>
  <c r="AI799" i="3" s="1"/>
  <c r="AH799" i="3"/>
  <c r="AG1088" i="3"/>
  <c r="AG1123" i="4"/>
  <c r="Z1226" i="4"/>
  <c r="Z1218" i="4"/>
  <c r="AI99" i="3"/>
  <c r="AK99" i="3" s="1"/>
  <c r="AJ99" i="3"/>
  <c r="AG203" i="3"/>
  <c r="AF251" i="3"/>
  <c r="AI285" i="3"/>
  <c r="AF342" i="3"/>
  <c r="AG454" i="3"/>
  <c r="AH454" i="3"/>
  <c r="AI454" i="3"/>
  <c r="P372" i="2"/>
  <c r="P13" i="2"/>
  <c r="K178" i="4"/>
  <c r="N155" i="4"/>
  <c r="AD261" i="4"/>
  <c r="Y274" i="4"/>
  <c r="K549" i="4"/>
  <c r="M23" i="2" s="1"/>
  <c r="AB580" i="4"/>
  <c r="L705" i="4"/>
  <c r="N38" i="2" s="1"/>
  <c r="S683" i="4"/>
  <c r="S676" i="4"/>
  <c r="N702" i="4"/>
  <c r="L771" i="4"/>
  <c r="V369" i="2"/>
  <c r="T847" i="4"/>
  <c r="R1044" i="4"/>
  <c r="R1046" i="4" s="1"/>
  <c r="S1043" i="4" s="1"/>
  <c r="Q372" i="2"/>
  <c r="Q13" i="2"/>
  <c r="V727" i="4"/>
  <c r="V669" i="4"/>
  <c r="V580" i="4"/>
  <c r="V582" i="4" s="1"/>
  <c r="AC580" i="4"/>
  <c r="M705" i="4"/>
  <c r="O38" i="2" s="1"/>
  <c r="U847" i="4"/>
  <c r="W369" i="2"/>
  <c r="L1103" i="4"/>
  <c r="AD1118" i="4"/>
  <c r="L79" i="2"/>
  <c r="Z177" i="2"/>
  <c r="AJ171" i="2"/>
  <c r="AH177" i="2"/>
  <c r="Q188" i="2"/>
  <c r="R145" i="2"/>
  <c r="S301" i="2"/>
  <c r="T300" i="2"/>
  <c r="S225" i="2"/>
  <c r="T213" i="2"/>
  <c r="M309" i="2"/>
  <c r="M143" i="2"/>
  <c r="N148" i="2"/>
  <c r="N128" i="2"/>
  <c r="R348" i="2"/>
  <c r="AF8" i="3"/>
  <c r="AI15" i="3"/>
  <c r="AH15" i="3"/>
  <c r="AG28" i="3"/>
  <c r="AH28" i="3"/>
  <c r="AI28" i="3" s="1"/>
  <c r="AH61" i="3"/>
  <c r="AW66" i="3"/>
  <c r="AX66" i="3" s="1"/>
  <c r="AJ74" i="3"/>
  <c r="AH131" i="3"/>
  <c r="AI307" i="3"/>
  <c r="AH307" i="3"/>
  <c r="AI310" i="3"/>
  <c r="AH321" i="3"/>
  <c r="AH370" i="3"/>
  <c r="AG370" i="3"/>
  <c r="AH394" i="3"/>
  <c r="AG394" i="3"/>
  <c r="AH417" i="3"/>
  <c r="AI452" i="3"/>
  <c r="AG462" i="3"/>
  <c r="AH784" i="3"/>
  <c r="AG784" i="3"/>
  <c r="AG944" i="3"/>
  <c r="AD669" i="4"/>
  <c r="AD664" i="4"/>
  <c r="N1103" i="4"/>
  <c r="P1229" i="4"/>
  <c r="P1227" i="4"/>
  <c r="P1216" i="4"/>
  <c r="P1213" i="4"/>
  <c r="P1215" i="4" s="1"/>
  <c r="AF1229" i="4"/>
  <c r="AF1227" i="4"/>
  <c r="AF1216" i="4"/>
  <c r="AF1213" i="4"/>
  <c r="AF1215" i="4" s="1"/>
  <c r="AF1228" i="4"/>
  <c r="Z1278" i="4"/>
  <c r="Z1277" i="4"/>
  <c r="S159" i="2"/>
  <c r="M197" i="2"/>
  <c r="O310" i="2"/>
  <c r="P143" i="2"/>
  <c r="P309" i="2"/>
  <c r="S329" i="2"/>
  <c r="R170" i="2"/>
  <c r="R330" i="2" s="1"/>
  <c r="R250" i="2"/>
  <c r="R158" i="2"/>
  <c r="O139" i="2"/>
  <c r="S242" i="2"/>
  <c r="T244" i="2"/>
  <c r="AH85" i="3"/>
  <c r="AG85" i="3"/>
  <c r="AG126" i="3"/>
  <c r="AH143" i="3"/>
  <c r="AI143" i="3" s="1"/>
  <c r="AG143" i="3"/>
  <c r="AH183" i="3"/>
  <c r="AH185" i="3"/>
  <c r="AG187" i="3"/>
  <c r="AW211" i="3"/>
  <c r="AX211" i="3" s="1"/>
  <c r="AG259" i="3"/>
  <c r="AG340" i="3"/>
  <c r="AJ373" i="3"/>
  <c r="AH424" i="3"/>
  <c r="AG424" i="3"/>
  <c r="AI949" i="3"/>
  <c r="K80" i="4"/>
  <c r="S122" i="4"/>
  <c r="L77" i="2"/>
  <c r="L186" i="4"/>
  <c r="T274" i="4"/>
  <c r="M407" i="4"/>
  <c r="O193" i="2" s="1"/>
  <c r="J437" i="4"/>
  <c r="J492" i="4" s="1"/>
  <c r="M549" i="4"/>
  <c r="O23" i="2" s="1"/>
  <c r="AE669" i="4"/>
  <c r="AE727" i="4"/>
  <c r="AE739" i="4"/>
  <c r="AG1116" i="4"/>
  <c r="Q1229" i="4"/>
  <c r="Q1227" i="4"/>
  <c r="Q1216" i="4"/>
  <c r="Q1226" i="4"/>
  <c r="AG1229" i="4"/>
  <c r="AG1227" i="4"/>
  <c r="AG1216" i="4"/>
  <c r="AG1213" i="4"/>
  <c r="AG1215" i="4" s="1"/>
  <c r="S1226" i="4"/>
  <c r="AA1277" i="4"/>
  <c r="AA1279" i="4" s="1"/>
  <c r="AC99" i="2" s="1"/>
  <c r="R152" i="2"/>
  <c r="O138" i="2"/>
  <c r="N197" i="2"/>
  <c r="Q143" i="2"/>
  <c r="Q309" i="2"/>
  <c r="T329" i="2"/>
  <c r="S331" i="2"/>
  <c r="S250" i="2"/>
  <c r="S170" i="2"/>
  <c r="S330" i="2" s="1"/>
  <c r="M250" i="2"/>
  <c r="P139" i="2"/>
  <c r="AH24" i="3"/>
  <c r="AG24" i="3"/>
  <c r="AX47" i="3"/>
  <c r="AX53" i="3"/>
  <c r="AG81" i="3"/>
  <c r="AH149" i="3"/>
  <c r="AG166" i="3"/>
  <c r="AH174" i="3"/>
  <c r="AG214" i="3"/>
  <c r="AG245" i="3"/>
  <c r="AF259" i="3"/>
  <c r="AH266" i="3"/>
  <c r="AI266" i="3" s="1"/>
  <c r="AG266" i="3"/>
  <c r="AJ266" i="3"/>
  <c r="AK266" i="3" s="1"/>
  <c r="AG274" i="3"/>
  <c r="AH283" i="3"/>
  <c r="AG296" i="3"/>
  <c r="AF307" i="3"/>
  <c r="AF340" i="3"/>
  <c r="AH415" i="3"/>
  <c r="AG415" i="3"/>
  <c r="AH421" i="3"/>
  <c r="AG421" i="3"/>
  <c r="AI432" i="3"/>
  <c r="AH468" i="3"/>
  <c r="AF491" i="3"/>
  <c r="AG491" i="3"/>
  <c r="AH507" i="3"/>
  <c r="AJ874" i="3"/>
  <c r="AH874" i="3"/>
  <c r="AG874" i="3"/>
  <c r="AI874" i="3"/>
  <c r="AF874" i="3"/>
  <c r="AH1014" i="3"/>
  <c r="Q12" i="2"/>
  <c r="Q360" i="2"/>
  <c r="O374" i="2"/>
  <c r="P920" i="4"/>
  <c r="O58" i="10" s="1"/>
  <c r="P908" i="4"/>
  <c r="P911" i="4" s="1"/>
  <c r="N1101" i="4"/>
  <c r="P1103" i="4"/>
  <c r="J1216" i="4"/>
  <c r="J1214" i="4"/>
  <c r="J1215" i="4" s="1"/>
  <c r="AD1215" i="4"/>
  <c r="AB1278" i="4"/>
  <c r="AB1277" i="4"/>
  <c r="Q310" i="2"/>
  <c r="R143" i="2"/>
  <c r="R309" i="2"/>
  <c r="T331" i="2"/>
  <c r="P176" i="2"/>
  <c r="O176" i="2"/>
  <c r="P339" i="2"/>
  <c r="AH89" i="3"/>
  <c r="AG89" i="3"/>
  <c r="AG139" i="3"/>
  <c r="AG185" i="3"/>
  <c r="AG212" i="3"/>
  <c r="AI212" i="3"/>
  <c r="AH212" i="3"/>
  <c r="AG232" i="3"/>
  <c r="AI234" i="3"/>
  <c r="AG263" i="3"/>
  <c r="AF263" i="3"/>
  <c r="AF293" i="3"/>
  <c r="AG293" i="3"/>
  <c r="AG312" i="3"/>
  <c r="AG553" i="3"/>
  <c r="AH553" i="3"/>
  <c r="AH593" i="3"/>
  <c r="AG593" i="3"/>
  <c r="AI593" i="3"/>
  <c r="AG651" i="3"/>
  <c r="AG738" i="3"/>
  <c r="AH738" i="3" s="1"/>
  <c r="AG842" i="3"/>
  <c r="AF842" i="3"/>
  <c r="AK842" i="3"/>
  <c r="AJ842" i="3"/>
  <c r="AL842" i="3" s="1"/>
  <c r="AI842" i="3"/>
  <c r="AM842" i="3" s="1"/>
  <c r="AH842" i="3"/>
  <c r="AI853" i="3"/>
  <c r="AH853" i="3"/>
  <c r="AF867" i="3"/>
  <c r="Q155" i="4"/>
  <c r="S78" i="2"/>
  <c r="AB369" i="2"/>
  <c r="O336" i="2"/>
  <c r="M80" i="4"/>
  <c r="M67" i="4"/>
  <c r="Q76" i="2"/>
  <c r="O179" i="4"/>
  <c r="O148" i="4"/>
  <c r="R79" i="2"/>
  <c r="P187" i="4"/>
  <c r="AC277" i="4"/>
  <c r="L406" i="4"/>
  <c r="L407" i="4" s="1"/>
  <c r="N193" i="2" s="1"/>
  <c r="O549" i="4"/>
  <c r="Q23" i="2" s="1"/>
  <c r="AF664" i="4"/>
  <c r="AD727" i="4"/>
  <c r="R1107" i="4"/>
  <c r="Q920" i="4"/>
  <c r="P58" i="10" s="1"/>
  <c r="O1101" i="4"/>
  <c r="Q1103" i="4"/>
  <c r="K1214" i="4"/>
  <c r="K1215" i="4" s="1"/>
  <c r="K1216" i="4"/>
  <c r="AA1230" i="4"/>
  <c r="AA1218" i="4"/>
  <c r="P1228" i="4"/>
  <c r="K58" i="2"/>
  <c r="I58" i="2" s="1"/>
  <c r="K174" i="2"/>
  <c r="K201" i="2"/>
  <c r="X201" i="2"/>
  <c r="Y201" i="2" s="1"/>
  <c r="Z201" i="2" s="1"/>
  <c r="AA201" i="2" s="1"/>
  <c r="AB201" i="2" s="1"/>
  <c r="AC201" i="2" s="1"/>
  <c r="AD201" i="2" s="1"/>
  <c r="AE201" i="2" s="1"/>
  <c r="AF201" i="2" s="1"/>
  <c r="AG201" i="2" s="1"/>
  <c r="AH201" i="2" s="1"/>
  <c r="AI201" i="2" s="1"/>
  <c r="O225" i="2"/>
  <c r="P300" i="2"/>
  <c r="Q166" i="2"/>
  <c r="R166" i="2"/>
  <c r="S139" i="2"/>
  <c r="R139" i="2"/>
  <c r="Y255" i="2"/>
  <c r="G1455" i="3"/>
  <c r="AW47" i="3"/>
  <c r="AW53" i="3"/>
  <c r="AI58" i="3"/>
  <c r="AG116" i="3"/>
  <c r="AG122" i="3"/>
  <c r="AI130" i="3"/>
  <c r="AG183" i="3"/>
  <c r="AK198" i="3"/>
  <c r="AJ198" i="3"/>
  <c r="AH221" i="3"/>
  <c r="AH239" i="3"/>
  <c r="AF312" i="3"/>
  <c r="AG374" i="3"/>
  <c r="AI430" i="3"/>
  <c r="AG771" i="3"/>
  <c r="AH771" i="3" s="1"/>
  <c r="AG1045" i="3"/>
  <c r="AH1234" i="3"/>
  <c r="T1230" i="4"/>
  <c r="T1228" i="4"/>
  <c r="T1216" i="4"/>
  <c r="T1213" i="4"/>
  <c r="T1215" i="4" s="1"/>
  <c r="T1227" i="4"/>
  <c r="AB1216" i="4"/>
  <c r="AB1214" i="4"/>
  <c r="AB1215" i="4" s="1"/>
  <c r="AF1226" i="4"/>
  <c r="L177" i="2"/>
  <c r="T309" i="2"/>
  <c r="S310" i="2"/>
  <c r="AG22" i="3"/>
  <c r="AH35" i="3"/>
  <c r="AI177" i="3"/>
  <c r="AH177" i="3"/>
  <c r="AG177" i="3"/>
  <c r="AG215" i="3"/>
  <c r="AH243" i="3"/>
  <c r="AG243" i="3"/>
  <c r="AH253" i="3"/>
  <c r="AG253" i="3"/>
  <c r="AF253" i="3"/>
  <c r="AG289" i="3"/>
  <c r="AF289" i="3"/>
  <c r="AH299" i="3"/>
  <c r="AG299" i="3"/>
  <c r="AG328" i="3"/>
  <c r="AF360" i="3"/>
  <c r="AG360" i="3"/>
  <c r="AG412" i="3"/>
  <c r="AH412" i="3" s="1"/>
  <c r="AH554" i="3"/>
  <c r="AG554" i="3"/>
  <c r="AI554" i="3"/>
  <c r="AH665" i="3"/>
  <c r="AI665" i="3"/>
  <c r="AK665" i="3" s="1"/>
  <c r="AG665" i="3"/>
  <c r="AJ665" i="3"/>
  <c r="AI835" i="3"/>
  <c r="AH835" i="3"/>
  <c r="AF835" i="3"/>
  <c r="AG880" i="3"/>
  <c r="AF880" i="3"/>
  <c r="J80" i="4"/>
  <c r="L148" i="4"/>
  <c r="P186" i="4"/>
  <c r="L81" i="2"/>
  <c r="M187" i="4"/>
  <c r="M236" i="4" s="1"/>
  <c r="M808" i="4" s="1"/>
  <c r="M825" i="4" s="1"/>
  <c r="R683" i="4"/>
  <c r="R676" i="4"/>
  <c r="R580" i="4"/>
  <c r="R881" i="4"/>
  <c r="T61" i="2" s="1"/>
  <c r="P1101" i="4"/>
  <c r="L11" i="2"/>
  <c r="L348" i="2"/>
  <c r="T121" i="4"/>
  <c r="Q179" i="4"/>
  <c r="Q148" i="4"/>
  <c r="M81" i="2"/>
  <c r="K177" i="4"/>
  <c r="Q186" i="4"/>
  <c r="I85" i="10"/>
  <c r="N664" i="4"/>
  <c r="S739" i="4"/>
  <c r="I87" i="10"/>
  <c r="I79" i="10"/>
  <c r="I91" i="10"/>
  <c r="I71" i="10"/>
  <c r="I95" i="10"/>
  <c r="I83" i="10"/>
  <c r="I75" i="10"/>
  <c r="T1143" i="4"/>
  <c r="R968" i="4"/>
  <c r="Q1101" i="4"/>
  <c r="U1230" i="4"/>
  <c r="Q209" i="2"/>
  <c r="R300" i="2"/>
  <c r="Q301" i="2"/>
  <c r="Q225" i="2"/>
  <c r="R331" i="2"/>
  <c r="AF22" i="3"/>
  <c r="AI79" i="3"/>
  <c r="AH79" i="3"/>
  <c r="AH114" i="3"/>
  <c r="AI114" i="3"/>
  <c r="AG114" i="3"/>
  <c r="AG156" i="3"/>
  <c r="AG181" i="3"/>
  <c r="AI233" i="3"/>
  <c r="AJ233" i="3"/>
  <c r="AH233" i="3"/>
  <c r="AG260" i="3"/>
  <c r="AF260" i="3"/>
  <c r="AI277" i="3"/>
  <c r="AK315" i="3"/>
  <c r="AF328" i="3"/>
  <c r="AW387" i="3"/>
  <c r="AX387" i="3" s="1"/>
  <c r="AH403" i="3"/>
  <c r="AG531" i="3"/>
  <c r="AH531" i="3"/>
  <c r="AI669" i="3"/>
  <c r="AH669" i="3"/>
  <c r="AG669" i="3"/>
  <c r="AJ669" i="3" s="1"/>
  <c r="AG724" i="3"/>
  <c r="AG964" i="3"/>
  <c r="AJ1020" i="3"/>
  <c r="AG384" i="3"/>
  <c r="AH384" i="3" s="1"/>
  <c r="AH521" i="3"/>
  <c r="AH542" i="3"/>
  <c r="AH550" i="3"/>
  <c r="AG550" i="3"/>
  <c r="AI592" i="3"/>
  <c r="AH614" i="3"/>
  <c r="AG614" i="3"/>
  <c r="AG759" i="3"/>
  <c r="Q242" i="2"/>
  <c r="R326" i="2"/>
  <c r="R327" i="2" s="1"/>
  <c r="AI10" i="3"/>
  <c r="AH10" i="3"/>
  <c r="AG39" i="3"/>
  <c r="AI71" i="3"/>
  <c r="AH71" i="3"/>
  <c r="AG71" i="3"/>
  <c r="AF71" i="3"/>
  <c r="AG77" i="3"/>
  <c r="AH77" i="3"/>
  <c r="AH93" i="3"/>
  <c r="AG93" i="3"/>
  <c r="AG170" i="3"/>
  <c r="AH170" i="3"/>
  <c r="AK174" i="3"/>
  <c r="AJ174" i="3"/>
  <c r="AI174" i="3"/>
  <c r="AJ178" i="3"/>
  <c r="AF266" i="3"/>
  <c r="AF294" i="3"/>
  <c r="AJ304" i="3"/>
  <c r="AI304" i="3"/>
  <c r="AH304" i="3"/>
  <c r="AJ315" i="3"/>
  <c r="AI315" i="3"/>
  <c r="AH315" i="3"/>
  <c r="AG472" i="3"/>
  <c r="AG513" i="3"/>
  <c r="AG556" i="3"/>
  <c r="AH624" i="3"/>
  <c r="AI624" i="3" s="1"/>
  <c r="AG624" i="3"/>
  <c r="AG655" i="3"/>
  <c r="AL666" i="3"/>
  <c r="AI666" i="3"/>
  <c r="AG955" i="3"/>
  <c r="AF955" i="3"/>
  <c r="AH955" i="3"/>
  <c r="AI955" i="3" s="1"/>
  <c r="L111" i="2"/>
  <c r="L151" i="2" s="1"/>
  <c r="L167" i="2"/>
  <c r="K172" i="2"/>
  <c r="L185" i="2"/>
  <c r="O143" i="2"/>
  <c r="M234" i="2"/>
  <c r="O177" i="4"/>
  <c r="K187" i="4"/>
  <c r="K705" i="4"/>
  <c r="AC739" i="4"/>
  <c r="J1101" i="4"/>
  <c r="O1103" i="4"/>
  <c r="AA1227" i="4"/>
  <c r="M111" i="2"/>
  <c r="M151" i="2" s="1"/>
  <c r="K106" i="2"/>
  <c r="I106" i="2" s="1"/>
  <c r="K113" i="2"/>
  <c r="I113" i="2" s="1"/>
  <c r="AJ159" i="2"/>
  <c r="L330" i="2"/>
  <c r="O188" i="2"/>
  <c r="N234" i="2"/>
  <c r="K255" i="2"/>
  <c r="AJ372" i="2"/>
  <c r="AH91" i="3"/>
  <c r="AG91" i="3"/>
  <c r="AG108" i="3"/>
  <c r="AH113" i="3"/>
  <c r="AJ113" i="3" s="1"/>
  <c r="AI137" i="3"/>
  <c r="AH137" i="3"/>
  <c r="AJ137" i="3"/>
  <c r="AK137" i="3" s="1"/>
  <c r="AH152" i="3"/>
  <c r="AW206" i="3"/>
  <c r="AM271" i="3"/>
  <c r="AN271" i="3" s="1"/>
  <c r="AG279" i="3"/>
  <c r="AF279" i="3"/>
  <c r="AG309" i="3"/>
  <c r="AH343" i="3"/>
  <c r="AW391" i="3"/>
  <c r="AG392" i="3"/>
  <c r="AG520" i="3"/>
  <c r="AF520" i="3"/>
  <c r="AG529" i="3"/>
  <c r="AK666" i="3"/>
  <c r="AM666" i="3" s="1"/>
  <c r="AG686" i="3"/>
  <c r="AH702" i="3"/>
  <c r="AG746" i="3"/>
  <c r="AI816" i="3"/>
  <c r="AJ816" i="3" s="1"/>
  <c r="AH816" i="3"/>
  <c r="AG825" i="3"/>
  <c r="AK872" i="3"/>
  <c r="AG887" i="3"/>
  <c r="AH887" i="3"/>
  <c r="AH994" i="3"/>
  <c r="AG994" i="3"/>
  <c r="AI994" i="3"/>
  <c r="AG482" i="3"/>
  <c r="AG487" i="3"/>
  <c r="AH487" i="3"/>
  <c r="AH490" i="3"/>
  <c r="AG490" i="3"/>
  <c r="AH498" i="3"/>
  <c r="AG498" i="3"/>
  <c r="AI545" i="3"/>
  <c r="AH545" i="3"/>
  <c r="AH548" i="3"/>
  <c r="AI548" i="3" s="1"/>
  <c r="AG548" i="3"/>
  <c r="AM597" i="3"/>
  <c r="AK597" i="3"/>
  <c r="AJ597" i="3"/>
  <c r="AG699" i="3"/>
  <c r="AF699" i="3"/>
  <c r="AG715" i="3"/>
  <c r="AF715" i="3"/>
  <c r="AH730" i="3"/>
  <c r="AG730" i="3"/>
  <c r="AF933" i="3"/>
  <c r="AG933" i="3"/>
  <c r="AH946" i="3"/>
  <c r="AI946" i="3"/>
  <c r="AG946" i="3"/>
  <c r="AW1193" i="3"/>
  <c r="AG1235" i="3"/>
  <c r="AH1235" i="3"/>
  <c r="AI1235" i="3" s="1"/>
  <c r="AJ1235" i="3" s="1"/>
  <c r="AW385" i="3"/>
  <c r="AX385" i="3" s="1"/>
  <c r="AG400" i="3"/>
  <c r="AG409" i="3"/>
  <c r="AG431" i="3"/>
  <c r="AH431" i="3"/>
  <c r="AI566" i="3"/>
  <c r="AH582" i="3"/>
  <c r="AI597" i="3"/>
  <c r="AL597" i="3" s="1"/>
  <c r="AI712" i="3"/>
  <c r="AH712" i="3"/>
  <c r="AG712" i="3"/>
  <c r="AH718" i="3"/>
  <c r="AH749" i="3"/>
  <c r="AH797" i="3"/>
  <c r="AG797" i="3"/>
  <c r="AI797" i="3" s="1"/>
  <c r="AK843" i="3"/>
  <c r="AI986" i="3"/>
  <c r="AH986" i="3"/>
  <c r="AF986" i="3"/>
  <c r="AG986" i="3"/>
  <c r="AK320" i="3"/>
  <c r="AL320" i="3" s="1"/>
  <c r="AF322" i="3"/>
  <c r="AG333" i="3"/>
  <c r="AI377" i="3"/>
  <c r="AX389" i="3"/>
  <c r="AJ397" i="3"/>
  <c r="AI437" i="3"/>
  <c r="AG447" i="3"/>
  <c r="AG449" i="3"/>
  <c r="AJ535" i="3"/>
  <c r="AK535" i="3" s="1"/>
  <c r="AL535" i="3"/>
  <c r="AI535" i="3"/>
  <c r="AH535" i="3"/>
  <c r="AG538" i="3"/>
  <c r="AG560" i="3"/>
  <c r="AH560" i="3"/>
  <c r="AG578" i="3"/>
  <c r="AG580" i="3"/>
  <c r="AG601" i="3"/>
  <c r="AW604" i="3"/>
  <c r="AX604" i="3" s="1"/>
  <c r="AH680" i="3"/>
  <c r="AG680" i="3"/>
  <c r="AI693" i="3"/>
  <c r="AJ693" i="3" s="1"/>
  <c r="AH693" i="3"/>
  <c r="AG693" i="3"/>
  <c r="AG740" i="3"/>
  <c r="AI749" i="3"/>
  <c r="AG773" i="3"/>
  <c r="AH773" i="3"/>
  <c r="AF830" i="3"/>
  <c r="AG830" i="3"/>
  <c r="AH851" i="3"/>
  <c r="AG851" i="3"/>
  <c r="AG913" i="3"/>
  <c r="AH913" i="3"/>
  <c r="AF913" i="3"/>
  <c r="AI1106" i="3"/>
  <c r="N117" i="4"/>
  <c r="N142" i="4" s="1"/>
  <c r="R82" i="2"/>
  <c r="R123" i="2" s="1"/>
  <c r="X727" i="4"/>
  <c r="X669" i="4"/>
  <c r="X664" i="4"/>
  <c r="J74" i="10"/>
  <c r="O705" i="4"/>
  <c r="Q38" i="2" s="1"/>
  <c r="Q739" i="4"/>
  <c r="P958" i="4"/>
  <c r="P960" i="4" s="1"/>
  <c r="O1229" i="4"/>
  <c r="O1227" i="4"/>
  <c r="O1216" i="4"/>
  <c r="AE1229" i="4"/>
  <c r="AE1227" i="4"/>
  <c r="AE1216" i="4"/>
  <c r="AE1213" i="4"/>
  <c r="AE1215" i="4" s="1"/>
  <c r="V1277" i="4"/>
  <c r="V1279" i="4" s="1"/>
  <c r="X99" i="2" s="1"/>
  <c r="Q111" i="2"/>
  <c r="Q151" i="2" s="1"/>
  <c r="Q159" i="2"/>
  <c r="W189" i="2"/>
  <c r="Q300" i="2"/>
  <c r="P301" i="2"/>
  <c r="P225" i="2"/>
  <c r="S143" i="2"/>
  <c r="S309" i="2"/>
  <c r="R310" i="2"/>
  <c r="S248" i="2"/>
  <c r="S169" i="2"/>
  <c r="AI27" i="3"/>
  <c r="AH27" i="3"/>
  <c r="AG27" i="3"/>
  <c r="AI64" i="3"/>
  <c r="AG145" i="3"/>
  <c r="AH145" i="3" s="1"/>
  <c r="AI178" i="3"/>
  <c r="AG272" i="3"/>
  <c r="AG284" i="3"/>
  <c r="AF333" i="3"/>
  <c r="AK397" i="3"/>
  <c r="AL397" i="3" s="1"/>
  <c r="AH409" i="3"/>
  <c r="AH437" i="3"/>
  <c r="AG440" i="3"/>
  <c r="AH444" i="3"/>
  <c r="AJ470" i="3"/>
  <c r="AH514" i="3"/>
  <c r="AI514" i="3"/>
  <c r="AJ514" i="3" s="1"/>
  <c r="AG514" i="3"/>
  <c r="AK514" i="3"/>
  <c r="AH523" i="3"/>
  <c r="AG549" i="3"/>
  <c r="AL557" i="3"/>
  <c r="AG638" i="3"/>
  <c r="AG779" i="3"/>
  <c r="AH779" i="3" s="1"/>
  <c r="AI844" i="3"/>
  <c r="AJ844" i="3"/>
  <c r="AF844" i="3"/>
  <c r="AF851" i="3"/>
  <c r="AG917" i="3"/>
  <c r="AJ636" i="3"/>
  <c r="AG782" i="3"/>
  <c r="AF797" i="3"/>
  <c r="AH810" i="3"/>
  <c r="AI810" i="3" s="1"/>
  <c r="AG903" i="3"/>
  <c r="AG1027" i="3"/>
  <c r="AG358" i="3"/>
  <c r="AG365" i="3"/>
  <c r="AG429" i="3"/>
  <c r="AH429" i="3"/>
  <c r="AI435" i="3"/>
  <c r="AH435" i="3"/>
  <c r="AG435" i="3"/>
  <c r="AJ435" i="3"/>
  <c r="AH480" i="3"/>
  <c r="AI480" i="3" s="1"/>
  <c r="AH634" i="3"/>
  <c r="AG642" i="3"/>
  <c r="AI642" i="3"/>
  <c r="AH642" i="3"/>
  <c r="AG672" i="3"/>
  <c r="AG720" i="3"/>
  <c r="AJ747" i="3"/>
  <c r="AG750" i="3"/>
  <c r="AI817" i="3"/>
  <c r="AF946" i="3"/>
  <c r="AG1039" i="3"/>
  <c r="AH1039" i="3"/>
  <c r="AG1175" i="3"/>
  <c r="AF1175" i="3"/>
  <c r="AH311" i="3"/>
  <c r="AI311" i="3" s="1"/>
  <c r="AG311" i="3"/>
  <c r="AF311" i="3"/>
  <c r="AJ317" i="3"/>
  <c r="AH348" i="3"/>
  <c r="AF358" i="3"/>
  <c r="AH378" i="3"/>
  <c r="AG378" i="3"/>
  <c r="AG399" i="3"/>
  <c r="AG441" i="3"/>
  <c r="AH441" i="3" s="1"/>
  <c r="AH445" i="3"/>
  <c r="AG445" i="3"/>
  <c r="AI445" i="3"/>
  <c r="AJ451" i="3"/>
  <c r="AI451" i="3"/>
  <c r="AG474" i="3"/>
  <c r="AG481" i="3"/>
  <c r="AI481" i="3" s="1"/>
  <c r="AH506" i="3"/>
  <c r="AH527" i="3"/>
  <c r="AG527" i="3"/>
  <c r="AH588" i="3"/>
  <c r="AI628" i="3"/>
  <c r="AJ628" i="3"/>
  <c r="AG628" i="3"/>
  <c r="AH697" i="3"/>
  <c r="AG697" i="3"/>
  <c r="AH736" i="3"/>
  <c r="AG823" i="3"/>
  <c r="AJ849" i="3"/>
  <c r="AI849" i="3"/>
  <c r="AG882" i="3"/>
  <c r="AF882" i="3"/>
  <c r="AH907" i="3"/>
  <c r="AH996" i="3"/>
  <c r="AW1023" i="3"/>
  <c r="AX1023" i="3" s="1"/>
  <c r="AH1133" i="3"/>
  <c r="AG1133" i="3"/>
  <c r="AG1142" i="3"/>
  <c r="M166" i="2"/>
  <c r="Q170" i="2"/>
  <c r="Q330" i="2" s="1"/>
  <c r="Q250" i="2"/>
  <c r="Q331" i="2"/>
  <c r="K240" i="2"/>
  <c r="X240" i="2"/>
  <c r="Y240" i="2" s="1"/>
  <c r="Z240" i="2" s="1"/>
  <c r="AA240" i="2" s="1"/>
  <c r="AB240" i="2" s="1"/>
  <c r="AC240" i="2" s="1"/>
  <c r="AD240" i="2" s="1"/>
  <c r="AE240" i="2" s="1"/>
  <c r="AF240" i="2" s="1"/>
  <c r="AG240" i="2" s="1"/>
  <c r="AH240" i="2" s="1"/>
  <c r="AI240" i="2" s="1"/>
  <c r="AF30" i="3"/>
  <c r="AH115" i="3"/>
  <c r="AG115" i="3"/>
  <c r="AJ179" i="3"/>
  <c r="AI179" i="3"/>
  <c r="AG184" i="3"/>
  <c r="AW192" i="3"/>
  <c r="AI193" i="3"/>
  <c r="AX206" i="3"/>
  <c r="AG236" i="3"/>
  <c r="AG264" i="3"/>
  <c r="AI273" i="3"/>
  <c r="AG273" i="3"/>
  <c r="AJ273" i="3"/>
  <c r="AH273" i="3"/>
  <c r="AF285" i="3"/>
  <c r="AF295" i="3"/>
  <c r="AG295" i="3"/>
  <c r="AF299" i="3"/>
  <c r="AG332" i="3"/>
  <c r="AG346" i="3"/>
  <c r="AH346" i="3"/>
  <c r="AF346" i="3"/>
  <c r="AJ356" i="3"/>
  <c r="AF361" i="3"/>
  <c r="AX383" i="3"/>
  <c r="AH481" i="3"/>
  <c r="AH546" i="3"/>
  <c r="AI563" i="3"/>
  <c r="AH563" i="3"/>
  <c r="AG563" i="3"/>
  <c r="AJ563" i="3"/>
  <c r="AH628" i="3"/>
  <c r="AG634" i="3"/>
  <c r="AH667" i="3"/>
  <c r="AG667" i="3"/>
  <c r="AI709" i="3"/>
  <c r="AH709" i="3"/>
  <c r="AG811" i="3"/>
  <c r="AH823" i="3"/>
  <c r="AG890" i="3"/>
  <c r="AF890" i="3"/>
  <c r="AH890" i="3"/>
  <c r="AI890" i="3" s="1"/>
  <c r="AG1024" i="3"/>
  <c r="AG1107" i="3"/>
  <c r="AX643" i="3"/>
  <c r="AG707" i="3"/>
  <c r="AH827" i="3"/>
  <c r="AH1081" i="3"/>
  <c r="AG1081" i="3"/>
  <c r="O187" i="4"/>
  <c r="O237" i="4" s="1"/>
  <c r="O947" i="4" s="1"/>
  <c r="S580" i="4"/>
  <c r="S582" i="4" s="1"/>
  <c r="AB739" i="4"/>
  <c r="M95" i="10"/>
  <c r="M91" i="10"/>
  <c r="M87" i="10"/>
  <c r="M79" i="10"/>
  <c r="M75" i="10"/>
  <c r="M71" i="10"/>
  <c r="M83" i="10"/>
  <c r="N791" i="4"/>
  <c r="N828" i="4"/>
  <c r="N745" i="4"/>
  <c r="N771" i="4"/>
  <c r="N781" i="4"/>
  <c r="AA1216" i="4"/>
  <c r="S364" i="2"/>
  <c r="Q169" i="2"/>
  <c r="U191" i="2"/>
  <c r="T138" i="2"/>
  <c r="O197" i="2"/>
  <c r="O202" i="2"/>
  <c r="X241" i="2"/>
  <c r="W139" i="2"/>
  <c r="O323" i="2"/>
  <c r="N248" i="2"/>
  <c r="N325" i="2"/>
  <c r="AF14" i="3"/>
  <c r="AH19" i="3"/>
  <c r="AF19" i="3"/>
  <c r="AI43" i="3"/>
  <c r="AH43" i="3"/>
  <c r="AF75" i="3"/>
  <c r="AH78" i="3"/>
  <c r="AI173" i="3"/>
  <c r="AG237" i="3"/>
  <c r="AF273" i="3"/>
  <c r="AI278" i="3"/>
  <c r="AF278" i="3"/>
  <c r="AH305" i="3"/>
  <c r="AF352" i="3"/>
  <c r="AI379" i="3"/>
  <c r="AJ379" i="3" s="1"/>
  <c r="AH509" i="3"/>
  <c r="AI561" i="3"/>
  <c r="AG591" i="3"/>
  <c r="AH591" i="3"/>
  <c r="AG644" i="3"/>
  <c r="AI649" i="3"/>
  <c r="AH684" i="3"/>
  <c r="AG684" i="3"/>
  <c r="AG734" i="3"/>
  <c r="AH734" i="3"/>
  <c r="AH756" i="3"/>
  <c r="AG756" i="3"/>
  <c r="AG760" i="3"/>
  <c r="AH760" i="3"/>
  <c r="AF825" i="3"/>
  <c r="AH889" i="3"/>
  <c r="AG889" i="3"/>
  <c r="AH951" i="3"/>
  <c r="AG971" i="3"/>
  <c r="AH971" i="3" s="1"/>
  <c r="AF971" i="3"/>
  <c r="AW1113" i="3"/>
  <c r="AA1226" i="4"/>
  <c r="AJ13" i="2"/>
  <c r="R135" i="2"/>
  <c r="L351" i="2"/>
  <c r="K103" i="2"/>
  <c r="I103" i="2" s="1"/>
  <c r="P197" i="2"/>
  <c r="P202" i="2"/>
  <c r="N250" i="2"/>
  <c r="AW69" i="3"/>
  <c r="AX69" i="3" s="1"/>
  <c r="AH153" i="3"/>
  <c r="AG153" i="3"/>
  <c r="AG180" i="3"/>
  <c r="AH180" i="3"/>
  <c r="AX197" i="3"/>
  <c r="AG199" i="3"/>
  <c r="AG327" i="3"/>
  <c r="AH327" i="3" s="1"/>
  <c r="AH335" i="3"/>
  <c r="AG335" i="3"/>
  <c r="AF335" i="3"/>
  <c r="AH338" i="3"/>
  <c r="AI338" i="3" s="1"/>
  <c r="AW389" i="3"/>
  <c r="AG463" i="3"/>
  <c r="AG493" i="3"/>
  <c r="AG517" i="3"/>
  <c r="AH620" i="3"/>
  <c r="AG737" i="3"/>
  <c r="AH806" i="3"/>
  <c r="AG806" i="3"/>
  <c r="AG848" i="3"/>
  <c r="S77" i="2"/>
  <c r="Q187" i="4"/>
  <c r="Q235" i="4" s="1"/>
  <c r="Q644" i="4" s="1"/>
  <c r="Q661" i="4" s="1"/>
  <c r="U580" i="4"/>
  <c r="U582" i="4" s="1"/>
  <c r="AD739" i="4"/>
  <c r="O87" i="10"/>
  <c r="O95" i="10"/>
  <c r="O75" i="10"/>
  <c r="O71" i="10"/>
  <c r="O79" i="10"/>
  <c r="O83" i="10"/>
  <c r="O91" i="10"/>
  <c r="P828" i="4"/>
  <c r="P745" i="4"/>
  <c r="P771" i="4"/>
  <c r="P781" i="4"/>
  <c r="N869" i="4"/>
  <c r="P53" i="2" s="1"/>
  <c r="AA1228" i="4"/>
  <c r="P340" i="2"/>
  <c r="M351" i="2"/>
  <c r="M145" i="2"/>
  <c r="Q202" i="2"/>
  <c r="L225" i="2"/>
  <c r="U223" i="2"/>
  <c r="P248" i="2"/>
  <c r="P325" i="2"/>
  <c r="M326" i="2"/>
  <c r="O329" i="2"/>
  <c r="AH20" i="3"/>
  <c r="AG31" i="3"/>
  <c r="AG41" i="3"/>
  <c r="AH82" i="3"/>
  <c r="AG121" i="3"/>
  <c r="AH135" i="3"/>
  <c r="AI298" i="3"/>
  <c r="AG371" i="3"/>
  <c r="AH390" i="3"/>
  <c r="AJ401" i="3"/>
  <c r="AI401" i="3"/>
  <c r="AG433" i="3"/>
  <c r="AG453" i="3"/>
  <c r="AH455" i="3"/>
  <c r="AI502" i="3"/>
  <c r="AI559" i="3"/>
  <c r="AH559" i="3"/>
  <c r="AG616" i="3"/>
  <c r="AI630" i="3"/>
  <c r="AH630" i="3"/>
  <c r="AG647" i="3"/>
  <c r="AG722" i="3"/>
  <c r="AH742" i="3"/>
  <c r="AI742" i="3" s="1"/>
  <c r="AH748" i="3"/>
  <c r="AI748" i="3" s="1"/>
  <c r="AG748" i="3"/>
  <c r="AG785" i="3"/>
  <c r="AH785" i="3" s="1"/>
  <c r="AG837" i="3"/>
  <c r="AH837" i="3" s="1"/>
  <c r="AI837" i="3"/>
  <c r="AG1051" i="3"/>
  <c r="Q340" i="2"/>
  <c r="N351" i="2"/>
  <c r="K96" i="2"/>
  <c r="I96" i="2" s="1"/>
  <c r="N145" i="2"/>
  <c r="M188" i="2"/>
  <c r="R202" i="2"/>
  <c r="N300" i="2"/>
  <c r="M225" i="2"/>
  <c r="Q248" i="2"/>
  <c r="Q325" i="2"/>
  <c r="Q326" i="2" s="1"/>
  <c r="N326" i="2"/>
  <c r="N327" i="2" s="1"/>
  <c r="AG11" i="3"/>
  <c r="AF11" i="3"/>
  <c r="AG18" i="3"/>
  <c r="AF18" i="3"/>
  <c r="AG68" i="3"/>
  <c r="AI113" i="3"/>
  <c r="AG124" i="3"/>
  <c r="AJ124" i="3" s="1"/>
  <c r="AH124" i="3"/>
  <c r="AI124" i="3"/>
  <c r="AJ149" i="3"/>
  <c r="AI149" i="3"/>
  <c r="AG157" i="3"/>
  <c r="AH157" i="3"/>
  <c r="AH176" i="3"/>
  <c r="AG201" i="3"/>
  <c r="AH201" i="3" s="1"/>
  <c r="AI219" i="3"/>
  <c r="AH219" i="3"/>
  <c r="AG219" i="3"/>
  <c r="AH267" i="3"/>
  <c r="AH281" i="3"/>
  <c r="AG281" i="3"/>
  <c r="AI281" i="3" s="1"/>
  <c r="AF297" i="3"/>
  <c r="AG341" i="3"/>
  <c r="AH341" i="3" s="1"/>
  <c r="AG411" i="3"/>
  <c r="AH428" i="3"/>
  <c r="AG428" i="3"/>
  <c r="AH450" i="3"/>
  <c r="AH497" i="3"/>
  <c r="AG497" i="3"/>
  <c r="AH570" i="3"/>
  <c r="AG570" i="3"/>
  <c r="AG587" i="3"/>
  <c r="AG673" i="3"/>
  <c r="AH696" i="3"/>
  <c r="AJ802" i="3"/>
  <c r="AI802" i="3"/>
  <c r="AF802" i="3"/>
  <c r="AK802" i="3"/>
  <c r="AH802" i="3"/>
  <c r="AG815" i="3"/>
  <c r="AH815" i="3"/>
  <c r="AF815" i="3"/>
  <c r="AF837" i="3"/>
  <c r="AH940" i="3"/>
  <c r="AG940" i="3"/>
  <c r="AF940" i="3"/>
  <c r="AI940" i="3"/>
  <c r="AI963" i="3"/>
  <c r="AH963" i="3"/>
  <c r="AG963" i="3"/>
  <c r="AJ963" i="3"/>
  <c r="AG1000" i="3"/>
  <c r="AH1000" i="3"/>
  <c r="AG1008" i="3"/>
  <c r="AF1008" i="3"/>
  <c r="AG1066" i="3"/>
  <c r="AH1075" i="3"/>
  <c r="AG1075" i="3"/>
  <c r="K186" i="4"/>
  <c r="K188" i="4"/>
  <c r="K238" i="4" s="1"/>
  <c r="W580" i="4"/>
  <c r="W582" i="4" s="1"/>
  <c r="AF739" i="4"/>
  <c r="P869" i="4"/>
  <c r="R53" i="2" s="1"/>
  <c r="N1229" i="4"/>
  <c r="N1227" i="4"/>
  <c r="N1216" i="4"/>
  <c r="AD1229" i="4"/>
  <c r="AD1227" i="4"/>
  <c r="AD1216" i="4"/>
  <c r="N1213" i="4"/>
  <c r="N1215" i="4" s="1"/>
  <c r="AD1226" i="4"/>
  <c r="O351" i="2"/>
  <c r="P111" i="2"/>
  <c r="P151" i="2" s="1"/>
  <c r="O145" i="2"/>
  <c r="N188" i="2"/>
  <c r="S202" i="2"/>
  <c r="N225" i="2"/>
  <c r="N163" i="2"/>
  <c r="O331" i="2"/>
  <c r="O170" i="2"/>
  <c r="R252" i="2"/>
  <c r="R154" i="2"/>
  <c r="AG51" i="3"/>
  <c r="AH51" i="3" s="1"/>
  <c r="AG56" i="3"/>
  <c r="AI65" i="3"/>
  <c r="AH70" i="3"/>
  <c r="G1456" i="3"/>
  <c r="I1456" i="3" s="1"/>
  <c r="AI78" i="3"/>
  <c r="AG96" i="3"/>
  <c r="AH97" i="3"/>
  <c r="AG110" i="3"/>
  <c r="AG117" i="3"/>
  <c r="AG120" i="3"/>
  <c r="AG146" i="3"/>
  <c r="AG186" i="3"/>
  <c r="AX192" i="3"/>
  <c r="AG196" i="3"/>
  <c r="AW197" i="3"/>
  <c r="AG204" i="3"/>
  <c r="AH204" i="3"/>
  <c r="AI213" i="3"/>
  <c r="AH216" i="3"/>
  <c r="AI225" i="3"/>
  <c r="AH225" i="3"/>
  <c r="AG225" i="3"/>
  <c r="AI247" i="3"/>
  <c r="AG275" i="3"/>
  <c r="AJ278" i="3"/>
  <c r="AF283" i="3"/>
  <c r="AG286" i="3"/>
  <c r="AJ307" i="3"/>
  <c r="AG313" i="3"/>
  <c r="AI327" i="3"/>
  <c r="AG338" i="3"/>
  <c r="AI349" i="3"/>
  <c r="AJ351" i="3"/>
  <c r="AK351" i="3"/>
  <c r="AF351" i="3"/>
  <c r="AG357" i="3"/>
  <c r="AH379" i="3"/>
  <c r="AG382" i="3"/>
  <c r="AH408" i="3"/>
  <c r="AH413" i="3"/>
  <c r="AJ425" i="3"/>
  <c r="AG438" i="3"/>
  <c r="AH442" i="3"/>
  <c r="AG442" i="3"/>
  <c r="AH475" i="3"/>
  <c r="AF488" i="3"/>
  <c r="AG488" i="3"/>
  <c r="AG495" i="3"/>
  <c r="AG524" i="3"/>
  <c r="AH561" i="3"/>
  <c r="AH589" i="3"/>
  <c r="AH605" i="3"/>
  <c r="AW622" i="3"/>
  <c r="AH649" i="3"/>
  <c r="AI696" i="3"/>
  <c r="AG768" i="3"/>
  <c r="AJ777" i="3"/>
  <c r="AH790" i="3"/>
  <c r="AI793" i="3"/>
  <c r="AI820" i="3"/>
  <c r="AH820" i="3"/>
  <c r="AG820" i="3"/>
  <c r="AG829" i="3"/>
  <c r="AJ840" i="3"/>
  <c r="AH899" i="3"/>
  <c r="AG899" i="3"/>
  <c r="AF899" i="3"/>
  <c r="AH976" i="3"/>
  <c r="AJ1247" i="3"/>
  <c r="AI1247" i="3"/>
  <c r="V1123" i="4"/>
  <c r="U1213" i="4"/>
  <c r="U1215" i="4" s="1"/>
  <c r="U1226" i="4"/>
  <c r="U1228" i="4"/>
  <c r="AG25" i="3"/>
  <c r="AW57" i="3"/>
  <c r="AX57" i="3" s="1"/>
  <c r="AH90" i="3"/>
  <c r="AG92" i="3"/>
  <c r="AG159" i="3"/>
  <c r="AJ224" i="3"/>
  <c r="AO271" i="3"/>
  <c r="AI302" i="3"/>
  <c r="AH302" i="3"/>
  <c r="AG302" i="3"/>
  <c r="AF324" i="3"/>
  <c r="AG330" i="3"/>
  <c r="AF357" i="3"/>
  <c r="AG364" i="3"/>
  <c r="AH436" i="3"/>
  <c r="AG519" i="3"/>
  <c r="AH532" i="3"/>
  <c r="AK544" i="3"/>
  <c r="AJ544" i="3"/>
  <c r="AL544" i="3" s="1"/>
  <c r="AG567" i="3"/>
  <c r="AG577" i="3"/>
  <c r="AI581" i="3"/>
  <c r="AH608" i="3"/>
  <c r="AG608" i="3"/>
  <c r="AG637" i="3"/>
  <c r="AG719" i="3"/>
  <c r="AH719" i="3"/>
  <c r="AI719" i="3" s="1"/>
  <c r="AG727" i="3"/>
  <c r="AK774" i="3"/>
  <c r="AJ774" i="3"/>
  <c r="AI774" i="3"/>
  <c r="AH780" i="3"/>
  <c r="AH821" i="3"/>
  <c r="AG831" i="3"/>
  <c r="AH938" i="3"/>
  <c r="AG938" i="3"/>
  <c r="AG948" i="3"/>
  <c r="AW1021" i="3"/>
  <c r="AX1021" i="3" s="1"/>
  <c r="AG1100" i="3"/>
  <c r="AH1100" i="3"/>
  <c r="W1123" i="4"/>
  <c r="V1213" i="4"/>
  <c r="L242" i="2"/>
  <c r="AK32" i="3"/>
  <c r="AJ32" i="3"/>
  <c r="AG63" i="3"/>
  <c r="AH63" i="3" s="1"/>
  <c r="AG94" i="3"/>
  <c r="AI127" i="3"/>
  <c r="AH128" i="3"/>
  <c r="AG128" i="3"/>
  <c r="AI129" i="3"/>
  <c r="AJ130" i="3"/>
  <c r="AH160" i="3"/>
  <c r="AG230" i="3"/>
  <c r="AI241" i="3"/>
  <c r="AG250" i="3"/>
  <c r="AF250" i="3"/>
  <c r="AH256" i="3"/>
  <c r="AI256" i="3" s="1"/>
  <c r="AG256" i="3"/>
  <c r="AH262" i="3"/>
  <c r="AG262" i="3"/>
  <c r="AG269" i="3"/>
  <c r="AF286" i="3"/>
  <c r="AG301" i="3"/>
  <c r="AH323" i="3"/>
  <c r="AG369" i="3"/>
  <c r="AG402" i="3"/>
  <c r="AG406" i="3"/>
  <c r="AH410" i="3"/>
  <c r="AH418" i="3"/>
  <c r="AI423" i="3"/>
  <c r="AH423" i="3"/>
  <c r="AH469" i="3"/>
  <c r="AI469" i="3" s="1"/>
  <c r="AG469" i="3"/>
  <c r="AG477" i="3"/>
  <c r="AK485" i="3"/>
  <c r="AL485" i="3" s="1"/>
  <c r="AJ485" i="3"/>
  <c r="AG526" i="3"/>
  <c r="AG547" i="3"/>
  <c r="AH547" i="3"/>
  <c r="AJ565" i="3"/>
  <c r="AI565" i="3"/>
  <c r="AH565" i="3"/>
  <c r="AG596" i="3"/>
  <c r="AG625" i="3"/>
  <c r="AG633" i="3"/>
  <c r="AI635" i="3"/>
  <c r="AH635" i="3"/>
  <c r="AJ635" i="3"/>
  <c r="AK635" i="3" s="1"/>
  <c r="AH648" i="3"/>
  <c r="AI660" i="3"/>
  <c r="AK660" i="3"/>
  <c r="AG675" i="3"/>
  <c r="AG743" i="3"/>
  <c r="AH743" i="3"/>
  <c r="AI743" i="3" s="1"/>
  <c r="AI772" i="3"/>
  <c r="AI812" i="3"/>
  <c r="AH812" i="3"/>
  <c r="AG812" i="3"/>
  <c r="AI857" i="3"/>
  <c r="AH857" i="3"/>
  <c r="AG857" i="3"/>
  <c r="AH862" i="3"/>
  <c r="AG862" i="3"/>
  <c r="AF862" i="3"/>
  <c r="AH875" i="3"/>
  <c r="AG875" i="3"/>
  <c r="AG878" i="3"/>
  <c r="AJ878" i="3"/>
  <c r="AK878" i="3"/>
  <c r="AI878" i="3"/>
  <c r="AH878" i="3"/>
  <c r="AI905" i="3"/>
  <c r="AH905" i="3"/>
  <c r="AG905" i="3"/>
  <c r="AG922" i="3"/>
  <c r="AG952" i="3"/>
  <c r="AH952" i="3" s="1"/>
  <c r="AG1026" i="3"/>
  <c r="AH1026" i="3"/>
  <c r="AH1076" i="3"/>
  <c r="AG1076" i="3"/>
  <c r="AH1093" i="3"/>
  <c r="AG1093" i="3"/>
  <c r="X1123" i="4"/>
  <c r="W1213" i="4"/>
  <c r="W1215" i="4" s="1"/>
  <c r="W1226" i="4"/>
  <c r="W1228" i="4"/>
  <c r="AG133" i="3"/>
  <c r="AI161" i="3"/>
  <c r="AH280" i="3"/>
  <c r="AG292" i="3"/>
  <c r="AI465" i="3"/>
  <c r="AI508" i="3"/>
  <c r="AG534" i="3"/>
  <c r="AG572" i="3"/>
  <c r="AI646" i="3"/>
  <c r="AJ646" i="3" s="1"/>
  <c r="AH646" i="3"/>
  <c r="AH681" i="3"/>
  <c r="AG681" i="3"/>
  <c r="AJ681" i="3"/>
  <c r="AI681" i="3"/>
  <c r="AJ706" i="3"/>
  <c r="AI706" i="3"/>
  <c r="AH706" i="3"/>
  <c r="AG706" i="3"/>
  <c r="AG745" i="3"/>
  <c r="AH745" i="3"/>
  <c r="AH794" i="3"/>
  <c r="AG794" i="3"/>
  <c r="AF812" i="3"/>
  <c r="AF857" i="3"/>
  <c r="AF905" i="3"/>
  <c r="AF922" i="3"/>
  <c r="AF952" i="3"/>
  <c r="AG1053" i="3"/>
  <c r="AF1053" i="3"/>
  <c r="AH1071" i="3"/>
  <c r="AG1071" i="3"/>
  <c r="Y1123" i="4"/>
  <c r="X1213" i="4"/>
  <c r="X1215" i="4" s="1"/>
  <c r="X1226" i="4"/>
  <c r="X1228" i="4"/>
  <c r="N339" i="2"/>
  <c r="N242" i="2"/>
  <c r="AG33" i="3"/>
  <c r="AI97" i="3"/>
  <c r="AG100" i="3"/>
  <c r="AH101" i="3"/>
  <c r="AG132" i="3"/>
  <c r="AI132" i="3"/>
  <c r="AH132" i="3"/>
  <c r="AG134" i="3"/>
  <c r="AH162" i="3"/>
  <c r="AG163" i="3"/>
  <c r="AG207" i="3"/>
  <c r="AG217" i="3"/>
  <c r="AG223" i="3"/>
  <c r="AI229" i="3"/>
  <c r="AH229" i="3"/>
  <c r="AG240" i="3"/>
  <c r="AI249" i="3"/>
  <c r="AI255" i="3"/>
  <c r="AI261" i="3"/>
  <c r="AH261" i="3"/>
  <c r="AG268" i="3"/>
  <c r="AG291" i="3"/>
  <c r="AF329" i="3"/>
  <c r="AG329" i="3"/>
  <c r="AH329" i="3" s="1"/>
  <c r="AG345" i="3"/>
  <c r="AH355" i="3"/>
  <c r="AG362" i="3"/>
  <c r="AH414" i="3"/>
  <c r="AG414" i="3"/>
  <c r="AG422" i="3"/>
  <c r="AH426" i="3"/>
  <c r="AI426" i="3"/>
  <c r="AG426" i="3"/>
  <c r="AI528" i="3"/>
  <c r="AK537" i="3"/>
  <c r="AL537" i="3" s="1"/>
  <c r="AJ537" i="3"/>
  <c r="AI537" i="3"/>
  <c r="AK557" i="3"/>
  <c r="AJ557" i="3"/>
  <c r="AI557" i="3"/>
  <c r="AI588" i="3"/>
  <c r="AI590" i="3"/>
  <c r="AH590" i="3"/>
  <c r="AG590" i="3"/>
  <c r="AK602" i="3"/>
  <c r="AJ602" i="3"/>
  <c r="AI602" i="3"/>
  <c r="AH602" i="3"/>
  <c r="AG602" i="3"/>
  <c r="AH619" i="3"/>
  <c r="AG619" i="3"/>
  <c r="AH698" i="3"/>
  <c r="AG735" i="3"/>
  <c r="AL758" i="3"/>
  <c r="AM758" i="3" s="1"/>
  <c r="AN758" i="3" s="1"/>
  <c r="AH786" i="3"/>
  <c r="AG786" i="3"/>
  <c r="AG860" i="3"/>
  <c r="AG926" i="3"/>
  <c r="AF926" i="3"/>
  <c r="AH926" i="3"/>
  <c r="AI984" i="3"/>
  <c r="AX1011" i="3"/>
  <c r="AI1152" i="3"/>
  <c r="AJ1152" i="3" s="1"/>
  <c r="AH1152" i="3"/>
  <c r="AF1152" i="3"/>
  <c r="AG1152" i="3"/>
  <c r="J921" i="4"/>
  <c r="Z1123" i="4"/>
  <c r="Y1213" i="4"/>
  <c r="Y1215" i="4" s="1"/>
  <c r="Y1226" i="4"/>
  <c r="Y1228" i="4"/>
  <c r="O339" i="2"/>
  <c r="N310" i="2"/>
  <c r="AG54" i="3"/>
  <c r="AG98" i="3"/>
  <c r="AI102" i="3"/>
  <c r="AH102" i="3"/>
  <c r="AG103" i="3"/>
  <c r="AG316" i="3"/>
  <c r="AH368" i="3"/>
  <c r="AW458" i="3"/>
  <c r="AI460" i="3"/>
  <c r="AI468" i="3"/>
  <c r="AH492" i="3"/>
  <c r="AH496" i="3"/>
  <c r="AG496" i="3"/>
  <c r="AH499" i="3"/>
  <c r="AG499" i="3"/>
  <c r="AG505" i="3"/>
  <c r="AH505" i="3"/>
  <c r="AG536" i="3"/>
  <c r="AJ569" i="3"/>
  <c r="AI569" i="3"/>
  <c r="AH579" i="3"/>
  <c r="AI612" i="3"/>
  <c r="AH612" i="3"/>
  <c r="AG612" i="3"/>
  <c r="AG653" i="3"/>
  <c r="AH653" i="3" s="1"/>
  <c r="AG662" i="3"/>
  <c r="AF662" i="3"/>
  <c r="AG679" i="3"/>
  <c r="AG687" i="3"/>
  <c r="AI700" i="3"/>
  <c r="AJ700" i="3"/>
  <c r="AH700" i="3"/>
  <c r="AG700" i="3"/>
  <c r="AG704" i="3"/>
  <c r="AG808" i="3"/>
  <c r="AF808" i="3"/>
  <c r="AG839" i="3"/>
  <c r="AF839" i="3"/>
  <c r="AI868" i="3"/>
  <c r="AH868" i="3"/>
  <c r="AG868" i="3"/>
  <c r="AK868" i="3"/>
  <c r="AJ868" i="3"/>
  <c r="AH876" i="3"/>
  <c r="AJ942" i="3"/>
  <c r="AG1040" i="3"/>
  <c r="AH1040" i="3" s="1"/>
  <c r="AI1040" i="3"/>
  <c r="AJ1040" i="3" s="1"/>
  <c r="AH1061" i="3"/>
  <c r="AG1104" i="3"/>
  <c r="AH1104" i="3"/>
  <c r="AG929" i="3"/>
  <c r="AG968" i="3"/>
  <c r="AG1082" i="3"/>
  <c r="AG1105" i="3"/>
  <c r="AI1115" i="3"/>
  <c r="AF1165" i="3"/>
  <c r="AG866" i="3"/>
  <c r="AF866" i="3"/>
  <c r="AF968" i="3"/>
  <c r="AG1158" i="3"/>
  <c r="AF1158" i="3"/>
  <c r="AG1245" i="3"/>
  <c r="AF1245" i="3"/>
  <c r="AG1294" i="3"/>
  <c r="AH1294" i="3"/>
  <c r="AG1324" i="3"/>
  <c r="AH1324" i="3" s="1"/>
  <c r="AW60" i="3"/>
  <c r="AX60" i="3" s="1"/>
  <c r="AG300" i="3"/>
  <c r="AH434" i="3"/>
  <c r="AJ443" i="3"/>
  <c r="AI443" i="3"/>
  <c r="AH456" i="3"/>
  <c r="AG504" i="3"/>
  <c r="AI552" i="3"/>
  <c r="AH552" i="3"/>
  <c r="AM555" i="3"/>
  <c r="AI574" i="3"/>
  <c r="AH586" i="3"/>
  <c r="AI654" i="3"/>
  <c r="AJ666" i="3"/>
  <c r="AH690" i="3"/>
  <c r="AG690" i="3"/>
  <c r="AG716" i="3"/>
  <c r="AI729" i="3"/>
  <c r="AG764" i="3"/>
  <c r="AG792" i="3"/>
  <c r="AI854" i="3"/>
  <c r="AI873" i="3"/>
  <c r="AG934" i="3"/>
  <c r="AI947" i="3"/>
  <c r="AH990" i="3"/>
  <c r="AW1137" i="3"/>
  <c r="AX1137" i="3" s="1"/>
  <c r="AG1162" i="3"/>
  <c r="AG1165" i="3"/>
  <c r="AG1196" i="3"/>
  <c r="AF1196" i="3"/>
  <c r="AG1205" i="3"/>
  <c r="AI1286" i="3"/>
  <c r="AH231" i="3"/>
  <c r="AF268" i="3"/>
  <c r="AF296" i="3"/>
  <c r="AF303" i="3"/>
  <c r="AF332" i="3"/>
  <c r="AF365" i="3"/>
  <c r="AG461" i="3"/>
  <c r="AK470" i="3"/>
  <c r="AG471" i="3"/>
  <c r="AG516" i="3"/>
  <c r="AG558" i="3"/>
  <c r="AH568" i="3"/>
  <c r="AJ592" i="3"/>
  <c r="AH598" i="3"/>
  <c r="AG607" i="3"/>
  <c r="AG615" i="3"/>
  <c r="AH652" i="3"/>
  <c r="AH692" i="3"/>
  <c r="AH726" i="3"/>
  <c r="AG726" i="3"/>
  <c r="AF799" i="3"/>
  <c r="AH826" i="3"/>
  <c r="AG826" i="3"/>
  <c r="AG828" i="3"/>
  <c r="AH850" i="3"/>
  <c r="AG863" i="3"/>
  <c r="AG888" i="3"/>
  <c r="AJ888" i="3"/>
  <c r="AI888" i="3"/>
  <c r="AH888" i="3"/>
  <c r="AG896" i="3"/>
  <c r="AF934" i="3"/>
  <c r="AJ947" i="3"/>
  <c r="AH956" i="3"/>
  <c r="AH969" i="3"/>
  <c r="AG969" i="3"/>
  <c r="AH987" i="3"/>
  <c r="AF990" i="3"/>
  <c r="AG1115" i="3"/>
  <c r="AH1134" i="3"/>
  <c r="AH1154" i="3"/>
  <c r="AG1154" i="3"/>
  <c r="AH1225" i="3"/>
  <c r="AG1256" i="3"/>
  <c r="AW1356" i="3"/>
  <c r="AX1357" i="3"/>
  <c r="AG1362" i="3"/>
  <c r="AG1383" i="3"/>
  <c r="AH778" i="3"/>
  <c r="AG807" i="3"/>
  <c r="AH807" i="3"/>
  <c r="AI807" i="3" s="1"/>
  <c r="AJ807" i="3" s="1"/>
  <c r="AH809" i="3"/>
  <c r="AG809" i="3"/>
  <c r="AF809" i="3"/>
  <c r="AG845" i="3"/>
  <c r="AG879" i="3"/>
  <c r="AI879" i="3"/>
  <c r="AG886" i="3"/>
  <c r="AF886" i="3"/>
  <c r="AH950" i="3"/>
  <c r="AG950" i="3"/>
  <c r="AG953" i="3"/>
  <c r="AH953" i="3" s="1"/>
  <c r="AI953" i="3"/>
  <c r="AG1057" i="3"/>
  <c r="AI1057" i="3"/>
  <c r="AH1057" i="3"/>
  <c r="AH1115" i="3"/>
  <c r="AG1163" i="3"/>
  <c r="AI1163" i="3"/>
  <c r="AG1166" i="3"/>
  <c r="AF1166" i="3"/>
  <c r="AH1248" i="3"/>
  <c r="AI1248" i="3" s="1"/>
  <c r="AF1325" i="3"/>
  <c r="AG1325" i="3"/>
  <c r="G1454" i="3"/>
  <c r="AC1392" i="3"/>
  <c r="AG164" i="3"/>
  <c r="AL242" i="3"/>
  <c r="AK242" i="3"/>
  <c r="AW381" i="3"/>
  <c r="AX381" i="3" s="1"/>
  <c r="AH432" i="3"/>
  <c r="AJ432" i="3" s="1"/>
  <c r="AH500" i="3"/>
  <c r="AI500" i="3" s="1"/>
  <c r="AG500" i="3"/>
  <c r="AI576" i="3"/>
  <c r="AH576" i="3"/>
  <c r="AG585" i="3"/>
  <c r="AG600" i="3"/>
  <c r="AG609" i="3"/>
  <c r="AG629" i="3"/>
  <c r="AG631" i="3"/>
  <c r="AH713" i="3"/>
  <c r="AG713" i="3"/>
  <c r="AG723" i="3"/>
  <c r="AG752" i="3"/>
  <c r="AI754" i="3"/>
  <c r="AH754" i="3"/>
  <c r="AJ754" i="3" s="1"/>
  <c r="AH761" i="3"/>
  <c r="AH787" i="3"/>
  <c r="AF879" i="3"/>
  <c r="AF894" i="3"/>
  <c r="AG894" i="3"/>
  <c r="AG910" i="3"/>
  <c r="AJ936" i="3"/>
  <c r="AF950" i="3"/>
  <c r="AH1041" i="3"/>
  <c r="AI1046" i="3"/>
  <c r="AG1086" i="3"/>
  <c r="AH1086" i="3" s="1"/>
  <c r="AH1098" i="3"/>
  <c r="AG1197" i="3"/>
  <c r="AH1197" i="3"/>
  <c r="AF1197" i="3"/>
  <c r="AW1241" i="3"/>
  <c r="AX1241" i="3" s="1"/>
  <c r="AG1300" i="3"/>
  <c r="AG1340" i="3"/>
  <c r="AH1340" i="3"/>
  <c r="AH1373" i="3"/>
  <c r="AG1373" i="3"/>
  <c r="AI1373" i="3"/>
  <c r="AG796" i="3"/>
  <c r="AH796" i="3"/>
  <c r="AJ800" i="3"/>
  <c r="AK800" i="3" s="1"/>
  <c r="AI800" i="3"/>
  <c r="AF807" i="3"/>
  <c r="AI809" i="3"/>
  <c r="AG847" i="3"/>
  <c r="AG870" i="3"/>
  <c r="AH879" i="3"/>
  <c r="AH886" i="3"/>
  <c r="AG900" i="3"/>
  <c r="AF900" i="3"/>
  <c r="AG902" i="3"/>
  <c r="AF912" i="3"/>
  <c r="AG912" i="3"/>
  <c r="AI950" i="3"/>
  <c r="AW1009" i="3"/>
  <c r="AX1009" i="3" s="1"/>
  <c r="AG1010" i="3"/>
  <c r="AH1010" i="3"/>
  <c r="AG1049" i="3"/>
  <c r="AG1120" i="3"/>
  <c r="AF1151" i="3"/>
  <c r="AG1151" i="3"/>
  <c r="AG1160" i="3"/>
  <c r="AH1160" i="3" s="1"/>
  <c r="AH1163" i="3"/>
  <c r="AH1242" i="3"/>
  <c r="AG1242" i="3"/>
  <c r="AL1363" i="3"/>
  <c r="AK1363" i="3"/>
  <c r="AJ1363" i="3"/>
  <c r="AI1363" i="3"/>
  <c r="AH1363" i="3"/>
  <c r="AG838" i="3"/>
  <c r="AG906" i="3"/>
  <c r="AI919" i="3"/>
  <c r="AH919" i="3"/>
  <c r="AG919" i="3"/>
  <c r="AG959" i="3"/>
  <c r="AF959" i="3"/>
  <c r="AG983" i="3"/>
  <c r="AG1038" i="3"/>
  <c r="AI1068" i="3"/>
  <c r="AG1068" i="3"/>
  <c r="AH1068" i="3"/>
  <c r="AI1083" i="3"/>
  <c r="AG1112" i="3"/>
  <c r="AG1131" i="3"/>
  <c r="AJ1202" i="3"/>
  <c r="AK1202" i="3"/>
  <c r="AI1202" i="3"/>
  <c r="X1438" i="3"/>
  <c r="AJ551" i="3"/>
  <c r="AI551" i="3"/>
  <c r="AF573" i="3"/>
  <c r="AG573" i="3"/>
  <c r="AG606" i="3"/>
  <c r="AF796" i="3"/>
  <c r="AG834" i="3"/>
  <c r="AF834" i="3"/>
  <c r="AG861" i="3"/>
  <c r="AF861" i="3"/>
  <c r="AF903" i="3"/>
  <c r="AG918" i="3"/>
  <c r="AG924" i="3"/>
  <c r="AJ931" i="3"/>
  <c r="AI931" i="3"/>
  <c r="AH931" i="3"/>
  <c r="AW1003" i="3"/>
  <c r="AG1117" i="3"/>
  <c r="AH1117" i="3"/>
  <c r="AI1117" i="3" s="1"/>
  <c r="AH1148" i="3"/>
  <c r="AG1148" i="3"/>
  <c r="AG1266" i="3"/>
  <c r="AG1296" i="3"/>
  <c r="AF247" i="3"/>
  <c r="AK270" i="3"/>
  <c r="AF270" i="3"/>
  <c r="AK401" i="3"/>
  <c r="AJ448" i="3"/>
  <c r="AH511" i="3"/>
  <c r="AG564" i="3"/>
  <c r="AK659" i="3"/>
  <c r="AJ659" i="3"/>
  <c r="AI659" i="3"/>
  <c r="AL659" i="3" s="1"/>
  <c r="AM659" i="3" s="1"/>
  <c r="AH659" i="3"/>
  <c r="AG705" i="3"/>
  <c r="AH731" i="3"/>
  <c r="AH744" i="3"/>
  <c r="AG753" i="3"/>
  <c r="AI766" i="3"/>
  <c r="AH766" i="3"/>
  <c r="AI836" i="3"/>
  <c r="AJ846" i="3"/>
  <c r="AI846" i="3"/>
  <c r="AG856" i="3"/>
  <c r="AI856" i="3" s="1"/>
  <c r="AH856" i="3"/>
  <c r="AG901" i="3"/>
  <c r="AH901" i="3"/>
  <c r="AG914" i="3"/>
  <c r="AG920" i="3"/>
  <c r="AI935" i="3"/>
  <c r="AH935" i="3"/>
  <c r="AG935" i="3"/>
  <c r="AH937" i="3"/>
  <c r="AG937" i="3"/>
  <c r="AG972" i="3"/>
  <c r="AF984" i="3"/>
  <c r="AW997" i="3"/>
  <c r="AX997" i="3" s="1"/>
  <c r="AH1022" i="3"/>
  <c r="AI1062" i="3"/>
  <c r="AG1096" i="3"/>
  <c r="AH1096" i="3"/>
  <c r="AF1108" i="3"/>
  <c r="AG1108" i="3"/>
  <c r="AW1135" i="3"/>
  <c r="AX1135" i="3" s="1"/>
  <c r="AG1145" i="3"/>
  <c r="AH1145" i="3"/>
  <c r="AI1145" i="3" s="1"/>
  <c r="AF1145" i="3"/>
  <c r="AF1324" i="3"/>
  <c r="AH1338" i="3"/>
  <c r="AG1338" i="3"/>
  <c r="AI1338" i="3"/>
  <c r="AF1343" i="3"/>
  <c r="AG1343" i="3"/>
  <c r="AJ1194" i="3"/>
  <c r="AI1194" i="3"/>
  <c r="AH1194" i="3"/>
  <c r="AG1226" i="3"/>
  <c r="AG943" i="3"/>
  <c r="AI1058" i="3"/>
  <c r="AG1058" i="3"/>
  <c r="AH1058" i="3"/>
  <c r="AH1130" i="3"/>
  <c r="AG1130" i="3"/>
  <c r="AG1171" i="3"/>
  <c r="AH1171" i="3"/>
  <c r="AF1171" i="3"/>
  <c r="AG1195" i="3"/>
  <c r="AH1195" i="3"/>
  <c r="AH1261" i="3"/>
  <c r="AG1261" i="3"/>
  <c r="AG1315" i="3"/>
  <c r="AH1315" i="3"/>
  <c r="AX1320" i="3"/>
  <c r="AG1177" i="3"/>
  <c r="AI1177" i="3"/>
  <c r="AJ1177" i="3"/>
  <c r="AK1177" i="3" s="1"/>
  <c r="AH1177" i="3"/>
  <c r="AG1220" i="3"/>
  <c r="AH1220" i="3"/>
  <c r="AJ501" i="3"/>
  <c r="AG594" i="3"/>
  <c r="AI617" i="3"/>
  <c r="AG621" i="3"/>
  <c r="AH658" i="3"/>
  <c r="AG658" i="3"/>
  <c r="AG725" i="3"/>
  <c r="AK728" i="3"/>
  <c r="AJ728" i="3"/>
  <c r="AH822" i="3"/>
  <c r="AG822" i="3"/>
  <c r="AG855" i="3"/>
  <c r="AH855" i="3" s="1"/>
  <c r="AF875" i="3"/>
  <c r="AH881" i="3"/>
  <c r="AF881" i="3"/>
  <c r="AG891" i="3"/>
  <c r="AH945" i="3"/>
  <c r="AG945" i="3"/>
  <c r="AF945" i="3"/>
  <c r="AG960" i="3"/>
  <c r="AF964" i="3"/>
  <c r="AG1035" i="3"/>
  <c r="AH1035" i="3"/>
  <c r="AI1054" i="3"/>
  <c r="AH1084" i="3"/>
  <c r="AI1084" i="3"/>
  <c r="AJ1084" i="3"/>
  <c r="AG1122" i="3"/>
  <c r="AH1122" i="3"/>
  <c r="AI1122" i="3"/>
  <c r="AG1159" i="3"/>
  <c r="AF1159" i="3"/>
  <c r="AL1217" i="3"/>
  <c r="AJ1217" i="3"/>
  <c r="AF349" i="3"/>
  <c r="AX458" i="3"/>
  <c r="AI571" i="3"/>
  <c r="AH571" i="3"/>
  <c r="AI636" i="3"/>
  <c r="AK670" i="3"/>
  <c r="AH685" i="3"/>
  <c r="AH688" i="3"/>
  <c r="AG688" i="3"/>
  <c r="AH689" i="3"/>
  <c r="AI736" i="3"/>
  <c r="AI804" i="3"/>
  <c r="AG814" i="3"/>
  <c r="AH814" i="3" s="1"/>
  <c r="AH885" i="3"/>
  <c r="AI885" i="3" s="1"/>
  <c r="AH930" i="3"/>
  <c r="AF960" i="3"/>
  <c r="AH977" i="3"/>
  <c r="AG989" i="3"/>
  <c r="AH1033" i="3"/>
  <c r="AF1054" i="3"/>
  <c r="AG1079" i="3"/>
  <c r="AG1089" i="3"/>
  <c r="AF1150" i="3"/>
  <c r="AG1150" i="3"/>
  <c r="AG1207" i="3"/>
  <c r="AG1240" i="3"/>
  <c r="AH1240" i="3"/>
  <c r="AI1240" i="3" s="1"/>
  <c r="AH1253" i="3"/>
  <c r="AG1253" i="3"/>
  <c r="AG1330" i="3"/>
  <c r="AG244" i="3"/>
  <c r="AH386" i="3"/>
  <c r="AG395" i="3"/>
  <c r="AG416" i="3"/>
  <c r="AH464" i="3"/>
  <c r="AG464" i="3"/>
  <c r="AG478" i="3"/>
  <c r="AH491" i="3"/>
  <c r="AK539" i="3"/>
  <c r="AJ539" i="3"/>
  <c r="AI539" i="3"/>
  <c r="AH539" i="3"/>
  <c r="AG540" i="3"/>
  <c r="AH540" i="3"/>
  <c r="AG541" i="3"/>
  <c r="AH543" i="3"/>
  <c r="AG543" i="3"/>
  <c r="AG562" i="3"/>
  <c r="AG583" i="3"/>
  <c r="AH583" i="3"/>
  <c r="AI583" i="3" s="1"/>
  <c r="AG623" i="3"/>
  <c r="AH623" i="3"/>
  <c r="AH627" i="3"/>
  <c r="AG641" i="3"/>
  <c r="AG650" i="3"/>
  <c r="AH661" i="3"/>
  <c r="AG674" i="3"/>
  <c r="AG703" i="3"/>
  <c r="AG711" i="3"/>
  <c r="AG732" i="3"/>
  <c r="AG763" i="3"/>
  <c r="AG770" i="3"/>
  <c r="AG791" i="3"/>
  <c r="AG795" i="3"/>
  <c r="AF795" i="3"/>
  <c r="AH795" i="3"/>
  <c r="AG798" i="3"/>
  <c r="AG801" i="3"/>
  <c r="AF811" i="3"/>
  <c r="AH858" i="3"/>
  <c r="AG858" i="3"/>
  <c r="AF858" i="3"/>
  <c r="AI908" i="3"/>
  <c r="AH908" i="3"/>
  <c r="AH921" i="3"/>
  <c r="AI932" i="3"/>
  <c r="AG1006" i="3"/>
  <c r="AH1006" i="3" s="1"/>
  <c r="AW1017" i="3"/>
  <c r="AX1017" i="3" s="1"/>
  <c r="AK1020" i="3"/>
  <c r="AG1031" i="3"/>
  <c r="AH1031" i="3"/>
  <c r="AH1052" i="3"/>
  <c r="AH1059" i="3"/>
  <c r="AG1116" i="3"/>
  <c r="AH1125" i="3"/>
  <c r="AG1125" i="3"/>
  <c r="AH1170" i="3"/>
  <c r="AG1170" i="3"/>
  <c r="AF1170" i="3"/>
  <c r="AI1200" i="3"/>
  <c r="AH1200" i="3"/>
  <c r="AG1200" i="3"/>
  <c r="AG1237" i="3"/>
  <c r="AI1311" i="3"/>
  <c r="AW1316" i="3"/>
  <c r="AX1316" i="3" s="1"/>
  <c r="AI1207" i="3"/>
  <c r="AH1207" i="3"/>
  <c r="AH1213" i="3"/>
  <c r="AA1449" i="3"/>
  <c r="AJ710" i="3"/>
  <c r="AI710" i="3"/>
  <c r="AJ729" i="3"/>
  <c r="AL739" i="3"/>
  <c r="AG751" i="3"/>
  <c r="AI751" i="3"/>
  <c r="AH751" i="3"/>
  <c r="AI757" i="3"/>
  <c r="AF829" i="3"/>
  <c r="AF845" i="3"/>
  <c r="AL869" i="3"/>
  <c r="AK869" i="3"/>
  <c r="AJ869" i="3"/>
  <c r="AF878" i="3"/>
  <c r="AF901" i="3"/>
  <c r="AF948" i="3"/>
  <c r="AG957" i="3"/>
  <c r="AG991" i="3"/>
  <c r="AW1001" i="3"/>
  <c r="AX1001" i="3" s="1"/>
  <c r="AG1002" i="3"/>
  <c r="AH1032" i="3"/>
  <c r="AG1032" i="3"/>
  <c r="AI1123" i="3"/>
  <c r="AG1192" i="3"/>
  <c r="AH1192" i="3"/>
  <c r="AH1345" i="3"/>
  <c r="Y1405" i="3"/>
  <c r="Y1436" i="3"/>
  <c r="Y1438" i="3" s="1"/>
  <c r="AG657" i="3"/>
  <c r="AH662" i="3"/>
  <c r="AG668" i="3"/>
  <c r="AI676" i="3"/>
  <c r="AG676" i="3"/>
  <c r="AH676" i="3"/>
  <c r="AG694" i="3"/>
  <c r="AG717" i="3"/>
  <c r="AG767" i="3"/>
  <c r="AG781" i="3"/>
  <c r="AK805" i="3"/>
  <c r="AJ805" i="3"/>
  <c r="AG819" i="3"/>
  <c r="AG824" i="3"/>
  <c r="AG832" i="3"/>
  <c r="AG841" i="3"/>
  <c r="AH893" i="3"/>
  <c r="AI907" i="3"/>
  <c r="AG911" i="3"/>
  <c r="AG915" i="3"/>
  <c r="AI936" i="3"/>
  <c r="AH936" i="3"/>
  <c r="AH939" i="3"/>
  <c r="AG939" i="3"/>
  <c r="AG961" i="3"/>
  <c r="AH1034" i="3"/>
  <c r="AI1034" i="3"/>
  <c r="AG1074" i="3"/>
  <c r="AG1099" i="3"/>
  <c r="AG1277" i="3"/>
  <c r="AH1277" i="3"/>
  <c r="AX1301" i="3"/>
  <c r="AH1366" i="3"/>
  <c r="AG1366" i="3"/>
  <c r="AA1402" i="3"/>
  <c r="AA1436" i="3"/>
  <c r="AB1402" i="3"/>
  <c r="AB1436" i="3"/>
  <c r="AB1438" i="3" s="1"/>
  <c r="AG1331" i="3"/>
  <c r="AH1331" i="3"/>
  <c r="AW1342" i="3"/>
  <c r="AX1342" i="3" s="1"/>
  <c r="AG1367" i="3"/>
  <c r="AH1367" i="3" s="1"/>
  <c r="AI1367" i="3" s="1"/>
  <c r="AI780" i="3"/>
  <c r="AI788" i="3"/>
  <c r="AJ788" i="3"/>
  <c r="AH788" i="3"/>
  <c r="AG788" i="3"/>
  <c r="AK818" i="3"/>
  <c r="AJ818" i="3"/>
  <c r="AF819" i="3"/>
  <c r="AG877" i="3"/>
  <c r="AF877" i="3"/>
  <c r="AI904" i="3"/>
  <c r="AH904" i="3"/>
  <c r="AG909" i="3"/>
  <c r="AF909" i="3"/>
  <c r="AF917" i="3"/>
  <c r="AG925" i="3"/>
  <c r="AF957" i="3"/>
  <c r="AW993" i="3"/>
  <c r="AX993" i="3" s="1"/>
  <c r="AW995" i="3"/>
  <c r="AX995" i="3" s="1"/>
  <c r="AG998" i="3"/>
  <c r="AG1064" i="3"/>
  <c r="AH1064" i="3" s="1"/>
  <c r="AI1064" i="3" s="1"/>
  <c r="AI1097" i="3"/>
  <c r="AH1097" i="3"/>
  <c r="AG1269" i="3"/>
  <c r="AG626" i="3"/>
  <c r="AG639" i="3"/>
  <c r="AG682" i="3"/>
  <c r="AF827" i="3"/>
  <c r="AG833" i="3"/>
  <c r="AF833" i="3"/>
  <c r="AG871" i="3"/>
  <c r="AJ872" i="3"/>
  <c r="AH949" i="3"/>
  <c r="AI988" i="3"/>
  <c r="AH988" i="3"/>
  <c r="AG988" i="3"/>
  <c r="AF988" i="3"/>
  <c r="AI996" i="3"/>
  <c r="AH1012" i="3"/>
  <c r="AG1012" i="3"/>
  <c r="AG1044" i="3"/>
  <c r="AJ1046" i="3"/>
  <c r="AG1055" i="3"/>
  <c r="AH1055" i="3"/>
  <c r="AG1129" i="3"/>
  <c r="AH1180" i="3"/>
  <c r="AI1180" i="3" s="1"/>
  <c r="AW1219" i="3"/>
  <c r="AX1219" i="3" s="1"/>
  <c r="AI1236" i="3"/>
  <c r="AJ1236" i="3" s="1"/>
  <c r="AH1236" i="3"/>
  <c r="AG1255" i="3"/>
  <c r="AG1321" i="3"/>
  <c r="AW1336" i="3"/>
  <c r="AX1336" i="3" s="1"/>
  <c r="AH1389" i="3"/>
  <c r="X1437" i="3"/>
  <c r="X1408" i="3"/>
  <c r="AI883" i="3"/>
  <c r="AH883" i="3"/>
  <c r="AG883" i="3"/>
  <c r="AH892" i="3"/>
  <c r="AF925" i="3"/>
  <c r="AF936" i="3"/>
  <c r="AF949" i="3"/>
  <c r="AF963" i="3"/>
  <c r="AG965" i="3"/>
  <c r="AI1020" i="3"/>
  <c r="AG1073" i="3"/>
  <c r="AH1073" i="3" s="1"/>
  <c r="AI1073" i="3"/>
  <c r="AH1083" i="3"/>
  <c r="AG1091" i="3"/>
  <c r="AH1091" i="3"/>
  <c r="AG1111" i="3"/>
  <c r="AH1132" i="3"/>
  <c r="AG1132" i="3"/>
  <c r="AG1139" i="3"/>
  <c r="AH1139" i="3"/>
  <c r="AH1143" i="3"/>
  <c r="AG1143" i="3"/>
  <c r="AI1143" i="3"/>
  <c r="AH1157" i="3"/>
  <c r="AG1157" i="3"/>
  <c r="AH1182" i="3"/>
  <c r="AF1182" i="3"/>
  <c r="AG1182" i="3"/>
  <c r="AW1191" i="3"/>
  <c r="AX1191" i="3" s="1"/>
  <c r="AG1210" i="3"/>
  <c r="AH1262" i="3"/>
  <c r="AG1262" i="3"/>
  <c r="AG1278" i="3"/>
  <c r="AG1283" i="3"/>
  <c r="AH1283" i="3"/>
  <c r="AW1299" i="3"/>
  <c r="AX1299" i="3" s="1"/>
  <c r="AW1358" i="3"/>
  <c r="AX1358" i="3" s="1"/>
  <c r="AH1183" i="3"/>
  <c r="AF1183" i="3"/>
  <c r="AG1188" i="3"/>
  <c r="AI1188" i="3"/>
  <c r="AH1188" i="3"/>
  <c r="AG1293" i="3"/>
  <c r="AG1297" i="3"/>
  <c r="AG1304" i="3"/>
  <c r="AG1380" i="3"/>
  <c r="AG1364" i="3"/>
  <c r="G1457" i="3"/>
  <c r="AH584" i="3"/>
  <c r="AI586" i="3"/>
  <c r="AG852" i="3"/>
  <c r="AF915" i="3"/>
  <c r="AI1036" i="3"/>
  <c r="AG1047" i="3"/>
  <c r="AH1065" i="3"/>
  <c r="AG1078" i="3"/>
  <c r="AH1078" i="3"/>
  <c r="AG1092" i="3"/>
  <c r="AI1184" i="3"/>
  <c r="AH1184" i="3"/>
  <c r="AG1184" i="3"/>
  <c r="AF1184" i="3"/>
  <c r="AI1209" i="3"/>
  <c r="AG1214" i="3"/>
  <c r="AF1231" i="3"/>
  <c r="AG1231" i="3"/>
  <c r="AX1243" i="3"/>
  <c r="AG1257" i="3"/>
  <c r="AJ1263" i="3"/>
  <c r="AI1263" i="3"/>
  <c r="AJ1282" i="3"/>
  <c r="AK1282" i="3" s="1"/>
  <c r="AI1282" i="3"/>
  <c r="AL1282" i="3" s="1"/>
  <c r="AH1282" i="3"/>
  <c r="AG1282" i="3"/>
  <c r="AI1303" i="3"/>
  <c r="AJ1303" i="3" s="1"/>
  <c r="AW1357" i="3"/>
  <c r="AH1385" i="3"/>
  <c r="AG1385" i="3"/>
  <c r="Z1399" i="3"/>
  <c r="Z1436" i="3"/>
  <c r="Z1438" i="3" s="1"/>
  <c r="W1411" i="3"/>
  <c r="W1437" i="3"/>
  <c r="P17" i="6"/>
  <c r="D41" i="6"/>
  <c r="P103" i="10"/>
  <c r="R44" i="8"/>
  <c r="P104" i="10"/>
  <c r="R45" i="8"/>
  <c r="P102" i="10"/>
  <c r="AD380" i="3"/>
  <c r="AD1392" i="3" s="1"/>
  <c r="AH610" i="3"/>
  <c r="AH613" i="3"/>
  <c r="AL670" i="3"/>
  <c r="AG671" i="3"/>
  <c r="AH671" i="3" s="1"/>
  <c r="AI671" i="3" s="1"/>
  <c r="AH683" i="3"/>
  <c r="AI718" i="3"/>
  <c r="AK749" i="3"/>
  <c r="AJ749" i="3"/>
  <c r="AF820" i="3"/>
  <c r="AF855" i="3"/>
  <c r="AH859" i="3"/>
  <c r="AI884" i="3"/>
  <c r="AJ884" i="3"/>
  <c r="AK884" i="3" s="1"/>
  <c r="AF888" i="3"/>
  <c r="AF953" i="3"/>
  <c r="AG985" i="3"/>
  <c r="G1458" i="3"/>
  <c r="I1458" i="3" s="1"/>
  <c r="AG1029" i="3"/>
  <c r="AG1043" i="3"/>
  <c r="AJ1062" i="3"/>
  <c r="AX1201" i="3"/>
  <c r="AH1204" i="3"/>
  <c r="AI1204" i="3"/>
  <c r="AX1238" i="3"/>
  <c r="AJ1252" i="3"/>
  <c r="AI1252" i="3"/>
  <c r="AH1252" i="3"/>
  <c r="AH1254" i="3"/>
  <c r="AH1280" i="3"/>
  <c r="AG1280" i="3"/>
  <c r="AH1285" i="3"/>
  <c r="AX1312" i="3"/>
  <c r="AG1339" i="3"/>
  <c r="AH1339" i="3"/>
  <c r="AG1388" i="3"/>
  <c r="AG958" i="3"/>
  <c r="AG962" i="3"/>
  <c r="AG967" i="3"/>
  <c r="AG970" i="3"/>
  <c r="AI974" i="3"/>
  <c r="AH974" i="3"/>
  <c r="AH978" i="3"/>
  <c r="AG982" i="3"/>
  <c r="AF982" i="3"/>
  <c r="AH992" i="3"/>
  <c r="AW999" i="3"/>
  <c r="AX999" i="3" s="1"/>
  <c r="AG1025" i="3"/>
  <c r="AH1025" i="3"/>
  <c r="AH1028" i="3"/>
  <c r="AH1080" i="3"/>
  <c r="AJ1080" i="3"/>
  <c r="AI1080" i="3"/>
  <c r="AG1094" i="3"/>
  <c r="AF1094" i="3"/>
  <c r="AI1168" i="3"/>
  <c r="AJ1168" i="3"/>
  <c r="AG1174" i="3"/>
  <c r="AH1174" i="3"/>
  <c r="AW1189" i="3"/>
  <c r="AX1189" i="3" s="1"/>
  <c r="AG1190" i="3"/>
  <c r="AX1193" i="3"/>
  <c r="AG1218" i="3"/>
  <c r="AG1223" i="3"/>
  <c r="AH1223" i="3"/>
  <c r="AG1291" i="3"/>
  <c r="AG1317" i="3"/>
  <c r="AH1354" i="3"/>
  <c r="AB39" i="8"/>
  <c r="Z39" i="8"/>
  <c r="Y39" i="8"/>
  <c r="AF974" i="3"/>
  <c r="AH1036" i="3"/>
  <c r="AH1060" i="3"/>
  <c r="AH1067" i="3"/>
  <c r="AG1067" i="3"/>
  <c r="AH1070" i="3"/>
  <c r="AG1072" i="3"/>
  <c r="AH1072" i="3" s="1"/>
  <c r="AH1101" i="3"/>
  <c r="AJ1101" i="3" s="1"/>
  <c r="AG1121" i="3"/>
  <c r="AF1149" i="3"/>
  <c r="AG1149" i="3"/>
  <c r="AH1151" i="3"/>
  <c r="AG1172" i="3"/>
  <c r="AF1180" i="3"/>
  <c r="AW1201" i="3"/>
  <c r="AG1285" i="3"/>
  <c r="U1426" i="3"/>
  <c r="I135" i="5"/>
  <c r="I201" i="5" s="1"/>
  <c r="M201" i="5"/>
  <c r="AG695" i="3"/>
  <c r="AK777" i="3"/>
  <c r="AH789" i="3"/>
  <c r="AG927" i="3"/>
  <c r="AH927" i="3" s="1"/>
  <c r="AG966" i="3"/>
  <c r="AH966" i="3"/>
  <c r="AF966" i="3"/>
  <c r="AI981" i="3"/>
  <c r="AH981" i="3"/>
  <c r="AX1003" i="3"/>
  <c r="AJ1050" i="3"/>
  <c r="AI1050" i="3"/>
  <c r="AH1050" i="3"/>
  <c r="AH1087" i="3"/>
  <c r="AG1127" i="3"/>
  <c r="AF1154" i="3"/>
  <c r="AG1290" i="3"/>
  <c r="AG1295" i="3"/>
  <c r="AH1295" i="3"/>
  <c r="AI1341" i="3"/>
  <c r="AH1341" i="3"/>
  <c r="AG1341" i="3"/>
  <c r="N135" i="5"/>
  <c r="N201" i="5" s="1"/>
  <c r="AH530" i="3"/>
  <c r="AX622" i="3"/>
  <c r="AJ664" i="3"/>
  <c r="AI708" i="3"/>
  <c r="AG714" i="3"/>
  <c r="AG783" i="3"/>
  <c r="AF852" i="3"/>
  <c r="AG865" i="3"/>
  <c r="AK897" i="3"/>
  <c r="AL897" i="3"/>
  <c r="AJ897" i="3"/>
  <c r="AI916" i="3"/>
  <c r="AG941" i="3"/>
  <c r="AI980" i="3"/>
  <c r="AW1015" i="3"/>
  <c r="AX1015" i="3" s="1"/>
  <c r="AI1037" i="3"/>
  <c r="AG1103" i="3"/>
  <c r="AH1103" i="3"/>
  <c r="AI1103" i="3" s="1"/>
  <c r="AJ1124" i="3"/>
  <c r="AH1138" i="3"/>
  <c r="AJ1141" i="3"/>
  <c r="AH1199" i="3"/>
  <c r="AG1199" i="3"/>
  <c r="AG1224" i="3"/>
  <c r="AH1232" i="3"/>
  <c r="AH1258" i="3"/>
  <c r="AG1260" i="3"/>
  <c r="AH1260" i="3"/>
  <c r="AG1276" i="3"/>
  <c r="AI1309" i="3"/>
  <c r="AH1309" i="3"/>
  <c r="AW1349" i="3"/>
  <c r="AX1349" i="3" s="1"/>
  <c r="AH1350" i="3"/>
  <c r="AI1350" i="3" s="1"/>
  <c r="Q217" i="8"/>
  <c r="AH573" i="3"/>
  <c r="AI573" i="3" s="1"/>
  <c r="AG645" i="3"/>
  <c r="AI652" i="3"/>
  <c r="AJ677" i="3"/>
  <c r="AG701" i="3"/>
  <c r="AK721" i="3"/>
  <c r="AF865" i="3"/>
  <c r="AF928" i="3"/>
  <c r="AF941" i="3"/>
  <c r="AI966" i="3"/>
  <c r="AH973" i="3"/>
  <c r="AH1030" i="3"/>
  <c r="AG1042" i="3"/>
  <c r="AH1054" i="3"/>
  <c r="AJ1054" i="3" s="1"/>
  <c r="AG1063" i="3"/>
  <c r="AG1087" i="3"/>
  <c r="AG1090" i="3"/>
  <c r="AG1114" i="3"/>
  <c r="AH1141" i="3"/>
  <c r="AK1141" i="3" s="1"/>
  <c r="AI1167" i="3"/>
  <c r="AW1238" i="3"/>
  <c r="AH1272" i="3"/>
  <c r="AG1298" i="3"/>
  <c r="AG1347" i="3"/>
  <c r="AG1353" i="3"/>
  <c r="AG1244" i="3"/>
  <c r="AH1244" i="3" s="1"/>
  <c r="AG1274" i="3"/>
  <c r="AI1302" i="3"/>
  <c r="AH1302" i="3"/>
  <c r="AG1302" i="3"/>
  <c r="E84" i="5"/>
  <c r="E135" i="5" s="1"/>
  <c r="AF965" i="3"/>
  <c r="AW1011" i="3"/>
  <c r="AW1019" i="3"/>
  <c r="AX1019" i="3" s="1"/>
  <c r="AJ1106" i="3"/>
  <c r="AG1140" i="3"/>
  <c r="AG1153" i="3"/>
  <c r="AG1176" i="3"/>
  <c r="AG1179" i="3"/>
  <c r="AH1179" i="3"/>
  <c r="AI1179" i="3" s="1"/>
  <c r="AG1212" i="3"/>
  <c r="AH1246" i="3"/>
  <c r="AG1246" i="3"/>
  <c r="AI1246" i="3"/>
  <c r="AG1251" i="3"/>
  <c r="AJ1323" i="3"/>
  <c r="AI1323" i="3"/>
  <c r="AH1323" i="3"/>
  <c r="AH1376" i="3"/>
  <c r="AG923" i="3"/>
  <c r="AF937" i="3"/>
  <c r="AH954" i="3"/>
  <c r="AG1004" i="3"/>
  <c r="AH1056" i="3"/>
  <c r="AI1056" i="3"/>
  <c r="AJ1056" i="3" s="1"/>
  <c r="AG1085" i="3"/>
  <c r="AI1101" i="3"/>
  <c r="AK1101" i="3"/>
  <c r="AX1113" i="3"/>
  <c r="AH1118" i="3"/>
  <c r="AH1144" i="3"/>
  <c r="AI1144" i="3" s="1"/>
  <c r="AF1153" i="3"/>
  <c r="AG1161" i="3"/>
  <c r="AI1173" i="3"/>
  <c r="AF1176" i="3"/>
  <c r="AG1186" i="3"/>
  <c r="AW1216" i="3"/>
  <c r="AX1216" i="3" s="1"/>
  <c r="AH1305" i="3"/>
  <c r="AG1310" i="3"/>
  <c r="AG1313" i="3"/>
  <c r="AH1313" i="3"/>
  <c r="AJ1313" i="3" s="1"/>
  <c r="AI1313" i="3"/>
  <c r="AF1323" i="3"/>
  <c r="AH1326" i="3"/>
  <c r="AG1328" i="3"/>
  <c r="AW1365" i="3"/>
  <c r="AX1365" i="3" s="1"/>
  <c r="AG1381" i="3"/>
  <c r="AG1384" i="3"/>
  <c r="AF1384" i="3"/>
  <c r="G135" i="5"/>
  <c r="G201" i="5" s="1"/>
  <c r="AG1206" i="3"/>
  <c r="AG1211" i="3"/>
  <c r="AH1211" i="3" s="1"/>
  <c r="AI1217" i="3"/>
  <c r="AH1217" i="3"/>
  <c r="AK1217" i="3"/>
  <c r="AG1221" i="3"/>
  <c r="AH1221" i="3"/>
  <c r="AW1287" i="3"/>
  <c r="AX1287" i="3" s="1"/>
  <c r="AG1337" i="3"/>
  <c r="X37" i="8"/>
  <c r="AG1077" i="3"/>
  <c r="AI1095" i="3"/>
  <c r="AH1095" i="3"/>
  <c r="AG1126" i="3"/>
  <c r="AI1141" i="3"/>
  <c r="AI1146" i="3"/>
  <c r="AH1146" i="3"/>
  <c r="AH1164" i="3"/>
  <c r="AI1164" i="3"/>
  <c r="AG1203" i="3"/>
  <c r="AG1281" i="3"/>
  <c r="AJ1329" i="3"/>
  <c r="AH1329" i="3"/>
  <c r="AI1329" i="3"/>
  <c r="AH1346" i="3"/>
  <c r="AG1377" i="3"/>
  <c r="Y37" i="8"/>
  <c r="U37" i="8"/>
  <c r="Z37" i="8"/>
  <c r="W39" i="8"/>
  <c r="AF944" i="3"/>
  <c r="AF976" i="3"/>
  <c r="AF977" i="3"/>
  <c r="AG979" i="3"/>
  <c r="AW1013" i="3"/>
  <c r="AX1013" i="3" s="1"/>
  <c r="AH1109" i="3"/>
  <c r="AI1109" i="3" s="1"/>
  <c r="AJ1109" i="3"/>
  <c r="AG1110" i="3"/>
  <c r="AF1146" i="3"/>
  <c r="AG1156" i="3"/>
  <c r="AH1156" i="3" s="1"/>
  <c r="AF1164" i="3"/>
  <c r="AH1178" i="3"/>
  <c r="AF1206" i="3"/>
  <c r="AG1208" i="3"/>
  <c r="AG1259" i="3"/>
  <c r="AH1259" i="3"/>
  <c r="AG1265" i="3"/>
  <c r="AF1265" i="3"/>
  <c r="AG1271" i="3"/>
  <c r="AG1279" i="3"/>
  <c r="AH1335" i="3"/>
  <c r="AG1335" i="3"/>
  <c r="AH1337" i="3"/>
  <c r="AH1348" i="3"/>
  <c r="AW1370" i="3"/>
  <c r="AG1371" i="3"/>
  <c r="AH1390" i="3"/>
  <c r="AG1155" i="3"/>
  <c r="AF1162" i="3"/>
  <c r="AF1177" i="3"/>
  <c r="AH1250" i="3"/>
  <c r="AG1378" i="3"/>
  <c r="AH1378" i="3" s="1"/>
  <c r="V1408" i="3"/>
  <c r="U39" i="8"/>
  <c r="AA39" i="8"/>
  <c r="L103" i="10"/>
  <c r="L104" i="10"/>
  <c r="L102" i="10"/>
  <c r="V43" i="8"/>
  <c r="AG1016" i="3"/>
  <c r="AH1169" i="3"/>
  <c r="AG1181" i="3"/>
  <c r="AG1185" i="3"/>
  <c r="AG1239" i="3"/>
  <c r="AJ1270" i="3"/>
  <c r="AK1270" i="3" s="1"/>
  <c r="AH1306" i="3"/>
  <c r="AG1306" i="3"/>
  <c r="AI1306" i="3" s="1"/>
  <c r="AI1372" i="3"/>
  <c r="AH1372" i="3"/>
  <c r="AG1382" i="3"/>
  <c r="Y1399" i="3"/>
  <c r="U1402" i="3"/>
  <c r="U1437" i="3"/>
  <c r="Y40" i="8"/>
  <c r="AG1147" i="3"/>
  <c r="AG1187" i="3"/>
  <c r="AH1187" i="3"/>
  <c r="AH1230" i="3"/>
  <c r="AG1268" i="3"/>
  <c r="AW1312" i="3"/>
  <c r="AH1327" i="3"/>
  <c r="AH1332" i="3"/>
  <c r="AG1332" i="3"/>
  <c r="AG1351" i="3"/>
  <c r="AG1359" i="3"/>
  <c r="AG1368" i="3"/>
  <c r="AH1375" i="3"/>
  <c r="AG1375" i="3"/>
  <c r="AX1215" i="3"/>
  <c r="AG1229" i="3"/>
  <c r="AH1288" i="3"/>
  <c r="AI1288" i="3" s="1"/>
  <c r="AW1307" i="3"/>
  <c r="AX1307" i="3" s="1"/>
  <c r="AH1386" i="3"/>
  <c r="X46" i="8"/>
  <c r="AG902" i="4"/>
  <c r="AG910" i="4" s="1"/>
  <c r="X902" i="4"/>
  <c r="X910" i="4" s="1"/>
  <c r="AE902" i="4"/>
  <c r="AE910" i="4" s="1"/>
  <c r="T902" i="4"/>
  <c r="T910" i="4" s="1"/>
  <c r="AW1007" i="3"/>
  <c r="AX1007" i="3" s="1"/>
  <c r="AH1094" i="3"/>
  <c r="AH1102" i="3"/>
  <c r="AW1119" i="3"/>
  <c r="AX1119" i="3" s="1"/>
  <c r="AG1136" i="3"/>
  <c r="AH1136" i="3" s="1"/>
  <c r="AI1136" i="3" s="1"/>
  <c r="AH1147" i="3"/>
  <c r="AI1187" i="3"/>
  <c r="AH1222" i="3"/>
  <c r="AG1222" i="3"/>
  <c r="AG1230" i="3"/>
  <c r="AG1267" i="3"/>
  <c r="AH1308" i="3"/>
  <c r="AG1308" i="3"/>
  <c r="AI1327" i="3"/>
  <c r="AI1332" i="3"/>
  <c r="AH1344" i="3"/>
  <c r="AG1361" i="3"/>
  <c r="V1437" i="3"/>
  <c r="AB46" i="8"/>
  <c r="AA46" i="8"/>
  <c r="Z46" i="8"/>
  <c r="Y46" i="8"/>
  <c r="AF1163" i="3"/>
  <c r="AF1195" i="3"/>
  <c r="AK1213" i="3"/>
  <c r="AJ1213" i="3"/>
  <c r="AI1213" i="3"/>
  <c r="AI1249" i="3"/>
  <c r="AH1249" i="3"/>
  <c r="AJ1249" i="3"/>
  <c r="AI1284" i="3"/>
  <c r="AI1360" i="3"/>
  <c r="AH1360" i="3"/>
  <c r="X1449" i="3"/>
  <c r="P132" i="5"/>
  <c r="AG1227" i="3"/>
  <c r="AH1227" i="3"/>
  <c r="AI1227" i="3"/>
  <c r="AG1275" i="3"/>
  <c r="AW1322" i="3"/>
  <c r="AX1322" i="3" s="1"/>
  <c r="AX1356" i="3"/>
  <c r="AA1437" i="3"/>
  <c r="V1411" i="3"/>
  <c r="U1423" i="3"/>
  <c r="F1456" i="3"/>
  <c r="J1456" i="3"/>
  <c r="O84" i="5"/>
  <c r="O135" i="5" s="1"/>
  <c r="O201" i="5" s="1"/>
  <c r="AA1148" i="4"/>
  <c r="Z1148" i="4"/>
  <c r="Y1148" i="4"/>
  <c r="X1148" i="4"/>
  <c r="W1148" i="4"/>
  <c r="AD1148" i="4"/>
  <c r="AD1149" i="4" s="1"/>
  <c r="AC1148" i="4"/>
  <c r="AC1149" i="4" s="1"/>
  <c r="AB1148" i="4"/>
  <c r="V1148" i="4"/>
  <c r="U1148" i="4"/>
  <c r="T1148" i="4"/>
  <c r="T1149" i="4" s="1"/>
  <c r="AG1148" i="4"/>
  <c r="AG1149" i="4" s="1"/>
  <c r="AF1148" i="4"/>
  <c r="AF1149" i="4" s="1"/>
  <c r="AE1148" i="4"/>
  <c r="AE1149" i="4" s="1"/>
  <c r="S1148" i="4"/>
  <c r="R1148" i="4"/>
  <c r="AF1186" i="3"/>
  <c r="AJ1273" i="3"/>
  <c r="AW1289" i="3"/>
  <c r="AX1289" i="3" s="1"/>
  <c r="AW1320" i="3"/>
  <c r="AG1391" i="3"/>
  <c r="AH1391" i="3" s="1"/>
  <c r="AB1437" i="3"/>
  <c r="P84" i="5"/>
  <c r="U46" i="8"/>
  <c r="AG1387" i="3"/>
  <c r="U1405" i="3"/>
  <c r="Q127" i="6"/>
  <c r="Q128" i="6" s="1"/>
  <c r="T37" i="8"/>
  <c r="X41" i="8"/>
  <c r="AA42" i="8"/>
  <c r="Z42" i="8"/>
  <c r="Y42" i="8"/>
  <c r="X42" i="8"/>
  <c r="U1448" i="3"/>
  <c r="F1457" i="3"/>
  <c r="Z41" i="8"/>
  <c r="Y41" i="8"/>
  <c r="AK1194" i="3"/>
  <c r="AH1228" i="3"/>
  <c r="AG1233" i="3"/>
  <c r="AH1264" i="3"/>
  <c r="AH1292" i="3"/>
  <c r="AH1319" i="3"/>
  <c r="AI1390" i="3"/>
  <c r="W46" i="8"/>
  <c r="AF1205" i="3"/>
  <c r="AW1314" i="3"/>
  <c r="AX1314" i="3" s="1"/>
  <c r="AH1352" i="3"/>
  <c r="AG1352" i="3"/>
  <c r="AG1374" i="3"/>
  <c r="U1436" i="3"/>
  <c r="W1435" i="3"/>
  <c r="U1449" i="3"/>
  <c r="P127" i="6"/>
  <c r="T42" i="8"/>
  <c r="V627" i="4"/>
  <c r="V628" i="4" s="1"/>
  <c r="AC627" i="4"/>
  <c r="AC628" i="4" s="1"/>
  <c r="X627" i="4"/>
  <c r="X628" i="4" s="1"/>
  <c r="W627" i="4"/>
  <c r="W628" i="4" s="1"/>
  <c r="U627" i="4"/>
  <c r="U628" i="4" s="1"/>
  <c r="T627" i="4"/>
  <c r="T628" i="4" s="1"/>
  <c r="S627" i="4"/>
  <c r="S628" i="4" s="1"/>
  <c r="AF627" i="4"/>
  <c r="AF628" i="4" s="1"/>
  <c r="AE627" i="4"/>
  <c r="AE628" i="4" s="1"/>
  <c r="AD627" i="4"/>
  <c r="AD628" i="4" s="1"/>
  <c r="AB627" i="4"/>
  <c r="AB628" i="4" s="1"/>
  <c r="AA627" i="4"/>
  <c r="AA628" i="4" s="1"/>
  <c r="Z627" i="4"/>
  <c r="Z628" i="4" s="1"/>
  <c r="AG627" i="4"/>
  <c r="AG628" i="4" s="1"/>
  <c r="AG1334" i="3"/>
  <c r="AX1370" i="3"/>
  <c r="AG1379" i="3"/>
  <c r="AB36" i="8"/>
  <c r="AA36" i="8"/>
  <c r="Z36" i="8"/>
  <c r="Y36" i="8"/>
  <c r="X36" i="8"/>
  <c r="W36" i="8"/>
  <c r="U36" i="8"/>
  <c r="T36" i="8"/>
  <c r="C44" i="8"/>
  <c r="AB43" i="8"/>
  <c r="AA43" i="8"/>
  <c r="Z43" i="8"/>
  <c r="Y43" i="8"/>
  <c r="C45" i="8"/>
  <c r="X43" i="8"/>
  <c r="W43" i="8"/>
  <c r="U43" i="8"/>
  <c r="T43" i="8"/>
  <c r="Y627" i="4"/>
  <c r="Y628" i="4" s="1"/>
  <c r="AA1448" i="3"/>
  <c r="M130" i="6"/>
  <c r="M150" i="6" s="1"/>
  <c r="M157" i="6" s="1"/>
  <c r="M162" i="6" s="1"/>
  <c r="V38" i="8"/>
  <c r="AB38" i="8"/>
  <c r="U42" i="8"/>
  <c r="M104" i="10"/>
  <c r="M102" i="10"/>
  <c r="M103" i="10"/>
  <c r="O44" i="8"/>
  <c r="O45" i="8"/>
  <c r="Q80" i="8"/>
  <c r="Q81" i="8" s="1"/>
  <c r="Q76" i="8"/>
  <c r="AD471" i="4"/>
  <c r="S471" i="4"/>
  <c r="AE471" i="4"/>
  <c r="AC471" i="4"/>
  <c r="AB471" i="4"/>
  <c r="AA471" i="4"/>
  <c r="Z471" i="4"/>
  <c r="AG471" i="4"/>
  <c r="AF471" i="4"/>
  <c r="Y471" i="4"/>
  <c r="X471" i="4"/>
  <c r="W471" i="4"/>
  <c r="V471" i="4"/>
  <c r="U471" i="4"/>
  <c r="T471" i="4"/>
  <c r="R471" i="4"/>
  <c r="AW1243" i="3"/>
  <c r="AG1333" i="3"/>
  <c r="Y1402" i="3"/>
  <c r="W1429" i="3"/>
  <c r="N103" i="10"/>
  <c r="N104" i="10"/>
  <c r="P44" i="8"/>
  <c r="N102" i="10"/>
  <c r="F130" i="6"/>
  <c r="F150" i="6" s="1"/>
  <c r="F157" i="6" s="1"/>
  <c r="F162" i="6" s="1"/>
  <c r="F165" i="6" s="1"/>
  <c r="W41" i="8"/>
  <c r="W42" i="8"/>
  <c r="O103" i="10"/>
  <c r="Q44" i="8"/>
  <c r="O104" i="10"/>
  <c r="O102" i="10"/>
  <c r="X1420" i="3"/>
  <c r="Q41" i="6"/>
  <c r="Q98" i="6" s="1"/>
  <c r="T39" i="8"/>
  <c r="V40" i="8"/>
  <c r="AB40" i="8"/>
  <c r="D44" i="8"/>
  <c r="D45" i="8"/>
  <c r="AA1153" i="4"/>
  <c r="Z1153" i="4"/>
  <c r="Y1153" i="4"/>
  <c r="X1153" i="4"/>
  <c r="W1153" i="4"/>
  <c r="T1153" i="4"/>
  <c r="T1154" i="4" s="1"/>
  <c r="S1153" i="4"/>
  <c r="R1153" i="4"/>
  <c r="U1153" i="4"/>
  <c r="AA466" i="4"/>
  <c r="AH1343" i="3"/>
  <c r="X1402" i="3"/>
  <c r="AB1449" i="3"/>
  <c r="P200" i="5"/>
  <c r="I130" i="6"/>
  <c r="I150" i="6" s="1"/>
  <c r="I157" i="6" s="1"/>
  <c r="I162" i="6" s="1"/>
  <c r="D128" i="6"/>
  <c r="P128" i="6" s="1"/>
  <c r="P110" i="6"/>
  <c r="E45" i="8"/>
  <c r="E44" i="8"/>
  <c r="S451" i="4"/>
  <c r="R451" i="4"/>
  <c r="AG451" i="4"/>
  <c r="AF451" i="4"/>
  <c r="AE451" i="4"/>
  <c r="AD451" i="4"/>
  <c r="AC451" i="4"/>
  <c r="AB451" i="4"/>
  <c r="V1153" i="4"/>
  <c r="U451" i="4"/>
  <c r="J130" i="6"/>
  <c r="J150" i="6" s="1"/>
  <c r="J157" i="6" s="1"/>
  <c r="J162" i="6" s="1"/>
  <c r="E128" i="6"/>
  <c r="E130" i="6" s="1"/>
  <c r="E150" i="6" s="1"/>
  <c r="E157" i="6" s="1"/>
  <c r="E162" i="6" s="1"/>
  <c r="F45" i="8"/>
  <c r="F44" i="8"/>
  <c r="Y456" i="4"/>
  <c r="V456" i="4"/>
  <c r="U456" i="4"/>
  <c r="T456" i="4"/>
  <c r="S456" i="4"/>
  <c r="R456" i="4"/>
  <c r="AE456" i="4"/>
  <c r="AD456" i="4"/>
  <c r="AC456" i="4"/>
  <c r="AB456" i="4"/>
  <c r="AA456" i="4"/>
  <c r="Z456" i="4"/>
  <c r="X456" i="4"/>
  <c r="W456" i="4"/>
  <c r="AB1153" i="4"/>
  <c r="AD466" i="4"/>
  <c r="AE466" i="4"/>
  <c r="T466" i="4"/>
  <c r="S466" i="4"/>
  <c r="R466" i="4"/>
  <c r="AG466" i="4"/>
  <c r="AF466" i="4"/>
  <c r="AC466" i="4"/>
  <c r="V1436" i="3"/>
  <c r="V1438" i="3" s="1"/>
  <c r="Z1417" i="3"/>
  <c r="H188" i="5"/>
  <c r="H200" i="5" s="1"/>
  <c r="H201" i="5" s="1"/>
  <c r="AB37" i="8"/>
  <c r="S441" i="4"/>
  <c r="R441" i="4"/>
  <c r="AG441" i="4"/>
  <c r="AF441" i="4"/>
  <c r="AE441" i="4"/>
  <c r="AD441" i="4"/>
  <c r="AC441" i="4"/>
  <c r="AB441" i="4"/>
  <c r="U441" i="4"/>
  <c r="T441" i="4"/>
  <c r="V441" i="4"/>
  <c r="W1436" i="3"/>
  <c r="W1438" i="3" s="1"/>
  <c r="AA1417" i="3"/>
  <c r="W37" i="8"/>
  <c r="W441" i="4"/>
  <c r="AB1417" i="3"/>
  <c r="E188" i="5"/>
  <c r="E200" i="5" s="1"/>
  <c r="AB1423" i="3"/>
  <c r="AB41" i="8"/>
  <c r="AA41" i="8"/>
  <c r="T41" i="8"/>
  <c r="T46" i="8"/>
  <c r="J1458" i="3"/>
  <c r="AA38" i="8"/>
  <c r="Z38" i="8"/>
  <c r="Y38" i="8"/>
  <c r="X38" i="8"/>
  <c r="W38" i="8"/>
  <c r="T38" i="8"/>
  <c r="U41" i="8"/>
  <c r="AB1435" i="3"/>
  <c r="U38" i="8"/>
  <c r="K7" i="10"/>
  <c r="L4" i="10"/>
  <c r="R32" i="10"/>
  <c r="M182" i="5"/>
  <c r="M188" i="5" s="1"/>
  <c r="M200" i="5" s="1"/>
  <c r="AB915" i="4"/>
  <c r="AB1144" i="4" s="1"/>
  <c r="AA915" i="4"/>
  <c r="AA1144" i="4" s="1"/>
  <c r="Z915" i="4"/>
  <c r="Z1144" i="4" s="1"/>
  <c r="AG915" i="4"/>
  <c r="AG1144" i="4" s="1"/>
  <c r="AF915" i="4"/>
  <c r="AF1144" i="4" s="1"/>
  <c r="AE915" i="4"/>
  <c r="AE1144" i="4" s="1"/>
  <c r="AD915" i="4"/>
  <c r="AD1144" i="4" s="1"/>
  <c r="R915" i="4"/>
  <c r="R1144" i="4" s="1"/>
  <c r="T40" i="8"/>
  <c r="U40" i="8"/>
  <c r="AG1163" i="4"/>
  <c r="AG1164" i="4" s="1"/>
  <c r="AF1163" i="4"/>
  <c r="AE1163" i="4"/>
  <c r="AD1163" i="4"/>
  <c r="AD1164" i="4" s="1"/>
  <c r="AC1163" i="4"/>
  <c r="AC597" i="4"/>
  <c r="AG607" i="4"/>
  <c r="AG608" i="4" s="1"/>
  <c r="AA607" i="4"/>
  <c r="AA608" i="4" s="1"/>
  <c r="Z607" i="4"/>
  <c r="Z608" i="4" s="1"/>
  <c r="Y607" i="4"/>
  <c r="Y608" i="4" s="1"/>
  <c r="X607" i="4"/>
  <c r="X608" i="4" s="1"/>
  <c r="W607" i="4"/>
  <c r="W608" i="4" s="1"/>
  <c r="V1168" i="4"/>
  <c r="U1168" i="4"/>
  <c r="AB1168" i="4"/>
  <c r="AA1168" i="4"/>
  <c r="AA1169" i="4" s="1"/>
  <c r="Z1168" i="4"/>
  <c r="Y1168" i="4"/>
  <c r="X1168" i="4"/>
  <c r="AD597" i="4"/>
  <c r="AF607" i="4"/>
  <c r="AF608" i="4" s="1"/>
  <c r="W40" i="8"/>
  <c r="AG612" i="4"/>
  <c r="AE612" i="4"/>
  <c r="AD612" i="4"/>
  <c r="AC612" i="4"/>
  <c r="AB612" i="4"/>
  <c r="AA612" i="4"/>
  <c r="V1173" i="4"/>
  <c r="AA1173" i="4"/>
  <c r="AA1174" i="4" s="1"/>
  <c r="S1173" i="4"/>
  <c r="R1173" i="4"/>
  <c r="AG1173" i="4"/>
  <c r="AG1174" i="4" s="1"/>
  <c r="AE597" i="4"/>
  <c r="U612" i="4"/>
  <c r="AE1173" i="4"/>
  <c r="X40" i="8"/>
  <c r="V617" i="4"/>
  <c r="V618" i="4" s="1"/>
  <c r="R617" i="4"/>
  <c r="R618" i="4" s="1"/>
  <c r="U617" i="4"/>
  <c r="U618" i="4" s="1"/>
  <c r="T617" i="4"/>
  <c r="T618" i="4" s="1"/>
  <c r="S617" i="4"/>
  <c r="S618" i="4" s="1"/>
  <c r="V1178" i="4"/>
  <c r="AF1178" i="4"/>
  <c r="AC1178" i="4"/>
  <c r="AC1179" i="4" s="1"/>
  <c r="AB1178" i="4"/>
  <c r="AA1178" i="4"/>
  <c r="AA1179" i="4" s="1"/>
  <c r="Z1178" i="4"/>
  <c r="Y1178" i="4"/>
  <c r="R35" i="10"/>
  <c r="V612" i="4"/>
  <c r="R1163" i="4"/>
  <c r="AF1173" i="4"/>
  <c r="AE1178" i="4"/>
  <c r="AA597" i="4"/>
  <c r="Z597" i="4"/>
  <c r="Y597" i="4"/>
  <c r="X597" i="4"/>
  <c r="W597" i="4"/>
  <c r="V622" i="4"/>
  <c r="X622" i="4"/>
  <c r="AF622" i="4"/>
  <c r="AE622" i="4"/>
  <c r="AD622" i="4"/>
  <c r="AC622" i="4"/>
  <c r="AB622" i="4"/>
  <c r="AG597" i="4"/>
  <c r="Y1158" i="4"/>
  <c r="Z1158" i="4"/>
  <c r="AA1158" i="4"/>
  <c r="AB1158" i="4"/>
  <c r="AC1158" i="4"/>
  <c r="AC1159" i="4" s="1"/>
  <c r="N302" i="2" l="1"/>
  <c r="N288" i="2"/>
  <c r="R167" i="2"/>
  <c r="R303" i="2" s="1"/>
  <c r="N167" i="2"/>
  <c r="N303" i="2" s="1"/>
  <c r="P311" i="2"/>
  <c r="P326" i="2"/>
  <c r="Q156" i="2"/>
  <c r="N290" i="2"/>
  <c r="O302" i="2"/>
  <c r="S149" i="2"/>
  <c r="K165" i="2"/>
  <c r="Q158" i="2"/>
  <c r="M127" i="2"/>
  <c r="P167" i="2"/>
  <c r="P303" i="2" s="1"/>
  <c r="O311" i="2"/>
  <c r="O312" i="2" s="1"/>
  <c r="N277" i="2"/>
  <c r="M288" i="2"/>
  <c r="S136" i="2"/>
  <c r="P155" i="2"/>
  <c r="M156" i="2"/>
  <c r="O326" i="2"/>
  <c r="O327" i="2" s="1"/>
  <c r="S295" i="2"/>
  <c r="U232" i="2"/>
  <c r="U231" i="2" s="1"/>
  <c r="M286" i="2"/>
  <c r="T332" i="2"/>
  <c r="T333" i="2" s="1"/>
  <c r="M278" i="2"/>
  <c r="Q148" i="2"/>
  <c r="P137" i="2"/>
  <c r="P134" i="2" s="1"/>
  <c r="M287" i="2"/>
  <c r="M311" i="2"/>
  <c r="M312" i="2" s="1"/>
  <c r="M290" i="2"/>
  <c r="N149" i="2"/>
  <c r="N332" i="2"/>
  <c r="N333" i="2" s="1"/>
  <c r="M279" i="2"/>
  <c r="S326" i="2"/>
  <c r="S327" i="2" s="1"/>
  <c r="M289" i="2"/>
  <c r="O149" i="2"/>
  <c r="M269" i="2"/>
  <c r="O253" i="2"/>
  <c r="M275" i="2"/>
  <c r="Q136" i="2"/>
  <c r="P327" i="2"/>
  <c r="O137" i="2"/>
  <c r="O156" i="2"/>
  <c r="K164" i="2"/>
  <c r="R253" i="2"/>
  <c r="K176" i="2"/>
  <c r="T149" i="2"/>
  <c r="M135" i="2"/>
  <c r="M276" i="2"/>
  <c r="M158" i="2"/>
  <c r="O167" i="2"/>
  <c r="O303" i="2" s="1"/>
  <c r="S167" i="2"/>
  <c r="S303" i="2" s="1"/>
  <c r="Q311" i="2"/>
  <c r="Q312" i="2" s="1"/>
  <c r="S332" i="2"/>
  <c r="S333" i="2" s="1"/>
  <c r="N311" i="2"/>
  <c r="N312" i="2" s="1"/>
  <c r="L279" i="2"/>
  <c r="L286" i="2"/>
  <c r="L277" i="2"/>
  <c r="P283" i="2"/>
  <c r="L287" i="2"/>
  <c r="Q302" i="2"/>
  <c r="Q306" i="2" s="1"/>
  <c r="T156" i="2"/>
  <c r="S282" i="2"/>
  <c r="L290" i="2"/>
  <c r="N134" i="2"/>
  <c r="L135" i="2"/>
  <c r="L134" i="2" s="1"/>
  <c r="Q128" i="2"/>
  <c r="P148" i="2"/>
  <c r="K187" i="2"/>
  <c r="L275" i="2"/>
  <c r="R311" i="2"/>
  <c r="R312" i="2" s="1"/>
  <c r="L276" i="2"/>
  <c r="V227" i="2"/>
  <c r="U331" i="2"/>
  <c r="U332" i="2" s="1"/>
  <c r="U333" i="2" s="1"/>
  <c r="S137" i="2"/>
  <c r="S134" i="2" s="1"/>
  <c r="O128" i="2"/>
  <c r="L278" i="2"/>
  <c r="U248" i="2"/>
  <c r="V323" i="2"/>
  <c r="U325" i="2"/>
  <c r="U326" i="2" s="1"/>
  <c r="U327" i="2" s="1"/>
  <c r="S302" i="2"/>
  <c r="P149" i="2"/>
  <c r="L289" i="2"/>
  <c r="S156" i="2"/>
  <c r="P302" i="2"/>
  <c r="AJ177" i="2"/>
  <c r="K58" i="4"/>
  <c r="K61" i="4" s="1"/>
  <c r="K1255" i="4" s="1"/>
  <c r="K1257" i="4" s="1"/>
  <c r="O1240" i="4"/>
  <c r="O1242" i="4" s="1"/>
  <c r="O1247" i="4" s="1"/>
  <c r="O1249" i="4" s="1"/>
  <c r="O1250" i="4" s="1"/>
  <c r="O70" i="4"/>
  <c r="J58" i="4"/>
  <c r="J61" i="4" s="1"/>
  <c r="J1255" i="4" s="1"/>
  <c r="J1257" i="4" s="1"/>
  <c r="K67" i="4"/>
  <c r="Q1255" i="4"/>
  <c r="Q1257" i="4" s="1"/>
  <c r="Q1240" i="4"/>
  <c r="Q1242" i="4" s="1"/>
  <c r="Q1247" i="4" s="1"/>
  <c r="Q1249" i="4" s="1"/>
  <c r="Q1250" i="4" s="1"/>
  <c r="L1255" i="4"/>
  <c r="L1257" i="4" s="1"/>
  <c r="L1240" i="4"/>
  <c r="L1242" i="4" s="1"/>
  <c r="L1247" i="4" s="1"/>
  <c r="L1249" i="4" s="1"/>
  <c r="L1250" i="4" s="1"/>
  <c r="P1255" i="4"/>
  <c r="P1257" i="4" s="1"/>
  <c r="P1240" i="4"/>
  <c r="P1242" i="4" s="1"/>
  <c r="P1247" i="4" s="1"/>
  <c r="P1249" i="4" s="1"/>
  <c r="P1250" i="4" s="1"/>
  <c r="S369" i="2"/>
  <c r="K369" i="2" s="1"/>
  <c r="R33" i="10"/>
  <c r="S413" i="4" s="1"/>
  <c r="T411" i="4"/>
  <c r="AF438" i="4"/>
  <c r="AF439" i="4" s="1"/>
  <c r="N58" i="4"/>
  <c r="N61" i="4" s="1"/>
  <c r="L67" i="4"/>
  <c r="T68" i="2"/>
  <c r="R143" i="4"/>
  <c r="R144" i="4" s="1"/>
  <c r="K47" i="4"/>
  <c r="L47" i="4"/>
  <c r="L49" i="4" s="1"/>
  <c r="AF1179" i="4"/>
  <c r="AA1118" i="4"/>
  <c r="AA1143" i="4"/>
  <c r="AD1174" i="4"/>
  <c r="AD1159" i="4"/>
  <c r="AC902" i="4"/>
  <c r="AC910" i="4" s="1"/>
  <c r="AA1159" i="4"/>
  <c r="AD902" i="4"/>
  <c r="AD910" i="4" s="1"/>
  <c r="AD1154" i="4"/>
  <c r="AD1156" i="4" s="1"/>
  <c r="R438" i="4"/>
  <c r="R439" i="4" s="1"/>
  <c r="AE1187" i="4"/>
  <c r="S438" i="4"/>
  <c r="S439" i="4" s="1"/>
  <c r="AA1154" i="4"/>
  <c r="AA1156" i="4" s="1"/>
  <c r="AA1149" i="4"/>
  <c r="AA1164" i="4"/>
  <c r="W902" i="4"/>
  <c r="W910" i="4" s="1"/>
  <c r="AF1154" i="4"/>
  <c r="AF1156" i="4" s="1"/>
  <c r="X1179" i="4"/>
  <c r="AB1159" i="4"/>
  <c r="X1164" i="4"/>
  <c r="W1169" i="4"/>
  <c r="AF902" i="4"/>
  <c r="AF910" i="4" s="1"/>
  <c r="AE1179" i="4"/>
  <c r="AF1174" i="4"/>
  <c r="Y1126" i="4"/>
  <c r="AE1174" i="4"/>
  <c r="AC1164" i="4"/>
  <c r="AC1169" i="4"/>
  <c r="W1164" i="4"/>
  <c r="U1118" i="4"/>
  <c r="W1159" i="4"/>
  <c r="X1159" i="4"/>
  <c r="U1174" i="4"/>
  <c r="AE1118" i="4"/>
  <c r="U1159" i="4"/>
  <c r="Z1159" i="4"/>
  <c r="Y902" i="4"/>
  <c r="Y910" i="4" s="1"/>
  <c r="X1116" i="4"/>
  <c r="U1149" i="4"/>
  <c r="Z902" i="4"/>
  <c r="Z910" i="4" s="1"/>
  <c r="Y1159" i="4"/>
  <c r="X1118" i="4"/>
  <c r="Y1143" i="4"/>
  <c r="W1116" i="4"/>
  <c r="AB1149" i="4"/>
  <c r="Y1118" i="4"/>
  <c r="Z1164" i="4"/>
  <c r="AF1118" i="4"/>
  <c r="W1154" i="4"/>
  <c r="W1156" i="4" s="1"/>
  <c r="AF1116" i="4"/>
  <c r="Y1169" i="4"/>
  <c r="AE1164" i="4"/>
  <c r="X1154" i="4"/>
  <c r="X1156" i="4" s="1"/>
  <c r="W1149" i="4"/>
  <c r="AA902" i="4"/>
  <c r="AA910" i="4" s="1"/>
  <c r="W1118" i="4"/>
  <c r="AD1143" i="4"/>
  <c r="X1174" i="4"/>
  <c r="AC1174" i="4"/>
  <c r="AC1154" i="4"/>
  <c r="AC1156" i="4" s="1"/>
  <c r="X1143" i="4"/>
  <c r="X1169" i="4"/>
  <c r="Y1179" i="4"/>
  <c r="Z1169" i="4"/>
  <c r="AF1164" i="4"/>
  <c r="Y1154" i="4"/>
  <c r="Y1156" i="4" s="1"/>
  <c r="X1149" i="4"/>
  <c r="AB902" i="4"/>
  <c r="AB910" i="4" s="1"/>
  <c r="AD1116" i="4"/>
  <c r="Y1174" i="4"/>
  <c r="AE1159" i="4"/>
  <c r="AG1179" i="4"/>
  <c r="Y1149" i="4"/>
  <c r="AB1118" i="4"/>
  <c r="AF1159" i="4"/>
  <c r="Z1174" i="4"/>
  <c r="Z1116" i="4"/>
  <c r="AE1154" i="4"/>
  <c r="AE1156" i="4" s="1"/>
  <c r="Z1149" i="4"/>
  <c r="AB1116" i="4"/>
  <c r="AB1174" i="4"/>
  <c r="AE1169" i="4"/>
  <c r="AG1143" i="4"/>
  <c r="Z1143" i="4"/>
  <c r="U1164" i="4"/>
  <c r="Y1116" i="4"/>
  <c r="Z1179" i="4"/>
  <c r="Z1154" i="4"/>
  <c r="Z1156" i="4" s="1"/>
  <c r="AB1169" i="4"/>
  <c r="AB1179" i="4"/>
  <c r="U1169" i="4"/>
  <c r="U902" i="4"/>
  <c r="U910" i="4" s="1"/>
  <c r="AB1143" i="4"/>
  <c r="U1179" i="4"/>
  <c r="AF1169" i="4"/>
  <c r="U1143" i="4"/>
  <c r="AB1164" i="4"/>
  <c r="U1116" i="4"/>
  <c r="U1154" i="4"/>
  <c r="U1156" i="4" s="1"/>
  <c r="R1179" i="4"/>
  <c r="R1181" i="4" s="1"/>
  <c r="AB1154" i="4"/>
  <c r="AB1156" i="4" s="1"/>
  <c r="Y1164" i="4"/>
  <c r="W1179" i="4"/>
  <c r="R415" i="4"/>
  <c r="V44" i="8"/>
  <c r="AD438" i="4"/>
  <c r="AD439" i="4" s="1"/>
  <c r="AE438" i="4"/>
  <c r="AE439" i="4" s="1"/>
  <c r="V45" i="8"/>
  <c r="AC438" i="4"/>
  <c r="AC439" i="4" s="1"/>
  <c r="W100" i="2"/>
  <c r="X100" i="2" s="1"/>
  <c r="M1255" i="4"/>
  <c r="M1257" i="4" s="1"/>
  <c r="AF1279" i="4"/>
  <c r="AH99" i="2" s="1"/>
  <c r="AH152" i="2" s="1"/>
  <c r="Q50" i="4"/>
  <c r="S117" i="4"/>
  <c r="S143" i="4" s="1"/>
  <c r="S144" i="4" s="1"/>
  <c r="W118" i="10"/>
  <c r="W114" i="4"/>
  <c r="T115" i="10"/>
  <c r="T111" i="4"/>
  <c r="M1240" i="4"/>
  <c r="U112" i="4"/>
  <c r="U116" i="10"/>
  <c r="T111" i="10"/>
  <c r="T107" i="4"/>
  <c r="AB18" i="10"/>
  <c r="AB66" i="4"/>
  <c r="AA113" i="10"/>
  <c r="AA109" i="4"/>
  <c r="K1240" i="4"/>
  <c r="T117" i="10"/>
  <c r="T113" i="4"/>
  <c r="T31" i="10"/>
  <c r="L1233" i="4"/>
  <c r="J49" i="4"/>
  <c r="AE1232" i="4"/>
  <c r="L50" i="4"/>
  <c r="R146" i="2"/>
  <c r="P49" i="4"/>
  <c r="P147" i="4"/>
  <c r="M1105" i="4"/>
  <c r="AE1233" i="4"/>
  <c r="S192" i="2"/>
  <c r="S129" i="2" s="1"/>
  <c r="S130" i="2" s="1"/>
  <c r="M231" i="4"/>
  <c r="M807" i="4" s="1"/>
  <c r="M824" i="4" s="1"/>
  <c r="AE582" i="4"/>
  <c r="AE204" i="4" s="1"/>
  <c r="K1105" i="4"/>
  <c r="AB1279" i="4"/>
  <c r="AD99" i="2" s="1"/>
  <c r="AD152" i="2" s="1"/>
  <c r="AE666" i="4"/>
  <c r="P312" i="2"/>
  <c r="M149" i="2"/>
  <c r="T77" i="2"/>
  <c r="S1026" i="4"/>
  <c r="T1023" i="4" s="1"/>
  <c r="T1026" i="4" s="1"/>
  <c r="U1023" i="4" s="1"/>
  <c r="U1026" i="4" s="1"/>
  <c r="V1023" i="4" s="1"/>
  <c r="V1026" i="4" s="1"/>
  <c r="W1023" i="4" s="1"/>
  <c r="W1026" i="4" s="1"/>
  <c r="X1023" i="4" s="1"/>
  <c r="X1026" i="4" s="1"/>
  <c r="Y1023" i="4" s="1"/>
  <c r="Y1026" i="4" s="1"/>
  <c r="Z1023" i="4" s="1"/>
  <c r="Z1026" i="4" s="1"/>
  <c r="AA1023" i="4" s="1"/>
  <c r="AA1026" i="4" s="1"/>
  <c r="AB1023" i="4" s="1"/>
  <c r="AB1026" i="4" s="1"/>
  <c r="AC1023" i="4" s="1"/>
  <c r="AC1026" i="4" s="1"/>
  <c r="AD1023" i="4" s="1"/>
  <c r="AD1026" i="4" s="1"/>
  <c r="AE1023" i="4" s="1"/>
  <c r="AE1026" i="4" s="1"/>
  <c r="AF1023" i="4" s="1"/>
  <c r="AF1026" i="4" s="1"/>
  <c r="AG1023" i="4" s="1"/>
  <c r="AG1026" i="4" s="1"/>
  <c r="L963" i="4"/>
  <c r="S1051" i="4"/>
  <c r="T1048" i="4" s="1"/>
  <c r="T1051" i="4" s="1"/>
  <c r="U1048" i="4" s="1"/>
  <c r="U1051" i="4" s="1"/>
  <c r="V1048" i="4" s="1"/>
  <c r="V1051" i="4" s="1"/>
  <c r="W1048" i="4" s="1"/>
  <c r="W1051" i="4" s="1"/>
  <c r="X1048" i="4" s="1"/>
  <c r="X1051" i="4" s="1"/>
  <c r="Y1048" i="4" s="1"/>
  <c r="Y1051" i="4" s="1"/>
  <c r="Z1048" i="4" s="1"/>
  <c r="Z1051" i="4" s="1"/>
  <c r="AA1048" i="4" s="1"/>
  <c r="AA1051" i="4" s="1"/>
  <c r="AB1048" i="4" s="1"/>
  <c r="AB1051" i="4" s="1"/>
  <c r="AC1048" i="4" s="1"/>
  <c r="AC1051" i="4" s="1"/>
  <c r="AD1048" i="4" s="1"/>
  <c r="AD1051" i="4" s="1"/>
  <c r="AE1048" i="4" s="1"/>
  <c r="AE1051" i="4" s="1"/>
  <c r="AF1048" i="4" s="1"/>
  <c r="AF1051" i="4" s="1"/>
  <c r="AG1048" i="4" s="1"/>
  <c r="AG1051" i="4" s="1"/>
  <c r="X1233" i="4"/>
  <c r="AG1156" i="4"/>
  <c r="W1233" i="4"/>
  <c r="O1232" i="4"/>
  <c r="V613" i="4"/>
  <c r="Y357" i="2"/>
  <c r="W683" i="4"/>
  <c r="L253" i="2"/>
  <c r="R137" i="4"/>
  <c r="T69" i="2" s="1"/>
  <c r="Q129" i="2"/>
  <c r="AD666" i="4"/>
  <c r="Q273" i="2"/>
  <c r="AD671" i="4"/>
  <c r="AD678" i="4" s="1"/>
  <c r="T1156" i="4"/>
  <c r="O50" i="4"/>
  <c r="Q232" i="4"/>
  <c r="Q946" i="4" s="1"/>
  <c r="M50" i="4"/>
  <c r="J230" i="4"/>
  <c r="J643" i="4" s="1"/>
  <c r="J660" i="4" s="1"/>
  <c r="M192" i="2"/>
  <c r="M146" i="2" s="1"/>
  <c r="M209" i="2"/>
  <c r="M226" i="2" s="1"/>
  <c r="O147" i="4"/>
  <c r="P380" i="2"/>
  <c r="X582" i="4"/>
  <c r="X598" i="4" s="1"/>
  <c r="O232" i="4"/>
  <c r="O946" i="4" s="1"/>
  <c r="O49" i="4"/>
  <c r="L117" i="4"/>
  <c r="L142" i="4" s="1"/>
  <c r="N70" i="2" s="1"/>
  <c r="L209" i="2"/>
  <c r="L226" i="2" s="1"/>
  <c r="AG1233" i="4"/>
  <c r="AF1232" i="4"/>
  <c r="AH357" i="2"/>
  <c r="S981" i="4"/>
  <c r="T978" i="4" s="1"/>
  <c r="T981" i="4" s="1"/>
  <c r="U978" i="4" s="1"/>
  <c r="U981" i="4" s="1"/>
  <c r="V978" i="4" s="1"/>
  <c r="V981" i="4" s="1"/>
  <c r="W978" i="4" s="1"/>
  <c r="W981" i="4" s="1"/>
  <c r="X978" i="4" s="1"/>
  <c r="X981" i="4" s="1"/>
  <c r="Y978" i="4" s="1"/>
  <c r="Y981" i="4" s="1"/>
  <c r="Z978" i="4" s="1"/>
  <c r="Z981" i="4" s="1"/>
  <c r="AA978" i="4" s="1"/>
  <c r="AA981" i="4" s="1"/>
  <c r="AB978" i="4" s="1"/>
  <c r="AB981" i="4" s="1"/>
  <c r="AC978" i="4" s="1"/>
  <c r="AC981" i="4" s="1"/>
  <c r="AD978" i="4" s="1"/>
  <c r="AD981" i="4" s="1"/>
  <c r="AE978" i="4" s="1"/>
  <c r="AE981" i="4" s="1"/>
  <c r="AF978" i="4" s="1"/>
  <c r="AF981" i="4" s="1"/>
  <c r="AG978" i="4" s="1"/>
  <c r="AG981" i="4" s="1"/>
  <c r="X666" i="4"/>
  <c r="Z1279" i="4"/>
  <c r="AB99" i="2" s="1"/>
  <c r="AB152" i="2" s="1"/>
  <c r="N231" i="4"/>
  <c r="N807" i="4" s="1"/>
  <c r="N824" i="4" s="1"/>
  <c r="M147" i="4"/>
  <c r="K231" i="4"/>
  <c r="K807" i="4" s="1"/>
  <c r="K824" i="4" s="1"/>
  <c r="K166" i="2"/>
  <c r="S141" i="4"/>
  <c r="M148" i="2"/>
  <c r="AD1279" i="4"/>
  <c r="AF99" i="2" s="1"/>
  <c r="AF152" i="2" s="1"/>
  <c r="M167" i="2"/>
  <c r="M303" i="2" s="1"/>
  <c r="M306" i="2" s="1"/>
  <c r="P209" i="2"/>
  <c r="P226" i="2" s="1"/>
  <c r="P254" i="2" s="1"/>
  <c r="P192" i="2"/>
  <c r="Q146" i="2" s="1"/>
  <c r="AF582" i="4"/>
  <c r="AF587" i="4" s="1"/>
  <c r="J50" i="4"/>
  <c r="M232" i="4"/>
  <c r="M946" i="4" s="1"/>
  <c r="AD623" i="4"/>
  <c r="V1226" i="4"/>
  <c r="O230" i="4"/>
  <c r="O643" i="4" s="1"/>
  <c r="O660" i="4" s="1"/>
  <c r="R129" i="2"/>
  <c r="R130" i="2" s="1"/>
  <c r="S1011" i="4"/>
  <c r="T1008" i="4" s="1"/>
  <c r="T1011" i="4" s="1"/>
  <c r="U1008" i="4" s="1"/>
  <c r="U1011" i="4" s="1"/>
  <c r="V1008" i="4" s="1"/>
  <c r="V1011" i="4" s="1"/>
  <c r="W1008" i="4" s="1"/>
  <c r="W1011" i="4" s="1"/>
  <c r="X1008" i="4" s="1"/>
  <c r="X1011" i="4" s="1"/>
  <c r="Y1008" i="4" s="1"/>
  <c r="Y1011" i="4" s="1"/>
  <c r="Z1008" i="4" s="1"/>
  <c r="Z1011" i="4" s="1"/>
  <c r="AA1008" i="4" s="1"/>
  <c r="AA1011" i="4" s="1"/>
  <c r="AB1008" i="4" s="1"/>
  <c r="AB1011" i="4" s="1"/>
  <c r="AC1008" i="4" s="1"/>
  <c r="AC1011" i="4" s="1"/>
  <c r="AD1008" i="4" s="1"/>
  <c r="AD1011" i="4" s="1"/>
  <c r="AE1008" i="4" s="1"/>
  <c r="AE1011" i="4" s="1"/>
  <c r="AF1008" i="4" s="1"/>
  <c r="AF1011" i="4" s="1"/>
  <c r="AG1008" i="4" s="1"/>
  <c r="AG1011" i="4" s="1"/>
  <c r="M327" i="2"/>
  <c r="L230" i="4"/>
  <c r="L643" i="4" s="1"/>
  <c r="L660" i="4" s="1"/>
  <c r="V357" i="2"/>
  <c r="K357" i="2" s="1"/>
  <c r="T676" i="4"/>
  <c r="T682" i="4" s="1"/>
  <c r="AF676" i="4"/>
  <c r="AF682" i="4" s="1"/>
  <c r="M230" i="4"/>
  <c r="M643" i="4" s="1"/>
  <c r="M660" i="4" s="1"/>
  <c r="AA613" i="4"/>
  <c r="Q147" i="4"/>
  <c r="L147" i="4"/>
  <c r="AF1233" i="4"/>
  <c r="M1104" i="4"/>
  <c r="R1232" i="4"/>
  <c r="AA598" i="4"/>
  <c r="K49" i="4"/>
  <c r="M216" i="4"/>
  <c r="M212" i="4" s="1"/>
  <c r="M240" i="4" s="1"/>
  <c r="M645" i="4" s="1"/>
  <c r="M662" i="4" s="1"/>
  <c r="Q231" i="4"/>
  <c r="Q807" i="4" s="1"/>
  <c r="Q824" i="4" s="1"/>
  <c r="S1179" i="4"/>
  <c r="AB1102" i="4"/>
  <c r="AB1105" i="4" s="1"/>
  <c r="AA1233" i="4"/>
  <c r="AG1279" i="4"/>
  <c r="AI99" i="2" s="1"/>
  <c r="AI152" i="2" s="1"/>
  <c r="Q380" i="2"/>
  <c r="U676" i="4"/>
  <c r="U682" i="4" s="1"/>
  <c r="L374" i="2"/>
  <c r="K374" i="2" s="1"/>
  <c r="P50" i="4"/>
  <c r="N49" i="4"/>
  <c r="V1215" i="4"/>
  <c r="N232" i="4"/>
  <c r="N946" i="4" s="1"/>
  <c r="AD613" i="4"/>
  <c r="U683" i="4"/>
  <c r="N147" i="4"/>
  <c r="S1096" i="4"/>
  <c r="T1093" i="4" s="1"/>
  <c r="T1096" i="4" s="1"/>
  <c r="U1093" i="4" s="1"/>
  <c r="U1096" i="4" s="1"/>
  <c r="V1093" i="4" s="1"/>
  <c r="V1096" i="4" s="1"/>
  <c r="W1093" i="4" s="1"/>
  <c r="W1096" i="4" s="1"/>
  <c r="X1093" i="4" s="1"/>
  <c r="X1096" i="4" s="1"/>
  <c r="Y1093" i="4" s="1"/>
  <c r="Y1096" i="4" s="1"/>
  <c r="Z1093" i="4" s="1"/>
  <c r="Z1096" i="4" s="1"/>
  <c r="AA1093" i="4" s="1"/>
  <c r="AA1096" i="4" s="1"/>
  <c r="AB1093" i="4" s="1"/>
  <c r="AB1096" i="4" s="1"/>
  <c r="AC1093" i="4" s="1"/>
  <c r="AC1096" i="4" s="1"/>
  <c r="AD1093" i="4" s="1"/>
  <c r="AD1096" i="4" s="1"/>
  <c r="AE1093" i="4" s="1"/>
  <c r="AE1096" i="4" s="1"/>
  <c r="AF1093" i="4" s="1"/>
  <c r="AF1096" i="4" s="1"/>
  <c r="AG1093" i="4" s="1"/>
  <c r="AG1096" i="4" s="1"/>
  <c r="S1066" i="4"/>
  <c r="T1063" i="4" s="1"/>
  <c r="T1066" i="4" s="1"/>
  <c r="U1063" i="4" s="1"/>
  <c r="U1066" i="4" s="1"/>
  <c r="V1063" i="4" s="1"/>
  <c r="V1066" i="4" s="1"/>
  <c r="W1063" i="4" s="1"/>
  <c r="W1066" i="4" s="1"/>
  <c r="X1063" i="4" s="1"/>
  <c r="X1066" i="4" s="1"/>
  <c r="Y1063" i="4" s="1"/>
  <c r="Y1066" i="4" s="1"/>
  <c r="Z1063" i="4" s="1"/>
  <c r="Z1066" i="4" s="1"/>
  <c r="AA1063" i="4" s="1"/>
  <c r="AA1066" i="4" s="1"/>
  <c r="AB1063" i="4" s="1"/>
  <c r="AB1066" i="4" s="1"/>
  <c r="AC1063" i="4" s="1"/>
  <c r="AC1066" i="4" s="1"/>
  <c r="AD1063" i="4" s="1"/>
  <c r="AD1066" i="4" s="1"/>
  <c r="AE1063" i="4" s="1"/>
  <c r="AE1066" i="4" s="1"/>
  <c r="AF1063" i="4" s="1"/>
  <c r="AF1066" i="4" s="1"/>
  <c r="AG1063" i="4" s="1"/>
  <c r="AG1066" i="4" s="1"/>
  <c r="L1105" i="4"/>
  <c r="K50" i="4"/>
  <c r="AD1102" i="4"/>
  <c r="AD1105" i="4" s="1"/>
  <c r="S1102" i="4"/>
  <c r="S1105" i="4" s="1"/>
  <c r="S1076" i="4"/>
  <c r="T1073" i="4" s="1"/>
  <c r="T1076" i="4" s="1"/>
  <c r="U1073" i="4" s="1"/>
  <c r="U1076" i="4" s="1"/>
  <c r="V1073" i="4" s="1"/>
  <c r="V1076" i="4" s="1"/>
  <c r="W1073" i="4" s="1"/>
  <c r="W1076" i="4" s="1"/>
  <c r="X1073" i="4" s="1"/>
  <c r="X1076" i="4" s="1"/>
  <c r="Y1073" i="4" s="1"/>
  <c r="Y1076" i="4" s="1"/>
  <c r="Z1073" i="4" s="1"/>
  <c r="Z1076" i="4" s="1"/>
  <c r="AA1073" i="4" s="1"/>
  <c r="AA1076" i="4" s="1"/>
  <c r="AB1073" i="4" s="1"/>
  <c r="AB1076" i="4" s="1"/>
  <c r="AC1073" i="4" s="1"/>
  <c r="AC1076" i="4" s="1"/>
  <c r="AD1073" i="4" s="1"/>
  <c r="AD1076" i="4" s="1"/>
  <c r="AE1073" i="4" s="1"/>
  <c r="AE1076" i="4" s="1"/>
  <c r="AF1073" i="4" s="1"/>
  <c r="AF1076" i="4" s="1"/>
  <c r="AG1073" i="4" s="1"/>
  <c r="AG1076" i="4" s="1"/>
  <c r="AA1102" i="4"/>
  <c r="AA1105" i="4" s="1"/>
  <c r="O1105" i="4"/>
  <c r="X1102" i="4"/>
  <c r="X1105" i="4" s="1"/>
  <c r="T1102" i="4"/>
  <c r="T1105" i="4" s="1"/>
  <c r="V1164" i="4"/>
  <c r="L1104" i="4"/>
  <c r="S1006" i="4"/>
  <c r="T1003" i="4" s="1"/>
  <c r="T1006" i="4" s="1"/>
  <c r="U1003" i="4" s="1"/>
  <c r="U1006" i="4" s="1"/>
  <c r="V1003" i="4" s="1"/>
  <c r="V1006" i="4" s="1"/>
  <c r="W1003" i="4" s="1"/>
  <c r="W1006" i="4" s="1"/>
  <c r="X1003" i="4" s="1"/>
  <c r="X1006" i="4" s="1"/>
  <c r="Y1003" i="4" s="1"/>
  <c r="Y1006" i="4" s="1"/>
  <c r="Z1003" i="4" s="1"/>
  <c r="Z1006" i="4" s="1"/>
  <c r="AA1003" i="4" s="1"/>
  <c r="AA1006" i="4" s="1"/>
  <c r="AB1003" i="4" s="1"/>
  <c r="AB1006" i="4" s="1"/>
  <c r="AC1003" i="4" s="1"/>
  <c r="AC1006" i="4" s="1"/>
  <c r="AD1003" i="4" s="1"/>
  <c r="AD1006" i="4" s="1"/>
  <c r="AE1003" i="4" s="1"/>
  <c r="AE1006" i="4" s="1"/>
  <c r="AF1003" i="4" s="1"/>
  <c r="AF1006" i="4" s="1"/>
  <c r="AG1003" i="4" s="1"/>
  <c r="AG1006" i="4" s="1"/>
  <c r="S1071" i="4"/>
  <c r="T1068" i="4" s="1"/>
  <c r="T1071" i="4" s="1"/>
  <c r="U1068" i="4" s="1"/>
  <c r="U1071" i="4" s="1"/>
  <c r="V1068" i="4" s="1"/>
  <c r="V1071" i="4" s="1"/>
  <c r="W1068" i="4" s="1"/>
  <c r="W1071" i="4" s="1"/>
  <c r="X1068" i="4" s="1"/>
  <c r="X1071" i="4" s="1"/>
  <c r="Y1068" i="4" s="1"/>
  <c r="Y1071" i="4" s="1"/>
  <c r="Z1068" i="4" s="1"/>
  <c r="Z1071" i="4" s="1"/>
  <c r="AA1068" i="4" s="1"/>
  <c r="AA1071" i="4" s="1"/>
  <c r="AB1068" i="4" s="1"/>
  <c r="AB1071" i="4" s="1"/>
  <c r="AC1068" i="4" s="1"/>
  <c r="AC1071" i="4" s="1"/>
  <c r="AD1068" i="4" s="1"/>
  <c r="AD1071" i="4" s="1"/>
  <c r="AE1068" i="4" s="1"/>
  <c r="AE1071" i="4" s="1"/>
  <c r="AF1068" i="4" s="1"/>
  <c r="AF1071" i="4" s="1"/>
  <c r="AG1068" i="4" s="1"/>
  <c r="AG1071" i="4" s="1"/>
  <c r="W1102" i="4"/>
  <c r="W1105" i="4" s="1"/>
  <c r="P68" i="2"/>
  <c r="Y1279" i="4"/>
  <c r="AA99" i="2" s="1"/>
  <c r="AA152" i="2" s="1"/>
  <c r="AC1279" i="4"/>
  <c r="AE99" i="2" s="1"/>
  <c r="AE152" i="2" s="1"/>
  <c r="AE1279" i="4"/>
  <c r="AG99" i="2" s="1"/>
  <c r="AG152" i="2" s="1"/>
  <c r="L69" i="2"/>
  <c r="J138" i="4"/>
  <c r="L74" i="2" s="1"/>
  <c r="S204" i="4"/>
  <c r="S598" i="4"/>
  <c r="S587" i="4"/>
  <c r="S589" i="4" s="1"/>
  <c r="S648" i="4" s="1"/>
  <c r="AF678" i="4"/>
  <c r="AF675" i="4"/>
  <c r="AH356" i="2" s="1"/>
  <c r="R69" i="2"/>
  <c r="P138" i="4"/>
  <c r="R74" i="2" s="1"/>
  <c r="S1001" i="4"/>
  <c r="T998" i="4" s="1"/>
  <c r="T1001" i="4" s="1"/>
  <c r="U998" i="4" s="1"/>
  <c r="U1001" i="4" s="1"/>
  <c r="V998" i="4" s="1"/>
  <c r="V1001" i="4" s="1"/>
  <c r="W998" i="4" s="1"/>
  <c r="W1001" i="4" s="1"/>
  <c r="X998" i="4" s="1"/>
  <c r="X1001" i="4" s="1"/>
  <c r="Y998" i="4" s="1"/>
  <c r="Y1001" i="4" s="1"/>
  <c r="Z998" i="4" s="1"/>
  <c r="Z1001" i="4" s="1"/>
  <c r="AA998" i="4" s="1"/>
  <c r="AA1001" i="4" s="1"/>
  <c r="AB998" i="4" s="1"/>
  <c r="AB1001" i="4" s="1"/>
  <c r="AC998" i="4" s="1"/>
  <c r="AC1001" i="4" s="1"/>
  <c r="AD998" i="4" s="1"/>
  <c r="AD1001" i="4" s="1"/>
  <c r="AE998" i="4" s="1"/>
  <c r="AE1001" i="4" s="1"/>
  <c r="AF998" i="4" s="1"/>
  <c r="AF1001" i="4" s="1"/>
  <c r="AG998" i="4" s="1"/>
  <c r="AG1001" i="4" s="1"/>
  <c r="X1232" i="4"/>
  <c r="N1105" i="4"/>
  <c r="AC1232" i="4"/>
  <c r="U1102" i="4"/>
  <c r="U1105" i="4" s="1"/>
  <c r="M229" i="4"/>
  <c r="M487" i="4" s="1"/>
  <c r="M504" i="4" s="1"/>
  <c r="R1233" i="4"/>
  <c r="N1232" i="4"/>
  <c r="AG582" i="4"/>
  <c r="AG613" i="4" s="1"/>
  <c r="L231" i="4"/>
  <c r="L807" i="4" s="1"/>
  <c r="L824" i="4" s="1"/>
  <c r="N230" i="4"/>
  <c r="N643" i="4" s="1"/>
  <c r="N660" i="4" s="1"/>
  <c r="AF666" i="4"/>
  <c r="L84" i="4"/>
  <c r="N382" i="2" s="1"/>
  <c r="P173" i="4"/>
  <c r="P181" i="4" s="1"/>
  <c r="Y1102" i="4"/>
  <c r="Y1105" i="4" s="1"/>
  <c r="V1154" i="4"/>
  <c r="V1156" i="4" s="1"/>
  <c r="Q1233" i="4"/>
  <c r="R1102" i="4"/>
  <c r="R1105" i="4" s="1"/>
  <c r="M237" i="4"/>
  <c r="M947" i="4" s="1"/>
  <c r="J232" i="4"/>
  <c r="J946" i="4" s="1"/>
  <c r="M49" i="4"/>
  <c r="L70" i="4"/>
  <c r="N173" i="4"/>
  <c r="N180" i="4" s="1"/>
  <c r="J229" i="4"/>
  <c r="J487" i="4" s="1"/>
  <c r="J504" i="4" s="1"/>
  <c r="J147" i="4"/>
  <c r="S153" i="4"/>
  <c r="U77" i="2" s="1"/>
  <c r="AD598" i="4"/>
  <c r="V1149" i="4"/>
  <c r="R294" i="2"/>
  <c r="P1233" i="4"/>
  <c r="Q1105" i="4"/>
  <c r="J1105" i="4"/>
  <c r="AE1102" i="4"/>
  <c r="AE1105" i="4" s="1"/>
  <c r="Y1233" i="4"/>
  <c r="S1232" i="4"/>
  <c r="AF1102" i="4"/>
  <c r="AF1105" i="4" s="1"/>
  <c r="X1279" i="4"/>
  <c r="Z99" i="2" s="1"/>
  <c r="Z152" i="2" s="1"/>
  <c r="M1232" i="4"/>
  <c r="R1164" i="4"/>
  <c r="R1166" i="4" s="1"/>
  <c r="Z1102" i="4"/>
  <c r="Z1105" i="4" s="1"/>
  <c r="Q1232" i="4"/>
  <c r="V1229" i="4"/>
  <c r="R226" i="2"/>
  <c r="R254" i="2" s="1"/>
  <c r="M235" i="4"/>
  <c r="M644" i="4" s="1"/>
  <c r="M661" i="4" s="1"/>
  <c r="K229" i="4"/>
  <c r="K487" i="4" s="1"/>
  <c r="K504" i="4" s="1"/>
  <c r="S1016" i="4"/>
  <c r="T1013" i="4" s="1"/>
  <c r="T1016" i="4" s="1"/>
  <c r="U1013" i="4" s="1"/>
  <c r="U1016" i="4" s="1"/>
  <c r="V1013" i="4" s="1"/>
  <c r="V1016" i="4" s="1"/>
  <c r="W1013" i="4" s="1"/>
  <c r="W1016" i="4" s="1"/>
  <c r="X1013" i="4" s="1"/>
  <c r="X1016" i="4" s="1"/>
  <c r="Y1013" i="4" s="1"/>
  <c r="Y1016" i="4" s="1"/>
  <c r="Z1013" i="4" s="1"/>
  <c r="Z1016" i="4" s="1"/>
  <c r="AA1013" i="4" s="1"/>
  <c r="AA1016" i="4" s="1"/>
  <c r="AB1013" i="4" s="1"/>
  <c r="AB1016" i="4" s="1"/>
  <c r="AC1013" i="4" s="1"/>
  <c r="AC1016" i="4" s="1"/>
  <c r="AD1013" i="4" s="1"/>
  <c r="AD1016" i="4" s="1"/>
  <c r="AE1013" i="4" s="1"/>
  <c r="AE1016" i="4" s="1"/>
  <c r="AF1013" i="4" s="1"/>
  <c r="AF1016" i="4" s="1"/>
  <c r="AG1013" i="4" s="1"/>
  <c r="AG1016" i="4" s="1"/>
  <c r="S380" i="2"/>
  <c r="R380" i="2"/>
  <c r="O380" i="2"/>
  <c r="N229" i="4"/>
  <c r="N487" i="4" s="1"/>
  <c r="N504" i="4" s="1"/>
  <c r="V1218" i="4"/>
  <c r="Q229" i="4"/>
  <c r="Q487" i="4" s="1"/>
  <c r="Q504" i="4" s="1"/>
  <c r="T152" i="4"/>
  <c r="U152" i="4" s="1"/>
  <c r="S1233" i="4"/>
  <c r="AC1102" i="4"/>
  <c r="AC1105" i="4" s="1"/>
  <c r="U1232" i="4"/>
  <c r="J173" i="4"/>
  <c r="J181" i="4" s="1"/>
  <c r="Q230" i="4"/>
  <c r="Q643" i="4" s="1"/>
  <c r="Q660" i="4" s="1"/>
  <c r="V1230" i="4"/>
  <c r="V1102" i="4"/>
  <c r="V1105" i="4" s="1"/>
  <c r="AC1233" i="4"/>
  <c r="M117" i="4"/>
  <c r="M137" i="4" s="1"/>
  <c r="O69" i="2" s="1"/>
  <c r="V1228" i="4"/>
  <c r="AG1102" i="4"/>
  <c r="AG1105" i="4" s="1"/>
  <c r="AG671" i="4"/>
  <c r="AD1233" i="4"/>
  <c r="Z1233" i="4"/>
  <c r="AJ1117" i="3"/>
  <c r="X152" i="2"/>
  <c r="AN884" i="3"/>
  <c r="AO884" i="3" s="1"/>
  <c r="AP884" i="3" s="1"/>
  <c r="AL884" i="3"/>
  <c r="AI1348" i="3"/>
  <c r="AI202" i="3"/>
  <c r="AA1130" i="4"/>
  <c r="AA1126" i="4"/>
  <c r="AI917" i="3"/>
  <c r="AL312" i="3"/>
  <c r="AI1069" i="3"/>
  <c r="V900" i="4"/>
  <c r="V901" i="4"/>
  <c r="V909" i="4" s="1"/>
  <c r="AL1141" i="3"/>
  <c r="AM401" i="3"/>
  <c r="AK646" i="3"/>
  <c r="AL646" i="3" s="1"/>
  <c r="AM1282" i="3"/>
  <c r="AK1064" i="3"/>
  <c r="AJ1064" i="3"/>
  <c r="AM774" i="3"/>
  <c r="AN774" i="3" s="1"/>
  <c r="R922" i="4"/>
  <c r="R1146" i="4"/>
  <c r="AH1185" i="3"/>
  <c r="W152" i="2"/>
  <c r="K152" i="2" s="1"/>
  <c r="K99" i="2"/>
  <c r="I99" i="2" s="1"/>
  <c r="AI1165" i="3"/>
  <c r="AI1049" i="3"/>
  <c r="AI1211" i="3"/>
  <c r="AJ978" i="3"/>
  <c r="AK377" i="3"/>
  <c r="AJ154" i="3"/>
  <c r="AJ595" i="3"/>
  <c r="AJ1343" i="3"/>
  <c r="AO897" i="3"/>
  <c r="AJ890" i="3"/>
  <c r="AI564" i="3"/>
  <c r="AI1378" i="3"/>
  <c r="AL423" i="3"/>
  <c r="AJ603" i="3"/>
  <c r="AL603" i="3"/>
  <c r="U438" i="4"/>
  <c r="U439" i="4" s="1"/>
  <c r="AK1222" i="3"/>
  <c r="AI1259" i="3"/>
  <c r="AH54" i="3"/>
  <c r="AJ526" i="3"/>
  <c r="AI526" i="3"/>
  <c r="AH526" i="3"/>
  <c r="AH482" i="3"/>
  <c r="AI482" i="3"/>
  <c r="AI139" i="3"/>
  <c r="AJ1231" i="3"/>
  <c r="AI1231" i="3"/>
  <c r="AH1231" i="3"/>
  <c r="AK1231" i="3" s="1"/>
  <c r="AL1231" i="3"/>
  <c r="AH732" i="3"/>
  <c r="AM924" i="3"/>
  <c r="AJ924" i="3"/>
  <c r="AI924" i="3"/>
  <c r="AH924" i="3"/>
  <c r="AI82" i="3"/>
  <c r="AI372" i="3"/>
  <c r="AI419" i="3"/>
  <c r="Q70" i="2"/>
  <c r="O143" i="4"/>
  <c r="Q75" i="2" s="1"/>
  <c r="AM670" i="3"/>
  <c r="AJ1195" i="3"/>
  <c r="AI1195" i="3"/>
  <c r="AL1195" i="3" s="1"/>
  <c r="AK924" i="3"/>
  <c r="AH906" i="3"/>
  <c r="AI1340" i="3"/>
  <c r="AH609" i="3"/>
  <c r="AK700" i="3"/>
  <c r="AL700" i="3" s="1"/>
  <c r="AJ341" i="3"/>
  <c r="AH295" i="3"/>
  <c r="AH933" i="3"/>
  <c r="AH39" i="3"/>
  <c r="U1130" i="4"/>
  <c r="U1126" i="4"/>
  <c r="AH1214" i="3"/>
  <c r="AH1304" i="3"/>
  <c r="AI881" i="3"/>
  <c r="AL924" i="3"/>
  <c r="AH968" i="3"/>
  <c r="AI698" i="3"/>
  <c r="AI295" i="3"/>
  <c r="AH289" i="3"/>
  <c r="AI183" i="3"/>
  <c r="AI421" i="3"/>
  <c r="AI462" i="3"/>
  <c r="AJ1369" i="3"/>
  <c r="R282" i="2"/>
  <c r="R149" i="2"/>
  <c r="AJ175" i="3"/>
  <c r="AI175" i="3"/>
  <c r="AK356" i="3"/>
  <c r="V1126" i="4"/>
  <c r="V1130" i="4"/>
  <c r="AH1090" i="3"/>
  <c r="AJ1149" i="3"/>
  <c r="AH1149" i="3"/>
  <c r="AI1149" i="3"/>
  <c r="AH958" i="3"/>
  <c r="AI1280" i="3"/>
  <c r="AK1303" i="3"/>
  <c r="AH607" i="3"/>
  <c r="AI607" i="3" s="1"/>
  <c r="AI792" i="3"/>
  <c r="AH792" i="3"/>
  <c r="AH345" i="3"/>
  <c r="AK905" i="3"/>
  <c r="AH519" i="3"/>
  <c r="AI495" i="3"/>
  <c r="AH495" i="3"/>
  <c r="AI335" i="3"/>
  <c r="AK849" i="3"/>
  <c r="AH1175" i="3"/>
  <c r="AH759" i="3"/>
  <c r="AJ759" i="3" s="1"/>
  <c r="AI759" i="3"/>
  <c r="Q85" i="8"/>
  <c r="Q86" i="8" s="1"/>
  <c r="Q89" i="8" s="1"/>
  <c r="J84" i="4"/>
  <c r="J1221" i="4"/>
  <c r="AL339" i="3"/>
  <c r="AK339" i="3"/>
  <c r="AJ339" i="3"/>
  <c r="AI339" i="3"/>
  <c r="AK1227" i="3"/>
  <c r="AJ1227" i="3"/>
  <c r="AK1084" i="3"/>
  <c r="AJ1220" i="3"/>
  <c r="AI1220" i="3"/>
  <c r="AH1226" i="3"/>
  <c r="AI598" i="3"/>
  <c r="AI1016" i="3"/>
  <c r="AH1016" i="3"/>
  <c r="AJ953" i="3"/>
  <c r="AI456" i="3"/>
  <c r="AH133" i="3"/>
  <c r="AI133" i="3" s="1"/>
  <c r="W204" i="4"/>
  <c r="W613" i="4"/>
  <c r="W623" i="4"/>
  <c r="W587" i="4"/>
  <c r="AH672" i="3"/>
  <c r="AI672" i="3" s="1"/>
  <c r="AK178" i="3"/>
  <c r="AH104" i="3"/>
  <c r="AH46" i="3"/>
  <c r="AK359" i="3"/>
  <c r="Y438" i="4"/>
  <c r="Y439" i="4" s="1"/>
  <c r="AH1092" i="3"/>
  <c r="AI939" i="3"/>
  <c r="AJ1095" i="3"/>
  <c r="AJ456" i="3"/>
  <c r="AI368" i="3"/>
  <c r="AI1076" i="3"/>
  <c r="AL777" i="3"/>
  <c r="P234" i="4"/>
  <c r="P488" i="4" s="1"/>
  <c r="P505" i="4" s="1"/>
  <c r="P237" i="4"/>
  <c r="P947" i="4" s="1"/>
  <c r="P235" i="4"/>
  <c r="P644" i="4" s="1"/>
  <c r="P661" i="4" s="1"/>
  <c r="AH107" i="3"/>
  <c r="S35" i="10"/>
  <c r="T35" i="10" s="1"/>
  <c r="S573" i="4"/>
  <c r="S575" i="4" s="1"/>
  <c r="AL1106" i="3"/>
  <c r="AI1214" i="3"/>
  <c r="AJ1143" i="3"/>
  <c r="AJ1097" i="3"/>
  <c r="AI893" i="3"/>
  <c r="AH870" i="3"/>
  <c r="AK307" i="3"/>
  <c r="AJ587" i="3"/>
  <c r="AJ281" i="3"/>
  <c r="AK281" i="3" s="1"/>
  <c r="AI734" i="3"/>
  <c r="AJ480" i="3"/>
  <c r="L127" i="2"/>
  <c r="M136" i="2"/>
  <c r="M134" i="2" s="1"/>
  <c r="AJ10" i="3"/>
  <c r="AJ114" i="3"/>
  <c r="V204" i="4"/>
  <c r="V598" i="4"/>
  <c r="U613" i="4"/>
  <c r="AG1424" i="3"/>
  <c r="R162" i="4" s="1"/>
  <c r="AJ1372" i="3"/>
  <c r="AH1265" i="3"/>
  <c r="AH1208" i="3"/>
  <c r="AK1313" i="3"/>
  <c r="AI1118" i="3"/>
  <c r="AJ1179" i="3"/>
  <c r="AL1149" i="3"/>
  <c r="AI1174" i="3"/>
  <c r="AG69" i="4"/>
  <c r="AJ1204" i="3"/>
  <c r="AH1029" i="3"/>
  <c r="AK1111" i="3"/>
  <c r="AJ1111" i="3"/>
  <c r="AI1111" i="3"/>
  <c r="AH1111" i="3"/>
  <c r="AH626" i="3"/>
  <c r="AH832" i="3"/>
  <c r="AH781" i="3"/>
  <c r="AH717" i="3"/>
  <c r="AK1123" i="3"/>
  <c r="AI957" i="3"/>
  <c r="AJ957" i="3"/>
  <c r="AH957" i="3"/>
  <c r="AI313" i="3"/>
  <c r="AI891" i="3"/>
  <c r="AH1266" i="3"/>
  <c r="AK1083" i="3"/>
  <c r="AJ1083" i="3"/>
  <c r="AH912" i="3"/>
  <c r="AH900" i="3"/>
  <c r="AI1086" i="3"/>
  <c r="AI761" i="3"/>
  <c r="AH600" i="3"/>
  <c r="AL1205" i="3"/>
  <c r="AJ1205" i="3"/>
  <c r="AK1205" i="3"/>
  <c r="AH1205" i="3"/>
  <c r="AI1041" i="3"/>
  <c r="AK942" i="3"/>
  <c r="AL942" i="3" s="1"/>
  <c r="AM557" i="3"/>
  <c r="AL660" i="3"/>
  <c r="AI477" i="3"/>
  <c r="AH477" i="3"/>
  <c r="AH948" i="3"/>
  <c r="AL774" i="3"/>
  <c r="AJ581" i="3"/>
  <c r="AK581" i="3"/>
  <c r="AH364" i="3"/>
  <c r="AI364" i="3" s="1"/>
  <c r="AP271" i="3"/>
  <c r="AI589" i="3"/>
  <c r="AL307" i="3"/>
  <c r="AI216" i="3"/>
  <c r="AH186" i="3"/>
  <c r="AH1066" i="3"/>
  <c r="AH11" i="3"/>
  <c r="AI11" i="3"/>
  <c r="AI647" i="3"/>
  <c r="AH647" i="3"/>
  <c r="AI951" i="3"/>
  <c r="AK628" i="3"/>
  <c r="AJ429" i="3"/>
  <c r="AI1027" i="3"/>
  <c r="AJ1027" i="3"/>
  <c r="AH782" i="3"/>
  <c r="AL437" i="3"/>
  <c r="AK437" i="3"/>
  <c r="AM437" i="3" s="1"/>
  <c r="AJ437" i="3"/>
  <c r="S311" i="2"/>
  <c r="S312" i="2" s="1"/>
  <c r="AH580" i="3"/>
  <c r="AN597" i="3"/>
  <c r="AJ498" i="3"/>
  <c r="AK816" i="3"/>
  <c r="AK10" i="3"/>
  <c r="AI614" i="3"/>
  <c r="AI550" i="3"/>
  <c r="AH724" i="3"/>
  <c r="AI531" i="3"/>
  <c r="AI299" i="3"/>
  <c r="AJ143" i="3"/>
  <c r="AN842" i="3"/>
  <c r="AJ593" i="3"/>
  <c r="AH293" i="3"/>
  <c r="AI293" i="3"/>
  <c r="AJ212" i="3"/>
  <c r="AI415" i="3"/>
  <c r="AL415" i="3" s="1"/>
  <c r="AK415" i="3"/>
  <c r="AM266" i="3"/>
  <c r="AJ651" i="3"/>
  <c r="AI185" i="3"/>
  <c r="S283" i="2"/>
  <c r="S155" i="2"/>
  <c r="AI417" i="3"/>
  <c r="AJ417" i="3" s="1"/>
  <c r="AK417" i="3"/>
  <c r="AJ656" i="3"/>
  <c r="AI510" i="3"/>
  <c r="AG1443" i="3"/>
  <c r="T219" i="2" s="1"/>
  <c r="R302" i="2"/>
  <c r="R306" i="2" s="1"/>
  <c r="AH49" i="3"/>
  <c r="AI49" i="3"/>
  <c r="AJ73" i="3"/>
  <c r="AA671" i="4"/>
  <c r="AA666" i="4"/>
  <c r="AH776" i="3"/>
  <c r="AI446" i="3"/>
  <c r="AJ446" i="3" s="1"/>
  <c r="AG1442" i="3"/>
  <c r="AG1397" i="3"/>
  <c r="M761" i="4"/>
  <c r="M786" i="4"/>
  <c r="M776" i="4"/>
  <c r="AK691" i="3"/>
  <c r="AI769" i="3"/>
  <c r="AJ251" i="3"/>
  <c r="AI251" i="3"/>
  <c r="AJ1102" i="3"/>
  <c r="AI1102" i="3"/>
  <c r="AI1386" i="3"/>
  <c r="AH1268" i="3"/>
  <c r="AJ1259" i="3"/>
  <c r="AI1346" i="3"/>
  <c r="AI1326" i="3"/>
  <c r="AJ1326" i="3"/>
  <c r="AH1063" i="3"/>
  <c r="AI1063" i="3"/>
  <c r="AI1030" i="3"/>
  <c r="AK677" i="3"/>
  <c r="AH941" i="3"/>
  <c r="AJ1341" i="3"/>
  <c r="AI1295" i="3"/>
  <c r="AK1149" i="3"/>
  <c r="AH1317" i="3"/>
  <c r="AJ1174" i="3"/>
  <c r="W69" i="4"/>
  <c r="AN1282" i="3"/>
  <c r="AH1255" i="3"/>
  <c r="AH1044" i="3"/>
  <c r="AJ996" i="3"/>
  <c r="AI626" i="3"/>
  <c r="AK1247" i="3"/>
  <c r="AH1074" i="3"/>
  <c r="AH1002" i="3"/>
  <c r="AJ908" i="3"/>
  <c r="AH801" i="3"/>
  <c r="AH562" i="3"/>
  <c r="AJ1240" i="3"/>
  <c r="AM1240" i="3"/>
  <c r="AL1240" i="3"/>
  <c r="AI688" i="3"/>
  <c r="AJ688" i="3"/>
  <c r="AH891" i="3"/>
  <c r="AK1195" i="3"/>
  <c r="AI937" i="3"/>
  <c r="AH914" i="3"/>
  <c r="AI511" i="3"/>
  <c r="AI1010" i="3"/>
  <c r="AK1197" i="3"/>
  <c r="AI894" i="3"/>
  <c r="AH894" i="3"/>
  <c r="AK500" i="3"/>
  <c r="AJ500" i="3"/>
  <c r="AK886" i="3"/>
  <c r="AL1115" i="3"/>
  <c r="AJ1115" i="3"/>
  <c r="AI1205" i="3"/>
  <c r="AI690" i="3"/>
  <c r="AH1165" i="3"/>
  <c r="AJ468" i="3"/>
  <c r="AJ255" i="3"/>
  <c r="AH223" i="3"/>
  <c r="AL905" i="3"/>
  <c r="AJ905" i="3"/>
  <c r="AJ323" i="3"/>
  <c r="AI323" i="3"/>
  <c r="AJ561" i="3"/>
  <c r="AJ213" i="3"/>
  <c r="AK213" i="3" s="1"/>
  <c r="AI157" i="3"/>
  <c r="AH453" i="3"/>
  <c r="AH121" i="3"/>
  <c r="AH493" i="3"/>
  <c r="AI591" i="3"/>
  <c r="Y241" i="2"/>
  <c r="X139" i="2"/>
  <c r="AJ582" i="3"/>
  <c r="AI582" i="3"/>
  <c r="AH400" i="3"/>
  <c r="AL816" i="3"/>
  <c r="L303" i="2"/>
  <c r="AL315" i="3"/>
  <c r="AM315" i="3"/>
  <c r="AL10" i="3"/>
  <c r="AI243" i="3"/>
  <c r="AH22" i="3"/>
  <c r="AJ430" i="3"/>
  <c r="AM112" i="3"/>
  <c r="AG357" i="2"/>
  <c r="AE675" i="4"/>
  <c r="AG356" i="2" s="1"/>
  <c r="AE676" i="4"/>
  <c r="AE683" i="4"/>
  <c r="AH1045" i="3"/>
  <c r="K139" i="2"/>
  <c r="AD204" i="4"/>
  <c r="AD587" i="4"/>
  <c r="AI169" i="3"/>
  <c r="AI494" i="3"/>
  <c r="P1105" i="4"/>
  <c r="AI220" i="3"/>
  <c r="AK476" i="3"/>
  <c r="AI476" i="3"/>
  <c r="AJ476" i="3" s="1"/>
  <c r="AI1198" i="3"/>
  <c r="AM483" i="3"/>
  <c r="AN483" i="3"/>
  <c r="AN659" i="3"/>
  <c r="AC357" i="2"/>
  <c r="AA683" i="4"/>
  <c r="AA676" i="4"/>
  <c r="AH7" i="3"/>
  <c r="AK173" i="3"/>
  <c r="AJ65" i="3"/>
  <c r="AJ632" i="3"/>
  <c r="AI123" i="3"/>
  <c r="AH641" i="3"/>
  <c r="AH615" i="3"/>
  <c r="V223" i="2"/>
  <c r="Y152" i="2"/>
  <c r="AK501" i="3"/>
  <c r="AD922" i="4"/>
  <c r="W901" i="4"/>
  <c r="W909" i="4" s="1"/>
  <c r="AK1209" i="3"/>
  <c r="AJ1209" i="3"/>
  <c r="AI217" i="3"/>
  <c r="AH217" i="3"/>
  <c r="AH466" i="3"/>
  <c r="AI1285" i="3"/>
  <c r="AI1032" i="3"/>
  <c r="AI1196" i="3"/>
  <c r="AJ95" i="3"/>
  <c r="AI1369" i="3"/>
  <c r="AL503" i="3"/>
  <c r="AK503" i="3"/>
  <c r="AA438" i="4"/>
  <c r="AA439" i="4" s="1"/>
  <c r="AH1310" i="3"/>
  <c r="AK617" i="3"/>
  <c r="AI1130" i="3"/>
  <c r="AI609" i="3"/>
  <c r="AI521" i="3"/>
  <c r="AI620" i="3"/>
  <c r="AI509" i="3"/>
  <c r="AH399" i="3"/>
  <c r="AK874" i="3"/>
  <c r="AJ85" i="3"/>
  <c r="AB438" i="4"/>
  <c r="AB439" i="4" s="1"/>
  <c r="AK980" i="3"/>
  <c r="AJ980" i="3"/>
  <c r="AH915" i="3"/>
  <c r="AK583" i="3"/>
  <c r="AJ583" i="3"/>
  <c r="AI1079" i="3"/>
  <c r="AI1261" i="3"/>
  <c r="AH536" i="3"/>
  <c r="AH18" i="3"/>
  <c r="AK563" i="3"/>
  <c r="AJ421" i="3"/>
  <c r="X277" i="4"/>
  <c r="AH318" i="3"/>
  <c r="AD901" i="4"/>
  <c r="AD909" i="4" s="1"/>
  <c r="AI1110" i="3"/>
  <c r="AH1110" i="3"/>
  <c r="AJ1110" i="3"/>
  <c r="U68" i="4"/>
  <c r="U77" i="4" s="1"/>
  <c r="AI1042" i="3"/>
  <c r="AK1263" i="3"/>
  <c r="AJ1073" i="3"/>
  <c r="AJ1145" i="3"/>
  <c r="AI731" i="3"/>
  <c r="AI787" i="3"/>
  <c r="AK1115" i="3"/>
  <c r="AI745" i="3"/>
  <c r="AH333" i="3"/>
  <c r="AI326" i="3"/>
  <c r="R901" i="4"/>
  <c r="R909" i="4" s="1"/>
  <c r="AI1267" i="3"/>
  <c r="AH1267" i="3"/>
  <c r="AI814" i="3"/>
  <c r="AH564" i="3"/>
  <c r="AI1242" i="3"/>
  <c r="AH1245" i="3"/>
  <c r="AI1245" i="3"/>
  <c r="AJ368" i="3"/>
  <c r="AH134" i="3"/>
  <c r="AH313" i="3"/>
  <c r="AH196" i="3"/>
  <c r="AJ196" i="3"/>
  <c r="AI196" i="3"/>
  <c r="AH328" i="3"/>
  <c r="U213" i="2"/>
  <c r="V213" i="2" s="1"/>
  <c r="W213" i="2" s="1"/>
  <c r="T301" i="2"/>
  <c r="T302" i="2" s="1"/>
  <c r="T306" i="2" s="1"/>
  <c r="U300" i="2"/>
  <c r="AK928" i="3"/>
  <c r="AI1305" i="3"/>
  <c r="AI657" i="3"/>
  <c r="AH657" i="3"/>
  <c r="AJ657" i="3"/>
  <c r="AL281" i="3"/>
  <c r="AI785" i="3"/>
  <c r="AI616" i="3"/>
  <c r="AH616" i="3"/>
  <c r="AH31" i="3"/>
  <c r="AI756" i="3"/>
  <c r="AP557" i="3"/>
  <c r="AB1228" i="4"/>
  <c r="AB1229" i="4"/>
  <c r="AB1218" i="4"/>
  <c r="AB1227" i="4"/>
  <c r="AB1226" i="4"/>
  <c r="AH651" i="3"/>
  <c r="AI46" i="3"/>
  <c r="AJ975" i="3"/>
  <c r="AI975" i="3"/>
  <c r="R1116" i="4"/>
  <c r="R1143" i="4"/>
  <c r="R902" i="4"/>
  <c r="R910" i="4" s="1"/>
  <c r="R1118" i="4"/>
  <c r="R1169" i="4"/>
  <c r="R1171" i="4" s="1"/>
  <c r="AH1333" i="3"/>
  <c r="AI1291" i="3"/>
  <c r="AI978" i="3"/>
  <c r="AH871" i="3"/>
  <c r="AH909" i="3"/>
  <c r="AH991" i="3"/>
  <c r="AJ761" i="3"/>
  <c r="AK947" i="3"/>
  <c r="AH929" i="3"/>
  <c r="AI579" i="3"/>
  <c r="AO758" i="3"/>
  <c r="AI794" i="3"/>
  <c r="AJ436" i="3"/>
  <c r="AI436" i="3"/>
  <c r="AI429" i="3"/>
  <c r="AJ771" i="3"/>
  <c r="AI771" i="3"/>
  <c r="AB671" i="4"/>
  <c r="AB678" i="4" s="1"/>
  <c r="AB666" i="4"/>
  <c r="AH350" i="3"/>
  <c r="AI350" i="3"/>
  <c r="AJ1319" i="3"/>
  <c r="AI1319" i="3"/>
  <c r="S1149" i="4"/>
  <c r="AH1176" i="3"/>
  <c r="AK664" i="3"/>
  <c r="AJ1295" i="3"/>
  <c r="AJ1036" i="3"/>
  <c r="AH967" i="3"/>
  <c r="X69" i="4"/>
  <c r="AI1388" i="3"/>
  <c r="D98" i="6"/>
  <c r="P41" i="6"/>
  <c r="AJ1078" i="3"/>
  <c r="AI1078" i="3"/>
  <c r="AH1297" i="3"/>
  <c r="AI1182" i="3"/>
  <c r="AI1055" i="3"/>
  <c r="AG1430" i="3"/>
  <c r="R167" i="4" s="1"/>
  <c r="AH998" i="3"/>
  <c r="AG1446" i="3"/>
  <c r="AJ1331" i="3"/>
  <c r="AK1331" i="3" s="1"/>
  <c r="AJ1277" i="3"/>
  <c r="AJ1125" i="3"/>
  <c r="AK1125" i="3" s="1"/>
  <c r="AI1089" i="3"/>
  <c r="AJ1089" i="3"/>
  <c r="AH1089" i="3"/>
  <c r="AJ1338" i="3"/>
  <c r="AL1117" i="3"/>
  <c r="AK1117" i="3"/>
  <c r="AJ1197" i="3"/>
  <c r="AH164" i="3"/>
  <c r="AK164" i="3"/>
  <c r="AL164" i="3" s="1"/>
  <c r="AJ164" i="3"/>
  <c r="AI164" i="3"/>
  <c r="AJ956" i="3"/>
  <c r="AH1082" i="3"/>
  <c r="AI98" i="3"/>
  <c r="AN557" i="3"/>
  <c r="AL681" i="3"/>
  <c r="AH572" i="3"/>
  <c r="AI410" i="3"/>
  <c r="AJ241" i="3"/>
  <c r="AI976" i="3"/>
  <c r="AI442" i="3"/>
  <c r="AK124" i="3"/>
  <c r="AK559" i="3"/>
  <c r="AI390" i="3"/>
  <c r="AI493" i="3"/>
  <c r="AI760" i="3"/>
  <c r="AK649" i="3"/>
  <c r="AI697" i="3"/>
  <c r="AI1039" i="3"/>
  <c r="AH750" i="3"/>
  <c r="AI740" i="3"/>
  <c r="AH740" i="3"/>
  <c r="AK846" i="3"/>
  <c r="AK571" i="3"/>
  <c r="U121" i="4"/>
  <c r="AJ299" i="3"/>
  <c r="AN112" i="3"/>
  <c r="Z255" i="2"/>
  <c r="AO842" i="3"/>
  <c r="AJ415" i="3"/>
  <c r="AJ321" i="3"/>
  <c r="AI61" i="3"/>
  <c r="AJ61" i="3"/>
  <c r="K372" i="2"/>
  <c r="AK710" i="3"/>
  <c r="AJ8" i="3"/>
  <c r="AJ12" i="3"/>
  <c r="T252" i="2"/>
  <c r="T154" i="2"/>
  <c r="U251" i="2"/>
  <c r="AH375" i="3"/>
  <c r="AI375" i="3" s="1"/>
  <c r="AJ678" i="3"/>
  <c r="AK1355" i="3"/>
  <c r="Q37" i="2"/>
  <c r="O252" i="4"/>
  <c r="Q83" i="2" s="1"/>
  <c r="AI37" i="3"/>
  <c r="AH486" i="3"/>
  <c r="AK640" i="3"/>
  <c r="AJ640" i="3"/>
  <c r="AI7" i="3"/>
  <c r="AH762" i="3"/>
  <c r="AJ165" i="3"/>
  <c r="AB1230" i="4"/>
  <c r="AH208" i="3"/>
  <c r="AI331" i="3"/>
  <c r="AH525" i="3"/>
  <c r="AJ766" i="3"/>
  <c r="AH585" i="3"/>
  <c r="O330" i="2"/>
  <c r="O332" i="2" s="1"/>
  <c r="O333" i="2" s="1"/>
  <c r="K170" i="2"/>
  <c r="AM320" i="3"/>
  <c r="AP666" i="3"/>
  <c r="AN666" i="3"/>
  <c r="AO666" i="3" s="1"/>
  <c r="AL373" i="3"/>
  <c r="AK1369" i="3"/>
  <c r="V438" i="4"/>
  <c r="V439" i="4" s="1"/>
  <c r="R1130" i="4"/>
  <c r="R1126" i="4"/>
  <c r="AH1379" i="3"/>
  <c r="AI1379" i="3" s="1"/>
  <c r="AN670" i="3"/>
  <c r="AK586" i="3"/>
  <c r="AJ586" i="3"/>
  <c r="AJ1389" i="3"/>
  <c r="AH925" i="3"/>
  <c r="AI925" i="3"/>
  <c r="AK711" i="3"/>
  <c r="AH711" i="3"/>
  <c r="AI711" i="3"/>
  <c r="AJ711" i="3" s="1"/>
  <c r="AH725" i="3"/>
  <c r="AH847" i="3"/>
  <c r="AH1256" i="3"/>
  <c r="AH716" i="3"/>
  <c r="AI289" i="3"/>
  <c r="M1221" i="4"/>
  <c r="M84" i="4"/>
  <c r="AE922" i="4"/>
  <c r="S1126" i="4"/>
  <c r="S1130" i="4"/>
  <c r="Z901" i="4"/>
  <c r="Z909" i="4" s="1"/>
  <c r="AH838" i="3"/>
  <c r="AI968" i="3"/>
  <c r="AH100" i="3"/>
  <c r="L283" i="2"/>
  <c r="M155" i="2"/>
  <c r="M150" i="2" s="1"/>
  <c r="R137" i="2"/>
  <c r="R134" i="2" s="1"/>
  <c r="AK273" i="3"/>
  <c r="AH830" i="3"/>
  <c r="AJ712" i="3"/>
  <c r="AI466" i="3"/>
  <c r="AJ898" i="3"/>
  <c r="AK76" i="3"/>
  <c r="AH86" i="3"/>
  <c r="AA901" i="4"/>
  <c r="AA909" i="4" s="1"/>
  <c r="AJ1288" i="3"/>
  <c r="AI1156" i="3"/>
  <c r="AI1262" i="3"/>
  <c r="AL401" i="3"/>
  <c r="AI778" i="3"/>
  <c r="AJ455" i="3"/>
  <c r="AI19" i="3"/>
  <c r="AJ348" i="3"/>
  <c r="AI348" i="3"/>
  <c r="AK712" i="3"/>
  <c r="AJ50" i="3"/>
  <c r="AK50" i="3"/>
  <c r="AB357" i="2"/>
  <c r="Z676" i="4"/>
  <c r="Z683" i="4"/>
  <c r="AK138" i="3"/>
  <c r="AH308" i="3"/>
  <c r="AB969" i="4"/>
  <c r="AF922" i="4"/>
  <c r="AJ1390" i="3"/>
  <c r="AF69" i="4"/>
  <c r="AM739" i="3"/>
  <c r="AI910" i="3"/>
  <c r="AH910" i="3"/>
  <c r="AH866" i="3"/>
  <c r="AJ161" i="3"/>
  <c r="AK161" i="3"/>
  <c r="AI286" i="3"/>
  <c r="AI889" i="3"/>
  <c r="AI913" i="3"/>
  <c r="AI85" i="3"/>
  <c r="Q137" i="4"/>
  <c r="Q142" i="4"/>
  <c r="W438" i="4"/>
  <c r="W439" i="4" s="1"/>
  <c r="AL1270" i="3"/>
  <c r="AJ1376" i="3"/>
  <c r="AM721" i="3"/>
  <c r="AL721" i="3"/>
  <c r="AI865" i="3"/>
  <c r="AH865" i="3"/>
  <c r="R69" i="4"/>
  <c r="AI540" i="3"/>
  <c r="AH1079" i="3"/>
  <c r="AI689" i="3"/>
  <c r="AK654" i="3"/>
  <c r="AJ654" i="3"/>
  <c r="AI790" i="3"/>
  <c r="AJ790" i="3" s="1"/>
  <c r="AI450" i="3"/>
  <c r="AH272" i="3"/>
  <c r="AI340" i="3"/>
  <c r="AH340" i="3"/>
  <c r="AL99" i="3"/>
  <c r="AI599" i="3"/>
  <c r="AJ599" i="3" s="1"/>
  <c r="AJ252" i="3"/>
  <c r="AI252" i="3"/>
  <c r="AK252" i="3"/>
  <c r="X438" i="4"/>
  <c r="X439" i="4" s="1"/>
  <c r="AK1037" i="3"/>
  <c r="AL1037" i="3"/>
  <c r="S69" i="4"/>
  <c r="AH1043" i="3"/>
  <c r="AI1277" i="3"/>
  <c r="AL1084" i="3"/>
  <c r="AL1220" i="3"/>
  <c r="AH753" i="3"/>
  <c r="AL1165" i="3"/>
  <c r="AK1165" i="3"/>
  <c r="AK1040" i="3"/>
  <c r="AI952" i="3"/>
  <c r="AI488" i="3"/>
  <c r="AH488" i="3"/>
  <c r="AJ277" i="3"/>
  <c r="AH1018" i="3"/>
  <c r="AH227" i="3"/>
  <c r="E201" i="5"/>
  <c r="AH1298" i="3"/>
  <c r="AH1224" i="3"/>
  <c r="AJ1224" i="3"/>
  <c r="AI1025" i="3"/>
  <c r="AJ1025" i="3" s="1"/>
  <c r="T69" i="4"/>
  <c r="AH965" i="3"/>
  <c r="AG1418" i="3"/>
  <c r="R165" i="4" s="1"/>
  <c r="AJ661" i="3"/>
  <c r="AH1049" i="3"/>
  <c r="AI969" i="3"/>
  <c r="AH516" i="3"/>
  <c r="AJ929" i="3"/>
  <c r="AI929" i="3"/>
  <c r="AI926" i="3"/>
  <c r="AI605" i="3"/>
  <c r="AI440" i="3"/>
  <c r="AJ440" i="3" s="1"/>
  <c r="AK440" i="3" s="1"/>
  <c r="S226" i="2"/>
  <c r="AI575" i="3"/>
  <c r="K963" i="4"/>
  <c r="K216" i="4"/>
  <c r="K212" i="4" s="1"/>
  <c r="K1104" i="4"/>
  <c r="X1126" i="4"/>
  <c r="X1130" i="4"/>
  <c r="AK1240" i="3"/>
  <c r="AH1387" i="3"/>
  <c r="AJ1391" i="3"/>
  <c r="AI1308" i="3"/>
  <c r="AI1222" i="3"/>
  <c r="AJ1222" i="3"/>
  <c r="AI1344" i="3"/>
  <c r="AH1377" i="3"/>
  <c r="AJ1164" i="3"/>
  <c r="AM1217" i="3"/>
  <c r="AJ1211" i="3"/>
  <c r="AK1384" i="3"/>
  <c r="AI1384" i="3"/>
  <c r="AJ1384" i="3" s="1"/>
  <c r="AH1384" i="3"/>
  <c r="AJ1246" i="3"/>
  <c r="AM1141" i="3"/>
  <c r="AJ645" i="3"/>
  <c r="AI645" i="3"/>
  <c r="AH645" i="3"/>
  <c r="AJ1232" i="3"/>
  <c r="AI1224" i="3"/>
  <c r="AI1094" i="3"/>
  <c r="AJ1094" i="3" s="1"/>
  <c r="Y69" i="4"/>
  <c r="AH1388" i="3"/>
  <c r="AK1188" i="3"/>
  <c r="AJ1188" i="3"/>
  <c r="AI1157" i="3"/>
  <c r="AK1277" i="3"/>
  <c r="AI921" i="3"/>
  <c r="AI244" i="3"/>
  <c r="AL244" i="3"/>
  <c r="AK244" i="3"/>
  <c r="AH244" i="3"/>
  <c r="AJ244" i="3" s="1"/>
  <c r="AJ571" i="3"/>
  <c r="AJ1122" i="3"/>
  <c r="AI1035" i="3"/>
  <c r="AK1058" i="3"/>
  <c r="AJ856" i="3"/>
  <c r="AH918" i="3"/>
  <c r="AI585" i="3"/>
  <c r="AJ1049" i="3"/>
  <c r="AJ950" i="3"/>
  <c r="AJ886" i="3"/>
  <c r="AI886" i="3"/>
  <c r="AJ1037" i="3"/>
  <c r="AI956" i="3"/>
  <c r="AH828" i="3"/>
  <c r="AI726" i="3"/>
  <c r="AJ1165" i="3"/>
  <c r="AH704" i="3"/>
  <c r="AH98" i="3"/>
  <c r="AH362" i="3"/>
  <c r="AI101" i="3"/>
  <c r="AJ101" i="3"/>
  <c r="AN681" i="3"/>
  <c r="AJ743" i="3"/>
  <c r="AH596" i="3"/>
  <c r="AH577" i="3"/>
  <c r="AH56" i="3"/>
  <c r="AI56" i="3"/>
  <c r="AI267" i="3"/>
  <c r="AK630" i="3"/>
  <c r="AJ630" i="3"/>
  <c r="AJ559" i="3"/>
  <c r="U144" i="2"/>
  <c r="AL43" i="3"/>
  <c r="AJ43" i="3"/>
  <c r="AI667" i="3"/>
  <c r="AH264" i="3"/>
  <c r="AI236" i="3"/>
  <c r="AH236" i="3"/>
  <c r="AJ236" i="3" s="1"/>
  <c r="AI506" i="3"/>
  <c r="AH1027" i="3"/>
  <c r="AH917" i="3"/>
  <c r="AM535" i="3"/>
  <c r="AN535" i="3" s="1"/>
  <c r="AI498" i="3"/>
  <c r="AM816" i="3"/>
  <c r="AI520" i="3"/>
  <c r="AH520" i="3"/>
  <c r="M38" i="2"/>
  <c r="L150" i="2"/>
  <c r="AJ71" i="3"/>
  <c r="AL161" i="3"/>
  <c r="T1233" i="4"/>
  <c r="T1232" i="4"/>
  <c r="AI491" i="3"/>
  <c r="AJ390" i="3"/>
  <c r="J546" i="4"/>
  <c r="Y277" i="4"/>
  <c r="S253" i="2"/>
  <c r="N35" i="2"/>
  <c r="AK518" i="3"/>
  <c r="AJ618" i="3"/>
  <c r="AI191" i="3"/>
  <c r="AJ191" i="3"/>
  <c r="P295" i="2"/>
  <c r="AK265" i="3"/>
  <c r="AJ72" i="3"/>
  <c r="AI72" i="3"/>
  <c r="AH294" i="3"/>
  <c r="AI294" i="3" s="1"/>
  <c r="AH23" i="3"/>
  <c r="AJ1004" i="3"/>
  <c r="AH1004" i="3"/>
  <c r="AI716" i="3"/>
  <c r="AI159" i="3"/>
  <c r="AH159" i="3"/>
  <c r="AK815" i="3"/>
  <c r="K117" i="4"/>
  <c r="AB45" i="8"/>
  <c r="AA45" i="8"/>
  <c r="Z45" i="8"/>
  <c r="Y45" i="8"/>
  <c r="X45" i="8"/>
  <c r="W45" i="8"/>
  <c r="U45" i="8"/>
  <c r="T45" i="8"/>
  <c r="AL1303" i="3"/>
  <c r="AH791" i="3"/>
  <c r="AI791" i="3"/>
  <c r="AK448" i="3"/>
  <c r="AI1098" i="3"/>
  <c r="AI821" i="3"/>
  <c r="AH411" i="3"/>
  <c r="AJ193" i="3"/>
  <c r="AJ566" i="3"/>
  <c r="AK373" i="3"/>
  <c r="AH353" i="3"/>
  <c r="AH515" i="3"/>
  <c r="R1222" i="4"/>
  <c r="R1234" i="4" s="1"/>
  <c r="AH982" i="3"/>
  <c r="AI892" i="3"/>
  <c r="AJ949" i="3"/>
  <c r="AI945" i="3"/>
  <c r="AJ1261" i="3"/>
  <c r="AI1256" i="3"/>
  <c r="AI517" i="3"/>
  <c r="AH517" i="3"/>
  <c r="AI738" i="3"/>
  <c r="AJ738" i="3"/>
  <c r="AH462" i="3"/>
  <c r="AH9" i="3"/>
  <c r="AL252" i="3"/>
  <c r="AH970" i="3"/>
  <c r="AI613" i="3"/>
  <c r="AH877" i="3"/>
  <c r="AJ907" i="3"/>
  <c r="AH694" i="3"/>
  <c r="AI1125" i="3"/>
  <c r="AI1006" i="3"/>
  <c r="AI1343" i="3"/>
  <c r="AL470" i="3"/>
  <c r="AK873" i="3"/>
  <c r="AJ1076" i="3"/>
  <c r="AI402" i="3"/>
  <c r="AH402" i="3"/>
  <c r="AI938" i="3"/>
  <c r="AI608" i="3"/>
  <c r="AJ837" i="3"/>
  <c r="AI1175" i="3"/>
  <c r="AL693" i="3"/>
  <c r="AI655" i="3"/>
  <c r="AH655" i="3"/>
  <c r="AK669" i="3"/>
  <c r="AH52" i="3"/>
  <c r="S1143" i="4"/>
  <c r="S902" i="4"/>
  <c r="S910" i="4" s="1"/>
  <c r="S1118" i="4"/>
  <c r="S1116" i="4"/>
  <c r="S1159" i="4"/>
  <c r="S1164" i="4"/>
  <c r="S1169" i="4"/>
  <c r="AI1091" i="3"/>
  <c r="AJ1091" i="3"/>
  <c r="AL885" i="3"/>
  <c r="AH960" i="3"/>
  <c r="AI960" i="3"/>
  <c r="AH943" i="3"/>
  <c r="AI1324" i="3"/>
  <c r="AK455" i="3"/>
  <c r="AI644" i="3"/>
  <c r="AI284" i="3"/>
  <c r="AH284" i="3"/>
  <c r="AM377" i="3"/>
  <c r="AL377" i="3"/>
  <c r="AJ377" i="3"/>
  <c r="AH1257" i="3"/>
  <c r="AH639" i="3"/>
  <c r="AI1345" i="3"/>
  <c r="AJ854" i="3"/>
  <c r="AM646" i="3"/>
  <c r="AI413" i="3"/>
  <c r="AH187" i="3"/>
  <c r="AH1088" i="3"/>
  <c r="AI1088" i="3"/>
  <c r="T969" i="4"/>
  <c r="N1233" i="4"/>
  <c r="AJ1103" i="3"/>
  <c r="AH852" i="3"/>
  <c r="AI852" i="3"/>
  <c r="AH989" i="3"/>
  <c r="AI473" i="3"/>
  <c r="AH199" i="3"/>
  <c r="AI1081" i="3"/>
  <c r="AI560" i="3"/>
  <c r="T122" i="4"/>
  <c r="U122" i="4" s="1"/>
  <c r="V122" i="4" s="1"/>
  <c r="W122" i="4" s="1"/>
  <c r="X122" i="4" s="1"/>
  <c r="Y122" i="4" s="1"/>
  <c r="Z122" i="4" s="1"/>
  <c r="AA122" i="4" s="1"/>
  <c r="AB122" i="4" s="1"/>
  <c r="AC122" i="4" s="1"/>
  <c r="AD122" i="4" s="1"/>
  <c r="AE122" i="4" s="1"/>
  <c r="AF122" i="4" s="1"/>
  <c r="AG122" i="4" s="1"/>
  <c r="S134" i="4"/>
  <c r="AL143" i="3"/>
  <c r="AH171" i="3"/>
  <c r="AI1334" i="3"/>
  <c r="AH1334" i="3"/>
  <c r="AS884" i="3"/>
  <c r="AR884" i="3"/>
  <c r="AQ884" i="3"/>
  <c r="AM884" i="3"/>
  <c r="AH1278" i="3"/>
  <c r="AI1278" i="3" s="1"/>
  <c r="AI753" i="3"/>
  <c r="AM307" i="3"/>
  <c r="AI684" i="3"/>
  <c r="AK614" i="3"/>
  <c r="AJ424" i="3"/>
  <c r="AI741" i="3"/>
  <c r="AJ26" i="3"/>
  <c r="AI26" i="3"/>
  <c r="AI1072" i="3"/>
  <c r="AL1020" i="3"/>
  <c r="AJ836" i="3"/>
  <c r="AL800" i="3"/>
  <c r="AM800" i="3"/>
  <c r="AJ1086" i="3"/>
  <c r="AK1086" i="3"/>
  <c r="AH896" i="3"/>
  <c r="AL602" i="3"/>
  <c r="AM544" i="3"/>
  <c r="AJ90" i="3"/>
  <c r="AI90" i="3"/>
  <c r="AH68" i="3"/>
  <c r="AJ785" i="3"/>
  <c r="AK233" i="3"/>
  <c r="AI24" i="3"/>
  <c r="AK285" i="3"/>
  <c r="AI17" i="3"/>
  <c r="AA204" i="4"/>
  <c r="AA623" i="4"/>
  <c r="AA587" i="4"/>
  <c r="R1174" i="4"/>
  <c r="R1176" i="4" s="1"/>
  <c r="U1438" i="3"/>
  <c r="AH1275" i="3"/>
  <c r="AK1284" i="3"/>
  <c r="AI1375" i="3"/>
  <c r="AJ1178" i="3"/>
  <c r="AK1178" i="3" s="1"/>
  <c r="AI1178" i="3"/>
  <c r="AH1381" i="3"/>
  <c r="AK1323" i="3"/>
  <c r="AI1176" i="3"/>
  <c r="AI1199" i="3"/>
  <c r="AH1121" i="3"/>
  <c r="AI1070" i="3"/>
  <c r="AJ974" i="3"/>
  <c r="AK1062" i="3"/>
  <c r="AI833" i="3"/>
  <c r="AH833" i="3"/>
  <c r="AI1002" i="3"/>
  <c r="AJ757" i="3"/>
  <c r="AI1052" i="3"/>
  <c r="AJ1207" i="3"/>
  <c r="AI1033" i="3"/>
  <c r="AK1122" i="3"/>
  <c r="AJ945" i="3"/>
  <c r="AJ885" i="3"/>
  <c r="AK885" i="3" s="1"/>
  <c r="AI1171" i="3"/>
  <c r="AI1108" i="3"/>
  <c r="AH1108" i="3"/>
  <c r="AJ935" i="3"/>
  <c r="AK931" i="3"/>
  <c r="AK551" i="3"/>
  <c r="AJ1068" i="3"/>
  <c r="AI1197" i="3"/>
  <c r="AJ585" i="3"/>
  <c r="AH1362" i="3"/>
  <c r="AI558" i="3"/>
  <c r="AH558" i="3"/>
  <c r="AK1286" i="3"/>
  <c r="AJ1286" i="3"/>
  <c r="AJ552" i="3"/>
  <c r="AM537" i="3"/>
  <c r="AH422" i="3"/>
  <c r="K169" i="2"/>
  <c r="AJ633" i="3"/>
  <c r="AI633" i="3"/>
  <c r="AH633" i="3"/>
  <c r="AJ532" i="3"/>
  <c r="AI532" i="3"/>
  <c r="AK224" i="3"/>
  <c r="AJ247" i="3"/>
  <c r="AJ51" i="3"/>
  <c r="AI51" i="3"/>
  <c r="AH1008" i="3"/>
  <c r="K163" i="2"/>
  <c r="AK785" i="3"/>
  <c r="AJ285" i="3"/>
  <c r="AH1409" i="3"/>
  <c r="AJ378" i="3"/>
  <c r="AJ1409" i="3" s="1"/>
  <c r="AI378" i="3"/>
  <c r="AI91" i="3"/>
  <c r="AJ91" i="3" s="1"/>
  <c r="S761" i="4"/>
  <c r="R761" i="4"/>
  <c r="AG761" i="4"/>
  <c r="AF761" i="4"/>
  <c r="AE761" i="4"/>
  <c r="AD761" i="4"/>
  <c r="AC761" i="4"/>
  <c r="AB761" i="4"/>
  <c r="AA761" i="4"/>
  <c r="Z761" i="4"/>
  <c r="Y761" i="4"/>
  <c r="X761" i="4"/>
  <c r="W761" i="4"/>
  <c r="V761" i="4"/>
  <c r="U761" i="4"/>
  <c r="T761" i="4"/>
  <c r="AJ310" i="3"/>
  <c r="AK310" i="3"/>
  <c r="R1159" i="4"/>
  <c r="R1161" i="4" s="1"/>
  <c r="V587" i="4"/>
  <c r="Z666" i="4"/>
  <c r="Z671" i="4"/>
  <c r="AE357" i="2"/>
  <c r="AC683" i="4"/>
  <c r="AC676" i="4"/>
  <c r="AH167" i="3"/>
  <c r="AJ106" i="3"/>
  <c r="AI106" i="3"/>
  <c r="J236" i="4"/>
  <c r="J808" i="4" s="1"/>
  <c r="J825" i="4" s="1"/>
  <c r="J237" i="4"/>
  <c r="J947" i="4" s="1"/>
  <c r="J234" i="4"/>
  <c r="J488" i="4" s="1"/>
  <c r="J505" i="4" s="1"/>
  <c r="AH663" i="3"/>
  <c r="AJ229" i="3"/>
  <c r="AH75" i="3"/>
  <c r="U188" i="2"/>
  <c r="V190" i="2"/>
  <c r="Y671" i="4"/>
  <c r="Y678" i="4" s="1"/>
  <c r="Y666" i="4"/>
  <c r="Y582" i="4"/>
  <c r="Y598" i="4" s="1"/>
  <c r="AI1232" i="3"/>
  <c r="AK789" i="3"/>
  <c r="AJ789" i="3"/>
  <c r="P963" i="4"/>
  <c r="P1104" i="4"/>
  <c r="P216" i="4"/>
  <c r="P212" i="4" s="1"/>
  <c r="K235" i="4"/>
  <c r="K644" i="4" s="1"/>
  <c r="K661" i="4" s="1"/>
  <c r="K236" i="4"/>
  <c r="K808" i="4" s="1"/>
  <c r="K825" i="4" s="1"/>
  <c r="K234" i="4"/>
  <c r="K488" i="4" s="1"/>
  <c r="K505" i="4" s="1"/>
  <c r="K237" i="4"/>
  <c r="K947" i="4" s="1"/>
  <c r="AI1296" i="3"/>
  <c r="AH1296" i="3"/>
  <c r="AJ1010" i="3"/>
  <c r="AJ827" i="3"/>
  <c r="AI827" i="3"/>
  <c r="AH139" i="3"/>
  <c r="Z204" i="4"/>
  <c r="Z587" i="4"/>
  <c r="Z613" i="4"/>
  <c r="Z623" i="4"/>
  <c r="L35" i="2"/>
  <c r="AH354" i="3"/>
  <c r="AI354" i="3" s="1"/>
  <c r="AJ354" i="3"/>
  <c r="Z438" i="4"/>
  <c r="Z439" i="4" s="1"/>
  <c r="AI1004" i="3"/>
  <c r="AH1290" i="3"/>
  <c r="AL749" i="3"/>
  <c r="AH961" i="3"/>
  <c r="AH767" i="3"/>
  <c r="AJ767" i="3"/>
  <c r="AI767" i="3"/>
  <c r="AK767" i="3"/>
  <c r="AJ1006" i="3"/>
  <c r="AI1389" i="3"/>
  <c r="AJ753" i="3"/>
  <c r="AJ256" i="3"/>
  <c r="AH673" i="3"/>
  <c r="AJ82" i="3"/>
  <c r="AH1142" i="3"/>
  <c r="AI474" i="3"/>
  <c r="AJ474" i="3" s="1"/>
  <c r="AH474" i="3"/>
  <c r="AJ887" i="3"/>
  <c r="AI424" i="3"/>
  <c r="AH30" i="3"/>
  <c r="AJ1344" i="3"/>
  <c r="AI1351" i="3"/>
  <c r="AI1376" i="3"/>
  <c r="AK1168" i="3"/>
  <c r="AI1059" i="3"/>
  <c r="AI519" i="3"/>
  <c r="AH463" i="3"/>
  <c r="AJ889" i="3"/>
  <c r="AI210" i="3"/>
  <c r="O362" i="2"/>
  <c r="AH1351" i="3"/>
  <c r="AH1328" i="3"/>
  <c r="AJ1328" i="3"/>
  <c r="AI1328" i="3"/>
  <c r="T68" i="4"/>
  <c r="T77" i="4" s="1"/>
  <c r="AK1042" i="3"/>
  <c r="AH1042" i="3"/>
  <c r="AJ1042" i="3"/>
  <c r="AK708" i="3"/>
  <c r="AJ708" i="3"/>
  <c r="AL1168" i="3"/>
  <c r="AJ617" i="3"/>
  <c r="AL1040" i="3"/>
  <c r="AM1040" i="3" s="1"/>
  <c r="AL635" i="3"/>
  <c r="AG438" i="4"/>
  <c r="AG439" i="4" s="1"/>
  <c r="AI1155" i="3"/>
  <c r="AH1155" i="3"/>
  <c r="AI1060" i="3"/>
  <c r="AH861" i="3"/>
  <c r="AH752" i="3"/>
  <c r="AK456" i="3"/>
  <c r="AI1104" i="3"/>
  <c r="AJ1104" i="3"/>
  <c r="AK1104" i="3" s="1"/>
  <c r="AL455" i="3"/>
  <c r="AI305" i="3"/>
  <c r="AJ817" i="3"/>
  <c r="AH279" i="3"/>
  <c r="AM603" i="3"/>
  <c r="AK603" i="3"/>
  <c r="AH202" i="3"/>
  <c r="AI486" i="3"/>
  <c r="O761" i="4"/>
  <c r="O786" i="4"/>
  <c r="O776" i="4"/>
  <c r="AJ803" i="3"/>
  <c r="AH1233" i="3"/>
  <c r="AJ1305" i="3"/>
  <c r="AI1254" i="3"/>
  <c r="AI1226" i="3"/>
  <c r="AJ503" i="3"/>
  <c r="AH902" i="3"/>
  <c r="AI826" i="3"/>
  <c r="AI63" i="3"/>
  <c r="AI176" i="3"/>
  <c r="AJ742" i="3"/>
  <c r="AJ298" i="3"/>
  <c r="AI399" i="3"/>
  <c r="AK480" i="3"/>
  <c r="AK844" i="3"/>
  <c r="AI431" i="3"/>
  <c r="AI1014" i="3"/>
  <c r="AI361" i="3"/>
  <c r="AJ361" i="3"/>
  <c r="AK361" i="3"/>
  <c r="AJ246" i="3"/>
  <c r="AI246" i="3"/>
  <c r="K786" i="4"/>
  <c r="K761" i="4"/>
  <c r="K776" i="4"/>
  <c r="U44" i="8"/>
  <c r="T44" i="8"/>
  <c r="AB44" i="8"/>
  <c r="AA44" i="8"/>
  <c r="Z44" i="8"/>
  <c r="Y44" i="8"/>
  <c r="X44" i="8"/>
  <c r="W44" i="8"/>
  <c r="AI1391" i="3"/>
  <c r="AK1187" i="3"/>
  <c r="AJ1187" i="3"/>
  <c r="AH1281" i="3"/>
  <c r="AH701" i="3"/>
  <c r="AJ1258" i="3"/>
  <c r="AK1295" i="3"/>
  <c r="AM1303" i="3"/>
  <c r="AJ1123" i="3"/>
  <c r="AH1330" i="3"/>
  <c r="AJ910" i="3"/>
  <c r="Y1232" i="4"/>
  <c r="W671" i="4"/>
  <c r="W666" i="4"/>
  <c r="AI441" i="3"/>
  <c r="AJ441" i="3"/>
  <c r="AH263" i="3"/>
  <c r="AI1138" i="3"/>
  <c r="AJ1354" i="3"/>
  <c r="AI1354" i="3"/>
  <c r="AJ718" i="3"/>
  <c r="AJ626" i="3"/>
  <c r="AI1331" i="3"/>
  <c r="AL1331" i="3"/>
  <c r="AM1331" i="3"/>
  <c r="AI914" i="3"/>
  <c r="AK914" i="3"/>
  <c r="AJ914" i="3"/>
  <c r="AN555" i="3"/>
  <c r="U587" i="4"/>
  <c r="U204" i="4"/>
  <c r="U623" i="4"/>
  <c r="AI882" i="3"/>
  <c r="AH882" i="3"/>
  <c r="AJ917" i="3"/>
  <c r="AH440" i="3"/>
  <c r="AI680" i="3"/>
  <c r="AI449" i="3"/>
  <c r="AH449" i="3"/>
  <c r="AM1235" i="3"/>
  <c r="AK1235" i="3"/>
  <c r="AL1235" i="3" s="1"/>
  <c r="AI651" i="3"/>
  <c r="U244" i="2"/>
  <c r="V244" i="2" s="1"/>
  <c r="W244" i="2" s="1"/>
  <c r="T242" i="2"/>
  <c r="AJ466" i="3"/>
  <c r="AH297" i="3"/>
  <c r="AI136" i="3"/>
  <c r="AH136" i="3"/>
  <c r="AI107" i="3"/>
  <c r="Q1221" i="4"/>
  <c r="Q84" i="4"/>
  <c r="Q70" i="4"/>
  <c r="AH45" i="3"/>
  <c r="W598" i="4"/>
  <c r="V1143" i="4"/>
  <c r="V1118" i="4"/>
  <c r="V902" i="4"/>
  <c r="V910" i="4" s="1"/>
  <c r="V1116" i="4"/>
  <c r="V1159" i="4"/>
  <c r="AL1194" i="3"/>
  <c r="AB901" i="4"/>
  <c r="AB909" i="4" s="1"/>
  <c r="AJ1284" i="3"/>
  <c r="AJ1332" i="3"/>
  <c r="AJ1169" i="3"/>
  <c r="AJ1302" i="3"/>
  <c r="AJ1244" i="3"/>
  <c r="AI1244" i="3"/>
  <c r="AH1114" i="3"/>
  <c r="AH972" i="3"/>
  <c r="AJ1309" i="3"/>
  <c r="AI1260" i="3"/>
  <c r="AJ916" i="3"/>
  <c r="AI1290" i="3"/>
  <c r="AK1080" i="3"/>
  <c r="AL1080" i="3" s="1"/>
  <c r="AJ671" i="3"/>
  <c r="AH1364" i="3"/>
  <c r="AH1293" i="3"/>
  <c r="AJ1055" i="3"/>
  <c r="AI1012" i="3"/>
  <c r="AL1064" i="3"/>
  <c r="AM1064" i="3" s="1"/>
  <c r="AI1099" i="3"/>
  <c r="AJ751" i="3"/>
  <c r="AI692" i="3"/>
  <c r="AH1150" i="3"/>
  <c r="AI822" i="3"/>
  <c r="AH705" i="3"/>
  <c r="AH1038" i="3"/>
  <c r="AH471" i="3"/>
  <c r="AK990" i="3"/>
  <c r="AJ990" i="3"/>
  <c r="AL843" i="3"/>
  <c r="AH1158" i="3"/>
  <c r="AI1158" i="3"/>
  <c r="AK1056" i="3"/>
  <c r="AM681" i="3"/>
  <c r="AH675" i="3"/>
  <c r="AL565" i="3"/>
  <c r="AI948" i="3"/>
  <c r="AI831" i="3"/>
  <c r="AH831" i="3"/>
  <c r="AJ727" i="3"/>
  <c r="AI727" i="3"/>
  <c r="AH727" i="3"/>
  <c r="AH330" i="3"/>
  <c r="AJ793" i="3"/>
  <c r="AJ286" i="3"/>
  <c r="AI411" i="3"/>
  <c r="AJ748" i="3"/>
  <c r="AK748" i="3" s="1"/>
  <c r="AH722" i="3"/>
  <c r="AI722" i="3"/>
  <c r="AJ760" i="3"/>
  <c r="AH644" i="3"/>
  <c r="V191" i="2"/>
  <c r="V138" i="2" s="1"/>
  <c r="U138" i="2"/>
  <c r="AL747" i="3"/>
  <c r="AK747" i="3"/>
  <c r="AM470" i="3"/>
  <c r="AH538" i="3"/>
  <c r="AH447" i="3"/>
  <c r="AH746" i="3"/>
  <c r="AI746" i="3" s="1"/>
  <c r="AI724" i="3"/>
  <c r="L380" i="2"/>
  <c r="AJ835" i="3"/>
  <c r="AL137" i="3"/>
  <c r="AL198" i="3"/>
  <c r="AJ853" i="3"/>
  <c r="AK593" i="3"/>
  <c r="O209" i="2"/>
  <c r="O192" i="2"/>
  <c r="AJ454" i="3"/>
  <c r="M70" i="4"/>
  <c r="AK248" i="3"/>
  <c r="AJ248" i="3"/>
  <c r="AB582" i="4"/>
  <c r="AI867" i="3"/>
  <c r="AH867" i="3"/>
  <c r="S350" i="2"/>
  <c r="AH522" i="3"/>
  <c r="AL898" i="3"/>
  <c r="AK898" i="3"/>
  <c r="L50" i="2"/>
  <c r="AI226" i="3"/>
  <c r="Q332" i="2"/>
  <c r="Q333" i="2" s="1"/>
  <c r="AK405" i="3"/>
  <c r="AJ405" i="3"/>
  <c r="AI489" i="3"/>
  <c r="AH489" i="3"/>
  <c r="AK804" i="3"/>
  <c r="AJ804" i="3"/>
  <c r="AI434" i="3"/>
  <c r="AJ434" i="3"/>
  <c r="AJ465" i="3"/>
  <c r="AH371" i="3"/>
  <c r="J1218" i="4"/>
  <c r="J1228" i="4"/>
  <c r="J1230" i="4"/>
  <c r="J1229" i="4"/>
  <c r="J1226" i="4"/>
  <c r="J1227" i="4"/>
  <c r="AH979" i="3"/>
  <c r="AH1161" i="3"/>
  <c r="AI789" i="3"/>
  <c r="AI1160" i="3"/>
  <c r="AJ873" i="3"/>
  <c r="AH1105" i="3"/>
  <c r="AK565" i="3"/>
  <c r="AJ160" i="3"/>
  <c r="AI160" i="3"/>
  <c r="AI371" i="3"/>
  <c r="AH218" i="3"/>
  <c r="Q761" i="4"/>
  <c r="Q786" i="4"/>
  <c r="Q776" i="4"/>
  <c r="R68" i="4"/>
  <c r="R77" i="4" s="1"/>
  <c r="AH1127" i="3"/>
  <c r="AH682" i="3"/>
  <c r="AI478" i="3"/>
  <c r="AH478" i="3"/>
  <c r="AH1166" i="3"/>
  <c r="AJ808" i="3"/>
  <c r="AI808" i="3"/>
  <c r="AH808" i="3"/>
  <c r="AI240" i="3"/>
  <c r="AI899" i="3"/>
  <c r="AH382" i="3"/>
  <c r="AH964" i="3"/>
  <c r="AM99" i="3"/>
  <c r="AN99" i="3" s="1"/>
  <c r="AH1048" i="3"/>
  <c r="AI195" i="3"/>
  <c r="AI29" i="3"/>
  <c r="AK354" i="3"/>
  <c r="S68" i="4"/>
  <c r="AH1159" i="3"/>
  <c r="AI906" i="3"/>
  <c r="AH1196" i="3"/>
  <c r="AI876" i="3"/>
  <c r="AL802" i="3"/>
  <c r="AK170" i="3"/>
  <c r="AJ170" i="3"/>
  <c r="AI170" i="3"/>
  <c r="AI1045" i="3"/>
  <c r="AH214" i="3"/>
  <c r="AJ172" i="3"/>
  <c r="AI324" i="3"/>
  <c r="AJ324" i="3" s="1"/>
  <c r="AJ142" i="3"/>
  <c r="AK142" i="3"/>
  <c r="AM503" i="3"/>
  <c r="AC901" i="4"/>
  <c r="AC909" i="4" s="1"/>
  <c r="AJ386" i="3"/>
  <c r="AI386" i="3"/>
  <c r="AJ689" i="3"/>
  <c r="AH240" i="3"/>
  <c r="AJ608" i="3"/>
  <c r="AK608" i="3" s="1"/>
  <c r="AK837" i="3"/>
  <c r="AA602" i="4"/>
  <c r="AA603" i="4" s="1"/>
  <c r="Z602" i="4"/>
  <c r="Z603" i="4" s="1"/>
  <c r="Y602" i="4"/>
  <c r="X602" i="4"/>
  <c r="W602" i="4"/>
  <c r="W603" i="4" s="1"/>
  <c r="AB602" i="4"/>
  <c r="V602" i="4"/>
  <c r="V603" i="4" s="1"/>
  <c r="U602" i="4"/>
  <c r="U603" i="4" s="1"/>
  <c r="T602" i="4"/>
  <c r="S602" i="4"/>
  <c r="S603" i="4" s="1"/>
  <c r="R602" i="4"/>
  <c r="AF602" i="4"/>
  <c r="AE602" i="4"/>
  <c r="AD602" i="4"/>
  <c r="AD603" i="4" s="1"/>
  <c r="AC602" i="4"/>
  <c r="AG602" i="4"/>
  <c r="AJ994" i="3"/>
  <c r="AL178" i="3"/>
  <c r="AM178" i="3" s="1"/>
  <c r="AH1400" i="3"/>
  <c r="AI35" i="3"/>
  <c r="AH312" i="3"/>
  <c r="AK312" i="3" s="1"/>
  <c r="AJ312" i="3"/>
  <c r="S682" i="4"/>
  <c r="N256" i="2"/>
  <c r="M175" i="2"/>
  <c r="AK336" i="3"/>
  <c r="L1117" i="4"/>
  <c r="L34" i="4"/>
  <c r="L35" i="4" s="1"/>
  <c r="I1457" i="3"/>
  <c r="J1457" i="3"/>
  <c r="AK1182" i="3"/>
  <c r="AN721" i="3"/>
  <c r="AJ564" i="3"/>
  <c r="AK564" i="3"/>
  <c r="AL564" i="3" s="1"/>
  <c r="AJ1340" i="3"/>
  <c r="AH461" i="3"/>
  <c r="AI461" i="3"/>
  <c r="AH473" i="3"/>
  <c r="AH286" i="3"/>
  <c r="AH41" i="3"/>
  <c r="AJ756" i="3"/>
  <c r="AH1107" i="3"/>
  <c r="AJ545" i="3"/>
  <c r="R682" i="4"/>
  <c r="AK143" i="3"/>
  <c r="AI104" i="3"/>
  <c r="AL50" i="3"/>
  <c r="AH34" i="3"/>
  <c r="AG922" i="4"/>
  <c r="AH1279" i="3"/>
  <c r="AI1258" i="3"/>
  <c r="AJ1367" i="3"/>
  <c r="AH1116" i="3"/>
  <c r="AK1315" i="3"/>
  <c r="AJ1315" i="3"/>
  <c r="AI1315" i="3"/>
  <c r="AI752" i="3"/>
  <c r="AI329" i="3"/>
  <c r="AI862" i="3"/>
  <c r="AI31" i="3"/>
  <c r="AL628" i="3"/>
  <c r="AK317" i="3"/>
  <c r="AI312" i="3"/>
  <c r="AM312" i="3" s="1"/>
  <c r="AI283" i="3"/>
  <c r="AJ452" i="3"/>
  <c r="L235" i="4"/>
  <c r="L644" i="4" s="1"/>
  <c r="L661" i="4" s="1"/>
  <c r="L237" i="4"/>
  <c r="L947" i="4" s="1"/>
  <c r="L236" i="4"/>
  <c r="L808" i="4" s="1"/>
  <c r="L825" i="4" s="1"/>
  <c r="AI48" i="3"/>
  <c r="AJ48" i="3"/>
  <c r="AI803" i="3"/>
  <c r="AH398" i="3"/>
  <c r="S900" i="4"/>
  <c r="S901" i="4"/>
  <c r="S909" i="4" s="1"/>
  <c r="AH1229" i="3"/>
  <c r="AI1274" i="3"/>
  <c r="AH1274" i="3"/>
  <c r="AH1190" i="3"/>
  <c r="AJ1311" i="3"/>
  <c r="AH1131" i="3"/>
  <c r="AJ1242" i="3"/>
  <c r="AK1248" i="3"/>
  <c r="AJ1248" i="3"/>
  <c r="AH1162" i="3"/>
  <c r="AI587" i="3"/>
  <c r="AH587" i="3"/>
  <c r="AJ797" i="3"/>
  <c r="AI730" i="3"/>
  <c r="AI513" i="3"/>
  <c r="AH513" i="3"/>
  <c r="AH880" i="3"/>
  <c r="AI507" i="3"/>
  <c r="K84" i="4"/>
  <c r="K1221" i="4"/>
  <c r="K70" i="4"/>
  <c r="AI131" i="3"/>
  <c r="AL112" i="3"/>
  <c r="AO112" i="3"/>
  <c r="AK112" i="3"/>
  <c r="AJ210" i="3"/>
  <c r="AK282" i="3"/>
  <c r="AI1272" i="3"/>
  <c r="AJ1272" i="3" s="1"/>
  <c r="Z69" i="4"/>
  <c r="AI859" i="3"/>
  <c r="AJ859" i="3"/>
  <c r="AJ932" i="3"/>
  <c r="AI661" i="3"/>
  <c r="AI861" i="3"/>
  <c r="AH983" i="3"/>
  <c r="AK368" i="3"/>
  <c r="AJ745" i="3"/>
  <c r="AK745" i="3"/>
  <c r="AG1400" i="3"/>
  <c r="P236" i="4"/>
  <c r="P808" i="4" s="1"/>
  <c r="P825" i="4" s="1"/>
  <c r="AJ105" i="3"/>
  <c r="AI105" i="3"/>
  <c r="AH105" i="3"/>
  <c r="AK105" i="3"/>
  <c r="AJ282" i="3"/>
  <c r="AI282" i="3"/>
  <c r="AJ769" i="3"/>
  <c r="AK769" i="3" s="1"/>
  <c r="AA922" i="4"/>
  <c r="AC1130" i="4"/>
  <c r="AC1126" i="4"/>
  <c r="AH1374" i="3"/>
  <c r="AE901" i="4"/>
  <c r="AE909" i="4" s="1"/>
  <c r="AH1359" i="3"/>
  <c r="AI1169" i="3"/>
  <c r="AI1377" i="3"/>
  <c r="AL1329" i="3"/>
  <c r="AM1329" i="3"/>
  <c r="AK1329" i="3"/>
  <c r="AK1337" i="3"/>
  <c r="AI1337" i="3"/>
  <c r="AJ1337" i="3" s="1"/>
  <c r="AH1206" i="3"/>
  <c r="AH1212" i="3"/>
  <c r="AI1212" i="3" s="1"/>
  <c r="AH1276" i="3"/>
  <c r="AJ1260" i="3"/>
  <c r="AK1260" i="3" s="1"/>
  <c r="AN897" i="3"/>
  <c r="AP897" i="3" s="1"/>
  <c r="AM897" i="3"/>
  <c r="AH783" i="3"/>
  <c r="AJ981" i="3"/>
  <c r="AI1225" i="3"/>
  <c r="AI992" i="3"/>
  <c r="AH962" i="3"/>
  <c r="AJ1280" i="3"/>
  <c r="AK1252" i="3"/>
  <c r="AJ1184" i="3"/>
  <c r="AI1304" i="3"/>
  <c r="AH1321" i="3"/>
  <c r="AK1236" i="3"/>
  <c r="AK988" i="3"/>
  <c r="AL818" i="3"/>
  <c r="AI1366" i="3"/>
  <c r="AH1099" i="3"/>
  <c r="AI841" i="3"/>
  <c r="AH841" i="3"/>
  <c r="AH819" i="3"/>
  <c r="AH668" i="3"/>
  <c r="AI668" i="3"/>
  <c r="AI930" i="3"/>
  <c r="AH1237" i="3"/>
  <c r="AH763" i="3"/>
  <c r="AJ423" i="3"/>
  <c r="AI1253" i="3"/>
  <c r="AH621" i="3"/>
  <c r="AI1022" i="3"/>
  <c r="AI901" i="3"/>
  <c r="AJ901" i="3" s="1"/>
  <c r="AL846" i="3"/>
  <c r="AJ511" i="3"/>
  <c r="AI1148" i="3"/>
  <c r="AK754" i="3"/>
  <c r="AJ1057" i="3"/>
  <c r="AH845" i="3"/>
  <c r="AI987" i="3"/>
  <c r="AI990" i="3"/>
  <c r="AM843" i="3"/>
  <c r="AK729" i="3"/>
  <c r="AH316" i="3"/>
  <c r="AK984" i="3"/>
  <c r="AJ984" i="3"/>
  <c r="AI619" i="3"/>
  <c r="AJ590" i="3"/>
  <c r="AK681" i="3"/>
  <c r="AH534" i="3"/>
  <c r="W1232" i="4"/>
  <c r="AI1093" i="3"/>
  <c r="AI675" i="3"/>
  <c r="AK423" i="3"/>
  <c r="AH406" i="3"/>
  <c r="AI406" i="3"/>
  <c r="AJ127" i="3"/>
  <c r="AI577" i="3"/>
  <c r="AJ97" i="3"/>
  <c r="AK97" i="3"/>
  <c r="AJ940" i="3"/>
  <c r="N306" i="2"/>
  <c r="AJ502" i="3"/>
  <c r="AK43" i="3"/>
  <c r="AI332" i="3"/>
  <c r="AH332" i="3"/>
  <c r="AK179" i="3"/>
  <c r="AI634" i="3"/>
  <c r="AJ27" i="3"/>
  <c r="AK1106" i="3"/>
  <c r="AH601" i="3"/>
  <c r="AI538" i="3"/>
  <c r="AK490" i="3"/>
  <c r="AJ490" i="3"/>
  <c r="AI490" i="3"/>
  <c r="AH686" i="3"/>
  <c r="AH309" i="3"/>
  <c r="AH472" i="3"/>
  <c r="Y771" i="4"/>
  <c r="T771" i="4"/>
  <c r="S771" i="4"/>
  <c r="R771" i="4"/>
  <c r="AG771" i="4"/>
  <c r="AF771" i="4"/>
  <c r="AE771" i="4"/>
  <c r="AD771" i="4"/>
  <c r="AC771" i="4"/>
  <c r="W771" i="4"/>
  <c r="V771" i="4"/>
  <c r="U771" i="4"/>
  <c r="AA771" i="4"/>
  <c r="Z771" i="4"/>
  <c r="X771" i="4"/>
  <c r="AB771" i="4"/>
  <c r="AH374" i="3"/>
  <c r="AH122" i="3"/>
  <c r="N209" i="2"/>
  <c r="N192" i="2"/>
  <c r="AI553" i="3"/>
  <c r="AK432" i="3"/>
  <c r="AL266" i="3"/>
  <c r="AH126" i="3"/>
  <c r="AJ28" i="3"/>
  <c r="AK172" i="3"/>
  <c r="AH287" i="3"/>
  <c r="P1232" i="4"/>
  <c r="AI420" i="3"/>
  <c r="AJ188" i="3"/>
  <c r="AH188" i="3"/>
  <c r="AI188" i="3" s="1"/>
  <c r="AJ867" i="3"/>
  <c r="AK867" i="3" s="1"/>
  <c r="AJ64" i="3"/>
  <c r="AH14" i="3"/>
  <c r="U598" i="4"/>
  <c r="AI376" i="3"/>
  <c r="AH467" i="3"/>
  <c r="AI319" i="3"/>
  <c r="AI80" i="3"/>
  <c r="Y683" i="4"/>
  <c r="AA357" i="2"/>
  <c r="Y676" i="4"/>
  <c r="AI342" i="3"/>
  <c r="AJ288" i="3"/>
  <c r="AH300" i="3"/>
  <c r="AH679" i="3"/>
  <c r="AI505" i="3"/>
  <c r="AJ70" i="3"/>
  <c r="AI70" i="3"/>
  <c r="AI433" i="3"/>
  <c r="AH237" i="3"/>
  <c r="AH707" i="3"/>
  <c r="AK890" i="3"/>
  <c r="AJ955" i="3"/>
  <c r="AG1412" i="3"/>
  <c r="AG1444" i="3"/>
  <c r="T220" i="2" s="1"/>
  <c r="AK592" i="3"/>
  <c r="Y776" i="4"/>
  <c r="X776" i="4"/>
  <c r="W776" i="4"/>
  <c r="V776" i="4"/>
  <c r="U776" i="4"/>
  <c r="T776" i="4"/>
  <c r="AA776" i="4"/>
  <c r="Z776" i="4"/>
  <c r="S776" i="4"/>
  <c r="R776" i="4"/>
  <c r="AF776" i="4"/>
  <c r="AE776" i="4"/>
  <c r="AD776" i="4"/>
  <c r="AC776" i="4"/>
  <c r="AB776" i="4"/>
  <c r="AG776" i="4"/>
  <c r="AL665" i="3"/>
  <c r="AK177" i="3"/>
  <c r="AL421" i="3"/>
  <c r="AH203" i="3"/>
  <c r="AK656" i="3"/>
  <c r="AI439" i="3"/>
  <c r="AH140" i="3"/>
  <c r="AI140" i="3"/>
  <c r="V199" i="2"/>
  <c r="U197" i="2"/>
  <c r="AI150" i="3"/>
  <c r="O134" i="2"/>
  <c r="O1221" i="4"/>
  <c r="O84" i="4"/>
  <c r="P330" i="2"/>
  <c r="P332" i="2" s="1"/>
  <c r="P333" i="2" s="1"/>
  <c r="AH109" i="3"/>
  <c r="AI109" i="3" s="1"/>
  <c r="Z922" i="4"/>
  <c r="Z1130" i="4"/>
  <c r="Z1126" i="4"/>
  <c r="Q130" i="6"/>
  <c r="Q150" i="6" s="1"/>
  <c r="Q157" i="6" s="1"/>
  <c r="AI1292" i="3"/>
  <c r="T901" i="4"/>
  <c r="T909" i="4" s="1"/>
  <c r="AK1249" i="3"/>
  <c r="AI1181" i="3"/>
  <c r="AH1181" i="3"/>
  <c r="AI1250" i="3"/>
  <c r="AH1077" i="3"/>
  <c r="AI1077" i="3"/>
  <c r="AI1221" i="3"/>
  <c r="AH1153" i="3"/>
  <c r="AH1353" i="3"/>
  <c r="AK1124" i="3"/>
  <c r="AH1291" i="3"/>
  <c r="V69" i="4"/>
  <c r="AI1339" i="3"/>
  <c r="AK718" i="3"/>
  <c r="AI610" i="3"/>
  <c r="AI1385" i="3"/>
  <c r="AI1283" i="3"/>
  <c r="AJ1182" i="3"/>
  <c r="AJ988" i="3"/>
  <c r="AK788" i="3"/>
  <c r="AA1438" i="3"/>
  <c r="AJ1034" i="3"/>
  <c r="AI1170" i="3"/>
  <c r="AK798" i="3"/>
  <c r="AH674" i="3"/>
  <c r="AJ736" i="3"/>
  <c r="AJ576" i="3"/>
  <c r="AI1154" i="3"/>
  <c r="AJ568" i="3"/>
  <c r="AL568" i="3"/>
  <c r="AK568" i="3"/>
  <c r="AI568" i="3"/>
  <c r="AK934" i="3"/>
  <c r="AI934" i="3"/>
  <c r="AJ934" i="3" s="1"/>
  <c r="AH934" i="3"/>
  <c r="AH764" i="3"/>
  <c r="AJ574" i="3"/>
  <c r="AH504" i="3"/>
  <c r="AK443" i="3"/>
  <c r="AI839" i="3"/>
  <c r="AJ839" i="3" s="1"/>
  <c r="AH839" i="3"/>
  <c r="AM700" i="3"/>
  <c r="AH687" i="3"/>
  <c r="AI496" i="3"/>
  <c r="AO557" i="3"/>
  <c r="AJ261" i="3"/>
  <c r="AK261" i="3" s="1"/>
  <c r="AH163" i="3"/>
  <c r="AI1071" i="3"/>
  <c r="AJ875" i="3"/>
  <c r="AH369" i="3"/>
  <c r="AI1100" i="3"/>
  <c r="AJ780" i="3"/>
  <c r="AK840" i="3"/>
  <c r="AI110" i="3"/>
  <c r="AH110" i="3"/>
  <c r="AK963" i="3"/>
  <c r="AH848" i="3"/>
  <c r="AJ338" i="3"/>
  <c r="AA1232" i="4"/>
  <c r="AJ734" i="3"/>
  <c r="AJ546" i="3"/>
  <c r="AJ445" i="3"/>
  <c r="AK435" i="3"/>
  <c r="AL435" i="3" s="1"/>
  <c r="AI16" i="3"/>
  <c r="AI578" i="3"/>
  <c r="AJ986" i="3"/>
  <c r="AK986" i="3" s="1"/>
  <c r="AK797" i="3"/>
  <c r="AI108" i="3"/>
  <c r="AH108" i="3"/>
  <c r="AI77" i="3"/>
  <c r="AI542" i="3"/>
  <c r="AD781" i="4"/>
  <c r="AB781" i="4"/>
  <c r="AG781" i="4"/>
  <c r="AF781" i="4"/>
  <c r="AE781" i="4"/>
  <c r="AC781" i="4"/>
  <c r="T781" i="4"/>
  <c r="S781" i="4"/>
  <c r="R781" i="4"/>
  <c r="AA781" i="4"/>
  <c r="Z781" i="4"/>
  <c r="W781" i="4"/>
  <c r="V781" i="4"/>
  <c r="U781" i="4"/>
  <c r="Y781" i="4"/>
  <c r="X781" i="4"/>
  <c r="O235" i="4"/>
  <c r="O644" i="4" s="1"/>
  <c r="O661" i="4" s="1"/>
  <c r="AJ554" i="3"/>
  <c r="AJ177" i="3"/>
  <c r="AI1234" i="3"/>
  <c r="AH232" i="3"/>
  <c r="AL174" i="3"/>
  <c r="AC152" i="2"/>
  <c r="R295" i="2"/>
  <c r="AJ394" i="3"/>
  <c r="AI370" i="3"/>
  <c r="AI203" i="3"/>
  <c r="J231" i="4"/>
  <c r="J807" i="4" s="1"/>
  <c r="J824" i="4" s="1"/>
  <c r="L312" i="2"/>
  <c r="L123" i="2"/>
  <c r="AI154" i="3"/>
  <c r="AK258" i="3"/>
  <c r="U208" i="2"/>
  <c r="R155" i="4"/>
  <c r="S155" i="4" s="1"/>
  <c r="AJ150" i="3"/>
  <c r="AD357" i="2"/>
  <c r="AB676" i="4"/>
  <c r="AB683" i="4"/>
  <c r="AK427" i="3"/>
  <c r="AH88" i="3"/>
  <c r="AK595" i="3"/>
  <c r="AK42" i="3"/>
  <c r="AJ276" i="3"/>
  <c r="AI168" i="3"/>
  <c r="N279" i="2"/>
  <c r="M1233" i="4"/>
  <c r="AJ376" i="3"/>
  <c r="AK29" i="3"/>
  <c r="AJ29" i="3"/>
  <c r="AI254" i="3"/>
  <c r="AJ254" i="3" s="1"/>
  <c r="AH254" i="3"/>
  <c r="AK569" i="3"/>
  <c r="AG1415" i="3"/>
  <c r="R164" i="4" s="1"/>
  <c r="AH733" i="3"/>
  <c r="AK84" i="3"/>
  <c r="M380" i="2"/>
  <c r="AH775" i="3"/>
  <c r="U12" i="4"/>
  <c r="T639" i="4"/>
  <c r="T657" i="4" s="1"/>
  <c r="T706" i="4" s="1"/>
  <c r="V39" i="2" s="1"/>
  <c r="AJ109" i="3"/>
  <c r="AI25" i="3"/>
  <c r="AJ25" i="3" s="1"/>
  <c r="AH25" i="3"/>
  <c r="AK25" i="3"/>
  <c r="AI204" i="3"/>
  <c r="AK341" i="3"/>
  <c r="AM327" i="3"/>
  <c r="AK327" i="3"/>
  <c r="AL327" i="3" s="1"/>
  <c r="Q295" i="2"/>
  <c r="Q253" i="2"/>
  <c r="AK907" i="3"/>
  <c r="AJ810" i="3"/>
  <c r="AI779" i="3"/>
  <c r="AH549" i="3"/>
  <c r="AJ145" i="3"/>
  <c r="V623" i="4"/>
  <c r="V1169" i="4"/>
  <c r="AD1130" i="4"/>
  <c r="AD1126" i="4"/>
  <c r="AF901" i="4"/>
  <c r="AF909" i="4" s="1"/>
  <c r="AI1147" i="3"/>
  <c r="AJ1306" i="3"/>
  <c r="AH1239" i="3"/>
  <c r="AJ1239" i="3"/>
  <c r="AI1239" i="3"/>
  <c r="AJ1250" i="3"/>
  <c r="AK1390" i="3"/>
  <c r="AL1390" i="3" s="1"/>
  <c r="AH1203" i="3"/>
  <c r="AJ1146" i="3"/>
  <c r="AI1126" i="3"/>
  <c r="AH1126" i="3"/>
  <c r="AH923" i="3"/>
  <c r="AL1323" i="3"/>
  <c r="AK1246" i="3"/>
  <c r="AL1246" i="3" s="1"/>
  <c r="AK1244" i="3"/>
  <c r="AJ966" i="3"/>
  <c r="AI1067" i="3"/>
  <c r="AH1218" i="3"/>
  <c r="U69" i="4"/>
  <c r="AI985" i="3"/>
  <c r="AH985" i="3"/>
  <c r="AJ1350" i="3"/>
  <c r="AH1380" i="3"/>
  <c r="AI1183" i="3"/>
  <c r="AJ1183" i="3" s="1"/>
  <c r="AJ1200" i="3"/>
  <c r="AI795" i="3"/>
  <c r="AI855" i="3"/>
  <c r="AI658" i="3"/>
  <c r="AK1220" i="3"/>
  <c r="AH606" i="3"/>
  <c r="AJ919" i="3"/>
  <c r="AI1151" i="3"/>
  <c r="AJ1373" i="3"/>
  <c r="AI713" i="3"/>
  <c r="J1454" i="3"/>
  <c r="I1454" i="3"/>
  <c r="AI687" i="3"/>
  <c r="AJ687" i="3" s="1"/>
  <c r="AJ460" i="3"/>
  <c r="AI103" i="3"/>
  <c r="AH103" i="3"/>
  <c r="AI786" i="3"/>
  <c r="AJ426" i="3"/>
  <c r="AJ414" i="3"/>
  <c r="AI414" i="3"/>
  <c r="AO681" i="3"/>
  <c r="AI292" i="3"/>
  <c r="AI1026" i="3"/>
  <c r="AH922" i="3"/>
  <c r="AJ862" i="3"/>
  <c r="AJ812" i="3"/>
  <c r="AK743" i="3"/>
  <c r="AJ719" i="3"/>
  <c r="AK719" i="3" s="1"/>
  <c r="AJ649" i="3"/>
  <c r="AH524" i="3"/>
  <c r="AI475" i="3"/>
  <c r="AD1232" i="4"/>
  <c r="K232" i="4"/>
  <c r="K946" i="4" s="1"/>
  <c r="K230" i="4"/>
  <c r="K643" i="4" s="1"/>
  <c r="K660" i="4" s="1"/>
  <c r="AI1000" i="3"/>
  <c r="AI530" i="3"/>
  <c r="AI428" i="3"/>
  <c r="AI341" i="3"/>
  <c r="AK149" i="3"/>
  <c r="AH433" i="3"/>
  <c r="AH737" i="3"/>
  <c r="AJ327" i="3"/>
  <c r="AJ78" i="3"/>
  <c r="S666" i="4"/>
  <c r="S671" i="4"/>
  <c r="AH1024" i="3"/>
  <c r="AL849" i="3"/>
  <c r="AJ588" i="3"/>
  <c r="AI887" i="3"/>
  <c r="AH529" i="3"/>
  <c r="N158" i="2"/>
  <c r="O158" i="2"/>
  <c r="AJ624" i="3"/>
  <c r="AI384" i="3"/>
  <c r="AI181" i="3"/>
  <c r="AH181" i="3"/>
  <c r="AJ181" i="3" s="1"/>
  <c r="AH156" i="3"/>
  <c r="AH215" i="3"/>
  <c r="AJ215" i="3" s="1"/>
  <c r="AK215" i="3" s="1"/>
  <c r="AI215" i="3"/>
  <c r="AG1403" i="3"/>
  <c r="T277" i="4"/>
  <c r="R332" i="2"/>
  <c r="R333" i="2" s="1"/>
  <c r="AJ203" i="3"/>
  <c r="O963" i="4"/>
  <c r="O1104" i="4"/>
  <c r="O216" i="4"/>
  <c r="O212" i="4" s="1"/>
  <c r="AJ249" i="3"/>
  <c r="O350" i="2"/>
  <c r="M234" i="4"/>
  <c r="M488" i="4" s="1"/>
  <c r="M505" i="4" s="1"/>
  <c r="S623" i="4"/>
  <c r="P1221" i="4"/>
  <c r="P84" i="4"/>
  <c r="R50" i="2"/>
  <c r="AI366" i="3"/>
  <c r="R846" i="4"/>
  <c r="N286" i="2"/>
  <c r="L273" i="2"/>
  <c r="L129" i="2"/>
  <c r="AH155" i="3"/>
  <c r="AI125" i="3"/>
  <c r="P142" i="4"/>
  <c r="R68" i="2"/>
  <c r="L546" i="4"/>
  <c r="AI21" i="3"/>
  <c r="R20" i="2"/>
  <c r="P252" i="4"/>
  <c r="R83" i="2" s="1"/>
  <c r="AJ118" i="3"/>
  <c r="AH119" i="3"/>
  <c r="P70" i="4"/>
  <c r="AL1101" i="3"/>
  <c r="AK1174" i="3"/>
  <c r="AL584" i="3"/>
  <c r="AK584" i="3"/>
  <c r="AG1427" i="3"/>
  <c r="R163" i="4" s="1"/>
  <c r="AI1139" i="3"/>
  <c r="AI824" i="3"/>
  <c r="AH824" i="3"/>
  <c r="AJ798" i="3"/>
  <c r="AI798" i="3"/>
  <c r="AH770" i="3"/>
  <c r="AI627" i="3"/>
  <c r="AI395" i="3"/>
  <c r="AJ1173" i="3"/>
  <c r="AH723" i="3"/>
  <c r="AI1325" i="3"/>
  <c r="AH1325" i="3"/>
  <c r="AL807" i="3"/>
  <c r="AK807" i="3"/>
  <c r="AJ652" i="3"/>
  <c r="AI1061" i="3"/>
  <c r="AI230" i="3"/>
  <c r="AH146" i="3"/>
  <c r="U666" i="4"/>
  <c r="U671" i="4"/>
  <c r="AJ481" i="3"/>
  <c r="AL514" i="3"/>
  <c r="AI145" i="3"/>
  <c r="X189" i="2"/>
  <c r="K189" i="2"/>
  <c r="AJ578" i="3"/>
  <c r="AK578" i="3" s="1"/>
  <c r="AH825" i="3"/>
  <c r="AH392" i="3"/>
  <c r="Q283" i="2"/>
  <c r="Q155" i="2"/>
  <c r="Q150" i="2" s="1"/>
  <c r="R155" i="2"/>
  <c r="R150" i="2" s="1"/>
  <c r="AJ58" i="3"/>
  <c r="AJ234" i="3"/>
  <c r="AI394" i="3"/>
  <c r="AK203" i="3"/>
  <c r="O1233" i="4"/>
  <c r="AH151" i="3"/>
  <c r="AJ13" i="3"/>
  <c r="AK396" i="3"/>
  <c r="AH16" i="3"/>
  <c r="R1100" i="4"/>
  <c r="U101" i="2"/>
  <c r="V101" i="2" s="1"/>
  <c r="N546" i="4"/>
  <c r="AK363" i="3"/>
  <c r="AE1130" i="4"/>
  <c r="AE1126" i="4"/>
  <c r="AJ1144" i="3"/>
  <c r="AH1140" i="3"/>
  <c r="S1174" i="4"/>
  <c r="AF1130" i="4"/>
  <c r="AF1126" i="4"/>
  <c r="R1154" i="4"/>
  <c r="R1156" i="4" s="1"/>
  <c r="AI1352" i="3"/>
  <c r="AK1273" i="3"/>
  <c r="U901" i="4"/>
  <c r="U909" i="4" s="1"/>
  <c r="AI1361" i="3"/>
  <c r="AI1230" i="3"/>
  <c r="AK1306" i="3"/>
  <c r="AI1335" i="3"/>
  <c r="AJ1221" i="3"/>
  <c r="AH1347" i="3"/>
  <c r="AH714" i="3"/>
  <c r="AI927" i="3"/>
  <c r="AI1028" i="3"/>
  <c r="AB69" i="4"/>
  <c r="AH1047" i="3"/>
  <c r="AI584" i="3"/>
  <c r="AK1180" i="3"/>
  <c r="AJ1180" i="3"/>
  <c r="AK1046" i="3"/>
  <c r="AH1269" i="3"/>
  <c r="AK1034" i="3"/>
  <c r="AK936" i="3"/>
  <c r="AH911" i="3"/>
  <c r="AI662" i="3"/>
  <c r="AM869" i="3"/>
  <c r="AM1213" i="3"/>
  <c r="AL1213" i="3"/>
  <c r="AI858" i="3"/>
  <c r="AH798" i="3"/>
  <c r="AH650" i="3"/>
  <c r="AJ627" i="3"/>
  <c r="AI543" i="3"/>
  <c r="AL539" i="3"/>
  <c r="AJ1130" i="3"/>
  <c r="AI744" i="3"/>
  <c r="AM1363" i="3"/>
  <c r="AH1300" i="3"/>
  <c r="AM242" i="3"/>
  <c r="AJ879" i="3"/>
  <c r="AH863" i="3"/>
  <c r="AJ826" i="3"/>
  <c r="AI231" i="3"/>
  <c r="AL868" i="3"/>
  <c r="AJ612" i="3"/>
  <c r="AI499" i="3"/>
  <c r="AK1152" i="3"/>
  <c r="AH860" i="3"/>
  <c r="AH735" i="3"/>
  <c r="AI735" i="3"/>
  <c r="AK528" i="3"/>
  <c r="AJ355" i="3"/>
  <c r="AI291" i="3"/>
  <c r="AJ207" i="3"/>
  <c r="AI207" i="3"/>
  <c r="AH207" i="3"/>
  <c r="AJ1071" i="3"/>
  <c r="AI648" i="3"/>
  <c r="AH625" i="3"/>
  <c r="AI262" i="3"/>
  <c r="AJ129" i="3"/>
  <c r="AM32" i="3"/>
  <c r="U1233" i="4"/>
  <c r="AJ899" i="3"/>
  <c r="AM351" i="3"/>
  <c r="AI1075" i="3"/>
  <c r="AJ696" i="3"/>
  <c r="AN401" i="3"/>
  <c r="AN327" i="3"/>
  <c r="AJ180" i="3"/>
  <c r="AI971" i="3"/>
  <c r="AK379" i="3"/>
  <c r="O234" i="4"/>
  <c r="O488" i="4" s="1"/>
  <c r="O505" i="4" s="1"/>
  <c r="O236" i="4"/>
  <c r="O808" i="4" s="1"/>
  <c r="O825" i="4" s="1"/>
  <c r="AI1133" i="3"/>
  <c r="AI823" i="3"/>
  <c r="AK451" i="3"/>
  <c r="AH578" i="3"/>
  <c r="AL712" i="3"/>
  <c r="AI409" i="3"/>
  <c r="AI487" i="3"/>
  <c r="AL872" i="3"/>
  <c r="AI152" i="3"/>
  <c r="AM137" i="3"/>
  <c r="AK955" i="3"/>
  <c r="AH556" i="3"/>
  <c r="AK304" i="3"/>
  <c r="AI403" i="3"/>
  <c r="AD791" i="4"/>
  <c r="V791" i="4"/>
  <c r="R791" i="4"/>
  <c r="AG791" i="4"/>
  <c r="AF791" i="4"/>
  <c r="AE791" i="4"/>
  <c r="AC791" i="4"/>
  <c r="AB791" i="4"/>
  <c r="AA791" i="4"/>
  <c r="Z791" i="4"/>
  <c r="U791" i="4"/>
  <c r="T791" i="4"/>
  <c r="S791" i="4"/>
  <c r="X791" i="4"/>
  <c r="W791" i="4"/>
  <c r="Y791" i="4"/>
  <c r="P230" i="4"/>
  <c r="P643" i="4" s="1"/>
  <c r="P660" i="4" s="1"/>
  <c r="P231" i="4"/>
  <c r="P807" i="4" s="1"/>
  <c r="P824" i="4" s="1"/>
  <c r="P232" i="4"/>
  <c r="P946" i="4" s="1"/>
  <c r="P229" i="4"/>
  <c r="P487" i="4" s="1"/>
  <c r="P504" i="4" s="1"/>
  <c r="AI360" i="3"/>
  <c r="AH360" i="3"/>
  <c r="AI89" i="3"/>
  <c r="AH166" i="3"/>
  <c r="L232" i="4"/>
  <c r="L946" i="4" s="1"/>
  <c r="L229" i="4"/>
  <c r="L487" i="4" s="1"/>
  <c r="L504" i="4" s="1"/>
  <c r="AH259" i="3"/>
  <c r="AK394" i="3"/>
  <c r="AJ370" i="3"/>
  <c r="AK74" i="3"/>
  <c r="AL203" i="3"/>
  <c r="Z1232" i="4"/>
  <c r="AJ87" i="3"/>
  <c r="N234" i="4"/>
  <c r="N488" i="4" s="1"/>
  <c r="N505" i="4" s="1"/>
  <c r="N236" i="4"/>
  <c r="N808" i="4" s="1"/>
  <c r="N825" i="4" s="1"/>
  <c r="N237" i="4"/>
  <c r="N947" i="4" s="1"/>
  <c r="AH533" i="3"/>
  <c r="AJ59" i="3"/>
  <c r="AH141" i="3"/>
  <c r="W198" i="2"/>
  <c r="AK425" i="3"/>
  <c r="AH337" i="3"/>
  <c r="Q546" i="4"/>
  <c r="AI314" i="3"/>
  <c r="AN32" i="3"/>
  <c r="Q282" i="2"/>
  <c r="Q149" i="2"/>
  <c r="AH334" i="3"/>
  <c r="AM228" i="3"/>
  <c r="AI352" i="3"/>
  <c r="AI355" i="3"/>
  <c r="AF969" i="4"/>
  <c r="R1099" i="4"/>
  <c r="AJ367" i="3"/>
  <c r="AI367" i="3"/>
  <c r="T582" i="4"/>
  <c r="T671" i="4"/>
  <c r="T666" i="4"/>
  <c r="AK611" i="3"/>
  <c r="AG901" i="4"/>
  <c r="AG909" i="4" s="1"/>
  <c r="V1179" i="4"/>
  <c r="AB922" i="4"/>
  <c r="S32" i="10"/>
  <c r="S412" i="4"/>
  <c r="AG1130" i="4"/>
  <c r="AG1126" i="4"/>
  <c r="S1154" i="4"/>
  <c r="S1156" i="4" s="1"/>
  <c r="P135" i="5"/>
  <c r="P201" i="5" s="1"/>
  <c r="AI1264" i="3"/>
  <c r="X901" i="4"/>
  <c r="X909" i="4" s="1"/>
  <c r="AJ1360" i="3"/>
  <c r="AH1361" i="3"/>
  <c r="AH1368" i="3"/>
  <c r="AK1332" i="3"/>
  <c r="AJ1327" i="3"/>
  <c r="AH1371" i="3"/>
  <c r="AI1371" i="3"/>
  <c r="AH1271" i="3"/>
  <c r="AI1087" i="3"/>
  <c r="AK1054" i="3"/>
  <c r="AK1050" i="3"/>
  <c r="AH1172" i="3"/>
  <c r="AJ683" i="3"/>
  <c r="AI683" i="3"/>
  <c r="AI380" i="3"/>
  <c r="AH380" i="3"/>
  <c r="AG380" i="3"/>
  <c r="AO1282" i="3"/>
  <c r="AI1065" i="3"/>
  <c r="AJ584" i="3"/>
  <c r="AH1210" i="3"/>
  <c r="AL1083" i="3"/>
  <c r="AK883" i="3"/>
  <c r="AJ883" i="3"/>
  <c r="AL883" i="3"/>
  <c r="AH1129" i="3"/>
  <c r="AI1269" i="3"/>
  <c r="AJ904" i="3"/>
  <c r="AK904" i="3"/>
  <c r="AI1192" i="3"/>
  <c r="AI703" i="3"/>
  <c r="AH703" i="3"/>
  <c r="AI650" i="3"/>
  <c r="AH395" i="3"/>
  <c r="AI685" i="3"/>
  <c r="AL728" i="3"/>
  <c r="AJ834" i="3"/>
  <c r="AI834" i="3"/>
  <c r="AH834" i="3"/>
  <c r="AJ573" i="3"/>
  <c r="AH959" i="3"/>
  <c r="AH1120" i="3"/>
  <c r="AK1010" i="3"/>
  <c r="AI796" i="3"/>
  <c r="AJ809" i="3"/>
  <c r="AK888" i="3"/>
  <c r="AI850" i="3"/>
  <c r="AH1383" i="3"/>
  <c r="AI1294" i="3"/>
  <c r="AJ653" i="3"/>
  <c r="AI653" i="3"/>
  <c r="AJ102" i="3"/>
  <c r="AJ528" i="3"/>
  <c r="AH291" i="3"/>
  <c r="AI162" i="3"/>
  <c r="AH292" i="3"/>
  <c r="AI875" i="3"/>
  <c r="AH301" i="3"/>
  <c r="AH230" i="3"/>
  <c r="AI92" i="3"/>
  <c r="AH92" i="3"/>
  <c r="AJ92" i="3"/>
  <c r="AK92" i="3"/>
  <c r="AJ820" i="3"/>
  <c r="AH768" i="3"/>
  <c r="AH357" i="3"/>
  <c r="AJ225" i="3"/>
  <c r="AJ219" i="3"/>
  <c r="Q327" i="2"/>
  <c r="Q236" i="4"/>
  <c r="Q808" i="4" s="1"/>
  <c r="Q825" i="4" s="1"/>
  <c r="Q234" i="4"/>
  <c r="Q488" i="4" s="1"/>
  <c r="Q505" i="4" s="1"/>
  <c r="Q237" i="4"/>
  <c r="Q947" i="4" s="1"/>
  <c r="AI806" i="3"/>
  <c r="N776" i="4"/>
  <c r="N786" i="4"/>
  <c r="N761" i="4"/>
  <c r="AH184" i="3"/>
  <c r="AI527" i="3"/>
  <c r="AH358" i="3"/>
  <c r="AH903" i="3"/>
  <c r="AH638" i="3"/>
  <c r="U80" i="2"/>
  <c r="T80" i="2"/>
  <c r="AL1124" i="3"/>
  <c r="AI702" i="3"/>
  <c r="AJ152" i="3"/>
  <c r="AI93" i="3"/>
  <c r="AN539" i="3"/>
  <c r="AL669" i="3"/>
  <c r="AM669" i="3"/>
  <c r="V248" i="2"/>
  <c r="W249" i="2"/>
  <c r="W323" i="2"/>
  <c r="V325" i="2"/>
  <c r="AI253" i="3"/>
  <c r="AI166" i="3"/>
  <c r="AH81" i="3"/>
  <c r="M295" i="2"/>
  <c r="M253" i="2"/>
  <c r="AI944" i="3"/>
  <c r="AH944" i="3"/>
  <c r="V671" i="4"/>
  <c r="V666" i="4"/>
  <c r="AJ799" i="3"/>
  <c r="Q963" i="4"/>
  <c r="Q1104" i="4"/>
  <c r="Q216" i="4"/>
  <c r="Q212" i="4" s="1"/>
  <c r="AK59" i="3"/>
  <c r="AI954" i="3"/>
  <c r="S150" i="2"/>
  <c r="AH222" i="3"/>
  <c r="AH257" i="3"/>
  <c r="AH158" i="3"/>
  <c r="AH322" i="3"/>
  <c r="AJ314" i="3"/>
  <c r="AI306" i="3"/>
  <c r="S613" i="4"/>
  <c r="AL84" i="3"/>
  <c r="AM144" i="3"/>
  <c r="AL144" i="3"/>
  <c r="L1222" i="4"/>
  <c r="L1234" i="4" s="1"/>
  <c r="L1235" i="4" s="1"/>
  <c r="O231" i="4"/>
  <c r="O807" i="4" s="1"/>
  <c r="O824" i="4" s="1"/>
  <c r="O229" i="4"/>
  <c r="O487" i="4" s="1"/>
  <c r="O504" i="4" s="1"/>
  <c r="AI1228" i="3"/>
  <c r="AK1109" i="3"/>
  <c r="AL1109" i="3"/>
  <c r="S17" i="10"/>
  <c r="S65" i="4"/>
  <c r="Z598" i="4"/>
  <c r="V1174" i="4"/>
  <c r="L7" i="10"/>
  <c r="M4" i="10"/>
  <c r="T438" i="4"/>
  <c r="T439" i="4" s="1"/>
  <c r="AB1130" i="4"/>
  <c r="AB1126" i="4"/>
  <c r="R1149" i="4"/>
  <c r="R1151" i="4" s="1"/>
  <c r="Y901" i="4"/>
  <c r="Y909" i="4" s="1"/>
  <c r="AJ1136" i="3"/>
  <c r="AH1382" i="3"/>
  <c r="AH1186" i="3"/>
  <c r="AH1085" i="3"/>
  <c r="AH1251" i="3"/>
  <c r="AJ1167" i="3"/>
  <c r="AK1167" i="3" s="1"/>
  <c r="AI973" i="3"/>
  <c r="AI695" i="3"/>
  <c r="AH695" i="3"/>
  <c r="AI1223" i="3"/>
  <c r="AI1132" i="3"/>
  <c r="AL1073" i="3"/>
  <c r="AK1073" i="3"/>
  <c r="AL805" i="3"/>
  <c r="AK676" i="3"/>
  <c r="AJ676" i="3"/>
  <c r="AI1031" i="3"/>
  <c r="AK1006" i="3"/>
  <c r="AH541" i="3"/>
  <c r="AI977" i="3"/>
  <c r="AK636" i="3"/>
  <c r="AJ1058" i="3"/>
  <c r="AL1058" i="3"/>
  <c r="AI1096" i="3"/>
  <c r="AL270" i="3"/>
  <c r="AM270" i="3" s="1"/>
  <c r="AH1112" i="3"/>
  <c r="AH631" i="3"/>
  <c r="AJ1163" i="3"/>
  <c r="AI1134" i="3"/>
  <c r="AJ492" i="3"/>
  <c r="AI492" i="3"/>
  <c r="AK492" i="3"/>
  <c r="N283" i="2"/>
  <c r="N155" i="2"/>
  <c r="O155" i="2"/>
  <c r="O150" i="2" s="1"/>
  <c r="AJ508" i="3"/>
  <c r="AJ280" i="3"/>
  <c r="AI280" i="3"/>
  <c r="AJ857" i="3"/>
  <c r="AJ772" i="3"/>
  <c r="AJ128" i="3"/>
  <c r="AH637" i="3"/>
  <c r="AN544" i="3"/>
  <c r="AJ302" i="3"/>
  <c r="AI829" i="3"/>
  <c r="AH829" i="3"/>
  <c r="AI408" i="3"/>
  <c r="AK338" i="3"/>
  <c r="AL338" i="3"/>
  <c r="AM338" i="3"/>
  <c r="AI815" i="3"/>
  <c r="AJ815" i="3"/>
  <c r="AI497" i="3"/>
  <c r="AI201" i="3"/>
  <c r="AH1051" i="3"/>
  <c r="AI135" i="3"/>
  <c r="P761" i="4"/>
  <c r="P776" i="4"/>
  <c r="P786" i="4"/>
  <c r="AI153" i="3"/>
  <c r="N295" i="2"/>
  <c r="N253" i="2"/>
  <c r="AJ971" i="3"/>
  <c r="AK278" i="3"/>
  <c r="AJ642" i="3"/>
  <c r="AK642" i="3"/>
  <c r="AK508" i="3"/>
  <c r="AH365" i="3"/>
  <c r="AI523" i="3"/>
  <c r="K159" i="2"/>
  <c r="AI851" i="3"/>
  <c r="AK693" i="3"/>
  <c r="AM397" i="3"/>
  <c r="AJ548" i="3"/>
  <c r="AI825" i="3"/>
  <c r="AK152" i="3"/>
  <c r="AK113" i="3"/>
  <c r="AL71" i="3"/>
  <c r="AK71" i="3"/>
  <c r="AJ614" i="3"/>
  <c r="AJ79" i="3"/>
  <c r="R671" i="4"/>
  <c r="R666" i="4"/>
  <c r="R582" i="4"/>
  <c r="AK835" i="3"/>
  <c r="AI412" i="3"/>
  <c r="J1455" i="3"/>
  <c r="I1455" i="3"/>
  <c r="AK234" i="3"/>
  <c r="AK421" i="3"/>
  <c r="AH296" i="3"/>
  <c r="AH245" i="3"/>
  <c r="W682" i="4"/>
  <c r="AK424" i="3"/>
  <c r="AI784" i="3"/>
  <c r="AJ15" i="3"/>
  <c r="P35" i="2"/>
  <c r="AL691" i="3"/>
  <c r="AI1128" i="3"/>
  <c r="K13" i="2"/>
  <c r="I13" i="2" s="1"/>
  <c r="AG1232" i="4"/>
  <c r="AK73" i="3"/>
  <c r="Q17" i="2"/>
  <c r="K14" i="2"/>
  <c r="T73" i="2"/>
  <c r="R93" i="4"/>
  <c r="R138" i="4"/>
  <c r="AI235" i="3"/>
  <c r="AH235" i="3"/>
  <c r="AI290" i="3"/>
  <c r="S294" i="2"/>
  <c r="N3" i="2"/>
  <c r="O5" i="2"/>
  <c r="N289" i="2"/>
  <c r="AI755" i="3"/>
  <c r="AI479" i="3"/>
  <c r="AH512" i="3"/>
  <c r="N380" i="2"/>
  <c r="AJ123" i="3"/>
  <c r="AL656" i="3"/>
  <c r="AM656" i="3" s="1"/>
  <c r="AH83" i="3"/>
  <c r="P50" i="2"/>
  <c r="J963" i="4"/>
  <c r="J216" i="4"/>
  <c r="J212" i="4" s="1"/>
  <c r="V212" i="2"/>
  <c r="AJ44" i="3"/>
  <c r="O173" i="4"/>
  <c r="Q68" i="2"/>
  <c r="O137" i="4"/>
  <c r="O184" i="4" s="1"/>
  <c r="N362" i="2"/>
  <c r="L180" i="8"/>
  <c r="L52" i="8"/>
  <c r="M24" i="4"/>
  <c r="M26" i="4" s="1"/>
  <c r="M36" i="4" s="1"/>
  <c r="N4" i="4"/>
  <c r="AI623" i="3"/>
  <c r="AM539" i="3"/>
  <c r="AJ464" i="3"/>
  <c r="AK464" i="3"/>
  <c r="AL464" i="3" s="1"/>
  <c r="AI464" i="3"/>
  <c r="AH416" i="3"/>
  <c r="AH594" i="3"/>
  <c r="AL1177" i="3"/>
  <c r="AH920" i="3"/>
  <c r="AL1202" i="3"/>
  <c r="AI629" i="3"/>
  <c r="AH629" i="3"/>
  <c r="AJ619" i="3"/>
  <c r="AH268" i="3"/>
  <c r="AJ132" i="3"/>
  <c r="AH1053" i="3"/>
  <c r="AL878" i="3"/>
  <c r="AN635" i="3"/>
  <c r="AI547" i="3"/>
  <c r="AI250" i="3"/>
  <c r="AH250" i="3"/>
  <c r="AJ250" i="3" s="1"/>
  <c r="AH438" i="3"/>
  <c r="AI438" i="3" s="1"/>
  <c r="AH275" i="3"/>
  <c r="AH120" i="3"/>
  <c r="AI96" i="3"/>
  <c r="AH96" i="3"/>
  <c r="AI570" i="3"/>
  <c r="AJ157" i="3"/>
  <c r="P156" i="2"/>
  <c r="P150" i="2" s="1"/>
  <c r="AH811" i="3"/>
  <c r="AI346" i="3"/>
  <c r="AG1409" i="3"/>
  <c r="AJ311" i="3"/>
  <c r="AJ444" i="3"/>
  <c r="N143" i="4"/>
  <c r="P75" i="2" s="1"/>
  <c r="P70" i="2"/>
  <c r="AJ946" i="3"/>
  <c r="AK114" i="3"/>
  <c r="AD786" i="4"/>
  <c r="Z786" i="4"/>
  <c r="Y786" i="4"/>
  <c r="X786" i="4"/>
  <c r="W786" i="4"/>
  <c r="V786" i="4"/>
  <c r="AG786" i="4"/>
  <c r="AF786" i="4"/>
  <c r="U786" i="4"/>
  <c r="T786" i="4"/>
  <c r="S786" i="4"/>
  <c r="R786" i="4"/>
  <c r="AC786" i="4"/>
  <c r="AB786" i="4"/>
  <c r="AA786" i="4"/>
  <c r="AE786" i="4"/>
  <c r="AF357" i="2"/>
  <c r="AD676" i="4"/>
  <c r="AD683" i="4"/>
  <c r="AC671" i="4"/>
  <c r="AC678" i="4" s="1"/>
  <c r="AC666" i="4"/>
  <c r="AC582" i="4"/>
  <c r="AM303" i="3"/>
  <c r="AH190" i="3"/>
  <c r="S446" i="4"/>
  <c r="R446" i="4"/>
  <c r="AG446" i="4"/>
  <c r="AF446" i="4"/>
  <c r="AE446" i="4"/>
  <c r="AA446" i="4"/>
  <c r="Z446" i="4"/>
  <c r="Y446" i="4"/>
  <c r="X446" i="4"/>
  <c r="W446" i="4"/>
  <c r="V446" i="4"/>
  <c r="AD446" i="4"/>
  <c r="AC446" i="4"/>
  <c r="AB446" i="4"/>
  <c r="U446" i="4"/>
  <c r="T446" i="4"/>
  <c r="AJ765" i="3"/>
  <c r="AI765" i="3"/>
  <c r="AH765" i="3"/>
  <c r="L786" i="4"/>
  <c r="L761" i="4"/>
  <c r="L776" i="4"/>
  <c r="AI813" i="3"/>
  <c r="AH813" i="3"/>
  <c r="J142" i="4"/>
  <c r="L68" i="2"/>
  <c r="AI895" i="3"/>
  <c r="S1146" i="4"/>
  <c r="S1079" i="4"/>
  <c r="S1081" i="4" s="1"/>
  <c r="T1078" i="4" s="1"/>
  <c r="S1059" i="4"/>
  <c r="S1061" i="4" s="1"/>
  <c r="T1058" i="4" s="1"/>
  <c r="S1054" i="4"/>
  <c r="S1056" i="4" s="1"/>
  <c r="T1053" i="4" s="1"/>
  <c r="S1019" i="4"/>
  <c r="S1021" i="4" s="1"/>
  <c r="T1018" i="4" s="1"/>
  <c r="S656" i="4"/>
  <c r="S759" i="4"/>
  <c r="S1039" i="4"/>
  <c r="S1041" i="4" s="1"/>
  <c r="T1038" i="4" s="1"/>
  <c r="S1044" i="4"/>
  <c r="S1046" i="4" s="1"/>
  <c r="T1043" i="4" s="1"/>
  <c r="S1034" i="4"/>
  <c r="S1036" i="4" s="1"/>
  <c r="T1033" i="4" s="1"/>
  <c r="S984" i="4"/>
  <c r="S986" i="4" s="1"/>
  <c r="T983" i="4" s="1"/>
  <c r="S994" i="4"/>
  <c r="S996" i="4" s="1"/>
  <c r="T993" i="4" s="1"/>
  <c r="S1029" i="4"/>
  <c r="S1031" i="4" s="1"/>
  <c r="T1028" i="4" s="1"/>
  <c r="T10" i="4"/>
  <c r="V81" i="2" s="1"/>
  <c r="S1084" i="4"/>
  <c r="S1086" i="4" s="1"/>
  <c r="T1083" i="4" s="1"/>
  <c r="S989" i="4"/>
  <c r="S991" i="4" s="1"/>
  <c r="T988" i="4" s="1"/>
  <c r="S1089" i="4"/>
  <c r="S1091" i="4" s="1"/>
  <c r="T1088" i="4" s="1"/>
  <c r="S595" i="4"/>
  <c r="Q50" i="2"/>
  <c r="N1221" i="4"/>
  <c r="N84" i="4"/>
  <c r="AK205" i="3"/>
  <c r="L241" i="4"/>
  <c r="L809" i="4" s="1"/>
  <c r="L826" i="4" s="1"/>
  <c r="L242" i="4"/>
  <c r="L948" i="4" s="1"/>
  <c r="L240" i="4"/>
  <c r="L645" i="4" s="1"/>
  <c r="L662" i="4" s="1"/>
  <c r="L239" i="4"/>
  <c r="L489" i="4" s="1"/>
  <c r="L506" i="4" s="1"/>
  <c r="AJ342" i="3"/>
  <c r="AK118" i="3"/>
  <c r="AJ331" i="3"/>
  <c r="AK331" i="3" s="1"/>
  <c r="AG1406" i="3"/>
  <c r="AH347" i="3"/>
  <c r="Q20" i="2"/>
  <c r="AI407" i="3"/>
  <c r="AH325" i="3"/>
  <c r="AB277" i="4"/>
  <c r="AH407" i="3"/>
  <c r="AI33" i="3"/>
  <c r="AH33" i="3"/>
  <c r="AK706" i="3"/>
  <c r="AM485" i="3"/>
  <c r="AJ469" i="3"/>
  <c r="AI128" i="3"/>
  <c r="AK349" i="3"/>
  <c r="AJ349" i="3"/>
  <c r="AH117" i="3"/>
  <c r="AI117" i="3"/>
  <c r="Q137" i="2"/>
  <c r="AI546" i="3"/>
  <c r="AM628" i="3"/>
  <c r="AJ773" i="3"/>
  <c r="AI773" i="3"/>
  <c r="AH715" i="3"/>
  <c r="AI343" i="3"/>
  <c r="AJ343" i="3"/>
  <c r="R1098" i="4"/>
  <c r="R971" i="4"/>
  <c r="AI239" i="3"/>
  <c r="K1218" i="4"/>
  <c r="K1230" i="4"/>
  <c r="K1229" i="4"/>
  <c r="K1228" i="4"/>
  <c r="K1226" i="4"/>
  <c r="K1227" i="4"/>
  <c r="AJ274" i="3"/>
  <c r="AI274" i="3"/>
  <c r="AH274" i="3"/>
  <c r="V683" i="4"/>
  <c r="V676" i="4"/>
  <c r="X357" i="2"/>
  <c r="AK893" i="3"/>
  <c r="AJ893" i="3"/>
  <c r="K1117" i="4"/>
  <c r="K34" i="4"/>
  <c r="K35" i="4" s="1"/>
  <c r="O20" i="2"/>
  <c r="M252" i="4"/>
  <c r="O83" i="2" s="1"/>
  <c r="AI457" i="3"/>
  <c r="AI325" i="3"/>
  <c r="N137" i="4"/>
  <c r="AJ484" i="3"/>
  <c r="AH344" i="3"/>
  <c r="AL76" i="3"/>
  <c r="M362" i="2"/>
  <c r="AD969" i="4"/>
  <c r="AH388" i="3"/>
  <c r="AM635" i="3"/>
  <c r="AI418" i="3"/>
  <c r="AL418" i="3"/>
  <c r="AJ418" i="3"/>
  <c r="AK418" i="3"/>
  <c r="AH269" i="3"/>
  <c r="AH94" i="3"/>
  <c r="AH567" i="3"/>
  <c r="AI20" i="3"/>
  <c r="AI180" i="3"/>
  <c r="AJ709" i="3"/>
  <c r="AI115" i="3"/>
  <c r="AH720" i="3"/>
  <c r="AI444" i="3"/>
  <c r="X676" i="4"/>
  <c r="X675" i="4"/>
  <c r="Z356" i="2" s="1"/>
  <c r="Z357" i="2"/>
  <c r="X683" i="4"/>
  <c r="AI699" i="3"/>
  <c r="AH699" i="3"/>
  <c r="AM10" i="3"/>
  <c r="AH260" i="3"/>
  <c r="Q226" i="2"/>
  <c r="S766" i="4"/>
  <c r="R766" i="4"/>
  <c r="AG766" i="4"/>
  <c r="AF766" i="4"/>
  <c r="AE766" i="4"/>
  <c r="Y766" i="4"/>
  <c r="X766" i="4"/>
  <c r="W766" i="4"/>
  <c r="V766" i="4"/>
  <c r="U766" i="4"/>
  <c r="T766" i="4"/>
  <c r="AA766" i="4"/>
  <c r="Z766" i="4"/>
  <c r="AD766" i="4"/>
  <c r="AC766" i="4"/>
  <c r="AB766" i="4"/>
  <c r="AD461" i="4"/>
  <c r="Y461" i="4"/>
  <c r="AA461" i="4"/>
  <c r="Z461" i="4"/>
  <c r="X461" i="4"/>
  <c r="W461" i="4"/>
  <c r="V461" i="4"/>
  <c r="AG461" i="4"/>
  <c r="AF461" i="4"/>
  <c r="AB461" i="4"/>
  <c r="U461" i="4"/>
  <c r="T461" i="4"/>
  <c r="S461" i="4"/>
  <c r="R461" i="4"/>
  <c r="AC461" i="4"/>
  <c r="AE461" i="4"/>
  <c r="U81" i="2"/>
  <c r="T81" i="2"/>
  <c r="AI221" i="3"/>
  <c r="AK130" i="3"/>
  <c r="AH116" i="3"/>
  <c r="AI116" i="3"/>
  <c r="AJ116" i="3" s="1"/>
  <c r="N156" i="2"/>
  <c r="M20" i="2"/>
  <c r="K252" i="4"/>
  <c r="M83" i="2" s="1"/>
  <c r="N963" i="4"/>
  <c r="N216" i="4"/>
  <c r="N212" i="4" s="1"/>
  <c r="N1104" i="4"/>
  <c r="AH459" i="3"/>
  <c r="AJ147" i="3"/>
  <c r="AH404" i="3"/>
  <c r="Q173" i="4"/>
  <c r="S68" i="2"/>
  <c r="AH182" i="3"/>
  <c r="AI67" i="3"/>
  <c r="AH111" i="3"/>
  <c r="AK148" i="3"/>
  <c r="AJ407" i="3"/>
  <c r="AK407" i="3" s="1"/>
  <c r="AI864" i="3"/>
  <c r="U242" i="2"/>
  <c r="V243" i="2"/>
  <c r="AH238" i="3"/>
  <c r="AI238" i="3"/>
  <c r="T483" i="4"/>
  <c r="T501" i="4" s="1"/>
  <c r="T550" i="4" s="1"/>
  <c r="V24" i="2" s="1"/>
  <c r="S483" i="4"/>
  <c r="S501" i="4" s="1"/>
  <c r="S550" i="4" s="1"/>
  <c r="U24" i="2" s="1"/>
  <c r="R483" i="4"/>
  <c r="R501" i="4" s="1"/>
  <c r="R550" i="4" s="1"/>
  <c r="T24" i="2" s="1"/>
  <c r="L1232" i="4"/>
  <c r="AJ369" i="2"/>
  <c r="P306" i="2" l="1"/>
  <c r="O306" i="2"/>
  <c r="S296" i="2"/>
  <c r="U301" i="2"/>
  <c r="U302" i="2" s="1"/>
  <c r="U306" i="2" s="1"/>
  <c r="V232" i="2"/>
  <c r="S306" i="2"/>
  <c r="Q130" i="2"/>
  <c r="R131" i="2" s="1"/>
  <c r="V326" i="2"/>
  <c r="V327" i="2" s="1"/>
  <c r="V331" i="2"/>
  <c r="V332" i="2" s="1"/>
  <c r="V333" i="2" s="1"/>
  <c r="W227" i="2"/>
  <c r="W329" i="2"/>
  <c r="S254" i="2"/>
  <c r="M254" i="2"/>
  <c r="N150" i="2"/>
  <c r="Q254" i="2"/>
  <c r="V300" i="2"/>
  <c r="J1240" i="4"/>
  <c r="J1242" i="4" s="1"/>
  <c r="J1247" i="4" s="1"/>
  <c r="J1249" i="4" s="1"/>
  <c r="J1250" i="4" s="1"/>
  <c r="J70" i="4"/>
  <c r="N70" i="4"/>
  <c r="S415" i="4"/>
  <c r="U31" i="10"/>
  <c r="N1255" i="4"/>
  <c r="N1257" i="4" s="1"/>
  <c r="N1240" i="4"/>
  <c r="N1242" i="4" s="1"/>
  <c r="N1247" i="4" s="1"/>
  <c r="N1249" i="4" s="1"/>
  <c r="N1250" i="4" s="1"/>
  <c r="AD69" i="4"/>
  <c r="AD78" i="4" s="1"/>
  <c r="V47" i="4"/>
  <c r="X47" i="4"/>
  <c r="AE68" i="4"/>
  <c r="AE77" i="4" s="1"/>
  <c r="AG348" i="2" s="1"/>
  <c r="AG914" i="4"/>
  <c r="Y1187" i="4"/>
  <c r="Y914" i="4"/>
  <c r="T1187" i="4"/>
  <c r="T47" i="4"/>
  <c r="AE146" i="4"/>
  <c r="AB1187" i="4"/>
  <c r="Z914" i="4"/>
  <c r="AF1187" i="4"/>
  <c r="AC69" i="4"/>
  <c r="AC78" i="4" s="1"/>
  <c r="U47" i="4"/>
  <c r="Z47" i="4"/>
  <c r="AE47" i="4"/>
  <c r="AF914" i="4"/>
  <c r="AF916" i="4" s="1"/>
  <c r="Z146" i="4"/>
  <c r="Y47" i="4"/>
  <c r="AA47" i="4"/>
  <c r="AD914" i="4"/>
  <c r="Z68" i="4"/>
  <c r="Z77" i="4" s="1"/>
  <c r="AB11" i="2" s="1"/>
  <c r="X1187" i="4"/>
  <c r="X68" i="4"/>
  <c r="X77" i="4" s="1"/>
  <c r="Z11" i="2" s="1"/>
  <c r="AE914" i="4"/>
  <c r="S146" i="4"/>
  <c r="S1187" i="4"/>
  <c r="R1187" i="4"/>
  <c r="W1187" i="4"/>
  <c r="AB914" i="4"/>
  <c r="T146" i="4"/>
  <c r="AA1187" i="4"/>
  <c r="AB47" i="4"/>
  <c r="T914" i="4"/>
  <c r="T1142" i="4" s="1"/>
  <c r="T1136" i="4" s="1"/>
  <c r="T1137" i="4" s="1"/>
  <c r="U146" i="4"/>
  <c r="V1187" i="4"/>
  <c r="U914" i="4"/>
  <c r="AD47" i="4"/>
  <c r="AA69" i="4"/>
  <c r="AA78" i="4" s="1"/>
  <c r="V914" i="4"/>
  <c r="W146" i="4"/>
  <c r="U1187" i="4"/>
  <c r="S47" i="4"/>
  <c r="AA914" i="4"/>
  <c r="AG146" i="4"/>
  <c r="AD1187" i="4"/>
  <c r="AG1187" i="4"/>
  <c r="AC914" i="4"/>
  <c r="AG47" i="4"/>
  <c r="AF47" i="4"/>
  <c r="R914" i="4"/>
  <c r="X146" i="4"/>
  <c r="S914" i="4"/>
  <c r="Y146" i="4"/>
  <c r="V68" i="4"/>
  <c r="V77" i="4" s="1"/>
  <c r="X11" i="2" s="1"/>
  <c r="R47" i="4"/>
  <c r="W914" i="4"/>
  <c r="AE69" i="4"/>
  <c r="AE78" i="4" s="1"/>
  <c r="W47" i="4"/>
  <c r="AC47" i="4"/>
  <c r="X914" i="4"/>
  <c r="AD146" i="4"/>
  <c r="AC1187" i="4"/>
  <c r="Z1187" i="4"/>
  <c r="Y68" i="4"/>
  <c r="Y77" i="4" s="1"/>
  <c r="AA348" i="2" s="1"/>
  <c r="AF68" i="4"/>
  <c r="AF77" i="4" s="1"/>
  <c r="AH11" i="2" s="1"/>
  <c r="AD68" i="4"/>
  <c r="AD77" i="4" s="1"/>
  <c r="AF11" i="2" s="1"/>
  <c r="W68" i="4"/>
  <c r="W77" i="4" s="1"/>
  <c r="Y348" i="2" s="1"/>
  <c r="AG68" i="4"/>
  <c r="AG77" i="4" s="1"/>
  <c r="AI11" i="2" s="1"/>
  <c r="AB68" i="4"/>
  <c r="AB77" i="4" s="1"/>
  <c r="AD348" i="2" s="1"/>
  <c r="AA68" i="4"/>
  <c r="AA77" i="4" s="1"/>
  <c r="AC348" i="2" s="1"/>
  <c r="AC68" i="4"/>
  <c r="AC77" i="4" s="1"/>
  <c r="AE348" i="2" s="1"/>
  <c r="Y100" i="2"/>
  <c r="Z100" i="2" s="1"/>
  <c r="L254" i="2"/>
  <c r="T117" i="4"/>
  <c r="V1233" i="4"/>
  <c r="U70" i="2"/>
  <c r="M1242" i="4"/>
  <c r="M1247" i="4" s="1"/>
  <c r="M1249" i="4" s="1"/>
  <c r="M1250" i="4" s="1"/>
  <c r="K1242" i="4"/>
  <c r="K1247" i="4" s="1"/>
  <c r="K1249" i="4" s="1"/>
  <c r="K1250" i="4" s="1"/>
  <c r="V411" i="4"/>
  <c r="AC18" i="10"/>
  <c r="AC66" i="4"/>
  <c r="V31" i="10"/>
  <c r="U411" i="4"/>
  <c r="U117" i="10"/>
  <c r="U113" i="4"/>
  <c r="X118" i="10"/>
  <c r="X114" i="4"/>
  <c r="U68" i="2"/>
  <c r="S137" i="4"/>
  <c r="U69" i="2" s="1"/>
  <c r="U111" i="10"/>
  <c r="U107" i="4"/>
  <c r="AB113" i="10"/>
  <c r="AB109" i="4"/>
  <c r="V116" i="10"/>
  <c r="V112" i="4"/>
  <c r="U115" i="10"/>
  <c r="U111" i="4"/>
  <c r="M239" i="4"/>
  <c r="M489" i="4" s="1"/>
  <c r="M506" i="4" s="1"/>
  <c r="AG204" i="4"/>
  <c r="R147" i="4"/>
  <c r="S147" i="4" s="1"/>
  <c r="X623" i="4"/>
  <c r="AE623" i="4"/>
  <c r="S273" i="2"/>
  <c r="AG587" i="4"/>
  <c r="AG635" i="4" s="1"/>
  <c r="S146" i="2"/>
  <c r="S297" i="2" s="1"/>
  <c r="M241" i="4"/>
  <c r="M809" i="4" s="1"/>
  <c r="M826" i="4" s="1"/>
  <c r="AG623" i="4"/>
  <c r="Q294" i="2"/>
  <c r="Q296" i="2" s="1"/>
  <c r="Q297" i="2" s="1"/>
  <c r="AE598" i="4"/>
  <c r="AE587" i="4"/>
  <c r="AE589" i="4" s="1"/>
  <c r="AE648" i="4" s="1"/>
  <c r="AE702" i="4" s="1"/>
  <c r="AF623" i="4"/>
  <c r="AE603" i="4"/>
  <c r="AE613" i="4"/>
  <c r="X603" i="4"/>
  <c r="R1235" i="4"/>
  <c r="AF613" i="4"/>
  <c r="AF204" i="4"/>
  <c r="X587" i="4"/>
  <c r="X635" i="4" s="1"/>
  <c r="AF603" i="4"/>
  <c r="AF598" i="4"/>
  <c r="X204" i="4"/>
  <c r="R603" i="4"/>
  <c r="T141" i="4"/>
  <c r="U141" i="4" s="1"/>
  <c r="X613" i="4"/>
  <c r="M294" i="2"/>
  <c r="M296" i="2" s="1"/>
  <c r="M297" i="2" s="1"/>
  <c r="R184" i="4"/>
  <c r="R218" i="4" s="1"/>
  <c r="AD675" i="4"/>
  <c r="AF356" i="2" s="1"/>
  <c r="S1181" i="4"/>
  <c r="S1176" i="4"/>
  <c r="M242" i="4"/>
  <c r="M948" i="4" s="1"/>
  <c r="L143" i="4"/>
  <c r="N75" i="2" s="1"/>
  <c r="L137" i="4"/>
  <c r="L173" i="4"/>
  <c r="K167" i="2"/>
  <c r="V80" i="2"/>
  <c r="N68" i="2"/>
  <c r="K1232" i="4"/>
  <c r="K1233" i="4"/>
  <c r="M129" i="2"/>
  <c r="M130" i="2" s="1"/>
  <c r="M273" i="2"/>
  <c r="AG598" i="4"/>
  <c r="S635" i="4"/>
  <c r="V152" i="4"/>
  <c r="W152" i="4" s="1"/>
  <c r="AB675" i="4"/>
  <c r="AD356" i="2" s="1"/>
  <c r="AC675" i="4"/>
  <c r="AE356" i="2" s="1"/>
  <c r="L86" i="4"/>
  <c r="L89" i="4"/>
  <c r="AG603" i="4"/>
  <c r="P273" i="2"/>
  <c r="P129" i="2"/>
  <c r="P130" i="2" s="1"/>
  <c r="Q131" i="2" s="1"/>
  <c r="P180" i="4"/>
  <c r="J180" i="4"/>
  <c r="M142" i="4"/>
  <c r="O70" i="2" s="1"/>
  <c r="AJ99" i="2"/>
  <c r="AG678" i="4"/>
  <c r="AG675" i="4"/>
  <c r="AI356" i="2" s="1"/>
  <c r="AB603" i="4"/>
  <c r="U483" i="4"/>
  <c r="U501" i="4" s="1"/>
  <c r="U550" i="4" s="1"/>
  <c r="W24" i="2" s="1"/>
  <c r="K24" i="2" s="1"/>
  <c r="I24" i="2" s="1"/>
  <c r="T153" i="4"/>
  <c r="U153" i="4" s="1"/>
  <c r="N181" i="4"/>
  <c r="M173" i="4"/>
  <c r="M181" i="4" s="1"/>
  <c r="R296" i="2"/>
  <c r="R297" i="2" s="1"/>
  <c r="T155" i="4"/>
  <c r="T134" i="4"/>
  <c r="T138" i="4" s="1"/>
  <c r="J1233" i="4"/>
  <c r="V1232" i="4"/>
  <c r="O68" i="2"/>
  <c r="M138" i="4"/>
  <c r="O74" i="2" s="1"/>
  <c r="AB1233" i="4"/>
  <c r="E136" i="5"/>
  <c r="AN270" i="3"/>
  <c r="AQ327" i="3"/>
  <c r="AJ806" i="3"/>
  <c r="AI701" i="3"/>
  <c r="AK701" i="3" s="1"/>
  <c r="AL701" i="3" s="1"/>
  <c r="AJ701" i="3"/>
  <c r="AJ431" i="3"/>
  <c r="AK431" i="3"/>
  <c r="AJ896" i="3"/>
  <c r="AI896" i="3"/>
  <c r="AI970" i="3"/>
  <c r="AI83" i="3"/>
  <c r="AJ83" i="3"/>
  <c r="AN1109" i="3"/>
  <c r="AL42" i="3"/>
  <c r="AM1046" i="3"/>
  <c r="AP1046" i="3" s="1"/>
  <c r="AN1046" i="3"/>
  <c r="AQ1046" i="3" s="1"/>
  <c r="AL1046" i="3"/>
  <c r="AI156" i="3"/>
  <c r="AO198" i="3"/>
  <c r="AM198" i="3"/>
  <c r="AN198" i="3"/>
  <c r="AN338" i="3"/>
  <c r="N20" i="2"/>
  <c r="L252" i="4"/>
  <c r="N83" i="2" s="1"/>
  <c r="AJ1022" i="3"/>
  <c r="AK342" i="3"/>
  <c r="AL342" i="3"/>
  <c r="AL857" i="3"/>
  <c r="AJ1031" i="3"/>
  <c r="AK1031" i="3"/>
  <c r="AI257" i="3"/>
  <c r="P20" i="2"/>
  <c r="N252" i="4"/>
  <c r="P83" i="2" s="1"/>
  <c r="AO338" i="3"/>
  <c r="AJ292" i="3"/>
  <c r="AL788" i="3"/>
  <c r="AM788" i="3"/>
  <c r="AM878" i="3"/>
  <c r="AL743" i="3"/>
  <c r="AI1293" i="3"/>
  <c r="AO148" i="3"/>
  <c r="AN148" i="3"/>
  <c r="AM148" i="3"/>
  <c r="AL148" i="3"/>
  <c r="AJ190" i="3"/>
  <c r="AI190" i="3"/>
  <c r="AK384" i="3"/>
  <c r="AJ384" i="3"/>
  <c r="AL25" i="3"/>
  <c r="AL987" i="3"/>
  <c r="AJ987" i="3"/>
  <c r="AK987" i="3"/>
  <c r="AM1194" i="3"/>
  <c r="AL441" i="3"/>
  <c r="AK441" i="3"/>
  <c r="W243" i="2"/>
  <c r="V242" i="2"/>
  <c r="AJ111" i="3"/>
  <c r="AK111" i="3"/>
  <c r="AI111" i="3"/>
  <c r="AJ438" i="3"/>
  <c r="AK1068" i="3"/>
  <c r="M1117" i="4"/>
  <c r="M34" i="4"/>
  <c r="M35" i="4" s="1"/>
  <c r="AJ1051" i="3"/>
  <c r="AI1051" i="3"/>
  <c r="AP1282" i="3"/>
  <c r="AK612" i="3"/>
  <c r="U678" i="4"/>
  <c r="U675" i="4"/>
  <c r="W356" i="2" s="1"/>
  <c r="AJ395" i="3"/>
  <c r="AI232" i="3"/>
  <c r="AJ232" i="3"/>
  <c r="AI679" i="3"/>
  <c r="AL833" i="3"/>
  <c r="AM833" i="3" s="1"/>
  <c r="AK833" i="3"/>
  <c r="AJ833" i="3"/>
  <c r="AL950" i="3"/>
  <c r="AK950" i="3"/>
  <c r="S70" i="2"/>
  <c r="Q143" i="4"/>
  <c r="S75" i="2" s="1"/>
  <c r="Q184" i="4"/>
  <c r="AJ94" i="3"/>
  <c r="AI94" i="3"/>
  <c r="AK94" i="3" s="1"/>
  <c r="AJ903" i="3"/>
  <c r="AI903" i="3"/>
  <c r="AL28" i="3"/>
  <c r="AK28" i="3"/>
  <c r="AN281" i="3"/>
  <c r="AH1403" i="3"/>
  <c r="AM1264" i="3"/>
  <c r="AJ1264" i="3"/>
  <c r="AK1264" i="3"/>
  <c r="R898" i="4"/>
  <c r="R900" i="4"/>
  <c r="AJ388" i="3"/>
  <c r="AI388" i="3"/>
  <c r="AK388" i="3"/>
  <c r="AI120" i="3"/>
  <c r="AJ120" i="3"/>
  <c r="AK120" i="3"/>
  <c r="AL548" i="3"/>
  <c r="AK548" i="3"/>
  <c r="AL1006" i="3"/>
  <c r="AI556" i="3"/>
  <c r="AM584" i="3"/>
  <c r="AN576" i="3"/>
  <c r="AM576" i="3"/>
  <c r="AK576" i="3"/>
  <c r="AL576" i="3" s="1"/>
  <c r="AL729" i="3"/>
  <c r="AK80" i="3"/>
  <c r="AJ80" i="3"/>
  <c r="AJ1012" i="3"/>
  <c r="AM1207" i="3"/>
  <c r="AL1207" i="3"/>
  <c r="AK1207" i="3"/>
  <c r="AK44" i="3"/>
  <c r="AL904" i="3"/>
  <c r="AI723" i="3"/>
  <c r="AI594" i="3"/>
  <c r="AI1382" i="3"/>
  <c r="AJ1382" i="3"/>
  <c r="AK207" i="3"/>
  <c r="M382" i="2"/>
  <c r="K86" i="4"/>
  <c r="K89" i="4"/>
  <c r="AJ1159" i="3"/>
  <c r="AI1159" i="3"/>
  <c r="M338" i="2"/>
  <c r="M52" i="8"/>
  <c r="M180" i="8"/>
  <c r="N24" i="4"/>
  <c r="N26" i="4" s="1"/>
  <c r="N36" i="4" s="1"/>
  <c r="O4" i="4"/>
  <c r="AJ784" i="3"/>
  <c r="W101" i="2"/>
  <c r="K101" i="2" s="1"/>
  <c r="I101" i="2" s="1"/>
  <c r="AI1131" i="3"/>
  <c r="AJ1131" i="3"/>
  <c r="AK1131" i="3"/>
  <c r="AJ724" i="3"/>
  <c r="AK724" i="3"/>
  <c r="AL724" i="3" s="1"/>
  <c r="AK51" i="3"/>
  <c r="AI269" i="3"/>
  <c r="AJ239" i="3"/>
  <c r="AL636" i="3"/>
  <c r="AK850" i="3"/>
  <c r="AL850" i="3"/>
  <c r="AJ850" i="3"/>
  <c r="AK1327" i="3"/>
  <c r="AL1327" i="3"/>
  <c r="AI1300" i="3"/>
  <c r="AJ1300" i="3"/>
  <c r="AJ1047" i="3"/>
  <c r="AI1047" i="3"/>
  <c r="R1103" i="4"/>
  <c r="R959" i="4"/>
  <c r="R960" i="4" s="1"/>
  <c r="AL624" i="3"/>
  <c r="AK624" i="3"/>
  <c r="AK786" i="3"/>
  <c r="AJ786" i="3"/>
  <c r="AJ420" i="3"/>
  <c r="AO1046" i="3"/>
  <c r="AJ1045" i="3"/>
  <c r="AI522" i="3"/>
  <c r="AJ1375" i="3"/>
  <c r="AJ187" i="3"/>
  <c r="AI187" i="3"/>
  <c r="AL65" i="3"/>
  <c r="AK65" i="3"/>
  <c r="AJ231" i="3"/>
  <c r="AK231" i="3" s="1"/>
  <c r="AJ1230" i="3"/>
  <c r="AI330" i="3"/>
  <c r="AJ330" i="3"/>
  <c r="AL770" i="3"/>
  <c r="AK770" i="3"/>
  <c r="AJ770" i="3"/>
  <c r="AI770" i="3"/>
  <c r="AK796" i="3"/>
  <c r="AJ796" i="3"/>
  <c r="AI705" i="3"/>
  <c r="AO266" i="3"/>
  <c r="AN266" i="3"/>
  <c r="AK709" i="3"/>
  <c r="AN228" i="3"/>
  <c r="AI549" i="3"/>
  <c r="AL595" i="3"/>
  <c r="AJ77" i="3"/>
  <c r="AK901" i="3"/>
  <c r="AJ1032" i="3"/>
  <c r="AM547" i="3"/>
  <c r="AJ547" i="3"/>
  <c r="AK547" i="3"/>
  <c r="AI158" i="3"/>
  <c r="AL92" i="3"/>
  <c r="AK899" i="3"/>
  <c r="AK588" i="3"/>
  <c r="AM588" i="3" s="1"/>
  <c r="AL588" i="3"/>
  <c r="AJ63" i="3"/>
  <c r="AK63" i="3" s="1"/>
  <c r="AK180" i="3"/>
  <c r="AJ927" i="3"/>
  <c r="AL490" i="3"/>
  <c r="AN490" i="3" s="1"/>
  <c r="AK906" i="3"/>
  <c r="AJ906" i="3"/>
  <c r="AI998" i="3"/>
  <c r="AH1430" i="3"/>
  <c r="S167" i="4" s="1"/>
  <c r="AH1446" i="3"/>
  <c r="AH1447" i="3" s="1"/>
  <c r="AH1449" i="3" s="1"/>
  <c r="AI1208" i="3"/>
  <c r="AK445" i="3"/>
  <c r="AJ1099" i="3"/>
  <c r="AK1272" i="3"/>
  <c r="AL914" i="3"/>
  <c r="AL451" i="3"/>
  <c r="AM451" i="3"/>
  <c r="N273" i="2"/>
  <c r="O146" i="2"/>
  <c r="N129" i="2"/>
  <c r="N130" i="2" s="1"/>
  <c r="N146" i="2"/>
  <c r="AJ1253" i="3"/>
  <c r="AN1329" i="3"/>
  <c r="AJ952" i="3"/>
  <c r="AK952" i="3" s="1"/>
  <c r="Q338" i="2"/>
  <c r="AJ1134" i="3"/>
  <c r="AK1134" i="3"/>
  <c r="AL1134" i="3"/>
  <c r="P1222" i="4"/>
  <c r="P1234" i="4" s="1"/>
  <c r="P1235" i="4" s="1"/>
  <c r="AK376" i="3"/>
  <c r="AN656" i="3"/>
  <c r="AM490" i="3"/>
  <c r="AO1329" i="3"/>
  <c r="AL1315" i="3"/>
  <c r="AN303" i="3"/>
  <c r="AL611" i="3"/>
  <c r="AM611" i="3"/>
  <c r="AN1213" i="3"/>
  <c r="AM341" i="3"/>
  <c r="AN341" i="3" s="1"/>
  <c r="AK855" i="3"/>
  <c r="AI707" i="3"/>
  <c r="AJ707" i="3"/>
  <c r="AK707" i="3"/>
  <c r="AN739" i="3"/>
  <c r="AM170" i="3"/>
  <c r="AN603" i="3"/>
  <c r="AK552" i="3"/>
  <c r="AK678" i="3"/>
  <c r="AJ494" i="3"/>
  <c r="AK128" i="3"/>
  <c r="AN936" i="3"/>
  <c r="AL936" i="3"/>
  <c r="AO936" i="3"/>
  <c r="AK554" i="3"/>
  <c r="AK27" i="3"/>
  <c r="AJ1060" i="3"/>
  <c r="AI1121" i="3"/>
  <c r="AJ1121" i="3" s="1"/>
  <c r="AM946" i="3"/>
  <c r="AL946" i="3"/>
  <c r="AK946" i="3"/>
  <c r="AJ322" i="3"/>
  <c r="AI322" i="3"/>
  <c r="AK58" i="3"/>
  <c r="AL58" i="3"/>
  <c r="AL706" i="3"/>
  <c r="AL177" i="3"/>
  <c r="AL1184" i="3"/>
  <c r="AK1184" i="3"/>
  <c r="AM50" i="3"/>
  <c r="V1108" i="4"/>
  <c r="V920" i="4"/>
  <c r="AK1261" i="3"/>
  <c r="AM1261" i="3" s="1"/>
  <c r="AL1261" i="3"/>
  <c r="AJ968" i="3"/>
  <c r="O241" i="4"/>
  <c r="O809" i="4" s="1"/>
  <c r="O826" i="4" s="1"/>
  <c r="O239" i="4"/>
  <c r="O489" i="4" s="1"/>
  <c r="O506" i="4" s="1"/>
  <c r="O242" i="4"/>
  <c r="O948" i="4" s="1"/>
  <c r="O240" i="4"/>
  <c r="O645" i="4" s="1"/>
  <c r="O662" i="4" s="1"/>
  <c r="AK524" i="3"/>
  <c r="AJ524" i="3"/>
  <c r="AI524" i="3"/>
  <c r="AL145" i="3"/>
  <c r="AM665" i="3"/>
  <c r="AK994" i="3"/>
  <c r="AL789" i="3"/>
  <c r="AI1397" i="3"/>
  <c r="AI1442" i="3"/>
  <c r="AJ7" i="3"/>
  <c r="AJ457" i="3"/>
  <c r="AJ360" i="3"/>
  <c r="Q382" i="2"/>
  <c r="O86" i="4"/>
  <c r="O89" i="4"/>
  <c r="AK1280" i="3"/>
  <c r="AL1280" i="3" s="1"/>
  <c r="AJ176" i="3"/>
  <c r="AJ613" i="3"/>
  <c r="AK857" i="3"/>
  <c r="AK360" i="3"/>
  <c r="AJ534" i="3"/>
  <c r="AI534" i="3"/>
  <c r="AL336" i="3"/>
  <c r="AJ623" i="3"/>
  <c r="AK1339" i="3"/>
  <c r="AJ1339" i="3"/>
  <c r="AK240" i="3"/>
  <c r="AK1055" i="3"/>
  <c r="AM602" i="3"/>
  <c r="AN602" i="3"/>
  <c r="AN164" i="3"/>
  <c r="AK457" i="3"/>
  <c r="AL1180" i="3"/>
  <c r="AJ594" i="3"/>
  <c r="V301" i="2"/>
  <c r="W300" i="2"/>
  <c r="W212" i="2"/>
  <c r="Q135" i="2"/>
  <c r="AJ1269" i="3"/>
  <c r="AL207" i="3"/>
  <c r="AM595" i="3"/>
  <c r="AL1232" i="3"/>
  <c r="AK1232" i="3"/>
  <c r="AK157" i="3"/>
  <c r="AK129" i="3"/>
  <c r="AK720" i="3"/>
  <c r="AI720" i="3"/>
  <c r="AL720" i="3" s="1"/>
  <c r="AJ720" i="3"/>
  <c r="AM720" i="3"/>
  <c r="AK132" i="3"/>
  <c r="AI222" i="3"/>
  <c r="AL132" i="3"/>
  <c r="AM71" i="3"/>
  <c r="AH1445" i="3"/>
  <c r="AH1421" i="3"/>
  <c r="S166" i="4" s="1"/>
  <c r="AJ380" i="3"/>
  <c r="AL380" i="3"/>
  <c r="S20" i="2"/>
  <c r="Q252" i="4"/>
  <c r="S83" i="2" s="1"/>
  <c r="AK259" i="3"/>
  <c r="AI259" i="3"/>
  <c r="AJ259" i="3" s="1"/>
  <c r="AL355" i="3"/>
  <c r="T417" i="4"/>
  <c r="AJ824" i="3"/>
  <c r="AJ713" i="3"/>
  <c r="AK966" i="3"/>
  <c r="AL966" i="3"/>
  <c r="AM966" i="3"/>
  <c r="AN966" i="3"/>
  <c r="AI237" i="3"/>
  <c r="AK1057" i="3"/>
  <c r="AL1236" i="3"/>
  <c r="AM1236" i="3" s="1"/>
  <c r="AM564" i="3"/>
  <c r="AI382" i="3"/>
  <c r="AL405" i="3"/>
  <c r="AM1187" i="3"/>
  <c r="AK684" i="3"/>
  <c r="AL684" i="3" s="1"/>
  <c r="AJ684" i="3"/>
  <c r="AK778" i="3"/>
  <c r="AJ778" i="3"/>
  <c r="AL778" i="3"/>
  <c r="AJ556" i="3"/>
  <c r="AK1145" i="3"/>
  <c r="AJ365" i="3"/>
  <c r="AI365" i="3"/>
  <c r="Y682" i="4"/>
  <c r="AI301" i="3"/>
  <c r="AJ301" i="3" s="1"/>
  <c r="AK301" i="3"/>
  <c r="AJ21" i="3"/>
  <c r="AM435" i="3"/>
  <c r="AN435" i="3" s="1"/>
  <c r="Z682" i="4"/>
  <c r="P382" i="2"/>
  <c r="N86" i="4"/>
  <c r="N89" i="4"/>
  <c r="AK302" i="3"/>
  <c r="AL302" i="3"/>
  <c r="AM302" i="3"/>
  <c r="Y898" i="4"/>
  <c r="Y900" i="4"/>
  <c r="Y903" i="4" s="1"/>
  <c r="AJ1087" i="3"/>
  <c r="AL1264" i="3"/>
  <c r="AJ744" i="3"/>
  <c r="AN869" i="3"/>
  <c r="AJ1026" i="3"/>
  <c r="AK1026" i="3"/>
  <c r="AJ855" i="3"/>
  <c r="AP327" i="3"/>
  <c r="AR327" i="3" s="1"/>
  <c r="AO1040" i="3"/>
  <c r="AN1040" i="3"/>
  <c r="AJ24" i="3"/>
  <c r="AK24" i="3"/>
  <c r="AL24" i="3" s="1"/>
  <c r="AP842" i="3"/>
  <c r="AL874" i="3"/>
  <c r="AI151" i="3"/>
  <c r="AJ151" i="3" s="1"/>
  <c r="AJ1170" i="3"/>
  <c r="AL1056" i="3"/>
  <c r="AK651" i="3"/>
  <c r="AO514" i="3"/>
  <c r="AN514" i="3"/>
  <c r="AM514" i="3"/>
  <c r="AK1325" i="3"/>
  <c r="AI459" i="3"/>
  <c r="P69" i="2"/>
  <c r="N184" i="4"/>
  <c r="N138" i="4"/>
  <c r="AK274" i="3"/>
  <c r="N1222" i="4"/>
  <c r="N1234" i="4" s="1"/>
  <c r="N1235" i="4" s="1"/>
  <c r="AC204" i="4"/>
  <c r="AC587" i="4"/>
  <c r="AC623" i="4"/>
  <c r="AC613" i="4"/>
  <c r="AC598" i="4"/>
  <c r="AJ570" i="3"/>
  <c r="AK570" i="3"/>
  <c r="AJ235" i="3"/>
  <c r="AK523" i="3"/>
  <c r="AL523" i="3" s="1"/>
  <c r="AM523" i="3" s="1"/>
  <c r="AJ523" i="3"/>
  <c r="AI1085" i="3"/>
  <c r="AI638" i="3"/>
  <c r="AJ638" i="3"/>
  <c r="AK638" i="3"/>
  <c r="AL638" i="3" s="1"/>
  <c r="AM883" i="3"/>
  <c r="AK380" i="3"/>
  <c r="AJ1361" i="3"/>
  <c r="AM352" i="3"/>
  <c r="AL352" i="3"/>
  <c r="AK352" i="3"/>
  <c r="AJ352" i="3"/>
  <c r="AI141" i="3"/>
  <c r="AJ141" i="3"/>
  <c r="AK141" i="3"/>
  <c r="AJ1335" i="3"/>
  <c r="AK1335" i="3"/>
  <c r="AN1335" i="3" s="1"/>
  <c r="AL1335" i="3"/>
  <c r="AM1335" i="3"/>
  <c r="AJ1151" i="3"/>
  <c r="AL361" i="3"/>
  <c r="AM361" i="3" s="1"/>
  <c r="AL754" i="3"/>
  <c r="AM754" i="3" s="1"/>
  <c r="AC898" i="4"/>
  <c r="AC900" i="4"/>
  <c r="AL593" i="3"/>
  <c r="AP593" i="3"/>
  <c r="AN593" i="3"/>
  <c r="AM593" i="3"/>
  <c r="AQ681" i="3"/>
  <c r="AK298" i="3"/>
  <c r="AK1170" i="3"/>
  <c r="AA255" i="2"/>
  <c r="AQ271" i="3"/>
  <c r="AR271" i="3" s="1"/>
  <c r="AS271" i="3"/>
  <c r="AK1143" i="3"/>
  <c r="AL1143" i="3"/>
  <c r="AI732" i="3"/>
  <c r="AL130" i="3"/>
  <c r="AN130" i="3"/>
  <c r="AM130" i="3"/>
  <c r="AL547" i="3"/>
  <c r="AL274" i="3"/>
  <c r="Q362" i="2"/>
  <c r="L70" i="2"/>
  <c r="J143" i="4"/>
  <c r="J184" i="4"/>
  <c r="AK250" i="3"/>
  <c r="AI637" i="3"/>
  <c r="AI81" i="3"/>
  <c r="AJ81" i="3" s="1"/>
  <c r="AH1412" i="3"/>
  <c r="AH1444" i="3"/>
  <c r="U220" i="2" s="1"/>
  <c r="AL1360" i="3"/>
  <c r="AM1360" i="3"/>
  <c r="AK1360" i="3"/>
  <c r="T412" i="4"/>
  <c r="S33" i="10"/>
  <c r="T32" i="10"/>
  <c r="AK730" i="3"/>
  <c r="AJ730" i="3"/>
  <c r="AL730" i="3"/>
  <c r="AM730" i="3"/>
  <c r="AO48" i="3"/>
  <c r="AK48" i="3"/>
  <c r="AJ240" i="3"/>
  <c r="AJ226" i="3"/>
  <c r="AM936" i="3"/>
  <c r="AK1305" i="3"/>
  <c r="AM749" i="3"/>
  <c r="AN749" i="3" s="1"/>
  <c r="AM1020" i="3"/>
  <c r="AK889" i="3"/>
  <c r="AL586" i="3"/>
  <c r="AI536" i="3"/>
  <c r="AJ1059" i="3"/>
  <c r="AL1059" i="3"/>
  <c r="AK1059" i="3"/>
  <c r="AK256" i="3"/>
  <c r="AJ17" i="3"/>
  <c r="AK1091" i="3"/>
  <c r="AJ938" i="3"/>
  <c r="V741" i="4"/>
  <c r="V782" i="4" s="1"/>
  <c r="V78" i="4"/>
  <c r="AM277" i="3"/>
  <c r="AL277" i="3"/>
  <c r="AK277" i="3"/>
  <c r="AI186" i="3"/>
  <c r="AK188" i="3"/>
  <c r="AL803" i="3"/>
  <c r="AM803" i="3"/>
  <c r="N175" i="2"/>
  <c r="N177" i="2" s="1"/>
  <c r="O256" i="2"/>
  <c r="AL608" i="3"/>
  <c r="AI1048" i="3"/>
  <c r="AI471" i="3"/>
  <c r="AI75" i="3"/>
  <c r="AL1122" i="3"/>
  <c r="AJ1088" i="3"/>
  <c r="AR681" i="3"/>
  <c r="AP681" i="3"/>
  <c r="AJ1157" i="3"/>
  <c r="AJ185" i="3"/>
  <c r="AJ939" i="3"/>
  <c r="AM569" i="3"/>
  <c r="AL1260" i="3"/>
  <c r="AM1260" i="3"/>
  <c r="AJ507" i="3"/>
  <c r="AL1367" i="3"/>
  <c r="AM1367" i="3" s="1"/>
  <c r="T79" i="2"/>
  <c r="R187" i="4"/>
  <c r="AJ822" i="3"/>
  <c r="AK1138" i="3"/>
  <c r="AL480" i="3"/>
  <c r="AJ279" i="3"/>
  <c r="AK279" i="3"/>
  <c r="AK247" i="3"/>
  <c r="V146" i="4"/>
  <c r="AI279" i="3"/>
  <c r="AJ267" i="3"/>
  <c r="AK1245" i="3"/>
  <c r="AI347" i="3"/>
  <c r="AK347" i="3"/>
  <c r="AJ347" i="3"/>
  <c r="AK497" i="3"/>
  <c r="AL683" i="3"/>
  <c r="AL59" i="3"/>
  <c r="AK409" i="3"/>
  <c r="AL409" i="3" s="1"/>
  <c r="AK1130" i="3"/>
  <c r="AM1101" i="3"/>
  <c r="AK366" i="3"/>
  <c r="AJ366" i="3"/>
  <c r="AL366" i="3"/>
  <c r="AM366" i="3"/>
  <c r="AK78" i="3"/>
  <c r="AM606" i="3"/>
  <c r="AI606" i="3"/>
  <c r="AJ606" i="3" s="1"/>
  <c r="AK606" i="3"/>
  <c r="AL606" i="3"/>
  <c r="AL569" i="3"/>
  <c r="AK300" i="3"/>
  <c r="AJ300" i="3"/>
  <c r="AI300" i="3"/>
  <c r="AI1190" i="3"/>
  <c r="AK545" i="3"/>
  <c r="AJ913" i="3"/>
  <c r="AJ682" i="3"/>
  <c r="AK682" i="3" s="1"/>
  <c r="AJ1160" i="3"/>
  <c r="AK1160" i="3"/>
  <c r="U79" i="2"/>
  <c r="AM565" i="3"/>
  <c r="AL1252" i="3"/>
  <c r="AJ1138" i="3"/>
  <c r="AN646" i="3"/>
  <c r="AO646" i="3" s="1"/>
  <c r="AJ667" i="3"/>
  <c r="AK667" i="3"/>
  <c r="AK12" i="3"/>
  <c r="AJ1079" i="3"/>
  <c r="AK49" i="3"/>
  <c r="AM49" i="3" s="1"/>
  <c r="AL49" i="3"/>
  <c r="AJ49" i="3"/>
  <c r="V121" i="4"/>
  <c r="U134" i="4"/>
  <c r="AL649" i="3"/>
  <c r="AK908" i="3"/>
  <c r="AJ419" i="3"/>
  <c r="AK1378" i="3"/>
  <c r="AL1378" i="3"/>
  <c r="AM1378" i="3"/>
  <c r="AJ1069" i="3"/>
  <c r="AK96" i="3"/>
  <c r="AJ96" i="3"/>
  <c r="AL96" i="3"/>
  <c r="AJ1128" i="3"/>
  <c r="AK1128" i="3"/>
  <c r="AL1128" i="3"/>
  <c r="AI1251" i="3"/>
  <c r="AI533" i="3"/>
  <c r="AJ533" i="3"/>
  <c r="AN351" i="3"/>
  <c r="R362" i="2"/>
  <c r="AK795" i="3"/>
  <c r="AK168" i="3"/>
  <c r="AK780" i="3"/>
  <c r="AK932" i="3"/>
  <c r="AK803" i="3"/>
  <c r="AJ422" i="3"/>
  <c r="AK422" i="3"/>
  <c r="AJ1334" i="3"/>
  <c r="AJ9" i="3"/>
  <c r="AK9" i="3"/>
  <c r="AI9" i="3"/>
  <c r="AJ411" i="3"/>
  <c r="AK411" i="3"/>
  <c r="AJ56" i="3"/>
  <c r="AI704" i="3"/>
  <c r="Q181" i="4"/>
  <c r="Q180" i="4"/>
  <c r="AJ813" i="3"/>
  <c r="AK619" i="3"/>
  <c r="AM464" i="3"/>
  <c r="AN397" i="3"/>
  <c r="AL278" i="3"/>
  <c r="AJ497" i="3"/>
  <c r="AK829" i="3"/>
  <c r="AL829" i="3" s="1"/>
  <c r="AJ695" i="3"/>
  <c r="AL834" i="3"/>
  <c r="AK834" i="3"/>
  <c r="AJ703" i="3"/>
  <c r="AK703" i="3" s="1"/>
  <c r="AK683" i="3"/>
  <c r="AL425" i="3"/>
  <c r="AJ409" i="3"/>
  <c r="AO401" i="3"/>
  <c r="AJ1028" i="3"/>
  <c r="AI1347" i="3"/>
  <c r="AJ923" i="3"/>
  <c r="AK923" i="3"/>
  <c r="AI923" i="3"/>
  <c r="AM1390" i="3"/>
  <c r="AK810" i="3"/>
  <c r="AL810" i="3"/>
  <c r="AL427" i="3"/>
  <c r="AL443" i="3"/>
  <c r="AL97" i="3"/>
  <c r="AK981" i="3"/>
  <c r="AL981" i="3"/>
  <c r="AM981" i="3"/>
  <c r="AL210" i="3"/>
  <c r="AL862" i="3"/>
  <c r="AK862" i="3"/>
  <c r="AM862" i="3" s="1"/>
  <c r="L362" i="2"/>
  <c r="AK447" i="3"/>
  <c r="AI45" i="3"/>
  <c r="AJ136" i="3"/>
  <c r="AK136" i="3"/>
  <c r="AN1331" i="3"/>
  <c r="AM708" i="3"/>
  <c r="AI422" i="3"/>
  <c r="AL422" i="3" s="1"/>
  <c r="AM1178" i="3"/>
  <c r="AI68" i="3"/>
  <c r="AK854" i="3"/>
  <c r="AL854" i="3"/>
  <c r="AL1384" i="3"/>
  <c r="AI328" i="3"/>
  <c r="AL116" i="3"/>
  <c r="AK116" i="3"/>
  <c r="AM116" i="3" s="1"/>
  <c r="AK1136" i="3"/>
  <c r="AJ702" i="3"/>
  <c r="AK702" i="3"/>
  <c r="AL702" i="3"/>
  <c r="AM702" i="3" s="1"/>
  <c r="AK809" i="3"/>
  <c r="AL809" i="3"/>
  <c r="AL396" i="3"/>
  <c r="AM396" i="3" s="1"/>
  <c r="AK428" i="3"/>
  <c r="AJ428" i="3"/>
  <c r="AL986" i="3"/>
  <c r="AL769" i="3"/>
  <c r="AL1182" i="3"/>
  <c r="AI1281" i="3"/>
  <c r="AL1104" i="3"/>
  <c r="AM1104" i="3"/>
  <c r="AI404" i="3"/>
  <c r="AK404" i="3"/>
  <c r="AL404" i="3" s="1"/>
  <c r="AJ404" i="3"/>
  <c r="AO485" i="3"/>
  <c r="AN485" i="3"/>
  <c r="AK813" i="3"/>
  <c r="AK765" i="3"/>
  <c r="N4" i="10"/>
  <c r="M7" i="10"/>
  <c r="AI1368" i="3"/>
  <c r="AL1368" i="3"/>
  <c r="AM1368" i="3"/>
  <c r="AJ1368" i="3"/>
  <c r="AK1368" i="3" s="1"/>
  <c r="AK355" i="3"/>
  <c r="AL879" i="3"/>
  <c r="AM879" i="3"/>
  <c r="AK879" i="3"/>
  <c r="R382" i="2"/>
  <c r="P86" i="4"/>
  <c r="P89" i="4"/>
  <c r="AJ1000" i="3"/>
  <c r="AK1000" i="3"/>
  <c r="AK254" i="3"/>
  <c r="AM174" i="3"/>
  <c r="AN174" i="3" s="1"/>
  <c r="AL261" i="3"/>
  <c r="W199" i="2"/>
  <c r="V197" i="2"/>
  <c r="V156" i="2" s="1"/>
  <c r="AL955" i="3"/>
  <c r="AI14" i="3"/>
  <c r="AJ553" i="3"/>
  <c r="AJ1148" i="3"/>
  <c r="AK1148" i="3"/>
  <c r="AI1162" i="3"/>
  <c r="AK1162" i="3" s="1"/>
  <c r="AJ1162" i="3"/>
  <c r="AI214" i="3"/>
  <c r="AK465" i="3"/>
  <c r="AL465" i="3" s="1"/>
  <c r="AI1150" i="3"/>
  <c r="AF417" i="4"/>
  <c r="AJ1052" i="3"/>
  <c r="AK1103" i="3"/>
  <c r="AL960" i="3"/>
  <c r="AK960" i="3"/>
  <c r="K142" i="4"/>
  <c r="K137" i="4"/>
  <c r="K173" i="4"/>
  <c r="M68" i="2"/>
  <c r="AJ294" i="3"/>
  <c r="AK294" i="3" s="1"/>
  <c r="AJ725" i="3"/>
  <c r="AI762" i="3"/>
  <c r="AL975" i="3"/>
  <c r="AM281" i="3"/>
  <c r="AK1242" i="3"/>
  <c r="AD898" i="4"/>
  <c r="AD900" i="4"/>
  <c r="AD903" i="4" s="1"/>
  <c r="AJ892" i="3"/>
  <c r="AJ1378" i="3"/>
  <c r="AK827" i="3"/>
  <c r="AK532" i="3"/>
  <c r="AL532" i="3" s="1"/>
  <c r="AJ1171" i="3"/>
  <c r="AI596" i="3"/>
  <c r="AQ1384" i="3"/>
  <c r="AL710" i="3"/>
  <c r="AK1388" i="3"/>
  <c r="AK1319" i="3"/>
  <c r="AK46" i="3"/>
  <c r="AK1102" i="3"/>
  <c r="AM777" i="3"/>
  <c r="AJ787" i="3"/>
  <c r="AK787" i="3" s="1"/>
  <c r="AL787" i="3"/>
  <c r="AJ477" i="3"/>
  <c r="AK848" i="3"/>
  <c r="AI848" i="3"/>
  <c r="AJ848" i="3"/>
  <c r="AK1385" i="3"/>
  <c r="AJ1385" i="3"/>
  <c r="AL1385" i="3"/>
  <c r="AH1424" i="3"/>
  <c r="S162" i="4" s="1"/>
  <c r="AL890" i="3"/>
  <c r="AM890" i="3"/>
  <c r="O294" i="2"/>
  <c r="O296" i="2" s="1"/>
  <c r="N226" i="2"/>
  <c r="N254" i="2" s="1"/>
  <c r="N294" i="2"/>
  <c r="N296" i="2" s="1"/>
  <c r="AJ1093" i="3"/>
  <c r="AM1366" i="3"/>
  <c r="AK1366" i="3"/>
  <c r="AJ1366" i="3"/>
  <c r="AL1366" i="3"/>
  <c r="AI34" i="3"/>
  <c r="AJ34" i="3"/>
  <c r="AK461" i="3"/>
  <c r="AL461" i="3"/>
  <c r="AJ461" i="3"/>
  <c r="AK751" i="3"/>
  <c r="AI297" i="3"/>
  <c r="AJ305" i="3"/>
  <c r="AL1178" i="3"/>
  <c r="AL836" i="3"/>
  <c r="AM1211" i="3"/>
  <c r="AK1211" i="3"/>
  <c r="AL1211" i="3"/>
  <c r="AJ865" i="3"/>
  <c r="AK913" i="3"/>
  <c r="U283" i="2"/>
  <c r="U155" i="2"/>
  <c r="AQ635" i="3"/>
  <c r="AO635" i="3"/>
  <c r="AL893" i="3"/>
  <c r="AM893" i="3" s="1"/>
  <c r="AK773" i="3"/>
  <c r="AL205" i="3"/>
  <c r="S131" i="2"/>
  <c r="AJ1132" i="3"/>
  <c r="AJ973" i="3"/>
  <c r="AJ527" i="3"/>
  <c r="AI357" i="3"/>
  <c r="AJ357" i="3" s="1"/>
  <c r="AJ1271" i="3"/>
  <c r="AK1271" i="3"/>
  <c r="AI1271" i="3"/>
  <c r="AK652" i="3"/>
  <c r="AK1200" i="3"/>
  <c r="AL1200" i="3"/>
  <c r="AM1200" i="3"/>
  <c r="R417" i="4"/>
  <c r="R418" i="4" s="1"/>
  <c r="AI369" i="3"/>
  <c r="AJ369" i="3"/>
  <c r="AK369" i="3"/>
  <c r="AJ1292" i="3"/>
  <c r="Y675" i="4"/>
  <c r="AA356" i="2" s="1"/>
  <c r="AJ930" i="3"/>
  <c r="AK930" i="3" s="1"/>
  <c r="AJ513" i="3"/>
  <c r="AL283" i="3"/>
  <c r="AB204" i="4"/>
  <c r="AB587" i="4"/>
  <c r="AB598" i="4"/>
  <c r="AB623" i="4"/>
  <c r="AB613" i="4"/>
  <c r="AK727" i="3"/>
  <c r="AI972" i="3"/>
  <c r="AO555" i="3"/>
  <c r="AI30" i="3"/>
  <c r="AJ30" i="3"/>
  <c r="AL827" i="3"/>
  <c r="AK106" i="3"/>
  <c r="AK836" i="3"/>
  <c r="AL424" i="3"/>
  <c r="S1108" i="4"/>
  <c r="S920" i="4"/>
  <c r="AL440" i="3"/>
  <c r="T222" i="2"/>
  <c r="AJ731" i="3"/>
  <c r="AK731" i="3" s="1"/>
  <c r="AM677" i="3"/>
  <c r="AL677" i="3"/>
  <c r="AL653" i="3"/>
  <c r="AK653" i="3"/>
  <c r="AP32" i="3"/>
  <c r="AO32" i="3"/>
  <c r="AJ648" i="3"/>
  <c r="AN242" i="3"/>
  <c r="AJ1352" i="3"/>
  <c r="AL149" i="3"/>
  <c r="AL1306" i="3"/>
  <c r="AK276" i="3"/>
  <c r="AJ1234" i="3"/>
  <c r="AM568" i="3"/>
  <c r="AM1124" i="3"/>
  <c r="O1222" i="4"/>
  <c r="O1234" i="4" s="1"/>
  <c r="O1235" i="4" s="1"/>
  <c r="AJ505" i="3"/>
  <c r="AK127" i="3"/>
  <c r="AM423" i="3"/>
  <c r="AL745" i="3"/>
  <c r="AI1127" i="3"/>
  <c r="AK160" i="3"/>
  <c r="AK454" i="3"/>
  <c r="AL454" i="3"/>
  <c r="AI1142" i="3"/>
  <c r="AK1389" i="3"/>
  <c r="AM767" i="3"/>
  <c r="W190" i="2"/>
  <c r="V188" i="2"/>
  <c r="V145" i="2"/>
  <c r="AJ558" i="3"/>
  <c r="AJ1070" i="3"/>
  <c r="AK1224" i="3"/>
  <c r="AI1387" i="3"/>
  <c r="AL760" i="3"/>
  <c r="AK760" i="3"/>
  <c r="AM760" i="3" s="1"/>
  <c r="AJ1002" i="3"/>
  <c r="AK1002" i="3"/>
  <c r="AL1002" i="3"/>
  <c r="AN1217" i="3"/>
  <c r="AN1390" i="3"/>
  <c r="AL350" i="3"/>
  <c r="AJ350" i="3"/>
  <c r="AI333" i="3"/>
  <c r="AJ243" i="3"/>
  <c r="AL645" i="3"/>
  <c r="AJ86" i="3"/>
  <c r="AI86" i="3"/>
  <c r="AJ1379" i="3"/>
  <c r="AI641" i="3"/>
  <c r="AJ115" i="3"/>
  <c r="AJ325" i="3"/>
  <c r="S974" i="4"/>
  <c r="S1100" i="4"/>
  <c r="AK370" i="3"/>
  <c r="AL408" i="3"/>
  <c r="AK408" i="3"/>
  <c r="AJ408" i="3"/>
  <c r="AM805" i="3"/>
  <c r="Z417" i="4"/>
  <c r="AL363" i="3"/>
  <c r="AL799" i="3"/>
  <c r="AK253" i="3"/>
  <c r="AL253" i="3" s="1"/>
  <c r="AI358" i="3"/>
  <c r="AL528" i="3"/>
  <c r="AL888" i="3"/>
  <c r="AK685" i="3"/>
  <c r="AJ685" i="3"/>
  <c r="AJ89" i="3"/>
  <c r="AL379" i="3"/>
  <c r="AL627" i="3"/>
  <c r="AK662" i="3"/>
  <c r="AJ662" i="3"/>
  <c r="AI146" i="3"/>
  <c r="AI119" i="3"/>
  <c r="AI529" i="3"/>
  <c r="AL1167" i="3"/>
  <c r="AM1147" i="3"/>
  <c r="AL1147" i="3"/>
  <c r="AK1147" i="3"/>
  <c r="AJ1147" i="3"/>
  <c r="V208" i="2"/>
  <c r="V147" i="2" s="1"/>
  <c r="AK1071" i="3"/>
  <c r="AL988" i="3"/>
  <c r="AJ1077" i="3"/>
  <c r="AK1077" i="3"/>
  <c r="AG417" i="4"/>
  <c r="AL592" i="3"/>
  <c r="AI962" i="3"/>
  <c r="AK1206" i="3"/>
  <c r="AJ1206" i="3"/>
  <c r="AI1206" i="3"/>
  <c r="AL797" i="3"/>
  <c r="R729" i="4"/>
  <c r="AM317" i="3"/>
  <c r="AL317" i="3"/>
  <c r="AM728" i="3"/>
  <c r="AK371" i="3"/>
  <c r="AI472" i="3"/>
  <c r="AJ722" i="3"/>
  <c r="AJ1158" i="3"/>
  <c r="AK916" i="3"/>
  <c r="AL1244" i="3"/>
  <c r="AK1169" i="3"/>
  <c r="AL1169" i="3" s="1"/>
  <c r="AI1374" i="3"/>
  <c r="AL1187" i="3"/>
  <c r="AM455" i="3"/>
  <c r="V348" i="2"/>
  <c r="V11" i="2"/>
  <c r="Z635" i="4"/>
  <c r="Z589" i="4"/>
  <c r="Z648" i="4" s="1"/>
  <c r="AI663" i="3"/>
  <c r="AM233" i="3"/>
  <c r="AL233" i="3"/>
  <c r="AN233" i="3"/>
  <c r="AO233" i="3"/>
  <c r="AN805" i="3"/>
  <c r="AJ1081" i="3"/>
  <c r="AJ960" i="3"/>
  <c r="AK1175" i="3"/>
  <c r="AM907" i="3"/>
  <c r="AN907" i="3" s="1"/>
  <c r="AL907" i="3"/>
  <c r="AI982" i="3"/>
  <c r="AI260" i="3"/>
  <c r="AK115" i="3"/>
  <c r="AJ20" i="3"/>
  <c r="AK20" i="3"/>
  <c r="O338" i="2"/>
  <c r="AM349" i="3"/>
  <c r="AJ33" i="3"/>
  <c r="J242" i="4"/>
  <c r="J948" i="4" s="1"/>
  <c r="J240" i="4"/>
  <c r="J645" i="4" s="1"/>
  <c r="J662" i="4" s="1"/>
  <c r="J239" i="4"/>
  <c r="J489" i="4" s="1"/>
  <c r="J506" i="4" s="1"/>
  <c r="J241" i="4"/>
  <c r="J809" i="4" s="1"/>
  <c r="J826" i="4" s="1"/>
  <c r="R204" i="4"/>
  <c r="R613" i="4"/>
  <c r="R623" i="4"/>
  <c r="R587" i="4"/>
  <c r="R598" i="4"/>
  <c r="AL642" i="3"/>
  <c r="AM642" i="3"/>
  <c r="AI631" i="3"/>
  <c r="AK977" i="3"/>
  <c r="AJ977" i="3"/>
  <c r="T17" i="10"/>
  <c r="T65" i="4"/>
  <c r="AN144" i="3"/>
  <c r="AJ306" i="3"/>
  <c r="AJ253" i="3"/>
  <c r="AK93" i="3"/>
  <c r="AJ93" i="3"/>
  <c r="AN728" i="3"/>
  <c r="AJ823" i="3"/>
  <c r="AK823" i="3"/>
  <c r="AL837" i="3"/>
  <c r="AJ735" i="3"/>
  <c r="U898" i="4"/>
  <c r="U900" i="4"/>
  <c r="S156" i="4"/>
  <c r="AL118" i="3"/>
  <c r="R70" i="2"/>
  <c r="P143" i="4"/>
  <c r="P184" i="4"/>
  <c r="AK181" i="3"/>
  <c r="AK426" i="3"/>
  <c r="AJ103" i="3"/>
  <c r="AJ795" i="3"/>
  <c r="U147" i="2"/>
  <c r="AJ108" i="3"/>
  <c r="AL718" i="3"/>
  <c r="AJ496" i="3"/>
  <c r="AI504" i="3"/>
  <c r="AM988" i="3"/>
  <c r="AM118" i="3"/>
  <c r="AI287" i="3"/>
  <c r="AJ287" i="3"/>
  <c r="AI1237" i="3"/>
  <c r="AN818" i="3"/>
  <c r="AO818" i="3"/>
  <c r="AM818" i="3"/>
  <c r="AI880" i="3"/>
  <c r="T11" i="2"/>
  <c r="T348" i="2"/>
  <c r="AL48" i="3"/>
  <c r="AM48" i="3"/>
  <c r="AN48" i="3"/>
  <c r="Y603" i="4"/>
  <c r="AJ478" i="3"/>
  <c r="AI1105" i="3"/>
  <c r="AJ1161" i="3"/>
  <c r="AI1161" i="3"/>
  <c r="AI447" i="3"/>
  <c r="AN470" i="3"/>
  <c r="AM1080" i="3"/>
  <c r="AL916" i="3"/>
  <c r="AM1244" i="3"/>
  <c r="S382" i="2"/>
  <c r="Q86" i="4"/>
  <c r="Q89" i="4"/>
  <c r="AJ882" i="3"/>
  <c r="AK935" i="3"/>
  <c r="AL767" i="3"/>
  <c r="P242" i="4"/>
  <c r="P948" i="4" s="1"/>
  <c r="P241" i="4"/>
  <c r="P809" i="4" s="1"/>
  <c r="P826" i="4" s="1"/>
  <c r="P240" i="4"/>
  <c r="P645" i="4" s="1"/>
  <c r="P662" i="4" s="1"/>
  <c r="P239" i="4"/>
  <c r="P489" i="4" s="1"/>
  <c r="P506" i="4" s="1"/>
  <c r="AI1409" i="3"/>
  <c r="AI1362" i="3"/>
  <c r="AJ1362" i="3"/>
  <c r="AK1362" i="3" s="1"/>
  <c r="AJ1199" i="3"/>
  <c r="AK1199" i="3"/>
  <c r="AL1199" i="3"/>
  <c r="AP800" i="3"/>
  <c r="AL1034" i="3"/>
  <c r="AI199" i="3"/>
  <c r="AI989" i="3"/>
  <c r="AJ639" i="3"/>
  <c r="AO377" i="3"/>
  <c r="AN377" i="3"/>
  <c r="AK1350" i="3"/>
  <c r="AK101" i="3"/>
  <c r="AK1164" i="3"/>
  <c r="AJ716" i="3"/>
  <c r="AK350" i="3"/>
  <c r="AL563" i="3"/>
  <c r="AJ521" i="3"/>
  <c r="AO483" i="3"/>
  <c r="AJ926" i="3"/>
  <c r="AK753" i="3"/>
  <c r="AK599" i="3"/>
  <c r="AK429" i="3"/>
  <c r="AL429" i="3"/>
  <c r="AK474" i="3"/>
  <c r="AJ961" i="3"/>
  <c r="AI961" i="3"/>
  <c r="AK229" i="3"/>
  <c r="AM229" i="3"/>
  <c r="AL224" i="3"/>
  <c r="AL931" i="3"/>
  <c r="AJ525" i="3"/>
  <c r="AI525" i="3"/>
  <c r="AJ67" i="3"/>
  <c r="N240" i="4"/>
  <c r="N645" i="4" s="1"/>
  <c r="N662" i="4" s="1"/>
  <c r="N242" i="4"/>
  <c r="N948" i="4" s="1"/>
  <c r="N241" i="4"/>
  <c r="N809" i="4" s="1"/>
  <c r="N826" i="4" s="1"/>
  <c r="N239" i="4"/>
  <c r="N489" i="4" s="1"/>
  <c r="N506" i="4" s="1"/>
  <c r="AL407" i="3"/>
  <c r="AJ920" i="3"/>
  <c r="AN113" i="3"/>
  <c r="AR113" i="3" s="1"/>
  <c r="AO113" i="3"/>
  <c r="AQ113" i="3"/>
  <c r="AS113" i="3" s="1"/>
  <c r="AP113" i="3"/>
  <c r="AI1186" i="3"/>
  <c r="S1222" i="4"/>
  <c r="S1234" i="4" s="1"/>
  <c r="AK1120" i="3"/>
  <c r="AJ1120" i="3"/>
  <c r="AI1120" i="3"/>
  <c r="AJ1192" i="3"/>
  <c r="AL735" i="3"/>
  <c r="AL13" i="3"/>
  <c r="AK13" i="3"/>
  <c r="AL394" i="3"/>
  <c r="AJ392" i="3"/>
  <c r="AI392" i="3"/>
  <c r="AK1173" i="3"/>
  <c r="AS327" i="3"/>
  <c r="AT327" i="3" s="1"/>
  <c r="AU327" i="3" s="1"/>
  <c r="AO327" i="3"/>
  <c r="AK812" i="3"/>
  <c r="AL812" i="3" s="1"/>
  <c r="AM812" i="3"/>
  <c r="AL1183" i="3"/>
  <c r="AK1183" i="3"/>
  <c r="AJ1100" i="3"/>
  <c r="AI467" i="3"/>
  <c r="AI309" i="3"/>
  <c r="AK590" i="3"/>
  <c r="AI621" i="3"/>
  <c r="AJ621" i="3" s="1"/>
  <c r="AI819" i="3"/>
  <c r="AJ819" i="3"/>
  <c r="AK819" i="3" s="1"/>
  <c r="AI1107" i="3"/>
  <c r="AJ473" i="3"/>
  <c r="AK971" i="3"/>
  <c r="AI218" i="3"/>
  <c r="O273" i="2"/>
  <c r="P146" i="2"/>
  <c r="O129" i="2"/>
  <c r="O130" i="2" s="1"/>
  <c r="W191" i="2"/>
  <c r="W138" i="2" s="1"/>
  <c r="K138" i="2" s="1"/>
  <c r="X244" i="2"/>
  <c r="Y244" i="2" s="1"/>
  <c r="Z244" i="2" s="1"/>
  <c r="AA244" i="2" s="1"/>
  <c r="AB244" i="2" s="1"/>
  <c r="AC244" i="2" s="1"/>
  <c r="AD244" i="2" s="1"/>
  <c r="AE244" i="2" s="1"/>
  <c r="AF244" i="2" s="1"/>
  <c r="AG244" i="2" s="1"/>
  <c r="AH244" i="2" s="1"/>
  <c r="AI244" i="2" s="1"/>
  <c r="K244" i="2"/>
  <c r="AK1354" i="3"/>
  <c r="AK82" i="3"/>
  <c r="AJ1296" i="3"/>
  <c r="AL945" i="3"/>
  <c r="Z741" i="4"/>
  <c r="Z792" i="4" s="1"/>
  <c r="Z78" i="4"/>
  <c r="AJ520" i="3"/>
  <c r="AI828" i="3"/>
  <c r="AJ828" i="3"/>
  <c r="AK828" i="3"/>
  <c r="AL828" i="3" s="1"/>
  <c r="X682" i="4"/>
  <c r="AN76" i="3"/>
  <c r="AL349" i="3"/>
  <c r="AD682" i="4"/>
  <c r="AI811" i="3"/>
  <c r="AL629" i="3"/>
  <c r="AK629" i="3"/>
  <c r="AJ629" i="3"/>
  <c r="AI920" i="3"/>
  <c r="AM421" i="3"/>
  <c r="AN421" i="3"/>
  <c r="R678" i="4"/>
  <c r="R675" i="4"/>
  <c r="AL113" i="3"/>
  <c r="AM113" i="3" s="1"/>
  <c r="AM693" i="3"/>
  <c r="AK153" i="3"/>
  <c r="AJ153" i="3"/>
  <c r="AK772" i="3"/>
  <c r="AM508" i="3"/>
  <c r="AL508" i="3"/>
  <c r="AI541" i="3"/>
  <c r="AJ1228" i="3"/>
  <c r="AJ954" i="3"/>
  <c r="AL304" i="3"/>
  <c r="AJ1294" i="3"/>
  <c r="AI959" i="3"/>
  <c r="AJ959" i="3"/>
  <c r="AL959" i="3" s="1"/>
  <c r="AK959" i="3"/>
  <c r="AJ1210" i="3"/>
  <c r="AI1210" i="3"/>
  <c r="AN137" i="3"/>
  <c r="AK734" i="3"/>
  <c r="AK735" i="3"/>
  <c r="AO539" i="3"/>
  <c r="AI911" i="3"/>
  <c r="AI714" i="3"/>
  <c r="AL1273" i="3"/>
  <c r="AM807" i="3"/>
  <c r="AI737" i="3"/>
  <c r="AI1203" i="3"/>
  <c r="AM25" i="3"/>
  <c r="AI775" i="3"/>
  <c r="AL258" i="3"/>
  <c r="AM258" i="3"/>
  <c r="AI163" i="3"/>
  <c r="AK163" i="3"/>
  <c r="AJ163" i="3"/>
  <c r="AJ634" i="3"/>
  <c r="AJ406" i="3"/>
  <c r="AL619" i="3"/>
  <c r="AI316" i="3"/>
  <c r="AI1359" i="3"/>
  <c r="AL105" i="3"/>
  <c r="AL1248" i="3"/>
  <c r="AL618" i="3"/>
  <c r="AK756" i="3"/>
  <c r="AJ329" i="3"/>
  <c r="AK1367" i="3"/>
  <c r="AM143" i="3"/>
  <c r="AO802" i="3"/>
  <c r="AI1166" i="3"/>
  <c r="AK478" i="3"/>
  <c r="V231" i="2"/>
  <c r="W232" i="2"/>
  <c r="AK696" i="3"/>
  <c r="AJ489" i="3"/>
  <c r="AM350" i="3"/>
  <c r="AN350" i="3" s="1"/>
  <c r="P294" i="2"/>
  <c r="P296" i="2" s="1"/>
  <c r="O226" i="2"/>
  <c r="O254" i="2" s="1"/>
  <c r="AJ447" i="3"/>
  <c r="AM1302" i="3"/>
  <c r="AN1302" i="3"/>
  <c r="AL1302" i="3"/>
  <c r="AK1302" i="3"/>
  <c r="AL1332" i="3"/>
  <c r="AM1232" i="3"/>
  <c r="AI1381" i="3"/>
  <c r="AL1284" i="3"/>
  <c r="AJ1175" i="3"/>
  <c r="AI639" i="3"/>
  <c r="AI877" i="3"/>
  <c r="AI515" i="3"/>
  <c r="AA741" i="4"/>
  <c r="AA772" i="4" s="1"/>
  <c r="AA146" i="4"/>
  <c r="AK618" i="3"/>
  <c r="AK520" i="3"/>
  <c r="AL559" i="3"/>
  <c r="AJ540" i="3"/>
  <c r="AK1262" i="3"/>
  <c r="AJ1262" i="3"/>
  <c r="AM712" i="3"/>
  <c r="AQ557" i="3"/>
  <c r="AN1240" i="3"/>
  <c r="AQ842" i="3"/>
  <c r="AO670" i="3"/>
  <c r="AP670" i="3"/>
  <c r="AQ670" i="3" s="1"/>
  <c r="AL526" i="3"/>
  <c r="AH1406" i="3"/>
  <c r="AJ182" i="3"/>
  <c r="AI182" i="3"/>
  <c r="AK182" i="3"/>
  <c r="AK469" i="3"/>
  <c r="AK438" i="3"/>
  <c r="P362" i="2"/>
  <c r="AJ755" i="3"/>
  <c r="AK755" i="3"/>
  <c r="T74" i="2"/>
  <c r="R139" i="4"/>
  <c r="AK219" i="3"/>
  <c r="AL219" i="3"/>
  <c r="AL102" i="3"/>
  <c r="AK102" i="3"/>
  <c r="T204" i="4"/>
  <c r="T613" i="4"/>
  <c r="T623" i="4"/>
  <c r="T587" i="4"/>
  <c r="T598" i="4"/>
  <c r="AI337" i="3"/>
  <c r="AL74" i="3"/>
  <c r="AM74" i="3"/>
  <c r="AI860" i="3"/>
  <c r="AK543" i="3"/>
  <c r="AL1221" i="3"/>
  <c r="AK481" i="3"/>
  <c r="AL481" i="3"/>
  <c r="AK627" i="3"/>
  <c r="AK460" i="3"/>
  <c r="AK204" i="3"/>
  <c r="AJ204" i="3"/>
  <c r="AI88" i="3"/>
  <c r="AJ88" i="3"/>
  <c r="AI1153" i="3"/>
  <c r="AK1250" i="3"/>
  <c r="AL376" i="3"/>
  <c r="AK689" i="3"/>
  <c r="AL142" i="3"/>
  <c r="AL170" i="3"/>
  <c r="AI979" i="3"/>
  <c r="AL793" i="3"/>
  <c r="AK793" i="3"/>
  <c r="AK246" i="3"/>
  <c r="AL246" i="3" s="1"/>
  <c r="AI673" i="3"/>
  <c r="AJ673" i="3"/>
  <c r="AJ543" i="3"/>
  <c r="AO544" i="3"/>
  <c r="AJ741" i="3"/>
  <c r="AJ284" i="3"/>
  <c r="AJ1324" i="3"/>
  <c r="AM885" i="3"/>
  <c r="AB741" i="4"/>
  <c r="AB782" i="4" s="1"/>
  <c r="AB78" i="4"/>
  <c r="AB146" i="4"/>
  <c r="AJ577" i="3"/>
  <c r="AK577" i="3"/>
  <c r="K242" i="4"/>
  <c r="K948" i="4" s="1"/>
  <c r="K240" i="4"/>
  <c r="K645" i="4" s="1"/>
  <c r="K662" i="4" s="1"/>
  <c r="K241" i="4"/>
  <c r="K809" i="4" s="1"/>
  <c r="K826" i="4" s="1"/>
  <c r="K239" i="4"/>
  <c r="K489" i="4" s="1"/>
  <c r="K506" i="4" s="1"/>
  <c r="AK929" i="3"/>
  <c r="AL790" i="3"/>
  <c r="AK790" i="3"/>
  <c r="AK632" i="3"/>
  <c r="AL632" i="3"/>
  <c r="AK378" i="3"/>
  <c r="AM581" i="3"/>
  <c r="R338" i="2"/>
  <c r="R848" i="4"/>
  <c r="S845" i="4" s="1"/>
  <c r="AF898" i="4"/>
  <c r="AF900" i="4"/>
  <c r="AF903" i="4" s="1"/>
  <c r="AL370" i="3"/>
  <c r="AL542" i="3"/>
  <c r="AL687" i="3"/>
  <c r="AK687" i="3"/>
  <c r="AK940" i="3"/>
  <c r="AM1337" i="3"/>
  <c r="X417" i="4"/>
  <c r="AJ31" i="3"/>
  <c r="AI1279" i="3"/>
  <c r="R684" i="4"/>
  <c r="S681" i="4" s="1"/>
  <c r="AK41" i="3"/>
  <c r="AJ41" i="3"/>
  <c r="AJ876" i="3"/>
  <c r="AK876" i="3"/>
  <c r="AJ195" i="3"/>
  <c r="AI964" i="3"/>
  <c r="AJ964" i="3"/>
  <c r="AL248" i="3"/>
  <c r="AJ692" i="3"/>
  <c r="AM692" i="3" s="1"/>
  <c r="AK692" i="3"/>
  <c r="AL692" i="3" s="1"/>
  <c r="AO1235" i="3"/>
  <c r="AN1235" i="3"/>
  <c r="AP1235" i="3" s="1"/>
  <c r="AJ1014" i="3"/>
  <c r="AK1014" i="3"/>
  <c r="AJ752" i="3"/>
  <c r="AM354" i="3"/>
  <c r="AL354" i="3"/>
  <c r="Y204" i="4"/>
  <c r="Y623" i="4"/>
  <c r="Y613" i="4"/>
  <c r="Y587" i="4"/>
  <c r="AC682" i="4"/>
  <c r="AN537" i="3"/>
  <c r="AL935" i="3"/>
  <c r="AL1062" i="3"/>
  <c r="AL229" i="3"/>
  <c r="AJ1278" i="3"/>
  <c r="AK1278" i="3" s="1"/>
  <c r="AK284" i="3"/>
  <c r="AL432" i="3"/>
  <c r="AI353" i="3"/>
  <c r="AJ353" i="3" s="1"/>
  <c r="AJ821" i="3"/>
  <c r="R741" i="4"/>
  <c r="R772" i="4" s="1"/>
  <c r="R78" i="4"/>
  <c r="R146" i="4"/>
  <c r="AO816" i="3"/>
  <c r="AP816" i="3" s="1"/>
  <c r="AQ816" i="3" s="1"/>
  <c r="AI918" i="3"/>
  <c r="AK1094" i="3"/>
  <c r="AJ1156" i="3"/>
  <c r="AK847" i="3"/>
  <c r="AJ847" i="3"/>
  <c r="AK697" i="3"/>
  <c r="AJ992" i="3"/>
  <c r="AI1297" i="3"/>
  <c r="AI871" i="3"/>
  <c r="AL368" i="3"/>
  <c r="AL980" i="3"/>
  <c r="AM980" i="3"/>
  <c r="AJ223" i="3"/>
  <c r="AI223" i="3"/>
  <c r="AI1255" i="3"/>
  <c r="AJ1016" i="3"/>
  <c r="AB72" i="4"/>
  <c r="AM868" i="3"/>
  <c r="Y189" i="2"/>
  <c r="AJ238" i="3"/>
  <c r="AL343" i="3"/>
  <c r="AK343" i="3"/>
  <c r="T1151" i="4"/>
  <c r="T1166" i="4"/>
  <c r="T1146" i="4"/>
  <c r="T1161" i="4"/>
  <c r="T1079" i="4"/>
  <c r="T1081" i="4" s="1"/>
  <c r="U1078" i="4" s="1"/>
  <c r="T1059" i="4"/>
  <c r="T1061" i="4" s="1"/>
  <c r="U1058" i="4" s="1"/>
  <c r="T1039" i="4"/>
  <c r="T1041" i="4" s="1"/>
  <c r="U1038" i="4" s="1"/>
  <c r="T1019" i="4"/>
  <c r="T1021" i="4" s="1"/>
  <c r="U1018" i="4" s="1"/>
  <c r="T1181" i="4"/>
  <c r="T759" i="4"/>
  <c r="T984" i="4"/>
  <c r="T986" i="4" s="1"/>
  <c r="U983" i="4" s="1"/>
  <c r="T1171" i="4"/>
  <c r="T656" i="4"/>
  <c r="T1034" i="4"/>
  <c r="T1036" i="4" s="1"/>
  <c r="U1033" i="4" s="1"/>
  <c r="T1089" i="4"/>
  <c r="T1091" i="4" s="1"/>
  <c r="U1088" i="4" s="1"/>
  <c r="T989" i="4"/>
  <c r="T991" i="4" s="1"/>
  <c r="U988" i="4" s="1"/>
  <c r="T1176" i="4"/>
  <c r="T1029" i="4"/>
  <c r="T1031" i="4" s="1"/>
  <c r="U1028" i="4" s="1"/>
  <c r="T595" i="4"/>
  <c r="U10" i="4"/>
  <c r="T1084" i="4"/>
  <c r="T1086" i="4" s="1"/>
  <c r="U1083" i="4" s="1"/>
  <c r="T1054" i="4"/>
  <c r="T1056" i="4" s="1"/>
  <c r="U1053" i="4" s="1"/>
  <c r="T994" i="4"/>
  <c r="T996" i="4" s="1"/>
  <c r="U993" i="4" s="1"/>
  <c r="T1044" i="4"/>
  <c r="T1046" i="4" s="1"/>
  <c r="U1043" i="4" s="1"/>
  <c r="AJ135" i="3"/>
  <c r="AJ1096" i="3"/>
  <c r="AL676" i="3"/>
  <c r="S417" i="4"/>
  <c r="V678" i="4"/>
  <c r="V675" i="4"/>
  <c r="X356" i="2" s="1"/>
  <c r="X323" i="2"/>
  <c r="K249" i="2"/>
  <c r="X249" i="2"/>
  <c r="W325" i="2"/>
  <c r="W326" i="2" s="1"/>
  <c r="W327" i="2" s="1"/>
  <c r="W248" i="2"/>
  <c r="K248" i="2" s="1"/>
  <c r="AJ1065" i="3"/>
  <c r="AI1172" i="3"/>
  <c r="AG898" i="4"/>
  <c r="AG900" i="4"/>
  <c r="AG903" i="4" s="1"/>
  <c r="AK367" i="3"/>
  <c r="AJ487" i="3"/>
  <c r="AK487" i="3"/>
  <c r="AJ1133" i="3"/>
  <c r="AJ499" i="3"/>
  <c r="AK650" i="3"/>
  <c r="AJ650" i="3"/>
  <c r="AK1144" i="3"/>
  <c r="AK125" i="3"/>
  <c r="AJ125" i="3"/>
  <c r="AL125" i="3"/>
  <c r="AI1024" i="3"/>
  <c r="AL719" i="3"/>
  <c r="AM1350" i="3"/>
  <c r="AL1350" i="3"/>
  <c r="AJ1126" i="3"/>
  <c r="AJ168" i="3"/>
  <c r="AJ542" i="3"/>
  <c r="AK542" i="3" s="1"/>
  <c r="AJ110" i="3"/>
  <c r="AK110" i="3"/>
  <c r="AN700" i="3"/>
  <c r="AJ1181" i="3"/>
  <c r="AK1181" i="3"/>
  <c r="T898" i="4"/>
  <c r="T900" i="4"/>
  <c r="T903" i="4" s="1"/>
  <c r="U156" i="2"/>
  <c r="AJ439" i="3"/>
  <c r="AM342" i="3"/>
  <c r="AK799" i="3"/>
  <c r="AI601" i="3"/>
  <c r="AM719" i="3"/>
  <c r="AL1337" i="3"/>
  <c r="AI1229" i="3"/>
  <c r="AI41" i="3"/>
  <c r="AK386" i="3"/>
  <c r="AN324" i="3"/>
  <c r="AM324" i="3"/>
  <c r="AK964" i="3"/>
  <c r="AI682" i="3"/>
  <c r="AL835" i="3"/>
  <c r="AM835" i="3"/>
  <c r="AL748" i="3"/>
  <c r="AM748" i="3"/>
  <c r="AJ861" i="3"/>
  <c r="AJ1155" i="3"/>
  <c r="AL708" i="3"/>
  <c r="AO537" i="3"/>
  <c r="AI1257" i="3"/>
  <c r="AK752" i="3"/>
  <c r="AM608" i="3"/>
  <c r="AN608" i="3"/>
  <c r="AJ98" i="3"/>
  <c r="AK98" i="3"/>
  <c r="AM1246" i="3"/>
  <c r="AK19" i="3"/>
  <c r="AJ19" i="3"/>
  <c r="AI847" i="3"/>
  <c r="AM1369" i="3"/>
  <c r="AJ37" i="3"/>
  <c r="AJ697" i="3"/>
  <c r="AN315" i="3"/>
  <c r="AK1259" i="3"/>
  <c r="AA678" i="4"/>
  <c r="AA675" i="4"/>
  <c r="AC356" i="2" s="1"/>
  <c r="AJ531" i="3"/>
  <c r="AJ792" i="3"/>
  <c r="AK792" i="3"/>
  <c r="AJ1108" i="3"/>
  <c r="AJ1345" i="3"/>
  <c r="AN669" i="3"/>
  <c r="AL873" i="3"/>
  <c r="AM873" i="3"/>
  <c r="AL738" i="3"/>
  <c r="AK738" i="3"/>
  <c r="AJ1098" i="3"/>
  <c r="AF78" i="4"/>
  <c r="AF741" i="4"/>
  <c r="AF782" i="4" s="1"/>
  <c r="AF146" i="4"/>
  <c r="AL265" i="3"/>
  <c r="AM43" i="3"/>
  <c r="AN1141" i="3"/>
  <c r="AK165" i="3"/>
  <c r="AK1089" i="3"/>
  <c r="AK436" i="3"/>
  <c r="AI991" i="3"/>
  <c r="AL928" i="3"/>
  <c r="AN924" i="3"/>
  <c r="AK1110" i="3"/>
  <c r="AJ18" i="3"/>
  <c r="AI18" i="3"/>
  <c r="AR659" i="3"/>
  <c r="AT659" i="3" s="1"/>
  <c r="AP659" i="3"/>
  <c r="AS659" i="3" s="1"/>
  <c r="AQ659" i="3"/>
  <c r="AO659" i="3"/>
  <c r="AE682" i="4"/>
  <c r="AL815" i="3"/>
  <c r="AJ1214" i="3"/>
  <c r="AI1185" i="3"/>
  <c r="AK208" i="3"/>
  <c r="AL1197" i="3"/>
  <c r="AI1333" i="3"/>
  <c r="AJ1333" i="3"/>
  <c r="AM1263" i="3"/>
  <c r="AL1263" i="3"/>
  <c r="AN1263" i="3"/>
  <c r="AL583" i="3"/>
  <c r="AL1295" i="3"/>
  <c r="AM1295" i="3" s="1"/>
  <c r="AK550" i="3"/>
  <c r="AJ550" i="3"/>
  <c r="U573" i="4"/>
  <c r="U575" i="4" s="1"/>
  <c r="U35" i="10"/>
  <c r="AL356" i="3"/>
  <c r="AM356" i="3" s="1"/>
  <c r="AJ479" i="3"/>
  <c r="AK290" i="3"/>
  <c r="AJ290" i="3"/>
  <c r="P350" i="2"/>
  <c r="AJ412" i="3"/>
  <c r="AK412" i="3"/>
  <c r="AL412" i="3"/>
  <c r="AJ851" i="3"/>
  <c r="AI768" i="3"/>
  <c r="AI1129" i="3"/>
  <c r="AG1445" i="3"/>
  <c r="T221" i="2" s="1"/>
  <c r="U221" i="2" s="1"/>
  <c r="AG1421" i="3"/>
  <c r="R166" i="4" s="1"/>
  <c r="R169" i="4" s="1"/>
  <c r="AG1392" i="3"/>
  <c r="X898" i="4"/>
  <c r="X900" i="4"/>
  <c r="AK314" i="3"/>
  <c r="AN872" i="3"/>
  <c r="AM872" i="3"/>
  <c r="AJ262" i="3"/>
  <c r="AL1269" i="3"/>
  <c r="AM1269" i="3" s="1"/>
  <c r="AK1269" i="3"/>
  <c r="AN1269" i="3"/>
  <c r="AK145" i="3"/>
  <c r="AM849" i="3"/>
  <c r="AN849" i="3"/>
  <c r="AL341" i="3"/>
  <c r="AJ475" i="3"/>
  <c r="AJ1218" i="3"/>
  <c r="AI1218" i="3"/>
  <c r="AH1415" i="3"/>
  <c r="S164" i="4" s="1"/>
  <c r="AI733" i="3"/>
  <c r="AJ733" i="3"/>
  <c r="AB682" i="4"/>
  <c r="AK839" i="3"/>
  <c r="AL839" i="3" s="1"/>
  <c r="AL934" i="3"/>
  <c r="AJ1283" i="3"/>
  <c r="AK1283" i="3" s="1"/>
  <c r="AK319" i="3"/>
  <c r="AJ319" i="3"/>
  <c r="AI122" i="3"/>
  <c r="AI686" i="3"/>
  <c r="AJ332" i="3"/>
  <c r="AL984" i="3"/>
  <c r="AJ668" i="3"/>
  <c r="AJ841" i="3"/>
  <c r="AJ1304" i="3"/>
  <c r="AK1304" i="3" s="1"/>
  <c r="AJ1274" i="3"/>
  <c r="AI398" i="3"/>
  <c r="AK286" i="3"/>
  <c r="AI1443" i="3"/>
  <c r="AJ35" i="3"/>
  <c r="T603" i="4"/>
  <c r="AM898" i="3"/>
  <c r="AJ686" i="3"/>
  <c r="AI1114" i="3"/>
  <c r="AB898" i="4"/>
  <c r="AB900" i="4"/>
  <c r="AB903" i="4" s="1"/>
  <c r="Q1222" i="4"/>
  <c r="Q1234" i="4" s="1"/>
  <c r="Q1235" i="4" s="1"/>
  <c r="AL1254" i="3"/>
  <c r="AJ1254" i="3"/>
  <c r="AK1254" i="3"/>
  <c r="AP635" i="3"/>
  <c r="AI167" i="3"/>
  <c r="AJ1033" i="3"/>
  <c r="AA589" i="4"/>
  <c r="AA648" i="4" s="1"/>
  <c r="AA635" i="4"/>
  <c r="AJ413" i="3"/>
  <c r="AJ402" i="3"/>
  <c r="AJ509" i="3"/>
  <c r="AK159" i="3"/>
  <c r="AL159" i="3" s="1"/>
  <c r="AJ159" i="3"/>
  <c r="AN71" i="3"/>
  <c r="AL886" i="3"/>
  <c r="AP99" i="3"/>
  <c r="AO99" i="3"/>
  <c r="AM1270" i="3"/>
  <c r="AN1270" i="3"/>
  <c r="AK925" i="3"/>
  <c r="AJ925" i="3"/>
  <c r="AN846" i="3"/>
  <c r="AM846" i="3"/>
  <c r="AJ967" i="3"/>
  <c r="AL664" i="3"/>
  <c r="AJ616" i="3"/>
  <c r="AK196" i="3"/>
  <c r="AI915" i="3"/>
  <c r="AJ217" i="3"/>
  <c r="W898" i="4"/>
  <c r="W900" i="4"/>
  <c r="W903" i="4" s="1"/>
  <c r="AN688" i="3"/>
  <c r="AJ600" i="3"/>
  <c r="AI600" i="3"/>
  <c r="AD72" i="4"/>
  <c r="AJ295" i="3"/>
  <c r="AK771" i="3"/>
  <c r="AL1245" i="3"/>
  <c r="AI1074" i="3"/>
  <c r="AJ293" i="3"/>
  <c r="AN307" i="3"/>
  <c r="AL581" i="3"/>
  <c r="AN942" i="3"/>
  <c r="AM942" i="3"/>
  <c r="AK313" i="3"/>
  <c r="AJ313" i="3"/>
  <c r="AK133" i="3"/>
  <c r="AL133" i="3" s="1"/>
  <c r="AJ39" i="3"/>
  <c r="AK39" i="3"/>
  <c r="AH1443" i="3"/>
  <c r="U219" i="2" s="1"/>
  <c r="AI39" i="3"/>
  <c r="AJ357" i="2"/>
  <c r="AL813" i="3"/>
  <c r="AI1053" i="3"/>
  <c r="O181" i="4"/>
  <c r="O180" i="4"/>
  <c r="AI296" i="3"/>
  <c r="AM815" i="3"/>
  <c r="AL280" i="3"/>
  <c r="AK280" i="3"/>
  <c r="AL492" i="3"/>
  <c r="AK1163" i="3"/>
  <c r="AM1058" i="3"/>
  <c r="AM1109" i="3"/>
  <c r="AL573" i="3"/>
  <c r="AL1054" i="3"/>
  <c r="AI334" i="3"/>
  <c r="AI625" i="3"/>
  <c r="AJ625" i="3"/>
  <c r="AM207" i="3"/>
  <c r="AL1152" i="3"/>
  <c r="AM1152" i="3"/>
  <c r="AN1180" i="3"/>
  <c r="AM1180" i="3"/>
  <c r="AH1427" i="3"/>
  <c r="S163" i="4" s="1"/>
  <c r="AI1140" i="3"/>
  <c r="AJ1140" i="3" s="1"/>
  <c r="AF635" i="4"/>
  <c r="AF589" i="4"/>
  <c r="AF648" i="4" s="1"/>
  <c r="AM249" i="3"/>
  <c r="AL249" i="3"/>
  <c r="AK249" i="3"/>
  <c r="AM181" i="3"/>
  <c r="AL181" i="3"/>
  <c r="AJ1067" i="3"/>
  <c r="AK64" i="3"/>
  <c r="AO490" i="3"/>
  <c r="AP490" i="3" s="1"/>
  <c r="AL502" i="3"/>
  <c r="AK502" i="3"/>
  <c r="AK661" i="3"/>
  <c r="AJ131" i="3"/>
  <c r="AK1258" i="3"/>
  <c r="AL1258" i="3"/>
  <c r="AM1258" i="3" s="1"/>
  <c r="AK808" i="3"/>
  <c r="AL808" i="3"/>
  <c r="AJ371" i="3"/>
  <c r="AK742" i="3"/>
  <c r="AK1344" i="3"/>
  <c r="AL1344" i="3"/>
  <c r="AO1006" i="3"/>
  <c r="V635" i="4"/>
  <c r="V589" i="4"/>
  <c r="V648" i="4" s="1"/>
  <c r="AK633" i="3"/>
  <c r="AL90" i="3"/>
  <c r="AK90" i="3"/>
  <c r="AK1343" i="3"/>
  <c r="AM373" i="3"/>
  <c r="AK72" i="3"/>
  <c r="AK491" i="3"/>
  <c r="AJ491" i="3"/>
  <c r="M350" i="2"/>
  <c r="AI1043" i="3"/>
  <c r="M1222" i="4"/>
  <c r="M1234" i="4" s="1"/>
  <c r="M1235" i="4" s="1"/>
  <c r="AN373" i="3"/>
  <c r="AI208" i="3"/>
  <c r="AI750" i="3"/>
  <c r="AK750" i="3"/>
  <c r="AJ750" i="3"/>
  <c r="AL742" i="3"/>
  <c r="AK1078" i="3"/>
  <c r="AL1078" i="3" s="1"/>
  <c r="AJ794" i="3"/>
  <c r="AJ1245" i="3"/>
  <c r="AL1042" i="3"/>
  <c r="AI318" i="3"/>
  <c r="AJ169" i="3"/>
  <c r="AI22" i="3"/>
  <c r="AK511" i="3"/>
  <c r="AQ1282" i="3"/>
  <c r="AK293" i="3"/>
  <c r="AN10" i="3"/>
  <c r="AK589" i="3"/>
  <c r="AJ589" i="3"/>
  <c r="AK15" i="3"/>
  <c r="AK175" i="3"/>
  <c r="AJ152" i="2"/>
  <c r="AO535" i="3"/>
  <c r="AJ450" i="3"/>
  <c r="AL785" i="3"/>
  <c r="W348" i="2"/>
  <c r="W11" i="2"/>
  <c r="AI1310" i="3"/>
  <c r="AJ1310" i="3"/>
  <c r="AL501" i="3"/>
  <c r="AJ941" i="3"/>
  <c r="AI941" i="3"/>
  <c r="AJ951" i="3"/>
  <c r="AI832" i="3"/>
  <c r="W72" i="4"/>
  <c r="AK566" i="3"/>
  <c r="AJ516" i="3"/>
  <c r="AK516" i="3"/>
  <c r="AI516" i="3"/>
  <c r="AL516" i="3"/>
  <c r="AK450" i="3"/>
  <c r="AI308" i="3"/>
  <c r="AI725" i="3"/>
  <c r="AJ208" i="3"/>
  <c r="AJ486" i="3"/>
  <c r="AL124" i="3"/>
  <c r="AM124" i="3"/>
  <c r="AK241" i="3"/>
  <c r="AK1338" i="3"/>
  <c r="AP758" i="3"/>
  <c r="AJ620" i="3"/>
  <c r="AN173" i="3"/>
  <c r="AM173" i="3"/>
  <c r="AL173" i="3"/>
  <c r="AI453" i="3"/>
  <c r="AJ453" i="3"/>
  <c r="AK561" i="3"/>
  <c r="AK690" i="3"/>
  <c r="AL690" i="3" s="1"/>
  <c r="AJ690" i="3"/>
  <c r="AL1247" i="3"/>
  <c r="AM1247" i="3"/>
  <c r="AI1268" i="3"/>
  <c r="AJ1268" i="3"/>
  <c r="AK251" i="3"/>
  <c r="AO593" i="3"/>
  <c r="AK498" i="3"/>
  <c r="AL498" i="3"/>
  <c r="AN498" i="3" s="1"/>
  <c r="AM498" i="3"/>
  <c r="AO437" i="3"/>
  <c r="AK11" i="3"/>
  <c r="J1222" i="4"/>
  <c r="J1234" i="4" s="1"/>
  <c r="J1235" i="4" s="1"/>
  <c r="Y741" i="4"/>
  <c r="Y782" i="4" s="1"/>
  <c r="Y78" i="4"/>
  <c r="AK585" i="3"/>
  <c r="AJ1308" i="3"/>
  <c r="AJ488" i="3"/>
  <c r="AK85" i="3"/>
  <c r="AI838" i="3"/>
  <c r="AJ289" i="3"/>
  <c r="AL711" i="3"/>
  <c r="AJ410" i="3"/>
  <c r="AK956" i="3"/>
  <c r="D130" i="6"/>
  <c r="P98" i="6"/>
  <c r="AJ579" i="3"/>
  <c r="AI134" i="3"/>
  <c r="AJ894" i="3"/>
  <c r="AK894" i="3"/>
  <c r="AL894" i="3"/>
  <c r="AQ597" i="3"/>
  <c r="AO597" i="3"/>
  <c r="AN437" i="3"/>
  <c r="AK1179" i="3"/>
  <c r="AP597" i="3"/>
  <c r="L382" i="2"/>
  <c r="J89" i="4"/>
  <c r="J86" i="4"/>
  <c r="AI958" i="3"/>
  <c r="AI933" i="3"/>
  <c r="AP924" i="3"/>
  <c r="AQ924" i="3" s="1"/>
  <c r="AK1285" i="3"/>
  <c r="AL1209" i="3"/>
  <c r="AI615" i="3"/>
  <c r="AK430" i="3"/>
  <c r="AL430" i="3" s="1"/>
  <c r="AI400" i="3"/>
  <c r="AL323" i="3"/>
  <c r="AK323" i="3"/>
  <c r="AM724" i="3"/>
  <c r="AL1313" i="3"/>
  <c r="T72" i="4"/>
  <c r="AM1195" i="3"/>
  <c r="AL978" i="3"/>
  <c r="AJ220" i="3"/>
  <c r="AK582" i="3"/>
  <c r="AJ912" i="3"/>
  <c r="AJ1285" i="3"/>
  <c r="AM1084" i="3"/>
  <c r="AJ335" i="3"/>
  <c r="AA72" i="4"/>
  <c r="AN1195" i="3"/>
  <c r="AK147" i="3"/>
  <c r="AM407" i="3"/>
  <c r="AJ895" i="3"/>
  <c r="AM1202" i="3"/>
  <c r="AN1202" i="3"/>
  <c r="Q69" i="2"/>
  <c r="O138" i="4"/>
  <c r="R178" i="4"/>
  <c r="AI1112" i="3"/>
  <c r="Q241" i="4"/>
  <c r="Q809" i="4" s="1"/>
  <c r="Q826" i="4" s="1"/>
  <c r="Q239" i="4"/>
  <c r="Q489" i="4" s="1"/>
  <c r="Q506" i="4" s="1"/>
  <c r="Q242" i="4"/>
  <c r="Q948" i="4" s="1"/>
  <c r="Q240" i="4"/>
  <c r="Q645" i="4" s="1"/>
  <c r="Q662" i="4" s="1"/>
  <c r="AJ184" i="3"/>
  <c r="AI184" i="3"/>
  <c r="AK820" i="3"/>
  <c r="AK162" i="3"/>
  <c r="AJ162" i="3"/>
  <c r="AI1383" i="3"/>
  <c r="AN883" i="3"/>
  <c r="Y417" i="4"/>
  <c r="AL152" i="3"/>
  <c r="AM152" i="3"/>
  <c r="AL578" i="3"/>
  <c r="AJ1075" i="3"/>
  <c r="AK1075" i="3"/>
  <c r="AK291" i="3"/>
  <c r="AM798" i="3"/>
  <c r="AN798" i="3" s="1"/>
  <c r="AL798" i="3"/>
  <c r="AJ1325" i="3"/>
  <c r="AL1325" i="3"/>
  <c r="S678" i="4"/>
  <c r="S675" i="4"/>
  <c r="U356" i="2" s="1"/>
  <c r="AJ433" i="3"/>
  <c r="AJ530" i="3"/>
  <c r="AJ201" i="3"/>
  <c r="AJ864" i="3"/>
  <c r="AL963" i="3"/>
  <c r="AK736" i="3"/>
  <c r="AK1221" i="3"/>
  <c r="AK109" i="3"/>
  <c r="AJ140" i="3"/>
  <c r="AI374" i="3"/>
  <c r="AL990" i="3"/>
  <c r="AQ897" i="3"/>
  <c r="AE898" i="4"/>
  <c r="AE900" i="4"/>
  <c r="AE903" i="4" s="1"/>
  <c r="AK587" i="3"/>
  <c r="AK452" i="3"/>
  <c r="AL172" i="3"/>
  <c r="AJ1196" i="3"/>
  <c r="U149" i="2"/>
  <c r="U282" i="2"/>
  <c r="J1232" i="4"/>
  <c r="AJ675" i="3"/>
  <c r="AK675" i="3"/>
  <c r="AK671" i="3"/>
  <c r="U589" i="4"/>
  <c r="U648" i="4" s="1"/>
  <c r="U635" i="4"/>
  <c r="W678" i="4"/>
  <c r="W675" i="4"/>
  <c r="Y356" i="2" s="1"/>
  <c r="AK1391" i="3"/>
  <c r="AI902" i="3"/>
  <c r="AJ902" i="3"/>
  <c r="AK902" i="3" s="1"/>
  <c r="AI1233" i="3"/>
  <c r="AK210" i="3"/>
  <c r="AM1006" i="3"/>
  <c r="AN1006" i="3" s="1"/>
  <c r="AP1006" i="3" s="1"/>
  <c r="S78" i="4"/>
  <c r="S741" i="4"/>
  <c r="S792" i="4" s="1"/>
  <c r="AI23" i="3"/>
  <c r="AJ23" i="3" s="1"/>
  <c r="AL518" i="3"/>
  <c r="AJ506" i="3"/>
  <c r="AL1224" i="3"/>
  <c r="AJ340" i="3"/>
  <c r="AJ1290" i="3"/>
  <c r="AQ666" i="3"/>
  <c r="AI1082" i="3"/>
  <c r="AM429" i="3"/>
  <c r="AN429" i="3"/>
  <c r="AK657" i="3"/>
  <c r="AL1110" i="3"/>
  <c r="AI121" i="3"/>
  <c r="AK1326" i="3"/>
  <c r="AL1326" i="3"/>
  <c r="AG1436" i="3"/>
  <c r="AL46" i="3"/>
  <c r="AJ46" i="3"/>
  <c r="AJ221" i="3"/>
  <c r="AJ699" i="3"/>
  <c r="AL444" i="3"/>
  <c r="AK444" i="3"/>
  <c r="AI344" i="3"/>
  <c r="V682" i="4"/>
  <c r="AK546" i="3"/>
  <c r="AK311" i="3"/>
  <c r="O218" i="4"/>
  <c r="O219" i="4"/>
  <c r="O221" i="4"/>
  <c r="O222" i="4"/>
  <c r="O220" i="4"/>
  <c r="AI512" i="3"/>
  <c r="O3" i="2"/>
  <c r="P5" i="2"/>
  <c r="O289" i="2"/>
  <c r="O279" i="2"/>
  <c r="O275" i="2"/>
  <c r="O276" i="2"/>
  <c r="O290" i="2"/>
  <c r="O288" i="2"/>
  <c r="O286" i="2"/>
  <c r="O277" i="2"/>
  <c r="O287" i="2"/>
  <c r="O269" i="2"/>
  <c r="O278" i="2"/>
  <c r="AK79" i="3"/>
  <c r="AL79" i="3"/>
  <c r="AJ1223" i="3"/>
  <c r="AK225" i="3"/>
  <c r="AL225" i="3" s="1"/>
  <c r="AK875" i="3"/>
  <c r="AL875" i="3" s="1"/>
  <c r="AM875" i="3"/>
  <c r="AN1050" i="3"/>
  <c r="AL1050" i="3"/>
  <c r="AM1050" i="3"/>
  <c r="AO1050" i="3" s="1"/>
  <c r="X198" i="2"/>
  <c r="K198" i="2"/>
  <c r="AJ403" i="3"/>
  <c r="AI863" i="3"/>
  <c r="AJ863" i="3"/>
  <c r="AJ858" i="3"/>
  <c r="AM394" i="3"/>
  <c r="AJ1061" i="3"/>
  <c r="AK1061" i="3" s="1"/>
  <c r="AK887" i="3"/>
  <c r="AI1380" i="3"/>
  <c r="AJ1380" i="3"/>
  <c r="AM84" i="3"/>
  <c r="R156" i="4"/>
  <c r="AL840" i="3"/>
  <c r="AI764" i="3"/>
  <c r="AJ764" i="3"/>
  <c r="AJ1154" i="3"/>
  <c r="AK1154" i="3" s="1"/>
  <c r="AL1154" i="3"/>
  <c r="AI674" i="3"/>
  <c r="AJ610" i="3"/>
  <c r="AI1353" i="3"/>
  <c r="AM203" i="3"/>
  <c r="AL188" i="3"/>
  <c r="AJ1321" i="3"/>
  <c r="AI1321" i="3"/>
  <c r="AN816" i="3"/>
  <c r="AJ283" i="3"/>
  <c r="AK283" i="3"/>
  <c r="AI1116" i="3"/>
  <c r="AJ1116" i="3"/>
  <c r="AC603" i="4"/>
  <c r="AK853" i="3"/>
  <c r="AJ746" i="3"/>
  <c r="AN1080" i="3"/>
  <c r="AI463" i="3"/>
  <c r="AL1010" i="3"/>
  <c r="AL310" i="3"/>
  <c r="AJ1072" i="3"/>
  <c r="AL1125" i="3"/>
  <c r="T741" i="4"/>
  <c r="T782" i="4" s="1"/>
  <c r="T78" i="4"/>
  <c r="AI264" i="3"/>
  <c r="AL956" i="3"/>
  <c r="AK856" i="3"/>
  <c r="AO1384" i="3"/>
  <c r="AP1384" i="3" s="1"/>
  <c r="AN1384" i="3"/>
  <c r="AM1384" i="3"/>
  <c r="AJ605" i="3"/>
  <c r="AJ969" i="3"/>
  <c r="AK969" i="3"/>
  <c r="AN503" i="3"/>
  <c r="AJ1256" i="3"/>
  <c r="AK1290" i="3"/>
  <c r="AJ442" i="3"/>
  <c r="AI801" i="3"/>
  <c r="AI967" i="3"/>
  <c r="AO281" i="3"/>
  <c r="AP281" i="3" s="1"/>
  <c r="AK814" i="3"/>
  <c r="AJ326" i="3"/>
  <c r="W223" i="2"/>
  <c r="W144" i="2" s="1"/>
  <c r="AL476" i="3"/>
  <c r="AM476" i="3"/>
  <c r="AO137" i="3"/>
  <c r="AL213" i="3"/>
  <c r="AK937" i="3"/>
  <c r="AG1448" i="3"/>
  <c r="T109" i="2" s="1"/>
  <c r="T218" i="2"/>
  <c r="AJ11" i="3"/>
  <c r="AM1205" i="3"/>
  <c r="AN1205" i="3"/>
  <c r="AP1205" i="3" s="1"/>
  <c r="AO1205" i="3"/>
  <c r="AJ1266" i="3"/>
  <c r="AK1266" i="3" s="1"/>
  <c r="AL734" i="3"/>
  <c r="AJ567" i="3"/>
  <c r="AI567" i="3"/>
  <c r="AM418" i="3"/>
  <c r="AK484" i="3"/>
  <c r="R1101" i="4"/>
  <c r="S968" i="4"/>
  <c r="AI715" i="3"/>
  <c r="AJ117" i="3"/>
  <c r="AJ346" i="3"/>
  <c r="AI275" i="3"/>
  <c r="AI268" i="3"/>
  <c r="AI416" i="3"/>
  <c r="AI245" i="3"/>
  <c r="AJ829" i="3"/>
  <c r="AJ944" i="3"/>
  <c r="AK944" i="3"/>
  <c r="AJ230" i="3"/>
  <c r="AJ291" i="3"/>
  <c r="AK573" i="3"/>
  <c r="AN1083" i="3"/>
  <c r="AJ1371" i="3"/>
  <c r="T678" i="4"/>
  <c r="T675" i="4"/>
  <c r="V356" i="2" s="1"/>
  <c r="AK87" i="3"/>
  <c r="AJ166" i="3"/>
  <c r="AN1363" i="3"/>
  <c r="AJ16" i="3"/>
  <c r="AK16" i="3"/>
  <c r="AL234" i="3"/>
  <c r="AJ825" i="3"/>
  <c r="AI1427" i="3"/>
  <c r="T163" i="4" s="1"/>
  <c r="AJ1139" i="3"/>
  <c r="AI155" i="3"/>
  <c r="AJ155" i="3"/>
  <c r="AL215" i="3"/>
  <c r="AI922" i="3"/>
  <c r="AL414" i="3"/>
  <c r="AK414" i="3"/>
  <c r="AK1373" i="3"/>
  <c r="AM1323" i="3"/>
  <c r="AK1146" i="3"/>
  <c r="AM1325" i="3"/>
  <c r="AK70" i="3"/>
  <c r="AK288" i="3"/>
  <c r="AL288" i="3"/>
  <c r="AM1106" i="3"/>
  <c r="AM179" i="3"/>
  <c r="AN179" i="3" s="1"/>
  <c r="AL179" i="3"/>
  <c r="AJ1225" i="3"/>
  <c r="AK1225" i="3"/>
  <c r="AI783" i="3"/>
  <c r="AJ104" i="3"/>
  <c r="M177" i="2"/>
  <c r="AJ881" i="3"/>
  <c r="AL434" i="3"/>
  <c r="AK434" i="3"/>
  <c r="AM405" i="3"/>
  <c r="AN405" i="3"/>
  <c r="AO405" i="3" s="1"/>
  <c r="AI126" i="3"/>
  <c r="AJ538" i="3"/>
  <c r="AK538" i="3"/>
  <c r="AJ831" i="3"/>
  <c r="AN843" i="3"/>
  <c r="AK919" i="3"/>
  <c r="U417" i="4"/>
  <c r="AJ680" i="3"/>
  <c r="AI263" i="3"/>
  <c r="AL844" i="3"/>
  <c r="AJ202" i="3"/>
  <c r="AK817" i="3"/>
  <c r="AL817" i="3"/>
  <c r="AN1168" i="3"/>
  <c r="AK1376" i="3"/>
  <c r="AK1004" i="3"/>
  <c r="AM331" i="3"/>
  <c r="AL285" i="3"/>
  <c r="S138" i="4"/>
  <c r="U73" i="2"/>
  <c r="S93" i="4"/>
  <c r="S178" i="4" s="1"/>
  <c r="AJ852" i="3"/>
  <c r="AK1076" i="3"/>
  <c r="AI694" i="3"/>
  <c r="AK193" i="3"/>
  <c r="AM1037" i="3"/>
  <c r="AN1037" i="3"/>
  <c r="AO721" i="3"/>
  <c r="AP721" i="3" s="1"/>
  <c r="AK910" i="3"/>
  <c r="AL910" i="3" s="1"/>
  <c r="AL138" i="3"/>
  <c r="AL273" i="3"/>
  <c r="AL331" i="3"/>
  <c r="AK8" i="3"/>
  <c r="AI572" i="3"/>
  <c r="AJ572" i="3"/>
  <c r="AJ814" i="3"/>
  <c r="S77" i="4"/>
  <c r="V144" i="2"/>
  <c r="AH1442" i="3"/>
  <c r="AH1448" i="3" s="1"/>
  <c r="U109" i="2" s="1"/>
  <c r="AH1392" i="3"/>
  <c r="AH1397" i="3"/>
  <c r="AH1436" i="3" s="1"/>
  <c r="AK7" i="3"/>
  <c r="AI562" i="3"/>
  <c r="AJ562" i="3" s="1"/>
  <c r="AK562" i="3" s="1"/>
  <c r="AK996" i="3"/>
  <c r="AJ1386" i="3"/>
  <c r="AK761" i="3"/>
  <c r="AL626" i="3"/>
  <c r="AM626" i="3" s="1"/>
  <c r="AK626" i="3"/>
  <c r="AJ107" i="3"/>
  <c r="AM1149" i="3"/>
  <c r="AL1369" i="3"/>
  <c r="AM1177" i="3"/>
  <c r="AJ227" i="3"/>
  <c r="AK1288" i="3"/>
  <c r="AN898" i="3"/>
  <c r="AP898" i="3" s="1"/>
  <c r="AN320" i="3"/>
  <c r="AO320" i="3"/>
  <c r="AL1355" i="3"/>
  <c r="U154" i="2"/>
  <c r="U252" i="2"/>
  <c r="V251" i="2"/>
  <c r="AK321" i="3"/>
  <c r="AK390" i="3"/>
  <c r="AL390" i="3"/>
  <c r="AB417" i="4"/>
  <c r="AI909" i="3"/>
  <c r="X213" i="2"/>
  <c r="Y213" i="2" s="1"/>
  <c r="Z213" i="2" s="1"/>
  <c r="AA213" i="2" s="1"/>
  <c r="AB213" i="2" s="1"/>
  <c r="AC213" i="2" s="1"/>
  <c r="AD213" i="2" s="1"/>
  <c r="AE213" i="2" s="1"/>
  <c r="AF213" i="2" s="1"/>
  <c r="AG213" i="2" s="1"/>
  <c r="AH213" i="2" s="1"/>
  <c r="AI213" i="2" s="1"/>
  <c r="K213" i="2"/>
  <c r="AJ591" i="3"/>
  <c r="AK446" i="3"/>
  <c r="AI782" i="3"/>
  <c r="AJ782" i="3"/>
  <c r="AR557" i="3"/>
  <c r="AI1266" i="3"/>
  <c r="AH1418" i="3"/>
  <c r="S165" i="4" s="1"/>
  <c r="AI717" i="3"/>
  <c r="N350" i="2"/>
  <c r="AJ921" i="3"/>
  <c r="AK921" i="3"/>
  <c r="AL1094" i="3"/>
  <c r="AI965" i="3"/>
  <c r="Z898" i="4"/>
  <c r="Z900" i="4"/>
  <c r="AJ976" i="3"/>
  <c r="AK95" i="3"/>
  <c r="AD635" i="4"/>
  <c r="AD589" i="4"/>
  <c r="AD648" i="4" s="1"/>
  <c r="AI912" i="3"/>
  <c r="AI776" i="3"/>
  <c r="AL1027" i="3"/>
  <c r="AL216" i="3"/>
  <c r="AK216" i="3"/>
  <c r="AJ216" i="3"/>
  <c r="AJ482" i="3"/>
  <c r="AJ1346" i="3"/>
  <c r="AA417" i="4"/>
  <c r="AJ1265" i="3"/>
  <c r="AJ495" i="3"/>
  <c r="AE72" i="4"/>
  <c r="AM1231" i="3"/>
  <c r="AI54" i="3"/>
  <c r="AJ791" i="3"/>
  <c r="AJ1348" i="3"/>
  <c r="AK1204" i="3"/>
  <c r="AJ1118" i="3"/>
  <c r="AJ672" i="3"/>
  <c r="AP339" i="3"/>
  <c r="AN339" i="3"/>
  <c r="AM339" i="3"/>
  <c r="AO339" i="3"/>
  <c r="AO603" i="3"/>
  <c r="AP603" i="3"/>
  <c r="AN1064" i="3"/>
  <c r="AJ658" i="3"/>
  <c r="AJ985" i="3"/>
  <c r="AK985" i="3" s="1"/>
  <c r="AK1239" i="3"/>
  <c r="AJ779" i="3"/>
  <c r="V12" i="4"/>
  <c r="U639" i="4"/>
  <c r="U657" i="4" s="1"/>
  <c r="U706" i="4" s="1"/>
  <c r="W39" i="2" s="1"/>
  <c r="K39" i="2" s="1"/>
  <c r="I39" i="2" s="1"/>
  <c r="AK140" i="3"/>
  <c r="AK841" i="3"/>
  <c r="AM105" i="3"/>
  <c r="AK859" i="3"/>
  <c r="AL804" i="3"/>
  <c r="AM747" i="3"/>
  <c r="AJ644" i="3"/>
  <c r="AK644" i="3"/>
  <c r="AI1038" i="3"/>
  <c r="T283" i="2"/>
  <c r="T155" i="2"/>
  <c r="AJ449" i="3"/>
  <c r="AO1331" i="3"/>
  <c r="AL617" i="3"/>
  <c r="AJ139" i="3"/>
  <c r="Z678" i="4"/>
  <c r="Z675" i="4"/>
  <c r="AB356" i="2" s="1"/>
  <c r="AI1008" i="3"/>
  <c r="AK974" i="3"/>
  <c r="AK26" i="3"/>
  <c r="AT884" i="3"/>
  <c r="AJ560" i="3"/>
  <c r="AN885" i="3"/>
  <c r="AO470" i="3"/>
  <c r="U741" i="4"/>
  <c r="U782" i="4" s="1"/>
  <c r="U78" i="4"/>
  <c r="AP112" i="3"/>
  <c r="AQ112" i="3" s="1"/>
  <c r="AR112" i="3" s="1"/>
  <c r="AM244" i="3"/>
  <c r="AK645" i="3"/>
  <c r="AI1298" i="3"/>
  <c r="AL654" i="3"/>
  <c r="S69" i="2"/>
  <c r="Q138" i="4"/>
  <c r="AM161" i="3"/>
  <c r="AL282" i="3"/>
  <c r="AI781" i="3"/>
  <c r="AK1036" i="3"/>
  <c r="AJ1176" i="3"/>
  <c r="AK217" i="3"/>
  <c r="S702" i="4"/>
  <c r="AK468" i="3"/>
  <c r="AM1115" i="3"/>
  <c r="AK766" i="3"/>
  <c r="AL614" i="3"/>
  <c r="AQ437" i="3"/>
  <c r="AL1086" i="3"/>
  <c r="AM1083" i="3"/>
  <c r="AO1083" i="3"/>
  <c r="AP1083" i="3" s="1"/>
  <c r="AI1265" i="3"/>
  <c r="AK1265" i="3" s="1"/>
  <c r="AI1092" i="3"/>
  <c r="AJ1092" i="3"/>
  <c r="AJ598" i="3"/>
  <c r="AK598" i="3" s="1"/>
  <c r="AL1227" i="3"/>
  <c r="AQ339" i="3"/>
  <c r="AR339" i="3" s="1"/>
  <c r="AS339" i="3" s="1"/>
  <c r="AL792" i="3"/>
  <c r="AJ183" i="3"/>
  <c r="AO421" i="3"/>
  <c r="AK212" i="3"/>
  <c r="AR437" i="3"/>
  <c r="AJ133" i="3"/>
  <c r="AJ607" i="3"/>
  <c r="AG72" i="4"/>
  <c r="AK1049" i="3"/>
  <c r="AK574" i="3"/>
  <c r="AL574" i="3" s="1"/>
  <c r="AJ1291" i="3"/>
  <c r="AL1249" i="3"/>
  <c r="AK150" i="3"/>
  <c r="AJ845" i="3"/>
  <c r="AI845" i="3"/>
  <c r="AJ763" i="3"/>
  <c r="AI763" i="3"/>
  <c r="AI1276" i="3"/>
  <c r="AJ1212" i="3"/>
  <c r="AK1311" i="3"/>
  <c r="AN312" i="3"/>
  <c r="AL29" i="3"/>
  <c r="AN565" i="3"/>
  <c r="AO565" i="3" s="1"/>
  <c r="W417" i="4"/>
  <c r="AI1330" i="3"/>
  <c r="AJ1351" i="3"/>
  <c r="AM1168" i="3"/>
  <c r="L350" i="2"/>
  <c r="AL1286" i="3"/>
  <c r="AI1275" i="3"/>
  <c r="AN800" i="3"/>
  <c r="AO800" i="3"/>
  <c r="AN455" i="3"/>
  <c r="AN178" i="3"/>
  <c r="AK945" i="3"/>
  <c r="W741" i="4"/>
  <c r="W78" i="4"/>
  <c r="L20" i="2"/>
  <c r="J252" i="4"/>
  <c r="L83" i="2" s="1"/>
  <c r="AK236" i="3"/>
  <c r="AI362" i="3"/>
  <c r="AJ575" i="3"/>
  <c r="AK575" i="3" s="1"/>
  <c r="AI227" i="3"/>
  <c r="AM76" i="3"/>
  <c r="AM640" i="3"/>
  <c r="AL640" i="3"/>
  <c r="AK1039" i="3"/>
  <c r="AJ1039" i="3"/>
  <c r="AL1277" i="3"/>
  <c r="S1151" i="4"/>
  <c r="AK978" i="3"/>
  <c r="AK324" i="3"/>
  <c r="AM1073" i="3"/>
  <c r="AN1073" i="3"/>
  <c r="AJ399" i="3"/>
  <c r="AJ1198" i="3"/>
  <c r="AJ493" i="3"/>
  <c r="AJ1063" i="3"/>
  <c r="AM769" i="3"/>
  <c r="AK154" i="3"/>
  <c r="AJ647" i="3"/>
  <c r="AK957" i="3"/>
  <c r="AM1111" i="3"/>
  <c r="AL1111" i="3"/>
  <c r="T573" i="4"/>
  <c r="T575" i="4" s="1"/>
  <c r="W589" i="4"/>
  <c r="W648" i="4" s="1"/>
  <c r="W635" i="4"/>
  <c r="AM1227" i="3"/>
  <c r="U72" i="4"/>
  <c r="AD417" i="4"/>
  <c r="AM1117" i="3"/>
  <c r="AI983" i="3"/>
  <c r="K1222" i="4"/>
  <c r="K1234" i="4" s="1"/>
  <c r="K1235" i="4" s="1"/>
  <c r="S903" i="4"/>
  <c r="S898" i="4"/>
  <c r="AL324" i="3"/>
  <c r="AN802" i="3"/>
  <c r="AM802" i="3"/>
  <c r="AL867" i="3"/>
  <c r="AI1364" i="3"/>
  <c r="AK1309" i="3"/>
  <c r="AN1244" i="3"/>
  <c r="AL1123" i="3"/>
  <c r="AK91" i="3"/>
  <c r="AK1108" i="3"/>
  <c r="AO178" i="3"/>
  <c r="AM142" i="3"/>
  <c r="AI943" i="3"/>
  <c r="AP178" i="3"/>
  <c r="AK949" i="3"/>
  <c r="AG741" i="4"/>
  <c r="AG782" i="4" s="1"/>
  <c r="AG78" i="4"/>
  <c r="AK757" i="3"/>
  <c r="AJ1377" i="3"/>
  <c r="AK1377" i="3"/>
  <c r="AL1222" i="3"/>
  <c r="AK348" i="3"/>
  <c r="Q350" i="2"/>
  <c r="AK299" i="3"/>
  <c r="AL157" i="3"/>
  <c r="AM157" i="3" s="1"/>
  <c r="AL937" i="3"/>
  <c r="AJ937" i="3"/>
  <c r="AL571" i="3"/>
  <c r="AK1341" i="3"/>
  <c r="AM691" i="3"/>
  <c r="AN691" i="3"/>
  <c r="AL73" i="3"/>
  <c r="AJ510" i="3"/>
  <c r="AI580" i="3"/>
  <c r="AI1066" i="3"/>
  <c r="AJ1041" i="3"/>
  <c r="AI870" i="3"/>
  <c r="AL551" i="3"/>
  <c r="AI1029" i="3"/>
  <c r="AK1372" i="3"/>
  <c r="AL114" i="3"/>
  <c r="AL359" i="3"/>
  <c r="AM1220" i="3"/>
  <c r="AJ519" i="3"/>
  <c r="V72" i="4"/>
  <c r="AI900" i="3"/>
  <c r="AJ900" i="3"/>
  <c r="AL900" i="3" s="1"/>
  <c r="AK900" i="3"/>
  <c r="AK1097" i="3"/>
  <c r="AK953" i="3"/>
  <c r="AI1090" i="3"/>
  <c r="R72" i="4"/>
  <c r="AO924" i="3"/>
  <c r="V898" i="4"/>
  <c r="V903" i="4"/>
  <c r="S72" i="4"/>
  <c r="AJ609" i="3"/>
  <c r="AK526" i="3"/>
  <c r="Q90" i="8"/>
  <c r="AC72" i="4"/>
  <c r="AK1025" i="3"/>
  <c r="AK466" i="3"/>
  <c r="AO1240" i="3"/>
  <c r="AL1328" i="3"/>
  <c r="AK1328" i="3"/>
  <c r="V417" i="4"/>
  <c r="AI171" i="3"/>
  <c r="X741" i="4"/>
  <c r="X782" i="4" s="1"/>
  <c r="X78" i="4"/>
  <c r="AJ1388" i="3"/>
  <c r="AI830" i="3"/>
  <c r="AM164" i="3"/>
  <c r="AK123" i="3"/>
  <c r="AO898" i="3"/>
  <c r="AJ1267" i="3"/>
  <c r="AM415" i="3"/>
  <c r="AM905" i="3"/>
  <c r="AN905" i="3"/>
  <c r="AO905" i="3"/>
  <c r="AP1240" i="3"/>
  <c r="AN628" i="3"/>
  <c r="AJ364" i="3"/>
  <c r="AO774" i="3"/>
  <c r="AL456" i="3"/>
  <c r="AF72" i="4"/>
  <c r="AL500" i="3"/>
  <c r="S1171" i="4"/>
  <c r="AJ517" i="3"/>
  <c r="AN1303" i="3"/>
  <c r="AC741" i="4"/>
  <c r="AC782" i="4" s="1"/>
  <c r="AK917" i="3"/>
  <c r="AI272" i="3"/>
  <c r="AI866" i="3"/>
  <c r="AL61" i="3"/>
  <c r="AK61" i="3"/>
  <c r="AJ740" i="3"/>
  <c r="AK740" i="3"/>
  <c r="AL740" i="3" s="1"/>
  <c r="AO164" i="3"/>
  <c r="AL947" i="3"/>
  <c r="AI1044" i="3"/>
  <c r="AJ948" i="3"/>
  <c r="AM660" i="3"/>
  <c r="AL1174" i="3"/>
  <c r="AK1030" i="3"/>
  <c r="X72" i="4"/>
  <c r="AE417" i="4"/>
  <c r="AC146" i="4"/>
  <c r="AK1340" i="3"/>
  <c r="S1166" i="4"/>
  <c r="AD741" i="4"/>
  <c r="AD782" i="4" s="1"/>
  <c r="AL448" i="3"/>
  <c r="AK191" i="3"/>
  <c r="AL191" i="3"/>
  <c r="AL630" i="3"/>
  <c r="AA898" i="4"/>
  <c r="AA900" i="4"/>
  <c r="AI100" i="3"/>
  <c r="AN331" i="3"/>
  <c r="AJ375" i="3"/>
  <c r="Z241" i="2"/>
  <c r="Y139" i="2"/>
  <c r="AK255" i="3"/>
  <c r="AL255" i="3"/>
  <c r="AM255" i="3" s="1"/>
  <c r="AM1165" i="3"/>
  <c r="AL688" i="3"/>
  <c r="AK688" i="3"/>
  <c r="AI1317" i="3"/>
  <c r="AL417" i="3"/>
  <c r="L130" i="2"/>
  <c r="AN660" i="3"/>
  <c r="AK1095" i="3"/>
  <c r="AK759" i="3"/>
  <c r="AL759" i="3"/>
  <c r="Y72" i="4"/>
  <c r="AM252" i="3"/>
  <c r="AK289" i="3"/>
  <c r="AJ698" i="3"/>
  <c r="AK698" i="3" s="1"/>
  <c r="AK1214" i="3"/>
  <c r="AJ372" i="3"/>
  <c r="AC417" i="4"/>
  <c r="AM456" i="3"/>
  <c r="AP377" i="3"/>
  <c r="AQ377" i="3"/>
  <c r="AK826" i="3"/>
  <c r="S1161" i="4"/>
  <c r="AI52" i="3"/>
  <c r="AJ655" i="3"/>
  <c r="AJ462" i="3"/>
  <c r="AE741" i="4"/>
  <c r="AE792" i="4" s="1"/>
  <c r="AK1027" i="3"/>
  <c r="AJ726" i="3"/>
  <c r="AJ1035" i="3"/>
  <c r="AL1188" i="3"/>
  <c r="AM1188" i="3" s="1"/>
  <c r="AL1049" i="3"/>
  <c r="AL1025" i="3"/>
  <c r="O382" i="2"/>
  <c r="M89" i="4"/>
  <c r="M86" i="4"/>
  <c r="AM975" i="3"/>
  <c r="AN975" i="3" s="1"/>
  <c r="AK975" i="3"/>
  <c r="AB1232" i="4"/>
  <c r="AA682" i="4"/>
  <c r="AJ891" i="3"/>
  <c r="AM688" i="3"/>
  <c r="AJ1030" i="3"/>
  <c r="AL1102" i="3"/>
  <c r="AP437" i="3"/>
  <c r="AO942" i="3"/>
  <c r="AI1018" i="3"/>
  <c r="AJ1226" i="3"/>
  <c r="Z72" i="4"/>
  <c r="AI345" i="3"/>
  <c r="V302" i="2" l="1"/>
  <c r="V306" i="2" s="1"/>
  <c r="K144" i="2"/>
  <c r="W331" i="2"/>
  <c r="W332" i="2" s="1"/>
  <c r="W333" i="2" s="1"/>
  <c r="X227" i="2"/>
  <c r="K227" i="2"/>
  <c r="X329" i="2"/>
  <c r="Z348" i="2"/>
  <c r="AA11" i="2"/>
  <c r="W411" i="4"/>
  <c r="T413" i="4"/>
  <c r="Y11" i="2"/>
  <c r="AF348" i="2"/>
  <c r="AH348" i="2"/>
  <c r="T137" i="4"/>
  <c r="V69" i="2" s="1"/>
  <c r="T143" i="4"/>
  <c r="T144" i="4" s="1"/>
  <c r="X348" i="2"/>
  <c r="AD11" i="2"/>
  <c r="R1142" i="4"/>
  <c r="R1136" i="4" s="1"/>
  <c r="R1137" i="4" s="1"/>
  <c r="R916" i="4"/>
  <c r="R918" i="4" s="1"/>
  <c r="R923" i="4" s="1"/>
  <c r="W1142" i="4"/>
  <c r="W1136" i="4" s="1"/>
  <c r="W1137" i="4" s="1"/>
  <c r="W916" i="4"/>
  <c r="W918" i="4" s="1"/>
  <c r="W1138" i="4" s="1"/>
  <c r="V1142" i="4"/>
  <c r="V1136" i="4" s="1"/>
  <c r="V1137" i="4" s="1"/>
  <c r="V916" i="4"/>
  <c r="V918" i="4" s="1"/>
  <c r="V1138" i="4" s="1"/>
  <c r="AE916" i="4"/>
  <c r="AE918" i="4" s="1"/>
  <c r="AE1138" i="4" s="1"/>
  <c r="AE1142" i="4"/>
  <c r="AE1136" i="4" s="1"/>
  <c r="AE1137" i="4" s="1"/>
  <c r="AF918" i="4"/>
  <c r="AF1138" i="4" s="1"/>
  <c r="AC916" i="4"/>
  <c r="AC918" i="4" s="1"/>
  <c r="AC1138" i="4" s="1"/>
  <c r="AC1142" i="4"/>
  <c r="AC1136" i="4" s="1"/>
  <c r="AC1137" i="4" s="1"/>
  <c r="Y916" i="4"/>
  <c r="Y918" i="4" s="1"/>
  <c r="Y1138" i="4" s="1"/>
  <c r="Y1142" i="4"/>
  <c r="Y1136" i="4" s="1"/>
  <c r="Y1137" i="4" s="1"/>
  <c r="AD916" i="4"/>
  <c r="AD918" i="4" s="1"/>
  <c r="AD1138" i="4" s="1"/>
  <c r="AD1142" i="4"/>
  <c r="AD1136" i="4" s="1"/>
  <c r="AD1137" i="4" s="1"/>
  <c r="AG1142" i="4"/>
  <c r="AG1136" i="4" s="1"/>
  <c r="AG1137" i="4" s="1"/>
  <c r="AG916" i="4"/>
  <c r="AG918" i="4" s="1"/>
  <c r="AG1138" i="4" s="1"/>
  <c r="S1142" i="4"/>
  <c r="S1136" i="4" s="1"/>
  <c r="S1137" i="4" s="1"/>
  <c r="S916" i="4"/>
  <c r="S918" i="4" s="1"/>
  <c r="S923" i="4" s="1"/>
  <c r="U1142" i="4"/>
  <c r="U1136" i="4" s="1"/>
  <c r="U1137" i="4" s="1"/>
  <c r="U916" i="4"/>
  <c r="U918" i="4" s="1"/>
  <c r="U1138" i="4" s="1"/>
  <c r="AB916" i="4"/>
  <c r="AB918" i="4" s="1"/>
  <c r="AB1142" i="4"/>
  <c r="AB1136" i="4" s="1"/>
  <c r="AB1137" i="4" s="1"/>
  <c r="Z1142" i="4"/>
  <c r="Z1136" i="4" s="1"/>
  <c r="Z1137" i="4" s="1"/>
  <c r="Z916" i="4"/>
  <c r="Z918" i="4" s="1"/>
  <c r="Z1138" i="4" s="1"/>
  <c r="X1142" i="4"/>
  <c r="X1136" i="4" s="1"/>
  <c r="X1137" i="4" s="1"/>
  <c r="X916" i="4"/>
  <c r="X918" i="4" s="1"/>
  <c r="X1138" i="4" s="1"/>
  <c r="AA916" i="4"/>
  <c r="AA918" i="4" s="1"/>
  <c r="AA1138" i="4" s="1"/>
  <c r="AA1142" i="4"/>
  <c r="AA1136" i="4" s="1"/>
  <c r="AA1137" i="4" s="1"/>
  <c r="AG11" i="2"/>
  <c r="T916" i="4"/>
  <c r="T918" i="4" s="1"/>
  <c r="T1138" i="4" s="1"/>
  <c r="AB348" i="2"/>
  <c r="W31" i="10"/>
  <c r="AF1142" i="4"/>
  <c r="AF1136" i="4" s="1"/>
  <c r="AF1137" i="4" s="1"/>
  <c r="AI348" i="2"/>
  <c r="S148" i="4"/>
  <c r="S150" i="4" s="1"/>
  <c r="U76" i="2" s="1"/>
  <c r="AC11" i="2"/>
  <c r="AE11" i="2"/>
  <c r="AA100" i="2"/>
  <c r="AB100" i="2" s="1"/>
  <c r="U75" i="2"/>
  <c r="V68" i="2"/>
  <c r="AG589" i="4"/>
  <c r="AG648" i="4" s="1"/>
  <c r="AG702" i="4" s="1"/>
  <c r="V117" i="10"/>
  <c r="V113" i="4"/>
  <c r="V115" i="10"/>
  <c r="V111" i="4"/>
  <c r="S184" i="4"/>
  <c r="S218" i="4" s="1"/>
  <c r="W116" i="10"/>
  <c r="W112" i="4"/>
  <c r="AD18" i="10"/>
  <c r="AD66" i="4"/>
  <c r="AD75" i="4" s="1"/>
  <c r="V111" i="10"/>
  <c r="V107" i="4"/>
  <c r="Y118" i="10"/>
  <c r="Y114" i="4"/>
  <c r="AC113" i="10"/>
  <c r="AC109" i="4"/>
  <c r="U117" i="4"/>
  <c r="R148" i="4"/>
  <c r="R150" i="4" s="1"/>
  <c r="R186" i="4" s="1"/>
  <c r="V141" i="4"/>
  <c r="P131" i="2"/>
  <c r="V70" i="2"/>
  <c r="AE635" i="4"/>
  <c r="X589" i="4"/>
  <c r="X648" i="4" s="1"/>
  <c r="X702" i="4" s="1"/>
  <c r="R185" i="4"/>
  <c r="S1235" i="4"/>
  <c r="T70" i="2"/>
  <c r="M131" i="2"/>
  <c r="N131" i="2"/>
  <c r="T147" i="4"/>
  <c r="T148" i="4" s="1"/>
  <c r="T150" i="4" s="1"/>
  <c r="T186" i="4" s="1"/>
  <c r="L180" i="4"/>
  <c r="L181" i="4"/>
  <c r="X152" i="4"/>
  <c r="Y152" i="4" s="1"/>
  <c r="Z152" i="4" s="1"/>
  <c r="N69" i="2"/>
  <c r="L184" i="4"/>
  <c r="L138" i="4"/>
  <c r="AG772" i="4"/>
  <c r="T156" i="4"/>
  <c r="V78" i="2" s="1"/>
  <c r="AF772" i="4"/>
  <c r="T415" i="4"/>
  <c r="N297" i="2"/>
  <c r="M184" i="4"/>
  <c r="M222" i="4" s="1"/>
  <c r="M944" i="4" s="1"/>
  <c r="O297" i="2"/>
  <c r="V772" i="4"/>
  <c r="AB772" i="4"/>
  <c r="M143" i="4"/>
  <c r="K184" i="4"/>
  <c r="K221" i="4" s="1"/>
  <c r="M180" i="4"/>
  <c r="V73" i="2"/>
  <c r="X772" i="4"/>
  <c r="V77" i="2"/>
  <c r="V792" i="4"/>
  <c r="T82" i="2"/>
  <c r="T123" i="2" s="1"/>
  <c r="T93" i="4"/>
  <c r="T178" i="4" s="1"/>
  <c r="AE772" i="4"/>
  <c r="U155" i="4"/>
  <c r="V155" i="4" s="1"/>
  <c r="J87" i="4" a="1"/>
  <c r="K87" i="4" s="1"/>
  <c r="AM217" i="3"/>
  <c r="AM826" i="3"/>
  <c r="AO826" i="3" s="1"/>
  <c r="AP826" i="3" s="1"/>
  <c r="AL562" i="3"/>
  <c r="AM562" i="3"/>
  <c r="AM1319" i="3"/>
  <c r="AN735" i="3"/>
  <c r="AN213" i="3"/>
  <c r="AM550" i="3"/>
  <c r="AP883" i="3"/>
  <c r="AO1221" i="3"/>
  <c r="AQ1006" i="3"/>
  <c r="AR1006" i="3" s="1"/>
  <c r="AM1010" i="3"/>
  <c r="AL887" i="3"/>
  <c r="O198" i="4"/>
  <c r="O485" i="4"/>
  <c r="O502" i="4" s="1"/>
  <c r="AL1391" i="3"/>
  <c r="AM1391" i="3"/>
  <c r="AO798" i="3"/>
  <c r="AK895" i="3"/>
  <c r="AJ958" i="3"/>
  <c r="AM894" i="3"/>
  <c r="AJ398" i="3"/>
  <c r="AI1445" i="3"/>
  <c r="AM343" i="3"/>
  <c r="AJ1430" i="3"/>
  <c r="U167" i="4" s="1"/>
  <c r="AM992" i="3"/>
  <c r="AN992" i="3"/>
  <c r="AL992" i="3"/>
  <c r="AK992" i="3"/>
  <c r="AL940" i="3"/>
  <c r="AN481" i="3"/>
  <c r="AM755" i="3"/>
  <c r="AL755" i="3"/>
  <c r="AL153" i="3"/>
  <c r="AO907" i="3"/>
  <c r="AK865" i="3"/>
  <c r="AL865" i="3" s="1"/>
  <c r="AK553" i="3"/>
  <c r="AL168" i="3"/>
  <c r="U412" i="4"/>
  <c r="U418" i="4" s="1"/>
  <c r="T33" i="10"/>
  <c r="U32" i="10"/>
  <c r="V32" i="10"/>
  <c r="AM874" i="3"/>
  <c r="AN874" i="3"/>
  <c r="AO874" i="3"/>
  <c r="AM1315" i="3"/>
  <c r="AN1315" i="3" s="1"/>
  <c r="AO850" i="3"/>
  <c r="AN584" i="3"/>
  <c r="AL111" i="3"/>
  <c r="AK292" i="3"/>
  <c r="AL469" i="3"/>
  <c r="AL696" i="3"/>
  <c r="AJ1186" i="3"/>
  <c r="AK926" i="3"/>
  <c r="AO837" i="3"/>
  <c r="AN837" i="3"/>
  <c r="AM837" i="3"/>
  <c r="AK722" i="3"/>
  <c r="AL722" i="3"/>
  <c r="AM722" i="3"/>
  <c r="AN722" i="3" s="1"/>
  <c r="AM149" i="3"/>
  <c r="AM424" i="3"/>
  <c r="AK357" i="3"/>
  <c r="AL357" i="3"/>
  <c r="AM427" i="3"/>
  <c r="AN427" i="3"/>
  <c r="AK704" i="3"/>
  <c r="AL704" i="3"/>
  <c r="AK1334" i="3"/>
  <c r="AL1334" i="3"/>
  <c r="AL1091" i="3"/>
  <c r="AN1091" i="3"/>
  <c r="AM1091" i="3"/>
  <c r="AM1056" i="3"/>
  <c r="AJ257" i="3"/>
  <c r="AL257" i="3"/>
  <c r="AM257" i="3" s="1"/>
  <c r="AN257" i="3" s="1"/>
  <c r="AK257" i="3"/>
  <c r="AM1136" i="3"/>
  <c r="AL1136" i="3"/>
  <c r="AJ704" i="3"/>
  <c r="AL301" i="3"/>
  <c r="AK322" i="3"/>
  <c r="AL322" i="3"/>
  <c r="AV327" i="3"/>
  <c r="AL1311" i="3"/>
  <c r="AL64" i="3"/>
  <c r="AM64" i="3"/>
  <c r="AN64" i="3" s="1"/>
  <c r="AN343" i="3"/>
  <c r="AN464" i="3"/>
  <c r="AN1272" i="3"/>
  <c r="AL1272" i="3"/>
  <c r="AM1272" i="3"/>
  <c r="AO1272" i="3" s="1"/>
  <c r="AM1025" i="3"/>
  <c r="AL912" i="3"/>
  <c r="AN629" i="3"/>
  <c r="AM960" i="3"/>
  <c r="AK903" i="3"/>
  <c r="AM840" i="3"/>
  <c r="AK861" i="3"/>
  <c r="AL1294" i="3"/>
  <c r="AK1294" i="3"/>
  <c r="AJ880" i="3"/>
  <c r="AK442" i="3"/>
  <c r="AL442" i="3"/>
  <c r="AL1163" i="3"/>
  <c r="AN304" i="3"/>
  <c r="AM304" i="3"/>
  <c r="AM224" i="3"/>
  <c r="AK1099" i="3"/>
  <c r="AJ830" i="3"/>
  <c r="AL140" i="3"/>
  <c r="AM1076" i="3"/>
  <c r="AL1076" i="3"/>
  <c r="AK340" i="3"/>
  <c r="AL585" i="3"/>
  <c r="AK794" i="3"/>
  <c r="AM520" i="3"/>
  <c r="AN520" i="3" s="1"/>
  <c r="AO520" i="3" s="1"/>
  <c r="AK663" i="3"/>
  <c r="AJ663" i="3"/>
  <c r="AN1147" i="3"/>
  <c r="AL795" i="3"/>
  <c r="AK938" i="3"/>
  <c r="AK326" i="3"/>
  <c r="AJ297" i="3"/>
  <c r="AN564" i="3"/>
  <c r="AO564" i="3"/>
  <c r="AP564" i="3"/>
  <c r="AO975" i="3"/>
  <c r="AM500" i="3"/>
  <c r="AM1277" i="3"/>
  <c r="AT721" i="3"/>
  <c r="AU721" i="3" s="1"/>
  <c r="AJ126" i="3"/>
  <c r="AJ801" i="3"/>
  <c r="AN430" i="3"/>
  <c r="AT113" i="3"/>
  <c r="AL753" i="3"/>
  <c r="AM753" i="3" s="1"/>
  <c r="AO1178" i="3"/>
  <c r="AL129" i="3"/>
  <c r="AM554" i="3"/>
  <c r="AL554" i="3"/>
  <c r="AK201" i="3"/>
  <c r="AK1118" i="3"/>
  <c r="AK976" i="3"/>
  <c r="AP320" i="3"/>
  <c r="AM1125" i="3"/>
  <c r="AL561" i="3"/>
  <c r="AM561" i="3" s="1"/>
  <c r="AL725" i="3"/>
  <c r="AK1067" i="3"/>
  <c r="AJ1053" i="3"/>
  <c r="AJ134" i="3"/>
  <c r="AK668" i="3"/>
  <c r="AO928" i="3"/>
  <c r="AN928" i="3"/>
  <c r="AM928" i="3"/>
  <c r="AL1144" i="3"/>
  <c r="AM1144" i="3" s="1"/>
  <c r="AJ529" i="3"/>
  <c r="AN1211" i="3"/>
  <c r="AO747" i="3"/>
  <c r="AN747" i="3"/>
  <c r="AO578" i="3"/>
  <c r="AO669" i="3"/>
  <c r="AL371" i="3"/>
  <c r="AL881" i="3"/>
  <c r="AN881" i="3"/>
  <c r="AK881" i="3"/>
  <c r="AM881" i="3" s="1"/>
  <c r="AO10" i="3"/>
  <c r="AR10" i="3" s="1"/>
  <c r="AQ10" i="3"/>
  <c r="AP10" i="3"/>
  <c r="AK967" i="3"/>
  <c r="AL967" i="3"/>
  <c r="AM967" i="3" s="1"/>
  <c r="AJ1255" i="3"/>
  <c r="AL1255" i="3"/>
  <c r="AK1255" i="3"/>
  <c r="AQ429" i="3"/>
  <c r="AN879" i="3"/>
  <c r="AM683" i="3"/>
  <c r="AN683" i="3" s="1"/>
  <c r="AN255" i="3"/>
  <c r="AE12" i="2"/>
  <c r="AE360" i="2"/>
  <c r="AM1222" i="3"/>
  <c r="AN1222" i="3" s="1"/>
  <c r="AM193" i="3"/>
  <c r="AL193" i="3"/>
  <c r="AM516" i="3"/>
  <c r="AN550" i="3"/>
  <c r="AI1430" i="3"/>
  <c r="T167" i="4" s="1"/>
  <c r="AK882" i="3"/>
  <c r="V221" i="2"/>
  <c r="AL923" i="3"/>
  <c r="AR490" i="3"/>
  <c r="AN826" i="3"/>
  <c r="AL826" i="3"/>
  <c r="AK1212" i="3"/>
  <c r="AO1363" i="3"/>
  <c r="AN418" i="3"/>
  <c r="AJ1074" i="3"/>
  <c r="AK1074" i="3" s="1"/>
  <c r="AL1074" i="3" s="1"/>
  <c r="AM248" i="3"/>
  <c r="AO248" i="3" s="1"/>
  <c r="AN248" i="3"/>
  <c r="AK1381" i="3"/>
  <c r="AM153" i="3"/>
  <c r="AN153" i="3" s="1"/>
  <c r="AK267" i="3"/>
  <c r="AL267" i="3" s="1"/>
  <c r="AM267" i="3" s="1"/>
  <c r="AL185" i="3"/>
  <c r="AK1087" i="3"/>
  <c r="AL27" i="3"/>
  <c r="AM27" i="3" s="1"/>
  <c r="AN27" i="3"/>
  <c r="AO27" i="3" s="1"/>
  <c r="AP27" i="3"/>
  <c r="AK375" i="3"/>
  <c r="AQ800" i="3"/>
  <c r="AN693" i="3"/>
  <c r="AJ467" i="3"/>
  <c r="AK1171" i="3"/>
  <c r="AL1171" i="3"/>
  <c r="AK185" i="3"/>
  <c r="AP942" i="3"/>
  <c r="AK726" i="3"/>
  <c r="AM996" i="3"/>
  <c r="AL996" i="3"/>
  <c r="AN996" i="3"/>
  <c r="AR1384" i="3"/>
  <c r="AL134" i="3"/>
  <c r="AK134" i="3"/>
  <c r="AM566" i="3"/>
  <c r="AL566" i="3"/>
  <c r="AL925" i="3"/>
  <c r="AL1304" i="3"/>
  <c r="AL673" i="3"/>
  <c r="AK673" i="3"/>
  <c r="AU842" i="3"/>
  <c r="AV842" i="3" s="1"/>
  <c r="AW842" i="3" s="1"/>
  <c r="AX842" i="3" s="1"/>
  <c r="AJ1203" i="3"/>
  <c r="AK1203" i="3"/>
  <c r="AO735" i="3"/>
  <c r="AP735" i="3" s="1"/>
  <c r="AM735" i="3"/>
  <c r="K190" i="2"/>
  <c r="X190" i="2"/>
  <c r="X145" i="2" s="1"/>
  <c r="W188" i="2"/>
  <c r="K188" i="2" s="1"/>
  <c r="W145" i="2"/>
  <c r="K145" i="2" s="1"/>
  <c r="AG744" i="4"/>
  <c r="AG836" i="4" s="1"/>
  <c r="AG756" i="4"/>
  <c r="AG743" i="4"/>
  <c r="AG828" i="4"/>
  <c r="AG792" i="4"/>
  <c r="AM574" i="3"/>
  <c r="AM26" i="3"/>
  <c r="AK107" i="3"/>
  <c r="AL852" i="3"/>
  <c r="AK852" i="3"/>
  <c r="AM288" i="3"/>
  <c r="AN288" i="3"/>
  <c r="AJ245" i="3"/>
  <c r="AL245" i="3" s="1"/>
  <c r="AK245" i="3"/>
  <c r="AM245" i="3" s="1"/>
  <c r="AL1290" i="3"/>
  <c r="AM1290" i="3"/>
  <c r="AK838" i="3"/>
  <c r="AJ838" i="3"/>
  <c r="AL838" i="3"/>
  <c r="AM838" i="3" s="1"/>
  <c r="AO498" i="3"/>
  <c r="AN280" i="3"/>
  <c r="AM1027" i="3"/>
  <c r="AJ362" i="3"/>
  <c r="AQ565" i="3"/>
  <c r="AP565" i="3"/>
  <c r="AR565" i="3" s="1"/>
  <c r="AR1064" i="3"/>
  <c r="AO1064" i="3"/>
  <c r="AP1064" i="3" s="1"/>
  <c r="AQ1064" i="3"/>
  <c r="AK495" i="3"/>
  <c r="AL495" i="3"/>
  <c r="AM495" i="3"/>
  <c r="AP1168" i="3"/>
  <c r="AM764" i="3"/>
  <c r="AK764" i="3"/>
  <c r="AM311" i="3"/>
  <c r="AL311" i="3"/>
  <c r="AK1196" i="3"/>
  <c r="AL19" i="3"/>
  <c r="S508" i="4"/>
  <c r="S418" i="4"/>
  <c r="S420" i="4"/>
  <c r="S516" i="4" s="1"/>
  <c r="S419" i="4"/>
  <c r="Z189" i="2"/>
  <c r="AK1409" i="3"/>
  <c r="AL378" i="3"/>
  <c r="AM378" i="3"/>
  <c r="AQ1240" i="3"/>
  <c r="AR1240" i="3" s="1"/>
  <c r="AL819" i="3"/>
  <c r="R419" i="4"/>
  <c r="R508" i="4"/>
  <c r="R420" i="4"/>
  <c r="R516" i="4" s="1"/>
  <c r="AO1366" i="3"/>
  <c r="AP577" i="3"/>
  <c r="AL375" i="3"/>
  <c r="AL372" i="3"/>
  <c r="AN417" i="3"/>
  <c r="AO417" i="3" s="1"/>
  <c r="AM417" i="3"/>
  <c r="AJ866" i="3"/>
  <c r="AK866" i="3"/>
  <c r="AL866" i="3"/>
  <c r="AM866" i="3"/>
  <c r="AM114" i="3"/>
  <c r="AL299" i="3"/>
  <c r="AL598" i="3"/>
  <c r="AP1331" i="3"/>
  <c r="AQ1331" i="3"/>
  <c r="AK782" i="3"/>
  <c r="AK572" i="3"/>
  <c r="AL572" i="3"/>
  <c r="AK530" i="3"/>
  <c r="AL530" i="3"/>
  <c r="AM530" i="3"/>
  <c r="AK220" i="3"/>
  <c r="AL220" i="3"/>
  <c r="AM501" i="3"/>
  <c r="AN1188" i="3"/>
  <c r="AM1259" i="3"/>
  <c r="AL1259" i="3"/>
  <c r="AN1350" i="3"/>
  <c r="AM847" i="3"/>
  <c r="AL847" i="3"/>
  <c r="AJ1279" i="3"/>
  <c r="AK1279" i="3"/>
  <c r="AM474" i="3"/>
  <c r="AL737" i="3"/>
  <c r="AJ737" i="3"/>
  <c r="AK737" i="3"/>
  <c r="AK1186" i="3"/>
  <c r="AM578" i="3"/>
  <c r="AM823" i="3"/>
  <c r="AK1379" i="3"/>
  <c r="AM972" i="3"/>
  <c r="AJ972" i="3"/>
  <c r="AK972" i="3"/>
  <c r="AL972" i="3"/>
  <c r="AN893" i="3"/>
  <c r="AM461" i="3"/>
  <c r="AO827" i="3"/>
  <c r="AM827" i="3"/>
  <c r="AN827" i="3" s="1"/>
  <c r="AK1361" i="3"/>
  <c r="AL1361" i="3" s="1"/>
  <c r="AK235" i="3"/>
  <c r="AL235" i="3"/>
  <c r="AN1236" i="3"/>
  <c r="T75" i="4"/>
  <c r="T58" i="4"/>
  <c r="T74" i="4"/>
  <c r="T513" i="4"/>
  <c r="AL1340" i="3"/>
  <c r="AM1340" i="3"/>
  <c r="AP905" i="3"/>
  <c r="Z360" i="2"/>
  <c r="Z12" i="2"/>
  <c r="AN161" i="3"/>
  <c r="AL1204" i="3"/>
  <c r="AO216" i="3"/>
  <c r="AO893" i="3"/>
  <c r="AB420" i="4"/>
  <c r="AB516" i="4" s="1"/>
  <c r="AB508" i="4"/>
  <c r="AN626" i="3"/>
  <c r="AM414" i="3"/>
  <c r="AK166" i="3"/>
  <c r="AL764" i="3"/>
  <c r="AN764" i="3" s="1"/>
  <c r="AL1380" i="3"/>
  <c r="AN546" i="3"/>
  <c r="AL546" i="3"/>
  <c r="AM546" i="3"/>
  <c r="AM518" i="3"/>
  <c r="AN518" i="3"/>
  <c r="AO518" i="3" s="1"/>
  <c r="AL433" i="3"/>
  <c r="AK433" i="3"/>
  <c r="AN578" i="3"/>
  <c r="AP578" i="3" s="1"/>
  <c r="D150" i="6"/>
  <c r="D157" i="6" s="1"/>
  <c r="D162" i="6" s="1"/>
  <c r="P130" i="6"/>
  <c r="P150" i="6" s="1"/>
  <c r="P157" i="6" s="1"/>
  <c r="P162" i="6" s="1"/>
  <c r="P165" i="6" s="1"/>
  <c r="AK169" i="3"/>
  <c r="AM813" i="3"/>
  <c r="AN813" i="3" s="1"/>
  <c r="AO1270" i="3"/>
  <c r="AL1283" i="3"/>
  <c r="AK1218" i="3"/>
  <c r="AU339" i="3"/>
  <c r="AV339" i="3" s="1"/>
  <c r="AN1174" i="3"/>
  <c r="AO1174" i="3" s="1"/>
  <c r="AJ991" i="3"/>
  <c r="AM285" i="3"/>
  <c r="AB908" i="4"/>
  <c r="AB911" i="4" s="1"/>
  <c r="AB1183" i="4" s="1"/>
  <c r="AB206" i="4"/>
  <c r="AB1129" i="4"/>
  <c r="AB1131" i="4" s="1"/>
  <c r="AB1125" i="4"/>
  <c r="AB1127" i="4" s="1"/>
  <c r="AL460" i="3"/>
  <c r="AM219" i="3"/>
  <c r="AP421" i="3"/>
  <c r="AM621" i="3"/>
  <c r="AJ1387" i="3"/>
  <c r="AK1352" i="3"/>
  <c r="AL1352" i="3"/>
  <c r="AN677" i="3"/>
  <c r="AO677" i="3"/>
  <c r="K199" i="2"/>
  <c r="X199" i="2"/>
  <c r="Y199" i="2" s="1"/>
  <c r="Z199" i="2" s="1"/>
  <c r="AA199" i="2" s="1"/>
  <c r="AB199" i="2" s="1"/>
  <c r="AC199" i="2" s="1"/>
  <c r="AD199" i="2" s="1"/>
  <c r="AE199" i="2" s="1"/>
  <c r="AF199" i="2" s="1"/>
  <c r="AG199" i="2" s="1"/>
  <c r="AH199" i="2" s="1"/>
  <c r="AI199" i="2" s="1"/>
  <c r="W197" i="2"/>
  <c r="W156" i="2" s="1"/>
  <c r="K156" i="2" s="1"/>
  <c r="AS681" i="3"/>
  <c r="AT681" i="3" s="1"/>
  <c r="AM1057" i="3"/>
  <c r="AL1057" i="3"/>
  <c r="AM7" i="3"/>
  <c r="AN170" i="3"/>
  <c r="AP266" i="3"/>
  <c r="W77" i="2"/>
  <c r="V153" i="4"/>
  <c r="W153" i="4" s="1"/>
  <c r="AS1046" i="3"/>
  <c r="AM480" i="3"/>
  <c r="AN480" i="3"/>
  <c r="AM355" i="3"/>
  <c r="AN355" i="3"/>
  <c r="AK1267" i="3"/>
  <c r="AL1341" i="3"/>
  <c r="AO215" i="3"/>
  <c r="AM215" i="3"/>
  <c r="AN215" i="3" s="1"/>
  <c r="AL944" i="3"/>
  <c r="O641" i="4"/>
  <c r="O658" i="4" s="1"/>
  <c r="O199" i="4"/>
  <c r="AP1258" i="3"/>
  <c r="AN1258" i="3"/>
  <c r="AO1258" i="3"/>
  <c r="AN284" i="3"/>
  <c r="AK525" i="3"/>
  <c r="AN890" i="3"/>
  <c r="AC635" i="4"/>
  <c r="AC589" i="4"/>
  <c r="AC648" i="4" s="1"/>
  <c r="AM904" i="3"/>
  <c r="Y908" i="4"/>
  <c r="Y911" i="4" s="1"/>
  <c r="Y1183" i="4" s="1"/>
  <c r="Y206" i="4"/>
  <c r="Y1125" i="4"/>
  <c r="Y1127" i="4" s="1"/>
  <c r="Y1129" i="4"/>
  <c r="Y1131" i="4" s="1"/>
  <c r="AP774" i="3"/>
  <c r="AK505" i="3"/>
  <c r="AK1150" i="3"/>
  <c r="AM77" i="3"/>
  <c r="AL77" i="3"/>
  <c r="AM1110" i="3"/>
  <c r="AM711" i="3"/>
  <c r="AN711" i="3"/>
  <c r="AI1392" i="3"/>
  <c r="AM1128" i="3"/>
  <c r="AN1128" i="3" s="1"/>
  <c r="AM1122" i="3"/>
  <c r="AN1122" i="3" s="1"/>
  <c r="AN1249" i="3"/>
  <c r="AM1249" i="3"/>
  <c r="AN921" i="3"/>
  <c r="AJ1090" i="3"/>
  <c r="AN1117" i="3"/>
  <c r="AK227" i="3"/>
  <c r="W251" i="2"/>
  <c r="V252" i="2"/>
  <c r="V154" i="2"/>
  <c r="AM293" i="3"/>
  <c r="AM559" i="3"/>
  <c r="AL855" i="3"/>
  <c r="Q218" i="4"/>
  <c r="Q220" i="4"/>
  <c r="Q222" i="4"/>
  <c r="Q219" i="4"/>
  <c r="Q221" i="4"/>
  <c r="AM867" i="3"/>
  <c r="AN867" i="3"/>
  <c r="AQ1083" i="3"/>
  <c r="AR1083" i="3" s="1"/>
  <c r="AL921" i="3"/>
  <c r="AK1116" i="3"/>
  <c r="AK403" i="3"/>
  <c r="AL403" i="3"/>
  <c r="AK131" i="3"/>
  <c r="AK223" i="3"/>
  <c r="AM756" i="3"/>
  <c r="AN756" i="3" s="1"/>
  <c r="AL756" i="3"/>
  <c r="AB360" i="2"/>
  <c r="AB12" i="2"/>
  <c r="AN760" i="3"/>
  <c r="AK190" i="3"/>
  <c r="AV884" i="3"/>
  <c r="AW884" i="3" s="1"/>
  <c r="AX884" i="3" s="1"/>
  <c r="AU884" i="3"/>
  <c r="AM990" i="3"/>
  <c r="AN990" i="3"/>
  <c r="Z756" i="4"/>
  <c r="Z743" i="4"/>
  <c r="Z744" i="4"/>
  <c r="Z836" i="4" s="1"/>
  <c r="AA840" i="4" s="1"/>
  <c r="Z828" i="4"/>
  <c r="Z782" i="4"/>
  <c r="Z772" i="4"/>
  <c r="AK103" i="3"/>
  <c r="S206" i="4"/>
  <c r="S908" i="4"/>
  <c r="S911" i="4" s="1"/>
  <c r="S1183" i="4" s="1"/>
  <c r="S1125" i="4"/>
  <c r="S1127" i="4" s="1"/>
  <c r="S1129" i="4"/>
  <c r="S1131" i="4" s="1"/>
  <c r="AN574" i="3"/>
  <c r="AL11" i="3"/>
  <c r="AM11" i="3"/>
  <c r="AK864" i="3"/>
  <c r="AP1263" i="3"/>
  <c r="AQ1263" i="3" s="1"/>
  <c r="AJ186" i="3"/>
  <c r="AM1328" i="3"/>
  <c r="AM359" i="3"/>
  <c r="AN359" i="3"/>
  <c r="AO157" i="3"/>
  <c r="AP157" i="3" s="1"/>
  <c r="AQ157" i="3"/>
  <c r="AL957" i="3"/>
  <c r="AJ1044" i="3"/>
  <c r="X744" i="4"/>
  <c r="X836" i="4" s="1"/>
  <c r="Y840" i="4" s="1"/>
  <c r="X743" i="4"/>
  <c r="X756" i="4"/>
  <c r="X828" i="4"/>
  <c r="X792" i="4"/>
  <c r="AL1372" i="3"/>
  <c r="AL949" i="3"/>
  <c r="AM949" i="3"/>
  <c r="AN949" i="3"/>
  <c r="AO949" i="3"/>
  <c r="AM154" i="3"/>
  <c r="AL154" i="3"/>
  <c r="AN640" i="3"/>
  <c r="AO640" i="3" s="1"/>
  <c r="AP640" i="3" s="1"/>
  <c r="AQ640" i="3"/>
  <c r="AR640" i="3" s="1"/>
  <c r="AM1286" i="3"/>
  <c r="AL906" i="3"/>
  <c r="AL766" i="3"/>
  <c r="AO161" i="3"/>
  <c r="AK117" i="3"/>
  <c r="AL117" i="3" s="1"/>
  <c r="AM213" i="3"/>
  <c r="AK1072" i="3"/>
  <c r="AN452" i="3"/>
  <c r="AL452" i="3"/>
  <c r="AL109" i="3"/>
  <c r="AL820" i="3"/>
  <c r="AM820" i="3"/>
  <c r="AN820" i="3" s="1"/>
  <c r="AQ758" i="3"/>
  <c r="AR758" i="3" s="1"/>
  <c r="AS758" i="3"/>
  <c r="AT758" i="3"/>
  <c r="AL196" i="3"/>
  <c r="AM196" i="3"/>
  <c r="AM1333" i="3"/>
  <c r="AL1156" i="3"/>
  <c r="AK1156" i="3"/>
  <c r="AK821" i="3"/>
  <c r="AI1446" i="3"/>
  <c r="AI1447" i="3" s="1"/>
  <c r="AJ877" i="3"/>
  <c r="AK1210" i="3"/>
  <c r="AL1296" i="3"/>
  <c r="AL961" i="3"/>
  <c r="AK961" i="3"/>
  <c r="AO805" i="3"/>
  <c r="AL119" i="3"/>
  <c r="AK119" i="3"/>
  <c r="AJ119" i="3"/>
  <c r="AN423" i="3"/>
  <c r="AP893" i="3"/>
  <c r="AQ893" i="3" s="1"/>
  <c r="AL892" i="3"/>
  <c r="AK892" i="3"/>
  <c r="AL428" i="3"/>
  <c r="AM428" i="3"/>
  <c r="AN428" i="3" s="1"/>
  <c r="AC206" i="4"/>
  <c r="AC908" i="4"/>
  <c r="AC911" i="4" s="1"/>
  <c r="AC1183" i="4" s="1"/>
  <c r="AC1129" i="4"/>
  <c r="AC1131" i="4" s="1"/>
  <c r="AC1125" i="4"/>
  <c r="AC1127" i="4" s="1"/>
  <c r="AR924" i="3"/>
  <c r="AN769" i="3"/>
  <c r="AL449" i="3"/>
  <c r="AL859" i="3"/>
  <c r="AM859" i="3"/>
  <c r="Z920" i="4"/>
  <c r="Z1108" i="4"/>
  <c r="Z903" i="4"/>
  <c r="AK858" i="3"/>
  <c r="AM452" i="3"/>
  <c r="AO323" i="3"/>
  <c r="AK488" i="3"/>
  <c r="AL453" i="3"/>
  <c r="AK453" i="3"/>
  <c r="AL1338" i="3"/>
  <c r="AN750" i="3"/>
  <c r="AQ99" i="3"/>
  <c r="AK499" i="3"/>
  <c r="AL499" i="3"/>
  <c r="AN577" i="3"/>
  <c r="AN74" i="3"/>
  <c r="AK1296" i="3"/>
  <c r="AK218" i="3"/>
  <c r="AL218" i="3" s="1"/>
  <c r="AM218" i="3"/>
  <c r="AJ218" i="3"/>
  <c r="AK1100" i="3"/>
  <c r="AN317" i="3"/>
  <c r="AK86" i="3"/>
  <c r="AL86" i="3"/>
  <c r="AM848" i="3"/>
  <c r="AL848" i="3"/>
  <c r="AL1319" i="3"/>
  <c r="AL411" i="3"/>
  <c r="AM684" i="3"/>
  <c r="AQ898" i="3"/>
  <c r="AJ705" i="3"/>
  <c r="AM743" i="3"/>
  <c r="AK521" i="3"/>
  <c r="AM42" i="3"/>
  <c r="AK1351" i="3"/>
  <c r="AK449" i="3"/>
  <c r="AK1133" i="3"/>
  <c r="AM1255" i="3"/>
  <c r="AK979" i="3"/>
  <c r="AL979" i="3" s="1"/>
  <c r="AJ979" i="3"/>
  <c r="AM979" i="3"/>
  <c r="AO979" i="3"/>
  <c r="AN979" i="3"/>
  <c r="AN1169" i="3"/>
  <c r="AM1169" i="3"/>
  <c r="AK1292" i="3"/>
  <c r="AL1292" i="3"/>
  <c r="AM1292" i="3" s="1"/>
  <c r="S338" i="2"/>
  <c r="AK607" i="3"/>
  <c r="AL364" i="3"/>
  <c r="AK364" i="3"/>
  <c r="AM792" i="3"/>
  <c r="AL217" i="3"/>
  <c r="AN217" i="3" s="1"/>
  <c r="AK139" i="3"/>
  <c r="AL139" i="3"/>
  <c r="AM841" i="3"/>
  <c r="O200" i="4"/>
  <c r="O805" i="4"/>
  <c r="O822" i="4" s="1"/>
  <c r="AQ535" i="3"/>
  <c r="AP535" i="3"/>
  <c r="AN1058" i="3"/>
  <c r="AO1058" i="3" s="1"/>
  <c r="AO342" i="3"/>
  <c r="AL772" i="3"/>
  <c r="AK77" i="3"/>
  <c r="AN1177" i="3"/>
  <c r="AK1041" i="3"/>
  <c r="AJ1364" i="3"/>
  <c r="AO883" i="3"/>
  <c r="AM39" i="3"/>
  <c r="AK329" i="3"/>
  <c r="AK811" i="3"/>
  <c r="AJ811" i="3"/>
  <c r="AG513" i="4"/>
  <c r="AG58" i="4"/>
  <c r="AP1366" i="3"/>
  <c r="AP975" i="3"/>
  <c r="AL298" i="3"/>
  <c r="AL1055" i="3"/>
  <c r="AK493" i="3"/>
  <c r="AM138" i="3"/>
  <c r="AL538" i="3"/>
  <c r="AM538" i="3"/>
  <c r="AS842" i="3"/>
  <c r="AT842" i="3" s="1"/>
  <c r="AR842" i="3"/>
  <c r="AO1124" i="3"/>
  <c r="AN1124" i="3"/>
  <c r="AP1124" i="3"/>
  <c r="AL1271" i="3"/>
  <c r="AK14" i="3"/>
  <c r="AN1101" i="3"/>
  <c r="AN953" i="3"/>
  <c r="AN1076" i="3"/>
  <c r="AM188" i="3"/>
  <c r="AL291" i="3"/>
  <c r="AP248" i="3"/>
  <c r="AJ1381" i="3"/>
  <c r="AL1362" i="3"/>
  <c r="AN777" i="3"/>
  <c r="AO777" i="3"/>
  <c r="AP777" i="3"/>
  <c r="AN702" i="3"/>
  <c r="AL1036" i="3"/>
  <c r="AM1373" i="3"/>
  <c r="AO1123" i="3"/>
  <c r="AP1123" i="3" s="1"/>
  <c r="AN1123" i="3"/>
  <c r="AM1123" i="3"/>
  <c r="AN285" i="3"/>
  <c r="AL16" i="3"/>
  <c r="AJ1353" i="3"/>
  <c r="AO79" i="3"/>
  <c r="AM79" i="3"/>
  <c r="AN79" i="3"/>
  <c r="AJ512" i="3"/>
  <c r="AK1233" i="3"/>
  <c r="AJ1233" i="3"/>
  <c r="AM1221" i="3"/>
  <c r="AK184" i="3"/>
  <c r="AM241" i="3"/>
  <c r="AN241" i="3" s="1"/>
  <c r="AO241" i="3" s="1"/>
  <c r="AL241" i="3"/>
  <c r="AN501" i="3"/>
  <c r="AO501" i="3"/>
  <c r="AK35" i="3"/>
  <c r="AL35" i="3"/>
  <c r="AM35" i="3" s="1"/>
  <c r="AM934" i="3"/>
  <c r="AP1197" i="3"/>
  <c r="AQ1197" i="3" s="1"/>
  <c r="AO1197" i="3"/>
  <c r="AM1197" i="3"/>
  <c r="AN1197" i="3" s="1"/>
  <c r="AM1089" i="3"/>
  <c r="AM1016" i="3"/>
  <c r="AK1016" i="3"/>
  <c r="AL1016" i="3" s="1"/>
  <c r="AL195" i="3"/>
  <c r="AK195" i="3"/>
  <c r="AN828" i="3"/>
  <c r="AL971" i="3"/>
  <c r="AL474" i="3"/>
  <c r="AL1388" i="3"/>
  <c r="AP174" i="3"/>
  <c r="AQ174" i="3" s="1"/>
  <c r="AR174" i="3" s="1"/>
  <c r="AO174" i="3"/>
  <c r="AN754" i="3"/>
  <c r="AJ237" i="3"/>
  <c r="AK176" i="3"/>
  <c r="AO303" i="3"/>
  <c r="AM914" i="3"/>
  <c r="AN878" i="3"/>
  <c r="AM431" i="3"/>
  <c r="AC828" i="4"/>
  <c r="AC744" i="4"/>
  <c r="AC836" i="4" s="1"/>
  <c r="AD840" i="4" s="1"/>
  <c r="AC756" i="4"/>
  <c r="AC743" i="4"/>
  <c r="AC792" i="4"/>
  <c r="AC772" i="4"/>
  <c r="Y360" i="2"/>
  <c r="Y12" i="2"/>
  <c r="U35" i="2"/>
  <c r="AR666" i="3"/>
  <c r="AM839" i="3"/>
  <c r="AO839" i="3" s="1"/>
  <c r="AN839" i="3"/>
  <c r="AL550" i="3"/>
  <c r="AM370" i="3"/>
  <c r="AM1161" i="3"/>
  <c r="AO569" i="3"/>
  <c r="AN569" i="3"/>
  <c r="AO142" i="3"/>
  <c r="AP142" i="3" s="1"/>
  <c r="W744" i="4"/>
  <c r="W836" i="4" s="1"/>
  <c r="X840" i="4" s="1"/>
  <c r="W743" i="4"/>
  <c r="W756" i="4"/>
  <c r="W828" i="4"/>
  <c r="W782" i="4"/>
  <c r="W792" i="4"/>
  <c r="W772" i="4"/>
  <c r="AL321" i="3"/>
  <c r="AM321" i="3" s="1"/>
  <c r="AM887" i="3"/>
  <c r="AN887" i="3" s="1"/>
  <c r="AO1110" i="3"/>
  <c r="AL1308" i="3"/>
  <c r="AM592" i="3"/>
  <c r="AO528" i="3"/>
  <c r="AN528" i="3"/>
  <c r="AP528" i="3"/>
  <c r="AM528" i="3"/>
  <c r="AL952" i="3"/>
  <c r="AM952" i="3" s="1"/>
  <c r="AJ344" i="3"/>
  <c r="AM13" i="3"/>
  <c r="AL484" i="3"/>
  <c r="AR178" i="3"/>
  <c r="AS178" i="3" s="1"/>
  <c r="AT178" i="3" s="1"/>
  <c r="AL104" i="3"/>
  <c r="AK104" i="3"/>
  <c r="AM104" i="3"/>
  <c r="AM430" i="3"/>
  <c r="AN142" i="3"/>
  <c r="AK306" i="3"/>
  <c r="AL306" i="3"/>
  <c r="AM306" i="3"/>
  <c r="AG1447" i="3"/>
  <c r="AG1449" i="3" s="1"/>
  <c r="AM1146" i="3"/>
  <c r="AL1146" i="3"/>
  <c r="AR897" i="3"/>
  <c r="AS897" i="3"/>
  <c r="AJ1383" i="3"/>
  <c r="AK309" i="3"/>
  <c r="AM787" i="3"/>
  <c r="AK328" i="3"/>
  <c r="AL1026" i="3"/>
  <c r="AM1026" i="3"/>
  <c r="AJ1066" i="3"/>
  <c r="AK1176" i="3"/>
  <c r="AL1176" i="3" s="1"/>
  <c r="AM1154" i="3"/>
  <c r="AK1383" i="3"/>
  <c r="AL929" i="3"/>
  <c r="AM1174" i="3"/>
  <c r="AM1097" i="3"/>
  <c r="AN1097" i="3" s="1"/>
  <c r="Z908" i="4"/>
  <c r="Z911" i="4" s="1"/>
  <c r="Z1183" i="4" s="1"/>
  <c r="Z206" i="4"/>
  <c r="Z1125" i="4"/>
  <c r="Z1127" i="4" s="1"/>
  <c r="Z1129" i="4"/>
  <c r="Z1131" i="4" s="1"/>
  <c r="AO252" i="3"/>
  <c r="AP252" i="3" s="1"/>
  <c r="AQ252" i="3" s="1"/>
  <c r="AR252" i="3" s="1"/>
  <c r="AN252" i="3"/>
  <c r="AN1165" i="3"/>
  <c r="AO1165" i="3" s="1"/>
  <c r="AP1165" i="3"/>
  <c r="AL917" i="3"/>
  <c r="AM917" i="3" s="1"/>
  <c r="AG908" i="4"/>
  <c r="AG911" i="4" s="1"/>
  <c r="AG1183" i="4" s="1"/>
  <c r="AG206" i="4"/>
  <c r="AG1125" i="4"/>
  <c r="AG1127" i="4" s="1"/>
  <c r="AG1129" i="4"/>
  <c r="AG1131" i="4" s="1"/>
  <c r="S74" i="2"/>
  <c r="Q185" i="4"/>
  <c r="AP470" i="3"/>
  <c r="AR470" i="3" s="1"/>
  <c r="AM630" i="3"/>
  <c r="AN630" i="3"/>
  <c r="AO630" i="3" s="1"/>
  <c r="AN947" i="3"/>
  <c r="AM947" i="3"/>
  <c r="AQ691" i="3"/>
  <c r="AR691" i="3" s="1"/>
  <c r="AO691" i="3"/>
  <c r="AP691" i="3" s="1"/>
  <c r="AL1265" i="3"/>
  <c r="AJ776" i="3"/>
  <c r="AK776" i="3"/>
  <c r="AK801" i="3"/>
  <c r="AL7" i="3"/>
  <c r="AJ922" i="3"/>
  <c r="AK922" i="3"/>
  <c r="AN840" i="3"/>
  <c r="AP79" i="3"/>
  <c r="AQ79" i="3" s="1"/>
  <c r="AL72" i="3"/>
  <c r="AO307" i="3"/>
  <c r="AM886" i="3"/>
  <c r="AN886" i="3"/>
  <c r="AL1089" i="3"/>
  <c r="AM98" i="3"/>
  <c r="AK1155" i="3"/>
  <c r="AL1155" i="3" s="1"/>
  <c r="AO700" i="3"/>
  <c r="AP700" i="3"/>
  <c r="AJ1024" i="3"/>
  <c r="AM432" i="3"/>
  <c r="AN959" i="3"/>
  <c r="AM629" i="3"/>
  <c r="AO828" i="3"/>
  <c r="AK1192" i="3"/>
  <c r="AN1034" i="3"/>
  <c r="AM1034" i="3"/>
  <c r="AM363" i="3"/>
  <c r="AR635" i="3"/>
  <c r="AN1178" i="3"/>
  <c r="AL1148" i="3"/>
  <c r="AM854" i="3"/>
  <c r="AL703" i="3"/>
  <c r="AL419" i="3"/>
  <c r="AK419" i="3"/>
  <c r="AN49" i="3"/>
  <c r="AO277" i="3"/>
  <c r="AM1059" i="3"/>
  <c r="AM177" i="3"/>
  <c r="AK744" i="3"/>
  <c r="AL744" i="3"/>
  <c r="AM744" i="3"/>
  <c r="AN744" i="3" s="1"/>
  <c r="AN789" i="3"/>
  <c r="AM1184" i="3"/>
  <c r="AM906" i="3"/>
  <c r="AN904" i="3"/>
  <c r="AM28" i="3"/>
  <c r="AJ679" i="3"/>
  <c r="AM1131" i="3"/>
  <c r="AL1226" i="3"/>
  <c r="AK1226" i="3"/>
  <c r="AM1226" i="3"/>
  <c r="AN1226" i="3"/>
  <c r="AR377" i="3"/>
  <c r="V908" i="4"/>
  <c r="V911" i="4" s="1"/>
  <c r="V1183" i="4" s="1"/>
  <c r="V206" i="4"/>
  <c r="V1125" i="4"/>
  <c r="V1127" i="4" s="1"/>
  <c r="V1129" i="4"/>
  <c r="V1131" i="4" s="1"/>
  <c r="L338" i="2"/>
  <c r="AM29" i="3"/>
  <c r="AL150" i="3"/>
  <c r="AM614" i="3"/>
  <c r="AN614" i="3" s="1"/>
  <c r="AL644" i="3"/>
  <c r="AM985" i="3"/>
  <c r="AK1063" i="3"/>
  <c r="AM273" i="3"/>
  <c r="AO843" i="3"/>
  <c r="AM573" i="3"/>
  <c r="AN573" i="3"/>
  <c r="AK591" i="3"/>
  <c r="AK674" i="3"/>
  <c r="AJ674" i="3"/>
  <c r="O944" i="4"/>
  <c r="O201" i="4"/>
  <c r="AN1221" i="3"/>
  <c r="Q74" i="2"/>
  <c r="O185" i="4"/>
  <c r="AN323" i="3"/>
  <c r="AM323" i="3"/>
  <c r="AM956" i="3"/>
  <c r="AJ832" i="3"/>
  <c r="AO90" i="3"/>
  <c r="AM90" i="3"/>
  <c r="AP90" i="3" s="1"/>
  <c r="AN90" i="3"/>
  <c r="AO1180" i="3"/>
  <c r="AK625" i="3"/>
  <c r="AM1054" i="3"/>
  <c r="AJ167" i="3"/>
  <c r="AK332" i="3"/>
  <c r="AM412" i="3"/>
  <c r="AN133" i="3"/>
  <c r="AK1345" i="3"/>
  <c r="AL1345" i="3"/>
  <c r="AP1337" i="3"/>
  <c r="AN1337" i="3"/>
  <c r="S75" i="4"/>
  <c r="S58" i="4"/>
  <c r="S74" i="4"/>
  <c r="S513" i="4"/>
  <c r="U1166" i="4"/>
  <c r="U1146" i="4"/>
  <c r="U1161" i="4"/>
  <c r="U1151" i="4"/>
  <c r="U1054" i="4"/>
  <c r="U1056" i="4" s="1"/>
  <c r="V1053" i="4" s="1"/>
  <c r="U1034" i="4"/>
  <c r="U1036" i="4" s="1"/>
  <c r="V1033" i="4" s="1"/>
  <c r="U994" i="4"/>
  <c r="U996" i="4" s="1"/>
  <c r="V993" i="4" s="1"/>
  <c r="U1039" i="4"/>
  <c r="U1041" i="4" s="1"/>
  <c r="V1038" i="4" s="1"/>
  <c r="U1176" i="4"/>
  <c r="U1079" i="4"/>
  <c r="U1081" i="4" s="1"/>
  <c r="V1078" i="4" s="1"/>
  <c r="U1089" i="4"/>
  <c r="U1091" i="4" s="1"/>
  <c r="V1088" i="4" s="1"/>
  <c r="U1029" i="4"/>
  <c r="U1031" i="4" s="1"/>
  <c r="V1028" i="4" s="1"/>
  <c r="U984" i="4"/>
  <c r="U986" i="4" s="1"/>
  <c r="V983" i="4" s="1"/>
  <c r="U1181" i="4"/>
  <c r="U989" i="4"/>
  <c r="U991" i="4" s="1"/>
  <c r="V988" i="4" s="1"/>
  <c r="U656" i="4"/>
  <c r="U595" i="4"/>
  <c r="U1019" i="4"/>
  <c r="U1021" i="4" s="1"/>
  <c r="V1018" i="4" s="1"/>
  <c r="V10" i="4"/>
  <c r="V820" i="4" s="1"/>
  <c r="U1059" i="4"/>
  <c r="U1061" i="4" s="1"/>
  <c r="V1058" i="4" s="1"/>
  <c r="U1084" i="4"/>
  <c r="U1086" i="4" s="1"/>
  <c r="V1083" i="4" s="1"/>
  <c r="U759" i="4"/>
  <c r="U1171" i="4"/>
  <c r="U1044" i="4"/>
  <c r="U1046" i="4" s="1"/>
  <c r="V1043" i="4" s="1"/>
  <c r="W81" i="2"/>
  <c r="K81" i="2" s="1"/>
  <c r="I81" i="2" s="1"/>
  <c r="W80" i="2"/>
  <c r="K80" i="2" s="1"/>
  <c r="I80" i="2" s="1"/>
  <c r="AN1062" i="3"/>
  <c r="AM1062" i="3"/>
  <c r="Y589" i="4"/>
  <c r="Y648" i="4" s="1"/>
  <c r="Y635" i="4"/>
  <c r="X420" i="4"/>
  <c r="X516" i="4" s="1"/>
  <c r="X508" i="4"/>
  <c r="AM790" i="3"/>
  <c r="AL577" i="3"/>
  <c r="AM793" i="3"/>
  <c r="AL689" i="3"/>
  <c r="T635" i="4"/>
  <c r="T589" i="4"/>
  <c r="T648" i="4" s="1"/>
  <c r="AN712" i="3"/>
  <c r="AN618" i="3"/>
  <c r="AO618" i="3" s="1"/>
  <c r="AK489" i="3"/>
  <c r="AN258" i="3"/>
  <c r="AN1167" i="3"/>
  <c r="AO76" i="3"/>
  <c r="AK392" i="3"/>
  <c r="AK67" i="3"/>
  <c r="AL1376" i="3"/>
  <c r="AP907" i="3"/>
  <c r="AJ472" i="3"/>
  <c r="AG508" i="4"/>
  <c r="AG420" i="4"/>
  <c r="AG516" i="4" s="1"/>
  <c r="AK325" i="3"/>
  <c r="AT112" i="3"/>
  <c r="AM836" i="3"/>
  <c r="AP555" i="3"/>
  <c r="AD1108" i="4"/>
  <c r="AD920" i="4"/>
  <c r="AK1052" i="3"/>
  <c r="AL765" i="3"/>
  <c r="AM1182" i="3"/>
  <c r="AM97" i="3"/>
  <c r="AK1069" i="3"/>
  <c r="AL1138" i="3"/>
  <c r="AN300" i="3"/>
  <c r="AN606" i="3"/>
  <c r="AM409" i="3"/>
  <c r="AN1260" i="3"/>
  <c r="AK939" i="3"/>
  <c r="AP48" i="3"/>
  <c r="AQ48" i="3" s="1"/>
  <c r="AT271" i="3"/>
  <c r="AU271" i="3" s="1"/>
  <c r="AV271" i="3" s="1"/>
  <c r="AW271" i="3" s="1"/>
  <c r="AX271" i="3" s="1"/>
  <c r="AL1151" i="3"/>
  <c r="AK1151" i="3"/>
  <c r="AP514" i="3"/>
  <c r="AL365" i="3"/>
  <c r="AM365" i="3" s="1"/>
  <c r="AP405" i="3"/>
  <c r="T772" i="4"/>
  <c r="AO739" i="3"/>
  <c r="AO228" i="3"/>
  <c r="AL786" i="3"/>
  <c r="AK1047" i="3"/>
  <c r="AM1327" i="3"/>
  <c r="AL1131" i="3"/>
  <c r="AK395" i="3"/>
  <c r="AP1109" i="3"/>
  <c r="AK413" i="3"/>
  <c r="AK1274" i="3"/>
  <c r="AL1274" i="3"/>
  <c r="AA756" i="4"/>
  <c r="AA828" i="4"/>
  <c r="AA744" i="4"/>
  <c r="AA743" i="4"/>
  <c r="AA792" i="4"/>
  <c r="AP818" i="3"/>
  <c r="AK260" i="3"/>
  <c r="AM649" i="3"/>
  <c r="AO649" i="3"/>
  <c r="AK1085" i="3"/>
  <c r="AL1170" i="3"/>
  <c r="AM1170" i="3" s="1"/>
  <c r="AL968" i="3"/>
  <c r="AL969" i="3"/>
  <c r="AN1313" i="3"/>
  <c r="AM1313" i="3"/>
  <c r="AJ318" i="3"/>
  <c r="AJ296" i="3"/>
  <c r="AK616" i="3"/>
  <c r="AJ989" i="3"/>
  <c r="AM205" i="3"/>
  <c r="AJ596" i="3"/>
  <c r="AN1368" i="3"/>
  <c r="AO1368" i="3"/>
  <c r="AP1368" i="3"/>
  <c r="AM932" i="3"/>
  <c r="AJ732" i="3"/>
  <c r="AJ1421" i="3"/>
  <c r="U166" i="4" s="1"/>
  <c r="AK594" i="3"/>
  <c r="AN706" i="3"/>
  <c r="AM706" i="3"/>
  <c r="AO1303" i="3"/>
  <c r="AL1377" i="3"/>
  <c r="AO1244" i="3"/>
  <c r="AD508" i="4"/>
  <c r="AD420" i="4"/>
  <c r="AD516" i="4" s="1"/>
  <c r="AM654" i="3"/>
  <c r="AN654" i="3"/>
  <c r="AO617" i="3"/>
  <c r="AM617" i="3"/>
  <c r="AK155" i="3"/>
  <c r="AK1380" i="3"/>
  <c r="AL286" i="3"/>
  <c r="AK954" i="3"/>
  <c r="AL954" i="3"/>
  <c r="AJ260" i="3"/>
  <c r="AO1335" i="3"/>
  <c r="AP936" i="3"/>
  <c r="AP656" i="3"/>
  <c r="AM899" i="3"/>
  <c r="AE508" i="4"/>
  <c r="AE420" i="4"/>
  <c r="AE516" i="4" s="1"/>
  <c r="AK763" i="3"/>
  <c r="AK746" i="3"/>
  <c r="AL902" i="3"/>
  <c r="AM902" i="3"/>
  <c r="AJ615" i="3"/>
  <c r="AN1247" i="3"/>
  <c r="AO846" i="3"/>
  <c r="AM750" i="3"/>
  <c r="AK262" i="3"/>
  <c r="AL208" i="3"/>
  <c r="AK639" i="3"/>
  <c r="AM653" i="3"/>
  <c r="AJ762" i="3"/>
  <c r="AO1360" i="3"/>
  <c r="AJ637" i="3"/>
  <c r="AJ345" i="3"/>
  <c r="AC420" i="4"/>
  <c r="AC516" i="4" s="1"/>
  <c r="AC508" i="4"/>
  <c r="AE58" i="4"/>
  <c r="AE513" i="4"/>
  <c r="AM519" i="3"/>
  <c r="AO804" i="3"/>
  <c r="AP804" i="3" s="1"/>
  <c r="AL1225" i="3"/>
  <c r="AK605" i="3"/>
  <c r="AK610" i="3"/>
  <c r="T78" i="2"/>
  <c r="AM172" i="3"/>
  <c r="W908" i="4"/>
  <c r="W911" i="4" s="1"/>
  <c r="W1183" i="4" s="1"/>
  <c r="W206" i="4"/>
  <c r="W1125" i="4"/>
  <c r="W1127" i="4" s="1"/>
  <c r="W1129" i="4"/>
  <c r="W1131" i="4" s="1"/>
  <c r="AO1152" i="3"/>
  <c r="AP1152" i="3" s="1"/>
  <c r="AO849" i="3"/>
  <c r="AM265" i="3"/>
  <c r="AL1257" i="3"/>
  <c r="AM1257" i="3" s="1"/>
  <c r="AJ1257" i="3"/>
  <c r="AK1065" i="3"/>
  <c r="AK238" i="3"/>
  <c r="AO1328" i="3"/>
  <c r="AP1328" i="3" s="1"/>
  <c r="AL634" i="3"/>
  <c r="AL309" i="3"/>
  <c r="AL478" i="3"/>
  <c r="AL1234" i="3"/>
  <c r="AN1306" i="3"/>
  <c r="AL1000" i="3"/>
  <c r="AN810" i="3"/>
  <c r="AO810" i="3"/>
  <c r="AM278" i="3"/>
  <c r="AJ1251" i="3"/>
  <c r="AL1077" i="3"/>
  <c r="AM59" i="3"/>
  <c r="AL1088" i="3"/>
  <c r="X12" i="2"/>
  <c r="X360" i="2"/>
  <c r="AM850" i="3"/>
  <c r="AN850" i="3" s="1"/>
  <c r="AL1382" i="3"/>
  <c r="AM1051" i="3"/>
  <c r="AK510" i="3"/>
  <c r="AJ1008" i="3"/>
  <c r="AT339" i="3"/>
  <c r="AN216" i="3"/>
  <c r="AM216" i="3"/>
  <c r="AK615" i="3"/>
  <c r="AK909" i="3"/>
  <c r="AM1355" i="3"/>
  <c r="U348" i="2"/>
  <c r="K348" i="2" s="1"/>
  <c r="U11" i="2"/>
  <c r="K11" i="2" s="1"/>
  <c r="I11" i="2" s="1"/>
  <c r="AM817" i="3"/>
  <c r="AM919" i="3"/>
  <c r="AK346" i="3"/>
  <c r="AN476" i="3"/>
  <c r="AL856" i="3"/>
  <c r="AJ264" i="3"/>
  <c r="AN283" i="3"/>
  <c r="Y198" i="2"/>
  <c r="X197" i="2"/>
  <c r="AM225" i="3"/>
  <c r="P3" i="2"/>
  <c r="P269" i="2"/>
  <c r="Q5" i="2"/>
  <c r="P276" i="2"/>
  <c r="P286" i="2"/>
  <c r="P290" i="2"/>
  <c r="P277" i="2"/>
  <c r="P278" i="2"/>
  <c r="P287" i="2"/>
  <c r="P275" i="2"/>
  <c r="P289" i="2"/>
  <c r="P279" i="2"/>
  <c r="P288" i="2"/>
  <c r="AK699" i="3"/>
  <c r="AN152" i="3"/>
  <c r="AO407" i="3"/>
  <c r="AP407" i="3" s="1"/>
  <c r="AQ407" i="3" s="1"/>
  <c r="AK335" i="3"/>
  <c r="Y756" i="4"/>
  <c r="Y744" i="4"/>
  <c r="Y836" i="4" s="1"/>
  <c r="Z840" i="4" s="1"/>
  <c r="Y743" i="4"/>
  <c r="Y828" i="4"/>
  <c r="Y772" i="4"/>
  <c r="AK1268" i="3"/>
  <c r="AK620" i="3"/>
  <c r="AJ308" i="3"/>
  <c r="AN1042" i="3"/>
  <c r="AN1152" i="3"/>
  <c r="AI1400" i="3"/>
  <c r="AM133" i="3"/>
  <c r="AO286" i="3"/>
  <c r="AN249" i="3"/>
  <c r="AN1110" i="3"/>
  <c r="AN873" i="3"/>
  <c r="AN617" i="3"/>
  <c r="AN98" i="3"/>
  <c r="AK1257" i="3"/>
  <c r="AL110" i="3"/>
  <c r="AM125" i="3"/>
  <c r="R828" i="4"/>
  <c r="R820" i="4"/>
  <c r="R743" i="4"/>
  <c r="R756" i="4"/>
  <c r="R744" i="4"/>
  <c r="R836" i="4" s="1"/>
  <c r="S840" i="4" s="1"/>
  <c r="R792" i="4"/>
  <c r="R782" i="4"/>
  <c r="AL1278" i="3"/>
  <c r="S684" i="4"/>
  <c r="T681" i="4" s="1"/>
  <c r="AM542" i="3"/>
  <c r="AD12" i="2"/>
  <c r="AD360" i="2"/>
  <c r="AL543" i="3"/>
  <c r="AL204" i="3"/>
  <c r="AM102" i="3"/>
  <c r="AN102" i="3" s="1"/>
  <c r="AR670" i="3"/>
  <c r="AS557" i="3"/>
  <c r="AL1262" i="3"/>
  <c r="AM1262" i="3"/>
  <c r="AM619" i="3"/>
  <c r="AK634" i="3"/>
  <c r="AK1228" i="3"/>
  <c r="AL1228" i="3"/>
  <c r="AM1228" i="3"/>
  <c r="AL1173" i="3"/>
  <c r="AN563" i="3"/>
  <c r="AM1002" i="3"/>
  <c r="AK621" i="3"/>
  <c r="AR48" i="3"/>
  <c r="AS48" i="3" s="1"/>
  <c r="AT48" i="3" s="1"/>
  <c r="AU48" i="3" s="1"/>
  <c r="AK775" i="3"/>
  <c r="U920" i="4"/>
  <c r="U1108" i="4"/>
  <c r="T1222" i="4"/>
  <c r="T1234" i="4" s="1"/>
  <c r="AN719" i="3"/>
  <c r="AM243" i="3"/>
  <c r="AL243" i="3"/>
  <c r="AK558" i="3"/>
  <c r="AK648" i="3"/>
  <c r="AN1200" i="3"/>
  <c r="AL652" i="3"/>
  <c r="AK1132" i="3"/>
  <c r="AM1385" i="3"/>
  <c r="AM46" i="3"/>
  <c r="AJ1150" i="3"/>
  <c r="U772" i="4"/>
  <c r="AN116" i="3"/>
  <c r="AJ68" i="3"/>
  <c r="AL136" i="3"/>
  <c r="AM810" i="3"/>
  <c r="W121" i="4"/>
  <c r="V134" i="4"/>
  <c r="AL12" i="3"/>
  <c r="AN59" i="3"/>
  <c r="AL247" i="3"/>
  <c r="AL279" i="3"/>
  <c r="AK1088" i="3"/>
  <c r="AN1360" i="3"/>
  <c r="AL250" i="3"/>
  <c r="AM570" i="3"/>
  <c r="AM778" i="3"/>
  <c r="AO602" i="3"/>
  <c r="AL901" i="3"/>
  <c r="AL231" i="3"/>
  <c r="AN724" i="3"/>
  <c r="AP724" i="3" s="1"/>
  <c r="AQ724" i="3" s="1"/>
  <c r="AK1382" i="3"/>
  <c r="AQ281" i="3"/>
  <c r="AM612" i="3"/>
  <c r="AN612" i="3" s="1"/>
  <c r="AL612" i="3"/>
  <c r="K243" i="2"/>
  <c r="X243" i="2"/>
  <c r="W242" i="2"/>
  <c r="AK896" i="3"/>
  <c r="AJ970" i="3"/>
  <c r="AK1308" i="3"/>
  <c r="AN143" i="3"/>
  <c r="AM454" i="3"/>
  <c r="AM808" i="3"/>
  <c r="AK56" i="3"/>
  <c r="AM422" i="3"/>
  <c r="AN1378" i="3"/>
  <c r="AM247" i="3"/>
  <c r="AL1305" i="3"/>
  <c r="AO130" i="3"/>
  <c r="AC920" i="4"/>
  <c r="AC1108" i="4"/>
  <c r="AP1335" i="3"/>
  <c r="AM24" i="3"/>
  <c r="AK21" i="3"/>
  <c r="AK713" i="3"/>
  <c r="AM132" i="3"/>
  <c r="AJ459" i="3"/>
  <c r="AM1280" i="3"/>
  <c r="AL457" i="3"/>
  <c r="AS603" i="3"/>
  <c r="AT603" i="3" s="1"/>
  <c r="AU603" i="3" s="1"/>
  <c r="AO595" i="3"/>
  <c r="AN595" i="3"/>
  <c r="AL709" i="3"/>
  <c r="AM709" i="3"/>
  <c r="AN770" i="3"/>
  <c r="AO724" i="3"/>
  <c r="AL784" i="3"/>
  <c r="AK784" i="3"/>
  <c r="AS1006" i="3"/>
  <c r="AN804" i="3"/>
  <c r="V573" i="4"/>
  <c r="V575" i="4" s="1"/>
  <c r="V35" i="10"/>
  <c r="AK1324" i="3"/>
  <c r="AK1107" i="3"/>
  <c r="AM1167" i="3"/>
  <c r="N185" i="4"/>
  <c r="N189" i="4" s="1"/>
  <c r="P74" i="2"/>
  <c r="AM445" i="3"/>
  <c r="AL51" i="3"/>
  <c r="AL26" i="3"/>
  <c r="AA420" i="4"/>
  <c r="AA516" i="4" s="1"/>
  <c r="AA508" i="4"/>
  <c r="AM910" i="3"/>
  <c r="AJ416" i="3"/>
  <c r="AN875" i="3"/>
  <c r="AO875" i="3" s="1"/>
  <c r="AL750" i="3"/>
  <c r="AC360" i="2"/>
  <c r="AC12" i="2"/>
  <c r="AK316" i="3"/>
  <c r="AL316" i="3" s="1"/>
  <c r="AJ316" i="3"/>
  <c r="AN229" i="3"/>
  <c r="AN349" i="3"/>
  <c r="AO1390" i="3"/>
  <c r="AK171" i="3"/>
  <c r="AL171" i="3"/>
  <c r="AM171" i="3" s="1"/>
  <c r="AJ171" i="3"/>
  <c r="AL348" i="3"/>
  <c r="AN124" i="3"/>
  <c r="AK22" i="3"/>
  <c r="AL22" i="3" s="1"/>
  <c r="AJ22" i="3"/>
  <c r="AO1269" i="3"/>
  <c r="AP1269" i="3" s="1"/>
  <c r="W231" i="2"/>
  <c r="K232" i="2"/>
  <c r="X232" i="2"/>
  <c r="AJ911" i="3"/>
  <c r="AM1199" i="3"/>
  <c r="AQ728" i="3"/>
  <c r="AP349" i="3"/>
  <c r="AM379" i="3"/>
  <c r="AM1224" i="3"/>
  <c r="AN1224" i="3"/>
  <c r="AJ14" i="3"/>
  <c r="AN396" i="3"/>
  <c r="AM425" i="3"/>
  <c r="AO351" i="3"/>
  <c r="AO361" i="3"/>
  <c r="AJ222" i="3"/>
  <c r="AL519" i="3"/>
  <c r="AO283" i="3"/>
  <c r="AM1075" i="3"/>
  <c r="AK1033" i="3"/>
  <c r="AL98" i="3"/>
  <c r="AN980" i="3"/>
  <c r="V149" i="2"/>
  <c r="V282" i="2"/>
  <c r="AK541" i="3"/>
  <c r="AL447" i="3"/>
  <c r="U78" i="2"/>
  <c r="AN568" i="3"/>
  <c r="AL78" i="3"/>
  <c r="AK732" i="3"/>
  <c r="AO966" i="3"/>
  <c r="AL707" i="3"/>
  <c r="AN1134" i="3"/>
  <c r="AM191" i="3"/>
  <c r="AM953" i="3"/>
  <c r="AJ965" i="3"/>
  <c r="AM390" i="3"/>
  <c r="AL511" i="3"/>
  <c r="AM1042" i="3"/>
  <c r="T360" i="2"/>
  <c r="T12" i="2"/>
  <c r="AN692" i="3"/>
  <c r="AL1324" i="3"/>
  <c r="AJ1153" i="3"/>
  <c r="AN1328" i="3"/>
  <c r="AJ1107" i="3"/>
  <c r="AP483" i="3"/>
  <c r="AN642" i="3"/>
  <c r="AM773" i="3"/>
  <c r="AN773" i="3" s="1"/>
  <c r="AL773" i="3"/>
  <c r="AM404" i="3"/>
  <c r="AJ998" i="3"/>
  <c r="AM92" i="3"/>
  <c r="AN1106" i="3"/>
  <c r="AM336" i="3"/>
  <c r="AC513" i="4"/>
  <c r="AC75" i="4"/>
  <c r="AC58" i="4"/>
  <c r="AA241" i="2"/>
  <c r="Z139" i="2"/>
  <c r="AK948" i="3"/>
  <c r="AJ272" i="3"/>
  <c r="AK272" i="3"/>
  <c r="AK517" i="3"/>
  <c r="AL293" i="3"/>
  <c r="AL953" i="3"/>
  <c r="AM804" i="3"/>
  <c r="AL91" i="3"/>
  <c r="AK183" i="3"/>
  <c r="AN1086" i="3"/>
  <c r="AJ1317" i="3"/>
  <c r="AK1317" i="3" s="1"/>
  <c r="AN191" i="3"/>
  <c r="AM61" i="3"/>
  <c r="AM123" i="3"/>
  <c r="AL123" i="3"/>
  <c r="AS1240" i="3"/>
  <c r="AT1240" i="3" s="1"/>
  <c r="AJ1029" i="3"/>
  <c r="AL757" i="3"/>
  <c r="AM757" i="3"/>
  <c r="AL1309" i="3"/>
  <c r="AJ1330" i="3"/>
  <c r="AP312" i="3"/>
  <c r="AL1092" i="3"/>
  <c r="AP216" i="3"/>
  <c r="AK680" i="3"/>
  <c r="AM680" i="3" s="1"/>
  <c r="AL680" i="3"/>
  <c r="AL70" i="3"/>
  <c r="AM70" i="3" s="1"/>
  <c r="AL1371" i="3"/>
  <c r="AK1371" i="3"/>
  <c r="AM829" i="3"/>
  <c r="AK863" i="3"/>
  <c r="AL863" i="3" s="1"/>
  <c r="AM444" i="3"/>
  <c r="AJ121" i="3"/>
  <c r="U702" i="4"/>
  <c r="AK374" i="3"/>
  <c r="AN582" i="3"/>
  <c r="AS437" i="3"/>
  <c r="AL289" i="3"/>
  <c r="AM620" i="3"/>
  <c r="AK941" i="3"/>
  <c r="AL175" i="3"/>
  <c r="AM1245" i="3"/>
  <c r="AM633" i="3"/>
  <c r="AL633" i="3"/>
  <c r="AM583" i="3"/>
  <c r="AO1141" i="3"/>
  <c r="AL650" i="3"/>
  <c r="AO343" i="3"/>
  <c r="AN868" i="3"/>
  <c r="AK1297" i="3"/>
  <c r="AM1094" i="3"/>
  <c r="AL964" i="3"/>
  <c r="AM284" i="3"/>
  <c r="AL284" i="3"/>
  <c r="R177" i="4"/>
  <c r="AO619" i="3"/>
  <c r="AM959" i="3"/>
  <c r="AO349" i="3"/>
  <c r="AN935" i="3"/>
  <c r="AM935" i="3"/>
  <c r="AL823" i="3"/>
  <c r="AO503" i="3"/>
  <c r="AL426" i="3"/>
  <c r="X101" i="2"/>
  <c r="T792" i="4"/>
  <c r="K180" i="4"/>
  <c r="K181" i="4"/>
  <c r="AL1103" i="3"/>
  <c r="AO869" i="3"/>
  <c r="AJ1018" i="3"/>
  <c r="AK462" i="3"/>
  <c r="AO688" i="3"/>
  <c r="AN456" i="3"/>
  <c r="AM448" i="3"/>
  <c r="AM526" i="3"/>
  <c r="AM900" i="3"/>
  <c r="AM937" i="3"/>
  <c r="AJ943" i="3"/>
  <c r="AK943" i="3" s="1"/>
  <c r="AL763" i="3"/>
  <c r="AP802" i="3"/>
  <c r="U908" i="4"/>
  <c r="U911" i="4" s="1"/>
  <c r="U1183" i="4" s="1"/>
  <c r="U206" i="4"/>
  <c r="U1125" i="4"/>
  <c r="U1127" i="4" s="1"/>
  <c r="U1129" i="4"/>
  <c r="U1131" i="4" s="1"/>
  <c r="AO324" i="3"/>
  <c r="AM1039" i="3"/>
  <c r="AL1039" i="3"/>
  <c r="AO1168" i="3"/>
  <c r="AL1291" i="3"/>
  <c r="AN1227" i="3"/>
  <c r="AM246" i="3"/>
  <c r="AJ1038" i="3"/>
  <c r="AL1239" i="3"/>
  <c r="AJ54" i="3"/>
  <c r="AJ909" i="3"/>
  <c r="AL814" i="3"/>
  <c r="AM814" i="3" s="1"/>
  <c r="AJ694" i="3"/>
  <c r="U508" i="4"/>
  <c r="U420" i="4"/>
  <c r="U516" i="4" s="1"/>
  <c r="AO312" i="3"/>
  <c r="AK845" i="3"/>
  <c r="AN1149" i="3"/>
  <c r="K223" i="2"/>
  <c r="X223" i="2"/>
  <c r="X144" i="2" s="1"/>
  <c r="AL8" i="3"/>
  <c r="AM283" i="3"/>
  <c r="AN1154" i="3"/>
  <c r="AP1050" i="3"/>
  <c r="AR1050" i="3" s="1"/>
  <c r="AQ1050" i="3"/>
  <c r="AM1326" i="3"/>
  <c r="S743" i="4"/>
  <c r="S820" i="4"/>
  <c r="S828" i="4"/>
  <c r="S756" i="4"/>
  <c r="S744" i="4"/>
  <c r="S836" i="4" s="1"/>
  <c r="T840" i="4" s="1"/>
  <c r="S782" i="4"/>
  <c r="S772" i="4"/>
  <c r="AJ374" i="3"/>
  <c r="Y792" i="4"/>
  <c r="AM582" i="3"/>
  <c r="AK579" i="3"/>
  <c r="AL450" i="3"/>
  <c r="AO173" i="3"/>
  <c r="AK1310" i="3"/>
  <c r="AL589" i="3"/>
  <c r="AL491" i="3"/>
  <c r="AL1343" i="3"/>
  <c r="AQ1258" i="3"/>
  <c r="AR1258" i="3"/>
  <c r="AS1258" i="3"/>
  <c r="AN181" i="3"/>
  <c r="AO581" i="3"/>
  <c r="AK295" i="3"/>
  <c r="W1108" i="4"/>
  <c r="W920" i="4"/>
  <c r="AK402" i="3"/>
  <c r="AL402" i="3" s="1"/>
  <c r="AM1086" i="3"/>
  <c r="AM1254" i="3"/>
  <c r="AL851" i="3"/>
  <c r="AM851" i="3" s="1"/>
  <c r="AL1333" i="3"/>
  <c r="AL1214" i="3"/>
  <c r="AM1214" i="3" s="1"/>
  <c r="AV659" i="3"/>
  <c r="AU659" i="3"/>
  <c r="AF828" i="4"/>
  <c r="AF756" i="4"/>
  <c r="AF743" i="4"/>
  <c r="AF744" i="4"/>
  <c r="AF836" i="4" s="1"/>
  <c r="AG840" i="4" s="1"/>
  <c r="AF792" i="4"/>
  <c r="AN708" i="3"/>
  <c r="AO748" i="3"/>
  <c r="AL682" i="3"/>
  <c r="AL41" i="3"/>
  <c r="AM41" i="3" s="1"/>
  <c r="AM1181" i="3"/>
  <c r="AL1181" i="3"/>
  <c r="AK230" i="3"/>
  <c r="AJ1172" i="3"/>
  <c r="AN581" i="3"/>
  <c r="AM368" i="3"/>
  <c r="AL876" i="3"/>
  <c r="AN376" i="3"/>
  <c r="AJ337" i="3"/>
  <c r="AI1406" i="3"/>
  <c r="AM1332" i="3"/>
  <c r="AO1367" i="3"/>
  <c r="AN619" i="3"/>
  <c r="AP619" i="3" s="1"/>
  <c r="AP25" i="3"/>
  <c r="AP539" i="3"/>
  <c r="AM282" i="3"/>
  <c r="AO812" i="3"/>
  <c r="AK135" i="3"/>
  <c r="AJ333" i="3"/>
  <c r="AK1161" i="3"/>
  <c r="AL1161" i="3"/>
  <c r="AO1217" i="3"/>
  <c r="AN718" i="3"/>
  <c r="AM718" i="3"/>
  <c r="P218" i="4"/>
  <c r="P219" i="4"/>
  <c r="P221" i="4"/>
  <c r="P222" i="4"/>
  <c r="P220" i="4"/>
  <c r="U903" i="4"/>
  <c r="AL93" i="3"/>
  <c r="AK33" i="3"/>
  <c r="AL1175" i="3"/>
  <c r="AK89" i="3"/>
  <c r="AM888" i="3"/>
  <c r="AJ641" i="3"/>
  <c r="AO350" i="3"/>
  <c r="AB635" i="4"/>
  <c r="AB589" i="4"/>
  <c r="AB648" i="4" s="1"/>
  <c r="AL930" i="3"/>
  <c r="AL369" i="3"/>
  <c r="AO1200" i="3"/>
  <c r="AL913" i="3"/>
  <c r="AN1366" i="3"/>
  <c r="AK1093" i="3"/>
  <c r="AO284" i="3"/>
  <c r="AM261" i="3"/>
  <c r="AM986" i="3"/>
  <c r="AJ328" i="3"/>
  <c r="AL533" i="3"/>
  <c r="AN492" i="3"/>
  <c r="AM96" i="3"/>
  <c r="AO49" i="3"/>
  <c r="AP49" i="3" s="1"/>
  <c r="AL545" i="3"/>
  <c r="AN366" i="3"/>
  <c r="AO366" i="3"/>
  <c r="AP366" i="3" s="1"/>
  <c r="AM497" i="3"/>
  <c r="AL347" i="3"/>
  <c r="AO608" i="3"/>
  <c r="AM945" i="3"/>
  <c r="AO730" i="3"/>
  <c r="AP730" i="3" s="1"/>
  <c r="J221" i="4"/>
  <c r="J218" i="4"/>
  <c r="J222" i="4"/>
  <c r="J219" i="4"/>
  <c r="J220" i="4"/>
  <c r="AV681" i="3"/>
  <c r="AM638" i="3"/>
  <c r="AN638" i="3" s="1"/>
  <c r="AL570" i="3"/>
  <c r="AN24" i="3"/>
  <c r="AN1264" i="3"/>
  <c r="AJ382" i="3"/>
  <c r="AI1421" i="3"/>
  <c r="T166" i="4" s="1"/>
  <c r="AO71" i="3"/>
  <c r="AO1232" i="3"/>
  <c r="AP602" i="3"/>
  <c r="AL524" i="3"/>
  <c r="AN946" i="3"/>
  <c r="AL128" i="3"/>
  <c r="AL678" i="3"/>
  <c r="AQ603" i="3"/>
  <c r="AM376" i="3"/>
  <c r="AM729" i="3"/>
  <c r="AM65" i="3"/>
  <c r="AK1300" i="3"/>
  <c r="AO833" i="3"/>
  <c r="AL1068" i="3"/>
  <c r="AN788" i="3"/>
  <c r="P338" i="2"/>
  <c r="AM857" i="3"/>
  <c r="AK479" i="3"/>
  <c r="AO43" i="3"/>
  <c r="AN43" i="3"/>
  <c r="AK496" i="3"/>
  <c r="AM1389" i="3"/>
  <c r="R513" i="4"/>
  <c r="R75" i="4"/>
  <c r="R58" i="4"/>
  <c r="R74" i="4"/>
  <c r="AL751" i="3"/>
  <c r="AM1160" i="3"/>
  <c r="AL1160" i="3"/>
  <c r="AM586" i="3"/>
  <c r="AR883" i="3"/>
  <c r="AQ883" i="3"/>
  <c r="AJ522" i="3"/>
  <c r="AK522" i="3"/>
  <c r="AN207" i="3"/>
  <c r="AL1022" i="3"/>
  <c r="AP660" i="3"/>
  <c r="AO660" i="3"/>
  <c r="AK519" i="3"/>
  <c r="AN1115" i="3"/>
  <c r="AK263" i="3"/>
  <c r="AL263" i="3"/>
  <c r="AL736" i="3"/>
  <c r="AA908" i="4"/>
  <c r="AA911" i="4" s="1"/>
  <c r="AA1183" i="4" s="1"/>
  <c r="AA206" i="4"/>
  <c r="AA1125" i="4"/>
  <c r="AA1127" i="4" s="1"/>
  <c r="AA1129" i="4"/>
  <c r="AA1131" i="4" s="1"/>
  <c r="AM1344" i="3"/>
  <c r="AB920" i="4"/>
  <c r="AB1108" i="4"/>
  <c r="AL18" i="3"/>
  <c r="AO429" i="3"/>
  <c r="AP429" i="3" s="1"/>
  <c r="AM1362" i="3"/>
  <c r="AN1362" i="3"/>
  <c r="S726" i="4"/>
  <c r="S729" i="4" s="1"/>
  <c r="R730" i="4"/>
  <c r="AN649" i="3"/>
  <c r="AL552" i="3"/>
  <c r="AL445" i="3"/>
  <c r="AN1194" i="3"/>
  <c r="AA920" i="4"/>
  <c r="AA1108" i="4"/>
  <c r="AM740" i="3"/>
  <c r="AL575" i="3"/>
  <c r="AM575" i="3"/>
  <c r="AN575" i="3"/>
  <c r="AK1129" i="3"/>
  <c r="AJ1129" i="3"/>
  <c r="AL487" i="3"/>
  <c r="AM1248" i="3"/>
  <c r="X191" i="2"/>
  <c r="K191" i="2"/>
  <c r="AK146" i="3"/>
  <c r="AJ146" i="3"/>
  <c r="AK30" i="3"/>
  <c r="AN205" i="3"/>
  <c r="AO769" i="3"/>
  <c r="AL9" i="3"/>
  <c r="AL932" i="3"/>
  <c r="AK17" i="3"/>
  <c r="AK1121" i="3"/>
  <c r="AL1121" i="3" s="1"/>
  <c r="AG360" i="2"/>
  <c r="AG12" i="2"/>
  <c r="AQ905" i="3"/>
  <c r="AP617" i="3"/>
  <c r="AN910" i="3"/>
  <c r="AL853" i="3"/>
  <c r="AO225" i="3"/>
  <c r="AP225" i="3" s="1"/>
  <c r="AN225" i="3"/>
  <c r="AK23" i="3"/>
  <c r="AK486" i="3"/>
  <c r="AL486" i="3"/>
  <c r="AK31" i="3"/>
  <c r="AQ539" i="3"/>
  <c r="AM797" i="3"/>
  <c r="AN797" i="3" s="1"/>
  <c r="AO797" i="3" s="1"/>
  <c r="AK1234" i="3"/>
  <c r="AN50" i="3"/>
  <c r="AN451" i="3"/>
  <c r="AP850" i="3"/>
  <c r="AF1129" i="4"/>
  <c r="AF1131" i="4" s="1"/>
  <c r="AF908" i="4"/>
  <c r="AF911" i="4" s="1"/>
  <c r="AF1183" i="4" s="1"/>
  <c r="AF206" i="4"/>
  <c r="AF1125" i="4"/>
  <c r="AF1127" i="4" s="1"/>
  <c r="AM91" i="3"/>
  <c r="AQ178" i="3"/>
  <c r="AK779" i="3"/>
  <c r="AL779" i="3"/>
  <c r="AJ1082" i="3"/>
  <c r="AK506" i="3"/>
  <c r="AN407" i="3"/>
  <c r="AL582" i="3"/>
  <c r="AL1179" i="3"/>
  <c r="AL85" i="3"/>
  <c r="AN620" i="3"/>
  <c r="AO620" i="3" s="1"/>
  <c r="AK1140" i="3"/>
  <c r="AL1140" i="3"/>
  <c r="AM1140" i="3" s="1"/>
  <c r="AJ1114" i="3"/>
  <c r="AO1337" i="3"/>
  <c r="AM632" i="3"/>
  <c r="AP544" i="3"/>
  <c r="AJ1281" i="3"/>
  <c r="AN889" i="3"/>
  <c r="AO889" i="3"/>
  <c r="AM889" i="3"/>
  <c r="AP889" i="3" s="1"/>
  <c r="AL889" i="3"/>
  <c r="AN720" i="3"/>
  <c r="AN665" i="3"/>
  <c r="AM58" i="3"/>
  <c r="V420" i="4"/>
  <c r="V516" i="4" s="1"/>
  <c r="V508" i="4"/>
  <c r="AQ721" i="3"/>
  <c r="AO1073" i="3"/>
  <c r="AO455" i="3"/>
  <c r="AL446" i="3"/>
  <c r="AL1030" i="3"/>
  <c r="AM759" i="3"/>
  <c r="AO315" i="3"/>
  <c r="V513" i="4"/>
  <c r="V75" i="4"/>
  <c r="V58" i="4"/>
  <c r="AN1220" i="3"/>
  <c r="AO1220" i="3"/>
  <c r="AP1220" i="3"/>
  <c r="AQ1220" i="3" s="1"/>
  <c r="AN571" i="3"/>
  <c r="AO571" i="3" s="1"/>
  <c r="AM571" i="3"/>
  <c r="AS721" i="3"/>
  <c r="AL468" i="3"/>
  <c r="AJ1298" i="3"/>
  <c r="AU112" i="3"/>
  <c r="AS112" i="3"/>
  <c r="AL974" i="3"/>
  <c r="AM974" i="3"/>
  <c r="AK658" i="3"/>
  <c r="AD702" i="4"/>
  <c r="AI1418" i="3"/>
  <c r="T165" i="4" s="1"/>
  <c r="AJ717" i="3"/>
  <c r="AN1369" i="3"/>
  <c r="AK1386" i="3"/>
  <c r="AM844" i="3"/>
  <c r="AN844" i="3"/>
  <c r="AM434" i="3"/>
  <c r="AN434" i="3" s="1"/>
  <c r="AN84" i="3"/>
  <c r="AL699" i="3"/>
  <c r="S187" i="4"/>
  <c r="AJ334" i="3"/>
  <c r="AN815" i="3"/>
  <c r="AL39" i="3"/>
  <c r="AL771" i="3"/>
  <c r="AK600" i="3"/>
  <c r="AN26" i="3"/>
  <c r="AM664" i="3"/>
  <c r="X920" i="4"/>
  <c r="X1108" i="4"/>
  <c r="AO550" i="3"/>
  <c r="AP1110" i="3"/>
  <c r="AK531" i="3"/>
  <c r="AO980" i="3"/>
  <c r="AB828" i="4"/>
  <c r="AB743" i="4"/>
  <c r="AB756" i="4"/>
  <c r="AB744" i="4"/>
  <c r="AB836" i="4" s="1"/>
  <c r="AC840" i="4" s="1"/>
  <c r="AB792" i="4"/>
  <c r="AM860" i="3"/>
  <c r="AJ860" i="3"/>
  <c r="AK860" i="3"/>
  <c r="AL860" i="3"/>
  <c r="AJ1166" i="3"/>
  <c r="AJ775" i="3"/>
  <c r="AL775" i="3"/>
  <c r="AP812" i="3"/>
  <c r="AM931" i="3"/>
  <c r="AL639" i="3"/>
  <c r="AM1030" i="3"/>
  <c r="AL1035" i="3"/>
  <c r="AM1035" i="3" s="1"/>
  <c r="AK1035" i="3"/>
  <c r="AK655" i="3"/>
  <c r="AL655" i="3"/>
  <c r="AK372" i="3"/>
  <c r="AM1095" i="3"/>
  <c r="AL1095" i="3"/>
  <c r="AF12" i="2"/>
  <c r="AF360" i="2"/>
  <c r="AL56" i="3"/>
  <c r="AU178" i="3"/>
  <c r="AP164" i="3"/>
  <c r="AN1025" i="3"/>
  <c r="AO1025" i="3"/>
  <c r="R908" i="4"/>
  <c r="R911" i="4" s="1"/>
  <c r="R1183" i="4" s="1"/>
  <c r="R206" i="4"/>
  <c r="R1125" i="4"/>
  <c r="R1127" i="4" s="1"/>
  <c r="R1129" i="4"/>
  <c r="R1131" i="4" s="1"/>
  <c r="AR721" i="3"/>
  <c r="AN1111" i="3"/>
  <c r="AO1111" i="3"/>
  <c r="AP1111" i="3" s="1"/>
  <c r="AL236" i="3"/>
  <c r="AK1291" i="3"/>
  <c r="AM1265" i="3"/>
  <c r="AR483" i="3"/>
  <c r="AK1298" i="3"/>
  <c r="W360" i="2"/>
  <c r="W12" i="2"/>
  <c r="AM440" i="3"/>
  <c r="AT557" i="3"/>
  <c r="AK1348" i="3"/>
  <c r="AN1231" i="3"/>
  <c r="AO1231" i="3"/>
  <c r="AK202" i="3"/>
  <c r="U58" i="4"/>
  <c r="U75" i="4"/>
  <c r="U513" i="4"/>
  <c r="AM234" i="3"/>
  <c r="AJ715" i="3"/>
  <c r="AK912" i="3"/>
  <c r="AP283" i="3"/>
  <c r="AO50" i="3"/>
  <c r="U360" i="2"/>
  <c r="U12" i="2"/>
  <c r="AM210" i="3"/>
  <c r="AM963" i="3"/>
  <c r="AL360" i="3"/>
  <c r="AJ1112" i="3"/>
  <c r="AN1084" i="3"/>
  <c r="AL579" i="3"/>
  <c r="AM1308" i="3"/>
  <c r="AL1268" i="3"/>
  <c r="AM690" i="3"/>
  <c r="AP690" i="3" s="1"/>
  <c r="AN690" i="3"/>
  <c r="AO690" i="3" s="1"/>
  <c r="AQ690" i="3"/>
  <c r="AN511" i="3"/>
  <c r="AM1078" i="3"/>
  <c r="V702" i="4"/>
  <c r="AN742" i="3"/>
  <c r="AO742" i="3" s="1"/>
  <c r="AO1109" i="3"/>
  <c r="AM492" i="3"/>
  <c r="AM984" i="3"/>
  <c r="AI1415" i="3"/>
  <c r="T164" i="4" s="1"/>
  <c r="AL733" i="3"/>
  <c r="AK733" i="3"/>
  <c r="AO872" i="3"/>
  <c r="X903" i="4"/>
  <c r="AL165" i="3"/>
  <c r="AH360" i="2"/>
  <c r="AH12" i="2"/>
  <c r="AN748" i="3"/>
  <c r="V79" i="2"/>
  <c r="AG35" i="2"/>
  <c r="AM675" i="3"/>
  <c r="AL675" i="3"/>
  <c r="AL657" i="3"/>
  <c r="AM627" i="3"/>
  <c r="AN508" i="3"/>
  <c r="AM1284" i="3"/>
  <c r="AO508" i="3"/>
  <c r="AK473" i="3"/>
  <c r="AM618" i="3"/>
  <c r="AK716" i="3"/>
  <c r="AO789" i="3"/>
  <c r="AK287" i="3"/>
  <c r="AK108" i="3"/>
  <c r="R75" i="2"/>
  <c r="R157" i="2" s="1"/>
  <c r="P185" i="4"/>
  <c r="AJ1374" i="3"/>
  <c r="AJ1237" i="3"/>
  <c r="AN988" i="3"/>
  <c r="AO1147" i="3"/>
  <c r="AL115" i="3"/>
  <c r="AK243" i="3"/>
  <c r="AI1424" i="3"/>
  <c r="T162" i="4" s="1"/>
  <c r="AK1142" i="3"/>
  <c r="AL1142" i="3" s="1"/>
  <c r="AJ1142" i="3"/>
  <c r="AL731" i="3"/>
  <c r="AL1242" i="3"/>
  <c r="K138" i="4"/>
  <c r="M69" i="2"/>
  <c r="AL1162" i="3"/>
  <c r="AM955" i="3"/>
  <c r="AO116" i="3"/>
  <c r="AM834" i="3"/>
  <c r="AL780" i="3"/>
  <c r="AO341" i="3"/>
  <c r="AP341" i="3" s="1"/>
  <c r="AP646" i="3"/>
  <c r="AL1130" i="3"/>
  <c r="AK507" i="3"/>
  <c r="AL507" i="3"/>
  <c r="AK1157" i="3"/>
  <c r="AJ75" i="3"/>
  <c r="P256" i="2"/>
  <c r="O175" i="2"/>
  <c r="AM256" i="3"/>
  <c r="AN256" i="3"/>
  <c r="AO256" i="3"/>
  <c r="AL256" i="3"/>
  <c r="AQ1235" i="3"/>
  <c r="AI1412" i="3"/>
  <c r="AK81" i="3"/>
  <c r="AI1444" i="3"/>
  <c r="L75" i="2"/>
  <c r="L87" i="2" s="1"/>
  <c r="J185" i="4"/>
  <c r="J174" i="4" s="1"/>
  <c r="AC903" i="4"/>
  <c r="AN523" i="3"/>
  <c r="AK151" i="3"/>
  <c r="AL151" i="3"/>
  <c r="AP1040" i="3"/>
  <c r="AL824" i="3"/>
  <c r="AA782" i="4"/>
  <c r="Q134" i="2"/>
  <c r="AM613" i="3"/>
  <c r="AL613" i="3"/>
  <c r="AK613" i="3"/>
  <c r="AN1261" i="3"/>
  <c r="AR603" i="3"/>
  <c r="AV603" i="3" s="1"/>
  <c r="AK831" i="3"/>
  <c r="AK1253" i="3"/>
  <c r="AO451" i="3"/>
  <c r="AJ1208" i="3"/>
  <c r="AM770" i="3"/>
  <c r="AK420" i="3"/>
  <c r="AK824" i="3"/>
  <c r="AM784" i="3"/>
  <c r="AO576" i="3"/>
  <c r="AL94" i="3"/>
  <c r="AM94" i="3"/>
  <c r="AN833" i="3"/>
  <c r="AM441" i="3"/>
  <c r="AN987" i="3"/>
  <c r="AN342" i="3"/>
  <c r="AK806" i="3"/>
  <c r="AK825" i="3"/>
  <c r="AO270" i="3"/>
  <c r="AP270" i="3"/>
  <c r="AP1187" i="3"/>
  <c r="AQ1187" i="3" s="1"/>
  <c r="AR1187" i="3" s="1"/>
  <c r="AO1187" i="3"/>
  <c r="AJ1190" i="3"/>
  <c r="AM279" i="3"/>
  <c r="AR1046" i="3"/>
  <c r="AL1061" i="3"/>
  <c r="AN1061" i="3"/>
  <c r="AR1282" i="3"/>
  <c r="AF1108" i="4"/>
  <c r="AF920" i="4"/>
  <c r="AL1071" i="3"/>
  <c r="AL1389" i="3"/>
  <c r="AM1093" i="3"/>
  <c r="AN1093" i="3" s="1"/>
  <c r="AN854" i="3"/>
  <c r="AK556" i="3"/>
  <c r="AM968" i="3"/>
  <c r="W702" i="4"/>
  <c r="AJ263" i="3"/>
  <c r="T310" i="2"/>
  <c r="T311" i="2" s="1"/>
  <c r="U309" i="2"/>
  <c r="U218" i="2"/>
  <c r="T143" i="2"/>
  <c r="T225" i="2"/>
  <c r="AM969" i="3"/>
  <c r="AN969" i="3" s="1"/>
  <c r="AM625" i="3"/>
  <c r="AN625" i="3" s="1"/>
  <c r="AL625" i="3"/>
  <c r="AL238" i="3"/>
  <c r="AM238" i="3"/>
  <c r="AJ541" i="3"/>
  <c r="AO1080" i="3"/>
  <c r="AM916" i="3"/>
  <c r="AN787" i="3"/>
  <c r="AL294" i="3"/>
  <c r="AK927" i="3"/>
  <c r="AK1032" i="3"/>
  <c r="AL44" i="3"/>
  <c r="AL120" i="3"/>
  <c r="AL431" i="3"/>
  <c r="AN431" i="3"/>
  <c r="AD58" i="4"/>
  <c r="AD513" i="4"/>
  <c r="AK1198" i="3"/>
  <c r="AN1198" i="3" s="1"/>
  <c r="AL1198" i="3"/>
  <c r="AM1198" i="3"/>
  <c r="AO1198" i="3" s="1"/>
  <c r="AL212" i="3"/>
  <c r="AM921" i="3"/>
  <c r="U74" i="2"/>
  <c r="S139" i="4"/>
  <c r="AK1082" i="3"/>
  <c r="AO1195" i="3"/>
  <c r="AM402" i="3"/>
  <c r="AN402" i="3" s="1"/>
  <c r="AN1246" i="3"/>
  <c r="AO1246" i="3" s="1"/>
  <c r="AK353" i="3"/>
  <c r="AL353" i="3" s="1"/>
  <c r="AN532" i="3"/>
  <c r="AK609" i="3"/>
  <c r="AN105" i="3"/>
  <c r="AL399" i="3"/>
  <c r="AK399" i="3"/>
  <c r="AJ1275" i="3"/>
  <c r="W420" i="4"/>
  <c r="W516" i="4" s="1"/>
  <c r="W508" i="4"/>
  <c r="AJ1276" i="3"/>
  <c r="AM598" i="3"/>
  <c r="AJ100" i="3"/>
  <c r="U744" i="4"/>
  <c r="U836" i="4" s="1"/>
  <c r="V840" i="4" s="1"/>
  <c r="U743" i="4"/>
  <c r="U756" i="4"/>
  <c r="U828" i="4"/>
  <c r="U820" i="4"/>
  <c r="AK1346" i="3"/>
  <c r="AL1346" i="3"/>
  <c r="AL95" i="3"/>
  <c r="AP331" i="3"/>
  <c r="AQ331" i="3"/>
  <c r="AR331" i="3" s="1"/>
  <c r="S1098" i="4"/>
  <c r="S971" i="4"/>
  <c r="V360" i="2"/>
  <c r="V12" i="2"/>
  <c r="AM310" i="3"/>
  <c r="AN1325" i="3"/>
  <c r="AR816" i="3"/>
  <c r="AS816" i="3" s="1"/>
  <c r="AT816" i="3" s="1"/>
  <c r="AU816" i="3"/>
  <c r="AV816" i="3"/>
  <c r="AN203" i="3"/>
  <c r="AK1223" i="3"/>
  <c r="AL221" i="3"/>
  <c r="AN361" i="3"/>
  <c r="AE1108" i="4"/>
  <c r="AE920" i="4"/>
  <c r="AL1075" i="3"/>
  <c r="AL162" i="3"/>
  <c r="AR597" i="3"/>
  <c r="AN894" i="3"/>
  <c r="AM1268" i="3"/>
  <c r="AL620" i="3"/>
  <c r="AM645" i="3"/>
  <c r="AM742" i="3"/>
  <c r="V219" i="2"/>
  <c r="AL313" i="3"/>
  <c r="AJ915" i="3"/>
  <c r="AM286" i="3"/>
  <c r="AJ122" i="3"/>
  <c r="AJ1185" i="3"/>
  <c r="AJ1229" i="3"/>
  <c r="AK1229" i="3"/>
  <c r="AO435" i="3"/>
  <c r="AJ1297" i="3"/>
  <c r="AL752" i="3"/>
  <c r="AM752" i="3"/>
  <c r="AN752" i="3" s="1"/>
  <c r="AM687" i="3"/>
  <c r="AJ1359" i="3"/>
  <c r="AN25" i="3"/>
  <c r="AO25" i="3"/>
  <c r="AL1354" i="3"/>
  <c r="AL621" i="3"/>
  <c r="AO885" i="3"/>
  <c r="AJ504" i="3"/>
  <c r="AM20" i="3"/>
  <c r="AL20" i="3"/>
  <c r="AL101" i="3"/>
  <c r="AJ631" i="3"/>
  <c r="AL127" i="3"/>
  <c r="AL106" i="3"/>
  <c r="AK34" i="3"/>
  <c r="AL34" i="3" s="1"/>
  <c r="M70" i="2"/>
  <c r="K143" i="4"/>
  <c r="M75" i="2" s="1"/>
  <c r="AF513" i="4"/>
  <c r="AF58" i="4"/>
  <c r="AI1403" i="3"/>
  <c r="AJ214" i="3"/>
  <c r="AL254" i="3"/>
  <c r="AP485" i="3"/>
  <c r="AN862" i="3"/>
  <c r="AO862" i="3" s="1"/>
  <c r="AK1028" i="3"/>
  <c r="AN803" i="3"/>
  <c r="AL908" i="3"/>
  <c r="AM908" i="3"/>
  <c r="AN908" i="3"/>
  <c r="AO908" i="3" s="1"/>
  <c r="AP908" i="3"/>
  <c r="AU681" i="3"/>
  <c r="AJ536" i="3"/>
  <c r="AJ1085" i="3"/>
  <c r="AK623" i="3"/>
  <c r="AL494" i="3"/>
  <c r="AK494" i="3"/>
  <c r="AO373" i="3"/>
  <c r="AO626" i="3"/>
  <c r="AJ549" i="3"/>
  <c r="U792" i="4"/>
  <c r="AK1375" i="3"/>
  <c r="AK1045" i="3"/>
  <c r="AM1306" i="3"/>
  <c r="N52" i="8"/>
  <c r="N180" i="8"/>
  <c r="O24" i="4"/>
  <c r="O26" i="4" s="1"/>
  <c r="O36" i="4" s="1"/>
  <c r="P4" i="4"/>
  <c r="AL438" i="3"/>
  <c r="AQ338" i="3"/>
  <c r="AP338" i="3"/>
  <c r="AK968" i="3"/>
  <c r="AQ490" i="3"/>
  <c r="AM577" i="3"/>
  <c r="AO577" i="3"/>
  <c r="AM465" i="3"/>
  <c r="AK1230" i="3"/>
  <c r="AL1230" i="3"/>
  <c r="AL556" i="3"/>
  <c r="AL985" i="3"/>
  <c r="AK791" i="3"/>
  <c r="AL591" i="3"/>
  <c r="AN172" i="3"/>
  <c r="AL147" i="3"/>
  <c r="AK400" i="3"/>
  <c r="AJ400" i="3"/>
  <c r="AL15" i="3"/>
  <c r="AN1295" i="3"/>
  <c r="AJ871" i="3"/>
  <c r="AJ309" i="3"/>
  <c r="AO950" i="3"/>
  <c r="AP950" i="3" s="1"/>
  <c r="AN1002" i="3"/>
  <c r="AO628" i="3"/>
  <c r="AA513" i="4"/>
  <c r="AA75" i="4"/>
  <c r="AA58" i="4"/>
  <c r="AK509" i="3"/>
  <c r="AK37" i="3"/>
  <c r="AK416" i="3"/>
  <c r="AP233" i="3"/>
  <c r="AQ233" i="3" s="1"/>
  <c r="AM789" i="3"/>
  <c r="AM1134" i="3"/>
  <c r="AJ983" i="3"/>
  <c r="AK1092" i="3"/>
  <c r="AJ781" i="3"/>
  <c r="AK781" i="3"/>
  <c r="AN1323" i="3"/>
  <c r="AK1256" i="3"/>
  <c r="AK264" i="3"/>
  <c r="AK647" i="3"/>
  <c r="AM785" i="3"/>
  <c r="AJ1043" i="3"/>
  <c r="AL82" i="3"/>
  <c r="AM563" i="3"/>
  <c r="AL466" i="3"/>
  <c r="AK513" i="3"/>
  <c r="AL1093" i="3"/>
  <c r="AM532" i="3"/>
  <c r="V74" i="2"/>
  <c r="AO749" i="3"/>
  <c r="AL141" i="3"/>
  <c r="AN950" i="3"/>
  <c r="AE828" i="4"/>
  <c r="AE744" i="4"/>
  <c r="AE836" i="4" s="1"/>
  <c r="AF840" i="4" s="1"/>
  <c r="AE756" i="4"/>
  <c r="AE743" i="4"/>
  <c r="AE782" i="4"/>
  <c r="AA903" i="4"/>
  <c r="AJ580" i="3"/>
  <c r="AM736" i="3"/>
  <c r="AJ52" i="3"/>
  <c r="AD828" i="4"/>
  <c r="AD756" i="4"/>
  <c r="AD744" i="4"/>
  <c r="AD836" i="4" s="1"/>
  <c r="AE840" i="4" s="1"/>
  <c r="AD743" i="4"/>
  <c r="AD772" i="4"/>
  <c r="X908" i="4"/>
  <c r="X911" i="4" s="1"/>
  <c r="X1183" i="4" s="1"/>
  <c r="X206" i="4"/>
  <c r="X1125" i="4"/>
  <c r="X1127" i="4" s="1"/>
  <c r="X1129" i="4"/>
  <c r="X1131" i="4" s="1"/>
  <c r="AM551" i="3"/>
  <c r="AL1108" i="3"/>
  <c r="AM1108" i="3" s="1"/>
  <c r="AL651" i="3"/>
  <c r="AL891" i="3"/>
  <c r="AK891" i="3"/>
  <c r="AL698" i="3"/>
  <c r="AL1097" i="3"/>
  <c r="AJ870" i="3"/>
  <c r="AM73" i="3"/>
  <c r="AI360" i="2"/>
  <c r="AI12" i="2"/>
  <c r="AK1276" i="3"/>
  <c r="AM978" i="3"/>
  <c r="AN978" i="3" s="1"/>
  <c r="W513" i="4"/>
  <c r="W75" i="4"/>
  <c r="W58" i="4"/>
  <c r="AM1049" i="3"/>
  <c r="AN1265" i="3"/>
  <c r="AQ483" i="3"/>
  <c r="AK560" i="3"/>
  <c r="AM644" i="3"/>
  <c r="AE908" i="4"/>
  <c r="AE911" i="4" s="1"/>
  <c r="AE1183" i="4" s="1"/>
  <c r="AE206" i="4"/>
  <c r="AE1125" i="4"/>
  <c r="AE1127" i="4" s="1"/>
  <c r="AE1129" i="4"/>
  <c r="AE1131" i="4" s="1"/>
  <c r="AK482" i="3"/>
  <c r="AO331" i="3"/>
  <c r="AL1288" i="3"/>
  <c r="AM1376" i="3"/>
  <c r="AL919" i="3"/>
  <c r="AN919" i="3"/>
  <c r="AO179" i="3"/>
  <c r="AL1373" i="3"/>
  <c r="AK1139" i="3"/>
  <c r="AN829" i="3"/>
  <c r="AJ268" i="3"/>
  <c r="AK268" i="3"/>
  <c r="AL567" i="3"/>
  <c r="AK567" i="3"/>
  <c r="T744" i="4"/>
  <c r="T836" i="4" s="1"/>
  <c r="U840" i="4" s="1"/>
  <c r="T743" i="4"/>
  <c r="T828" i="4"/>
  <c r="T820" i="4"/>
  <c r="T756" i="4"/>
  <c r="AK221" i="3"/>
  <c r="AR281" i="3"/>
  <c r="AT1006" i="3"/>
  <c r="Y513" i="4"/>
  <c r="Y58" i="4"/>
  <c r="Y75" i="4"/>
  <c r="AL1285" i="3"/>
  <c r="AK725" i="3"/>
  <c r="AM511" i="3"/>
  <c r="AL661" i="3"/>
  <c r="AM661" i="3" s="1"/>
  <c r="AM925" i="3"/>
  <c r="AA702" i="4"/>
  <c r="AL727" i="3"/>
  <c r="AN286" i="3"/>
  <c r="AN841" i="3"/>
  <c r="AL841" i="3"/>
  <c r="AM1283" i="3"/>
  <c r="AO1213" i="3"/>
  <c r="AM380" i="3"/>
  <c r="AK851" i="3"/>
  <c r="AL479" i="3"/>
  <c r="AN356" i="3"/>
  <c r="AK1333" i="3"/>
  <c r="AL436" i="3"/>
  <c r="AK1098" i="3"/>
  <c r="AN244" i="3"/>
  <c r="AN835" i="3"/>
  <c r="AN282" i="3"/>
  <c r="AM799" i="3"/>
  <c r="AK439" i="3"/>
  <c r="AL367" i="3"/>
  <c r="AJ356" i="2"/>
  <c r="AK1096" i="3"/>
  <c r="AL1096" i="3" s="1"/>
  <c r="T974" i="4"/>
  <c r="T1099" i="4" s="1"/>
  <c r="T1100" i="4"/>
  <c r="AP343" i="3"/>
  <c r="AD792" i="4"/>
  <c r="AJ918" i="3"/>
  <c r="AP885" i="3"/>
  <c r="AQ885" i="3" s="1"/>
  <c r="AK741" i="3"/>
  <c r="AL182" i="3"/>
  <c r="AL899" i="3"/>
  <c r="AN1367" i="3"/>
  <c r="AM828" i="3"/>
  <c r="AL590" i="3"/>
  <c r="AM1183" i="3"/>
  <c r="AN92" i="3"/>
  <c r="AO92" i="3" s="1"/>
  <c r="AL1120" i="3"/>
  <c r="AK920" i="3"/>
  <c r="AM795" i="3"/>
  <c r="AN118" i="3"/>
  <c r="AO118" i="3" s="1"/>
  <c r="AP253" i="3"/>
  <c r="AN253" i="3"/>
  <c r="AO253" i="3" s="1"/>
  <c r="AL977" i="3"/>
  <c r="R635" i="4"/>
  <c r="R589" i="4"/>
  <c r="R648" i="4" s="1"/>
  <c r="AM101" i="3"/>
  <c r="AJ982" i="3"/>
  <c r="AK982" i="3"/>
  <c r="AL982" i="3" s="1"/>
  <c r="AK1081" i="3"/>
  <c r="AM253" i="3"/>
  <c r="S959" i="4"/>
  <c r="S960" i="4" s="1"/>
  <c r="S1104" i="4" s="1"/>
  <c r="S1103" i="4"/>
  <c r="AP1217" i="3"/>
  <c r="AK1070" i="3"/>
  <c r="AL160" i="3"/>
  <c r="AM745" i="3"/>
  <c r="AN812" i="3"/>
  <c r="AQ812" i="3" s="1"/>
  <c r="AK973" i="3"/>
  <c r="AM913" i="3"/>
  <c r="AN1187" i="3"/>
  <c r="AQ1368" i="3"/>
  <c r="AK1281" i="3"/>
  <c r="AM809" i="3"/>
  <c r="AJ45" i="3"/>
  <c r="AK45" i="3" s="1"/>
  <c r="AN981" i="3"/>
  <c r="AM443" i="3"/>
  <c r="AM703" i="3"/>
  <c r="AO397" i="3"/>
  <c r="AP397" i="3" s="1"/>
  <c r="AK533" i="3"/>
  <c r="AM545" i="3"/>
  <c r="AO545" i="3"/>
  <c r="AP545" i="3" s="1"/>
  <c r="AN545" i="3"/>
  <c r="AK822" i="3"/>
  <c r="AL822" i="3" s="1"/>
  <c r="AM822" i="3" s="1"/>
  <c r="AN1020" i="3"/>
  <c r="AN730" i="3"/>
  <c r="AP1180" i="3"/>
  <c r="AL1250" i="3"/>
  <c r="T418" i="4"/>
  <c r="T508" i="4"/>
  <c r="T419" i="4"/>
  <c r="T420" i="4"/>
  <c r="T516" i="4" s="1"/>
  <c r="AM1061" i="3"/>
  <c r="AM786" i="3"/>
  <c r="AN786" i="3" s="1"/>
  <c r="R216" i="4"/>
  <c r="R212" i="4" s="1"/>
  <c r="R1104" i="4"/>
  <c r="N1117" i="4"/>
  <c r="N34" i="4"/>
  <c r="N35" i="4" s="1"/>
  <c r="AK1022" i="3"/>
  <c r="AN157" i="3"/>
  <c r="AM987" i="3"/>
  <c r="AK365" i="3"/>
  <c r="AN415" i="3"/>
  <c r="AR898" i="3"/>
  <c r="AM231" i="3"/>
  <c r="AN611" i="3"/>
  <c r="AK187" i="3"/>
  <c r="AN636" i="3"/>
  <c r="AQ593" i="3"/>
  <c r="AL1051" i="3"/>
  <c r="V283" i="2"/>
  <c r="V155" i="2"/>
  <c r="AN352" i="3"/>
  <c r="AL80" i="3"/>
  <c r="AJ933" i="3"/>
  <c r="AA360" i="2"/>
  <c r="AA12" i="2"/>
  <c r="AL251" i="3"/>
  <c r="AM502" i="3"/>
  <c r="AN502" i="3"/>
  <c r="AF702" i="4"/>
  <c r="AN319" i="3"/>
  <c r="AM319" i="3"/>
  <c r="AL319" i="3"/>
  <c r="AL290" i="3"/>
  <c r="AO1263" i="3"/>
  <c r="AN792" i="3"/>
  <c r="AL697" i="3"/>
  <c r="AK1126" i="3"/>
  <c r="AM676" i="3"/>
  <c r="AN676" i="3" s="1"/>
  <c r="AN354" i="3"/>
  <c r="X58" i="4"/>
  <c r="X75" i="4"/>
  <c r="X513" i="4"/>
  <c r="AM481" i="3"/>
  <c r="AK406" i="3"/>
  <c r="AM1273" i="3"/>
  <c r="AM734" i="3"/>
  <c r="AN767" i="3"/>
  <c r="AL599" i="3"/>
  <c r="AL1164" i="3"/>
  <c r="AK1105" i="3"/>
  <c r="AJ1105" i="3"/>
  <c r="AO144" i="3"/>
  <c r="AR233" i="3"/>
  <c r="AS233" i="3" s="1"/>
  <c r="Z702" i="4"/>
  <c r="AK1158" i="3"/>
  <c r="AO728" i="3"/>
  <c r="AP728" i="3" s="1"/>
  <c r="AL386" i="3"/>
  <c r="AP1329" i="3"/>
  <c r="AK477" i="3"/>
  <c r="AM710" i="3"/>
  <c r="O4" i="10"/>
  <c r="N7" i="10"/>
  <c r="AO1378" i="3"/>
  <c r="AP401" i="3"/>
  <c r="AN1104" i="3"/>
  <c r="AM300" i="3"/>
  <c r="AN497" i="3"/>
  <c r="V744" i="4"/>
  <c r="V836" i="4" s="1"/>
  <c r="W840" i="4" s="1"/>
  <c r="V743" i="4"/>
  <c r="V828" i="4"/>
  <c r="V756" i="4"/>
  <c r="AM1143" i="3"/>
  <c r="AO352" i="3"/>
  <c r="AO523" i="3"/>
  <c r="AN1026" i="3"/>
  <c r="AN1232" i="3"/>
  <c r="AL994" i="3"/>
  <c r="AN394" i="3"/>
  <c r="AO394" i="3" s="1"/>
  <c r="AP394" i="3" s="1"/>
  <c r="AN547" i="3"/>
  <c r="AL796" i="3"/>
  <c r="AK330" i="3"/>
  <c r="AK1159" i="3"/>
  <c r="AK723" i="3"/>
  <c r="AN1207" i="3"/>
  <c r="AL388" i="3"/>
  <c r="AK232" i="3"/>
  <c r="AK1051" i="3"/>
  <c r="AP148" i="3"/>
  <c r="AJ1293" i="3"/>
  <c r="AJ156" i="3"/>
  <c r="AK83" i="3"/>
  <c r="AN701" i="3"/>
  <c r="AJ1397" i="3"/>
  <c r="AJ1442" i="3"/>
  <c r="O131" i="2"/>
  <c r="AL63" i="3"/>
  <c r="AJ158" i="3"/>
  <c r="AR576" i="3"/>
  <c r="AS576" i="3" s="1"/>
  <c r="AM556" i="3"/>
  <c r="AM950" i="3"/>
  <c r="N338" i="2"/>
  <c r="AM145" i="3"/>
  <c r="AM738" i="3"/>
  <c r="T1108" i="4"/>
  <c r="T920" i="4"/>
  <c r="AK88" i="3"/>
  <c r="AO74" i="3"/>
  <c r="AP74" i="3" s="1"/>
  <c r="AK540" i="3"/>
  <c r="AL540" i="3"/>
  <c r="AM540" i="3" s="1"/>
  <c r="AJ515" i="3"/>
  <c r="AK515" i="3" s="1"/>
  <c r="AL163" i="3"/>
  <c r="AJ714" i="3"/>
  <c r="AP137" i="3"/>
  <c r="AQ137" i="3" s="1"/>
  <c r="AW327" i="3"/>
  <c r="AX327" i="3" s="1"/>
  <c r="AU113" i="3"/>
  <c r="AV113" i="3" s="1"/>
  <c r="AW113" i="3" s="1"/>
  <c r="AX113" i="3" s="1"/>
  <c r="AO229" i="3"/>
  <c r="AP229" i="3" s="1"/>
  <c r="AQ229" i="3" s="1"/>
  <c r="AQ470" i="3"/>
  <c r="AS470" i="3" s="1"/>
  <c r="AL685" i="3"/>
  <c r="Z420" i="4"/>
  <c r="Z516" i="4" s="1"/>
  <c r="Z508" i="4"/>
  <c r="S1099" i="4"/>
  <c r="S976" i="4"/>
  <c r="T973" i="4" s="1"/>
  <c r="AJ1127" i="3"/>
  <c r="AM1102" i="3"/>
  <c r="AN1102" i="3" s="1"/>
  <c r="AK695" i="3"/>
  <c r="AJ1048" i="3"/>
  <c r="AK226" i="3"/>
  <c r="AN302" i="3"/>
  <c r="AL240" i="3"/>
  <c r="AL1339" i="3"/>
  <c r="AL180" i="3"/>
  <c r="AM63" i="3"/>
  <c r="AM548" i="3"/>
  <c r="AN548" i="3" s="1"/>
  <c r="AO548" i="3" s="1"/>
  <c r="AJ723" i="3"/>
  <c r="AQ576" i="3"/>
  <c r="AL190" i="3"/>
  <c r="V639" i="4"/>
  <c r="V657" i="4" s="1"/>
  <c r="V706" i="4" s="1"/>
  <c r="X39" i="2" s="1"/>
  <c r="W12" i="4"/>
  <c r="V483" i="4"/>
  <c r="V501" i="4" s="1"/>
  <c r="V550" i="4" s="1"/>
  <c r="X24" i="2" s="1"/>
  <c r="AK672" i="3"/>
  <c r="AL1266" i="3"/>
  <c r="AB58" i="4"/>
  <c r="AB513" i="4"/>
  <c r="AB75" i="4"/>
  <c r="AQ320" i="3"/>
  <c r="AO1037" i="3"/>
  <c r="AL1004" i="3"/>
  <c r="AJ783" i="3"/>
  <c r="AL87" i="3"/>
  <c r="AJ275" i="3"/>
  <c r="AQ1205" i="3"/>
  <c r="AJ463" i="3"/>
  <c r="AK463" i="3"/>
  <c r="AL1116" i="3"/>
  <c r="AK1321" i="3"/>
  <c r="AL671" i="3"/>
  <c r="AN587" i="3"/>
  <c r="AL587" i="3"/>
  <c r="AM587" i="3"/>
  <c r="Y420" i="4"/>
  <c r="Y516" i="4" s="1"/>
  <c r="Y508" i="4"/>
  <c r="AO1202" i="3"/>
  <c r="T908" i="4"/>
  <c r="T911" i="4" s="1"/>
  <c r="T1183" i="4" s="1"/>
  <c r="T1129" i="4"/>
  <c r="T1131" i="4" s="1"/>
  <c r="T206" i="4"/>
  <c r="T1125" i="4"/>
  <c r="T1127" i="4" s="1"/>
  <c r="AM1209" i="3"/>
  <c r="AN1209" i="3" s="1"/>
  <c r="AK410" i="3"/>
  <c r="AK951" i="3"/>
  <c r="AM280" i="3"/>
  <c r="AD908" i="4"/>
  <c r="AD911" i="4" s="1"/>
  <c r="AD1183" i="4" s="1"/>
  <c r="AD206" i="4"/>
  <c r="AD1125" i="4"/>
  <c r="AD1127" i="4" s="1"/>
  <c r="AD1129" i="4"/>
  <c r="AD1131" i="4" s="1"/>
  <c r="AM159" i="3"/>
  <c r="AK686" i="3"/>
  <c r="AL686" i="3" s="1"/>
  <c r="AK475" i="3"/>
  <c r="AL314" i="3"/>
  <c r="AJ768" i="3"/>
  <c r="AR1263" i="3"/>
  <c r="AS1263" i="3" s="1"/>
  <c r="AK18" i="3"/>
  <c r="AN738" i="3"/>
  <c r="AJ601" i="3"/>
  <c r="AB1138" i="4"/>
  <c r="AG1108" i="4"/>
  <c r="AG920" i="4"/>
  <c r="X248" i="2"/>
  <c r="Y323" i="2"/>
  <c r="X325" i="2"/>
  <c r="X326" i="2" s="1"/>
  <c r="X327" i="2" s="1"/>
  <c r="Y249" i="2"/>
  <c r="AQ537" i="3"/>
  <c r="AR537" i="3" s="1"/>
  <c r="AP537" i="3"/>
  <c r="AL1014" i="3"/>
  <c r="AO1302" i="3"/>
  <c r="P297" i="2"/>
  <c r="AM163" i="3"/>
  <c r="AN807" i="3"/>
  <c r="AO807" i="3"/>
  <c r="T356" i="2"/>
  <c r="K356" i="2" s="1"/>
  <c r="R679" i="4"/>
  <c r="S674" i="4" s="1"/>
  <c r="AL520" i="3"/>
  <c r="AO988" i="3"/>
  <c r="AS377" i="3"/>
  <c r="AT377" i="3" s="1"/>
  <c r="AU377" i="3" s="1"/>
  <c r="AV377" i="3" s="1"/>
  <c r="AW377" i="3" s="1"/>
  <c r="AX377" i="3" s="1"/>
  <c r="AN1199" i="3"/>
  <c r="AM478" i="3"/>
  <c r="U17" i="10"/>
  <c r="U65" i="4"/>
  <c r="U74" i="4" s="1"/>
  <c r="AM408" i="3"/>
  <c r="AJ962" i="3"/>
  <c r="W208" i="2"/>
  <c r="AL662" i="3"/>
  <c r="AJ358" i="3"/>
  <c r="Z513" i="4"/>
  <c r="Z58" i="4"/>
  <c r="Z75" i="4"/>
  <c r="AN408" i="3"/>
  <c r="AQ32" i="3"/>
  <c r="AR32" i="3" s="1"/>
  <c r="AS32" i="3" s="1"/>
  <c r="U82" i="2"/>
  <c r="U123" i="2" s="1"/>
  <c r="S169" i="4"/>
  <c r="AF508" i="4"/>
  <c r="AF420" i="4"/>
  <c r="AF516" i="4" s="1"/>
  <c r="AJ1347" i="3"/>
  <c r="AK1079" i="3"/>
  <c r="AL667" i="3"/>
  <c r="AL300" i="3"/>
  <c r="R237" i="4"/>
  <c r="R947" i="4" s="1"/>
  <c r="R235" i="4"/>
  <c r="R644" i="4" s="1"/>
  <c r="R661" i="4" s="1"/>
  <c r="R236" i="4"/>
  <c r="R808" i="4" s="1"/>
  <c r="R825" i="4" s="1"/>
  <c r="R234" i="4"/>
  <c r="R488" i="4" s="1"/>
  <c r="R505" i="4" s="1"/>
  <c r="AJ471" i="3"/>
  <c r="AN277" i="3"/>
  <c r="AB255" i="2"/>
  <c r="AM274" i="3"/>
  <c r="AN274" i="3" s="1"/>
  <c r="K212" i="2"/>
  <c r="W301" i="2"/>
  <c r="W302" i="2" s="1"/>
  <c r="W306" i="2" s="1"/>
  <c r="X300" i="2"/>
  <c r="X212" i="2"/>
  <c r="AK534" i="3"/>
  <c r="AO656" i="3"/>
  <c r="AN588" i="3"/>
  <c r="AK239" i="3"/>
  <c r="AK1012" i="3"/>
  <c r="AP576" i="3"/>
  <c r="AP548" i="3"/>
  <c r="AQ548" i="3" s="1"/>
  <c r="R1108" i="4"/>
  <c r="R1110" i="4" s="1"/>
  <c r="R920" i="4"/>
  <c r="AM961" i="3"/>
  <c r="AJ199" i="3"/>
  <c r="AO481" i="3"/>
  <c r="AL1206" i="3"/>
  <c r="AL276" i="3"/>
  <c r="AO242" i="3"/>
  <c r="U222" i="2"/>
  <c r="AK527" i="3"/>
  <c r="AK305" i="3"/>
  <c r="W73" i="2"/>
  <c r="U138" i="4"/>
  <c r="AM1252" i="3"/>
  <c r="AL497" i="3"/>
  <c r="N218" i="4"/>
  <c r="N221" i="4"/>
  <c r="N220" i="4"/>
  <c r="N219" i="4"/>
  <c r="N222" i="4"/>
  <c r="Y920" i="4"/>
  <c r="Y1108" i="4"/>
  <c r="AL1145" i="3"/>
  <c r="AM1145" i="3" s="1"/>
  <c r="AL259" i="3"/>
  <c r="AM259" i="3" s="1"/>
  <c r="AK1060" i="3"/>
  <c r="AL761" i="3"/>
  <c r="AM624" i="3"/>
  <c r="AN624" i="3" s="1"/>
  <c r="AM636" i="3"/>
  <c r="AJ269" i="3"/>
  <c r="AR137" i="3"/>
  <c r="AS137" i="3" s="1"/>
  <c r="AM120" i="3"/>
  <c r="AN120" i="3" s="1"/>
  <c r="AL384" i="3"/>
  <c r="AL1031" i="3"/>
  <c r="AM701" i="3"/>
  <c r="AQ850" i="3"/>
  <c r="AK269" i="3"/>
  <c r="AL269" i="3" s="1"/>
  <c r="R903" i="4"/>
  <c r="AM190" i="3"/>
  <c r="AP198" i="3"/>
  <c r="Y227" i="2" l="1"/>
  <c r="Y329" i="2"/>
  <c r="X331" i="2"/>
  <c r="X332" i="2" s="1"/>
  <c r="X333" i="2" s="1"/>
  <c r="AJ348" i="2"/>
  <c r="S1138" i="4"/>
  <c r="R1138" i="4"/>
  <c r="R1186" i="4" s="1"/>
  <c r="R1188" i="4" s="1"/>
  <c r="R1190" i="4" s="1"/>
  <c r="X31" i="10"/>
  <c r="T139" i="4"/>
  <c r="T177" i="4" s="1"/>
  <c r="U143" i="4"/>
  <c r="U144" i="4" s="1"/>
  <c r="S186" i="4"/>
  <c r="AJ11" i="2"/>
  <c r="T923" i="4"/>
  <c r="X411" i="4"/>
  <c r="S185" i="4"/>
  <c r="U157" i="2"/>
  <c r="U93" i="4"/>
  <c r="U178" i="4" s="1"/>
  <c r="AC100" i="2"/>
  <c r="AD100" i="2" s="1"/>
  <c r="AE100" i="2" s="1"/>
  <c r="V117" i="4"/>
  <c r="T185" i="4"/>
  <c r="T184" i="4"/>
  <c r="T218" i="4" s="1"/>
  <c r="U137" i="4"/>
  <c r="U139" i="4" s="1"/>
  <c r="W68" i="2"/>
  <c r="K68" i="2" s="1"/>
  <c r="I68" i="2" s="1"/>
  <c r="W115" i="10"/>
  <c r="W111" i="4"/>
  <c r="AE18" i="10"/>
  <c r="AE66" i="4"/>
  <c r="AE75" i="4" s="1"/>
  <c r="W70" i="2"/>
  <c r="K70" i="2" s="1"/>
  <c r="I70" i="2" s="1"/>
  <c r="T75" i="2"/>
  <c r="T157" i="2" s="1"/>
  <c r="Y31" i="10"/>
  <c r="Y411" i="4"/>
  <c r="W107" i="4"/>
  <c r="W111" i="10"/>
  <c r="X116" i="10"/>
  <c r="X112" i="4"/>
  <c r="V76" i="2"/>
  <c r="AD113" i="10"/>
  <c r="AD109" i="4"/>
  <c r="W117" i="10"/>
  <c r="W113" i="4"/>
  <c r="Z118" i="10"/>
  <c r="Z114" i="4"/>
  <c r="W141" i="4"/>
  <c r="X141" i="4" s="1"/>
  <c r="T76" i="2"/>
  <c r="X745" i="4"/>
  <c r="X767" i="4" s="1"/>
  <c r="K220" i="4"/>
  <c r="K199" i="4" s="1"/>
  <c r="T1235" i="4"/>
  <c r="K218" i="4"/>
  <c r="U147" i="4"/>
  <c r="V147" i="4" s="1"/>
  <c r="T76" i="4"/>
  <c r="T745" i="4"/>
  <c r="T751" i="4" s="1"/>
  <c r="S76" i="4"/>
  <c r="AA152" i="4"/>
  <c r="AB152" i="4" s="1"/>
  <c r="AC152" i="4" s="1"/>
  <c r="L220" i="4"/>
  <c r="L221" i="4"/>
  <c r="L218" i="4"/>
  <c r="L222" i="4"/>
  <c r="L219" i="4"/>
  <c r="K219" i="4"/>
  <c r="K485" i="4" s="1"/>
  <c r="K502" i="4" s="1"/>
  <c r="W745" i="4"/>
  <c r="W777" i="4" s="1"/>
  <c r="N74" i="2"/>
  <c r="L185" i="4"/>
  <c r="K222" i="4"/>
  <c r="K201" i="4" s="1"/>
  <c r="T312" i="2"/>
  <c r="AG745" i="4"/>
  <c r="AG767" i="4" s="1"/>
  <c r="T187" i="4"/>
  <c r="T234" i="4" s="1"/>
  <c r="T488" i="4" s="1"/>
  <c r="T505" i="4" s="1"/>
  <c r="R421" i="4"/>
  <c r="T421" i="4"/>
  <c r="M201" i="4"/>
  <c r="W155" i="4"/>
  <c r="X155" i="4" s="1"/>
  <c r="Y155" i="4" s="1"/>
  <c r="U156" i="4"/>
  <c r="W78" i="2" s="1"/>
  <c r="K78" i="2" s="1"/>
  <c r="I78" i="2" s="1"/>
  <c r="M220" i="4"/>
  <c r="M221" i="4"/>
  <c r="M218" i="4"/>
  <c r="M219" i="4"/>
  <c r="K73" i="2"/>
  <c r="I73" i="2" s="1"/>
  <c r="T976" i="4"/>
  <c r="U973" i="4" s="1"/>
  <c r="O75" i="2"/>
  <c r="M185" i="4"/>
  <c r="R142" i="2"/>
  <c r="N174" i="4"/>
  <c r="O87" i="4"/>
  <c r="Q87" i="4"/>
  <c r="U142" i="2"/>
  <c r="M87" i="4"/>
  <c r="U923" i="4"/>
  <c r="N87" i="4"/>
  <c r="J189" i="4"/>
  <c r="L87" i="4"/>
  <c r="P87" i="4"/>
  <c r="R87" i="2"/>
  <c r="K77" i="2"/>
  <c r="I77" i="2" s="1"/>
  <c r="Z745" i="4"/>
  <c r="Z777" i="4" s="1"/>
  <c r="AB745" i="4"/>
  <c r="AB205" i="4" s="1"/>
  <c r="J87" i="4"/>
  <c r="AC745" i="4"/>
  <c r="AC751" i="4" s="1"/>
  <c r="AQ478" i="3"/>
  <c r="AV470" i="3"/>
  <c r="AW470" i="3" s="1"/>
  <c r="AX470" i="3" s="1"/>
  <c r="AP867" i="3"/>
  <c r="AQ867" i="3" s="1"/>
  <c r="AR867" i="3" s="1"/>
  <c r="AV229" i="3"/>
  <c r="AO722" i="3"/>
  <c r="AQ341" i="3"/>
  <c r="AR341" i="3"/>
  <c r="AV1220" i="3"/>
  <c r="AR677" i="3"/>
  <c r="AO733" i="3"/>
  <c r="AO1140" i="3"/>
  <c r="AP1167" i="3"/>
  <c r="AS282" i="3"/>
  <c r="AW1258" i="3"/>
  <c r="AX1258" i="3" s="1"/>
  <c r="AL1237" i="3"/>
  <c r="AM1237" i="3" s="1"/>
  <c r="AO247" i="3"/>
  <c r="AL515" i="3"/>
  <c r="AN1145" i="3"/>
  <c r="AM22" i="3"/>
  <c r="AT470" i="3"/>
  <c r="AU470" i="3" s="1"/>
  <c r="AQ978" i="3"/>
  <c r="AO120" i="3"/>
  <c r="AP120" i="3" s="1"/>
  <c r="AN814" i="3"/>
  <c r="AO814" i="3" s="1"/>
  <c r="AN1225" i="3"/>
  <c r="AT248" i="3"/>
  <c r="AM410" i="3"/>
  <c r="AT635" i="3"/>
  <c r="AR885" i="3"/>
  <c r="AS885" i="3" s="1"/>
  <c r="AT885" i="3" s="1"/>
  <c r="AM230" i="3"/>
  <c r="AW721" i="3"/>
  <c r="AX721" i="3" s="1"/>
  <c r="AP547" i="3"/>
  <c r="AN1380" i="3"/>
  <c r="AO175" i="3"/>
  <c r="AO1385" i="3"/>
  <c r="AO153" i="3"/>
  <c r="AM746" i="3"/>
  <c r="AO311" i="3"/>
  <c r="AP311" i="3" s="1"/>
  <c r="AP224" i="3"/>
  <c r="AL1024" i="3"/>
  <c r="AM117" i="3"/>
  <c r="AL1364" i="3"/>
  <c r="AS79" i="3"/>
  <c r="AP1198" i="3"/>
  <c r="AO813" i="3"/>
  <c r="AQ813" i="3" s="1"/>
  <c r="AR813" i="3" s="1"/>
  <c r="AS813" i="3" s="1"/>
  <c r="AS850" i="3"/>
  <c r="AT850" i="3" s="1"/>
  <c r="AU850" i="3" s="1"/>
  <c r="AV850" i="3" s="1"/>
  <c r="AW850" i="3" s="1"/>
  <c r="AX850" i="3" s="1"/>
  <c r="AT872" i="3"/>
  <c r="AU872" i="3" s="1"/>
  <c r="AN171" i="3"/>
  <c r="AM67" i="3"/>
  <c r="AO686" i="3"/>
  <c r="AN1142" i="3"/>
  <c r="AO655" i="3"/>
  <c r="AO848" i="3"/>
  <c r="AP848" i="3" s="1"/>
  <c r="AQ848" i="3" s="1"/>
  <c r="AR848" i="3" s="1"/>
  <c r="AS848" i="3" s="1"/>
  <c r="AN740" i="3"/>
  <c r="AP740" i="3" s="1"/>
  <c r="AL861" i="3"/>
  <c r="AR800" i="3"/>
  <c r="AU800" i="3" s="1"/>
  <c r="AM1087" i="3"/>
  <c r="AL1087" i="3"/>
  <c r="AQ248" i="3"/>
  <c r="AL126" i="3"/>
  <c r="AM126" i="3" s="1"/>
  <c r="AK126" i="3"/>
  <c r="AM301" i="3"/>
  <c r="AP276" i="3"/>
  <c r="AN276" i="3"/>
  <c r="AO276" i="3"/>
  <c r="AM276" i="3"/>
  <c r="AD345" i="2"/>
  <c r="AB527" i="4"/>
  <c r="AB520" i="4"/>
  <c r="AW137" i="3"/>
  <c r="AX137" i="3" s="1"/>
  <c r="AN145" i="3"/>
  <c r="AO1159" i="3"/>
  <c r="AP1159" i="3"/>
  <c r="AQ1159" i="3" s="1"/>
  <c r="AR1159" i="3" s="1"/>
  <c r="AL1159" i="3"/>
  <c r="AM1159" i="3" s="1"/>
  <c r="AN1159" i="3" s="1"/>
  <c r="AM386" i="3"/>
  <c r="AN406" i="3"/>
  <c r="AL406" i="3"/>
  <c r="AM406" i="3"/>
  <c r="AL1081" i="3"/>
  <c r="AN795" i="3"/>
  <c r="AO1183" i="3"/>
  <c r="AP1183" i="3" s="1"/>
  <c r="AM1285" i="3"/>
  <c r="AN644" i="3"/>
  <c r="AM466" i="3"/>
  <c r="AN466" i="3"/>
  <c r="AO1295" i="3"/>
  <c r="AP752" i="3"/>
  <c r="AQ270" i="3"/>
  <c r="AR270" i="3" s="1"/>
  <c r="AN441" i="3"/>
  <c r="AM165" i="3"/>
  <c r="AO165" i="3"/>
  <c r="AP165" i="3"/>
  <c r="AQ165" i="3" s="1"/>
  <c r="AN165" i="3"/>
  <c r="AM360" i="3"/>
  <c r="AM600" i="3"/>
  <c r="AL600" i="3"/>
  <c r="AL1298" i="3"/>
  <c r="AT1220" i="3"/>
  <c r="AS1220" i="3"/>
  <c r="AW1220" i="3" s="1"/>
  <c r="AX1220" i="3" s="1"/>
  <c r="AR1220" i="3"/>
  <c r="AQ544" i="3"/>
  <c r="AP665" i="3"/>
  <c r="AI35" i="2"/>
  <c r="AN486" i="3"/>
  <c r="AO1121" i="3"/>
  <c r="AP1121" i="3" s="1"/>
  <c r="AN1248" i="3"/>
  <c r="AP875" i="3"/>
  <c r="AM1022" i="3"/>
  <c r="AN1389" i="3"/>
  <c r="AM524" i="3"/>
  <c r="AB702" i="4"/>
  <c r="AO123" i="3"/>
  <c r="AP123" i="3" s="1"/>
  <c r="AO773" i="3"/>
  <c r="AK1153" i="3"/>
  <c r="AL1153" i="3"/>
  <c r="AM1153" i="3"/>
  <c r="AN1153" i="3" s="1"/>
  <c r="AO1153" i="3" s="1"/>
  <c r="AJ1427" i="3"/>
  <c r="U163" i="4" s="1"/>
  <c r="AK631" i="3"/>
  <c r="AN132" i="3"/>
  <c r="AL1157" i="3"/>
  <c r="AN46" i="3"/>
  <c r="AM335" i="3"/>
  <c r="AN817" i="3"/>
  <c r="AO817" i="3" s="1"/>
  <c r="AP1244" i="3"/>
  <c r="AK989" i="3"/>
  <c r="AO606" i="3"/>
  <c r="AP606" i="3"/>
  <c r="AQ606" i="3"/>
  <c r="AO959" i="3"/>
  <c r="AT137" i="3"/>
  <c r="AU137" i="3" s="1"/>
  <c r="AV137" i="3" s="1"/>
  <c r="AL776" i="3"/>
  <c r="AS252" i="3"/>
  <c r="AQ528" i="3"/>
  <c r="AR528" i="3"/>
  <c r="AS528" i="3" s="1"/>
  <c r="AT528" i="3" s="1"/>
  <c r="AU528" i="3" s="1"/>
  <c r="AV528" i="3" s="1"/>
  <c r="AW528" i="3" s="1"/>
  <c r="AX528" i="3" s="1"/>
  <c r="AQ142" i="3"/>
  <c r="AR142" i="3" s="1"/>
  <c r="AS142" i="3" s="1"/>
  <c r="AT142" i="3" s="1"/>
  <c r="AU142" i="3" s="1"/>
  <c r="AV142" i="3" s="1"/>
  <c r="AW142" i="3" s="1"/>
  <c r="AX142" i="3" s="1"/>
  <c r="AL237" i="3"/>
  <c r="AO16" i="3"/>
  <c r="AM16" i="3"/>
  <c r="AN16" i="3" s="1"/>
  <c r="AM1055" i="3"/>
  <c r="AM1156" i="3"/>
  <c r="AN1156" i="3" s="1"/>
  <c r="AP949" i="3"/>
  <c r="AN1171" i="3"/>
  <c r="AO1171" i="3" s="1"/>
  <c r="AP1171" i="3" s="1"/>
  <c r="AS490" i="3"/>
  <c r="AN380" i="3"/>
  <c r="AO380" i="3" s="1"/>
  <c r="AL1196" i="3"/>
  <c r="AM1196" i="3" s="1"/>
  <c r="AS248" i="3"/>
  <c r="AO418" i="3"/>
  <c r="AN967" i="3"/>
  <c r="AO740" i="3"/>
  <c r="AQ1178" i="3"/>
  <c r="AR1178" i="3" s="1"/>
  <c r="AN301" i="3"/>
  <c r="AP1207" i="3"/>
  <c r="AR1207" i="3"/>
  <c r="AS1207" i="3" s="1"/>
  <c r="AT1207" i="3" s="1"/>
  <c r="AU1207" i="3" s="1"/>
  <c r="AV1207" i="3" s="1"/>
  <c r="Y191" i="2"/>
  <c r="Y138" i="2"/>
  <c r="AO249" i="3"/>
  <c r="AM208" i="3"/>
  <c r="AQ198" i="3"/>
  <c r="AR198" i="3" s="1"/>
  <c r="AQ809" i="3"/>
  <c r="AR809" i="3" s="1"/>
  <c r="AS809" i="3" s="1"/>
  <c r="AN809" i="3"/>
  <c r="AO809" i="3" s="1"/>
  <c r="AP809" i="3" s="1"/>
  <c r="AF345" i="2"/>
  <c r="AD520" i="4"/>
  <c r="AD527" i="4"/>
  <c r="AL1253" i="3"/>
  <c r="AQ646" i="3"/>
  <c r="AL108" i="3"/>
  <c r="AM108" i="3"/>
  <c r="AN108" i="3"/>
  <c r="AL1112" i="3"/>
  <c r="AK1112" i="3"/>
  <c r="AM369" i="3"/>
  <c r="AP173" i="3"/>
  <c r="AQ173" i="3"/>
  <c r="AR173" i="3"/>
  <c r="AS173" i="3" s="1"/>
  <c r="AG1186" i="4"/>
  <c r="AG1188" i="4" s="1"/>
  <c r="AG921" i="4"/>
  <c r="AM1052" i="3"/>
  <c r="AM195" i="3"/>
  <c r="AL1150" i="3"/>
  <c r="AP814" i="3"/>
  <c r="AQ814" i="3"/>
  <c r="AL713" i="3"/>
  <c r="AN914" i="3"/>
  <c r="AO914" i="3"/>
  <c r="AP914" i="3" s="1"/>
  <c r="AM291" i="3"/>
  <c r="AL329" i="3"/>
  <c r="AL607" i="3"/>
  <c r="AM607" i="3"/>
  <c r="AL1186" i="3"/>
  <c r="AM1186" i="3"/>
  <c r="AN1186" i="3" s="1"/>
  <c r="AM1409" i="3"/>
  <c r="AN378" i="3"/>
  <c r="AN269" i="3"/>
  <c r="AO269" i="3" s="1"/>
  <c r="AM269" i="3"/>
  <c r="AL534" i="3"/>
  <c r="AO534" i="3" s="1"/>
  <c r="AP534" i="3" s="1"/>
  <c r="AM534" i="3"/>
  <c r="AN534" i="3"/>
  <c r="AM667" i="3"/>
  <c r="AN667" i="3" s="1"/>
  <c r="AK768" i="3"/>
  <c r="AJ1415" i="3"/>
  <c r="U164" i="4" s="1"/>
  <c r="V830" i="4"/>
  <c r="V835" i="4"/>
  <c r="V745" i="4"/>
  <c r="AM590" i="3"/>
  <c r="AM567" i="3"/>
  <c r="AN785" i="3"/>
  <c r="X35" i="2"/>
  <c r="AM487" i="3"/>
  <c r="AM496" i="3"/>
  <c r="AL496" i="3"/>
  <c r="AR802" i="3"/>
  <c r="AN932" i="3"/>
  <c r="AN934" i="3"/>
  <c r="AO934" i="3" s="1"/>
  <c r="AN859" i="3"/>
  <c r="AN559" i="3"/>
  <c r="AN572" i="3"/>
  <c r="AM572" i="3"/>
  <c r="AO572" i="3" s="1"/>
  <c r="AO495" i="3"/>
  <c r="AO26" i="3"/>
  <c r="AN1277" i="3"/>
  <c r="W846" i="4"/>
  <c r="AP1378" i="3"/>
  <c r="AM95" i="3"/>
  <c r="AO1261" i="3"/>
  <c r="AN1035" i="3"/>
  <c r="AO1386" i="3"/>
  <c r="AM1386" i="3"/>
  <c r="AN1386" i="3" s="1"/>
  <c r="AL1386" i="3"/>
  <c r="AN729" i="3"/>
  <c r="AN353" i="3"/>
  <c r="AM491" i="3"/>
  <c r="AN964" i="3"/>
  <c r="AO964" i="3" s="1"/>
  <c r="AK911" i="3"/>
  <c r="AR157" i="3"/>
  <c r="AS157" i="3" s="1"/>
  <c r="AO1247" i="3"/>
  <c r="AP719" i="3"/>
  <c r="AQ719" i="3" s="1"/>
  <c r="AK832" i="3"/>
  <c r="AL832" i="3" s="1"/>
  <c r="AQ839" i="3"/>
  <c r="AR839" i="3"/>
  <c r="AS839" i="3"/>
  <c r="AP839" i="3"/>
  <c r="AT839" i="3" s="1"/>
  <c r="AU839" i="3" s="1"/>
  <c r="AO39" i="3"/>
  <c r="AM289" i="3"/>
  <c r="AN1286" i="3"/>
  <c r="AO574" i="3"/>
  <c r="AO355" i="3"/>
  <c r="AP355" i="3"/>
  <c r="AM433" i="3"/>
  <c r="AK783" i="3"/>
  <c r="AO890" i="3"/>
  <c r="AO1020" i="3"/>
  <c r="AS1187" i="3"/>
  <c r="W219" i="2"/>
  <c r="AS1282" i="3"/>
  <c r="AP770" i="3"/>
  <c r="AO770" i="3"/>
  <c r="U61" i="4"/>
  <c r="AO638" i="3"/>
  <c r="AN56" i="3"/>
  <c r="AL33" i="3"/>
  <c r="AM450" i="3"/>
  <c r="AP450" i="3"/>
  <c r="AN450" i="3"/>
  <c r="AO450" i="3" s="1"/>
  <c r="AL998" i="3"/>
  <c r="AK998" i="3"/>
  <c r="AP1306" i="3"/>
  <c r="AQ1306" i="3" s="1"/>
  <c r="AR1306" i="3" s="1"/>
  <c r="AS1306" i="3" s="1"/>
  <c r="AT1306" i="3" s="1"/>
  <c r="AU1306" i="3" s="1"/>
  <c r="AN454" i="3"/>
  <c r="AO1149" i="3"/>
  <c r="AL616" i="3"/>
  <c r="AS1083" i="3"/>
  <c r="AT1083" i="3" s="1"/>
  <c r="AU1083" i="3" s="1"/>
  <c r="AV1083" i="3" s="1"/>
  <c r="AW1083" i="3" s="1"/>
  <c r="AX1083" i="3" s="1"/>
  <c r="AT233" i="3"/>
  <c r="AN306" i="3"/>
  <c r="AM971" i="3"/>
  <c r="AL184" i="3"/>
  <c r="AQ317" i="3"/>
  <c r="AR317" i="3"/>
  <c r="AS317" i="3" s="1"/>
  <c r="AT317" i="3" s="1"/>
  <c r="AP317" i="3"/>
  <c r="AM1296" i="3"/>
  <c r="AO1117" i="3"/>
  <c r="AP1117" i="3"/>
  <c r="AS1117" i="3"/>
  <c r="AL169" i="3"/>
  <c r="AK362" i="3"/>
  <c r="AO1167" i="3"/>
  <c r="AP550" i="3"/>
  <c r="AL326" i="3"/>
  <c r="AM326" i="3" s="1"/>
  <c r="AM140" i="3"/>
  <c r="AN140" i="3"/>
  <c r="AO140" i="3" s="1"/>
  <c r="AP140" i="3"/>
  <c r="AM1311" i="3"/>
  <c r="AN1311" i="3" s="1"/>
  <c r="AP701" i="3"/>
  <c r="AQ701" i="3"/>
  <c r="AB921" i="4"/>
  <c r="AB1186" i="4"/>
  <c r="AB1188" i="4" s="1"/>
  <c r="AM671" i="3"/>
  <c r="AN671" i="3"/>
  <c r="AM275" i="3"/>
  <c r="AK275" i="3"/>
  <c r="AL275" i="3"/>
  <c r="AK158" i="3"/>
  <c r="AQ148" i="3"/>
  <c r="AR148" i="3" s="1"/>
  <c r="AN259" i="3"/>
  <c r="AO792" i="3"/>
  <c r="AP792" i="3" s="1"/>
  <c r="AH35" i="2"/>
  <c r="AO987" i="3"/>
  <c r="AP1213" i="3"/>
  <c r="AQ1213" i="3" s="1"/>
  <c r="AR1213" i="3" s="1"/>
  <c r="AS1213" i="3"/>
  <c r="AM1288" i="3"/>
  <c r="AM698" i="3"/>
  <c r="AK580" i="3"/>
  <c r="AL647" i="3"/>
  <c r="AK549" i="3"/>
  <c r="AL623" i="3"/>
  <c r="AO803" i="3"/>
  <c r="AP803" i="3" s="1"/>
  <c r="AK1172" i="3"/>
  <c r="AK715" i="3"/>
  <c r="AN1283" i="3"/>
  <c r="AO84" i="3"/>
  <c r="AL658" i="3"/>
  <c r="AM446" i="3"/>
  <c r="AO719" i="3"/>
  <c r="AR797" i="3"/>
  <c r="AS797" i="3" s="1"/>
  <c r="AL31" i="3"/>
  <c r="AL23" i="3"/>
  <c r="AM23" i="3"/>
  <c r="AL30" i="3"/>
  <c r="AL522" i="3"/>
  <c r="AO788" i="3"/>
  <c r="AL1300" i="3"/>
  <c r="AM33" i="3"/>
  <c r="AO456" i="3"/>
  <c r="AO935" i="3"/>
  <c r="AL1297" i="3"/>
  <c r="AM1088" i="3"/>
  <c r="AR814" i="3"/>
  <c r="AO969" i="3"/>
  <c r="V1166" i="4"/>
  <c r="V1146" i="4"/>
  <c r="V1161" i="4"/>
  <c r="V1084" i="4"/>
  <c r="V1086" i="4" s="1"/>
  <c r="W1083" i="4" s="1"/>
  <c r="V1054" i="4"/>
  <c r="V1056" i="4" s="1"/>
  <c r="W1053" i="4" s="1"/>
  <c r="V1044" i="4"/>
  <c r="V1046" i="4" s="1"/>
  <c r="W1043" i="4" s="1"/>
  <c r="V1034" i="4"/>
  <c r="V1036" i="4" s="1"/>
  <c r="W1033" i="4" s="1"/>
  <c r="V994" i="4"/>
  <c r="V996" i="4" s="1"/>
  <c r="W993" i="4" s="1"/>
  <c r="V984" i="4"/>
  <c r="V986" i="4" s="1"/>
  <c r="W983" i="4" s="1"/>
  <c r="V1079" i="4"/>
  <c r="V1081" i="4" s="1"/>
  <c r="W1078" i="4" s="1"/>
  <c r="V1059" i="4"/>
  <c r="V1061" i="4" s="1"/>
  <c r="W1058" i="4" s="1"/>
  <c r="V1039" i="4"/>
  <c r="V1041" i="4" s="1"/>
  <c r="W1038" i="4" s="1"/>
  <c r="V1019" i="4"/>
  <c r="V1021" i="4" s="1"/>
  <c r="W1018" i="4" s="1"/>
  <c r="V1151" i="4"/>
  <c r="V1176" i="4"/>
  <c r="V1029" i="4"/>
  <c r="V1031" i="4" s="1"/>
  <c r="W1028" i="4" s="1"/>
  <c r="V1089" i="4"/>
  <c r="V1091" i="4" s="1"/>
  <c r="W1088" i="4" s="1"/>
  <c r="V1181" i="4"/>
  <c r="V656" i="4"/>
  <c r="V595" i="4"/>
  <c r="W10" i="4"/>
  <c r="V1171" i="4"/>
  <c r="V989" i="4"/>
  <c r="V991" i="4" s="1"/>
  <c r="W988" i="4" s="1"/>
  <c r="V759" i="4"/>
  <c r="V1140" i="4"/>
  <c r="X80" i="2"/>
  <c r="X81" i="2"/>
  <c r="AN1155" i="3"/>
  <c r="AO1155" i="3" s="1"/>
  <c r="AO844" i="3"/>
  <c r="AP303" i="3"/>
  <c r="AO702" i="3"/>
  <c r="AG61" i="4"/>
  <c r="AO1177" i="3"/>
  <c r="AP1058" i="3"/>
  <c r="AQ1058" i="3" s="1"/>
  <c r="AN1319" i="3"/>
  <c r="AO317" i="3"/>
  <c r="AO793" i="3"/>
  <c r="AW99" i="3"/>
  <c r="AX99" i="3" s="1"/>
  <c r="AR99" i="3"/>
  <c r="AS99" i="3" s="1"/>
  <c r="AT99" i="3" s="1"/>
  <c r="AU99" i="3" s="1"/>
  <c r="AV99" i="3" s="1"/>
  <c r="AO820" i="3"/>
  <c r="AS640" i="3"/>
  <c r="AW640" i="3" s="1"/>
  <c r="AX640" i="3" s="1"/>
  <c r="AM1372" i="3"/>
  <c r="AN1372" i="3"/>
  <c r="AL941" i="3"/>
  <c r="AO1128" i="3"/>
  <c r="AL525" i="3"/>
  <c r="AR646" i="3"/>
  <c r="AP677" i="3"/>
  <c r="AQ677" i="3"/>
  <c r="AK991" i="3"/>
  <c r="AM737" i="3"/>
  <c r="AN737" i="3" s="1"/>
  <c r="AU248" i="3"/>
  <c r="AV248" i="3" s="1"/>
  <c r="AW248" i="3" s="1"/>
  <c r="AX248" i="3" s="1"/>
  <c r="AU669" i="3"/>
  <c r="AV669" i="3" s="1"/>
  <c r="AW669" i="3" s="1"/>
  <c r="AX669" i="3" s="1"/>
  <c r="AR669" i="3"/>
  <c r="AS669" i="3" s="1"/>
  <c r="AT669" i="3" s="1"/>
  <c r="AP669" i="3"/>
  <c r="AQ669" i="3" s="1"/>
  <c r="AL201" i="3"/>
  <c r="AO201" i="3"/>
  <c r="AM201" i="3"/>
  <c r="AN201" i="3" s="1"/>
  <c r="AP874" i="3"/>
  <c r="AN865" i="3"/>
  <c r="AM305" i="3"/>
  <c r="AL305" i="3"/>
  <c r="AM239" i="3"/>
  <c r="AL239" i="3"/>
  <c r="X301" i="2"/>
  <c r="X302" i="2" s="1"/>
  <c r="X306" i="2" s="1"/>
  <c r="Y300" i="2"/>
  <c r="Y212" i="2"/>
  <c r="AK471" i="3"/>
  <c r="AL471" i="3"/>
  <c r="AM471" i="3" s="1"/>
  <c r="AN662" i="3"/>
  <c r="AO662" i="3"/>
  <c r="AM662" i="3"/>
  <c r="AP520" i="3"/>
  <c r="AQ520" i="3"/>
  <c r="AM876" i="3"/>
  <c r="AL475" i="3"/>
  <c r="AM475" i="3" s="1"/>
  <c r="AK714" i="3"/>
  <c r="AN540" i="3"/>
  <c r="AO701" i="3"/>
  <c r="AO63" i="3"/>
  <c r="AN63" i="3"/>
  <c r="AU233" i="3"/>
  <c r="AV233" i="3" s="1"/>
  <c r="AW233" i="3" s="1"/>
  <c r="AX233" i="3" s="1"/>
  <c r="AO767" i="3"/>
  <c r="AP1059" i="3"/>
  <c r="AM160" i="3"/>
  <c r="AN160" i="3"/>
  <c r="AM977" i="3"/>
  <c r="AM367" i="3"/>
  <c r="AQ789" i="3"/>
  <c r="AP789" i="3"/>
  <c r="AL509" i="3"/>
  <c r="AM591" i="3"/>
  <c r="AN591" i="3" s="1"/>
  <c r="AO591" i="3" s="1"/>
  <c r="AM162" i="3"/>
  <c r="AP203" i="3"/>
  <c r="AQ203" i="3" s="1"/>
  <c r="AR203" i="3" s="1"/>
  <c r="AO203" i="3"/>
  <c r="T968" i="4"/>
  <c r="S1101" i="4"/>
  <c r="AO402" i="3"/>
  <c r="AQ1198" i="3"/>
  <c r="AK1190" i="3"/>
  <c r="L142" i="2"/>
  <c r="L157" i="2"/>
  <c r="AP256" i="3"/>
  <c r="AN370" i="3"/>
  <c r="AN733" i="3"/>
  <c r="AM658" i="3"/>
  <c r="AS407" i="3"/>
  <c r="AR407" i="3"/>
  <c r="AQ225" i="3"/>
  <c r="AL17" i="3"/>
  <c r="AO575" i="3"/>
  <c r="AP43" i="3"/>
  <c r="AM347" i="3"/>
  <c r="AN246" i="3"/>
  <c r="AO246" i="3"/>
  <c r="AP868" i="3"/>
  <c r="AO868" i="3"/>
  <c r="AN633" i="3"/>
  <c r="AM51" i="3"/>
  <c r="AR724" i="3"/>
  <c r="AP143" i="3"/>
  <c r="AQ143" i="3" s="1"/>
  <c r="AO143" i="3"/>
  <c r="AP116" i="3"/>
  <c r="AQ116" i="3" s="1"/>
  <c r="AO1262" i="3"/>
  <c r="AN1262" i="3"/>
  <c r="R835" i="4"/>
  <c r="R830" i="4"/>
  <c r="R745" i="4"/>
  <c r="AO476" i="3"/>
  <c r="AN278" i="3"/>
  <c r="AG345" i="2"/>
  <c r="AE527" i="4"/>
  <c r="AE520" i="4"/>
  <c r="AM1225" i="3"/>
  <c r="AN1376" i="3"/>
  <c r="AM150" i="3"/>
  <c r="AN150" i="3"/>
  <c r="AO150" i="3" s="1"/>
  <c r="AP1184" i="3"/>
  <c r="AQ1184" i="3" s="1"/>
  <c r="AN1184" i="3"/>
  <c r="AO1184" i="3"/>
  <c r="AL922" i="3"/>
  <c r="AM922" i="3"/>
  <c r="AN922" i="3"/>
  <c r="AO922" i="3" s="1"/>
  <c r="AM484" i="3"/>
  <c r="AS666" i="3"/>
  <c r="AV666" i="3" s="1"/>
  <c r="AW666" i="3" s="1"/>
  <c r="AX666" i="3" s="1"/>
  <c r="AT666" i="3"/>
  <c r="AU666" i="3" s="1"/>
  <c r="AM176" i="3"/>
  <c r="AO754" i="3"/>
  <c r="AR754" i="3" s="1"/>
  <c r="AP754" i="3"/>
  <c r="AQ754" i="3" s="1"/>
  <c r="AN1296" i="3"/>
  <c r="AI1449" i="3"/>
  <c r="AN196" i="3"/>
  <c r="AK1044" i="3"/>
  <c r="AM1044" i="3" s="1"/>
  <c r="AL1044" i="3"/>
  <c r="AO559" i="3"/>
  <c r="AP559" i="3" s="1"/>
  <c r="AQ1117" i="3"/>
  <c r="AA189" i="2"/>
  <c r="AO288" i="3"/>
  <c r="AN516" i="3"/>
  <c r="AO516" i="3"/>
  <c r="AP516" i="3" s="1"/>
  <c r="AK830" i="3"/>
  <c r="AL880" i="3"/>
  <c r="AK880" i="3"/>
  <c r="AQ837" i="3"/>
  <c r="AR837" i="3" s="1"/>
  <c r="AS837" i="3" s="1"/>
  <c r="AO1207" i="3"/>
  <c r="AQ1207" i="3" s="1"/>
  <c r="AI345" i="2"/>
  <c r="AG527" i="4"/>
  <c r="AG520" i="4"/>
  <c r="AO217" i="3"/>
  <c r="AL864" i="3"/>
  <c r="AQ774" i="3"/>
  <c r="AO480" i="3"/>
  <c r="AP480" i="3" s="1"/>
  <c r="AQ480" i="3" s="1"/>
  <c r="AR480" i="3" s="1"/>
  <c r="AS480" i="3" s="1"/>
  <c r="AT480" i="3" s="1"/>
  <c r="AU480" i="3" s="1"/>
  <c r="AV480" i="3" s="1"/>
  <c r="AW480" i="3" s="1"/>
  <c r="AX480" i="3" s="1"/>
  <c r="AP810" i="3"/>
  <c r="AR1331" i="3"/>
  <c r="AS1331" i="3" s="1"/>
  <c r="AO693" i="3"/>
  <c r="AP693" i="3" s="1"/>
  <c r="AO879" i="3"/>
  <c r="AP879" i="3"/>
  <c r="AQ879" i="3" s="1"/>
  <c r="AL903" i="3"/>
  <c r="AN562" i="3"/>
  <c r="AF846" i="4"/>
  <c r="J805" i="4"/>
  <c r="J822" i="4" s="1"/>
  <c r="J200" i="4"/>
  <c r="AM1309" i="3"/>
  <c r="AN28" i="3"/>
  <c r="AO28" i="3"/>
  <c r="AO887" i="3"/>
  <c r="AP887" i="3" s="1"/>
  <c r="AQ887" i="3" s="1"/>
  <c r="AS883" i="3"/>
  <c r="AN42" i="3"/>
  <c r="AO42" i="3"/>
  <c r="AP42" i="3" s="1"/>
  <c r="AN1361" i="3"/>
  <c r="AO1361" i="3" s="1"/>
  <c r="AM1279" i="3"/>
  <c r="AS1384" i="3"/>
  <c r="AT1384" i="3"/>
  <c r="AN1334" i="3"/>
  <c r="AO1145" i="3"/>
  <c r="AO302" i="3"/>
  <c r="AM1271" i="3"/>
  <c r="AO1323" i="3"/>
  <c r="AP1323" i="3"/>
  <c r="AL1375" i="3"/>
  <c r="AN234" i="3"/>
  <c r="AO234" i="3" s="1"/>
  <c r="AP234" i="3"/>
  <c r="AQ234" i="3" s="1"/>
  <c r="AR234" i="3" s="1"/>
  <c r="AS234" i="3" s="1"/>
  <c r="AN900" i="3"/>
  <c r="AO900" i="3" s="1"/>
  <c r="AL262" i="3"/>
  <c r="AM262" i="3"/>
  <c r="AN262" i="3" s="1"/>
  <c r="AO262" i="3" s="1"/>
  <c r="AP262" i="3" s="1"/>
  <c r="AM689" i="3"/>
  <c r="AO104" i="3"/>
  <c r="AP805" i="3"/>
  <c r="AM766" i="3"/>
  <c r="AN1144" i="3"/>
  <c r="AO1144" i="3"/>
  <c r="AN190" i="3"/>
  <c r="R1111" i="4"/>
  <c r="R954" i="4"/>
  <c r="S1107" i="4"/>
  <c r="S1110" i="4" s="1"/>
  <c r="AQ394" i="3"/>
  <c r="AR394" i="3"/>
  <c r="AN231" i="3"/>
  <c r="AL871" i="3"/>
  <c r="AM871" i="3"/>
  <c r="AN871" i="3" s="1"/>
  <c r="AN313" i="3"/>
  <c r="AM313" i="3"/>
  <c r="AO313" i="3" s="1"/>
  <c r="AD61" i="4"/>
  <c r="AL541" i="3"/>
  <c r="AM151" i="3"/>
  <c r="AK75" i="3"/>
  <c r="AL75" i="3"/>
  <c r="AO720" i="3"/>
  <c r="AP720" i="3" s="1"/>
  <c r="AQ833" i="3"/>
  <c r="AM930" i="3"/>
  <c r="AL230" i="3"/>
  <c r="AN230" i="3" s="1"/>
  <c r="AP1141" i="3"/>
  <c r="AC921" i="4"/>
  <c r="AC1186" i="4"/>
  <c r="AC1188" i="4" s="1"/>
  <c r="AL896" i="3"/>
  <c r="AM896" i="3" s="1"/>
  <c r="AN793" i="3"/>
  <c r="AK1024" i="3"/>
  <c r="AO1154" i="3"/>
  <c r="AS174" i="3"/>
  <c r="AT174" i="3" s="1"/>
  <c r="AU174" i="3" s="1"/>
  <c r="AV174" i="3" s="1"/>
  <c r="AW174" i="3" s="1"/>
  <c r="AX174" i="3" s="1"/>
  <c r="O871" i="4"/>
  <c r="AU758" i="3"/>
  <c r="AV758" i="3" s="1"/>
  <c r="AW758" i="3" s="1"/>
  <c r="AX758" i="3" s="1"/>
  <c r="O707" i="4"/>
  <c r="AR893" i="3"/>
  <c r="AS893" i="3" s="1"/>
  <c r="AP1302" i="3"/>
  <c r="AB61" i="4"/>
  <c r="AO795" i="3"/>
  <c r="U830" i="4"/>
  <c r="U835" i="4"/>
  <c r="U745" i="4"/>
  <c r="AN151" i="3"/>
  <c r="AO151" i="3" s="1"/>
  <c r="AS341" i="3"/>
  <c r="AT341" i="3"/>
  <c r="AU341" i="3" s="1"/>
  <c r="AN984" i="3"/>
  <c r="T726" i="4"/>
  <c r="T729" i="4" s="1"/>
  <c r="S730" i="4"/>
  <c r="AN583" i="3"/>
  <c r="AE345" i="2"/>
  <c r="AC527" i="4"/>
  <c r="AC520" i="4"/>
  <c r="AM136" i="3"/>
  <c r="AM1377" i="3"/>
  <c r="AN1377" i="3"/>
  <c r="AO1377" i="3" s="1"/>
  <c r="AP1377" i="3" s="1"/>
  <c r="AQ1377" i="3" s="1"/>
  <c r="AQ614" i="3"/>
  <c r="AR614" i="3" s="1"/>
  <c r="AO614" i="3"/>
  <c r="AP614" i="3" s="1"/>
  <c r="AM298" i="3"/>
  <c r="AO841" i="3"/>
  <c r="AP841" i="3" s="1"/>
  <c r="AQ841" i="3" s="1"/>
  <c r="AR841" i="3" s="1"/>
  <c r="AS841" i="3" s="1"/>
  <c r="AS565" i="3"/>
  <c r="AN245" i="3"/>
  <c r="AM1171" i="3"/>
  <c r="AQ1171" i="3" s="1"/>
  <c r="AR1171" i="3" s="1"/>
  <c r="AS1171" i="3" s="1"/>
  <c r="AT1171" i="3" s="1"/>
  <c r="AU1171" i="3" s="1"/>
  <c r="AO588" i="3"/>
  <c r="AL83" i="3"/>
  <c r="AN443" i="3"/>
  <c r="AO443" i="3" s="1"/>
  <c r="AA1186" i="4"/>
  <c r="AA1188" i="4" s="1"/>
  <c r="AA921" i="4"/>
  <c r="AO479" i="3"/>
  <c r="AN465" i="3"/>
  <c r="AO465" i="3"/>
  <c r="V846" i="4"/>
  <c r="AN1160" i="3"/>
  <c r="AN336" i="3"/>
  <c r="AK308" i="3"/>
  <c r="AL308" i="3" s="1"/>
  <c r="AN265" i="3"/>
  <c r="AL155" i="3"/>
  <c r="AN138" i="3"/>
  <c r="AN139" i="3"/>
  <c r="AO139" i="3" s="1"/>
  <c r="AP139" i="3" s="1"/>
  <c r="AQ498" i="3"/>
  <c r="AP498" i="3"/>
  <c r="AP1102" i="3"/>
  <c r="AM515" i="3"/>
  <c r="AL463" i="3"/>
  <c r="AK156" i="3"/>
  <c r="AL156" i="3"/>
  <c r="AM156" i="3"/>
  <c r="AL741" i="3"/>
  <c r="AN1049" i="3"/>
  <c r="AL825" i="3"/>
  <c r="AS483" i="3"/>
  <c r="AT483" i="3" s="1"/>
  <c r="AU483" i="3"/>
  <c r="AV483" i="3"/>
  <c r="AP85" i="3"/>
  <c r="AM85" i="3"/>
  <c r="AL295" i="3"/>
  <c r="AM295" i="3"/>
  <c r="U974" i="4"/>
  <c r="U1099" i="4" s="1"/>
  <c r="U1100" i="4"/>
  <c r="AQ573" i="3"/>
  <c r="AR573" i="3" s="1"/>
  <c r="AS573" i="3" s="1"/>
  <c r="AM139" i="3"/>
  <c r="AO760" i="3"/>
  <c r="AP760" i="3" s="1"/>
  <c r="AO867" i="3"/>
  <c r="AO981" i="3"/>
  <c r="AK504" i="3"/>
  <c r="AP563" i="3"/>
  <c r="AQ563" i="3" s="1"/>
  <c r="AO563" i="3"/>
  <c r="AO431" i="3"/>
  <c r="AN420" i="3"/>
  <c r="AM420" i="3"/>
  <c r="AL420" i="3"/>
  <c r="AP523" i="3"/>
  <c r="AO1199" i="3"/>
  <c r="AP1199" i="3" s="1"/>
  <c r="AQ1199" i="3" s="1"/>
  <c r="AR1199" i="3" s="1"/>
  <c r="AN627" i="3"/>
  <c r="AN1078" i="3"/>
  <c r="AQ1111" i="3"/>
  <c r="AR1111" i="3"/>
  <c r="AK334" i="3"/>
  <c r="AN85" i="3"/>
  <c r="AO85" i="3" s="1"/>
  <c r="AM533" i="3"/>
  <c r="AN289" i="3"/>
  <c r="AN1355" i="3"/>
  <c r="AN653" i="3"/>
  <c r="AO573" i="3"/>
  <c r="AQ307" i="3"/>
  <c r="AR307" i="3" s="1"/>
  <c r="AS307" i="3" s="1"/>
  <c r="AT307" i="3" s="1"/>
  <c r="AU307" i="3" s="1"/>
  <c r="AV307" i="3" s="1"/>
  <c r="AW307" i="3" s="1"/>
  <c r="AX307" i="3" s="1"/>
  <c r="AP307" i="3"/>
  <c r="AM1176" i="3"/>
  <c r="AN1340" i="3"/>
  <c r="AM371" i="3"/>
  <c r="AO1076" i="3"/>
  <c r="AP1076" i="3"/>
  <c r="AM1293" i="3"/>
  <c r="AL1293" i="3"/>
  <c r="AK1293" i="3"/>
  <c r="AN365" i="3"/>
  <c r="R702" i="4"/>
  <c r="AM727" i="3"/>
  <c r="AN727" i="3" s="1"/>
  <c r="AL1139" i="3"/>
  <c r="AQ485" i="3"/>
  <c r="AL1223" i="3"/>
  <c r="AN94" i="3"/>
  <c r="AM507" i="3"/>
  <c r="AM1018" i="3"/>
  <c r="AP1200" i="3"/>
  <c r="AP849" i="3"/>
  <c r="AN592" i="3"/>
  <c r="AO592" i="3"/>
  <c r="AP352" i="3"/>
  <c r="AJ1400" i="3"/>
  <c r="AJ1443" i="3"/>
  <c r="AM45" i="3"/>
  <c r="AL45" i="3"/>
  <c r="AP626" i="3"/>
  <c r="AL1028" i="3"/>
  <c r="AM1028" i="3"/>
  <c r="AK122" i="3"/>
  <c r="AL122" i="3"/>
  <c r="AN598" i="3"/>
  <c r="AN916" i="3"/>
  <c r="AO916" i="3"/>
  <c r="AP916" i="3"/>
  <c r="AO94" i="3"/>
  <c r="AP94" i="3" s="1"/>
  <c r="AL81" i="3"/>
  <c r="AM56" i="3"/>
  <c r="AL202" i="3"/>
  <c r="AM202" i="3" s="1"/>
  <c r="AN202" i="3" s="1"/>
  <c r="AL1348" i="3"/>
  <c r="AM1348" i="3" s="1"/>
  <c r="AN1348" i="3" s="1"/>
  <c r="AO1265" i="3"/>
  <c r="AM639" i="3"/>
  <c r="AP797" i="3"/>
  <c r="U509" i="4"/>
  <c r="U514" i="4"/>
  <c r="U521" i="4" s="1"/>
  <c r="AM943" i="3"/>
  <c r="AL943" i="3"/>
  <c r="AO943" i="3" s="1"/>
  <c r="AN943" i="3"/>
  <c r="AL1018" i="3"/>
  <c r="AV437" i="3"/>
  <c r="AW437" i="3" s="1"/>
  <c r="AX437" i="3" s="1"/>
  <c r="AN444" i="3"/>
  <c r="AN778" i="3"/>
  <c r="AN247" i="3"/>
  <c r="AI1436" i="3"/>
  <c r="AV48" i="3"/>
  <c r="AW48" i="3" s="1"/>
  <c r="AX48" i="3" s="1"/>
  <c r="AL1063" i="3"/>
  <c r="AM1155" i="3"/>
  <c r="AS691" i="3"/>
  <c r="AT691" i="3" s="1"/>
  <c r="AU691" i="3" s="1"/>
  <c r="AO423" i="3"/>
  <c r="AM1031" i="3"/>
  <c r="AQ497" i="3"/>
  <c r="AO497" i="3"/>
  <c r="AP497" i="3" s="1"/>
  <c r="AK1347" i="3"/>
  <c r="AO1102" i="3"/>
  <c r="AQ1102" i="3" s="1"/>
  <c r="AR1102" i="3" s="1"/>
  <c r="AN478" i="3"/>
  <c r="AR548" i="3"/>
  <c r="AS548" i="3" s="1"/>
  <c r="AT548" i="3" s="1"/>
  <c r="U1140" i="4"/>
  <c r="U921" i="4"/>
  <c r="U1186" i="4"/>
  <c r="U1188" i="4" s="1"/>
  <c r="U1190" i="4" s="1"/>
  <c r="AQ74" i="3"/>
  <c r="AN710" i="3"/>
  <c r="AO710" i="3"/>
  <c r="AP710" i="3" s="1"/>
  <c r="AQ144" i="3"/>
  <c r="AP144" i="3"/>
  <c r="AO354" i="3"/>
  <c r="T515" i="4"/>
  <c r="T522" i="4" s="1"/>
  <c r="T510" i="4"/>
  <c r="AL973" i="3"/>
  <c r="AN973" i="3" s="1"/>
  <c r="AM973" i="3"/>
  <c r="AO973" i="3" s="1"/>
  <c r="AM964" i="3"/>
  <c r="AP179" i="3"/>
  <c r="AV178" i="3"/>
  <c r="AL400" i="3"/>
  <c r="AR338" i="3"/>
  <c r="AS338" i="3" s="1"/>
  <c r="AO1306" i="3"/>
  <c r="AP373" i="3"/>
  <c r="AQ373" i="3"/>
  <c r="AQ25" i="3"/>
  <c r="AN1075" i="3"/>
  <c r="AO1075" i="3" s="1"/>
  <c r="AW816" i="3"/>
  <c r="AX816" i="3" s="1"/>
  <c r="AO1236" i="3"/>
  <c r="AP625" i="3"/>
  <c r="AQ625" i="3" s="1"/>
  <c r="AK1208" i="3"/>
  <c r="AN613" i="3"/>
  <c r="AO613" i="3"/>
  <c r="AP613" i="3"/>
  <c r="AP1246" i="3"/>
  <c r="AN1140" i="3"/>
  <c r="AQ797" i="3"/>
  <c r="AU635" i="3"/>
  <c r="AV635" i="3" s="1"/>
  <c r="AW635" i="3" s="1"/>
  <c r="AX635" i="3" s="1"/>
  <c r="AL146" i="3"/>
  <c r="AM146" i="3"/>
  <c r="AN146" i="3"/>
  <c r="AM1068" i="3"/>
  <c r="J199" i="4"/>
  <c r="J641" i="4"/>
  <c r="J658" i="4" s="1"/>
  <c r="AN986" i="3"/>
  <c r="AS924" i="3"/>
  <c r="AM589" i="3"/>
  <c r="AN1326" i="3"/>
  <c r="AP1265" i="3"/>
  <c r="AQ1039" i="3"/>
  <c r="AP1039" i="3"/>
  <c r="AN1039" i="3"/>
  <c r="AO1039" i="3"/>
  <c r="AK1018" i="3"/>
  <c r="Y101" i="2"/>
  <c r="AQ349" i="3"/>
  <c r="AR349" i="3"/>
  <c r="AQ283" i="3"/>
  <c r="AR283" i="3" s="1"/>
  <c r="AN316" i="3"/>
  <c r="AM316" i="3"/>
  <c r="AO316" i="3"/>
  <c r="AP316" i="3" s="1"/>
  <c r="AQ316" i="3" s="1"/>
  <c r="AN445" i="3"/>
  <c r="AQ1335" i="3"/>
  <c r="AR1335" i="3" s="1"/>
  <c r="AO56" i="3"/>
  <c r="AO612" i="3"/>
  <c r="AP612" i="3" s="1"/>
  <c r="AL648" i="3"/>
  <c r="AR1152" i="3"/>
  <c r="Y830" i="4"/>
  <c r="Y835" i="4"/>
  <c r="Y745" i="4"/>
  <c r="AL346" i="3"/>
  <c r="AO921" i="3"/>
  <c r="AO654" i="3"/>
  <c r="AK296" i="3"/>
  <c r="AL296" i="3"/>
  <c r="AM296" i="3"/>
  <c r="AM1274" i="3"/>
  <c r="Y702" i="4"/>
  <c r="AO133" i="3"/>
  <c r="AR133" i="3"/>
  <c r="AS133" i="3"/>
  <c r="AP133" i="3"/>
  <c r="AQ133" i="3" s="1"/>
  <c r="AT133" i="3"/>
  <c r="AU133" i="3" s="1"/>
  <c r="AP323" i="3"/>
  <c r="AW691" i="3"/>
  <c r="AX691" i="3" s="1"/>
  <c r="AO929" i="3"/>
  <c r="AM929" i="3"/>
  <c r="AN929" i="3"/>
  <c r="AP929" i="3"/>
  <c r="AQ929" i="3" s="1"/>
  <c r="AR929" i="3"/>
  <c r="AS929" i="3" s="1"/>
  <c r="AS952" i="3"/>
  <c r="AT952" i="3" s="1"/>
  <c r="AU952" i="3" s="1"/>
  <c r="AV952" i="3" s="1"/>
  <c r="AW952" i="3" s="1"/>
  <c r="AX952" i="3" s="1"/>
  <c r="AR887" i="3"/>
  <c r="AM655" i="3"/>
  <c r="AT640" i="3"/>
  <c r="AU640" i="3" s="1"/>
  <c r="AV640" i="3" s="1"/>
  <c r="AP428" i="3"/>
  <c r="AO428" i="3"/>
  <c r="AP1261" i="3"/>
  <c r="AQ760" i="3"/>
  <c r="AR760" i="3" s="1"/>
  <c r="AS760" i="3" s="1"/>
  <c r="AP284" i="3"/>
  <c r="AQ284" i="3" s="1"/>
  <c r="AR284" i="3" s="1"/>
  <c r="AS284" i="3" s="1"/>
  <c r="AP501" i="3"/>
  <c r="AT893" i="3"/>
  <c r="S510" i="4"/>
  <c r="S515" i="4"/>
  <c r="S522" i="4" s="1"/>
  <c r="AO1027" i="3"/>
  <c r="AP1027" i="3" s="1"/>
  <c r="AN1027" i="3"/>
  <c r="AQ1027" i="3"/>
  <c r="AP1304" i="3"/>
  <c r="AO1304" i="3"/>
  <c r="AM1304" i="3"/>
  <c r="AN1304" i="3" s="1"/>
  <c r="AK1053" i="3"/>
  <c r="AM976" i="3"/>
  <c r="AL976" i="3"/>
  <c r="AM438" i="3"/>
  <c r="AN438" i="3" s="1"/>
  <c r="AN357" i="3"/>
  <c r="AM357" i="3"/>
  <c r="AT32" i="3"/>
  <c r="AU32" i="3" s="1"/>
  <c r="AK958" i="3"/>
  <c r="AL958" i="3" s="1"/>
  <c r="AN1044" i="3"/>
  <c r="AQ826" i="3"/>
  <c r="AQ676" i="3"/>
  <c r="AP676" i="3"/>
  <c r="AO676" i="3"/>
  <c r="AO1250" i="3"/>
  <c r="AN1250" i="3"/>
  <c r="T835" i="4"/>
  <c r="T830" i="4"/>
  <c r="AM44" i="3"/>
  <c r="AB835" i="4"/>
  <c r="AB830" i="4"/>
  <c r="AO665" i="3"/>
  <c r="AN1121" i="3"/>
  <c r="AK345" i="3"/>
  <c r="AL260" i="3"/>
  <c r="AM260" i="3"/>
  <c r="AM882" i="3"/>
  <c r="AN882" i="3" s="1"/>
  <c r="AL882" i="3"/>
  <c r="AO882" i="3" s="1"/>
  <c r="AS676" i="3"/>
  <c r="AR1217" i="3"/>
  <c r="AS1217" i="3" s="1"/>
  <c r="AT1217" i="3" s="1"/>
  <c r="AS331" i="3"/>
  <c r="AK1237" i="3"/>
  <c r="AM486" i="3"/>
  <c r="AN586" i="3"/>
  <c r="AL89" i="3"/>
  <c r="AT321" i="3"/>
  <c r="AU321" i="3" s="1"/>
  <c r="AV321" i="3" s="1"/>
  <c r="AW321" i="3" s="1"/>
  <c r="AX321" i="3" s="1"/>
  <c r="AK1387" i="3"/>
  <c r="AL1387" i="3"/>
  <c r="AO1222" i="3"/>
  <c r="AP1222" i="3" s="1"/>
  <c r="AQ401" i="3"/>
  <c r="AR401" i="3"/>
  <c r="AP703" i="3"/>
  <c r="AQ703" i="3" s="1"/>
  <c r="AN703" i="3"/>
  <c r="AO703" i="3" s="1"/>
  <c r="AK983" i="3"/>
  <c r="AL1082" i="3"/>
  <c r="AO787" i="3"/>
  <c r="AP787" i="3" s="1"/>
  <c r="AK1166" i="3"/>
  <c r="AL1229" i="3"/>
  <c r="AU1258" i="3"/>
  <c r="AV1258" i="3" s="1"/>
  <c r="AT1258" i="3"/>
  <c r="AP241" i="3"/>
  <c r="AM855" i="3"/>
  <c r="AL1267" i="3"/>
  <c r="AN819" i="3"/>
  <c r="AM819" i="3"/>
  <c r="AL1126" i="3"/>
  <c r="AK933" i="3"/>
  <c r="AL933" i="3" s="1"/>
  <c r="AL1281" i="3"/>
  <c r="AP982" i="3"/>
  <c r="AQ356" i="3"/>
  <c r="AO356" i="3"/>
  <c r="AP356" i="3"/>
  <c r="AM353" i="3"/>
  <c r="AN1157" i="3"/>
  <c r="AO1115" i="3"/>
  <c r="AN61" i="3"/>
  <c r="AL335" i="3"/>
  <c r="AN44" i="3"/>
  <c r="AL746" i="3"/>
  <c r="AM1380" i="3"/>
  <c r="AO1380" i="3" s="1"/>
  <c r="AQ97" i="3"/>
  <c r="AR97" i="3" s="1"/>
  <c r="AP97" i="3"/>
  <c r="AN97" i="3"/>
  <c r="AO744" i="3"/>
  <c r="AO947" i="3"/>
  <c r="AP947" i="3"/>
  <c r="AQ1124" i="3"/>
  <c r="AR1124" i="3" s="1"/>
  <c r="AN561" i="3"/>
  <c r="AP1178" i="3"/>
  <c r="AN224" i="3"/>
  <c r="AO224" i="3" s="1"/>
  <c r="AP1272" i="3"/>
  <c r="AN159" i="3"/>
  <c r="X921" i="4"/>
  <c r="X1186" i="4"/>
  <c r="X1188" i="4" s="1"/>
  <c r="AQ1180" i="3"/>
  <c r="AM1250" i="3"/>
  <c r="AN661" i="3"/>
  <c r="AA61" i="4"/>
  <c r="AO894" i="3"/>
  <c r="AP894" i="3" s="1"/>
  <c r="AP967" i="3"/>
  <c r="AQ967" i="3" s="1"/>
  <c r="AR967" i="3" s="1"/>
  <c r="AS967" i="3" s="1"/>
  <c r="AM115" i="3"/>
  <c r="AK871" i="3"/>
  <c r="AP1367" i="3"/>
  <c r="AQ1367" i="3" s="1"/>
  <c r="AR1367" i="3"/>
  <c r="AN823" i="3"/>
  <c r="AO823" i="3"/>
  <c r="AL272" i="3"/>
  <c r="AM272" i="3" s="1"/>
  <c r="AM1234" i="3"/>
  <c r="AN1234" i="3" s="1"/>
  <c r="AN930" i="3"/>
  <c r="AP1303" i="3"/>
  <c r="AQ1303" i="3" s="1"/>
  <c r="AL1085" i="3"/>
  <c r="AO97" i="3"/>
  <c r="AN836" i="3"/>
  <c r="AO836" i="3" s="1"/>
  <c r="AP836" i="3" s="1"/>
  <c r="AQ836" i="3" s="1"/>
  <c r="AR836" i="3" s="1"/>
  <c r="AO258" i="3"/>
  <c r="AW897" i="3"/>
  <c r="AX897" i="3" s="1"/>
  <c r="AO1350" i="3"/>
  <c r="AP1350" i="3" s="1"/>
  <c r="AL340" i="3"/>
  <c r="O34" i="4"/>
  <c r="O35" i="4" s="1"/>
  <c r="O1117" i="4"/>
  <c r="AJ1412" i="3"/>
  <c r="AJ1444" i="3"/>
  <c r="AM824" i="3"/>
  <c r="AL1166" i="3"/>
  <c r="AM1166" i="3" s="1"/>
  <c r="AO1106" i="3"/>
  <c r="AN267" i="3"/>
  <c r="AN672" i="3"/>
  <c r="AM1164" i="3"/>
  <c r="AO415" i="3"/>
  <c r="AM1150" i="3"/>
  <c r="AN1150" i="3" s="1"/>
  <c r="AL927" i="3"/>
  <c r="AM135" i="3"/>
  <c r="AN135" i="3" s="1"/>
  <c r="AL135" i="3"/>
  <c r="AK68" i="3"/>
  <c r="AL489" i="3"/>
  <c r="AN1059" i="3"/>
  <c r="AO1059" i="3" s="1"/>
  <c r="AQ1059" i="3"/>
  <c r="AO1122" i="3"/>
  <c r="AP1122" i="3" s="1"/>
  <c r="AQ1122" i="3" s="1"/>
  <c r="AR1122" i="3" s="1"/>
  <c r="AS1122" i="3"/>
  <c r="AT1122" i="3" s="1"/>
  <c r="AP813" i="3"/>
  <c r="AL1409" i="3"/>
  <c r="AO378" i="3"/>
  <c r="AO753" i="3"/>
  <c r="AP753" i="3" s="1"/>
  <c r="AQ753" i="3" s="1"/>
  <c r="AR753" i="3" s="1"/>
  <c r="AS753" i="3" s="1"/>
  <c r="AT753" i="3" s="1"/>
  <c r="AU753" i="3" s="1"/>
  <c r="AV753" i="3" s="1"/>
  <c r="AN753" i="3"/>
  <c r="S216" i="4"/>
  <c r="S212" i="4" s="1"/>
  <c r="AP628" i="3"/>
  <c r="AQ628" i="3" s="1"/>
  <c r="AM106" i="3"/>
  <c r="AM212" i="3"/>
  <c r="AN963" i="3"/>
  <c r="AO1369" i="3"/>
  <c r="AP1369" i="3"/>
  <c r="AQ1369" i="3" s="1"/>
  <c r="AR1369" i="3" s="1"/>
  <c r="AS1369" i="3" s="1"/>
  <c r="AT1369" i="3"/>
  <c r="AU1369" i="3" s="1"/>
  <c r="AO1150" i="3"/>
  <c r="AN208" i="3"/>
  <c r="AP350" i="3"/>
  <c r="AG846" i="4"/>
  <c r="AO967" i="3"/>
  <c r="AN1131" i="3"/>
  <c r="AN35" i="3"/>
  <c r="AK199" i="3"/>
  <c r="AK601" i="3"/>
  <c r="AL601" i="3" s="1"/>
  <c r="AN1051" i="3"/>
  <c r="AR1059" i="3"/>
  <c r="AS1059" i="3" s="1"/>
  <c r="AT1059" i="3" s="1"/>
  <c r="AU1059" i="3" s="1"/>
  <c r="AV1059" i="3" s="1"/>
  <c r="AC35" i="2"/>
  <c r="AN163" i="3"/>
  <c r="AJ1392" i="3"/>
  <c r="AL477" i="3"/>
  <c r="AM477" i="3" s="1"/>
  <c r="AN477" i="3"/>
  <c r="AT1263" i="3"/>
  <c r="AU1263" i="3" s="1"/>
  <c r="AV1263" i="3" s="1"/>
  <c r="AW1263" i="3" s="1"/>
  <c r="AX1263" i="3" s="1"/>
  <c r="AN899" i="3"/>
  <c r="AO899" i="3"/>
  <c r="AO835" i="3"/>
  <c r="AM725" i="3"/>
  <c r="AL268" i="3"/>
  <c r="AL482" i="3"/>
  <c r="AO978" i="3"/>
  <c r="AE835" i="4"/>
  <c r="AE830" i="4"/>
  <c r="AL416" i="3"/>
  <c r="AM494" i="3"/>
  <c r="AN494" i="3"/>
  <c r="AO494" i="3"/>
  <c r="AN955" i="3"/>
  <c r="AK1359" i="3"/>
  <c r="AO105" i="3"/>
  <c r="AP105" i="3" s="1"/>
  <c r="AQ105" i="3" s="1"/>
  <c r="AK100" i="3"/>
  <c r="AR1180" i="3"/>
  <c r="AS1180" i="3" s="1"/>
  <c r="AT1180" i="3" s="1"/>
  <c r="AU1180" i="3" s="1"/>
  <c r="AN834" i="3"/>
  <c r="AO834" i="3"/>
  <c r="P174" i="4"/>
  <c r="P189" i="4"/>
  <c r="AL716" i="3"/>
  <c r="AM716" i="3"/>
  <c r="AM733" i="3"/>
  <c r="AM308" i="3"/>
  <c r="AN308" i="3" s="1"/>
  <c r="AO308" i="3" s="1"/>
  <c r="AP308" i="3" s="1"/>
  <c r="AQ308" i="3" s="1"/>
  <c r="AR308" i="3" s="1"/>
  <c r="AS308" i="3" s="1"/>
  <c r="AN360" i="3"/>
  <c r="AU1220" i="3"/>
  <c r="AT437" i="3"/>
  <c r="AU437" i="3" s="1"/>
  <c r="AL531" i="3"/>
  <c r="AM531" i="3" s="1"/>
  <c r="AN531" i="3" s="1"/>
  <c r="AO531" i="3"/>
  <c r="S235" i="4"/>
  <c r="S644" i="4" s="1"/>
  <c r="S661" i="4" s="1"/>
  <c r="S234" i="4"/>
  <c r="S488" i="4" s="1"/>
  <c r="S505" i="4" s="1"/>
  <c r="S236" i="4"/>
  <c r="S808" i="4" s="1"/>
  <c r="S825" i="4" s="1"/>
  <c r="S237" i="4"/>
  <c r="S947" i="4" s="1"/>
  <c r="AQ571" i="3"/>
  <c r="AP571" i="3"/>
  <c r="AF1186" i="4"/>
  <c r="AF1188" i="4" s="1"/>
  <c r="AF921" i="4"/>
  <c r="AR905" i="3"/>
  <c r="AQ660" i="3"/>
  <c r="AR660" i="3" s="1"/>
  <c r="R61" i="4"/>
  <c r="J485" i="4"/>
  <c r="J502" i="4" s="1"/>
  <c r="J198" i="4"/>
  <c r="AQ1217" i="3"/>
  <c r="AO1228" i="3"/>
  <c r="AK337" i="3"/>
  <c r="AT924" i="3"/>
  <c r="AU924" i="3" s="1"/>
  <c r="AV924" i="3" s="1"/>
  <c r="AN1254" i="3"/>
  <c r="AO181" i="3"/>
  <c r="AK54" i="3"/>
  <c r="AN937" i="3"/>
  <c r="AM650" i="3"/>
  <c r="AN650" i="3"/>
  <c r="AN863" i="3"/>
  <c r="AO863" i="3" s="1"/>
  <c r="AM863" i="3"/>
  <c r="AQ1244" i="3"/>
  <c r="AR1244" i="3" s="1"/>
  <c r="AS1244" i="3" s="1"/>
  <c r="AT1244" i="3" s="1"/>
  <c r="AN379" i="3"/>
  <c r="AO910" i="3"/>
  <c r="AP910" i="3" s="1"/>
  <c r="W573" i="4"/>
  <c r="W575" i="4" s="1"/>
  <c r="W35" i="10"/>
  <c r="AO764" i="3"/>
  <c r="AQ1152" i="3"/>
  <c r="AS1152" i="3" s="1"/>
  <c r="AT1152" i="3" s="1"/>
  <c r="AM954" i="3"/>
  <c r="AO205" i="3"/>
  <c r="AL1047" i="3"/>
  <c r="AM1069" i="3"/>
  <c r="AL1069" i="3"/>
  <c r="AM325" i="3"/>
  <c r="AN412" i="3"/>
  <c r="O174" i="4"/>
  <c r="O189" i="4"/>
  <c r="AN29" i="3"/>
  <c r="AM1148" i="3"/>
  <c r="AN1148" i="3" s="1"/>
  <c r="AO1148" i="3" s="1"/>
  <c r="AP98" i="3"/>
  <c r="AQ98" i="3" s="1"/>
  <c r="AV691" i="3"/>
  <c r="Q174" i="4"/>
  <c r="Q189" i="4"/>
  <c r="AQ1165" i="3"/>
  <c r="AR1165" i="3"/>
  <c r="AS1165" i="3"/>
  <c r="AN952" i="3"/>
  <c r="AO952" i="3" s="1"/>
  <c r="AP952" i="3" s="1"/>
  <c r="AQ952" i="3" s="1"/>
  <c r="AR952" i="3" s="1"/>
  <c r="AM1071" i="3"/>
  <c r="AQ1261" i="3"/>
  <c r="AP84" i="3"/>
  <c r="AL103" i="3"/>
  <c r="AO990" i="3"/>
  <c r="AP990" i="3" s="1"/>
  <c r="AW339" i="3"/>
  <c r="AX339" i="3" s="1"/>
  <c r="AN530" i="3"/>
  <c r="AP417" i="3"/>
  <c r="AO1290" i="3"/>
  <c r="AM923" i="3"/>
  <c r="AR429" i="3"/>
  <c r="AP217" i="3"/>
  <c r="AL794" i="3"/>
  <c r="AN1294" i="3"/>
  <c r="AO259" i="3"/>
  <c r="AU259" i="3" s="1"/>
  <c r="AP259" i="3"/>
  <c r="AQ259" i="3" s="1"/>
  <c r="AR259" i="3" s="1"/>
  <c r="AS259" i="3" s="1"/>
  <c r="AT259" i="3" s="1"/>
  <c r="AO961" i="3"/>
  <c r="AP961" i="3" s="1"/>
  <c r="AQ961" i="3" s="1"/>
  <c r="AR961" i="3"/>
  <c r="AO687" i="3"/>
  <c r="AN687" i="3"/>
  <c r="AM473" i="3"/>
  <c r="AL473" i="3"/>
  <c r="AR49" i="3"/>
  <c r="AS49" i="3"/>
  <c r="AT49" i="3" s="1"/>
  <c r="AP1149" i="3"/>
  <c r="AQ1149" i="3" s="1"/>
  <c r="AR1149" i="3" s="1"/>
  <c r="AS1149" i="3" s="1"/>
  <c r="S1186" i="4"/>
  <c r="S1188" i="4" s="1"/>
  <c r="S1190" i="4" s="1"/>
  <c r="S921" i="4"/>
  <c r="S1140" i="4"/>
  <c r="AQ1269" i="3"/>
  <c r="AR1269" i="3" s="1"/>
  <c r="AT1269" i="3"/>
  <c r="AL392" i="3"/>
  <c r="AS635" i="3"/>
  <c r="AN11" i="3"/>
  <c r="AK529" i="3"/>
  <c r="AN111" i="3"/>
  <c r="AM111" i="3"/>
  <c r="AM290" i="3"/>
  <c r="AN290" i="3"/>
  <c r="AL410" i="3"/>
  <c r="AN410" i="3"/>
  <c r="AR1205" i="3"/>
  <c r="AS1205" i="3"/>
  <c r="AT1205" i="3" s="1"/>
  <c r="AU1205" i="3" s="1"/>
  <c r="AV1205" i="3" s="1"/>
  <c r="AM1096" i="3"/>
  <c r="AM221" i="3"/>
  <c r="AL806" i="3"/>
  <c r="AQ872" i="3"/>
  <c r="AR872" i="3"/>
  <c r="AP872" i="3"/>
  <c r="AS872" i="3"/>
  <c r="U76" i="4"/>
  <c r="AN487" i="3"/>
  <c r="AN70" i="3"/>
  <c r="AO70" i="3"/>
  <c r="AP92" i="3"/>
  <c r="AQ92" i="3"/>
  <c r="AK965" i="3"/>
  <c r="AN965" i="3" s="1"/>
  <c r="AL965" i="3"/>
  <c r="AM965" i="3" s="1"/>
  <c r="AP24" i="3"/>
  <c r="AM652" i="3"/>
  <c r="AS619" i="3"/>
  <c r="AT897" i="3"/>
  <c r="AU897" i="3" s="1"/>
  <c r="AV897" i="3" s="1"/>
  <c r="AK344" i="3"/>
  <c r="AL344" i="3"/>
  <c r="AM344" i="3" s="1"/>
  <c r="AP890" i="3"/>
  <c r="AR421" i="3"/>
  <c r="AQ421" i="3"/>
  <c r="AN409" i="3"/>
  <c r="AO409" i="3" s="1"/>
  <c r="AN866" i="3"/>
  <c r="AM1074" i="3"/>
  <c r="AQ928" i="3"/>
  <c r="AP928" i="3"/>
  <c r="AO304" i="3"/>
  <c r="AQ304" i="3" s="1"/>
  <c r="AM469" i="3"/>
  <c r="AN469" i="3" s="1"/>
  <c r="AM1079" i="3"/>
  <c r="AN1079" i="3" s="1"/>
  <c r="AL1079" i="3"/>
  <c r="AM314" i="3"/>
  <c r="AR481" i="3"/>
  <c r="AQ481" i="3"/>
  <c r="AP481" i="3"/>
  <c r="AN745" i="3"/>
  <c r="AO745" i="3"/>
  <c r="AN73" i="3"/>
  <c r="AQ803" i="3"/>
  <c r="AN1228" i="3"/>
  <c r="AM372" i="3"/>
  <c r="AM1300" i="3"/>
  <c r="AM682" i="3"/>
  <c r="AN491" i="3"/>
  <c r="AL845" i="3"/>
  <c r="AM845" i="3" s="1"/>
  <c r="AM825" i="3"/>
  <c r="AN825" i="3" s="1"/>
  <c r="AL610" i="3"/>
  <c r="AL695" i="3"/>
  <c r="AP966" i="3"/>
  <c r="AQ397" i="3"/>
  <c r="AO752" i="3"/>
  <c r="AO191" i="3"/>
  <c r="AP1252" i="3"/>
  <c r="AN1252" i="3"/>
  <c r="AO1252" i="3" s="1"/>
  <c r="AL527" i="3"/>
  <c r="AM527" i="3"/>
  <c r="AM599" i="3"/>
  <c r="K208" i="2"/>
  <c r="X208" i="2"/>
  <c r="AO478" i="3"/>
  <c r="AP478" i="3" s="1"/>
  <c r="AN686" i="3"/>
  <c r="AP1037" i="3"/>
  <c r="AP833" i="3"/>
  <c r="AN1060" i="3"/>
  <c r="AL1060" i="3"/>
  <c r="AM1060" i="3"/>
  <c r="AS961" i="3"/>
  <c r="AT961" i="3" s="1"/>
  <c r="AU961" i="3" s="1"/>
  <c r="W147" i="2"/>
  <c r="K147" i="2" s="1"/>
  <c r="AQ807" i="3"/>
  <c r="AR807" i="3" s="1"/>
  <c r="AP807" i="3"/>
  <c r="AM1014" i="3"/>
  <c r="V921" i="4"/>
  <c r="V1186" i="4"/>
  <c r="V1188" i="4" s="1"/>
  <c r="V1190" i="4" s="1"/>
  <c r="AO1209" i="3"/>
  <c r="AO587" i="3"/>
  <c r="AM1116" i="3"/>
  <c r="AU229" i="3"/>
  <c r="AJ1448" i="3"/>
  <c r="W109" i="2" s="1"/>
  <c r="AQ547" i="3"/>
  <c r="AR547" i="3"/>
  <c r="AO547" i="3"/>
  <c r="AO300" i="3"/>
  <c r="AR593" i="3"/>
  <c r="T509" i="4"/>
  <c r="T514" i="4"/>
  <c r="T521" i="4" s="1"/>
  <c r="AK918" i="3"/>
  <c r="AN367" i="3"/>
  <c r="AQ550" i="3"/>
  <c r="AR550" i="3" s="1"/>
  <c r="AK52" i="3"/>
  <c r="AM141" i="3"/>
  <c r="AN141" i="3"/>
  <c r="AO141" i="3" s="1"/>
  <c r="AP141" i="3" s="1"/>
  <c r="AQ141" i="3" s="1"/>
  <c r="AR141" i="3" s="1"/>
  <c r="AS141" i="3" s="1"/>
  <c r="AT141" i="3" s="1"/>
  <c r="AQ523" i="3"/>
  <c r="AM34" i="3"/>
  <c r="AN34" i="3"/>
  <c r="AO34" i="3" s="1"/>
  <c r="AN20" i="3"/>
  <c r="AN621" i="3"/>
  <c r="AO621" i="3" s="1"/>
  <c r="AR1198" i="3"/>
  <c r="Y35" i="2"/>
  <c r="AI1448" i="3"/>
  <c r="V109" i="2" s="1"/>
  <c r="V220" i="2"/>
  <c r="W220" i="2" s="1"/>
  <c r="AM1242" i="3"/>
  <c r="AJ1424" i="3"/>
  <c r="AP1142" i="3"/>
  <c r="AM1142" i="3"/>
  <c r="AC846" i="4"/>
  <c r="AN58" i="3"/>
  <c r="AO58" i="3" s="1"/>
  <c r="AL506" i="3"/>
  <c r="AM506" i="3" s="1"/>
  <c r="AM779" i="3"/>
  <c r="AP50" i="3"/>
  <c r="AP946" i="3"/>
  <c r="AO946" i="3"/>
  <c r="J201" i="4"/>
  <c r="J944" i="4"/>
  <c r="AN913" i="3"/>
  <c r="AO913" i="3" s="1"/>
  <c r="AP913" i="3" s="1"/>
  <c r="AR913" i="3"/>
  <c r="AS913" i="3" s="1"/>
  <c r="AQ913" i="3"/>
  <c r="AR539" i="3"/>
  <c r="AS539" i="3"/>
  <c r="AT539" i="3" s="1"/>
  <c r="AW659" i="3"/>
  <c r="AX659" i="3" s="1"/>
  <c r="AL374" i="3"/>
  <c r="AN680" i="3"/>
  <c r="AN91" i="3"/>
  <c r="AN348" i="3"/>
  <c r="AM348" i="3"/>
  <c r="AO348" i="3"/>
  <c r="P157" i="2"/>
  <c r="P142" i="2"/>
  <c r="P87" i="2"/>
  <c r="AM457" i="3"/>
  <c r="AN457" i="3" s="1"/>
  <c r="AO59" i="3"/>
  <c r="AV872" i="3"/>
  <c r="AW872" i="3" s="1"/>
  <c r="AX872" i="3" s="1"/>
  <c r="AP286" i="3"/>
  <c r="AQ286" i="3" s="1"/>
  <c r="AR286" i="3" s="1"/>
  <c r="AM552" i="3"/>
  <c r="AM1047" i="3"/>
  <c r="AP465" i="3"/>
  <c r="AQ465" i="3" s="1"/>
  <c r="AN67" i="3"/>
  <c r="AO67" i="3"/>
  <c r="AL67" i="3"/>
  <c r="Q142" i="2"/>
  <c r="Q87" i="2"/>
  <c r="Q157" i="2"/>
  <c r="AN273" i="3"/>
  <c r="AL801" i="3"/>
  <c r="S142" i="2"/>
  <c r="S157" i="2"/>
  <c r="S87" i="2"/>
  <c r="AO878" i="3"/>
  <c r="AQ1123" i="3"/>
  <c r="AO1362" i="3"/>
  <c r="AP1101" i="3"/>
  <c r="AK1364" i="3"/>
  <c r="AN1292" i="3"/>
  <c r="AN743" i="3"/>
  <c r="AN684" i="3"/>
  <c r="AN848" i="3"/>
  <c r="AL1100" i="3"/>
  <c r="AM1338" i="3"/>
  <c r="AN1338" i="3" s="1"/>
  <c r="AO1338" i="3" s="1"/>
  <c r="AP1338" i="3" s="1"/>
  <c r="AQ1338" i="3" s="1"/>
  <c r="AL858" i="3"/>
  <c r="AN119" i="3"/>
  <c r="AM119" i="3"/>
  <c r="AO119" i="3"/>
  <c r="AP452" i="3"/>
  <c r="AL1072" i="3"/>
  <c r="AO546" i="3"/>
  <c r="AM1204" i="3"/>
  <c r="AN1204" i="3"/>
  <c r="AP764" i="3"/>
  <c r="AL1203" i="3"/>
  <c r="AP1270" i="3"/>
  <c r="AQ1270" i="3" s="1"/>
  <c r="AR1270" i="3" s="1"/>
  <c r="AN554" i="3"/>
  <c r="AP629" i="3"/>
  <c r="AO629" i="3"/>
  <c r="AO213" i="3"/>
  <c r="AP213" i="3" s="1"/>
  <c r="AO434" i="3"/>
  <c r="AS744" i="3"/>
  <c r="AO1273" i="3"/>
  <c r="AN1273" i="3"/>
  <c r="AP1273" i="3" s="1"/>
  <c r="U846" i="4"/>
  <c r="AS978" i="3"/>
  <c r="AR978" i="3"/>
  <c r="AE745" i="4"/>
  <c r="AK915" i="3"/>
  <c r="AO294" i="3"/>
  <c r="AP294" i="3"/>
  <c r="AQ294" i="3" s="1"/>
  <c r="AR294" i="3" s="1"/>
  <c r="AS294" i="3" s="1"/>
  <c r="AT294" i="3" s="1"/>
  <c r="AU294" i="3" s="1"/>
  <c r="AV294" i="3" s="1"/>
  <c r="AM294" i="3"/>
  <c r="AN294" i="3"/>
  <c r="AN655" i="3"/>
  <c r="AO664" i="3"/>
  <c r="AQ664" i="3" s="1"/>
  <c r="AN664" i="3"/>
  <c r="AP664" i="3" s="1"/>
  <c r="AN1214" i="3"/>
  <c r="AO1214" i="3" s="1"/>
  <c r="AL54" i="3"/>
  <c r="AP688" i="3"/>
  <c r="AO1134" i="3"/>
  <c r="AP1134" i="3" s="1"/>
  <c r="AQ1134" i="3" s="1"/>
  <c r="AR1134" i="3" s="1"/>
  <c r="AP573" i="3"/>
  <c r="AL821" i="3"/>
  <c r="AM442" i="3"/>
  <c r="AN442" i="3" s="1"/>
  <c r="AO442" i="3" s="1"/>
  <c r="W74" i="2"/>
  <c r="AQ274" i="3"/>
  <c r="AP274" i="3"/>
  <c r="AO274" i="3"/>
  <c r="AR1329" i="3"/>
  <c r="AS1329" i="3"/>
  <c r="AQ1329" i="3"/>
  <c r="AN1284" i="3"/>
  <c r="AO1284" i="3"/>
  <c r="AP1284" i="3" s="1"/>
  <c r="AO236" i="3"/>
  <c r="AP236" i="3"/>
  <c r="AN236" i="3"/>
  <c r="AM236" i="3"/>
  <c r="AM1121" i="3"/>
  <c r="AR1121" i="3" s="1"/>
  <c r="AS1121" i="3" s="1"/>
  <c r="AM1103" i="3"/>
  <c r="T684" i="4"/>
  <c r="U681" i="4" s="1"/>
  <c r="AQ90" i="3"/>
  <c r="AQ805" i="3"/>
  <c r="AO114" i="3"/>
  <c r="AN114" i="3"/>
  <c r="AP114" i="3" s="1"/>
  <c r="AQ114" i="3" s="1"/>
  <c r="AR114" i="3" s="1"/>
  <c r="AS114" i="3" s="1"/>
  <c r="AT114" i="3" s="1"/>
  <c r="AW1006" i="3"/>
  <c r="AX1006" i="3" s="1"/>
  <c r="AQ352" i="3"/>
  <c r="AT1046" i="3"/>
  <c r="AN243" i="3"/>
  <c r="AO243" i="3" s="1"/>
  <c r="AN1183" i="3"/>
  <c r="AM623" i="3"/>
  <c r="AN623" i="3" s="1"/>
  <c r="AL214" i="3"/>
  <c r="AJ1403" i="3"/>
  <c r="AK214" i="3"/>
  <c r="AQ1121" i="3"/>
  <c r="AP857" i="3"/>
  <c r="AN857" i="3"/>
  <c r="AO857" i="3" s="1"/>
  <c r="AL517" i="3"/>
  <c r="AT875" i="3"/>
  <c r="AU875" i="3" s="1"/>
  <c r="AV875" i="3"/>
  <c r="AQ875" i="3"/>
  <c r="AR875" i="3"/>
  <c r="AN1385" i="3"/>
  <c r="AM1085" i="3"/>
  <c r="AP342" i="3"/>
  <c r="AS875" i="3"/>
  <c r="T1103" i="4"/>
  <c r="T959" i="4"/>
  <c r="T960" i="4" s="1"/>
  <c r="AM1032" i="3"/>
  <c r="AL1032" i="3"/>
  <c r="AK1374" i="3"/>
  <c r="AN1268" i="3"/>
  <c r="AO1268" i="3" s="1"/>
  <c r="U527" i="4"/>
  <c r="U520" i="4"/>
  <c r="W345" i="2"/>
  <c r="AQ164" i="3"/>
  <c r="AN96" i="3"/>
  <c r="AQ802" i="3"/>
  <c r="AS802" i="3" s="1"/>
  <c r="AO692" i="3"/>
  <c r="AN177" i="3"/>
  <c r="AO177" i="3" s="1"/>
  <c r="AN363" i="3"/>
  <c r="AU241" i="3"/>
  <c r="AV241" i="3" s="1"/>
  <c r="AW241" i="3" s="1"/>
  <c r="AX241" i="3" s="1"/>
  <c r="AQ241" i="3"/>
  <c r="AR241" i="3" s="1"/>
  <c r="AS241" i="3"/>
  <c r="AT241" i="3" s="1"/>
  <c r="AM1036" i="3"/>
  <c r="AM411" i="3"/>
  <c r="AM220" i="3"/>
  <c r="AC255" i="2"/>
  <c r="AM651" i="3"/>
  <c r="AR1232" i="3"/>
  <c r="AS1232" i="3" s="1"/>
  <c r="AT1232" i="3" s="1"/>
  <c r="AU1232" i="3" s="1"/>
  <c r="AV1232" i="3" s="1"/>
  <c r="AW1232" i="3" s="1"/>
  <c r="AX1232" i="3" s="1"/>
  <c r="AN1317" i="3"/>
  <c r="AL1317" i="3"/>
  <c r="AM1317" i="3"/>
  <c r="AQ602" i="3"/>
  <c r="AR602" i="3" s="1"/>
  <c r="AS602" i="3" s="1"/>
  <c r="AW719" i="3"/>
  <c r="AX719" i="3" s="1"/>
  <c r="AR719" i="3"/>
  <c r="AS719" i="3" s="1"/>
  <c r="AT719" i="3" s="1"/>
  <c r="AU719" i="3" s="1"/>
  <c r="AV719" i="3" s="1"/>
  <c r="AN204" i="3"/>
  <c r="AM204" i="3"/>
  <c r="AA836" i="4"/>
  <c r="AB840" i="4" s="1"/>
  <c r="AA745" i="4"/>
  <c r="AP630" i="3"/>
  <c r="AL1133" i="3"/>
  <c r="AP378" i="3"/>
  <c r="AO245" i="3"/>
  <c r="AW760" i="3"/>
  <c r="AX760" i="3" s="1"/>
  <c r="AM180" i="3"/>
  <c r="AN180" i="3" s="1"/>
  <c r="AQ730" i="3"/>
  <c r="AR730" i="3"/>
  <c r="AM436" i="3"/>
  <c r="AO111" i="3"/>
  <c r="AW32" i="3"/>
  <c r="AX32" i="3" s="1"/>
  <c r="AV32" i="3"/>
  <c r="AK962" i="3"/>
  <c r="AR478" i="3"/>
  <c r="AS478" i="3" s="1"/>
  <c r="AS537" i="3"/>
  <c r="AT537" i="3" s="1"/>
  <c r="AU537" i="3" s="1"/>
  <c r="AV537" i="3" s="1"/>
  <c r="AW537" i="3" s="1"/>
  <c r="AX537" i="3" s="1"/>
  <c r="AM18" i="3"/>
  <c r="AN18" i="3" s="1"/>
  <c r="AM686" i="3"/>
  <c r="AL723" i="3"/>
  <c r="AM723" i="3" s="1"/>
  <c r="AN723" i="3" s="1"/>
  <c r="AL88" i="3"/>
  <c r="AM88" i="3"/>
  <c r="AO1104" i="3"/>
  <c r="AP1104" i="3" s="1"/>
  <c r="AS1104" i="3"/>
  <c r="AQ1104" i="3"/>
  <c r="AR1104" i="3" s="1"/>
  <c r="AR676" i="3"/>
  <c r="AT760" i="3"/>
  <c r="AU760" i="3" s="1"/>
  <c r="AV760" i="3" s="1"/>
  <c r="AO244" i="3"/>
  <c r="AU1006" i="3"/>
  <c r="AV1006" i="3" s="1"/>
  <c r="AP978" i="3"/>
  <c r="AL870" i="3"/>
  <c r="AM870" i="3" s="1"/>
  <c r="AN870" i="3" s="1"/>
  <c r="AK870" i="3"/>
  <c r="AN891" i="3"/>
  <c r="AM891" i="3"/>
  <c r="AR229" i="3"/>
  <c r="AS229" i="3" s="1"/>
  <c r="AO1002" i="3"/>
  <c r="AL791" i="3"/>
  <c r="AM1045" i="3"/>
  <c r="AP1045" i="3" s="1"/>
  <c r="AQ1045" i="3" s="1"/>
  <c r="AR1045" i="3" s="1"/>
  <c r="AS1045" i="3" s="1"/>
  <c r="AT1045" i="3" s="1"/>
  <c r="AU1045" i="3" s="1"/>
  <c r="AV1045" i="3" s="1"/>
  <c r="AW1045" i="3" s="1"/>
  <c r="AX1045" i="3" s="1"/>
  <c r="AL1045" i="3"/>
  <c r="AO1045" i="3" s="1"/>
  <c r="AN1045" i="3"/>
  <c r="AQ49" i="3"/>
  <c r="AQ350" i="3"/>
  <c r="AQ435" i="3"/>
  <c r="AR435" i="3" s="1"/>
  <c r="AS435" i="3" s="1"/>
  <c r="AT435" i="3" s="1"/>
  <c r="AP435" i="3"/>
  <c r="AM609" i="3"/>
  <c r="AL609" i="3"/>
  <c r="AO1160" i="3"/>
  <c r="AM541" i="3"/>
  <c r="AP451" i="3"/>
  <c r="AQ451" i="3" s="1"/>
  <c r="AO1142" i="3"/>
  <c r="AP618" i="3"/>
  <c r="AN390" i="3"/>
  <c r="AS800" i="3"/>
  <c r="AT800" i="3" s="1"/>
  <c r="AN759" i="3"/>
  <c r="AO759" i="3" s="1"/>
  <c r="AM9" i="3"/>
  <c r="X138" i="2"/>
  <c r="AL1129" i="3"/>
  <c r="AM1157" i="3"/>
  <c r="AN736" i="3"/>
  <c r="AP736" i="3" s="1"/>
  <c r="AQ736" i="3" s="1"/>
  <c r="AR736" i="3" s="1"/>
  <c r="AS736" i="3" s="1"/>
  <c r="AO736" i="3"/>
  <c r="AO1264" i="3"/>
  <c r="AP1264" i="3" s="1"/>
  <c r="AQ1264" i="3" s="1"/>
  <c r="AR1264" i="3" s="1"/>
  <c r="AM93" i="3"/>
  <c r="AO376" i="3"/>
  <c r="AP376" i="3" s="1"/>
  <c r="AK694" i="3"/>
  <c r="AP324" i="3"/>
  <c r="AP900" i="3"/>
  <c r="AQ900" i="3" s="1"/>
  <c r="AR900" i="3" s="1"/>
  <c r="AM175" i="3"/>
  <c r="AN175" i="3"/>
  <c r="AQ175" i="3" s="1"/>
  <c r="AR175" i="3" s="1"/>
  <c r="AP175" i="3"/>
  <c r="AK1029" i="3"/>
  <c r="AM1029" i="3" s="1"/>
  <c r="AL1029" i="3"/>
  <c r="AO1042" i="3"/>
  <c r="AM447" i="3"/>
  <c r="AP519" i="3"/>
  <c r="AQ519" i="3" s="1"/>
  <c r="AN425" i="3"/>
  <c r="AP425" i="3"/>
  <c r="AQ425" i="3" s="1"/>
  <c r="AO425" i="3"/>
  <c r="AO171" i="3"/>
  <c r="AP171" i="3" s="1"/>
  <c r="AN1280" i="3"/>
  <c r="AP130" i="3"/>
  <c r="AK970" i="3"/>
  <c r="AL970" i="3" s="1"/>
  <c r="AS1269" i="3"/>
  <c r="W921" i="4"/>
  <c r="W1186" i="4"/>
  <c r="W1188" i="4" s="1"/>
  <c r="R921" i="4"/>
  <c r="AJ1445" i="3"/>
  <c r="W221" i="2" s="1"/>
  <c r="AP786" i="3"/>
  <c r="AO786" i="3"/>
  <c r="AL1052" i="3"/>
  <c r="AM1063" i="3"/>
  <c r="AM419" i="3"/>
  <c r="AN419" i="3"/>
  <c r="AO419" i="3" s="1"/>
  <c r="AP419" i="3" s="1"/>
  <c r="AQ419" i="3" s="1"/>
  <c r="AR1197" i="3"/>
  <c r="AR1117" i="3"/>
  <c r="AL1381" i="3"/>
  <c r="AN218" i="3"/>
  <c r="AM892" i="3"/>
  <c r="AK186" i="3"/>
  <c r="AJ1406" i="3"/>
  <c r="AO756" i="3"/>
  <c r="AP756" i="3" s="1"/>
  <c r="AN1341" i="3"/>
  <c r="AM1387" i="3"/>
  <c r="AP882" i="3"/>
  <c r="AN461" i="3"/>
  <c r="AM852" i="3"/>
  <c r="AN852" i="3" s="1"/>
  <c r="AO852" i="3" s="1"/>
  <c r="AP852" i="3" s="1"/>
  <c r="AQ693" i="3"/>
  <c r="AR693" i="3" s="1"/>
  <c r="AS693" i="3" s="1"/>
  <c r="AT693" i="3" s="1"/>
  <c r="AU693" i="3" s="1"/>
  <c r="AV693" i="3" s="1"/>
  <c r="AO193" i="3"/>
  <c r="AP193" i="3"/>
  <c r="AM147" i="3"/>
  <c r="AO430" i="3"/>
  <c r="AP430" i="3"/>
  <c r="AQ430" i="3" s="1"/>
  <c r="AL938" i="3"/>
  <c r="AM1163" i="3"/>
  <c r="AO1163" i="3" s="1"/>
  <c r="AN1163" i="3"/>
  <c r="AL926" i="3"/>
  <c r="AJ1446" i="3"/>
  <c r="AJ1447" i="3" s="1"/>
  <c r="AJ1449" i="3" s="1"/>
  <c r="AM1294" i="3"/>
  <c r="AM696" i="3"/>
  <c r="AN696" i="3"/>
  <c r="AO696" i="3"/>
  <c r="AO992" i="3"/>
  <c r="AR992" i="3" s="1"/>
  <c r="AM948" i="3"/>
  <c r="AN948" i="3" s="1"/>
  <c r="AM78" i="3"/>
  <c r="X231" i="2"/>
  <c r="Y232" i="2"/>
  <c r="AO808" i="3"/>
  <c r="AN808" i="3"/>
  <c r="AP595" i="3"/>
  <c r="AQ595" i="3" s="1"/>
  <c r="AR595" i="3" s="1"/>
  <c r="AS595" i="3" s="1"/>
  <c r="AT595" i="3" s="1"/>
  <c r="AU595" i="3" s="1"/>
  <c r="AV595" i="3" s="1"/>
  <c r="AW595" i="3" s="1"/>
  <c r="AX595" i="3" s="1"/>
  <c r="AP1228" i="3"/>
  <c r="AQ1228" i="3"/>
  <c r="AR1228" i="3" s="1"/>
  <c r="AK1008" i="3"/>
  <c r="AL395" i="3"/>
  <c r="AM395" i="3"/>
  <c r="AN1054" i="3"/>
  <c r="AO1089" i="3"/>
  <c r="AR630" i="3"/>
  <c r="AN104" i="3"/>
  <c r="AN1089" i="3"/>
  <c r="AR79" i="3"/>
  <c r="AR850" i="3"/>
  <c r="AM453" i="3"/>
  <c r="AM109" i="3"/>
  <c r="AA846" i="4"/>
  <c r="AO170" i="3"/>
  <c r="AN219" i="3"/>
  <c r="T61" i="4"/>
  <c r="AL1279" i="3"/>
  <c r="AM375" i="3"/>
  <c r="Y190" i="2"/>
  <c r="Y145" i="2"/>
  <c r="X188" i="2"/>
  <c r="AN566" i="3"/>
  <c r="AP747" i="3"/>
  <c r="AQ564" i="3"/>
  <c r="AK596" i="3"/>
  <c r="AO464" i="3"/>
  <c r="AK1043" i="3"/>
  <c r="AM1043" i="3" s="1"/>
  <c r="AC345" i="2"/>
  <c r="AA527" i="4"/>
  <c r="AA520" i="4"/>
  <c r="Z921" i="4"/>
  <c r="Z1186" i="4"/>
  <c r="Z1188" i="4" s="1"/>
  <c r="AS597" i="3"/>
  <c r="AO1346" i="3"/>
  <c r="AP1346" i="3" s="1"/>
  <c r="V309" i="2"/>
  <c r="U310" i="2"/>
  <c r="U311" i="2" s="1"/>
  <c r="U312" i="2" s="1"/>
  <c r="V218" i="2"/>
  <c r="U225" i="2"/>
  <c r="AL831" i="3"/>
  <c r="AM657" i="3"/>
  <c r="AD921" i="4"/>
  <c r="AD1186" i="4"/>
  <c r="AD1188" i="4" s="1"/>
  <c r="AN931" i="3"/>
  <c r="AP931" i="3" s="1"/>
  <c r="AO931" i="3"/>
  <c r="AJ1418" i="3"/>
  <c r="U165" i="4" s="1"/>
  <c r="AL717" i="3"/>
  <c r="AK717" i="3"/>
  <c r="AM468" i="3"/>
  <c r="AN468" i="3"/>
  <c r="V61" i="4"/>
  <c r="AN1082" i="3"/>
  <c r="AM1082" i="3"/>
  <c r="AP71" i="3"/>
  <c r="AQ71" i="3"/>
  <c r="AQ366" i="3"/>
  <c r="AL948" i="3"/>
  <c r="AF835" i="4"/>
  <c r="AF830" i="4"/>
  <c r="AM1239" i="3"/>
  <c r="AN1239" i="3"/>
  <c r="AN526" i="3"/>
  <c r="AL183" i="3"/>
  <c r="AA139" i="2"/>
  <c r="AB241" i="2"/>
  <c r="AO642" i="3"/>
  <c r="AV1073" i="3"/>
  <c r="AW1073" i="3" s="1"/>
  <c r="AX1073" i="3" s="1"/>
  <c r="AP124" i="3"/>
  <c r="AQ124" i="3" s="1"/>
  <c r="AP784" i="3"/>
  <c r="AO784" i="3"/>
  <c r="AM12" i="3"/>
  <c r="AV670" i="3"/>
  <c r="AW670" i="3" s="1"/>
  <c r="AX670" i="3" s="1"/>
  <c r="AS1235" i="3"/>
  <c r="AT1235" i="3" s="1"/>
  <c r="AU1235" i="3" s="1"/>
  <c r="AV1235" i="3" s="1"/>
  <c r="AW1235" i="3" s="1"/>
  <c r="AX1235" i="3" s="1"/>
  <c r="AO873" i="3"/>
  <c r="Z846" i="4"/>
  <c r="AQ216" i="3"/>
  <c r="AR216" i="3" s="1"/>
  <c r="AN1000" i="3"/>
  <c r="AN605" i="3"/>
  <c r="AL605" i="3"/>
  <c r="AO605" i="3" s="1"/>
  <c r="AP605" i="3" s="1"/>
  <c r="AQ605" i="3" s="1"/>
  <c r="AR605" i="3" s="1"/>
  <c r="AQ804" i="3"/>
  <c r="AR804" i="3" s="1"/>
  <c r="AS804" i="3" s="1"/>
  <c r="AT804" i="3" s="1"/>
  <c r="AU804" i="3" s="1"/>
  <c r="AV804" i="3" s="1"/>
  <c r="AW804" i="3" s="1"/>
  <c r="AX804" i="3" s="1"/>
  <c r="AP649" i="3"/>
  <c r="AO1062" i="3"/>
  <c r="AL332" i="3"/>
  <c r="AM332" i="3"/>
  <c r="AQ744" i="3"/>
  <c r="AR744" i="3" s="1"/>
  <c r="AU49" i="3"/>
  <c r="AV49" i="3" s="1"/>
  <c r="AQ630" i="3"/>
  <c r="AN321" i="3"/>
  <c r="AO321" i="3" s="1"/>
  <c r="AP321" i="3" s="1"/>
  <c r="AQ321" i="3" s="1"/>
  <c r="AR321" i="3" s="1"/>
  <c r="AS321" i="3" s="1"/>
  <c r="AL1065" i="3"/>
  <c r="AM1065" i="3" s="1"/>
  <c r="AN1065" i="3" s="1"/>
  <c r="AP493" i="3"/>
  <c r="AQ139" i="3"/>
  <c r="AR139" i="3" s="1"/>
  <c r="AS139" i="3" s="1"/>
  <c r="AM131" i="3"/>
  <c r="AM944" i="3"/>
  <c r="X77" i="2"/>
  <c r="AL166" i="3"/>
  <c r="AL1379" i="3"/>
  <c r="AN1259" i="3"/>
  <c r="AR248" i="3"/>
  <c r="AP1363" i="3"/>
  <c r="AN1056" i="3"/>
  <c r="W412" i="4"/>
  <c r="V33" i="10"/>
  <c r="W413" i="4" s="1"/>
  <c r="W419" i="4" s="1"/>
  <c r="AR625" i="3"/>
  <c r="AN956" i="3"/>
  <c r="AK877" i="3"/>
  <c r="AM403" i="3"/>
  <c r="Y77" i="2"/>
  <c r="AK1353" i="3"/>
  <c r="AL782" i="3"/>
  <c r="S509" i="4"/>
  <c r="S514" i="4"/>
  <c r="S521" i="4" s="1"/>
  <c r="AM726" i="3"/>
  <c r="AL726" i="3"/>
  <c r="AL553" i="3"/>
  <c r="AM553" i="3"/>
  <c r="AN553" i="3" s="1"/>
  <c r="AO553" i="3"/>
  <c r="AP553" i="3" s="1"/>
  <c r="AQ553" i="3"/>
  <c r="AR553" i="3"/>
  <c r="AS553" i="3" s="1"/>
  <c r="AP153" i="3"/>
  <c r="O197" i="4"/>
  <c r="AN65" i="3"/>
  <c r="V222" i="2"/>
  <c r="V143" i="2" s="1"/>
  <c r="AP408" i="3"/>
  <c r="AO408" i="3"/>
  <c r="AR408" i="3"/>
  <c r="AQ408" i="3"/>
  <c r="AT408" i="3" s="1"/>
  <c r="AU408" i="3" s="1"/>
  <c r="AV408" i="3" s="1"/>
  <c r="AS408" i="3"/>
  <c r="AN87" i="3"/>
  <c r="AM1266" i="3"/>
  <c r="AO1108" i="3"/>
  <c r="AN1108" i="3"/>
  <c r="AQ253" i="3"/>
  <c r="AA345" i="2"/>
  <c r="Y520" i="4"/>
  <c r="Y527" i="4"/>
  <c r="V82" i="2"/>
  <c r="T169" i="4"/>
  <c r="AM912" i="3"/>
  <c r="AN912" i="3"/>
  <c r="AN372" i="3"/>
  <c r="AN632" i="3"/>
  <c r="AO632" i="3" s="1"/>
  <c r="AL1310" i="3"/>
  <c r="AM1310" i="3" s="1"/>
  <c r="AQ123" i="3"/>
  <c r="AR123" i="3" s="1"/>
  <c r="AN1308" i="3"/>
  <c r="X73" i="2"/>
  <c r="V138" i="4"/>
  <c r="AM1173" i="3"/>
  <c r="AL732" i="3"/>
  <c r="AP732" i="3"/>
  <c r="AQ732" i="3" s="1"/>
  <c r="AN1339" i="3"/>
  <c r="AO1339" i="3"/>
  <c r="AP1339" i="3"/>
  <c r="AQ1339" i="3" s="1"/>
  <c r="AR1339" i="3" s="1"/>
  <c r="AL439" i="3"/>
  <c r="AM439" i="3" s="1"/>
  <c r="U143" i="2"/>
  <c r="O177" i="2"/>
  <c r="AL1210" i="3"/>
  <c r="AO750" i="3"/>
  <c r="AQ1337" i="3"/>
  <c r="AO207" i="3"/>
  <c r="AQ355" i="3"/>
  <c r="AR355" i="3" s="1"/>
  <c r="AS355" i="3" s="1"/>
  <c r="P641" i="4"/>
  <c r="P658" i="4" s="1"/>
  <c r="P199" i="4"/>
  <c r="AN368" i="3"/>
  <c r="AO368" i="3" s="1"/>
  <c r="S830" i="4"/>
  <c r="S835" i="4"/>
  <c r="S745" i="4"/>
  <c r="AK1038" i="3"/>
  <c r="AN709" i="3"/>
  <c r="AO709" i="3"/>
  <c r="AP709" i="3" s="1"/>
  <c r="AQ709" i="3"/>
  <c r="AO1308" i="3"/>
  <c r="AM901" i="3"/>
  <c r="AP1360" i="3"/>
  <c r="AN238" i="3"/>
  <c r="AK1251" i="3"/>
  <c r="AM1000" i="3"/>
  <c r="AL318" i="3"/>
  <c r="AN675" i="3"/>
  <c r="AN968" i="3"/>
  <c r="AL413" i="3"/>
  <c r="AQ514" i="3"/>
  <c r="AM72" i="3"/>
  <c r="AQ1174" i="3"/>
  <c r="AO1026" i="3"/>
  <c r="AM707" i="3"/>
  <c r="AN493" i="3"/>
  <c r="AO493" i="3" s="1"/>
  <c r="AL521" i="3"/>
  <c r="AK705" i="3"/>
  <c r="AM499" i="3"/>
  <c r="AP161" i="3"/>
  <c r="AP359" i="3"/>
  <c r="AO359" i="3"/>
  <c r="Q200" i="4"/>
  <c r="Q805" i="4"/>
  <c r="Q822" i="4" s="1"/>
  <c r="K251" i="2"/>
  <c r="K252" i="2" s="1"/>
  <c r="W252" i="2"/>
  <c r="W154" i="2"/>
  <c r="K154" i="2" s="1"/>
  <c r="X251" i="2"/>
  <c r="AL1090" i="3"/>
  <c r="AM1090" i="3" s="1"/>
  <c r="AO1249" i="3"/>
  <c r="AO124" i="3"/>
  <c r="AL505" i="3"/>
  <c r="AN1057" i="3"/>
  <c r="AO285" i="3"/>
  <c r="AP827" i="3"/>
  <c r="AO1188" i="3"/>
  <c r="S421" i="4"/>
  <c r="AM166" i="3"/>
  <c r="AN166" i="3" s="1"/>
  <c r="AO166" i="3" s="1"/>
  <c r="AS1064" i="3"/>
  <c r="AM673" i="3"/>
  <c r="AN726" i="3"/>
  <c r="AR826" i="3"/>
  <c r="AO255" i="3"/>
  <c r="AP1255" i="3"/>
  <c r="AL1067" i="3"/>
  <c r="AL1118" i="3"/>
  <c r="AM1118" i="3"/>
  <c r="AR1174" i="3"/>
  <c r="AS1174" i="3" s="1"/>
  <c r="AT1174" i="3" s="1"/>
  <c r="AU1174" i="3" s="1"/>
  <c r="AV1174" i="3" s="1"/>
  <c r="AQ1147" i="3"/>
  <c r="AO960" i="3"/>
  <c r="AP960" i="3" s="1"/>
  <c r="AP257" i="3"/>
  <c r="AQ257" i="3" s="1"/>
  <c r="AN424" i="3"/>
  <c r="AM940" i="3"/>
  <c r="AT1187" i="3"/>
  <c r="AU1187" i="3" s="1"/>
  <c r="AV1187" i="3" s="1"/>
  <c r="AW1187" i="3" s="1"/>
  <c r="AX1187" i="3" s="1"/>
  <c r="AQ994" i="3"/>
  <c r="AP994" i="3"/>
  <c r="AO994" i="3"/>
  <c r="AM994" i="3"/>
  <c r="AN994" i="3"/>
  <c r="N944" i="4"/>
  <c r="N201" i="4"/>
  <c r="Z61" i="4"/>
  <c r="Y325" i="2"/>
  <c r="Y326" i="2" s="1"/>
  <c r="Y327" i="2" s="1"/>
  <c r="Z249" i="2"/>
  <c r="Z323" i="2"/>
  <c r="Y248" i="2"/>
  <c r="AM87" i="3"/>
  <c r="AD835" i="4"/>
  <c r="AD830" i="4"/>
  <c r="AL37" i="3"/>
  <c r="AL232" i="3"/>
  <c r="AS25" i="3"/>
  <c r="AM8" i="3"/>
  <c r="AP1073" i="3"/>
  <c r="AQ1073" i="3" s="1"/>
  <c r="AR1073" i="3" s="1"/>
  <c r="AS1073" i="3" s="1"/>
  <c r="AT1073" i="3" s="1"/>
  <c r="AU1073" i="3" s="1"/>
  <c r="AU281" i="3"/>
  <c r="AM15" i="3"/>
  <c r="AO1101" i="3"/>
  <c r="U1222" i="4"/>
  <c r="U1234" i="4" s="1"/>
  <c r="AR728" i="3"/>
  <c r="AS728" i="3" s="1"/>
  <c r="AT728" i="3" s="1"/>
  <c r="AQ533" i="3"/>
  <c r="AO533" i="3"/>
  <c r="AN533" i="3"/>
  <c r="AP533" i="3"/>
  <c r="AL1098" i="3"/>
  <c r="AK536" i="3"/>
  <c r="AP862" i="3"/>
  <c r="AR25" i="3"/>
  <c r="AQ950" i="3"/>
  <c r="AR950" i="3" s="1"/>
  <c r="AO1061" i="3"/>
  <c r="AP1061" i="3"/>
  <c r="AN440" i="3"/>
  <c r="AN1030" i="3"/>
  <c r="AK1114" i="3"/>
  <c r="AO18" i="3"/>
  <c r="AK641" i="3"/>
  <c r="AO1161" i="3"/>
  <c r="AF745" i="4"/>
  <c r="AM1343" i="3"/>
  <c r="AK121" i="3"/>
  <c r="AL1033" i="3"/>
  <c r="AO1224" i="3"/>
  <c r="AM1305" i="3"/>
  <c r="W283" i="2"/>
  <c r="K242" i="2"/>
  <c r="W155" i="2"/>
  <c r="K155" i="2" s="1"/>
  <c r="X121" i="4"/>
  <c r="W134" i="4"/>
  <c r="AL1132" i="3"/>
  <c r="N641" i="4"/>
  <c r="N658" i="4" s="1"/>
  <c r="N199" i="4"/>
  <c r="AP1390" i="3"/>
  <c r="V17" i="10"/>
  <c r="V65" i="4"/>
  <c r="S679" i="4"/>
  <c r="T674" i="4" s="1"/>
  <c r="AM240" i="3"/>
  <c r="AK1048" i="3"/>
  <c r="AL1048" i="3"/>
  <c r="AK1127" i="3"/>
  <c r="AM1127" i="3"/>
  <c r="AL1127" i="3"/>
  <c r="AO738" i="3"/>
  <c r="AP738" i="3"/>
  <c r="AL330" i="3"/>
  <c r="AS281" i="3"/>
  <c r="AL1158" i="3"/>
  <c r="AL1105" i="3"/>
  <c r="AM1105" i="3" s="1"/>
  <c r="AT281" i="3"/>
  <c r="AL1070" i="3"/>
  <c r="AN982" i="3"/>
  <c r="AO982" i="3"/>
  <c r="AM982" i="3"/>
  <c r="AO102" i="3"/>
  <c r="AP102" i="3" s="1"/>
  <c r="AL223" i="3"/>
  <c r="AN851" i="3"/>
  <c r="AN1373" i="3"/>
  <c r="W61" i="4"/>
  <c r="AM82" i="3"/>
  <c r="AN82" i="3"/>
  <c r="AL1256" i="3"/>
  <c r="AO15" i="3"/>
  <c r="AP15" i="3" s="1"/>
  <c r="AQ15" i="3" s="1"/>
  <c r="AR15" i="3" s="1"/>
  <c r="AS15" i="3" s="1"/>
  <c r="AN985" i="3"/>
  <c r="AO254" i="3"/>
  <c r="AN254" i="3"/>
  <c r="AM254" i="3"/>
  <c r="AH345" i="2"/>
  <c r="AF527" i="4"/>
  <c r="AF520" i="4"/>
  <c r="AP455" i="3"/>
  <c r="AN645" i="3"/>
  <c r="AO582" i="3"/>
  <c r="AP582" i="3" s="1"/>
  <c r="AO1373" i="3"/>
  <c r="AP1373" i="3" s="1"/>
  <c r="AQ1373" i="3" s="1"/>
  <c r="AR1373" i="3" s="1"/>
  <c r="AK1275" i="3"/>
  <c r="AP921" i="3"/>
  <c r="AP1080" i="3"/>
  <c r="AN556" i="3"/>
  <c r="AT576" i="3"/>
  <c r="AU576" i="3" s="1"/>
  <c r="AV576" i="3" s="1"/>
  <c r="AW576" i="3" s="1"/>
  <c r="AX576" i="3" s="1"/>
  <c r="AQ1040" i="3"/>
  <c r="AQ889" i="3"/>
  <c r="AR889" i="3" s="1"/>
  <c r="AS889" i="3" s="1"/>
  <c r="AT889" i="3" s="1"/>
  <c r="AU889" i="3" s="1"/>
  <c r="Q256" i="2"/>
  <c r="P175" i="2"/>
  <c r="P177" i="2" s="1"/>
  <c r="AM731" i="3"/>
  <c r="AP508" i="3"/>
  <c r="AQ508" i="3" s="1"/>
  <c r="AR508" i="3" s="1"/>
  <c r="AS508" i="3" s="1"/>
  <c r="AT508" i="3" s="1"/>
  <c r="AU508" i="3" s="1"/>
  <c r="AV508" i="3" s="1"/>
  <c r="AO492" i="3"/>
  <c r="AR690" i="3"/>
  <c r="AP1231" i="3"/>
  <c r="AM1291" i="3"/>
  <c r="AP1108" i="3"/>
  <c r="AN1095" i="3"/>
  <c r="AO815" i="3"/>
  <c r="AF35" i="2"/>
  <c r="AO974" i="3"/>
  <c r="X345" i="2"/>
  <c r="V527" i="4"/>
  <c r="V520" i="4"/>
  <c r="AM1179" i="3"/>
  <c r="AO1234" i="3"/>
  <c r="AO1325" i="3"/>
  <c r="AO1194" i="3"/>
  <c r="AN1344" i="3"/>
  <c r="AO1344" i="3"/>
  <c r="AP1344" i="3"/>
  <c r="AM751" i="3"/>
  <c r="AW603" i="3"/>
  <c r="AX603" i="3" s="1"/>
  <c r="AK382" i="3"/>
  <c r="AO570" i="3"/>
  <c r="AP570" i="3" s="1"/>
  <c r="AN570" i="3"/>
  <c r="AN945" i="3"/>
  <c r="AM127" i="3"/>
  <c r="P944" i="4"/>
  <c r="P201" i="4"/>
  <c r="AN1161" i="3"/>
  <c r="AS1050" i="3"/>
  <c r="AT1050" i="3" s="1"/>
  <c r="AU1050" i="3" s="1"/>
  <c r="AO1227" i="3"/>
  <c r="AN448" i="3"/>
  <c r="AP869" i="3"/>
  <c r="AM426" i="3"/>
  <c r="AO829" i="3"/>
  <c r="AP829" i="3"/>
  <c r="AQ829" i="3" s="1"/>
  <c r="AN757" i="3"/>
  <c r="AW483" i="3"/>
  <c r="AX483" i="3" s="1"/>
  <c r="AN707" i="3"/>
  <c r="AO707" i="3" s="1"/>
  <c r="AM1033" i="3"/>
  <c r="AP749" i="3"/>
  <c r="AM128" i="3"/>
  <c r="Y243" i="2"/>
  <c r="X242" i="2"/>
  <c r="AM1382" i="3"/>
  <c r="AM543" i="3"/>
  <c r="AM1278" i="3"/>
  <c r="AN125" i="3"/>
  <c r="AO172" i="3"/>
  <c r="AR1368" i="3"/>
  <c r="AS1368" i="3"/>
  <c r="AL939" i="3"/>
  <c r="AM939" i="3" s="1"/>
  <c r="AN939" i="3" s="1"/>
  <c r="AR1337" i="3"/>
  <c r="AO644" i="3"/>
  <c r="AQ644" i="3" s="1"/>
  <c r="AR644" i="3" s="1"/>
  <c r="AP644" i="3"/>
  <c r="AO1226" i="3"/>
  <c r="AO854" i="3"/>
  <c r="AL1192" i="3"/>
  <c r="AP1025" i="3"/>
  <c r="AL1383" i="3"/>
  <c r="AC835" i="4"/>
  <c r="AC830" i="4"/>
  <c r="AK237" i="3"/>
  <c r="K200" i="4"/>
  <c r="K805" i="4"/>
  <c r="K822" i="4" s="1"/>
  <c r="AO152" i="3"/>
  <c r="AL1353" i="3"/>
  <c r="AL811" i="3"/>
  <c r="AM1346" i="3"/>
  <c r="AS535" i="3"/>
  <c r="AR535" i="3"/>
  <c r="AN961" i="3"/>
  <c r="X830" i="4"/>
  <c r="X835" i="4"/>
  <c r="AQ359" i="3"/>
  <c r="AN1116" i="3"/>
  <c r="AO1116" i="3"/>
  <c r="Q198" i="4"/>
  <c r="Q485" i="4"/>
  <c r="Q502" i="4" s="1"/>
  <c r="AK1090" i="3"/>
  <c r="AN77" i="3"/>
  <c r="AM505" i="3"/>
  <c r="AO904" i="3"/>
  <c r="AP215" i="3"/>
  <c r="X153" i="4"/>
  <c r="Y153" i="4" s="1"/>
  <c r="AP518" i="3"/>
  <c r="AN972" i="3"/>
  <c r="AQ414" i="3"/>
  <c r="AR414" i="3" s="1"/>
  <c r="AS414" i="3" s="1"/>
  <c r="R509" i="4"/>
  <c r="R514" i="4"/>
  <c r="R521" i="4" s="1"/>
  <c r="AN311" i="3"/>
  <c r="AN838" i="3"/>
  <c r="AN925" i="3"/>
  <c r="AP996" i="3"/>
  <c r="AQ996" i="3" s="1"/>
  <c r="AQ942" i="3"/>
  <c r="AL668" i="3"/>
  <c r="AN500" i="3"/>
  <c r="AO500" i="3"/>
  <c r="AW1174" i="3"/>
  <c r="AX1174" i="3" s="1"/>
  <c r="AQ1076" i="3"/>
  <c r="AR1076" i="3" s="1"/>
  <c r="AL1099" i="3"/>
  <c r="AN960" i="3"/>
  <c r="AP837" i="3"/>
  <c r="W32" i="10"/>
  <c r="AM895" i="3"/>
  <c r="AN895" i="3"/>
  <c r="AL895" i="3"/>
  <c r="AO636" i="3"/>
  <c r="AM1206" i="3"/>
  <c r="AN1206" i="3" s="1"/>
  <c r="AM226" i="3"/>
  <c r="AL226" i="3"/>
  <c r="AO624" i="3"/>
  <c r="AR366" i="3"/>
  <c r="AN1343" i="3"/>
  <c r="AO404" i="3"/>
  <c r="AP404" i="3"/>
  <c r="AN404" i="3"/>
  <c r="AM250" i="3"/>
  <c r="AN558" i="3"/>
  <c r="AO558" i="3" s="1"/>
  <c r="AP558" i="3" s="1"/>
  <c r="AQ558" i="3" s="1"/>
  <c r="AM558" i="3"/>
  <c r="AL558" i="3"/>
  <c r="AP228" i="3"/>
  <c r="AM1341" i="3"/>
  <c r="AQ656" i="3"/>
  <c r="AR656" i="3" s="1"/>
  <c r="AB345" i="2"/>
  <c r="Z520" i="4"/>
  <c r="Z527" i="4"/>
  <c r="AQ619" i="3"/>
  <c r="AR619" i="3" s="1"/>
  <c r="AM771" i="3"/>
  <c r="AE846" i="4"/>
  <c r="AL781" i="3"/>
  <c r="AM781" i="3" s="1"/>
  <c r="AT15" i="3"/>
  <c r="AU1240" i="3"/>
  <c r="AV1240" i="3" s="1"/>
  <c r="AW1240" i="3" s="1"/>
  <c r="AX1240" i="3" s="1"/>
  <c r="AM384" i="3"/>
  <c r="AM388" i="3"/>
  <c r="AM796" i="3"/>
  <c r="AP1232" i="3"/>
  <c r="AQ1232" i="3" s="1"/>
  <c r="X61" i="4"/>
  <c r="AO80" i="3"/>
  <c r="AP80" i="3"/>
  <c r="AQ80" i="3" s="1"/>
  <c r="AR118" i="3"/>
  <c r="AP118" i="3"/>
  <c r="AQ118" i="3" s="1"/>
  <c r="AL920" i="3"/>
  <c r="AM920" i="3" s="1"/>
  <c r="Z35" i="2"/>
  <c r="AD745" i="4"/>
  <c r="AO985" i="3"/>
  <c r="AQ908" i="3"/>
  <c r="AR908" i="3" s="1"/>
  <c r="AN101" i="3"/>
  <c r="AO101" i="3"/>
  <c r="AQ617" i="3"/>
  <c r="AO310" i="3"/>
  <c r="AP310" i="3"/>
  <c r="AQ1061" i="3"/>
  <c r="M74" i="2"/>
  <c r="K185" i="4"/>
  <c r="AR1235" i="3"/>
  <c r="AQ1109" i="3"/>
  <c r="AS1109" i="3" s="1"/>
  <c r="AT1109" i="3" s="1"/>
  <c r="AR1109" i="3"/>
  <c r="AN1346" i="3"/>
  <c r="AP315" i="3"/>
  <c r="AQ315" i="3" s="1"/>
  <c r="AP742" i="3"/>
  <c r="AQ742" i="3" s="1"/>
  <c r="AM853" i="3"/>
  <c r="AN853" i="3"/>
  <c r="AN519" i="3"/>
  <c r="AO519" i="3" s="1"/>
  <c r="AM479" i="3"/>
  <c r="AN479" i="3" s="1"/>
  <c r="AM678" i="3"/>
  <c r="P805" i="4"/>
  <c r="P822" i="4" s="1"/>
  <c r="P200" i="4"/>
  <c r="AN39" i="3"/>
  <c r="Y223" i="2"/>
  <c r="AL909" i="3"/>
  <c r="AM909" i="3" s="1"/>
  <c r="AP988" i="3"/>
  <c r="AO396" i="3"/>
  <c r="AN784" i="3"/>
  <c r="AQ1110" i="3"/>
  <c r="AL264" i="3"/>
  <c r="AJ360" i="2"/>
  <c r="AO1257" i="3"/>
  <c r="AN1257" i="3"/>
  <c r="AP1257" i="3" s="1"/>
  <c r="AM605" i="3"/>
  <c r="AN902" i="3"/>
  <c r="AQ936" i="3"/>
  <c r="AM732" i="3"/>
  <c r="AN732" i="3" s="1"/>
  <c r="AO732" i="3" s="1"/>
  <c r="AK318" i="3"/>
  <c r="AL325" i="3"/>
  <c r="AQ577" i="3"/>
  <c r="U345" i="2"/>
  <c r="S527" i="4"/>
  <c r="S520" i="4"/>
  <c r="AK679" i="3"/>
  <c r="AN432" i="3"/>
  <c r="AO432" i="3"/>
  <c r="AP432" i="3" s="1"/>
  <c r="AL1442" i="3"/>
  <c r="AN7" i="3"/>
  <c r="AO7" i="3"/>
  <c r="AK1066" i="3"/>
  <c r="AL1066" i="3"/>
  <c r="AO1146" i="3"/>
  <c r="AN1146" i="3"/>
  <c r="AW178" i="3"/>
  <c r="AX178" i="3" s="1"/>
  <c r="AN474" i="3"/>
  <c r="AO474" i="3" s="1"/>
  <c r="AR777" i="3"/>
  <c r="AS777" i="3" s="1"/>
  <c r="AN188" i="3"/>
  <c r="AQ1101" i="3"/>
  <c r="AR1101" i="3" s="1"/>
  <c r="AN538" i="3"/>
  <c r="AL493" i="3"/>
  <c r="AO1319" i="3"/>
  <c r="AM86" i="3"/>
  <c r="AL488" i="3"/>
  <c r="AO452" i="3"/>
  <c r="Y846" i="4"/>
  <c r="AS1328" i="3"/>
  <c r="Q944" i="4"/>
  <c r="Q201" i="4"/>
  <c r="AQ215" i="3"/>
  <c r="AS905" i="3"/>
  <c r="AT905" i="3" s="1"/>
  <c r="AU905" i="3" s="1"/>
  <c r="AV905" i="3" s="1"/>
  <c r="AO414" i="3"/>
  <c r="AP414" i="3" s="1"/>
  <c r="AM299" i="3"/>
  <c r="AM19" i="3"/>
  <c r="AT1064" i="3"/>
  <c r="AU1064" i="3" s="1"/>
  <c r="AP980" i="3"/>
  <c r="AO996" i="3"/>
  <c r="AQ27" i="3"/>
  <c r="AQ1255" i="3"/>
  <c r="AR1255" i="3" s="1"/>
  <c r="AP1195" i="3"/>
  <c r="AP1174" i="3"/>
  <c r="AP1147" i="3"/>
  <c r="AP64" i="3"/>
  <c r="AQ64" i="3" s="1"/>
  <c r="U413" i="4"/>
  <c r="U419" i="4" s="1"/>
  <c r="U421" i="4" s="1"/>
  <c r="AS670" i="3"/>
  <c r="AT670" i="3" s="1"/>
  <c r="AU670" i="3" s="1"/>
  <c r="AK398" i="3"/>
  <c r="AL1321" i="3"/>
  <c r="AQ735" i="3"/>
  <c r="AN1143" i="3"/>
  <c r="AR812" i="3"/>
  <c r="Y61" i="4"/>
  <c r="AL560" i="3"/>
  <c r="AN15" i="3"/>
  <c r="AF61" i="4"/>
  <c r="AK1185" i="3"/>
  <c r="AT361" i="3"/>
  <c r="AU361" i="3" s="1"/>
  <c r="AV361" i="3" s="1"/>
  <c r="AW361" i="3" s="1"/>
  <c r="AX361" i="3" s="1"/>
  <c r="AP361" i="3"/>
  <c r="AQ361" i="3" s="1"/>
  <c r="AR361" i="3" s="1"/>
  <c r="AS361" i="3" s="1"/>
  <c r="S177" i="4"/>
  <c r="AM775" i="3"/>
  <c r="AN1332" i="3"/>
  <c r="AO1086" i="3"/>
  <c r="AK1330" i="3"/>
  <c r="AO568" i="3"/>
  <c r="AP568" i="3"/>
  <c r="AP873" i="3"/>
  <c r="R5" i="2"/>
  <c r="Q3" i="2"/>
  <c r="Q276" i="2"/>
  <c r="Q290" i="2"/>
  <c r="Q288" i="2"/>
  <c r="Q275" i="2"/>
  <c r="Q287" i="2"/>
  <c r="Q289" i="2"/>
  <c r="Q278" i="2"/>
  <c r="Q269" i="2"/>
  <c r="Q279" i="2"/>
  <c r="Q277" i="2"/>
  <c r="Q286" i="2"/>
  <c r="AM1077" i="3"/>
  <c r="AN1182" i="3"/>
  <c r="AR843" i="3"/>
  <c r="AS843" i="3" s="1"/>
  <c r="AT843" i="3" s="1"/>
  <c r="AP843" i="3"/>
  <c r="AQ843" i="3" s="1"/>
  <c r="N198" i="4"/>
  <c r="N485" i="4"/>
  <c r="N502" i="4" s="1"/>
  <c r="AP18" i="3"/>
  <c r="AQ18" i="3" s="1"/>
  <c r="T1186" i="4"/>
  <c r="T1188" i="4" s="1"/>
  <c r="T1190" i="4" s="1"/>
  <c r="T1140" i="4"/>
  <c r="T921" i="4"/>
  <c r="AP587" i="3"/>
  <c r="AL672" i="3"/>
  <c r="AM672" i="3" s="1"/>
  <c r="AO685" i="3"/>
  <c r="AN685" i="3"/>
  <c r="AM685" i="3"/>
  <c r="AM1339" i="3"/>
  <c r="P4" i="10"/>
  <c r="O7" i="10"/>
  <c r="Z345" i="2"/>
  <c r="X520" i="4"/>
  <c r="X527" i="4"/>
  <c r="AO502" i="3"/>
  <c r="AL187" i="3"/>
  <c r="AM182" i="3"/>
  <c r="AN182" i="3" s="1"/>
  <c r="AO1333" i="3"/>
  <c r="AN1333" i="3"/>
  <c r="AO919" i="3"/>
  <c r="AN551" i="3"/>
  <c r="AN210" i="3"/>
  <c r="N805" i="4"/>
  <c r="N822" i="4" s="1"/>
  <c r="N200" i="4"/>
  <c r="AP242" i="3"/>
  <c r="AM1012" i="3"/>
  <c r="AL1012" i="3"/>
  <c r="AN1012" i="3"/>
  <c r="AK358" i="3"/>
  <c r="AM463" i="3"/>
  <c r="AM761" i="3"/>
  <c r="AP277" i="3"/>
  <c r="AQ277" i="3" s="1"/>
  <c r="AP300" i="3"/>
  <c r="Y921" i="4"/>
  <c r="Y1186" i="4"/>
  <c r="Y1188" i="4" s="1"/>
  <c r="AL287" i="3"/>
  <c r="AO280" i="3"/>
  <c r="AL951" i="3"/>
  <c r="AP1202" i="3"/>
  <c r="AM1004" i="3"/>
  <c r="W639" i="4"/>
  <c r="W657" i="4" s="1"/>
  <c r="W706" i="4" s="1"/>
  <c r="Y39" i="2" s="1"/>
  <c r="X12" i="4"/>
  <c r="W483" i="4"/>
  <c r="W501" i="4" s="1"/>
  <c r="W550" i="4" s="1"/>
  <c r="Y24" i="2" s="1"/>
  <c r="AS950" i="3"/>
  <c r="AT950" i="3" s="1"/>
  <c r="AU950" i="3" s="1"/>
  <c r="AV950" i="3" s="1"/>
  <c r="AW950" i="3" s="1"/>
  <c r="AX950" i="3" s="1"/>
  <c r="AM80" i="3"/>
  <c r="AN80" i="3" s="1"/>
  <c r="AB35" i="2"/>
  <c r="AM697" i="3"/>
  <c r="AO319" i="3"/>
  <c r="AP319" i="3" s="1"/>
  <c r="AM251" i="3"/>
  <c r="AP611" i="3"/>
  <c r="AQ611" i="3" s="1"/>
  <c r="AO611" i="3"/>
  <c r="AN822" i="3"/>
  <c r="AP822" i="3" s="1"/>
  <c r="AQ822" i="3" s="1"/>
  <c r="AO822" i="3"/>
  <c r="AM1120" i="3"/>
  <c r="AN799" i="3"/>
  <c r="Y345" i="2"/>
  <c r="W520" i="4"/>
  <c r="W527" i="4"/>
  <c r="AO1097" i="3"/>
  <c r="AP1097" i="3" s="1"/>
  <c r="AL513" i="3"/>
  <c r="AL1043" i="3"/>
  <c r="AM1092" i="3"/>
  <c r="AM309" i="3"/>
  <c r="AM1230" i="3"/>
  <c r="O52" i="8"/>
  <c r="O180" i="8"/>
  <c r="P24" i="4"/>
  <c r="P26" i="4" s="1"/>
  <c r="P36" i="4" s="1"/>
  <c r="Q4" i="4"/>
  <c r="AM1354" i="3"/>
  <c r="AO511" i="3"/>
  <c r="AN310" i="3"/>
  <c r="AL1276" i="3"/>
  <c r="AO399" i="3"/>
  <c r="AM399" i="3"/>
  <c r="AN399" i="3" s="1"/>
  <c r="AO625" i="3"/>
  <c r="AQ256" i="3"/>
  <c r="AN1130" i="3"/>
  <c r="AM1130" i="3"/>
  <c r="AM780" i="3"/>
  <c r="AP748" i="3"/>
  <c r="AO1084" i="3"/>
  <c r="AP1084" i="3"/>
  <c r="AN860" i="3"/>
  <c r="AV112" i="3"/>
  <c r="AW112" i="3" s="1"/>
  <c r="AX112" i="3" s="1"/>
  <c r="AV721" i="3"/>
  <c r="AO532" i="3"/>
  <c r="AP532" i="3" s="1"/>
  <c r="AQ532" i="3" s="1"/>
  <c r="AR532" i="3" s="1"/>
  <c r="AS532" i="3" s="1"/>
  <c r="AT532" i="3" s="1"/>
  <c r="AU532" i="3" s="1"/>
  <c r="AV532" i="3" s="1"/>
  <c r="AW532" i="3" s="1"/>
  <c r="AX532" i="3" s="1"/>
  <c r="AM263" i="3"/>
  <c r="AN263" i="3" s="1"/>
  <c r="R76" i="4"/>
  <c r="AL328" i="3"/>
  <c r="AN261" i="3"/>
  <c r="P485" i="4"/>
  <c r="P502" i="4" s="1"/>
  <c r="P198" i="4"/>
  <c r="AO282" i="3"/>
  <c r="AP282" i="3" s="1"/>
  <c r="AQ282" i="3" s="1"/>
  <c r="AR282" i="3" s="1"/>
  <c r="AQ581" i="3"/>
  <c r="AR581" i="3" s="1"/>
  <c r="AS581" i="3" s="1"/>
  <c r="AP581" i="3"/>
  <c r="AO708" i="3"/>
  <c r="AQ1168" i="3"/>
  <c r="AO1245" i="3"/>
  <c r="AP1245" i="3" s="1"/>
  <c r="AN1245" i="3"/>
  <c r="AM1371" i="3"/>
  <c r="AN123" i="3"/>
  <c r="AM1388" i="3"/>
  <c r="AL1107" i="3"/>
  <c r="K12" i="2"/>
  <c r="I12" i="2" s="1"/>
  <c r="AL21" i="3"/>
  <c r="AN422" i="3"/>
  <c r="Y156" i="2"/>
  <c r="AM856" i="3"/>
  <c r="AL510" i="3"/>
  <c r="AJ12" i="2"/>
  <c r="AK637" i="3"/>
  <c r="AK762" i="3"/>
  <c r="AK1415" i="3" s="1"/>
  <c r="V164" i="4" s="1"/>
  <c r="AP846" i="3"/>
  <c r="AQ846" i="3"/>
  <c r="AO706" i="3"/>
  <c r="AA835" i="4"/>
  <c r="AA830" i="4"/>
  <c r="AN1327" i="3"/>
  <c r="AO1260" i="3"/>
  <c r="AP1260" i="3"/>
  <c r="AM765" i="3"/>
  <c r="AN765" i="3"/>
  <c r="AO765" i="3" s="1"/>
  <c r="AP828" i="3"/>
  <c r="AQ828" i="3" s="1"/>
  <c r="AN790" i="3"/>
  <c r="AK167" i="3"/>
  <c r="AL167" i="3" s="1"/>
  <c r="AP744" i="3"/>
  <c r="AO1034" i="3"/>
  <c r="AO886" i="3"/>
  <c r="AT1165" i="3"/>
  <c r="AU1165" i="3" s="1"/>
  <c r="AV1165" i="3" s="1"/>
  <c r="AD846" i="4"/>
  <c r="AN906" i="3"/>
  <c r="AO906" i="3" s="1"/>
  <c r="AK512" i="3"/>
  <c r="AQ777" i="3"/>
  <c r="AK1442" i="3"/>
  <c r="AK1397" i="3"/>
  <c r="AL1041" i="3"/>
  <c r="AM364" i="3"/>
  <c r="AO1169" i="3"/>
  <c r="AP979" i="3"/>
  <c r="AL1351" i="3"/>
  <c r="AN154" i="3"/>
  <c r="AQ1328" i="3"/>
  <c r="AR1328" i="3" s="1"/>
  <c r="Q641" i="4"/>
  <c r="Q658" i="4" s="1"/>
  <c r="Q199" i="4"/>
  <c r="AL227" i="3"/>
  <c r="AO711" i="3"/>
  <c r="AC702" i="4"/>
  <c r="AQ266" i="3"/>
  <c r="AM1361" i="3"/>
  <c r="AN220" i="3"/>
  <c r="AO220" i="3" s="1"/>
  <c r="AQ417" i="3"/>
  <c r="R510" i="4"/>
  <c r="R515" i="4"/>
  <c r="R522" i="4" s="1"/>
  <c r="AM185" i="3"/>
  <c r="AL1212" i="3"/>
  <c r="AN1255" i="3"/>
  <c r="AM449" i="3"/>
  <c r="AP1211" i="3"/>
  <c r="AO1211" i="3"/>
  <c r="AS320" i="3"/>
  <c r="AT320" i="3" s="1"/>
  <c r="AU320" i="3" s="1"/>
  <c r="AV320" i="3" s="1"/>
  <c r="AW320" i="3" s="1"/>
  <c r="AX320" i="3" s="1"/>
  <c r="AQ975" i="3"/>
  <c r="AK297" i="3"/>
  <c r="AP304" i="3"/>
  <c r="AO64" i="3"/>
  <c r="AN755" i="3"/>
  <c r="AL398" i="3"/>
  <c r="AP608" i="3"/>
  <c r="AQ545" i="3"/>
  <c r="AN888" i="3"/>
  <c r="AN41" i="3"/>
  <c r="AP503" i="3"/>
  <c r="K360" i="2"/>
  <c r="AO953" i="3"/>
  <c r="AO24" i="3"/>
  <c r="AM699" i="3"/>
  <c r="AO699" i="3"/>
  <c r="AP699" i="3" s="1"/>
  <c r="AQ699" i="3" s="1"/>
  <c r="AN699" i="3"/>
  <c r="Y197" i="2"/>
  <c r="Z198" i="2"/>
  <c r="AL596" i="3"/>
  <c r="AN1170" i="3"/>
  <c r="AO1170" i="3" s="1"/>
  <c r="AP76" i="3"/>
  <c r="AO712" i="3"/>
  <c r="AM674" i="3"/>
  <c r="AL674" i="3"/>
  <c r="AN674" i="3"/>
  <c r="AN917" i="3"/>
  <c r="AO917" i="3" s="1"/>
  <c r="AP917" i="3" s="1"/>
  <c r="AN13" i="3"/>
  <c r="AO13" i="3" s="1"/>
  <c r="AL176" i="3"/>
  <c r="AN176" i="3" s="1"/>
  <c r="AL1233" i="3"/>
  <c r="AM493" i="3"/>
  <c r="AL131" i="3"/>
  <c r="AM1162" i="3"/>
  <c r="AL1218" i="3"/>
  <c r="AN847" i="3"/>
  <c r="AN414" i="3"/>
  <c r="AM782" i="3"/>
  <c r="AM134" i="3"/>
  <c r="AL467" i="3"/>
  <c r="AK467" i="3"/>
  <c r="AO683" i="3"/>
  <c r="AM585" i="3"/>
  <c r="AN734" i="3"/>
  <c r="AO149" i="3"/>
  <c r="AP149" i="3"/>
  <c r="AN149" i="3"/>
  <c r="AO1315" i="3"/>
  <c r="AP1315" i="3" s="1"/>
  <c r="V412" i="4"/>
  <c r="U33" i="10"/>
  <c r="AM235" i="3"/>
  <c r="AG835" i="4"/>
  <c r="AG830" i="4"/>
  <c r="AQ578" i="3"/>
  <c r="AN129" i="3"/>
  <c r="AO840" i="3"/>
  <c r="AL292" i="3"/>
  <c r="AQ343" i="3"/>
  <c r="AN1125" i="3"/>
  <c r="AO1125" i="3" s="1"/>
  <c r="AM322" i="3"/>
  <c r="T345" i="2"/>
  <c r="R527" i="4"/>
  <c r="R520" i="4"/>
  <c r="AO1093" i="3"/>
  <c r="AM1175" i="3"/>
  <c r="AO718" i="3"/>
  <c r="T846" i="4"/>
  <c r="AR312" i="3"/>
  <c r="AQ312" i="3"/>
  <c r="AL462" i="3"/>
  <c r="AM462" i="3"/>
  <c r="W35" i="2"/>
  <c r="AC61" i="4"/>
  <c r="AK222" i="3"/>
  <c r="AT229" i="3"/>
  <c r="AQ1378" i="3"/>
  <c r="AV557" i="3"/>
  <c r="AW557" i="3" s="1"/>
  <c r="AX557" i="3" s="1"/>
  <c r="AN542" i="3"/>
  <c r="S846" i="4"/>
  <c r="AP620" i="3"/>
  <c r="AE61" i="4"/>
  <c r="AM1138" i="3"/>
  <c r="AL615" i="3"/>
  <c r="AP654" i="3"/>
  <c r="AL594" i="3"/>
  <c r="W79" i="2"/>
  <c r="K79" i="2" s="1"/>
  <c r="I79" i="2" s="1"/>
  <c r="S61" i="4"/>
  <c r="W830" i="4"/>
  <c r="W835" i="4"/>
  <c r="AN1094" i="3"/>
  <c r="AN772" i="3"/>
  <c r="AO772" i="3" s="1"/>
  <c r="AQ1366" i="3"/>
  <c r="AO11" i="3"/>
  <c r="Z835" i="4"/>
  <c r="Z830" i="4"/>
  <c r="AP1128" i="3"/>
  <c r="AQ1128" i="3" s="1"/>
  <c r="AN293" i="3"/>
  <c r="AN1290" i="3"/>
  <c r="AL107" i="3"/>
  <c r="AP1221" i="3"/>
  <c r="AS826" i="3"/>
  <c r="AT826" i="3" s="1"/>
  <c r="AU826" i="3" s="1"/>
  <c r="AO1255" i="3"/>
  <c r="AS10" i="3"/>
  <c r="AM129" i="3"/>
  <c r="AP840" i="3"/>
  <c r="AQ840" i="3" s="1"/>
  <c r="AQ1272" i="3"/>
  <c r="AR1272" i="3" s="1"/>
  <c r="AS1272" i="3" s="1"/>
  <c r="AN1136" i="3"/>
  <c r="AO1091" i="3"/>
  <c r="AQ907" i="3"/>
  <c r="AN1391" i="3"/>
  <c r="AN1010" i="3"/>
  <c r="AP569" i="3"/>
  <c r="AO1035" i="3"/>
  <c r="AN974" i="3"/>
  <c r="AQ376" i="3"/>
  <c r="AN1181" i="3"/>
  <c r="AN579" i="3"/>
  <c r="AM579" i="3"/>
  <c r="AO579" i="3" s="1"/>
  <c r="W149" i="2"/>
  <c r="K149" i="2" s="1"/>
  <c r="K231" i="2"/>
  <c r="W282" i="2"/>
  <c r="AK459" i="3"/>
  <c r="AU557" i="3"/>
  <c r="AM110" i="3"/>
  <c r="AN110" i="3" s="1"/>
  <c r="AO1313" i="3"/>
  <c r="AR818" i="3"/>
  <c r="AQ818" i="3"/>
  <c r="AP739" i="3"/>
  <c r="AM1151" i="3"/>
  <c r="AQ555" i="3"/>
  <c r="AR555" i="3"/>
  <c r="AK333" i="3"/>
  <c r="AK472" i="3"/>
  <c r="T702" i="4"/>
  <c r="AE1186" i="4"/>
  <c r="AE1188" i="4" s="1"/>
  <c r="AE921" i="4"/>
  <c r="AM1345" i="3"/>
  <c r="AM772" i="3"/>
  <c r="AQ700" i="3"/>
  <c r="X846" i="4"/>
  <c r="AN1016" i="3"/>
  <c r="AK1444" i="3"/>
  <c r="AK1412" i="3"/>
  <c r="AO859" i="3"/>
  <c r="AP859" i="3" s="1"/>
  <c r="AP769" i="3"/>
  <c r="AQ769" i="3" s="1"/>
  <c r="AW681" i="3"/>
  <c r="AX681" i="3" s="1"/>
  <c r="X156" i="2"/>
  <c r="K197" i="2"/>
  <c r="AM1352" i="3"/>
  <c r="AN495" i="3"/>
  <c r="AN193" i="3"/>
  <c r="AQ1222" i="3"/>
  <c r="AO881" i="3"/>
  <c r="AR257" i="3"/>
  <c r="AO257" i="3"/>
  <c r="AM1334" i="3"/>
  <c r="AM865" i="3"/>
  <c r="AP798" i="3"/>
  <c r="AO98" i="3"/>
  <c r="AP351" i="3"/>
  <c r="AL14" i="3"/>
  <c r="AM1324" i="3"/>
  <c r="AN279" i="3"/>
  <c r="AO279" i="3"/>
  <c r="AP279" i="3" s="1"/>
  <c r="AM634" i="3"/>
  <c r="AM763" i="3"/>
  <c r="AN763" i="3"/>
  <c r="AQ405" i="3"/>
  <c r="AS1337" i="3"/>
  <c r="AS898" i="3"/>
  <c r="AN892" i="3"/>
  <c r="AO892" i="3" s="1"/>
  <c r="AP892" i="3" s="1"/>
  <c r="AM957" i="3"/>
  <c r="AM460" i="3"/>
  <c r="AN460" i="3"/>
  <c r="V345" i="2"/>
  <c r="T527" i="4"/>
  <c r="T520" i="4"/>
  <c r="AN1279" i="3"/>
  <c r="AO1279" i="3"/>
  <c r="AP1279" i="3" s="1"/>
  <c r="AM704" i="3"/>
  <c r="AO427" i="3"/>
  <c r="AO584" i="3"/>
  <c r="AP992" i="3"/>
  <c r="AQ992" i="3" s="1"/>
  <c r="AR320" i="3"/>
  <c r="AL663" i="3"/>
  <c r="AM663" i="3" s="1"/>
  <c r="AM168" i="3"/>
  <c r="O551" i="4"/>
  <c r="Z329" i="2" l="1"/>
  <c r="Z227" i="2"/>
  <c r="Y331" i="2"/>
  <c r="Y332" i="2" s="1"/>
  <c r="Y333" i="2" s="1"/>
  <c r="R1140" i="4"/>
  <c r="W75" i="2"/>
  <c r="U185" i="4"/>
  <c r="V137" i="4"/>
  <c r="X69" i="2" s="1"/>
  <c r="V143" i="4"/>
  <c r="V144" i="4" s="1"/>
  <c r="V413" i="4"/>
  <c r="V419" i="4" s="1"/>
  <c r="V515" i="4" s="1"/>
  <c r="V522" i="4" s="1"/>
  <c r="T500" i="4"/>
  <c r="R48" i="4"/>
  <c r="R50" i="4" s="1"/>
  <c r="V156" i="4"/>
  <c r="X78" i="2" s="1"/>
  <c r="V93" i="4"/>
  <c r="V178" i="4" s="1"/>
  <c r="X70" i="2"/>
  <c r="AF100" i="2"/>
  <c r="AG100" i="2" s="1"/>
  <c r="AH100" i="2" s="1"/>
  <c r="AF1255" i="4"/>
  <c r="V1255" i="4"/>
  <c r="AC1255" i="4"/>
  <c r="Y1255" i="4"/>
  <c r="AB1255" i="4"/>
  <c r="X1255" i="4"/>
  <c r="AG1255" i="4"/>
  <c r="AD1255" i="4"/>
  <c r="AE1255" i="4"/>
  <c r="AA1255" i="4"/>
  <c r="W1255" i="4"/>
  <c r="Z1255" i="4"/>
  <c r="U1255" i="4"/>
  <c r="U1257" i="4" s="1"/>
  <c r="U1262" i="4" s="1"/>
  <c r="U1267" i="4" s="1"/>
  <c r="R1240" i="4"/>
  <c r="R1242" i="4" s="1"/>
  <c r="R1247" i="4" s="1"/>
  <c r="R1252" i="4" s="1"/>
  <c r="R1255" i="4"/>
  <c r="R1257" i="4" s="1"/>
  <c r="R1262" i="4" s="1"/>
  <c r="R1267" i="4" s="1"/>
  <c r="T1240" i="4"/>
  <c r="T1242" i="4" s="1"/>
  <c r="T1247" i="4" s="1"/>
  <c r="T1252" i="4" s="1"/>
  <c r="T1255" i="4"/>
  <c r="T1257" i="4" s="1"/>
  <c r="T1262" i="4" s="1"/>
  <c r="T1267" i="4" s="1"/>
  <c r="S1240" i="4"/>
  <c r="S1242" i="4" s="1"/>
  <c r="S1247" i="4" s="1"/>
  <c r="S1252" i="4" s="1"/>
  <c r="S1255" i="4"/>
  <c r="S1257" i="4" s="1"/>
  <c r="S1262" i="4" s="1"/>
  <c r="S1267" i="4" s="1"/>
  <c r="S80" i="4"/>
  <c r="S84" i="4" s="1"/>
  <c r="V336" i="2"/>
  <c r="X68" i="2"/>
  <c r="W117" i="4"/>
  <c r="V75" i="2"/>
  <c r="V142" i="2" s="1"/>
  <c r="K641" i="4"/>
  <c r="K658" i="4" s="1"/>
  <c r="K707" i="4" s="1"/>
  <c r="AF1240" i="4"/>
  <c r="T142" i="2"/>
  <c r="AA118" i="10"/>
  <c r="AA114" i="4"/>
  <c r="V1240" i="4"/>
  <c r="AF18" i="10"/>
  <c r="AG66" i="4" s="1"/>
  <c r="AG75" i="4" s="1"/>
  <c r="AF66" i="4"/>
  <c r="AF75" i="4" s="1"/>
  <c r="X1240" i="4"/>
  <c r="U1240" i="4"/>
  <c r="X117" i="10"/>
  <c r="X113" i="4"/>
  <c r="AE113" i="10"/>
  <c r="AE109" i="4"/>
  <c r="Z411" i="4"/>
  <c r="AC1240" i="4"/>
  <c r="AD1240" i="4"/>
  <c r="Z31" i="10"/>
  <c r="Y1240" i="4"/>
  <c r="AG1240" i="4"/>
  <c r="X115" i="10"/>
  <c r="X111" i="4"/>
  <c r="AA1240" i="4"/>
  <c r="AE1240" i="4"/>
  <c r="Y116" i="10"/>
  <c r="Y112" i="4"/>
  <c r="W69" i="2"/>
  <c r="K69" i="2" s="1"/>
  <c r="I69" i="2" s="1"/>
  <c r="U184" i="4"/>
  <c r="U218" i="4" s="1"/>
  <c r="W1240" i="4"/>
  <c r="Z1240" i="4"/>
  <c r="AB1240" i="4"/>
  <c r="X111" i="10"/>
  <c r="X107" i="4"/>
  <c r="U148" i="4"/>
  <c r="U150" i="4" s="1"/>
  <c r="W76" i="2" s="1"/>
  <c r="K76" i="2" s="1"/>
  <c r="I76" i="2" s="1"/>
  <c r="V10" i="2"/>
  <c r="V9" i="2" s="1"/>
  <c r="V17" i="2" s="1"/>
  <c r="U10" i="2"/>
  <c r="U9" i="2" s="1"/>
  <c r="U17" i="2" s="1"/>
  <c r="U336" i="2"/>
  <c r="X787" i="4"/>
  <c r="X762" i="4"/>
  <c r="X751" i="4"/>
  <c r="X753" i="4" s="1"/>
  <c r="X812" i="4" s="1"/>
  <c r="X205" i="4"/>
  <c r="X777" i="4"/>
  <c r="T425" i="4"/>
  <c r="T433" i="4" s="1"/>
  <c r="T427" i="4" s="1"/>
  <c r="T428" i="4" s="1"/>
  <c r="T80" i="4"/>
  <c r="T84" i="4" s="1"/>
  <c r="T89" i="4" s="1"/>
  <c r="W205" i="4"/>
  <c r="T767" i="4"/>
  <c r="W787" i="4"/>
  <c r="W751" i="4"/>
  <c r="W753" i="4" s="1"/>
  <c r="W812" i="4" s="1"/>
  <c r="K198" i="4"/>
  <c r="K197" i="4" s="1"/>
  <c r="K224" i="4" s="1"/>
  <c r="T205" i="4"/>
  <c r="U1235" i="4"/>
  <c r="T787" i="4"/>
  <c r="T777" i="4"/>
  <c r="T236" i="4"/>
  <c r="T808" i="4" s="1"/>
  <c r="T825" i="4" s="1"/>
  <c r="T762" i="4"/>
  <c r="T235" i="4"/>
  <c r="T644" i="4" s="1"/>
  <c r="T661" i="4" s="1"/>
  <c r="T237" i="4"/>
  <c r="T947" i="4" s="1"/>
  <c r="AG777" i="4"/>
  <c r="R472" i="4"/>
  <c r="R386" i="4" s="1"/>
  <c r="AC762" i="4"/>
  <c r="AC787" i="4"/>
  <c r="K944" i="4"/>
  <c r="AC767" i="4"/>
  <c r="R462" i="4"/>
  <c r="R354" i="4" s="1"/>
  <c r="AG787" i="4"/>
  <c r="AG762" i="4"/>
  <c r="AG205" i="4"/>
  <c r="W762" i="4"/>
  <c r="T203" i="4"/>
  <c r="AC777" i="4"/>
  <c r="R447" i="4"/>
  <c r="AG751" i="4"/>
  <c r="AG753" i="4" s="1"/>
  <c r="AG812" i="4" s="1"/>
  <c r="T434" i="4"/>
  <c r="R452" i="4"/>
  <c r="R322" i="4" s="1"/>
  <c r="T447" i="4"/>
  <c r="AC205" i="4"/>
  <c r="R457" i="4"/>
  <c r="T462" i="4"/>
  <c r="T354" i="4" s="1"/>
  <c r="L174" i="4"/>
  <c r="L189" i="4"/>
  <c r="T84" i="2"/>
  <c r="T467" i="4"/>
  <c r="N142" i="2"/>
  <c r="N157" i="2"/>
  <c r="N87" i="2"/>
  <c r="R467" i="4"/>
  <c r="T173" i="4"/>
  <c r="T181" i="4" s="1"/>
  <c r="R442" i="4"/>
  <c r="W767" i="4"/>
  <c r="T457" i="4"/>
  <c r="R500" i="4"/>
  <c r="T472" i="4"/>
  <c r="T386" i="4" s="1"/>
  <c r="L485" i="4"/>
  <c r="L502" i="4" s="1"/>
  <c r="L551" i="4" s="1"/>
  <c r="N25" i="2" s="1"/>
  <c r="L198" i="4"/>
  <c r="T442" i="4"/>
  <c r="L201" i="4"/>
  <c r="L944" i="4"/>
  <c r="R425" i="4"/>
  <c r="R433" i="4" s="1"/>
  <c r="R427" i="4" s="1"/>
  <c r="R428" i="4" s="1"/>
  <c r="T452" i="4"/>
  <c r="T322" i="4" s="1"/>
  <c r="L805" i="4"/>
  <c r="L822" i="4" s="1"/>
  <c r="L871" i="4" s="1"/>
  <c r="N55" i="2" s="1"/>
  <c r="L200" i="4"/>
  <c r="R203" i="4"/>
  <c r="R434" i="4"/>
  <c r="T48" i="4"/>
  <c r="L199" i="4"/>
  <c r="L641" i="4"/>
  <c r="L658" i="4" s="1"/>
  <c r="L707" i="4" s="1"/>
  <c r="N40" i="2" s="1"/>
  <c r="M485" i="4"/>
  <c r="M502" i="4" s="1"/>
  <c r="M551" i="4" s="1"/>
  <c r="O25" i="2" s="1"/>
  <c r="M198" i="4"/>
  <c r="M805" i="4"/>
  <c r="M822" i="4" s="1"/>
  <c r="M871" i="4" s="1"/>
  <c r="O55" i="2" s="1"/>
  <c r="M200" i="4"/>
  <c r="U415" i="4"/>
  <c r="M199" i="4"/>
  <c r="M641" i="4"/>
  <c r="M658" i="4" s="1"/>
  <c r="M707" i="4" s="1"/>
  <c r="O40" i="2" s="1"/>
  <c r="M189" i="4"/>
  <c r="M174" i="4"/>
  <c r="O87" i="2"/>
  <c r="O157" i="2"/>
  <c r="O142" i="2"/>
  <c r="AB751" i="4"/>
  <c r="AB753" i="4" s="1"/>
  <c r="AB812" i="4" s="1"/>
  <c r="Z767" i="4"/>
  <c r="Z205" i="4"/>
  <c r="Z155" i="4"/>
  <c r="AA155" i="4" s="1"/>
  <c r="AB762" i="4"/>
  <c r="Z787" i="4"/>
  <c r="Z751" i="4"/>
  <c r="Z753" i="4" s="1"/>
  <c r="Z812" i="4" s="1"/>
  <c r="T67" i="4"/>
  <c r="AB777" i="4"/>
  <c r="V74" i="4"/>
  <c r="V76" i="4" s="1"/>
  <c r="V67" i="4"/>
  <c r="AB767" i="4"/>
  <c r="AB787" i="4"/>
  <c r="S67" i="4"/>
  <c r="T519" i="4"/>
  <c r="V344" i="2" s="1"/>
  <c r="Z762" i="4"/>
  <c r="P197" i="4"/>
  <c r="P224" i="4" s="1"/>
  <c r="R67" i="4"/>
  <c r="U67" i="4"/>
  <c r="AT24" i="3"/>
  <c r="AT80" i="3"/>
  <c r="AU80" i="3" s="1"/>
  <c r="AV80" i="3" s="1"/>
  <c r="AR80" i="3"/>
  <c r="AO1077" i="3"/>
  <c r="AP1056" i="3"/>
  <c r="AQ1056" i="3" s="1"/>
  <c r="AR1056" i="3" s="1"/>
  <c r="AS1056" i="3" s="1"/>
  <c r="AT1056" i="3" s="1"/>
  <c r="AU1056" i="3" s="1"/>
  <c r="AV1056" i="3" s="1"/>
  <c r="AW1056" i="3" s="1"/>
  <c r="AX1056" i="3" s="1"/>
  <c r="AT803" i="3"/>
  <c r="AU803" i="3" s="1"/>
  <c r="AV803" i="3" s="1"/>
  <c r="AW803" i="3" s="1"/>
  <c r="AX803" i="3" s="1"/>
  <c r="AQ372" i="3"/>
  <c r="AW1117" i="3"/>
  <c r="AX1117" i="3" s="1"/>
  <c r="AP937" i="3"/>
  <c r="AT191" i="3"/>
  <c r="AU191" i="3" s="1"/>
  <c r="AV191" i="3" s="1"/>
  <c r="AW191" i="3" s="1"/>
  <c r="AX191" i="3" s="1"/>
  <c r="AS417" i="3"/>
  <c r="AW503" i="3"/>
  <c r="AX503" i="3" s="1"/>
  <c r="AQ59" i="3"/>
  <c r="AP675" i="3"/>
  <c r="AS994" i="3"/>
  <c r="AT994" i="3" s="1"/>
  <c r="AU994" i="3" s="1"/>
  <c r="AV994" i="3" s="1"/>
  <c r="AW244" i="3"/>
  <c r="AX244" i="3" s="1"/>
  <c r="AN782" i="3"/>
  <c r="AO782" i="3" s="1"/>
  <c r="AP782" i="3" s="1"/>
  <c r="AQ348" i="3"/>
  <c r="AR348" i="3" s="1"/>
  <c r="AS348" i="3" s="1"/>
  <c r="AT348" i="3" s="1"/>
  <c r="AQ58" i="3"/>
  <c r="AR58" i="3" s="1"/>
  <c r="AS58" i="3" s="1"/>
  <c r="AU58" i="3"/>
  <c r="AV58" i="3" s="1"/>
  <c r="AW58" i="3" s="1"/>
  <c r="AX58" i="3" s="1"/>
  <c r="AO561" i="3"/>
  <c r="AP561" i="3" s="1"/>
  <c r="AQ561" i="3" s="1"/>
  <c r="AR561" i="3" s="1"/>
  <c r="AS561" i="3" s="1"/>
  <c r="AT561" i="3" s="1"/>
  <c r="AU561" i="3" s="1"/>
  <c r="AV561" i="3" s="1"/>
  <c r="AW561" i="3" s="1"/>
  <c r="AX561" i="3" s="1"/>
  <c r="AR373" i="3"/>
  <c r="AS373" i="3" s="1"/>
  <c r="AT373" i="3" s="1"/>
  <c r="AU373" i="3" s="1"/>
  <c r="AV373" i="3" s="1"/>
  <c r="AW373" i="3" s="1"/>
  <c r="AX373" i="3" s="1"/>
  <c r="AO1139" i="3"/>
  <c r="AM1139" i="3"/>
  <c r="AQ810" i="3"/>
  <c r="AR810" i="3" s="1"/>
  <c r="AS810" i="3" s="1"/>
  <c r="AT810" i="3" s="1"/>
  <c r="AU810" i="3" s="1"/>
  <c r="AV810" i="3" s="1"/>
  <c r="AW810" i="3" s="1"/>
  <c r="AX810" i="3" s="1"/>
  <c r="AQ752" i="3"/>
  <c r="AR752" i="3" s="1"/>
  <c r="AS752" i="3" s="1"/>
  <c r="AT752" i="3" s="1"/>
  <c r="AU752" i="3" s="1"/>
  <c r="AT555" i="3"/>
  <c r="AU555" i="3" s="1"/>
  <c r="AS555" i="3"/>
  <c r="AL459" i="3"/>
  <c r="AM459" i="3"/>
  <c r="AP718" i="3"/>
  <c r="AR27" i="3"/>
  <c r="AS27" i="3" s="1"/>
  <c r="AT27" i="3" s="1"/>
  <c r="AU27" i="3"/>
  <c r="AV27" i="3" s="1"/>
  <c r="AW27" i="3" s="1"/>
  <c r="AX27" i="3" s="1"/>
  <c r="AO757" i="3"/>
  <c r="AP757" i="3" s="1"/>
  <c r="AQ757" i="3" s="1"/>
  <c r="AR757" i="3" s="1"/>
  <c r="AS757" i="3" s="1"/>
  <c r="AQ455" i="3"/>
  <c r="AR455" i="3" s="1"/>
  <c r="AS455" i="3" s="1"/>
  <c r="AT455" i="3" s="1"/>
  <c r="AU455" i="3" s="1"/>
  <c r="AV455" i="3" s="1"/>
  <c r="AW455" i="3" s="1"/>
  <c r="AX455" i="3" s="1"/>
  <c r="AO82" i="3"/>
  <c r="Y251" i="2"/>
  <c r="X252" i="2"/>
  <c r="X154" i="2"/>
  <c r="AM413" i="3"/>
  <c r="AN901" i="3"/>
  <c r="AP901" i="3"/>
  <c r="AQ901" i="3" s="1"/>
  <c r="AO901" i="3"/>
  <c r="AQ493" i="3"/>
  <c r="AR493" i="3" s="1"/>
  <c r="AS493" i="3"/>
  <c r="AT493" i="3" s="1"/>
  <c r="AK1418" i="3"/>
  <c r="V165" i="4" s="1"/>
  <c r="AM717" i="3"/>
  <c r="AP1341" i="3"/>
  <c r="AS1197" i="3"/>
  <c r="AT1197" i="3"/>
  <c r="AU1197" i="3" s="1"/>
  <c r="AV1197" i="3" s="1"/>
  <c r="AS730" i="3"/>
  <c r="AN1139" i="3"/>
  <c r="AN392" i="3"/>
  <c r="AO392" i="3" s="1"/>
  <c r="AM392" i="3"/>
  <c r="AN473" i="3"/>
  <c r="AU1039" i="3"/>
  <c r="AV1039" i="3" s="1"/>
  <c r="AW1039" i="3" s="1"/>
  <c r="AX1039" i="3" s="1"/>
  <c r="AR144" i="3"/>
  <c r="AO737" i="3"/>
  <c r="AP737" i="3"/>
  <c r="AQ737" i="3" s="1"/>
  <c r="AR737" i="3" s="1"/>
  <c r="AS737" i="3" s="1"/>
  <c r="AT737" i="3" s="1"/>
  <c r="AU737" i="3" s="1"/>
  <c r="AM1297" i="3"/>
  <c r="AP686" i="3"/>
  <c r="AQ686" i="3" s="1"/>
  <c r="AR686" i="3" s="1"/>
  <c r="AS686" i="3" s="1"/>
  <c r="AT686" i="3" s="1"/>
  <c r="AU686" i="3" s="1"/>
  <c r="AV686" i="3" s="1"/>
  <c r="K74" i="2"/>
  <c r="I74" i="2" s="1"/>
  <c r="M142" i="2"/>
  <c r="M87" i="2"/>
  <c r="M157" i="2"/>
  <c r="AO1206" i="3"/>
  <c r="AR805" i="3"/>
  <c r="AL1053" i="3"/>
  <c r="AN637" i="3"/>
  <c r="AL637" i="3"/>
  <c r="AM637" i="3" s="1"/>
  <c r="AO637" i="3"/>
  <c r="AP637" i="3" s="1"/>
  <c r="AQ873" i="3"/>
  <c r="AR873" i="3" s="1"/>
  <c r="AT873" i="3"/>
  <c r="AU873" i="3" s="1"/>
  <c r="AO821" i="3"/>
  <c r="AP821" i="3"/>
  <c r="AQ821" i="3" s="1"/>
  <c r="AR821" i="3" s="1"/>
  <c r="AS821" i="3" s="1"/>
  <c r="AT821" i="3" s="1"/>
  <c r="AU821" i="3" s="1"/>
  <c r="AV821" i="3" s="1"/>
  <c r="AW821" i="3" s="1"/>
  <c r="AX821" i="3" s="1"/>
  <c r="AM821" i="3"/>
  <c r="AN821" i="3" s="1"/>
  <c r="S203" i="4"/>
  <c r="S434" i="4"/>
  <c r="S425" i="4"/>
  <c r="S433" i="4" s="1"/>
  <c r="S427" i="4" s="1"/>
  <c r="S428" i="4" s="1"/>
  <c r="S500" i="4"/>
  <c r="S48" i="4"/>
  <c r="S457" i="4"/>
  <c r="S472" i="4"/>
  <c r="S467" i="4"/>
  <c r="S442" i="4"/>
  <c r="S452" i="4"/>
  <c r="S462" i="4"/>
  <c r="S447" i="4"/>
  <c r="AO526" i="3"/>
  <c r="AM791" i="3"/>
  <c r="AM517" i="3"/>
  <c r="AN517" i="3" s="1"/>
  <c r="AN1100" i="3"/>
  <c r="AS421" i="3"/>
  <c r="AT421" i="3" s="1"/>
  <c r="AU421" i="3"/>
  <c r="AV421" i="3" s="1"/>
  <c r="AW421" i="3" s="1"/>
  <c r="AX421" i="3" s="1"/>
  <c r="T526" i="4"/>
  <c r="AR266" i="3"/>
  <c r="AS266" i="3" s="1"/>
  <c r="AT266" i="3" s="1"/>
  <c r="AN1371" i="3"/>
  <c r="AQ1202" i="3"/>
  <c r="AP244" i="3"/>
  <c r="AQ244" i="3" s="1"/>
  <c r="AR244" i="3" s="1"/>
  <c r="AS244" i="3" s="1"/>
  <c r="AT244" i="3" s="1"/>
  <c r="AU244" i="3" s="1"/>
  <c r="AV244" i="3" s="1"/>
  <c r="AN1047" i="3"/>
  <c r="AO1047" i="3" s="1"/>
  <c r="AP1047" i="3"/>
  <c r="AQ1047" i="3" s="1"/>
  <c r="AR1047" i="3" s="1"/>
  <c r="AS1047" i="3" s="1"/>
  <c r="AQ687" i="3"/>
  <c r="AR687" i="3" s="1"/>
  <c r="AS687" i="3" s="1"/>
  <c r="AT687" i="3" s="1"/>
  <c r="AU687" i="3" s="1"/>
  <c r="AV687" i="3" s="1"/>
  <c r="AW687" i="3" s="1"/>
  <c r="AX687" i="3" s="1"/>
  <c r="AT1335" i="3"/>
  <c r="AU1335" i="3" s="1"/>
  <c r="AV1335" i="3" s="1"/>
  <c r="AW1335" i="3" s="1"/>
  <c r="AX1335" i="3" s="1"/>
  <c r="AR1383" i="3"/>
  <c r="AT147" i="3"/>
  <c r="AS147" i="3"/>
  <c r="AN147" i="3"/>
  <c r="AO147" i="3" s="1"/>
  <c r="AP147" i="3" s="1"/>
  <c r="AQ147" i="3" s="1"/>
  <c r="AR147" i="3" s="1"/>
  <c r="AP1160" i="3"/>
  <c r="AO552" i="3"/>
  <c r="AP552" i="3" s="1"/>
  <c r="AQ552" i="3" s="1"/>
  <c r="AN552" i="3"/>
  <c r="AR552" i="3"/>
  <c r="AS552" i="3" s="1"/>
  <c r="AT552" i="3" s="1"/>
  <c r="AU552" i="3" s="1"/>
  <c r="AV552" i="3" s="1"/>
  <c r="AW552" i="3" s="1"/>
  <c r="AX552" i="3" s="1"/>
  <c r="AR990" i="3"/>
  <c r="AS990" i="3" s="1"/>
  <c r="AT990" i="3" s="1"/>
  <c r="AU990" i="3" s="1"/>
  <c r="AV990" i="3" s="1"/>
  <c r="AW990" i="3" s="1"/>
  <c r="AX990" i="3" s="1"/>
  <c r="AV826" i="3"/>
  <c r="AS1377" i="3"/>
  <c r="AT1377" i="3" s="1"/>
  <c r="AU1377" i="3" s="1"/>
  <c r="AV1377" i="3" s="1"/>
  <c r="AW1377" i="3" s="1"/>
  <c r="AX1377" i="3" s="1"/>
  <c r="AR1377" i="3"/>
  <c r="AE526" i="4"/>
  <c r="AO567" i="3"/>
  <c r="AN567" i="3"/>
  <c r="AQ1052" i="3"/>
  <c r="AR1052" i="3" s="1"/>
  <c r="AS1052" i="3" s="1"/>
  <c r="AT1052" i="3" s="1"/>
  <c r="AU1052" i="3" s="1"/>
  <c r="AN168" i="3"/>
  <c r="AR569" i="3"/>
  <c r="AQ569" i="3"/>
  <c r="P180" i="8"/>
  <c r="P52" i="8"/>
  <c r="Q24" i="4"/>
  <c r="Q26" i="4" s="1"/>
  <c r="Q36" i="4" s="1"/>
  <c r="R4" i="4"/>
  <c r="AO697" i="3"/>
  <c r="AP697" i="3"/>
  <c r="AQ697" i="3" s="1"/>
  <c r="AR697" i="3" s="1"/>
  <c r="AS697" i="3" s="1"/>
  <c r="Q871" i="4"/>
  <c r="AN1210" i="3"/>
  <c r="AO1210" i="3" s="1"/>
  <c r="AP1210" i="3" s="1"/>
  <c r="AQ1210" i="3" s="1"/>
  <c r="AR1210" i="3" s="1"/>
  <c r="AS1210" i="3" s="1"/>
  <c r="AT1210" i="3" s="1"/>
  <c r="AU1210" i="3" s="1"/>
  <c r="AM1210" i="3"/>
  <c r="AO91" i="3"/>
  <c r="AP91" i="3" s="1"/>
  <c r="AS593" i="3"/>
  <c r="AT593" i="3" s="1"/>
  <c r="AU593" i="3" s="1"/>
  <c r="AV593" i="3" s="1"/>
  <c r="AW593" i="3" s="1"/>
  <c r="AX593" i="3" s="1"/>
  <c r="AP163" i="3"/>
  <c r="AQ849" i="3"/>
  <c r="AR849" i="3" s="1"/>
  <c r="AS849" i="3" s="1"/>
  <c r="AT849" i="3" s="1"/>
  <c r="AU849" i="3"/>
  <c r="AV849" i="3" s="1"/>
  <c r="AW849" i="3" s="1"/>
  <c r="AX849" i="3" s="1"/>
  <c r="AU701" i="3"/>
  <c r="AN663" i="3"/>
  <c r="AQ1010" i="3"/>
  <c r="AO1010" i="3"/>
  <c r="AP1010" i="3" s="1"/>
  <c r="AN1162" i="3"/>
  <c r="AR699" i="3"/>
  <c r="P1117" i="4"/>
  <c r="P34" i="4"/>
  <c r="P35" i="4" s="1"/>
  <c r="AN697" i="3"/>
  <c r="AM1383" i="3"/>
  <c r="AN1383" i="3" s="1"/>
  <c r="AO1383" i="3" s="1"/>
  <c r="AP1383" i="3" s="1"/>
  <c r="AR1231" i="3"/>
  <c r="AP970" i="3"/>
  <c r="AO970" i="3"/>
  <c r="AM970" i="3"/>
  <c r="AN970" i="3" s="1"/>
  <c r="AR342" i="3"/>
  <c r="AS342" i="3" s="1"/>
  <c r="AT342" i="3" s="1"/>
  <c r="AU342" i="3" s="1"/>
  <c r="AV342" i="3" s="1"/>
  <c r="AQ342" i="3"/>
  <c r="AO29" i="3"/>
  <c r="AR563" i="3"/>
  <c r="AS563" i="3" s="1"/>
  <c r="AT563" i="3" s="1"/>
  <c r="AU563" i="3" s="1"/>
  <c r="AV563" i="3" s="1"/>
  <c r="AW563" i="3" s="1"/>
  <c r="AX563" i="3" s="1"/>
  <c r="AP934" i="3"/>
  <c r="AM1298" i="3"/>
  <c r="AN1298" i="3" s="1"/>
  <c r="AO1298" i="3" s="1"/>
  <c r="AP1298" i="3" s="1"/>
  <c r="AS677" i="3"/>
  <c r="AO1391" i="3"/>
  <c r="AW24" i="3"/>
  <c r="AX24" i="3" s="1"/>
  <c r="AQ1086" i="3"/>
  <c r="AR1086" i="3" s="1"/>
  <c r="AS1086" i="3" s="1"/>
  <c r="AP1086" i="3"/>
  <c r="AT1086" i="3"/>
  <c r="AS690" i="3"/>
  <c r="AT690" i="3" s="1"/>
  <c r="AU564" i="3"/>
  <c r="AL186" i="3"/>
  <c r="AL1392" i="3" s="1"/>
  <c r="AK1406" i="3"/>
  <c r="AP1042" i="3"/>
  <c r="AQ1042" i="3" s="1"/>
  <c r="AT407" i="3"/>
  <c r="AU407" i="3" s="1"/>
  <c r="AV407" i="3" s="1"/>
  <c r="AW407" i="3" s="1"/>
  <c r="AX407" i="3" s="1"/>
  <c r="U162" i="4"/>
  <c r="U177" i="4" s="1"/>
  <c r="AJ1436" i="3"/>
  <c r="AU807" i="3"/>
  <c r="AW1261" i="3"/>
  <c r="AX1261" i="3" s="1"/>
  <c r="AR789" i="3"/>
  <c r="AQ1247" i="3"/>
  <c r="AR1247" i="3" s="1"/>
  <c r="AS1247" i="3" s="1"/>
  <c r="AT1247" i="3" s="1"/>
  <c r="AR1332" i="3"/>
  <c r="AS1332" i="3" s="1"/>
  <c r="AT1332" i="3" s="1"/>
  <c r="AO1332" i="3"/>
  <c r="AP1332" i="3" s="1"/>
  <c r="AQ1332" i="3" s="1"/>
  <c r="AN1305" i="3"/>
  <c r="AV130" i="3"/>
  <c r="AW130" i="3" s="1"/>
  <c r="AX130" i="3" s="1"/>
  <c r="AQ130" i="3"/>
  <c r="AR130" i="3" s="1"/>
  <c r="AS130" i="3" s="1"/>
  <c r="AT130" i="3" s="1"/>
  <c r="AU130" i="3" s="1"/>
  <c r="AP177" i="3"/>
  <c r="AQ177" i="3" s="1"/>
  <c r="AS1270" i="3"/>
  <c r="AT1270" i="3" s="1"/>
  <c r="AU1270" i="3" s="1"/>
  <c r="AV1270" i="3" s="1"/>
  <c r="AW1270" i="3" s="1"/>
  <c r="AX1270" i="3" s="1"/>
  <c r="AO527" i="3"/>
  <c r="AO290" i="3"/>
  <c r="AP290" i="3" s="1"/>
  <c r="AQ290" i="3" s="1"/>
  <c r="AR290" i="3" s="1"/>
  <c r="AS290" i="3" s="1"/>
  <c r="AT290" i="3" s="1"/>
  <c r="AT482" i="3"/>
  <c r="AU482" i="3" s="1"/>
  <c r="AV482" i="3" s="1"/>
  <c r="AW482" i="3" s="1"/>
  <c r="AX482" i="3" s="1"/>
  <c r="AM482" i="3"/>
  <c r="AN482" i="3"/>
  <c r="AO482" i="3" s="1"/>
  <c r="AR613" i="3"/>
  <c r="AS613" i="3" s="1"/>
  <c r="AQ613" i="3"/>
  <c r="AT613" i="3" s="1"/>
  <c r="AU613" i="3" s="1"/>
  <c r="AV613" i="3" s="1"/>
  <c r="AW613" i="3" s="1"/>
  <c r="AX613" i="3" s="1"/>
  <c r="AP981" i="3"/>
  <c r="AQ981" i="3" s="1"/>
  <c r="AR981" i="3" s="1"/>
  <c r="AS981" i="3" s="1"/>
  <c r="AT981" i="3" s="1"/>
  <c r="AU981" i="3" s="1"/>
  <c r="AV981" i="3" s="1"/>
  <c r="AW981" i="3" s="1"/>
  <c r="AX981" i="3" s="1"/>
  <c r="AO865" i="3"/>
  <c r="AR844" i="3"/>
  <c r="AP844" i="3"/>
  <c r="AQ844" i="3" s="1"/>
  <c r="AM998" i="3"/>
  <c r="AN998" i="3" s="1"/>
  <c r="AN1196" i="3"/>
  <c r="AV341" i="3"/>
  <c r="AW341" i="3" s="1"/>
  <c r="AX341" i="3" s="1"/>
  <c r="AN1138" i="3"/>
  <c r="AO1138" i="3"/>
  <c r="AP712" i="3"/>
  <c r="AK1436" i="3"/>
  <c r="AU1109" i="3"/>
  <c r="AV1109" i="3" s="1"/>
  <c r="AP1091" i="3"/>
  <c r="AP86" i="3"/>
  <c r="AQ86" i="3" s="1"/>
  <c r="AR86" i="3"/>
  <c r="AN86" i="3"/>
  <c r="AO86" i="3" s="1"/>
  <c r="AP128" i="3"/>
  <c r="AN128" i="3"/>
  <c r="AO128" i="3" s="1"/>
  <c r="AP751" i="3"/>
  <c r="AN751" i="3"/>
  <c r="AO751" i="3"/>
  <c r="AT533" i="3"/>
  <c r="AU533" i="3" s="1"/>
  <c r="AV533" i="3"/>
  <c r="AW533" i="3" s="1"/>
  <c r="AX533" i="3" s="1"/>
  <c r="AR533" i="3"/>
  <c r="AS533" i="3" s="1"/>
  <c r="AO1259" i="3"/>
  <c r="AO1000" i="3"/>
  <c r="AP808" i="3"/>
  <c r="AQ808" i="3" s="1"/>
  <c r="AR808" i="3" s="1"/>
  <c r="AS808" i="3" s="1"/>
  <c r="AT808" i="3" s="1"/>
  <c r="AO1280" i="3"/>
  <c r="AP1280" i="3" s="1"/>
  <c r="AQ1280" i="3"/>
  <c r="AR1280" i="3" s="1"/>
  <c r="AT478" i="3"/>
  <c r="AM1133" i="3"/>
  <c r="AP1317" i="3"/>
  <c r="AQ1317" i="3" s="1"/>
  <c r="AR1317" i="3" s="1"/>
  <c r="AS1317" i="3" s="1"/>
  <c r="AT1317" i="3" s="1"/>
  <c r="AO1317" i="3"/>
  <c r="AU1046" i="3"/>
  <c r="AV1046" i="3"/>
  <c r="AW1046" i="3" s="1"/>
  <c r="AX1046" i="3" s="1"/>
  <c r="AT978" i="3"/>
  <c r="AU978" i="3"/>
  <c r="AV978" i="3" s="1"/>
  <c r="AO273" i="3"/>
  <c r="AS547" i="3"/>
  <c r="AT547" i="3" s="1"/>
  <c r="AU547" i="3" s="1"/>
  <c r="AV547" i="3" s="1"/>
  <c r="AW547" i="3" s="1"/>
  <c r="AX547" i="3" s="1"/>
  <c r="AS372" i="3"/>
  <c r="AP482" i="3"/>
  <c r="AQ482" i="3" s="1"/>
  <c r="AR482" i="3" s="1"/>
  <c r="AS482" i="3" s="1"/>
  <c r="AO586" i="3"/>
  <c r="AP586" i="3" s="1"/>
  <c r="AR586" i="3"/>
  <c r="AS586" i="3" s="1"/>
  <c r="AT586" i="3" s="1"/>
  <c r="AU586" i="3" s="1"/>
  <c r="AV586" i="3" s="1"/>
  <c r="AW586" i="3" s="1"/>
  <c r="AX586" i="3" s="1"/>
  <c r="AQ586" i="3"/>
  <c r="AU893" i="3"/>
  <c r="AV893" i="3" s="1"/>
  <c r="AW893" i="3" s="1"/>
  <c r="AX893" i="3" s="1"/>
  <c r="AS1076" i="3"/>
  <c r="AM83" i="3"/>
  <c r="AP231" i="3"/>
  <c r="AW231" i="3" s="1"/>
  <c r="AX231" i="3" s="1"/>
  <c r="AQ231" i="3"/>
  <c r="AR231" i="3" s="1"/>
  <c r="AS231" i="3" s="1"/>
  <c r="AT231" i="3" s="1"/>
  <c r="AU231" i="3" s="1"/>
  <c r="AV231" i="3" s="1"/>
  <c r="AO231" i="3"/>
  <c r="AQ874" i="3"/>
  <c r="AR874" i="3" s="1"/>
  <c r="AS874" i="3" s="1"/>
  <c r="AT874" i="3" s="1"/>
  <c r="AU874" i="3" s="1"/>
  <c r="AV874" i="3"/>
  <c r="AW874" i="3" s="1"/>
  <c r="AX874" i="3" s="1"/>
  <c r="AP1155" i="3"/>
  <c r="AQ1155" i="3" s="1"/>
  <c r="AR1155" i="3" s="1"/>
  <c r="AS1155" i="3" s="1"/>
  <c r="AT1155" i="3" s="1"/>
  <c r="AU1155" i="3" s="1"/>
  <c r="AM522" i="3"/>
  <c r="AN522" i="3" s="1"/>
  <c r="AO522" i="3" s="1"/>
  <c r="AP522" i="3" s="1"/>
  <c r="AQ522" i="3" s="1"/>
  <c r="AR522" i="3" s="1"/>
  <c r="AS522" i="3" s="1"/>
  <c r="AT522" i="3" s="1"/>
  <c r="AU522" i="3" s="1"/>
  <c r="AQ792" i="3"/>
  <c r="X842" i="4"/>
  <c r="X839" i="4"/>
  <c r="Z368" i="2" s="1"/>
  <c r="W842" i="4"/>
  <c r="W839" i="4"/>
  <c r="Y368" i="2" s="1"/>
  <c r="AT355" i="3"/>
  <c r="AU355" i="3" s="1"/>
  <c r="AV355" i="3" s="1"/>
  <c r="AW355" i="3" s="1"/>
  <c r="AX355" i="3" s="1"/>
  <c r="AP1077" i="3"/>
  <c r="AQ1077" i="3" s="1"/>
  <c r="AN1077" i="3"/>
  <c r="AT1328" i="3"/>
  <c r="AU1328" i="3" s="1"/>
  <c r="AV1328" i="3" s="1"/>
  <c r="AW1328" i="3" s="1"/>
  <c r="AX1328" i="3" s="1"/>
  <c r="AM1351" i="3"/>
  <c r="AO261" i="3"/>
  <c r="AN1278" i="3"/>
  <c r="AP1278" i="3" s="1"/>
  <c r="AQ1278" i="3"/>
  <c r="AR1278" i="3" s="1"/>
  <c r="AO1278" i="3"/>
  <c r="AO12" i="3"/>
  <c r="AP12" i="3" s="1"/>
  <c r="AN12" i="3"/>
  <c r="AO517" i="3"/>
  <c r="AV573" i="3"/>
  <c r="AO1326" i="3"/>
  <c r="AP1326" i="3" s="1"/>
  <c r="AO420" i="3"/>
  <c r="AP420" i="3" s="1"/>
  <c r="AQ420" i="3" s="1"/>
  <c r="AN896" i="3"/>
  <c r="AO896" i="3" s="1"/>
  <c r="AP896" i="3" s="1"/>
  <c r="AQ896" i="3" s="1"/>
  <c r="AR896" i="3" s="1"/>
  <c r="AS896" i="3" s="1"/>
  <c r="AT896" i="3" s="1"/>
  <c r="AQ770" i="3"/>
  <c r="AO785" i="3"/>
  <c r="AN1291" i="3"/>
  <c r="AO1291" i="3" s="1"/>
  <c r="AP1291" i="3" s="1"/>
  <c r="AQ1291" i="3" s="1"/>
  <c r="AV25" i="3"/>
  <c r="AW25" i="3" s="1"/>
  <c r="AX25" i="3" s="1"/>
  <c r="AO675" i="3"/>
  <c r="AQ675" i="3"/>
  <c r="AR675" i="3" s="1"/>
  <c r="AS675" i="3" s="1"/>
  <c r="AT675" i="3" s="1"/>
  <c r="AU675" i="3" s="1"/>
  <c r="AV675" i="3"/>
  <c r="AR732" i="3"/>
  <c r="AQ1142" i="3"/>
  <c r="AN54" i="3"/>
  <c r="AP959" i="3"/>
  <c r="AQ959" i="3"/>
  <c r="AO107" i="3"/>
  <c r="AM107" i="3"/>
  <c r="AN107" i="3" s="1"/>
  <c r="AS699" i="3"/>
  <c r="AO755" i="3"/>
  <c r="AP755" i="3" s="1"/>
  <c r="AQ755" i="3" s="1"/>
  <c r="AR755" i="3" s="1"/>
  <c r="AS755" i="3"/>
  <c r="AT755" i="3" s="1"/>
  <c r="AU755" i="3" s="1"/>
  <c r="AV755" i="3" s="1"/>
  <c r="AW755" i="3"/>
  <c r="AX755" i="3" s="1"/>
  <c r="AW139" i="3"/>
  <c r="AX139" i="3" s="1"/>
  <c r="AQ1383" i="3"/>
  <c r="AQ1224" i="3"/>
  <c r="AR1224" i="3" s="1"/>
  <c r="AS1224" i="3" s="1"/>
  <c r="AT1224" i="3" s="1"/>
  <c r="AU1224" i="3" s="1"/>
  <c r="AV1224" i="3" s="1"/>
  <c r="AW1224" i="3" s="1"/>
  <c r="AX1224" i="3" s="1"/>
  <c r="AT25" i="3"/>
  <c r="AU25" i="3" s="1"/>
  <c r="Y141" i="4"/>
  <c r="AN717" i="3"/>
  <c r="AS630" i="3"/>
  <c r="AT630" i="3" s="1"/>
  <c r="AU630" i="3" s="1"/>
  <c r="AV630" i="3"/>
  <c r="AW630" i="3" s="1"/>
  <c r="AX630" i="3" s="1"/>
  <c r="AP696" i="3"/>
  <c r="AP34" i="3"/>
  <c r="AQ34" i="3" s="1"/>
  <c r="AR34" i="3" s="1"/>
  <c r="AS34" i="3" s="1"/>
  <c r="AT34" i="3" s="1"/>
  <c r="AU34" i="3" s="1"/>
  <c r="AV34" i="3" s="1"/>
  <c r="AO599" i="3"/>
  <c r="AN599" i="3"/>
  <c r="AW1205" i="3"/>
  <c r="AX1205" i="3" s="1"/>
  <c r="AR598" i="3"/>
  <c r="AO598" i="3"/>
  <c r="AP598" i="3" s="1"/>
  <c r="AQ598" i="3" s="1"/>
  <c r="AV606" i="3"/>
  <c r="AW606" i="3" s="1"/>
  <c r="AX606" i="3" s="1"/>
  <c r="AN1352" i="3"/>
  <c r="AM594" i="3"/>
  <c r="AO594" i="3" s="1"/>
  <c r="AN594" i="3"/>
  <c r="AN585" i="3"/>
  <c r="AO585" i="3" s="1"/>
  <c r="AP585" i="3" s="1"/>
  <c r="T336" i="2"/>
  <c r="T10" i="2"/>
  <c r="R80" i="4"/>
  <c r="R70" i="4" s="1"/>
  <c r="AM1048" i="3"/>
  <c r="AN1048" i="3"/>
  <c r="AM1132" i="3"/>
  <c r="AP1224" i="3"/>
  <c r="AS1228" i="3"/>
  <c r="AR1042" i="3"/>
  <c r="AS1042" i="3" s="1"/>
  <c r="AT1042" i="3" s="1"/>
  <c r="AU1042" i="3" s="1"/>
  <c r="AW294" i="3"/>
  <c r="AX294" i="3" s="1"/>
  <c r="AN1072" i="3"/>
  <c r="AO1072" i="3" s="1"/>
  <c r="AP1072" i="3" s="1"/>
  <c r="AQ1072" i="3" s="1"/>
  <c r="AR1072" i="3" s="1"/>
  <c r="AS1072" i="3" s="1"/>
  <c r="AT1072" i="3" s="1"/>
  <c r="AU1072" i="3" s="1"/>
  <c r="AV1072" i="3" s="1"/>
  <c r="AM1072" i="3"/>
  <c r="AW1072" i="3"/>
  <c r="AX1072" i="3" s="1"/>
  <c r="AO743" i="3"/>
  <c r="AP743" i="3" s="1"/>
  <c r="AQ743" i="3" s="1"/>
  <c r="AR743" i="3"/>
  <c r="AS743" i="3" s="1"/>
  <c r="AT743" i="3" s="1"/>
  <c r="AU743" i="3" s="1"/>
  <c r="AV743" i="3" s="1"/>
  <c r="AW743" i="3" s="1"/>
  <c r="AX743" i="3" s="1"/>
  <c r="AQ91" i="3"/>
  <c r="AT813" i="3"/>
  <c r="AU813" i="3" s="1"/>
  <c r="AG526" i="4"/>
  <c r="AP987" i="3"/>
  <c r="AQ579" i="3"/>
  <c r="AR579" i="3" s="1"/>
  <c r="AS579" i="3" s="1"/>
  <c r="AT579" i="3" s="1"/>
  <c r="AR577" i="3"/>
  <c r="AO851" i="3"/>
  <c r="AP851" i="3" s="1"/>
  <c r="AR359" i="3"/>
  <c r="AS1134" i="3"/>
  <c r="AT1134" i="3" s="1"/>
  <c r="AU1134" i="3" s="1"/>
  <c r="AV1134" i="3" s="1"/>
  <c r="AW1134" i="3" s="1"/>
  <c r="AX1134" i="3" s="1"/>
  <c r="AR460" i="3"/>
  <c r="AR279" i="3"/>
  <c r="AS279" i="3" s="1"/>
  <c r="AT279" i="3" s="1"/>
  <c r="AU279" i="3" s="1"/>
  <c r="AM615" i="3"/>
  <c r="AQ953" i="3"/>
  <c r="AP953" i="3"/>
  <c r="AM951" i="3"/>
  <c r="AN951" i="3"/>
  <c r="AM560" i="3"/>
  <c r="AN560" i="3"/>
  <c r="AO560" i="3" s="1"/>
  <c r="AM264" i="3"/>
  <c r="AR624" i="3"/>
  <c r="AS624" i="3"/>
  <c r="AT624" i="3" s="1"/>
  <c r="AP624" i="3"/>
  <c r="AQ624" i="3" s="1"/>
  <c r="AP1227" i="3"/>
  <c r="AR1227" i="3" s="1"/>
  <c r="AS1227" i="3" s="1"/>
  <c r="AQ1227" i="3"/>
  <c r="AM1158" i="3"/>
  <c r="AR994" i="3"/>
  <c r="AQ747" i="3"/>
  <c r="AR747" i="3" s="1"/>
  <c r="AS747" i="3" s="1"/>
  <c r="AT747" i="3" s="1"/>
  <c r="AU747" i="3" s="1"/>
  <c r="AV747" i="3" s="1"/>
  <c r="AW747" i="3" s="1"/>
  <c r="AX747" i="3" s="1"/>
  <c r="AQ279" i="3"/>
  <c r="AO110" i="3"/>
  <c r="AO1181" i="3"/>
  <c r="Z842" i="4"/>
  <c r="Z839" i="4"/>
  <c r="AB368" i="2" s="1"/>
  <c r="AP706" i="3"/>
  <c r="AQ706" i="3" s="1"/>
  <c r="AR706" i="3" s="1"/>
  <c r="AS706" i="3" s="1"/>
  <c r="AT706" i="3" s="1"/>
  <c r="AU706" i="3" s="1"/>
  <c r="AV706" i="3" s="1"/>
  <c r="AW706" i="3" s="1"/>
  <c r="AX706" i="3" s="1"/>
  <c r="AP708" i="3"/>
  <c r="AQ708" i="3" s="1"/>
  <c r="AR708" i="3" s="1"/>
  <c r="AS708" i="3" s="1"/>
  <c r="AT708" i="3"/>
  <c r="AU708" i="3" s="1"/>
  <c r="AV708" i="3" s="1"/>
  <c r="AW708" i="3" s="1"/>
  <c r="AX708" i="3" s="1"/>
  <c r="AO799" i="3"/>
  <c r="AP799" i="3" s="1"/>
  <c r="AL358" i="3"/>
  <c r="AM358" i="3" s="1"/>
  <c r="AN358" i="3" s="1"/>
  <c r="AO358" i="3" s="1"/>
  <c r="AU843" i="3"/>
  <c r="AV843" i="3" s="1"/>
  <c r="AW843" i="3" s="1"/>
  <c r="AX843" i="3" s="1"/>
  <c r="AR1110" i="3"/>
  <c r="AS1110" i="3" s="1"/>
  <c r="AT1110" i="3" s="1"/>
  <c r="AU1110" i="3" s="1"/>
  <c r="AV1110" i="3" s="1"/>
  <c r="AW1110" i="3" s="1"/>
  <c r="AX1110" i="3" s="1"/>
  <c r="P871" i="4"/>
  <c r="AT101" i="3"/>
  <c r="AS519" i="3"/>
  <c r="AT519" i="3" s="1"/>
  <c r="AR985" i="3"/>
  <c r="AP985" i="3"/>
  <c r="AQ985" i="3" s="1"/>
  <c r="AP39" i="3"/>
  <c r="AQ39" i="3" s="1"/>
  <c r="AR39" i="3" s="1"/>
  <c r="AS39" i="3" s="1"/>
  <c r="AT39" i="3" s="1"/>
  <c r="AU39" i="3" s="1"/>
  <c r="S205" i="4"/>
  <c r="S751" i="4"/>
  <c r="S787" i="4"/>
  <c r="S762" i="4"/>
  <c r="S777" i="4"/>
  <c r="S767" i="4"/>
  <c r="AP707" i="3"/>
  <c r="AR703" i="3"/>
  <c r="AT1121" i="3"/>
  <c r="AU1121" i="3" s="1"/>
  <c r="AV1121" i="3" s="1"/>
  <c r="AW1121" i="3" s="1"/>
  <c r="AX1121" i="3" s="1"/>
  <c r="AT236" i="3"/>
  <c r="AU236" i="3" s="1"/>
  <c r="AV236" i="3" s="1"/>
  <c r="AR274" i="3"/>
  <c r="AS59" i="3"/>
  <c r="AT59" i="3" s="1"/>
  <c r="AP59" i="3"/>
  <c r="AR59" i="3"/>
  <c r="AU59" i="3" s="1"/>
  <c r="AV59" i="3" s="1"/>
  <c r="AW59" i="3" s="1"/>
  <c r="AX59" i="3" s="1"/>
  <c r="AQ50" i="3"/>
  <c r="AR50" i="3" s="1"/>
  <c r="AS50" i="3" s="1"/>
  <c r="AT50" i="3" s="1"/>
  <c r="AU50" i="3" s="1"/>
  <c r="AV50" i="3" s="1"/>
  <c r="AW50" i="3" s="1"/>
  <c r="AX50" i="3" s="1"/>
  <c r="AP823" i="3"/>
  <c r="AP1044" i="3"/>
  <c r="AP246" i="3"/>
  <c r="AQ246" i="3" s="1"/>
  <c r="AR246" i="3" s="1"/>
  <c r="AS246" i="3" s="1"/>
  <c r="AT246" i="3" s="1"/>
  <c r="AU246" i="3" s="1"/>
  <c r="AV246" i="3" s="1"/>
  <c r="AW246" i="3" s="1"/>
  <c r="AX246" i="3" s="1"/>
  <c r="AQ16" i="3"/>
  <c r="AR16" i="3" s="1"/>
  <c r="AS16" i="3" s="1"/>
  <c r="AT16" i="3" s="1"/>
  <c r="AU16" i="3" s="1"/>
  <c r="AV16" i="3" s="1"/>
  <c r="AW16" i="3" s="1"/>
  <c r="AX16" i="3" s="1"/>
  <c r="AP16" i="3"/>
  <c r="AT898" i="3"/>
  <c r="AU898" i="3" s="1"/>
  <c r="AV898" i="3" s="1"/>
  <c r="AW898" i="3"/>
  <c r="AX898" i="3" s="1"/>
  <c r="AN1324" i="3"/>
  <c r="AQ1136" i="3"/>
  <c r="AO1136" i="3"/>
  <c r="AP1136" i="3"/>
  <c r="AN1233" i="3"/>
  <c r="AM1233" i="3"/>
  <c r="AO1233" i="3" s="1"/>
  <c r="AP1233" i="3" s="1"/>
  <c r="AQ1233" i="3"/>
  <c r="AQ76" i="3"/>
  <c r="Q707" i="4"/>
  <c r="AT777" i="3"/>
  <c r="AU777" i="3" s="1"/>
  <c r="AV777" i="3" s="1"/>
  <c r="AW777" i="3" s="1"/>
  <c r="AX777" i="3" s="1"/>
  <c r="AQ1108" i="3"/>
  <c r="AM21" i="3"/>
  <c r="AT581" i="3"/>
  <c r="AO182" i="3"/>
  <c r="AT1319" i="3"/>
  <c r="AU1319" i="3"/>
  <c r="AV1319" i="3" s="1"/>
  <c r="AW1319" i="3" s="1"/>
  <c r="AX1319" i="3" s="1"/>
  <c r="AP1319" i="3"/>
  <c r="AQ1319" i="3" s="1"/>
  <c r="AR1319" i="3" s="1"/>
  <c r="AS1319" i="3" s="1"/>
  <c r="AS908" i="3"/>
  <c r="AN121" i="3"/>
  <c r="AL121" i="3"/>
  <c r="AM121" i="3"/>
  <c r="AO440" i="3"/>
  <c r="AN72" i="3"/>
  <c r="AL1251" i="3"/>
  <c r="AM1251" i="3"/>
  <c r="S842" i="4"/>
  <c r="S839" i="4"/>
  <c r="U368" i="2" s="1"/>
  <c r="AP956" i="3"/>
  <c r="AQ956" i="3" s="1"/>
  <c r="AO956" i="3"/>
  <c r="AP1163" i="3"/>
  <c r="AQ764" i="3"/>
  <c r="AR764" i="3"/>
  <c r="AN794" i="3"/>
  <c r="AO794" i="3" s="1"/>
  <c r="AP794" i="3" s="1"/>
  <c r="AM794" i="3"/>
  <c r="AQ794" i="3"/>
  <c r="AR794" i="3" s="1"/>
  <c r="AS794" i="3" s="1"/>
  <c r="AT794" i="3" s="1"/>
  <c r="AU794" i="3" s="1"/>
  <c r="AV794" i="3" s="1"/>
  <c r="AW794" i="3" s="1"/>
  <c r="AX794" i="3" s="1"/>
  <c r="AQ531" i="3"/>
  <c r="AB839" i="4"/>
  <c r="AD368" i="2" s="1"/>
  <c r="AB842" i="4"/>
  <c r="AO1340" i="3"/>
  <c r="AP1340" i="3"/>
  <c r="AQ1340" i="3" s="1"/>
  <c r="AR1340" i="3" s="1"/>
  <c r="AS1340" i="3" s="1"/>
  <c r="AT1340" i="3" s="1"/>
  <c r="AU1340" i="3" s="1"/>
  <c r="AT234" i="3"/>
  <c r="AU234" i="3" s="1"/>
  <c r="AV234" i="3" s="1"/>
  <c r="AW234" i="3" s="1"/>
  <c r="AX234" i="3" s="1"/>
  <c r="AT201" i="3"/>
  <c r="AS125" i="3"/>
  <c r="AT125" i="3" s="1"/>
  <c r="AO125" i="3"/>
  <c r="AR125" i="3" s="1"/>
  <c r="AP125" i="3"/>
  <c r="AQ125" i="3" s="1"/>
  <c r="P707" i="4"/>
  <c r="AO35" i="3"/>
  <c r="AP35" i="3"/>
  <c r="AQ35" i="3" s="1"/>
  <c r="AR35" i="3"/>
  <c r="AQ1315" i="3"/>
  <c r="AR1315" i="3" s="1"/>
  <c r="AS1315" i="3" s="1"/>
  <c r="AT1315" i="3" s="1"/>
  <c r="AU1315" i="3" s="1"/>
  <c r="AV1315" i="3" s="1"/>
  <c r="AW1315" i="3" s="1"/>
  <c r="AX1315" i="3" s="1"/>
  <c r="P551" i="4"/>
  <c r="AQ188" i="3"/>
  <c r="AR188" i="3" s="1"/>
  <c r="AO188" i="3"/>
  <c r="AP188" i="3"/>
  <c r="AS992" i="3"/>
  <c r="AS900" i="3"/>
  <c r="AT900" i="3"/>
  <c r="AU900" i="3" s="1"/>
  <c r="AV900" i="3" s="1"/>
  <c r="AW900" i="3" s="1"/>
  <c r="AX900" i="3" s="1"/>
  <c r="AR451" i="3"/>
  <c r="AS451" i="3" s="1"/>
  <c r="AT451" i="3" s="1"/>
  <c r="AU451" i="3"/>
  <c r="AV451" i="3" s="1"/>
  <c r="AW451" i="3" s="1"/>
  <c r="AX451" i="3" s="1"/>
  <c r="AQ434" i="3"/>
  <c r="AP434" i="3"/>
  <c r="AC799" i="4"/>
  <c r="AC801" i="4" s="1"/>
  <c r="AC753" i="4"/>
  <c r="AC812" i="4" s="1"/>
  <c r="AQ324" i="3"/>
  <c r="AR324" i="3" s="1"/>
  <c r="AS324" i="3" s="1"/>
  <c r="AP572" i="3"/>
  <c r="AQ572" i="3" s="1"/>
  <c r="AR572" i="3" s="1"/>
  <c r="AS572" i="3" s="1"/>
  <c r="AN1175" i="3"/>
  <c r="AO1175" i="3" s="1"/>
  <c r="AP1175" i="3" s="1"/>
  <c r="AQ1175" i="3" s="1"/>
  <c r="AQ398" i="3"/>
  <c r="AO939" i="3"/>
  <c r="AF526" i="4"/>
  <c r="AR968" i="3"/>
  <c r="AS968" i="3" s="1"/>
  <c r="AT968" i="3" s="1"/>
  <c r="AU968" i="3" s="1"/>
  <c r="AV968" i="3" s="1"/>
  <c r="AW968" i="3"/>
  <c r="AX968" i="3" s="1"/>
  <c r="AO968" i="3"/>
  <c r="AP968" i="3" s="1"/>
  <c r="AQ968" i="3" s="1"/>
  <c r="AM1100" i="3"/>
  <c r="AN1096" i="3"/>
  <c r="AO1096" i="3" s="1"/>
  <c r="AP1096" i="3" s="1"/>
  <c r="AQ1096" i="3" s="1"/>
  <c r="AR1096" i="3"/>
  <c r="AS1096" i="3"/>
  <c r="AT1096" i="3" s="1"/>
  <c r="AP1218" i="3"/>
  <c r="AN1218" i="3"/>
  <c r="AM1218" i="3"/>
  <c r="AO1218" i="3"/>
  <c r="AP220" i="3"/>
  <c r="AQ220" i="3" s="1"/>
  <c r="AR220" i="3" s="1"/>
  <c r="AS220" i="3" s="1"/>
  <c r="AT220" i="3" s="1"/>
  <c r="AU220" i="3" s="1"/>
  <c r="AV220" i="3" s="1"/>
  <c r="AW220" i="3" s="1"/>
  <c r="AX220" i="3" s="1"/>
  <c r="AN1353" i="3"/>
  <c r="AV1050" i="3"/>
  <c r="AW1050" i="3" s="1"/>
  <c r="AX1050" i="3" s="1"/>
  <c r="AJ345" i="2"/>
  <c r="AP255" i="3"/>
  <c r="AQ255" i="3"/>
  <c r="AR253" i="3"/>
  <c r="AS253" i="3"/>
  <c r="AT253" i="3" s="1"/>
  <c r="AU216" i="3"/>
  <c r="AV216" i="3" s="1"/>
  <c r="AW216" i="3" s="1"/>
  <c r="AX216" i="3" s="1"/>
  <c r="AS216" i="3"/>
  <c r="AT216" i="3" s="1"/>
  <c r="AN93" i="3"/>
  <c r="AO93" i="3"/>
  <c r="AP93" i="3" s="1"/>
  <c r="AQ93" i="3" s="1"/>
  <c r="AN88" i="3"/>
  <c r="AQ88" i="3" s="1"/>
  <c r="AP692" i="3"/>
  <c r="AQ692" i="3" s="1"/>
  <c r="AR692" i="3" s="1"/>
  <c r="AS692" i="3" s="1"/>
  <c r="AT692" i="3" s="1"/>
  <c r="AU692" i="3" s="1"/>
  <c r="AV692" i="3" s="1"/>
  <c r="AW692" i="3" s="1"/>
  <c r="AX692" i="3" s="1"/>
  <c r="AO163" i="3"/>
  <c r="AR803" i="3"/>
  <c r="AS803" i="3" s="1"/>
  <c r="AS24" i="3"/>
  <c r="AQ24" i="3"/>
  <c r="AU24" i="3" s="1"/>
  <c r="AV24" i="3" s="1"/>
  <c r="AR24" i="3"/>
  <c r="J551" i="4"/>
  <c r="AM601" i="3"/>
  <c r="Y751" i="4"/>
  <c r="Y205" i="4"/>
  <c r="Y787" i="4"/>
  <c r="Y767" i="4"/>
  <c r="Y762" i="4"/>
  <c r="Y777" i="4"/>
  <c r="AQ1348" i="3"/>
  <c r="AR1348" i="3"/>
  <c r="AS1348" i="3" s="1"/>
  <c r="AT1348" i="3" s="1"/>
  <c r="AU1348" i="3" s="1"/>
  <c r="AV1348" i="3" s="1"/>
  <c r="AW1348" i="3" s="1"/>
  <c r="AX1348" i="3" s="1"/>
  <c r="AO1078" i="3"/>
  <c r="AP1078" i="3"/>
  <c r="AQ1078" i="3" s="1"/>
  <c r="AR1078" i="3" s="1"/>
  <c r="AO347" i="3"/>
  <c r="AN347" i="3"/>
  <c r="AM158" i="3"/>
  <c r="AR120" i="3"/>
  <c r="AS120" i="3" s="1"/>
  <c r="AT120" i="3" s="1"/>
  <c r="AQ120" i="3"/>
  <c r="AQ1170" i="3"/>
  <c r="AR1170" i="3" s="1"/>
  <c r="AS1170" i="3" s="1"/>
  <c r="AT1170" i="3" s="1"/>
  <c r="AU1170" i="3" s="1"/>
  <c r="AV1170" i="3" s="1"/>
  <c r="AW1170" i="3" s="1"/>
  <c r="AX1170" i="3" s="1"/>
  <c r="AP1170" i="3"/>
  <c r="AQ623" i="3"/>
  <c r="AR623" i="3" s="1"/>
  <c r="AS623" i="3" s="1"/>
  <c r="AT623" i="3" s="1"/>
  <c r="AU623" i="3" s="1"/>
  <c r="AV623" i="3" s="1"/>
  <c r="AQ1037" i="3"/>
  <c r="AO132" i="3"/>
  <c r="AP132" i="3" s="1"/>
  <c r="AS1097" i="3"/>
  <c r="AT1097" i="3" s="1"/>
  <c r="AU1097" i="3" s="1"/>
  <c r="AV1097" i="3" s="1"/>
  <c r="AW1097" i="3" s="1"/>
  <c r="AX1097" i="3" s="1"/>
  <c r="AQ1097" i="3"/>
  <c r="AR1097" i="3" s="1"/>
  <c r="AO1056" i="3"/>
  <c r="AP1139" i="3"/>
  <c r="AQ937" i="3"/>
  <c r="AO937" i="3"/>
  <c r="AN1309" i="3"/>
  <c r="AO1309" i="3" s="1"/>
  <c r="AP1309" i="3" s="1"/>
  <c r="AQ1309" i="3"/>
  <c r="AR1309" i="3" s="1"/>
  <c r="AS1309" i="3" s="1"/>
  <c r="AT1309" i="3" s="1"/>
  <c r="AU1309" i="3" s="1"/>
  <c r="AV1309" i="3"/>
  <c r="AW1309" i="3" s="1"/>
  <c r="AX1309" i="3" s="1"/>
  <c r="AQ149" i="3"/>
  <c r="AM1212" i="3"/>
  <c r="N871" i="4"/>
  <c r="AO853" i="3"/>
  <c r="AQ228" i="3"/>
  <c r="AL641" i="3"/>
  <c r="AO372" i="3"/>
  <c r="AP372" i="3"/>
  <c r="AR372" i="3"/>
  <c r="AR649" i="3"/>
  <c r="AT1221" i="3"/>
  <c r="AU1221" i="3" s="1"/>
  <c r="AV1221" i="3" s="1"/>
  <c r="AQ1221" i="3"/>
  <c r="AR1221" i="3" s="1"/>
  <c r="AS1221" i="3"/>
  <c r="AU266" i="3"/>
  <c r="AV266" i="3" s="1"/>
  <c r="AT859" i="3"/>
  <c r="AU859" i="3" s="1"/>
  <c r="AV859" i="3" s="1"/>
  <c r="AW859" i="3" s="1"/>
  <c r="AX859" i="3" s="1"/>
  <c r="AQ859" i="3"/>
  <c r="AR859" i="3"/>
  <c r="AS859" i="3" s="1"/>
  <c r="V415" i="4"/>
  <c r="V418" i="4"/>
  <c r="AR417" i="3"/>
  <c r="AP427" i="3"/>
  <c r="AQ427" i="3" s="1"/>
  <c r="AR427" i="3" s="1"/>
  <c r="AS427" i="3" s="1"/>
  <c r="AR1366" i="3"/>
  <c r="AS1366" i="3" s="1"/>
  <c r="AT1366" i="3" s="1"/>
  <c r="AU1366" i="3" s="1"/>
  <c r="AV1366" i="3" s="1"/>
  <c r="AW1366" i="3" s="1"/>
  <c r="AX1366" i="3" s="1"/>
  <c r="AO860" i="3"/>
  <c r="AP399" i="3"/>
  <c r="AP502" i="3"/>
  <c r="AS538" i="3"/>
  <c r="AT538" i="3" s="1"/>
  <c r="AU538" i="3" s="1"/>
  <c r="AV538" i="3" s="1"/>
  <c r="AW538" i="3" s="1"/>
  <c r="AX538" i="3" s="1"/>
  <c r="AO538" i="3"/>
  <c r="AP538" i="3" s="1"/>
  <c r="AQ538" i="3" s="1"/>
  <c r="AR538" i="3" s="1"/>
  <c r="AL1397" i="3"/>
  <c r="AR936" i="3"/>
  <c r="AS936" i="3" s="1"/>
  <c r="AT936" i="3" s="1"/>
  <c r="AU936" i="3" s="1"/>
  <c r="AV936" i="3" s="1"/>
  <c r="AW936" i="3" s="1"/>
  <c r="AX936" i="3" s="1"/>
  <c r="AT1076" i="3"/>
  <c r="AU1076" i="3" s="1"/>
  <c r="AV1076" i="3" s="1"/>
  <c r="AW1076" i="3" s="1"/>
  <c r="AX1076" i="3" s="1"/>
  <c r="AN8" i="3"/>
  <c r="AO8" i="3" s="1"/>
  <c r="AP8" i="3" s="1"/>
  <c r="AQ8" i="3" s="1"/>
  <c r="AR8" i="3" s="1"/>
  <c r="AS8" i="3" s="1"/>
  <c r="AO87" i="3"/>
  <c r="AP87" i="3"/>
  <c r="AP368" i="3"/>
  <c r="AQ368" i="3"/>
  <c r="AR368" i="3" s="1"/>
  <c r="AS368" i="3" s="1"/>
  <c r="AT368" i="3" s="1"/>
  <c r="AU368" i="3" s="1"/>
  <c r="AV368" i="3" s="1"/>
  <c r="AW368" i="3" s="1"/>
  <c r="AX368" i="3" s="1"/>
  <c r="Z190" i="2"/>
  <c r="Z145" i="2" s="1"/>
  <c r="Y188" i="2"/>
  <c r="AO88" i="3"/>
  <c r="AP88" i="3" s="1"/>
  <c r="AM214" i="3"/>
  <c r="AM858" i="3"/>
  <c r="AP1362" i="3"/>
  <c r="AN779" i="3"/>
  <c r="AP191" i="3"/>
  <c r="AQ191" i="3" s="1"/>
  <c r="AR191" i="3" s="1"/>
  <c r="AS191" i="3" s="1"/>
  <c r="AQ1069" i="3"/>
  <c r="AR1069" i="3" s="1"/>
  <c r="AS1069" i="3" s="1"/>
  <c r="AT1272" i="3"/>
  <c r="AU1272" i="3" s="1"/>
  <c r="AV1272" i="3" s="1"/>
  <c r="AW1272" i="3" s="1"/>
  <c r="AX1272" i="3" s="1"/>
  <c r="AM1126" i="3"/>
  <c r="AN1126" i="3" s="1"/>
  <c r="AP1049" i="3"/>
  <c r="AQ720" i="3"/>
  <c r="AP820" i="3"/>
  <c r="AN326" i="3"/>
  <c r="AS1101" i="3"/>
  <c r="AT1101" i="3" s="1"/>
  <c r="AQ632" i="3"/>
  <c r="AP632" i="3"/>
  <c r="AR632" i="3" s="1"/>
  <c r="AS632" i="3" s="1"/>
  <c r="AT632" i="3" s="1"/>
  <c r="AU632" i="3" s="1"/>
  <c r="AV632" i="3" s="1"/>
  <c r="AW632" i="3" s="1"/>
  <c r="AX632" i="3" s="1"/>
  <c r="AW978" i="3"/>
  <c r="AX978" i="3" s="1"/>
  <c r="AP723" i="3"/>
  <c r="AO723" i="3"/>
  <c r="AP621" i="3"/>
  <c r="AO955" i="3"/>
  <c r="AP955" i="3" s="1"/>
  <c r="AQ955" i="3" s="1"/>
  <c r="AR955" i="3" s="1"/>
  <c r="AS955" i="3" s="1"/>
  <c r="AT955" i="3" s="1"/>
  <c r="AU955" i="3" s="1"/>
  <c r="AV955" i="3" s="1"/>
  <c r="AV1178" i="3"/>
  <c r="AW1178" i="3" s="1"/>
  <c r="AX1178" i="3" s="1"/>
  <c r="AU485" i="3"/>
  <c r="AR485" i="3"/>
  <c r="AV485" i="3" s="1"/>
  <c r="AW485" i="3" s="1"/>
  <c r="AX485" i="3" s="1"/>
  <c r="AO1305" i="3"/>
  <c r="AN453" i="3"/>
  <c r="AN1387" i="3"/>
  <c r="AO204" i="3"/>
  <c r="AP204" i="3"/>
  <c r="AQ204" i="3"/>
  <c r="AR277" i="3"/>
  <c r="AS277" i="3" s="1"/>
  <c r="AT277" i="3" s="1"/>
  <c r="AU277" i="3" s="1"/>
  <c r="AV277" i="3" s="1"/>
  <c r="AW277" i="3" s="1"/>
  <c r="AX277" i="3" s="1"/>
  <c r="AN909" i="3"/>
  <c r="AO909" i="3" s="1"/>
  <c r="AP909" i="3" s="1"/>
  <c r="AS144" i="3"/>
  <c r="AM991" i="3"/>
  <c r="AN991" i="3" s="1"/>
  <c r="AO991" i="3" s="1"/>
  <c r="AP991" i="3" s="1"/>
  <c r="AQ991" i="3" s="1"/>
  <c r="AR991" i="3" s="1"/>
  <c r="AS991" i="3" s="1"/>
  <c r="AL991" i="3"/>
  <c r="AQ980" i="3"/>
  <c r="AR980" i="3" s="1"/>
  <c r="AS980" i="3" s="1"/>
  <c r="AT980" i="3" s="1"/>
  <c r="AU980" i="3" s="1"/>
  <c r="AV980" i="3" s="1"/>
  <c r="AW980" i="3" s="1"/>
  <c r="AX980" i="3" s="1"/>
  <c r="W309" i="2"/>
  <c r="V310" i="2"/>
  <c r="V311" i="2" s="1"/>
  <c r="V312" i="2" s="1"/>
  <c r="W218" i="2"/>
  <c r="V225" i="2"/>
  <c r="AU676" i="3"/>
  <c r="AO763" i="3"/>
  <c r="AQ909" i="3"/>
  <c r="AP584" i="3"/>
  <c r="AQ584" i="3" s="1"/>
  <c r="AR584" i="3"/>
  <c r="AS584" i="3" s="1"/>
  <c r="AT584" i="3" s="1"/>
  <c r="AU584" i="3" s="1"/>
  <c r="AV584" i="3" s="1"/>
  <c r="AW584" i="3" s="1"/>
  <c r="AX584" i="3" s="1"/>
  <c r="AU343" i="3"/>
  <c r="AV343" i="3" s="1"/>
  <c r="AW343" i="3" s="1"/>
  <c r="AX343" i="3" s="1"/>
  <c r="AR343" i="3"/>
  <c r="AS343" i="3" s="1"/>
  <c r="AT343" i="3"/>
  <c r="AV503" i="3"/>
  <c r="AQ503" i="3"/>
  <c r="AR503" i="3" s="1"/>
  <c r="AS503" i="3" s="1"/>
  <c r="AT503" i="3" s="1"/>
  <c r="AU503" i="3" s="1"/>
  <c r="AN704" i="3"/>
  <c r="AW351" i="3"/>
  <c r="AX351" i="3" s="1"/>
  <c r="AR351" i="3"/>
  <c r="AS351" i="3" s="1"/>
  <c r="AT351" i="3"/>
  <c r="AU351" i="3" s="1"/>
  <c r="AV351" i="3" s="1"/>
  <c r="AQ351" i="3"/>
  <c r="AL333" i="3"/>
  <c r="AM333" i="3" s="1"/>
  <c r="AN333" i="3" s="1"/>
  <c r="AO333" i="3" s="1"/>
  <c r="AP333" i="3" s="1"/>
  <c r="AQ333" i="3" s="1"/>
  <c r="AR333" i="3" s="1"/>
  <c r="AS333" i="3" s="1"/>
  <c r="AT333" i="3" s="1"/>
  <c r="AU333" i="3" s="1"/>
  <c r="AV333" i="3" s="1"/>
  <c r="AQ542" i="3"/>
  <c r="AP542" i="3"/>
  <c r="AO542" i="3"/>
  <c r="AP906" i="3"/>
  <c r="AQ906" i="3" s="1"/>
  <c r="AR906" i="3" s="1"/>
  <c r="AS906" i="3" s="1"/>
  <c r="AT906" i="3" s="1"/>
  <c r="AU906" i="3" s="1"/>
  <c r="AV906" i="3" s="1"/>
  <c r="AW906" i="3" s="1"/>
  <c r="AX906" i="3" s="1"/>
  <c r="AS828" i="3"/>
  <c r="AT828" i="3" s="1"/>
  <c r="AU828" i="3" s="1"/>
  <c r="AV828" i="3" s="1"/>
  <c r="AW828" i="3" s="1"/>
  <c r="AX828" i="3" s="1"/>
  <c r="AR828" i="3"/>
  <c r="AQ242" i="3"/>
  <c r="AO972" i="3"/>
  <c r="AP972" i="3" s="1"/>
  <c r="AQ972" i="3" s="1"/>
  <c r="AN731" i="3"/>
  <c r="AP1256" i="3"/>
  <c r="AQ1256" i="3" s="1"/>
  <c r="AM1256" i="3"/>
  <c r="AN1256" i="3" s="1"/>
  <c r="AO1256" i="3" s="1"/>
  <c r="AS1339" i="3"/>
  <c r="AT1339" i="3" s="1"/>
  <c r="AU1339" i="3" s="1"/>
  <c r="AN1310" i="3"/>
  <c r="AO1310" i="3" s="1"/>
  <c r="AP1310" i="3" s="1"/>
  <c r="AQ1310" i="3"/>
  <c r="AP1062" i="3"/>
  <c r="AQ1062" i="3" s="1"/>
  <c r="K221" i="2"/>
  <c r="X221" i="2"/>
  <c r="AQ618" i="3"/>
  <c r="AR618" i="3" s="1"/>
  <c r="AS618" i="3" s="1"/>
  <c r="AT618" i="3" s="1"/>
  <c r="AU618" i="3" s="1"/>
  <c r="AV618" i="3" s="1"/>
  <c r="AV802" i="3"/>
  <c r="AW802" i="3" s="1"/>
  <c r="AX802" i="3" s="1"/>
  <c r="AS664" i="3"/>
  <c r="AT664" i="3" s="1"/>
  <c r="AV752" i="3"/>
  <c r="AW752" i="3" s="1"/>
  <c r="AX752" i="3" s="1"/>
  <c r="AT428" i="3"/>
  <c r="AU428" i="3" s="1"/>
  <c r="AV428" i="3" s="1"/>
  <c r="AW428" i="3" s="1"/>
  <c r="AX428" i="3" s="1"/>
  <c r="AS485" i="3"/>
  <c r="AT485" i="3" s="1"/>
  <c r="AO984" i="3"/>
  <c r="AP984" i="3" s="1"/>
  <c r="AQ984" i="3"/>
  <c r="AR984" i="3" s="1"/>
  <c r="AS984" i="3" s="1"/>
  <c r="AM75" i="3"/>
  <c r="AN75" i="3"/>
  <c r="AN471" i="3"/>
  <c r="AO471" i="3" s="1"/>
  <c r="AN647" i="3"/>
  <c r="AM647" i="3"/>
  <c r="AO306" i="3"/>
  <c r="AP306" i="3" s="1"/>
  <c r="AQ306" i="3" s="1"/>
  <c r="AR306" i="3" s="1"/>
  <c r="AS306" i="3" s="1"/>
  <c r="AT306" i="3" s="1"/>
  <c r="AU306" i="3" s="1"/>
  <c r="AV306" i="3" s="1"/>
  <c r="AW306" i="3" s="1"/>
  <c r="AX306" i="3" s="1"/>
  <c r="AO108" i="3"/>
  <c r="AO441" i="3"/>
  <c r="AS487" i="3"/>
  <c r="AT487" i="3" s="1"/>
  <c r="AU487" i="3" s="1"/>
  <c r="AV487" i="3" s="1"/>
  <c r="AW487" i="3" s="1"/>
  <c r="AX487" i="3" s="1"/>
  <c r="AN221" i="3"/>
  <c r="AR98" i="3"/>
  <c r="AR105" i="3"/>
  <c r="AS105" i="3" s="1"/>
  <c r="AT105" i="3" s="1"/>
  <c r="AN1166" i="3"/>
  <c r="AO983" i="3"/>
  <c r="AR323" i="3"/>
  <c r="AQ323" i="3"/>
  <c r="AM334" i="3"/>
  <c r="AP409" i="3"/>
  <c r="AQ409" i="3" s="1"/>
  <c r="AR409" i="3" s="1"/>
  <c r="AS409" i="3" s="1"/>
  <c r="AT409" i="3" s="1"/>
  <c r="AU409" i="3" s="1"/>
  <c r="AP767" i="3"/>
  <c r="AQ767" i="3" s="1"/>
  <c r="AQ303" i="3"/>
  <c r="AU1213" i="3"/>
  <c r="AV1213" i="3" s="1"/>
  <c r="AW1213" i="3" s="1"/>
  <c r="AX1213" i="3" s="1"/>
  <c r="AM169" i="3"/>
  <c r="AN169" i="3" s="1"/>
  <c r="AO169" i="3"/>
  <c r="AP169" i="3" s="1"/>
  <c r="AQ169" i="3" s="1"/>
  <c r="AR169" i="3" s="1"/>
  <c r="AS169" i="3" s="1"/>
  <c r="AT169" i="3" s="1"/>
  <c r="AU169" i="3" s="1"/>
  <c r="AV169" i="3" s="1"/>
  <c r="AW169" i="3" s="1"/>
  <c r="AX169" i="3" s="1"/>
  <c r="AN433" i="3"/>
  <c r="AR1386" i="3"/>
  <c r="AN607" i="3"/>
  <c r="AP418" i="3"/>
  <c r="AN1285" i="3"/>
  <c r="AO1285" i="3" s="1"/>
  <c r="AP1285" i="3" s="1"/>
  <c r="AQ1140" i="3"/>
  <c r="AT807" i="3"/>
  <c r="AS807" i="3"/>
  <c r="AN1300" i="3"/>
  <c r="AQ745" i="3"/>
  <c r="AO221" i="3"/>
  <c r="AQ910" i="3"/>
  <c r="AR910" i="3" s="1"/>
  <c r="AS910" i="3" s="1"/>
  <c r="AT910" i="3" s="1"/>
  <c r="AU910" i="3" s="1"/>
  <c r="AV910" i="3" s="1"/>
  <c r="AW910" i="3"/>
  <c r="AX910" i="3" s="1"/>
  <c r="J197" i="4"/>
  <c r="AP1164" i="3"/>
  <c r="AQ1164" i="3" s="1"/>
  <c r="AN115" i="3"/>
  <c r="AM345" i="3"/>
  <c r="AL345" i="3"/>
  <c r="AR1039" i="3"/>
  <c r="AS1039" i="3" s="1"/>
  <c r="AT1039" i="3" s="1"/>
  <c r="AO444" i="3"/>
  <c r="AS98" i="3"/>
  <c r="AU916" i="3"/>
  <c r="AV916" i="3" s="1"/>
  <c r="AW916" i="3" s="1"/>
  <c r="AX916" i="3" s="1"/>
  <c r="AN1293" i="3"/>
  <c r="AN298" i="3"/>
  <c r="AO433" i="3"/>
  <c r="AP433" i="3" s="1"/>
  <c r="AQ1386" i="3"/>
  <c r="AO208" i="3"/>
  <c r="AQ208" i="3" s="1"/>
  <c r="AP208" i="3"/>
  <c r="AB526" i="4"/>
  <c r="AP655" i="3"/>
  <c r="AQ311" i="3"/>
  <c r="AR311" i="3"/>
  <c r="AS311" i="3" s="1"/>
  <c r="AN954" i="3"/>
  <c r="AO379" i="3"/>
  <c r="AP379" i="3"/>
  <c r="AQ379" i="3" s="1"/>
  <c r="AR379" i="3" s="1"/>
  <c r="AO445" i="3"/>
  <c r="AP445" i="3" s="1"/>
  <c r="AQ1265" i="3"/>
  <c r="AR1265" i="3" s="1"/>
  <c r="AS1265" i="3" s="1"/>
  <c r="AQ1246" i="3"/>
  <c r="AO45" i="3"/>
  <c r="AP45" i="3" s="1"/>
  <c r="AR45" i="3"/>
  <c r="AS45" i="3" s="1"/>
  <c r="AT45" i="3" s="1"/>
  <c r="AU45" i="3" s="1"/>
  <c r="AV45" i="3" s="1"/>
  <c r="AW45" i="3" s="1"/>
  <c r="AX45" i="3" s="1"/>
  <c r="AN45" i="3"/>
  <c r="AQ45" i="3"/>
  <c r="AO825" i="3"/>
  <c r="AP825" i="3" s="1"/>
  <c r="AQ825" i="3" s="1"/>
  <c r="AO871" i="3"/>
  <c r="AP871" i="3" s="1"/>
  <c r="AN766" i="3"/>
  <c r="AO766" i="3"/>
  <c r="AT1331" i="3"/>
  <c r="AT157" i="3"/>
  <c r="AU157" i="3" s="1"/>
  <c r="AV157" i="3"/>
  <c r="AW157" i="3" s="1"/>
  <c r="AX157" i="3" s="1"/>
  <c r="AO1277" i="3"/>
  <c r="AN291" i="3"/>
  <c r="AS249" i="3"/>
  <c r="AT249" i="3" s="1"/>
  <c r="AU249" i="3" s="1"/>
  <c r="AV249" i="3" s="1"/>
  <c r="AW249" i="3" s="1"/>
  <c r="AX249" i="3" s="1"/>
  <c r="AS153" i="3"/>
  <c r="AT153" i="3" s="1"/>
  <c r="AU153" i="3" s="1"/>
  <c r="AR153" i="3"/>
  <c r="AQ153" i="3"/>
  <c r="AP247" i="3"/>
  <c r="AQ247" i="3" s="1"/>
  <c r="AR247" i="3" s="1"/>
  <c r="AP878" i="3"/>
  <c r="AQ878" i="3" s="1"/>
  <c r="AR878" i="3" s="1"/>
  <c r="AS878" i="3" s="1"/>
  <c r="AT878" i="3" s="1"/>
  <c r="AU878" i="3" s="1"/>
  <c r="AV878" i="3" s="1"/>
  <c r="AO680" i="3"/>
  <c r="AM610" i="3"/>
  <c r="AQ965" i="3"/>
  <c r="AU1294" i="3"/>
  <c r="AV1294" i="3" s="1"/>
  <c r="AO1294" i="3"/>
  <c r="AP1294" i="3" s="1"/>
  <c r="AQ1294" i="3" s="1"/>
  <c r="AR1294" i="3" s="1"/>
  <c r="AS1294" i="3" s="1"/>
  <c r="AT1294" i="3" s="1"/>
  <c r="AN1071" i="3"/>
  <c r="AP494" i="3"/>
  <c r="AV1369" i="3"/>
  <c r="AW1369" i="3" s="1"/>
  <c r="AX1369" i="3" s="1"/>
  <c r="AW753" i="3"/>
  <c r="AX753" i="3" s="1"/>
  <c r="AP661" i="3"/>
  <c r="AQ661" i="3" s="1"/>
  <c r="AR661" i="3" s="1"/>
  <c r="AS661" i="3" s="1"/>
  <c r="AO661" i="3"/>
  <c r="AO819" i="3"/>
  <c r="AS401" i="3"/>
  <c r="AQ501" i="3"/>
  <c r="AR501" i="3" s="1"/>
  <c r="AS501" i="3" s="1"/>
  <c r="AT501" i="3" s="1"/>
  <c r="AU501" i="3" s="1"/>
  <c r="AR316" i="3"/>
  <c r="AP943" i="3"/>
  <c r="AQ943" i="3" s="1"/>
  <c r="AO627" i="3"/>
  <c r="AS1102" i="3"/>
  <c r="AT1102" i="3" s="1"/>
  <c r="AP402" i="3"/>
  <c r="AQ402" i="3" s="1"/>
  <c r="AR402" i="3"/>
  <c r="AP540" i="3"/>
  <c r="AS540" i="3" s="1"/>
  <c r="AT540" i="3" s="1"/>
  <c r="AU540" i="3" s="1"/>
  <c r="AV540" i="3" s="1"/>
  <c r="AO540" i="3"/>
  <c r="AQ540" i="3"/>
  <c r="AR540" i="3"/>
  <c r="AP935" i="3"/>
  <c r="AQ935" i="3"/>
  <c r="AP30" i="3"/>
  <c r="AQ30" i="3" s="1"/>
  <c r="AR30" i="3" s="1"/>
  <c r="AS30" i="3" s="1"/>
  <c r="AT30" i="3" s="1"/>
  <c r="AU30" i="3" s="1"/>
  <c r="AV30" i="3" s="1"/>
  <c r="AN30" i="3"/>
  <c r="AO30" i="3" s="1"/>
  <c r="AM30" i="3"/>
  <c r="AT1282" i="3"/>
  <c r="AP269" i="3"/>
  <c r="AM1253" i="3"/>
  <c r="AN1253" i="3"/>
  <c r="AO1253" i="3" s="1"/>
  <c r="AO230" i="3"/>
  <c r="AN22" i="3"/>
  <c r="AP722" i="3"/>
  <c r="AQ516" i="3"/>
  <c r="AR116" i="3"/>
  <c r="AM714" i="3"/>
  <c r="AN714" i="3"/>
  <c r="AL714" i="3"/>
  <c r="AO406" i="3"/>
  <c r="AQ406" i="3" s="1"/>
  <c r="AR406" i="3" s="1"/>
  <c r="AP406" i="3"/>
  <c r="AS406" i="3" s="1"/>
  <c r="AQ193" i="3"/>
  <c r="T799" i="4"/>
  <c r="T801" i="4" s="1"/>
  <c r="T803" i="4" s="1"/>
  <c r="T821" i="4" s="1"/>
  <c r="T870" i="4" s="1"/>
  <c r="V54" i="2" s="1"/>
  <c r="T753" i="4"/>
  <c r="T812" i="4" s="1"/>
  <c r="AU282" i="3"/>
  <c r="AV282" i="3" s="1"/>
  <c r="AW282" i="3" s="1"/>
  <c r="AX282" i="3" s="1"/>
  <c r="AT282" i="3"/>
  <c r="AT867" i="3"/>
  <c r="AU867" i="3" s="1"/>
  <c r="AV867" i="3" s="1"/>
  <c r="AW867" i="3" s="1"/>
  <c r="AX867" i="3" s="1"/>
  <c r="AS867" i="3"/>
  <c r="AP886" i="3"/>
  <c r="AQ886" i="3" s="1"/>
  <c r="AR886" i="3" s="1"/>
  <c r="AS886" i="3" s="1"/>
  <c r="AT886" i="3" s="1"/>
  <c r="AU886" i="3" s="1"/>
  <c r="AV886" i="3"/>
  <c r="AW886" i="3"/>
  <c r="AX886" i="3" s="1"/>
  <c r="AQ568" i="3"/>
  <c r="AO1054" i="3"/>
  <c r="AQ213" i="3"/>
  <c r="AP111" i="3"/>
  <c r="AQ111" i="3" s="1"/>
  <c r="AR111" i="3" s="1"/>
  <c r="AS111" i="3"/>
  <c r="AT111" i="3" s="1"/>
  <c r="AU111" i="3" s="1"/>
  <c r="AV111" i="3" s="1"/>
  <c r="AW111" i="3" s="1"/>
  <c r="AX111" i="3" s="1"/>
  <c r="AW826" i="3"/>
  <c r="AX826" i="3" s="1"/>
  <c r="AW924" i="3"/>
  <c r="AX924" i="3" s="1"/>
  <c r="AV74" i="3"/>
  <c r="AW74" i="3" s="1"/>
  <c r="AX74" i="3" s="1"/>
  <c r="AR74" i="3"/>
  <c r="AO1049" i="3"/>
  <c r="AS578" i="3"/>
  <c r="AT578" i="3" s="1"/>
  <c r="AU578" i="3" s="1"/>
  <c r="AV578" i="3" s="1"/>
  <c r="AR578" i="3"/>
  <c r="AN1092" i="3"/>
  <c r="AN1321" i="3"/>
  <c r="AM1321" i="3"/>
  <c r="AO925" i="3"/>
  <c r="AP152" i="3"/>
  <c r="AQ152" i="3"/>
  <c r="AR152" i="3" s="1"/>
  <c r="AO1057" i="3"/>
  <c r="AP891" i="3"/>
  <c r="AQ891" i="3" s="1"/>
  <c r="AR891" i="3" s="1"/>
  <c r="AT676" i="3"/>
  <c r="AN1074" i="3"/>
  <c r="AP863" i="3"/>
  <c r="AO1131" i="3"/>
  <c r="AP1131" i="3" s="1"/>
  <c r="AQ1131" i="3"/>
  <c r="AR1131" i="3" s="1"/>
  <c r="AS1131" i="3" s="1"/>
  <c r="AT1131" i="3" s="1"/>
  <c r="AU1131" i="3" s="1"/>
  <c r="AV1131" i="3" s="1"/>
  <c r="AW1131" i="3" s="1"/>
  <c r="AX1131" i="3" s="1"/>
  <c r="AM927" i="3"/>
  <c r="AR1261" i="3"/>
  <c r="AS1261" i="3" s="1"/>
  <c r="AT1261" i="3" s="1"/>
  <c r="AU1261" i="3" s="1"/>
  <c r="AV1261" i="3" s="1"/>
  <c r="AT338" i="3"/>
  <c r="AO138" i="3"/>
  <c r="AP245" i="3"/>
  <c r="AQ245" i="3" s="1"/>
  <c r="AR245" i="3" s="1"/>
  <c r="AS245" i="3" s="1"/>
  <c r="AT245" i="3" s="1"/>
  <c r="AU245" i="3" s="1"/>
  <c r="AV245" i="3" s="1"/>
  <c r="AW245" i="3" s="1"/>
  <c r="AX245" i="3" s="1"/>
  <c r="AP689" i="3"/>
  <c r="AO196" i="3"/>
  <c r="AP196" i="3" s="1"/>
  <c r="AP1020" i="3"/>
  <c r="AQ1020" i="3" s="1"/>
  <c r="AR1020" i="3" s="1"/>
  <c r="AS1020" i="3" s="1"/>
  <c r="AT1020" i="3" s="1"/>
  <c r="AU1020" i="3" s="1"/>
  <c r="AV1020" i="3" s="1"/>
  <c r="AW1020" i="3" s="1"/>
  <c r="AX1020" i="3" s="1"/>
  <c r="AP964" i="3"/>
  <c r="AQ964" i="3" s="1"/>
  <c r="AL989" i="3"/>
  <c r="AQ276" i="3"/>
  <c r="AR276" i="3" s="1"/>
  <c r="AS276" i="3"/>
  <c r="AN117" i="3"/>
  <c r="AR117" i="3"/>
  <c r="AS117" i="3" s="1"/>
  <c r="AQ117" i="3"/>
  <c r="AO117" i="3"/>
  <c r="AP117" i="3" s="1"/>
  <c r="AN682" i="3"/>
  <c r="AM14" i="3"/>
  <c r="AN14" i="3" s="1"/>
  <c r="AO14" i="3" s="1"/>
  <c r="S848" i="4"/>
  <c r="AL297" i="3"/>
  <c r="AW1034" i="3"/>
  <c r="AX1034" i="3" s="1"/>
  <c r="AP1034" i="3"/>
  <c r="AQ1034" i="3" s="1"/>
  <c r="AR1034" i="3" s="1"/>
  <c r="AS1034" i="3" s="1"/>
  <c r="AT1034" i="3" s="1"/>
  <c r="AU1034" i="3" s="1"/>
  <c r="AV1034" i="3" s="1"/>
  <c r="AU611" i="3"/>
  <c r="AV611" i="3" s="1"/>
  <c r="AW611" i="3" s="1"/>
  <c r="AX611" i="3" s="1"/>
  <c r="AQ1257" i="3"/>
  <c r="AS656" i="3"/>
  <c r="AR404" i="3"/>
  <c r="AR215" i="3"/>
  <c r="AS215" i="3" s="1"/>
  <c r="AQ945" i="3"/>
  <c r="AR945" i="3" s="1"/>
  <c r="AO945" i="3"/>
  <c r="AP945" i="3" s="1"/>
  <c r="AQ921" i="3"/>
  <c r="AR921" i="3" s="1"/>
  <c r="AS921" i="3" s="1"/>
  <c r="AQ1308" i="3"/>
  <c r="AS1308" i="3" s="1"/>
  <c r="AT1308" i="3" s="1"/>
  <c r="AP1308" i="3"/>
  <c r="AT553" i="3"/>
  <c r="AU553" i="3" s="1"/>
  <c r="AV553" i="3" s="1"/>
  <c r="AW553" i="3" s="1"/>
  <c r="AX553" i="3" s="1"/>
  <c r="AN395" i="3"/>
  <c r="AM1381" i="3"/>
  <c r="AO891" i="3"/>
  <c r="AW686" i="3"/>
  <c r="AX686" i="3" s="1"/>
  <c r="AO96" i="3"/>
  <c r="AP1385" i="3"/>
  <c r="AK1403" i="3"/>
  <c r="AN214" i="3"/>
  <c r="AP1214" i="3"/>
  <c r="AQ1214" i="3" s="1"/>
  <c r="AR1214" i="3" s="1"/>
  <c r="AS1214" i="3"/>
  <c r="AT1214" i="3" s="1"/>
  <c r="AU1214" i="3" s="1"/>
  <c r="AL915" i="3"/>
  <c r="AO1292" i="3"/>
  <c r="AM374" i="3"/>
  <c r="AS1198" i="3"/>
  <c r="AR833" i="3"/>
  <c r="AS833" i="3" s="1"/>
  <c r="AT833" i="3" s="1"/>
  <c r="AU833" i="3"/>
  <c r="AV833" i="3" s="1"/>
  <c r="AW833" i="3" s="1"/>
  <c r="AX833" i="3" s="1"/>
  <c r="AN527" i="3"/>
  <c r="AN344" i="3"/>
  <c r="AL529" i="3"/>
  <c r="AM529" i="3" s="1"/>
  <c r="AN529" i="3" s="1"/>
  <c r="AO529" i="3" s="1"/>
  <c r="AR217" i="3"/>
  <c r="AS217" i="3" s="1"/>
  <c r="AT217" i="3" s="1"/>
  <c r="AU217" i="3" s="1"/>
  <c r="AQ217" i="3"/>
  <c r="AN927" i="3"/>
  <c r="AS819" i="3"/>
  <c r="AW349" i="3"/>
  <c r="AX349" i="3" s="1"/>
  <c r="AV349" i="3"/>
  <c r="AS349" i="3"/>
  <c r="AT349" i="3" s="1"/>
  <c r="AM400" i="3"/>
  <c r="AN400" i="3" s="1"/>
  <c r="AO400" i="3"/>
  <c r="U534" i="4"/>
  <c r="AN507" i="3"/>
  <c r="AO365" i="3"/>
  <c r="AR365" i="3"/>
  <c r="AS365" i="3" s="1"/>
  <c r="AT365" i="3" s="1"/>
  <c r="AU365" i="3" s="1"/>
  <c r="AO295" i="3"/>
  <c r="AP295" i="3" s="1"/>
  <c r="AQ295" i="3" s="1"/>
  <c r="AN295" i="3"/>
  <c r="AM741" i="3"/>
  <c r="AN741" i="3" s="1"/>
  <c r="AO741" i="3"/>
  <c r="AP741" i="3" s="1"/>
  <c r="AQ741" i="3" s="1"/>
  <c r="AR741" i="3" s="1"/>
  <c r="AT565" i="3"/>
  <c r="AU565" i="3" s="1"/>
  <c r="AV565" i="3" s="1"/>
  <c r="AW565" i="3" s="1"/>
  <c r="AX565" i="3" s="1"/>
  <c r="AP1154" i="3"/>
  <c r="AT883" i="3"/>
  <c r="AU883" i="3" s="1"/>
  <c r="AV883" i="3" s="1"/>
  <c r="AW883" i="3" s="1"/>
  <c r="AX883" i="3" s="1"/>
  <c r="AM525" i="3"/>
  <c r="AN525" i="3" s="1"/>
  <c r="AO525" i="3" s="1"/>
  <c r="AP525" i="3" s="1"/>
  <c r="AQ525" i="3" s="1"/>
  <c r="AR525" i="3" s="1"/>
  <c r="AS525" i="3" s="1"/>
  <c r="AT525" i="3" s="1"/>
  <c r="AU525" i="3" s="1"/>
  <c r="AV525" i="3" s="1"/>
  <c r="AW525" i="3" s="1"/>
  <c r="AX525" i="3" s="1"/>
  <c r="AO1225" i="3"/>
  <c r="AL1172" i="3"/>
  <c r="AK1427" i="3"/>
  <c r="V163" i="4" s="1"/>
  <c r="AL580" i="3"/>
  <c r="AL362" i="3"/>
  <c r="AP1333" i="3"/>
  <c r="AP360" i="3"/>
  <c r="AO360" i="3"/>
  <c r="AT276" i="3"/>
  <c r="AU276" i="3" s="1"/>
  <c r="AM861" i="3"/>
  <c r="AE35" i="2"/>
  <c r="AQ902" i="3"/>
  <c r="AR902" i="3" s="1"/>
  <c r="AS902" i="3" s="1"/>
  <c r="AO902" i="3"/>
  <c r="AP902" i="3"/>
  <c r="AN678" i="3"/>
  <c r="AP678" i="3" s="1"/>
  <c r="AQ678" i="3" s="1"/>
  <c r="AR678" i="3" s="1"/>
  <c r="AS678" i="3" s="1"/>
  <c r="AO678" i="3"/>
  <c r="AQ862" i="3"/>
  <c r="AR862" i="3"/>
  <c r="AS862" i="3" s="1"/>
  <c r="AT862" i="3" s="1"/>
  <c r="AU862" i="3" s="1"/>
  <c r="AV862" i="3" s="1"/>
  <c r="AW862" i="3" s="1"/>
  <c r="AX862" i="3" s="1"/>
  <c r="AQ863" i="3"/>
  <c r="AR863" i="3" s="1"/>
  <c r="AP835" i="3"/>
  <c r="AN462" i="3"/>
  <c r="AO462" i="3" s="1"/>
  <c r="AP462" i="3" s="1"/>
  <c r="AP765" i="3"/>
  <c r="AQ765" i="3"/>
  <c r="AR765" i="3" s="1"/>
  <c r="AM1276" i="3"/>
  <c r="AR617" i="3"/>
  <c r="Z77" i="2"/>
  <c r="Z153" i="4"/>
  <c r="AQ1226" i="3"/>
  <c r="AP1226" i="3"/>
  <c r="Z326" i="2"/>
  <c r="Z327" i="2" s="1"/>
  <c r="AN78" i="3"/>
  <c r="AO1341" i="3"/>
  <c r="AO1157" i="3"/>
  <c r="AQ1284" i="3"/>
  <c r="AQ946" i="3"/>
  <c r="AR946" i="3" s="1"/>
  <c r="AS946" i="3" s="1"/>
  <c r="AT946" i="3" s="1"/>
  <c r="AU946" i="3" s="1"/>
  <c r="AV946" i="3" s="1"/>
  <c r="AW946" i="3" s="1"/>
  <c r="AX946" i="3" s="1"/>
  <c r="AT1198" i="3"/>
  <c r="AU1198" i="3" s="1"/>
  <c r="AV1198" i="3" s="1"/>
  <c r="AW1198" i="3" s="1"/>
  <c r="AX1198" i="3" s="1"/>
  <c r="AR822" i="3"/>
  <c r="U434" i="4"/>
  <c r="U48" i="4"/>
  <c r="U467" i="4"/>
  <c r="U203" i="4"/>
  <c r="U425" i="4"/>
  <c r="U433" i="4" s="1"/>
  <c r="U427" i="4" s="1"/>
  <c r="U428" i="4" s="1"/>
  <c r="U500" i="4"/>
  <c r="U442" i="4"/>
  <c r="U457" i="4"/>
  <c r="U452" i="4"/>
  <c r="U472" i="4"/>
  <c r="U447" i="4"/>
  <c r="U462" i="4"/>
  <c r="AM122" i="3"/>
  <c r="AO289" i="3"/>
  <c r="AO75" i="3"/>
  <c r="AP75" i="3" s="1"/>
  <c r="AQ75" i="3" s="1"/>
  <c r="AR75" i="3" s="1"/>
  <c r="AS75" i="3" s="1"/>
  <c r="AT75" i="3" s="1"/>
  <c r="AU75" i="3" s="1"/>
  <c r="AV75" i="3" s="1"/>
  <c r="AW75" i="3" s="1"/>
  <c r="AX75" i="3" s="1"/>
  <c r="AS394" i="3"/>
  <c r="AT394" i="3" s="1"/>
  <c r="AU394" i="3" s="1"/>
  <c r="AV394" i="3" s="1"/>
  <c r="AW394" i="3" s="1"/>
  <c r="AX394" i="3" s="1"/>
  <c r="AT1323" i="3"/>
  <c r="AU1323" i="3" s="1"/>
  <c r="AV1323" i="3" s="1"/>
  <c r="AW1323" i="3" s="1"/>
  <c r="AX1323" i="3" s="1"/>
  <c r="AT774" i="3"/>
  <c r="AW774" i="3" s="1"/>
  <c r="AX774" i="3" s="1"/>
  <c r="AT922" i="3"/>
  <c r="AU922" i="3" s="1"/>
  <c r="AV922" i="3" s="1"/>
  <c r="AT1058" i="3"/>
  <c r="AU1058" i="3" s="1"/>
  <c r="AV1058" i="3" s="1"/>
  <c r="AW1058" i="3" s="1"/>
  <c r="AX1058" i="3" s="1"/>
  <c r="AR1058" i="3"/>
  <c r="AS1058" i="3" s="1"/>
  <c r="AT699" i="3"/>
  <c r="AU699" i="3" s="1"/>
  <c r="AT744" i="3"/>
  <c r="AO1130" i="3"/>
  <c r="AP1130" i="3"/>
  <c r="AR611" i="3"/>
  <c r="AS611" i="3" s="1"/>
  <c r="AT611" i="3" s="1"/>
  <c r="AQ300" i="3"/>
  <c r="AO226" i="3"/>
  <c r="AP226" i="3" s="1"/>
  <c r="AQ226" i="3" s="1"/>
  <c r="AR226" i="3" s="1"/>
  <c r="AS226" i="3" s="1"/>
  <c r="X283" i="2"/>
  <c r="X155" i="2"/>
  <c r="AQ738" i="3"/>
  <c r="T679" i="4"/>
  <c r="U674" i="4" s="1"/>
  <c r="AU673" i="3"/>
  <c r="AT215" i="3"/>
  <c r="AU215" i="3" s="1"/>
  <c r="AV215" i="3" s="1"/>
  <c r="AW215" i="3" s="1"/>
  <c r="AX215" i="3" s="1"/>
  <c r="AP1000" i="3"/>
  <c r="AQ1000" i="3" s="1"/>
  <c r="AR1308" i="3"/>
  <c r="AQ786" i="3"/>
  <c r="AV1269" i="3"/>
  <c r="AW1269" i="3" s="1"/>
  <c r="AX1269" i="3" s="1"/>
  <c r="AU1269" i="3"/>
  <c r="AM1129" i="3"/>
  <c r="AO363" i="3"/>
  <c r="AR164" i="3"/>
  <c r="AS164" i="3" s="1"/>
  <c r="AT164" i="3" s="1"/>
  <c r="AU164" i="3" s="1"/>
  <c r="AV164" i="3" s="1"/>
  <c r="AN1103" i="3"/>
  <c r="T534" i="4"/>
  <c r="AQ1252" i="3"/>
  <c r="AR1252" i="3" s="1"/>
  <c r="AS1252" i="3" s="1"/>
  <c r="AT1252" i="3"/>
  <c r="AU1252" i="3" s="1"/>
  <c r="AV1252" i="3" s="1"/>
  <c r="AW1252" i="3" s="1"/>
  <c r="AX1252" i="3" s="1"/>
  <c r="AN314" i="3"/>
  <c r="AR92" i="3"/>
  <c r="AS92" i="3" s="1"/>
  <c r="AT92" i="3" s="1"/>
  <c r="AM416" i="3"/>
  <c r="AM340" i="3"/>
  <c r="AN340" i="3"/>
  <c r="AO1085" i="3"/>
  <c r="AN1085" i="3"/>
  <c r="AV1180" i="3"/>
  <c r="AW1180" i="3" s="1"/>
  <c r="AX1180" i="3" s="1"/>
  <c r="AQ1304" i="3"/>
  <c r="AU349" i="3"/>
  <c r="AO986" i="3"/>
  <c r="AT797" i="3"/>
  <c r="AU797" i="3"/>
  <c r="AV797" i="3" s="1"/>
  <c r="AW797" i="3" s="1"/>
  <c r="AX797" i="3" s="1"/>
  <c r="AO778" i="3"/>
  <c r="AN1028" i="3"/>
  <c r="AO1028" i="3"/>
  <c r="AP1028" i="3" s="1"/>
  <c r="AQ1028" i="3" s="1"/>
  <c r="AP365" i="3"/>
  <c r="AQ365" i="3" s="1"/>
  <c r="AN1271" i="3"/>
  <c r="AR1184" i="3"/>
  <c r="AS1184" i="3"/>
  <c r="AR143" i="3"/>
  <c r="AS143" i="3" s="1"/>
  <c r="AT143" i="3" s="1"/>
  <c r="AU143" i="3" s="1"/>
  <c r="AV143" i="3" s="1"/>
  <c r="AW143" i="3" s="1"/>
  <c r="AX143" i="3" s="1"/>
  <c r="AO160" i="3"/>
  <c r="AT701" i="3"/>
  <c r="AR701" i="3"/>
  <c r="AS701" i="3" s="1"/>
  <c r="AM616" i="3"/>
  <c r="AO491" i="3"/>
  <c r="AT572" i="3"/>
  <c r="AU572" i="3" s="1"/>
  <c r="AV572" i="3" s="1"/>
  <c r="AW572" i="3" s="1"/>
  <c r="AX572" i="3" s="1"/>
  <c r="V842" i="4"/>
  <c r="V839" i="4"/>
  <c r="X368" i="2" s="1"/>
  <c r="AV1244" i="3"/>
  <c r="AW1244" i="3" s="1"/>
  <c r="AX1244" i="3" s="1"/>
  <c r="Z197" i="2"/>
  <c r="Z156" i="2" s="1"/>
  <c r="AA198" i="2"/>
  <c r="AQ979" i="3"/>
  <c r="AR735" i="3"/>
  <c r="AS735" i="3"/>
  <c r="AV735" i="3"/>
  <c r="AW735" i="3" s="1"/>
  <c r="AX735" i="3" s="1"/>
  <c r="AT656" i="3"/>
  <c r="AU656" i="3" s="1"/>
  <c r="AV656" i="3" s="1"/>
  <c r="AP974" i="3"/>
  <c r="AQ974" i="3" s="1"/>
  <c r="AP492" i="3"/>
  <c r="AR71" i="3"/>
  <c r="AR1279" i="3"/>
  <c r="AS1279" i="3" s="1"/>
  <c r="AV961" i="3"/>
  <c r="AW961" i="3" s="1"/>
  <c r="AX961" i="3" s="1"/>
  <c r="AP243" i="3"/>
  <c r="AQ243" i="3" s="1"/>
  <c r="AQ688" i="3"/>
  <c r="AN212" i="3"/>
  <c r="AS836" i="3"/>
  <c r="AT836" i="3" s="1"/>
  <c r="AU836" i="3" s="1"/>
  <c r="AV836" i="3" s="1"/>
  <c r="AW836" i="3" s="1"/>
  <c r="AX836" i="3" s="1"/>
  <c r="Y842" i="4"/>
  <c r="Y839" i="4"/>
  <c r="AA368" i="2" s="1"/>
  <c r="AO202" i="3"/>
  <c r="AR1168" i="3"/>
  <c r="AS1168" i="3" s="1"/>
  <c r="AT1168" i="3" s="1"/>
  <c r="AU1168" i="3" s="1"/>
  <c r="AV1168" i="3" s="1"/>
  <c r="AW1168" i="3" s="1"/>
  <c r="AX1168" i="3" s="1"/>
  <c r="AN250" i="3"/>
  <c r="AS74" i="3"/>
  <c r="AT74" i="3" s="1"/>
  <c r="AU74" i="3" s="1"/>
  <c r="AL536" i="3"/>
  <c r="AR564" i="3"/>
  <c r="AS564" i="3"/>
  <c r="AT564" i="3"/>
  <c r="AM926" i="3"/>
  <c r="AN926" i="3" s="1"/>
  <c r="AO926" i="3" s="1"/>
  <c r="AP926" i="3" s="1"/>
  <c r="AQ926" i="3" s="1"/>
  <c r="AR436" i="3"/>
  <c r="AS436" i="3" s="1"/>
  <c r="AN436" i="3"/>
  <c r="AO436" i="3" s="1"/>
  <c r="AP436" i="3" s="1"/>
  <c r="AQ436" i="3" s="1"/>
  <c r="AO1094" i="3"/>
  <c r="AP1094" i="3" s="1"/>
  <c r="AG839" i="4"/>
  <c r="AI368" i="2" s="1"/>
  <c r="AG842" i="4"/>
  <c r="AT735" i="3"/>
  <c r="AU735" i="3" s="1"/>
  <c r="AO888" i="3"/>
  <c r="X639" i="4"/>
  <c r="X657" i="4" s="1"/>
  <c r="X706" i="4" s="1"/>
  <c r="Z39" i="2" s="1"/>
  <c r="Y12" i="4"/>
  <c r="X1190" i="4"/>
  <c r="X483" i="4"/>
  <c r="X501" i="4" s="1"/>
  <c r="X550" i="4" s="1"/>
  <c r="Z24" i="2" s="1"/>
  <c r="AP685" i="3"/>
  <c r="AR1195" i="3"/>
  <c r="AS1195" i="3" s="1"/>
  <c r="AT1195" i="3" s="1"/>
  <c r="AQ1195" i="3"/>
  <c r="AU1195" i="3" s="1"/>
  <c r="AV1195" i="3" s="1"/>
  <c r="AW1195" i="3" s="1"/>
  <c r="AX1195" i="3" s="1"/>
  <c r="AP1146" i="3"/>
  <c r="AR101" i="3"/>
  <c r="AS101" i="3" s="1"/>
  <c r="AN384" i="3"/>
  <c r="AU904" i="3"/>
  <c r="AV904" i="3" s="1"/>
  <c r="AW904" i="3" s="1"/>
  <c r="AX904" i="3" s="1"/>
  <c r="AR904" i="3"/>
  <c r="AS904" i="3" s="1"/>
  <c r="AQ904" i="3"/>
  <c r="AP904" i="3"/>
  <c r="AT904" i="3" s="1"/>
  <c r="Z243" i="2"/>
  <c r="Y242" i="2"/>
  <c r="AQ570" i="3"/>
  <c r="AM1275" i="3"/>
  <c r="AL1275" i="3"/>
  <c r="AN1098" i="3"/>
  <c r="AM1098" i="3"/>
  <c r="AV1064" i="3"/>
  <c r="AW1064" i="3" s="1"/>
  <c r="AX1064" i="3" s="1"/>
  <c r="AQ161" i="3"/>
  <c r="AN657" i="3"/>
  <c r="AA526" i="4"/>
  <c r="AO219" i="3"/>
  <c r="AR425" i="3"/>
  <c r="AS425" i="3" s="1"/>
  <c r="AT425" i="3" s="1"/>
  <c r="AU425" i="3" s="1"/>
  <c r="AV425" i="3" s="1"/>
  <c r="AW49" i="3"/>
  <c r="AX49" i="3" s="1"/>
  <c r="AW875" i="3"/>
  <c r="AX875" i="3" s="1"/>
  <c r="AR829" i="3"/>
  <c r="AS829" i="3" s="1"/>
  <c r="AR664" i="3"/>
  <c r="AE205" i="4"/>
  <c r="AE751" i="4"/>
  <c r="AE787" i="4"/>
  <c r="AE777" i="4"/>
  <c r="AE767" i="4"/>
  <c r="AE762" i="4"/>
  <c r="AQ629" i="3"/>
  <c r="AR629" i="3" s="1"/>
  <c r="AS629" i="3" s="1"/>
  <c r="AW259" i="3"/>
  <c r="AX259" i="3" s="1"/>
  <c r="AU92" i="3"/>
  <c r="AV92" i="3" s="1"/>
  <c r="AW92" i="3" s="1"/>
  <c r="AX92" i="3" s="1"/>
  <c r="AQ11" i="3"/>
  <c r="AP11" i="3"/>
  <c r="AP687" i="3"/>
  <c r="AS429" i="3"/>
  <c r="AW1165" i="3"/>
  <c r="AX1165" i="3" s="1"/>
  <c r="AR1303" i="3"/>
  <c r="AQ871" i="3"/>
  <c r="AO61" i="3"/>
  <c r="AP61" i="3" s="1"/>
  <c r="AQ61" i="3" s="1"/>
  <c r="AR61" i="3" s="1"/>
  <c r="AS61" i="3" s="1"/>
  <c r="AT61" i="3" s="1"/>
  <c r="AU61" i="3"/>
  <c r="AV61" i="3" s="1"/>
  <c r="AW61" i="3" s="1"/>
  <c r="AX61" i="3" s="1"/>
  <c r="AQ982" i="3"/>
  <c r="AQ787" i="3"/>
  <c r="AR787" i="3" s="1"/>
  <c r="AS787" i="3" s="1"/>
  <c r="AT787" i="3" s="1"/>
  <c r="AU787" i="3" s="1"/>
  <c r="AV787" i="3" s="1"/>
  <c r="AW787" i="3" s="1"/>
  <c r="AX787" i="3" s="1"/>
  <c r="Z101" i="2"/>
  <c r="AA101" i="2" s="1"/>
  <c r="AP592" i="3"/>
  <c r="S1111" i="4"/>
  <c r="T1107" i="4"/>
  <c r="T1110" i="4" s="1"/>
  <c r="S954" i="4"/>
  <c r="T953" i="4" s="1"/>
  <c r="AM864" i="3"/>
  <c r="AU724" i="3"/>
  <c r="AV724" i="3" s="1"/>
  <c r="AS724" i="3"/>
  <c r="AT724" i="3" s="1"/>
  <c r="AU1152" i="3"/>
  <c r="AV1152" i="3" s="1"/>
  <c r="AW1152" i="3" s="1"/>
  <c r="AX1152" i="3" s="1"/>
  <c r="AT1128" i="3"/>
  <c r="AU1128" i="3" s="1"/>
  <c r="AV1128" i="3" s="1"/>
  <c r="AR1128" i="3"/>
  <c r="AS1128" i="3" s="1"/>
  <c r="AT814" i="3"/>
  <c r="AN1288" i="3"/>
  <c r="AO1288" i="3" s="1"/>
  <c r="AQ890" i="3"/>
  <c r="AR890" i="3" s="1"/>
  <c r="AS890" i="3" s="1"/>
  <c r="AT890" i="3" s="1"/>
  <c r="AU890" i="3" s="1"/>
  <c r="AV890" i="3" s="1"/>
  <c r="AV839" i="3"/>
  <c r="AW839" i="3" s="1"/>
  <c r="AX839" i="3" s="1"/>
  <c r="AO353" i="3"/>
  <c r="AP353" i="3" s="1"/>
  <c r="AQ353" i="3" s="1"/>
  <c r="AR353" i="3" s="1"/>
  <c r="AS353" i="3" s="1"/>
  <c r="AT353" i="3" s="1"/>
  <c r="AU353" i="3" s="1"/>
  <c r="AV353" i="3" s="1"/>
  <c r="AS559" i="3"/>
  <c r="AT559" i="3" s="1"/>
  <c r="AU559" i="3" s="1"/>
  <c r="AV559" i="3" s="1"/>
  <c r="AW559" i="3" s="1"/>
  <c r="AX559" i="3" s="1"/>
  <c r="AR740" i="3"/>
  <c r="AS740" i="3" s="1"/>
  <c r="AT740" i="3" s="1"/>
  <c r="AU740" i="3" s="1"/>
  <c r="AV740" i="3" s="1"/>
  <c r="AW740" i="3" s="1"/>
  <c r="AX740" i="3" s="1"/>
  <c r="AQ740" i="3"/>
  <c r="AT79" i="3"/>
  <c r="AU79" i="3" s="1"/>
  <c r="AV79" i="3" s="1"/>
  <c r="AW79" i="3" s="1"/>
  <c r="AX79" i="3" s="1"/>
  <c r="AR1167" i="3"/>
  <c r="AS1167" i="3" s="1"/>
  <c r="AT1167" i="3" s="1"/>
  <c r="AU1167" i="3" s="1"/>
  <c r="AV1167" i="3" s="1"/>
  <c r="AW1167" i="3" s="1"/>
  <c r="AX1167" i="3" s="1"/>
  <c r="AO1079" i="3"/>
  <c r="AO806" i="3"/>
  <c r="AP806" i="3" s="1"/>
  <c r="AQ806" i="3" s="1"/>
  <c r="AR806" i="3" s="1"/>
  <c r="AS806" i="3" s="1"/>
  <c r="AT806" i="3" s="1"/>
  <c r="AU806" i="3" s="1"/>
  <c r="AV806" i="3" s="1"/>
  <c r="AW806" i="3" s="1"/>
  <c r="AX806" i="3" s="1"/>
  <c r="AM806" i="3"/>
  <c r="AN806" i="3" s="1"/>
  <c r="AQ990" i="3"/>
  <c r="AM100" i="3"/>
  <c r="AL100" i="3"/>
  <c r="AD152" i="4"/>
  <c r="AL68" i="3"/>
  <c r="AN260" i="3"/>
  <c r="AO260" i="3"/>
  <c r="AP260" i="3" s="1"/>
  <c r="AQ260" i="3" s="1"/>
  <c r="AR260" i="3" s="1"/>
  <c r="AS260" i="3" s="1"/>
  <c r="AT260" i="3" s="1"/>
  <c r="AQ428" i="3"/>
  <c r="AR428" i="3" s="1"/>
  <c r="AS428" i="3" s="1"/>
  <c r="AQ612" i="3"/>
  <c r="AP1236" i="3"/>
  <c r="AQ1236" i="3" s="1"/>
  <c r="AR1236" i="3" s="1"/>
  <c r="AS1236" i="3" s="1"/>
  <c r="AT1236" i="3" s="1"/>
  <c r="AU1236" i="3" s="1"/>
  <c r="AV1236" i="3" s="1"/>
  <c r="AW1236" i="3" s="1"/>
  <c r="AX1236" i="3" s="1"/>
  <c r="AT841" i="3"/>
  <c r="AU841" i="3" s="1"/>
  <c r="AV841" i="3" s="1"/>
  <c r="AW841" i="3" s="1"/>
  <c r="AX841" i="3" s="1"/>
  <c r="AP1145" i="3"/>
  <c r="AR1145" i="3"/>
  <c r="AS1145" i="3" s="1"/>
  <c r="AT1145" i="3" s="1"/>
  <c r="AU1145" i="3" s="1"/>
  <c r="AV1145" i="3" s="1"/>
  <c r="AW1145" i="3" s="1"/>
  <c r="AX1145" i="3" s="1"/>
  <c r="AS887" i="3"/>
  <c r="AT887" i="3" s="1"/>
  <c r="AU887" i="3" s="1"/>
  <c r="AV887" i="3" s="1"/>
  <c r="AP903" i="3"/>
  <c r="AQ903" i="3" s="1"/>
  <c r="AR903" i="3" s="1"/>
  <c r="AS903" i="3" s="1"/>
  <c r="AT903" i="3" s="1"/>
  <c r="AU903" i="3" s="1"/>
  <c r="AV903" i="3" s="1"/>
  <c r="AW903" i="3" s="1"/>
  <c r="AX903" i="3" s="1"/>
  <c r="AM903" i="3"/>
  <c r="AN903" i="3" s="1"/>
  <c r="AO903" i="3" s="1"/>
  <c r="AN51" i="3"/>
  <c r="AN876" i="3"/>
  <c r="AO876" i="3" s="1"/>
  <c r="AP876" i="3" s="1"/>
  <c r="AL158" i="3"/>
  <c r="AO158" i="3" s="1"/>
  <c r="AN158" i="3"/>
  <c r="AM832" i="3"/>
  <c r="AP729" i="3"/>
  <c r="AN95" i="3"/>
  <c r="AO95" i="3"/>
  <c r="AP95" i="3" s="1"/>
  <c r="AQ95" i="3" s="1"/>
  <c r="AR95" i="3" s="1"/>
  <c r="AS95" i="3" s="1"/>
  <c r="AT95" i="3" s="1"/>
  <c r="AU95" i="3" s="1"/>
  <c r="AV95" i="3" s="1"/>
  <c r="AW95" i="3" s="1"/>
  <c r="AX95" i="3" s="1"/>
  <c r="AT809" i="3"/>
  <c r="AU809" i="3" s="1"/>
  <c r="AV809" i="3" s="1"/>
  <c r="AT967" i="3"/>
  <c r="AU967" i="3" s="1"/>
  <c r="AV967" i="3" s="1"/>
  <c r="AW967" i="3" s="1"/>
  <c r="AX967" i="3" s="1"/>
  <c r="AN126" i="3"/>
  <c r="AP1380" i="3"/>
  <c r="AQ1380" i="3" s="1"/>
  <c r="AR1380" i="3" s="1"/>
  <c r="AS1380" i="3" s="1"/>
  <c r="AT1380" i="3" s="1"/>
  <c r="AU1380" i="3" s="1"/>
  <c r="AV1380" i="3" s="1"/>
  <c r="AV409" i="3"/>
  <c r="AW409" i="3" s="1"/>
  <c r="AX409" i="3" s="1"/>
  <c r="AT1149" i="3"/>
  <c r="AU1149" i="3" s="1"/>
  <c r="AV1149" i="3" s="1"/>
  <c r="AW1149" i="3" s="1"/>
  <c r="AX1149" i="3" s="1"/>
  <c r="AN1069" i="3"/>
  <c r="AO1069" i="3" s="1"/>
  <c r="AP1069" i="3" s="1"/>
  <c r="AT308" i="3"/>
  <c r="AU308" i="3"/>
  <c r="AV308" i="3" s="1"/>
  <c r="AW308" i="3" s="1"/>
  <c r="AX308" i="3" s="1"/>
  <c r="AS628" i="3"/>
  <c r="AT628" i="3" s="1"/>
  <c r="AU628" i="3" s="1"/>
  <c r="AV628" i="3" s="1"/>
  <c r="AW628" i="3" s="1"/>
  <c r="AX628" i="3" s="1"/>
  <c r="AR628" i="3"/>
  <c r="AQ159" i="3"/>
  <c r="AR159" i="3" s="1"/>
  <c r="AS159" i="3" s="1"/>
  <c r="AO159" i="3"/>
  <c r="AP159" i="3" s="1"/>
  <c r="AT331" i="3"/>
  <c r="AU331" i="3"/>
  <c r="AV331" i="3" s="1"/>
  <c r="AU139" i="3"/>
  <c r="AV139" i="3" s="1"/>
  <c r="AO265" i="3"/>
  <c r="AQ262" i="3"/>
  <c r="AS754" i="3"/>
  <c r="AT754" i="3" s="1"/>
  <c r="AU754" i="3" s="1"/>
  <c r="AV754" i="3" s="1"/>
  <c r="AW754" i="3" s="1"/>
  <c r="AX754" i="3" s="1"/>
  <c r="AN941" i="3"/>
  <c r="AO941" i="3" s="1"/>
  <c r="AP941" i="3" s="1"/>
  <c r="AP1311" i="3"/>
  <c r="AQ1311" i="3" s="1"/>
  <c r="AR1311" i="3" s="1"/>
  <c r="AS1311" i="3" s="1"/>
  <c r="AT1311" i="3" s="1"/>
  <c r="AO1311" i="3"/>
  <c r="AQ56" i="3"/>
  <c r="AP56" i="3"/>
  <c r="AO729" i="3"/>
  <c r="AO487" i="3"/>
  <c r="AP487" i="3" s="1"/>
  <c r="AQ487" i="3" s="1"/>
  <c r="AR487" i="3" s="1"/>
  <c r="AL768" i="3"/>
  <c r="AM768" i="3"/>
  <c r="AO768" i="3" s="1"/>
  <c r="AN768" i="3"/>
  <c r="AS1159" i="3"/>
  <c r="AT1159" i="3" s="1"/>
  <c r="AU1159" i="3" s="1"/>
  <c r="AV1159" i="3" s="1"/>
  <c r="AK1446" i="3"/>
  <c r="AK1430" i="3"/>
  <c r="V167" i="4" s="1"/>
  <c r="AL1038" i="3"/>
  <c r="AA77" i="2"/>
  <c r="AP170" i="3"/>
  <c r="AQ170" i="3" s="1"/>
  <c r="AR170" i="3"/>
  <c r="AS170" i="3" s="1"/>
  <c r="AT170" i="3" s="1"/>
  <c r="AU170" i="3" s="1"/>
  <c r="AV170" i="3" s="1"/>
  <c r="AW170" i="3" s="1"/>
  <c r="AX170" i="3" s="1"/>
  <c r="AT852" i="3"/>
  <c r="AU852" i="3" s="1"/>
  <c r="AV852" i="3" s="1"/>
  <c r="AW852" i="3" s="1"/>
  <c r="AX852" i="3" s="1"/>
  <c r="AQ852" i="3"/>
  <c r="AR852" i="3"/>
  <c r="AS852" i="3" s="1"/>
  <c r="AP759" i="3"/>
  <c r="AN541" i="3"/>
  <c r="U526" i="4"/>
  <c r="AP546" i="3"/>
  <c r="AU539" i="3"/>
  <c r="AV539" i="3" s="1"/>
  <c r="AW539" i="3" s="1"/>
  <c r="AX539" i="3" s="1"/>
  <c r="AS550" i="3"/>
  <c r="AT550" i="3" s="1"/>
  <c r="AU550" i="3"/>
  <c r="AV550" i="3" s="1"/>
  <c r="AO682" i="3"/>
  <c r="AP745" i="3"/>
  <c r="AP1115" i="3"/>
  <c r="AQ1115" i="3"/>
  <c r="AP357" i="3"/>
  <c r="AQ357" i="3" s="1"/>
  <c r="AR357" i="3" s="1"/>
  <c r="AO357" i="3"/>
  <c r="AT144" i="3"/>
  <c r="AU144" i="3" s="1"/>
  <c r="AV144" i="3" s="1"/>
  <c r="AW573" i="3"/>
  <c r="AX573" i="3" s="1"/>
  <c r="AL334" i="3"/>
  <c r="AO156" i="3"/>
  <c r="AT793" i="3"/>
  <c r="AU793" i="3" s="1"/>
  <c r="AV793" i="3" s="1"/>
  <c r="AW793" i="3" s="1"/>
  <c r="AX793" i="3" s="1"/>
  <c r="AO1334" i="3"/>
  <c r="AP1334" i="3" s="1"/>
  <c r="AQ1334" i="3" s="1"/>
  <c r="AR1334" i="3" s="1"/>
  <c r="AS1334" i="3" s="1"/>
  <c r="AT1334" i="3" s="1"/>
  <c r="AU1334" i="3" s="1"/>
  <c r="AV1334" i="3" s="1"/>
  <c r="AW1334" i="3" s="1"/>
  <c r="AX1334" i="3" s="1"/>
  <c r="AB189" i="2"/>
  <c r="AT139" i="3"/>
  <c r="AP1386" i="3"/>
  <c r="AQ1150" i="3"/>
  <c r="AQ949" i="3"/>
  <c r="AR949" i="3" s="1"/>
  <c r="AW331" i="3"/>
  <c r="AX331" i="3" s="1"/>
  <c r="S953" i="4"/>
  <c r="T376" i="2"/>
  <c r="R962" i="4"/>
  <c r="J871" i="4"/>
  <c r="AT1117" i="3"/>
  <c r="AU1117" i="3" s="1"/>
  <c r="AV1117" i="3" s="1"/>
  <c r="AR770" i="3"/>
  <c r="AS770" i="3" s="1"/>
  <c r="AT770" i="3" s="1"/>
  <c r="AU770" i="3" s="1"/>
  <c r="AV770" i="3" s="1"/>
  <c r="AW770" i="3" s="1"/>
  <c r="AX770" i="3" s="1"/>
  <c r="AN1409" i="3"/>
  <c r="AO1112" i="3"/>
  <c r="AU90" i="3"/>
  <c r="AV90" i="3" s="1"/>
  <c r="AW90" i="3" s="1"/>
  <c r="AX90" i="3" s="1"/>
  <c r="AO466" i="3"/>
  <c r="AN600" i="3"/>
  <c r="AS165" i="3"/>
  <c r="AT165" i="3" s="1"/>
  <c r="AU165" i="3" s="1"/>
  <c r="AN322" i="3"/>
  <c r="AM292" i="3"/>
  <c r="AQ1260" i="3"/>
  <c r="AR1260" i="3" s="1"/>
  <c r="AS1260" i="3" s="1"/>
  <c r="AT1260" i="3" s="1"/>
  <c r="AU1260" i="3" s="1"/>
  <c r="AV1260" i="3" s="1"/>
  <c r="AQ310" i="3"/>
  <c r="AR310" i="3"/>
  <c r="AS310" i="3" s="1"/>
  <c r="AT310" i="3" s="1"/>
  <c r="X526" i="4"/>
  <c r="AL1330" i="3"/>
  <c r="AT284" i="3"/>
  <c r="AU284" i="3" s="1"/>
  <c r="AV284" i="3" s="1"/>
  <c r="AW284" i="3" s="1"/>
  <c r="AX284" i="3" s="1"/>
  <c r="AQ511" i="3"/>
  <c r="AQ920" i="3"/>
  <c r="AS366" i="3"/>
  <c r="AT366" i="3" s="1"/>
  <c r="AU366" i="3" s="1"/>
  <c r="AV366" i="3" s="1"/>
  <c r="AP500" i="3"/>
  <c r="AQ500" i="3"/>
  <c r="AR500" i="3" s="1"/>
  <c r="AS500" i="3" s="1"/>
  <c r="AT500" i="3" s="1"/>
  <c r="AR838" i="3"/>
  <c r="AS838" i="3" s="1"/>
  <c r="AT838" i="3" s="1"/>
  <c r="AO77" i="3"/>
  <c r="AU535" i="3"/>
  <c r="AV535" i="3" s="1"/>
  <c r="AW535" i="3" s="1"/>
  <c r="AX535" i="3" s="1"/>
  <c r="AS644" i="3"/>
  <c r="AQ543" i="3"/>
  <c r="AR543" i="3" s="1"/>
  <c r="AN543" i="3"/>
  <c r="AO543" i="3" s="1"/>
  <c r="AP543" i="3"/>
  <c r="AQ1344" i="3"/>
  <c r="AM1070" i="3"/>
  <c r="AN1033" i="3"/>
  <c r="AM232" i="3"/>
  <c r="AA323" i="2"/>
  <c r="AA249" i="2"/>
  <c r="Z325" i="2"/>
  <c r="Z248" i="2"/>
  <c r="AN499" i="3"/>
  <c r="AO912" i="3"/>
  <c r="AP912" i="3" s="1"/>
  <c r="AQ912" i="3" s="1"/>
  <c r="AR912" i="3" s="1"/>
  <c r="S534" i="4"/>
  <c r="AN375" i="3"/>
  <c r="AS175" i="3"/>
  <c r="AN9" i="3"/>
  <c r="AU9" i="3"/>
  <c r="AV9" i="3" s="1"/>
  <c r="AO870" i="3"/>
  <c r="AP870" i="3" s="1"/>
  <c r="AQ870" i="3" s="1"/>
  <c r="AL962" i="3"/>
  <c r="AR1385" i="3"/>
  <c r="AT270" i="3"/>
  <c r="AU270" i="3" s="1"/>
  <c r="AV270" i="3" s="1"/>
  <c r="AW270" i="3" s="1"/>
  <c r="AX270" i="3" s="1"/>
  <c r="AR90" i="3"/>
  <c r="AS90" i="3" s="1"/>
  <c r="AT90" i="3" s="1"/>
  <c r="AT1329" i="3"/>
  <c r="AU1329" i="3" s="1"/>
  <c r="AP348" i="3"/>
  <c r="AT913" i="3"/>
  <c r="AU141" i="3"/>
  <c r="AV141" i="3" s="1"/>
  <c r="AW141" i="3"/>
  <c r="AX141" i="3" s="1"/>
  <c r="AL918" i="3"/>
  <c r="AP527" i="3"/>
  <c r="AQ527" i="3" s="1"/>
  <c r="AO73" i="3"/>
  <c r="W336" i="2"/>
  <c r="W10" i="2"/>
  <c r="W9" i="2" s="1"/>
  <c r="U80" i="4"/>
  <c r="AP733" i="3"/>
  <c r="AP899" i="3"/>
  <c r="AN106" i="3"/>
  <c r="AP415" i="3"/>
  <c r="AR1106" i="3"/>
  <c r="AT258" i="3"/>
  <c r="AU258" i="3" s="1"/>
  <c r="AQ224" i="3"/>
  <c r="AR224" i="3" s="1"/>
  <c r="AS224" i="3" s="1"/>
  <c r="AT224" i="3" s="1"/>
  <c r="AU224" i="3" s="1"/>
  <c r="AV224" i="3" s="1"/>
  <c r="AW224" i="3" s="1"/>
  <c r="AX224" i="3" s="1"/>
  <c r="AO44" i="3"/>
  <c r="AP1250" i="3"/>
  <c r="AM958" i="3"/>
  <c r="AQ296" i="3"/>
  <c r="AS296" i="3" s="1"/>
  <c r="AT296" i="3" s="1"/>
  <c r="AU296" i="3" s="1"/>
  <c r="AV296" i="3" s="1"/>
  <c r="AT921" i="3"/>
  <c r="AU921" i="3" s="1"/>
  <c r="AL1347" i="3"/>
  <c r="AM1347" i="3" s="1"/>
  <c r="AS1335" i="3"/>
  <c r="AO653" i="3"/>
  <c r="AP653" i="3"/>
  <c r="AQ653" i="3" s="1"/>
  <c r="AR653" i="3" s="1"/>
  <c r="AP431" i="3"/>
  <c r="U959" i="4"/>
  <c r="U960" i="4" s="1"/>
  <c r="U1103" i="4"/>
  <c r="AN156" i="3"/>
  <c r="AO336" i="3"/>
  <c r="AN136" i="3"/>
  <c r="AM1024" i="3"/>
  <c r="AO438" i="3"/>
  <c r="AO1376" i="3"/>
  <c r="AS203" i="3"/>
  <c r="AT203" i="3"/>
  <c r="AU203" i="3" s="1"/>
  <c r="AP471" i="3"/>
  <c r="AQ471" i="3"/>
  <c r="AR471" i="3" s="1"/>
  <c r="AU1122" i="3"/>
  <c r="AV1122" i="3" s="1"/>
  <c r="AQ140" i="3"/>
  <c r="AQ450" i="3"/>
  <c r="AP638" i="3"/>
  <c r="AV534" i="3"/>
  <c r="AW534" i="3" s="1"/>
  <c r="AX534" i="3" s="1"/>
  <c r="AQ1186" i="3"/>
  <c r="AM713" i="3"/>
  <c r="AQ249" i="3"/>
  <c r="AR249" i="3" s="1"/>
  <c r="AT490" i="3"/>
  <c r="AU490" i="3" s="1"/>
  <c r="AV490" i="3"/>
  <c r="AW490" i="3" s="1"/>
  <c r="AX490" i="3" s="1"/>
  <c r="AR606" i="3"/>
  <c r="AL504" i="3"/>
  <c r="AP795" i="3"/>
  <c r="AP1209" i="3"/>
  <c r="AP1089" i="3"/>
  <c r="AR545" i="3"/>
  <c r="AS545" i="3" s="1"/>
  <c r="AT545" i="3" s="1"/>
  <c r="AU545" i="3" s="1"/>
  <c r="AV545" i="3" s="1"/>
  <c r="AW545" i="3" s="1"/>
  <c r="AX545" i="3" s="1"/>
  <c r="AS304" i="3"/>
  <c r="AS481" i="3"/>
  <c r="X79" i="2"/>
  <c r="AO1296" i="3"/>
  <c r="AP1296" i="3" s="1"/>
  <c r="AQ1296" i="3" s="1"/>
  <c r="AR1296" i="3" s="1"/>
  <c r="AS1296" i="3" s="1"/>
  <c r="AT1296" i="3" s="1"/>
  <c r="AU1296" i="3" s="1"/>
  <c r="AV1296" i="3" s="1"/>
  <c r="AV800" i="3"/>
  <c r="AW800" i="3" s="1"/>
  <c r="AX800" i="3" s="1"/>
  <c r="AN1230" i="3"/>
  <c r="AO210" i="3"/>
  <c r="AP210" i="3" s="1"/>
  <c r="AO263" i="3"/>
  <c r="AR1338" i="3"/>
  <c r="AS1338" i="3" s="1"/>
  <c r="AM268" i="3"/>
  <c r="AS606" i="3"/>
  <c r="AT606" i="3" s="1"/>
  <c r="AU606" i="3" s="1"/>
  <c r="AP423" i="3"/>
  <c r="AQ423" i="3" s="1"/>
  <c r="AR423" i="3" s="1"/>
  <c r="AS423" i="3" s="1"/>
  <c r="AT423" i="3" s="1"/>
  <c r="AU423" i="3" s="1"/>
  <c r="AV423" i="3" s="1"/>
  <c r="AW423" i="3" s="1"/>
  <c r="AX423" i="3" s="1"/>
  <c r="AO23" i="3"/>
  <c r="AT23" i="3" s="1"/>
  <c r="AP773" i="3"/>
  <c r="AQ119" i="3"/>
  <c r="AR119" i="3" s="1"/>
  <c r="AS119" i="3" s="1"/>
  <c r="AT119" i="3" s="1"/>
  <c r="AU119" i="3" s="1"/>
  <c r="AV119" i="3" s="1"/>
  <c r="AW119" i="3" s="1"/>
  <c r="AX119" i="3" s="1"/>
  <c r="AR64" i="3"/>
  <c r="AS64" i="3" s="1"/>
  <c r="AT64" i="3" s="1"/>
  <c r="AU64" i="3" s="1"/>
  <c r="AV64" i="3" s="1"/>
  <c r="AW64" i="3" s="1"/>
  <c r="AX64" i="3" s="1"/>
  <c r="AT748" i="3"/>
  <c r="AU748" i="3" s="1"/>
  <c r="AV748" i="3" s="1"/>
  <c r="AN251" i="3"/>
  <c r="AO251" i="3" s="1"/>
  <c r="AP251" i="3" s="1"/>
  <c r="K871" i="4"/>
  <c r="AK1445" i="3"/>
  <c r="AK1421" i="3"/>
  <c r="V166" i="4" s="1"/>
  <c r="W17" i="10"/>
  <c r="W65" i="4"/>
  <c r="AN37" i="3"/>
  <c r="AO37" i="3" s="1"/>
  <c r="AP37" i="3" s="1"/>
  <c r="AQ37" i="3" s="1"/>
  <c r="AR37" i="3" s="1"/>
  <c r="AS37" i="3" s="1"/>
  <c r="AN505" i="3"/>
  <c r="AW408" i="3"/>
  <c r="AX408" i="3" s="1"/>
  <c r="AP881" i="3"/>
  <c r="K220" i="2"/>
  <c r="X220" i="2"/>
  <c r="AL52" i="3"/>
  <c r="AM52" i="3"/>
  <c r="AS1303" i="3"/>
  <c r="AT1303" i="3" s="1"/>
  <c r="AU1303" i="3" s="1"/>
  <c r="AV1303" i="3" s="1"/>
  <c r="AW1303" i="3" s="1"/>
  <c r="AX1303" i="3" s="1"/>
  <c r="AM1229" i="3"/>
  <c r="AO1387" i="3"/>
  <c r="AP1387" i="3" s="1"/>
  <c r="AQ1387" i="3" s="1"/>
  <c r="AR1387" i="3" s="1"/>
  <c r="AS1387" i="3" s="1"/>
  <c r="AT1387" i="3" s="1"/>
  <c r="AU1387" i="3" s="1"/>
  <c r="AV1387" i="3" s="1"/>
  <c r="J707" i="4"/>
  <c r="AU548" i="3"/>
  <c r="AV548" i="3" s="1"/>
  <c r="AW548" i="3" s="1"/>
  <c r="AX548" i="3" s="1"/>
  <c r="Q40" i="2"/>
  <c r="AQ562" i="3"/>
  <c r="AR562" i="3" s="1"/>
  <c r="AS562" i="3" s="1"/>
  <c r="AT562" i="3" s="1"/>
  <c r="AP562" i="3"/>
  <c r="AO562" i="3"/>
  <c r="AQ43" i="3"/>
  <c r="AS1199" i="3"/>
  <c r="V923" i="4"/>
  <c r="AO1186" i="3"/>
  <c r="AR165" i="3"/>
  <c r="AV165" i="3" s="1"/>
  <c r="AW165" i="3" s="1"/>
  <c r="AX165" i="3" s="1"/>
  <c r="AN463" i="3"/>
  <c r="AP301" i="3"/>
  <c r="AQ301" i="3" s="1"/>
  <c r="AR301" i="3" s="1"/>
  <c r="AS301" i="3" s="1"/>
  <c r="AS812" i="3"/>
  <c r="AT812" i="3" s="1"/>
  <c r="AU812" i="3" s="1"/>
  <c r="AS739" i="3"/>
  <c r="AT739" i="3" s="1"/>
  <c r="AU739" i="3" s="1"/>
  <c r="AQ739" i="3"/>
  <c r="AR739" i="3" s="1"/>
  <c r="AP129" i="3"/>
  <c r="AQ129" i="3" s="1"/>
  <c r="AR129" i="3" s="1"/>
  <c r="AS129" i="3" s="1"/>
  <c r="AT129" i="3" s="1"/>
  <c r="AU129" i="3" s="1"/>
  <c r="AV129" i="3" s="1"/>
  <c r="AW129" i="3" s="1"/>
  <c r="AX129" i="3" s="1"/>
  <c r="AO129" i="3"/>
  <c r="AS312" i="3"/>
  <c r="AP683" i="3"/>
  <c r="AU1361" i="3"/>
  <c r="AV1361" i="3" s="1"/>
  <c r="AW1361" i="3" s="1"/>
  <c r="AX1361" i="3" s="1"/>
  <c r="AM287" i="3"/>
  <c r="AN411" i="3"/>
  <c r="AO600" i="3"/>
  <c r="AP600" i="3" s="1"/>
  <c r="AQ600" i="3" s="1"/>
  <c r="AR225" i="3"/>
  <c r="AO446" i="3"/>
  <c r="AP446" i="3" s="1"/>
  <c r="AN33" i="3"/>
  <c r="AR1378" i="3"/>
  <c r="AS1378" i="3" s="1"/>
  <c r="AT1378" i="3"/>
  <c r="AU1378" i="3"/>
  <c r="AV1378" i="3" s="1"/>
  <c r="AW1378" i="3" s="1"/>
  <c r="AX1378" i="3" s="1"/>
  <c r="AP495" i="3"/>
  <c r="AQ495" i="3" s="1"/>
  <c r="AR495" i="3" s="1"/>
  <c r="AS495" i="3" s="1"/>
  <c r="AT495" i="3" s="1"/>
  <c r="AU495" i="3" s="1"/>
  <c r="AV495" i="3" s="1"/>
  <c r="AW495" i="3" s="1"/>
  <c r="AX495" i="3" s="1"/>
  <c r="AQ559" i="3"/>
  <c r="AR559" i="3" s="1"/>
  <c r="AO556" i="3"/>
  <c r="AN590" i="3"/>
  <c r="AP1186" i="3"/>
  <c r="AM329" i="3"/>
  <c r="AD526" i="4"/>
  <c r="AP104" i="3"/>
  <c r="AR544" i="3"/>
  <c r="AS544" i="3" s="1"/>
  <c r="AT544" i="3" s="1"/>
  <c r="AV813" i="3"/>
  <c r="AW813" i="3" s="1"/>
  <c r="AX813" i="3" s="1"/>
  <c r="AP588" i="3"/>
  <c r="AN855" i="3"/>
  <c r="AN1031" i="3"/>
  <c r="AP26" i="3"/>
  <c r="AN185" i="3"/>
  <c r="AQ1084" i="3"/>
  <c r="AR1084" i="3" s="1"/>
  <c r="X412" i="4"/>
  <c r="W33" i="10"/>
  <c r="AR742" i="3"/>
  <c r="AS742" i="3" s="1"/>
  <c r="AT742" i="3" s="1"/>
  <c r="AU742" i="3" s="1"/>
  <c r="AV742" i="3" s="1"/>
  <c r="AW742" i="3" s="1"/>
  <c r="AX742" i="3" s="1"/>
  <c r="K551" i="4"/>
  <c r="AQ642" i="3"/>
  <c r="AR642" i="3" s="1"/>
  <c r="AS642" i="3" s="1"/>
  <c r="AT642" i="3" s="1"/>
  <c r="AU642" i="3" s="1"/>
  <c r="AP642" i="3"/>
  <c r="AQ380" i="3"/>
  <c r="AO278" i="3"/>
  <c r="AP278" i="3" s="1"/>
  <c r="AS225" i="3"/>
  <c r="AN1018" i="3"/>
  <c r="AQ916" i="3"/>
  <c r="AR916" i="3" s="1"/>
  <c r="AS916" i="3" s="1"/>
  <c r="AT916" i="3" s="1"/>
  <c r="AN698" i="3"/>
  <c r="K219" i="2"/>
  <c r="AP1247" i="3"/>
  <c r="AO1389" i="3"/>
  <c r="AQ1025" i="3"/>
  <c r="AP1150" i="3"/>
  <c r="AM513" i="3"/>
  <c r="AO1143" i="3"/>
  <c r="AM1066" i="3"/>
  <c r="AN1066" i="3" s="1"/>
  <c r="AO1066" i="3" s="1"/>
  <c r="AP1066" i="3" s="1"/>
  <c r="Q197" i="4"/>
  <c r="AP1194" i="3"/>
  <c r="AQ1194" i="3"/>
  <c r="AM37" i="3"/>
  <c r="AO238" i="3"/>
  <c r="X74" i="2"/>
  <c r="T216" i="4"/>
  <c r="T212" i="4" s="1"/>
  <c r="AU114" i="3"/>
  <c r="AV114" i="3" s="1"/>
  <c r="AT848" i="3"/>
  <c r="V123" i="2"/>
  <c r="K109" i="2"/>
  <c r="I109" i="2" s="1"/>
  <c r="AN1014" i="3"/>
  <c r="AO469" i="3"/>
  <c r="AV1047" i="3"/>
  <c r="AU571" i="3"/>
  <c r="AV571" i="3" s="1"/>
  <c r="AP834" i="3"/>
  <c r="AO1051" i="3"/>
  <c r="AQ378" i="3"/>
  <c r="AM489" i="3"/>
  <c r="AU728" i="3"/>
  <c r="AV728" i="3" s="1"/>
  <c r="AW728" i="3" s="1"/>
  <c r="AX728" i="3" s="1"/>
  <c r="AS947" i="3"/>
  <c r="AT947" i="3" s="1"/>
  <c r="AU947" i="3" s="1"/>
  <c r="AV947" i="3" s="1"/>
  <c r="AW947" i="3" s="1"/>
  <c r="AX947" i="3" s="1"/>
  <c r="AL783" i="3"/>
  <c r="AQ882" i="3"/>
  <c r="AR882" i="3" s="1"/>
  <c r="AS882" i="3" s="1"/>
  <c r="AT882" i="3" s="1"/>
  <c r="AU882" i="3" s="1"/>
  <c r="AV133" i="3"/>
  <c r="AW133" i="3" s="1"/>
  <c r="AX133" i="3" s="1"/>
  <c r="AL1208" i="3"/>
  <c r="AN122" i="3"/>
  <c r="AP156" i="3"/>
  <c r="AO583" i="3"/>
  <c r="AQ42" i="3"/>
  <c r="AM54" i="3"/>
  <c r="AR774" i="3"/>
  <c r="AS774" i="3" s="1"/>
  <c r="AP922" i="3"/>
  <c r="AQ922" i="3" s="1"/>
  <c r="AR922" i="3" s="1"/>
  <c r="AS922" i="3" s="1"/>
  <c r="R842" i="4"/>
  <c r="R839" i="4"/>
  <c r="AO633" i="3"/>
  <c r="AP63" i="3"/>
  <c r="AR520" i="3"/>
  <c r="AS520" i="3" s="1"/>
  <c r="AT520" i="3" s="1"/>
  <c r="AU520" i="3" s="1"/>
  <c r="AV520" i="3" s="1"/>
  <c r="AW520" i="3" s="1"/>
  <c r="AX520" i="3" s="1"/>
  <c r="AN1088" i="3"/>
  <c r="AM1081" i="3"/>
  <c r="AR700" i="3"/>
  <c r="AU700" i="3"/>
  <c r="AS700" i="3"/>
  <c r="AT700" i="3" s="1"/>
  <c r="AL472" i="3"/>
  <c r="AS818" i="3"/>
  <c r="AT818" i="3" s="1"/>
  <c r="AU818" i="3" s="1"/>
  <c r="AV818" i="3" s="1"/>
  <c r="AW818" i="3" s="1"/>
  <c r="AX818" i="3" s="1"/>
  <c r="AR769" i="3"/>
  <c r="AS283" i="3"/>
  <c r="AT283" i="3" s="1"/>
  <c r="AP1093" i="3"/>
  <c r="AQ1093" i="3" s="1"/>
  <c r="AR1093" i="3" s="1"/>
  <c r="AS1093" i="3" s="1"/>
  <c r="AT1093" i="3"/>
  <c r="AU1093" i="3" s="1"/>
  <c r="AV1093" i="3" s="1"/>
  <c r="AW1093" i="3" s="1"/>
  <c r="AX1093" i="3" s="1"/>
  <c r="AQ782" i="3"/>
  <c r="AR782" i="3" s="1"/>
  <c r="AS782" i="3" s="1"/>
  <c r="AT782" i="3" s="1"/>
  <c r="AU782" i="3" s="1"/>
  <c r="AV782" i="3" s="1"/>
  <c r="AQ608" i="3"/>
  <c r="AP1361" i="3"/>
  <c r="AQ1361" i="3" s="1"/>
  <c r="AR1361" i="3" s="1"/>
  <c r="AO1090" i="3"/>
  <c r="AP1090" i="3" s="1"/>
  <c r="AQ1090" i="3" s="1"/>
  <c r="AM1107" i="3"/>
  <c r="AN1107" i="3" s="1"/>
  <c r="AO1107" i="3" s="1"/>
  <c r="AP1107" i="3" s="1"/>
  <c r="AQ1107" i="3" s="1"/>
  <c r="AR1107" i="3" s="1"/>
  <c r="AS1107" i="3" s="1"/>
  <c r="AT1107" i="3" s="1"/>
  <c r="AU1107" i="3" s="1"/>
  <c r="AV1107" i="3" s="1"/>
  <c r="AW1107" i="3" s="1"/>
  <c r="AX1107" i="3" s="1"/>
  <c r="AU581" i="3"/>
  <c r="AV581" i="3" s="1"/>
  <c r="AU1102" i="3"/>
  <c r="AW1102" i="3" s="1"/>
  <c r="AX1102" i="3" s="1"/>
  <c r="AP734" i="3"/>
  <c r="AQ734" i="3" s="1"/>
  <c r="AR734" i="3" s="1"/>
  <c r="AS734" i="3" s="1"/>
  <c r="AT734" i="3" s="1"/>
  <c r="AU734" i="3" s="1"/>
  <c r="AV734" i="3" s="1"/>
  <c r="AO1182" i="3"/>
  <c r="AV673" i="3"/>
  <c r="AW673" i="3" s="1"/>
  <c r="AX673" i="3" s="1"/>
  <c r="AP479" i="3"/>
  <c r="AW1109" i="3"/>
  <c r="AX1109" i="3" s="1"/>
  <c r="AP101" i="3"/>
  <c r="AS636" i="3"/>
  <c r="AT636" i="3" s="1"/>
  <c r="AU636" i="3" s="1"/>
  <c r="AV636" i="3" s="1"/>
  <c r="AW636" i="3" s="1"/>
  <c r="AX636" i="3" s="1"/>
  <c r="AT311" i="3"/>
  <c r="AQ1346" i="3"/>
  <c r="AN426" i="3"/>
  <c r="AQ1161" i="3"/>
  <c r="AR1161" i="3" s="1"/>
  <c r="AQ254" i="3"/>
  <c r="AR254" i="3" s="1"/>
  <c r="AP254" i="3"/>
  <c r="AV281" i="3"/>
  <c r="AW281" i="3" s="1"/>
  <c r="AX281" i="3" s="1"/>
  <c r="Y73" i="2"/>
  <c r="W138" i="4"/>
  <c r="AQ1390" i="3"/>
  <c r="AP1188" i="3"/>
  <c r="AQ1188" i="3" s="1"/>
  <c r="AR1188" i="3" s="1"/>
  <c r="AS1188" i="3"/>
  <c r="AT1188" i="3" s="1"/>
  <c r="AU1188" i="3" s="1"/>
  <c r="AV1188" i="3"/>
  <c r="AW1188" i="3" s="1"/>
  <c r="AX1188" i="3" s="1"/>
  <c r="AR709" i="3"/>
  <c r="AT1337" i="3"/>
  <c r="AN403" i="3"/>
  <c r="AL1412" i="3"/>
  <c r="AQ784" i="3"/>
  <c r="AR784" i="3" s="1"/>
  <c r="AS784" i="3" s="1"/>
  <c r="AT784" i="3" s="1"/>
  <c r="AU784" i="3" s="1"/>
  <c r="AV784" i="3" s="1"/>
  <c r="AW784" i="3" s="1"/>
  <c r="AX784" i="3" s="1"/>
  <c r="AM938" i="3"/>
  <c r="AW693" i="3"/>
  <c r="AX693" i="3" s="1"/>
  <c r="AN1052" i="3"/>
  <c r="AT175" i="3"/>
  <c r="AU175" i="3" s="1"/>
  <c r="AV175" i="3" s="1"/>
  <c r="AW175" i="3"/>
  <c r="AX175" i="3" s="1"/>
  <c r="AO9" i="3"/>
  <c r="AP9" i="3" s="1"/>
  <c r="AQ9" i="3" s="1"/>
  <c r="AR9" i="3" s="1"/>
  <c r="AS9" i="3" s="1"/>
  <c r="AT9" i="3" s="1"/>
  <c r="AO180" i="3"/>
  <c r="AP180" i="3" s="1"/>
  <c r="AQ180" i="3" s="1"/>
  <c r="AN1036" i="3"/>
  <c r="AQ1183" i="3"/>
  <c r="AV1329" i="3"/>
  <c r="AW1329" i="3" s="1"/>
  <c r="AX1329" i="3" s="1"/>
  <c r="AV1214" i="3"/>
  <c r="AW1214" i="3" s="1"/>
  <c r="AX1214" i="3" s="1"/>
  <c r="AQ655" i="3"/>
  <c r="AR655" i="3" s="1"/>
  <c r="AT286" i="3"/>
  <c r="AU286" i="3" s="1"/>
  <c r="AO1254" i="3"/>
  <c r="AO1060" i="3"/>
  <c r="AP1060" i="3" s="1"/>
  <c r="AO866" i="3"/>
  <c r="AP866" i="3" s="1"/>
  <c r="AQ866" i="3" s="1"/>
  <c r="AR866" i="3" s="1"/>
  <c r="AS866" i="3" s="1"/>
  <c r="AT866" i="3" s="1"/>
  <c r="AU866" i="3" s="1"/>
  <c r="AV866" i="3" s="1"/>
  <c r="AW866" i="3" s="1"/>
  <c r="AX866" i="3" s="1"/>
  <c r="AN652" i="3"/>
  <c r="AP70" i="3"/>
  <c r="AO410" i="3"/>
  <c r="U976" i="4"/>
  <c r="V973" i="4" s="1"/>
  <c r="AN923" i="3"/>
  <c r="AO650" i="3"/>
  <c r="AP181" i="3"/>
  <c r="AS660" i="3"/>
  <c r="AT660" i="3" s="1"/>
  <c r="AU660" i="3" s="1"/>
  <c r="AV660" i="3" s="1"/>
  <c r="AW660" i="3" s="1"/>
  <c r="AX660" i="3" s="1"/>
  <c r="AR571" i="3"/>
  <c r="AS571" i="3" s="1"/>
  <c r="AT571" i="3" s="1"/>
  <c r="AP531" i="3"/>
  <c r="AN1164" i="3"/>
  <c r="AQ1350" i="3"/>
  <c r="AR1350" i="3" s="1"/>
  <c r="AS1350" i="3" s="1"/>
  <c r="AT1350" i="3" s="1"/>
  <c r="AU1350" i="3" s="1"/>
  <c r="AV1350" i="3" s="1"/>
  <c r="AW1350" i="3" s="1"/>
  <c r="AX1350" i="3" s="1"/>
  <c r="AP258" i="3"/>
  <c r="AN272" i="3"/>
  <c r="AN335" i="3"/>
  <c r="AO335" i="3" s="1"/>
  <c r="AN369" i="3"/>
  <c r="AO486" i="3"/>
  <c r="AP486" i="3" s="1"/>
  <c r="AQ486" i="3" s="1"/>
  <c r="AR486" i="3" s="1"/>
  <c r="AO296" i="3"/>
  <c r="AP296" i="3" s="1"/>
  <c r="AO146" i="3"/>
  <c r="AR943" i="3"/>
  <c r="AS943" i="3" s="1"/>
  <c r="AT943" i="3" s="1"/>
  <c r="AU943" i="3" s="1"/>
  <c r="AV943" i="3" s="1"/>
  <c r="AQ1200" i="3"/>
  <c r="AS1111" i="3"/>
  <c r="AM1223" i="3"/>
  <c r="AN1176" i="3"/>
  <c r="AR523" i="3"/>
  <c r="AO390" i="3"/>
  <c r="AP390" i="3" s="1"/>
  <c r="AQ390" i="3" s="1"/>
  <c r="AR390" i="3" s="1"/>
  <c r="AS390" i="3" s="1"/>
  <c r="AT390" i="3" s="1"/>
  <c r="AU390" i="3" s="1"/>
  <c r="AQ1323" i="3"/>
  <c r="AR1323" i="3" s="1"/>
  <c r="AS1323" i="3" s="1"/>
  <c r="AP443" i="3"/>
  <c r="AQ443" i="3" s="1"/>
  <c r="AP151" i="3"/>
  <c r="AQ151" i="3" s="1"/>
  <c r="AR151" i="3" s="1"/>
  <c r="AS151" i="3" s="1"/>
  <c r="AT151" i="3" s="1"/>
  <c r="AU151" i="3" s="1"/>
  <c r="AV151" i="3" s="1"/>
  <c r="AP302" i="3"/>
  <c r="AQ302" i="3" s="1"/>
  <c r="AR302" i="3" s="1"/>
  <c r="AS302" i="3" s="1"/>
  <c r="AT302" i="3" s="1"/>
  <c r="AP28" i="3"/>
  <c r="AQ28" i="3" s="1"/>
  <c r="AR28" i="3" s="1"/>
  <c r="AS28" i="3" s="1"/>
  <c r="AT28" i="3" s="1"/>
  <c r="AU28" i="3" s="1"/>
  <c r="AV28" i="3" s="1"/>
  <c r="AW28" i="3" s="1"/>
  <c r="AX28" i="3" s="1"/>
  <c r="AR879" i="3"/>
  <c r="AS879" i="3" s="1"/>
  <c r="AT879" i="3" s="1"/>
  <c r="AU879" i="3" s="1"/>
  <c r="AV879" i="3" s="1"/>
  <c r="AW879" i="3" s="1"/>
  <c r="AX879" i="3" s="1"/>
  <c r="AP288" i="3"/>
  <c r="AM31" i="3"/>
  <c r="AN824" i="3"/>
  <c r="AO1283" i="3"/>
  <c r="AR397" i="3"/>
  <c r="AS397" i="3" s="1"/>
  <c r="AT397" i="3" s="1"/>
  <c r="AU397" i="3" s="1"/>
  <c r="AV397" i="3" s="1"/>
  <c r="AW397" i="3" s="1"/>
  <c r="AX397" i="3" s="1"/>
  <c r="AP969" i="3"/>
  <c r="AP456" i="3"/>
  <c r="AQ456" i="3"/>
  <c r="AL549" i="3"/>
  <c r="AT1213" i="3"/>
  <c r="AW550" i="3"/>
  <c r="AX550" i="3" s="1"/>
  <c r="AM184" i="3"/>
  <c r="AQ917" i="3"/>
  <c r="AR917" i="3" s="1"/>
  <c r="AS917" i="3" s="1"/>
  <c r="AT917" i="3" s="1"/>
  <c r="AU917" i="3" s="1"/>
  <c r="AV917" i="3" s="1"/>
  <c r="AW917" i="3" s="1"/>
  <c r="AX917" i="3" s="1"/>
  <c r="AO33" i="3"/>
  <c r="AP33" i="3" s="1"/>
  <c r="AQ33" i="3" s="1"/>
  <c r="AS1386" i="3"/>
  <c r="AV1386" i="3" s="1"/>
  <c r="AW1386" i="3" s="1"/>
  <c r="AX1386" i="3" s="1"/>
  <c r="AN496" i="3"/>
  <c r="AN329" i="3"/>
  <c r="AN1022" i="3"/>
  <c r="AN386" i="3"/>
  <c r="AS1178" i="3"/>
  <c r="AT1178" i="3" s="1"/>
  <c r="AU1178" i="3" s="1"/>
  <c r="AR256" i="3"/>
  <c r="AM648" i="3"/>
  <c r="AT252" i="3"/>
  <c r="AU252" i="3" s="1"/>
  <c r="AV252" i="3" s="1"/>
  <c r="AW252" i="3" s="1"/>
  <c r="AX252" i="3" s="1"/>
  <c r="AT417" i="3"/>
  <c r="AU417" i="3" s="1"/>
  <c r="AV417" i="3" s="1"/>
  <c r="AW417" i="3" s="1"/>
  <c r="AX417" i="3" s="1"/>
  <c r="X573" i="4"/>
  <c r="X575" i="4" s="1"/>
  <c r="AN639" i="3"/>
  <c r="T1098" i="4"/>
  <c r="T971" i="4"/>
  <c r="AR201" i="3"/>
  <c r="AS201" i="3" s="1"/>
  <c r="AP702" i="3"/>
  <c r="AM783" i="3"/>
  <c r="AP1035" i="3"/>
  <c r="AQ1035" i="3" s="1"/>
  <c r="AP249" i="3"/>
  <c r="AM1192" i="3"/>
  <c r="AN1192" i="3" s="1"/>
  <c r="AO1192" i="3" s="1"/>
  <c r="AP1192" i="3" s="1"/>
  <c r="AQ1192" i="3" s="1"/>
  <c r="AR1222" i="3"/>
  <c r="AP1268" i="3"/>
  <c r="V35" i="2"/>
  <c r="AO1082" i="3"/>
  <c r="AR1040" i="3"/>
  <c r="AS1040" i="3" s="1"/>
  <c r="AT1040" i="3" s="1"/>
  <c r="AU1040" i="3" s="1"/>
  <c r="AV1040" i="3" s="1"/>
  <c r="AO940" i="3"/>
  <c r="AP940" i="3" s="1"/>
  <c r="AQ940" i="3" s="1"/>
  <c r="AO1118" i="3"/>
  <c r="AN1118" i="3"/>
  <c r="AN940" i="3"/>
  <c r="AN944" i="3"/>
  <c r="AO944" i="3"/>
  <c r="AW597" i="3"/>
  <c r="AX597" i="3" s="1"/>
  <c r="AT892" i="3"/>
  <c r="AU892" i="3" s="1"/>
  <c r="AV892" i="3" s="1"/>
  <c r="AW892" i="3" s="1"/>
  <c r="AX892" i="3" s="1"/>
  <c r="AQ892" i="3"/>
  <c r="AR892" i="3" s="1"/>
  <c r="AS892" i="3" s="1"/>
  <c r="AO1036" i="3"/>
  <c r="AS270" i="3"/>
  <c r="AO554" i="3"/>
  <c r="AP119" i="3"/>
  <c r="AM1364" i="3"/>
  <c r="AV443" i="3"/>
  <c r="AW443" i="3" s="1"/>
  <c r="AX443" i="3" s="1"/>
  <c r="R519" i="4"/>
  <c r="AM510" i="3"/>
  <c r="AM488" i="3"/>
  <c r="AN325" i="3"/>
  <c r="AQ988" i="3"/>
  <c r="AR315" i="3"/>
  <c r="AS315" i="3" s="1"/>
  <c r="AT315" i="3"/>
  <c r="AU315" i="3" s="1"/>
  <c r="AV315" i="3" s="1"/>
  <c r="AW315" i="3" s="1"/>
  <c r="AX315" i="3" s="1"/>
  <c r="AQ869" i="3"/>
  <c r="AR869" i="3"/>
  <c r="AR243" i="3"/>
  <c r="AS243" i="3" s="1"/>
  <c r="AT243" i="3" s="1"/>
  <c r="AU243" i="3" s="1"/>
  <c r="AV243" i="3" s="1"/>
  <c r="AW243" i="3" s="1"/>
  <c r="AX243" i="3" s="1"/>
  <c r="AS1373" i="3"/>
  <c r="AT1373" i="3" s="1"/>
  <c r="AN240" i="3"/>
  <c r="X134" i="4"/>
  <c r="Y121" i="4"/>
  <c r="AP1161" i="3"/>
  <c r="AN364" i="3"/>
  <c r="AW782" i="3"/>
  <c r="AX782" i="3" s="1"/>
  <c r="W510" i="4"/>
  <c r="W515" i="4"/>
  <c r="W522" i="4" s="1"/>
  <c r="AU838" i="3"/>
  <c r="AV838" i="3" s="1"/>
  <c r="AW838" i="3" s="1"/>
  <c r="AX838" i="3" s="1"/>
  <c r="AO1065" i="3"/>
  <c r="AF842" i="4"/>
  <c r="AF839" i="4"/>
  <c r="AH368" i="2" s="1"/>
  <c r="AT597" i="3"/>
  <c r="AU597" i="3" s="1"/>
  <c r="AV597" i="3" s="1"/>
  <c r="AN1043" i="3"/>
  <c r="AP442" i="3"/>
  <c r="AQ442" i="3" s="1"/>
  <c r="AT566" i="3"/>
  <c r="AU566" i="3" s="1"/>
  <c r="AT1279" i="3"/>
  <c r="AU1279" i="3" s="1"/>
  <c r="AQ1279" i="3"/>
  <c r="AL1008" i="3"/>
  <c r="AR419" i="3"/>
  <c r="AS419" i="3" s="1"/>
  <c r="AT419" i="3" s="1"/>
  <c r="AW425" i="3"/>
  <c r="AX425" i="3" s="1"/>
  <c r="AL694" i="3"/>
  <c r="AR376" i="3"/>
  <c r="AN524" i="3"/>
  <c r="AU1104" i="3"/>
  <c r="AV1104" i="3" s="1"/>
  <c r="AW229" i="3"/>
  <c r="AX229" i="3" s="1"/>
  <c r="AA751" i="4"/>
  <c r="AA205" i="4"/>
  <c r="AA777" i="4"/>
  <c r="AA767" i="4"/>
  <c r="AA787" i="4"/>
  <c r="AA762" i="4"/>
  <c r="T1104" i="4"/>
  <c r="AP1036" i="3"/>
  <c r="AQ1036" i="3" s="1"/>
  <c r="AP313" i="3"/>
  <c r="AO623" i="3"/>
  <c r="AP623" i="3" s="1"/>
  <c r="AQ236" i="3"/>
  <c r="AR236" i="3" s="1"/>
  <c r="AS236" i="3" s="1"/>
  <c r="AR1204" i="3"/>
  <c r="AO301" i="3"/>
  <c r="AQ1060" i="3"/>
  <c r="AR1060" i="3" s="1"/>
  <c r="AS1060" i="3" s="1"/>
  <c r="AT1060" i="3" s="1"/>
  <c r="AU1060" i="3" s="1"/>
  <c r="AV1060" i="3" s="1"/>
  <c r="AW1060" i="3" s="1"/>
  <c r="AX1060" i="3" s="1"/>
  <c r="Y208" i="2"/>
  <c r="AP845" i="3"/>
  <c r="AR304" i="3"/>
  <c r="AO965" i="3"/>
  <c r="AM103" i="3"/>
  <c r="AU848" i="3"/>
  <c r="AV848" i="3" s="1"/>
  <c r="AU1217" i="3"/>
  <c r="AV1217" i="3" s="1"/>
  <c r="AW1217" i="3" s="1"/>
  <c r="AX1217" i="3" s="1"/>
  <c r="AQ834" i="3"/>
  <c r="AU105" i="3"/>
  <c r="AV105" i="3" s="1"/>
  <c r="AW105" i="3" s="1"/>
  <c r="AX105" i="3" s="1"/>
  <c r="AO477" i="3"/>
  <c r="AL199" i="3"/>
  <c r="AO135" i="3"/>
  <c r="AP135" i="3" s="1"/>
  <c r="AQ135" i="3" s="1"/>
  <c r="AR135" i="3" s="1"/>
  <c r="AQ258" i="3"/>
  <c r="AN515" i="3"/>
  <c r="AQ947" i="3"/>
  <c r="AR947" i="3" s="1"/>
  <c r="AM933" i="3"/>
  <c r="AT573" i="3"/>
  <c r="AU573" i="3" s="1"/>
  <c r="AL983" i="3"/>
  <c r="AS486" i="3"/>
  <c r="AT486" i="3" s="1"/>
  <c r="AU486" i="3" s="1"/>
  <c r="AV486" i="3" s="1"/>
  <c r="AW486" i="3" s="1"/>
  <c r="AX486" i="3" s="1"/>
  <c r="AA35" i="2"/>
  <c r="AR296" i="3"/>
  <c r="AM346" i="3"/>
  <c r="AV1306" i="3"/>
  <c r="AP973" i="3"/>
  <c r="AQ973" i="3" s="1"/>
  <c r="AR964" i="3"/>
  <c r="AS964" i="3" s="1"/>
  <c r="AO727" i="3"/>
  <c r="AV390" i="3"/>
  <c r="AW390" i="3" s="1"/>
  <c r="AX390" i="3" s="1"/>
  <c r="AN673" i="3"/>
  <c r="AO673" i="3" s="1"/>
  <c r="AP673" i="3" s="1"/>
  <c r="AQ673" i="3" s="1"/>
  <c r="AR673" i="3" s="1"/>
  <c r="AS673" i="3" s="1"/>
  <c r="AT673" i="3" s="1"/>
  <c r="AM155" i="3"/>
  <c r="AU1384" i="3"/>
  <c r="AV1384" i="3" s="1"/>
  <c r="AW1384" i="3" s="1"/>
  <c r="AX1384" i="3" s="1"/>
  <c r="AR42" i="3"/>
  <c r="AS42" i="3" s="1"/>
  <c r="AT42" i="3" s="1"/>
  <c r="AU42" i="3" s="1"/>
  <c r="AV42" i="3" s="1"/>
  <c r="AW42" i="3" s="1"/>
  <c r="AX42" i="3" s="1"/>
  <c r="AU774" i="3"/>
  <c r="AV774" i="3" s="1"/>
  <c r="AO1044" i="3"/>
  <c r="AQ1044" i="3" s="1"/>
  <c r="AP1262" i="3"/>
  <c r="AQ868" i="3"/>
  <c r="AR519" i="3"/>
  <c r="AU519" i="3" s="1"/>
  <c r="AV519" i="3" s="1"/>
  <c r="AN162" i="3"/>
  <c r="AO367" i="3"/>
  <c r="Y301" i="2"/>
  <c r="Y302" i="2" s="1"/>
  <c r="Y306" i="2" s="1"/>
  <c r="Z300" i="2"/>
  <c r="Z212" i="2"/>
  <c r="AN446" i="3"/>
  <c r="AP671" i="3"/>
  <c r="AO671" i="3"/>
  <c r="AS140" i="3"/>
  <c r="AN1237" i="3"/>
  <c r="AT1386" i="3"/>
  <c r="AU1386" i="3" s="1"/>
  <c r="AS912" i="3"/>
  <c r="AT912" i="3" s="1"/>
  <c r="AU912" i="3" s="1"/>
  <c r="AV912" i="3" s="1"/>
  <c r="AW912" i="3" s="1"/>
  <c r="AX912" i="3" s="1"/>
  <c r="AS914" i="3"/>
  <c r="AT914" i="3" s="1"/>
  <c r="AU914" i="3" s="1"/>
  <c r="AV914" i="3" s="1"/>
  <c r="AW914" i="3" s="1"/>
  <c r="AX914" i="3" s="1"/>
  <c r="AS814" i="3"/>
  <c r="AN1112" i="3"/>
  <c r="AO1156" i="3"/>
  <c r="AP1153" i="3"/>
  <c r="AP1295" i="3"/>
  <c r="AQ1295" i="3" s="1"/>
  <c r="AR1295" i="3" s="1"/>
  <c r="AS1295" i="3" s="1"/>
  <c r="AT1295" i="3" s="1"/>
  <c r="AU1295" i="3" s="1"/>
  <c r="AV1295" i="3" s="1"/>
  <c r="AW1295" i="3" s="1"/>
  <c r="AX1295" i="3" s="1"/>
  <c r="AM17" i="3"/>
  <c r="AP380" i="3"/>
  <c r="AP1169" i="3"/>
  <c r="AQ1169" i="3" s="1"/>
  <c r="AR846" i="3"/>
  <c r="AS846" i="3" s="1"/>
  <c r="AT846" i="3" s="1"/>
  <c r="AU846" i="3" s="1"/>
  <c r="AV846" i="3" s="1"/>
  <c r="AW846" i="3" s="1"/>
  <c r="AX846" i="3" s="1"/>
  <c r="AP280" i="3"/>
  <c r="AQ280" i="3" s="1"/>
  <c r="AR280" i="3" s="1"/>
  <c r="AS280" i="3" s="1"/>
  <c r="AT280" i="3" s="1"/>
  <c r="AQ432" i="3"/>
  <c r="AV432" i="3"/>
  <c r="AW432" i="3" s="1"/>
  <c r="AX432" i="3" s="1"/>
  <c r="AR432" i="3"/>
  <c r="AS432" i="3" s="1"/>
  <c r="AT432" i="3" s="1"/>
  <c r="AU432" i="3" s="1"/>
  <c r="Z223" i="2"/>
  <c r="Z144" i="2" s="1"/>
  <c r="AO920" i="3"/>
  <c r="AN920" i="3"/>
  <c r="AP920" i="3" s="1"/>
  <c r="R256" i="2"/>
  <c r="Q175" i="2"/>
  <c r="AN781" i="3"/>
  <c r="AW1296" i="3"/>
  <c r="AX1296" i="3" s="1"/>
  <c r="AV198" i="3"/>
  <c r="AW198" i="3" s="1"/>
  <c r="AX198" i="3" s="1"/>
  <c r="AN235" i="3"/>
  <c r="AM328" i="3"/>
  <c r="Y144" i="2"/>
  <c r="AP636" i="3"/>
  <c r="AT535" i="3"/>
  <c r="AR1061" i="3"/>
  <c r="AL705" i="3"/>
  <c r="AM705" i="3" s="1"/>
  <c r="AP207" i="3"/>
  <c r="AV873" i="3"/>
  <c r="AW873" i="3" s="1"/>
  <c r="AX873" i="3" s="1"/>
  <c r="AS873" i="3"/>
  <c r="AP464" i="3"/>
  <c r="AV882" i="3"/>
  <c r="AW882" i="3" s="1"/>
  <c r="AX882" i="3" s="1"/>
  <c r="AP1002" i="3"/>
  <c r="AQ1002" i="3"/>
  <c r="AS198" i="3"/>
  <c r="AT198" i="3" s="1"/>
  <c r="AU198" i="3" s="1"/>
  <c r="AU913" i="3"/>
  <c r="AV913" i="3" s="1"/>
  <c r="AW913" i="3" s="1"/>
  <c r="AX913" i="3" s="1"/>
  <c r="AN506" i="3"/>
  <c r="AQ756" i="3"/>
  <c r="AR756" i="3" s="1"/>
  <c r="AS756" i="3" s="1"/>
  <c r="AT756" i="3" s="1"/>
  <c r="AU756" i="3" s="1"/>
  <c r="AV756" i="3" s="1"/>
  <c r="AW756" i="3" s="1"/>
  <c r="AX756" i="3" s="1"/>
  <c r="AN296" i="3"/>
  <c r="AN589" i="3"/>
  <c r="AW1306" i="3"/>
  <c r="AX1306" i="3" s="1"/>
  <c r="AQ710" i="3"/>
  <c r="AR710" i="3" s="1"/>
  <c r="AS710" i="3" s="1"/>
  <c r="AT710" i="3" s="1"/>
  <c r="AU710" i="3" s="1"/>
  <c r="AV710" i="3" s="1"/>
  <c r="AW710" i="3" s="1"/>
  <c r="AX710" i="3" s="1"/>
  <c r="AR626" i="3"/>
  <c r="AQ592" i="3"/>
  <c r="AR592" i="3" s="1"/>
  <c r="AS592" i="3" s="1"/>
  <c r="AT592" i="3" s="1"/>
  <c r="AU592" i="3" s="1"/>
  <c r="AV592" i="3" s="1"/>
  <c r="AW592" i="3" s="1"/>
  <c r="AX592" i="3" s="1"/>
  <c r="AN1024" i="3"/>
  <c r="AO1024" i="3" s="1"/>
  <c r="AV465" i="3"/>
  <c r="AS465" i="3"/>
  <c r="AT465" i="3" s="1"/>
  <c r="AU465" i="3" s="1"/>
  <c r="AR465" i="3"/>
  <c r="AR516" i="3"/>
  <c r="AS516" i="3" s="1"/>
  <c r="AT516" i="3" s="1"/>
  <c r="AU516" i="3" s="1"/>
  <c r="AV516" i="3" s="1"/>
  <c r="AU317" i="3"/>
  <c r="AV317" i="3" s="1"/>
  <c r="AW317" i="3" s="1"/>
  <c r="AX317" i="3" s="1"/>
  <c r="V974" i="4"/>
  <c r="V1099" i="4" s="1"/>
  <c r="V1100" i="4"/>
  <c r="AQ894" i="3"/>
  <c r="AQ534" i="3"/>
  <c r="AR534" i="3" s="1"/>
  <c r="AS534" i="3" s="1"/>
  <c r="AT534" i="3" s="1"/>
  <c r="AU534" i="3" s="1"/>
  <c r="AQ914" i="3"/>
  <c r="AR914" i="3" s="1"/>
  <c r="AU1244" i="3"/>
  <c r="AS405" i="3"/>
  <c r="AT405" i="3" s="1"/>
  <c r="AU405" i="3" s="1"/>
  <c r="AV405" i="3" s="1"/>
  <c r="AW405" i="3" s="1"/>
  <c r="AX405" i="3" s="1"/>
  <c r="AR405" i="3"/>
  <c r="AM237" i="3"/>
  <c r="AP711" i="3"/>
  <c r="AS1061" i="3"/>
  <c r="AT1061" i="3" s="1"/>
  <c r="AW581" i="3"/>
  <c r="AX581" i="3" s="1"/>
  <c r="AV1102" i="3"/>
  <c r="N551" i="4"/>
  <c r="AP398" i="3"/>
  <c r="AM398" i="3"/>
  <c r="AN398" i="3" s="1"/>
  <c r="AO398" i="3" s="1"/>
  <c r="AR398" i="3" s="1"/>
  <c r="AT619" i="3"/>
  <c r="AF751" i="4"/>
  <c r="AF205" i="4"/>
  <c r="AF767" i="4"/>
  <c r="AF762" i="4"/>
  <c r="AF787" i="4"/>
  <c r="AF777" i="4"/>
  <c r="AT602" i="3"/>
  <c r="AQ1385" i="3"/>
  <c r="AQ665" i="3"/>
  <c r="AO530" i="3"/>
  <c r="AQ460" i="3"/>
  <c r="AS460" i="3" s="1"/>
  <c r="AT460" i="3"/>
  <c r="AU460" i="3" s="1"/>
  <c r="AV460" i="3" s="1"/>
  <c r="AW460" i="3" s="1"/>
  <c r="AX460" i="3" s="1"/>
  <c r="AO460" i="3"/>
  <c r="AP460" i="3" s="1"/>
  <c r="AQ772" i="3"/>
  <c r="AP772" i="3"/>
  <c r="V148" i="4"/>
  <c r="V150" i="4" s="1"/>
  <c r="W147" i="4"/>
  <c r="AQ626" i="3"/>
  <c r="AL222" i="3"/>
  <c r="AU283" i="3"/>
  <c r="AV283" i="3" s="1"/>
  <c r="AW283" i="3" s="1"/>
  <c r="AX283" i="3" s="1"/>
  <c r="AP1125" i="3"/>
  <c r="AQ1125" i="3" s="1"/>
  <c r="AR840" i="3"/>
  <c r="AS840" i="3" s="1"/>
  <c r="AT414" i="3"/>
  <c r="AU414" i="3" s="1"/>
  <c r="AP13" i="3"/>
  <c r="AQ13" i="3" s="1"/>
  <c r="AR13" i="3" s="1"/>
  <c r="AS13" i="3" s="1"/>
  <c r="AT13" i="3" s="1"/>
  <c r="AU13" i="3" s="1"/>
  <c r="AV13" i="3" s="1"/>
  <c r="AW13" i="3" s="1"/>
  <c r="AX13" i="3" s="1"/>
  <c r="AS1361" i="3"/>
  <c r="AT1361" i="3" s="1"/>
  <c r="AM227" i="3"/>
  <c r="AO154" i="3"/>
  <c r="AM167" i="3"/>
  <c r="AN1388" i="3"/>
  <c r="AS625" i="3"/>
  <c r="AT625" i="3" s="1"/>
  <c r="AN1354" i="3"/>
  <c r="AO1354" i="3"/>
  <c r="AP1354" i="3" s="1"/>
  <c r="AO551" i="3"/>
  <c r="AO672" i="3"/>
  <c r="N197" i="4"/>
  <c r="AM1099" i="3"/>
  <c r="AK1443" i="3"/>
  <c r="X219" i="2" s="1"/>
  <c r="AL679" i="3"/>
  <c r="AM679" i="3"/>
  <c r="AV39" i="3"/>
  <c r="AW39" i="3" s="1"/>
  <c r="AX39" i="3" s="1"/>
  <c r="AN226" i="3"/>
  <c r="AQ636" i="3"/>
  <c r="AR636" i="3" s="1"/>
  <c r="R534" i="4"/>
  <c r="AN634" i="3"/>
  <c r="AP1313" i="3"/>
  <c r="AS1313" i="3"/>
  <c r="AQ1313" i="3"/>
  <c r="AR1313" i="3" s="1"/>
  <c r="AR974" i="3"/>
  <c r="AN292" i="3"/>
  <c r="AM467" i="3"/>
  <c r="AO674" i="3"/>
  <c r="AP674" i="3"/>
  <c r="AQ674" i="3" s="1"/>
  <c r="AR674" i="3" s="1"/>
  <c r="AQ1211" i="3"/>
  <c r="AR1211" i="3" s="1"/>
  <c r="AA842" i="4"/>
  <c r="AA839" i="4"/>
  <c r="AC368" i="2" s="1"/>
  <c r="AO781" i="3"/>
  <c r="AP422" i="3"/>
  <c r="AO422" i="3"/>
  <c r="AS123" i="3"/>
  <c r="AQ1245" i="3"/>
  <c r="AR1245" i="3" s="1"/>
  <c r="AS1245" i="3" s="1"/>
  <c r="AT1245" i="3" s="1"/>
  <c r="AU1245" i="3" s="1"/>
  <c r="AU118" i="3"/>
  <c r="AV118" i="3" s="1"/>
  <c r="AW118" i="3" s="1"/>
  <c r="AX118" i="3" s="1"/>
  <c r="AO1012" i="3"/>
  <c r="AP1012" i="3" s="1"/>
  <c r="Q4" i="10"/>
  <c r="P7" i="10"/>
  <c r="AL1185" i="3"/>
  <c r="AM1379" i="3"/>
  <c r="AK1400" i="3"/>
  <c r="AO41" i="3"/>
  <c r="AS118" i="3"/>
  <c r="AT118" i="3" s="1"/>
  <c r="AN771" i="3"/>
  <c r="AO771" i="3"/>
  <c r="AQ1341" i="3"/>
  <c r="AR1341" i="3" s="1"/>
  <c r="AS1341" i="3" s="1"/>
  <c r="AT1341" i="3" s="1"/>
  <c r="AS558" i="3"/>
  <c r="AT558" i="3" s="1"/>
  <c r="AU558" i="3"/>
  <c r="AV558" i="3" s="1"/>
  <c r="AW558" i="3" s="1"/>
  <c r="AX558" i="3" s="1"/>
  <c r="AR558" i="3"/>
  <c r="AQ404" i="3"/>
  <c r="AQ960" i="3"/>
  <c r="AR960" i="3" s="1"/>
  <c r="AS960" i="3" s="1"/>
  <c r="AT960" i="3" s="1"/>
  <c r="AU960" i="3" s="1"/>
  <c r="AV960" i="3" s="1"/>
  <c r="AW960" i="3" s="1"/>
  <c r="AX960" i="3" s="1"/>
  <c r="AN1382" i="3"/>
  <c r="AL382" i="3"/>
  <c r="AN1173" i="3"/>
  <c r="AO645" i="3"/>
  <c r="AN268" i="3"/>
  <c r="N707" i="4"/>
  <c r="AR827" i="3"/>
  <c r="AS827" i="3" s="1"/>
  <c r="AT827" i="3" s="1"/>
  <c r="AU827" i="3" s="1"/>
  <c r="AV827" i="3" s="1"/>
  <c r="AW827" i="3" s="1"/>
  <c r="AX827" i="3" s="1"/>
  <c r="AQ827" i="3"/>
  <c r="AR124" i="3"/>
  <c r="AT359" i="3"/>
  <c r="AU359" i="3" s="1"/>
  <c r="AV359" i="3" s="1"/>
  <c r="AW359" i="3" s="1"/>
  <c r="AX359" i="3" s="1"/>
  <c r="AS359" i="3"/>
  <c r="AP1026" i="3"/>
  <c r="AQ1026" i="3" s="1"/>
  <c r="AR1026" i="3" s="1"/>
  <c r="AS1026" i="3" s="1"/>
  <c r="AT1026" i="3"/>
  <c r="AU1026" i="3" s="1"/>
  <c r="AV1026" i="3" s="1"/>
  <c r="AW1026" i="3"/>
  <c r="AX1026" i="3" s="1"/>
  <c r="AN332" i="3"/>
  <c r="AO332" i="3" s="1"/>
  <c r="AN1266" i="3"/>
  <c r="AO1266" i="3" s="1"/>
  <c r="AP1266" i="3" s="1"/>
  <c r="AQ1266" i="3" s="1"/>
  <c r="W222" i="2"/>
  <c r="AP726" i="3"/>
  <c r="AQ726" i="3" s="1"/>
  <c r="AR726" i="3" s="1"/>
  <c r="AO726" i="3"/>
  <c r="AO1353" i="3"/>
  <c r="AM1353" i="3"/>
  <c r="AP1353" i="3"/>
  <c r="AQ1353" i="3" s="1"/>
  <c r="AR1353" i="3" s="1"/>
  <c r="AS1353" i="3" s="1"/>
  <c r="AT1353" i="3" s="1"/>
  <c r="AU1353" i="3" s="1"/>
  <c r="AO948" i="3"/>
  <c r="AM831" i="3"/>
  <c r="Y231" i="2"/>
  <c r="Z232" i="2"/>
  <c r="AN195" i="3"/>
  <c r="AN155" i="3"/>
  <c r="AO155" i="3" s="1"/>
  <c r="AP155" i="3" s="1"/>
  <c r="AN1029" i="3"/>
  <c r="AN983" i="3"/>
  <c r="AT1104" i="3"/>
  <c r="AS180" i="3"/>
  <c r="AB846" i="4"/>
  <c r="AN651" i="3"/>
  <c r="AS1124" i="3"/>
  <c r="AT1124" i="3" s="1"/>
  <c r="AU1124" i="3" s="1"/>
  <c r="AV1124" i="3" s="1"/>
  <c r="AW1124" i="3" s="1"/>
  <c r="AX1124" i="3" s="1"/>
  <c r="U684" i="4"/>
  <c r="V681" i="4" s="1"/>
  <c r="AO1204" i="3"/>
  <c r="AP1204" i="3" s="1"/>
  <c r="AQ1204" i="3" s="1"/>
  <c r="AP67" i="3"/>
  <c r="AQ67" i="3" s="1"/>
  <c r="AS286" i="3"/>
  <c r="AO457" i="3"/>
  <c r="AP1116" i="3"/>
  <c r="AQ1116" i="3" s="1"/>
  <c r="AR1116" i="3" s="1"/>
  <c r="AS1116" i="3" s="1"/>
  <c r="AT1116" i="3" s="1"/>
  <c r="X147" i="2"/>
  <c r="AM695" i="3"/>
  <c r="AN695" i="3" s="1"/>
  <c r="AV259" i="3"/>
  <c r="AP1140" i="3"/>
  <c r="AT1367" i="3"/>
  <c r="AU1367" i="3" s="1"/>
  <c r="AV1367" i="3" s="1"/>
  <c r="AW1367" i="3" s="1"/>
  <c r="AX1367" i="3" s="1"/>
  <c r="AM199" i="3"/>
  <c r="AN199" i="3" s="1"/>
  <c r="AR258" i="3"/>
  <c r="AS258" i="3" s="1"/>
  <c r="AM983" i="3"/>
  <c r="AT929" i="3"/>
  <c r="AU929" i="3" s="1"/>
  <c r="AV929" i="3" s="1"/>
  <c r="AW929" i="3"/>
  <c r="AX929" i="3" s="1"/>
  <c r="AQ179" i="3"/>
  <c r="AP354" i="3"/>
  <c r="AW508" i="3"/>
  <c r="AX508" i="3" s="1"/>
  <c r="AP727" i="3"/>
  <c r="AO371" i="3"/>
  <c r="AP371" i="3" s="1"/>
  <c r="AN371" i="3"/>
  <c r="AQ85" i="3"/>
  <c r="AR498" i="3"/>
  <c r="AS614" i="3"/>
  <c r="AQ966" i="3"/>
  <c r="AR966" i="3" s="1"/>
  <c r="U726" i="4"/>
  <c r="U729" i="4" s="1"/>
  <c r="T730" i="4"/>
  <c r="AU896" i="3"/>
  <c r="AV896" i="3" s="1"/>
  <c r="AW896" i="3" s="1"/>
  <c r="AX896" i="3" s="1"/>
  <c r="AQ1141" i="3"/>
  <c r="AP438" i="3"/>
  <c r="AW809" i="3"/>
  <c r="AX809" i="3" s="1"/>
  <c r="AN689" i="3"/>
  <c r="AO689" i="3" s="1"/>
  <c r="AR894" i="3"/>
  <c r="AS1123" i="3"/>
  <c r="AT1123" i="3" s="1"/>
  <c r="AT1047" i="3"/>
  <c r="AU1047" i="3" s="1"/>
  <c r="AP575" i="3"/>
  <c r="AP817" i="3"/>
  <c r="AM1190" i="3"/>
  <c r="AN1190" i="3" s="1"/>
  <c r="AO1190" i="3" s="1"/>
  <c r="AP1190" i="3" s="1"/>
  <c r="AQ1190" i="3" s="1"/>
  <c r="AR1190" i="3" s="1"/>
  <c r="AS1190" i="3" s="1"/>
  <c r="AL1190" i="3"/>
  <c r="AM509" i="3"/>
  <c r="AP662" i="3"/>
  <c r="AQ662" i="3" s="1"/>
  <c r="AN305" i="3"/>
  <c r="W1161" i="4"/>
  <c r="W1084" i="4"/>
  <c r="W1086" i="4" s="1"/>
  <c r="X1083" i="4" s="1"/>
  <c r="W1054" i="4"/>
  <c r="W1056" i="4" s="1"/>
  <c r="X1053" i="4" s="1"/>
  <c r="W1044" i="4"/>
  <c r="W1046" i="4" s="1"/>
  <c r="X1043" i="4" s="1"/>
  <c r="W1034" i="4"/>
  <c r="W1036" i="4" s="1"/>
  <c r="X1033" i="4" s="1"/>
  <c r="W994" i="4"/>
  <c r="W996" i="4" s="1"/>
  <c r="X993" i="4" s="1"/>
  <c r="W984" i="4"/>
  <c r="W986" i="4" s="1"/>
  <c r="X983" i="4" s="1"/>
  <c r="W759" i="4"/>
  <c r="W1166" i="4"/>
  <c r="W1151" i="4"/>
  <c r="W1146" i="4"/>
  <c r="W1176" i="4"/>
  <c r="W1181" i="4"/>
  <c r="W656" i="4"/>
  <c r="W989" i="4"/>
  <c r="W991" i="4" s="1"/>
  <c r="X988" i="4" s="1"/>
  <c r="X10" i="4"/>
  <c r="W1039" i="4"/>
  <c r="W1041" i="4" s="1"/>
  <c r="X1038" i="4" s="1"/>
  <c r="W1089" i="4"/>
  <c r="W1091" i="4" s="1"/>
  <c r="X1088" i="4" s="1"/>
  <c r="W1029" i="4"/>
  <c r="W1031" i="4" s="1"/>
  <c r="X1028" i="4" s="1"/>
  <c r="W1019" i="4"/>
  <c r="W1021" i="4" s="1"/>
  <c r="X1018" i="4" s="1"/>
  <c r="W1079" i="4"/>
  <c r="W1081" i="4" s="1"/>
  <c r="X1078" i="4" s="1"/>
  <c r="W595" i="4"/>
  <c r="W1171" i="4"/>
  <c r="W1059" i="4"/>
  <c r="W1061" i="4" s="1"/>
  <c r="X1058" i="4" s="1"/>
  <c r="Y80" i="2"/>
  <c r="Y81" i="2"/>
  <c r="W820" i="4"/>
  <c r="AN31" i="3"/>
  <c r="AL715" i="3"/>
  <c r="AS148" i="3"/>
  <c r="AL911" i="3"/>
  <c r="AV814" i="3"/>
  <c r="AW814" i="3" s="1"/>
  <c r="AX814" i="3" s="1"/>
  <c r="Z191" i="2"/>
  <c r="AO46" i="3"/>
  <c r="AP46" i="3" s="1"/>
  <c r="AQ46" i="3" s="1"/>
  <c r="AR46" i="3" s="1"/>
  <c r="AS46" i="3" s="1"/>
  <c r="AT46" i="3" s="1"/>
  <c r="AM941" i="3"/>
  <c r="AN933" i="3"/>
  <c r="AO933" i="3" s="1"/>
  <c r="AO145" i="3"/>
  <c r="AR1123" i="3"/>
  <c r="AU885" i="3"/>
  <c r="AV885" i="3" s="1"/>
  <c r="AW885" i="3" s="1"/>
  <c r="AX885" i="3" s="1"/>
  <c r="AR352" i="3"/>
  <c r="AS352" i="3" s="1"/>
  <c r="AT352" i="3" s="1"/>
  <c r="AN183" i="3"/>
  <c r="AO183" i="3" s="1"/>
  <c r="AM183" i="3"/>
  <c r="AR218" i="3"/>
  <c r="AS218" i="3" s="1"/>
  <c r="AT218" i="3" s="1"/>
  <c r="AU218" i="3" s="1"/>
  <c r="AV218" i="3" s="1"/>
  <c r="AW218" i="3" s="1"/>
  <c r="AX218" i="3" s="1"/>
  <c r="AO218" i="3"/>
  <c r="AP218" i="3" s="1"/>
  <c r="AQ218" i="3" s="1"/>
  <c r="AR180" i="3"/>
  <c r="AS1183" i="3"/>
  <c r="AT1183" i="3" s="1"/>
  <c r="AU1183" i="3" s="1"/>
  <c r="AV1183" i="3"/>
  <c r="AW1183" i="3" s="1"/>
  <c r="AX1183" i="3" s="1"/>
  <c r="AN1087" i="3"/>
  <c r="AM801" i="3"/>
  <c r="AO20" i="3"/>
  <c r="AP1283" i="3"/>
  <c r="AQ1283" i="3" s="1"/>
  <c r="AR1283" i="3" s="1"/>
  <c r="AS1283" i="3" s="1"/>
  <c r="AO845" i="3"/>
  <c r="AN845" i="3"/>
  <c r="AW905" i="3"/>
  <c r="AX905" i="3" s="1"/>
  <c r="AU120" i="3"/>
  <c r="AV120" i="3" s="1"/>
  <c r="AW120" i="3" s="1"/>
  <c r="AX120" i="3" s="1"/>
  <c r="AO267" i="3"/>
  <c r="AP267" i="3" s="1"/>
  <c r="AO412" i="3"/>
  <c r="AN976" i="3"/>
  <c r="AR1027" i="3"/>
  <c r="AN1068" i="3"/>
  <c r="AO1068" i="3" s="1"/>
  <c r="AP1068" i="3" s="1"/>
  <c r="AQ1068" i="3" s="1"/>
  <c r="AN775" i="3"/>
  <c r="AP1075" i="3"/>
  <c r="AS256" i="3"/>
  <c r="AT256" i="3" s="1"/>
  <c r="AU256" i="3" s="1"/>
  <c r="AU352" i="3"/>
  <c r="AV352" i="3" s="1"/>
  <c r="AW352" i="3" s="1"/>
  <c r="AX352" i="3" s="1"/>
  <c r="AR420" i="3"/>
  <c r="AS420" i="3"/>
  <c r="AT420" i="3" s="1"/>
  <c r="AU420" i="3" s="1"/>
  <c r="AV420" i="3" s="1"/>
  <c r="AW420" i="3" s="1"/>
  <c r="AX420" i="3" s="1"/>
  <c r="AR443" i="3"/>
  <c r="AS443" i="3" s="1"/>
  <c r="AV1171" i="3"/>
  <c r="AW1171" i="3" s="1"/>
  <c r="AX1171" i="3" s="1"/>
  <c r="AS966" i="3"/>
  <c r="AT966" i="3" s="1"/>
  <c r="AU966" i="3" s="1"/>
  <c r="AV966" i="3" s="1"/>
  <c r="AW966" i="3" s="1"/>
  <c r="AX966" i="3" s="1"/>
  <c r="U751" i="4"/>
  <c r="U205" i="4"/>
  <c r="U777" i="4"/>
  <c r="U767" i="4"/>
  <c r="U787" i="4"/>
  <c r="U762" i="4"/>
  <c r="Q55" i="2"/>
  <c r="AO930" i="3"/>
  <c r="AP930" i="3" s="1"/>
  <c r="AQ1145" i="3"/>
  <c r="AQ288" i="3"/>
  <c r="AS1367" i="3"/>
  <c r="AO1372" i="3"/>
  <c r="AP788" i="3"/>
  <c r="AN658" i="3"/>
  <c r="AO658" i="3" s="1"/>
  <c r="AQ1167" i="3"/>
  <c r="AU814" i="3"/>
  <c r="AO1052" i="3"/>
  <c r="AP1052" i="3" s="1"/>
  <c r="AT173" i="3"/>
  <c r="AU173" i="3" s="1"/>
  <c r="AV173" i="3" s="1"/>
  <c r="AW173" i="3" s="1"/>
  <c r="AX173" i="3" s="1"/>
  <c r="AM1112" i="3"/>
  <c r="AS646" i="3"/>
  <c r="AM776" i="3"/>
  <c r="AD35" i="2"/>
  <c r="AO1248" i="3"/>
  <c r="X35" i="10"/>
  <c r="AP591" i="3"/>
  <c r="AO1355" i="3"/>
  <c r="AO370" i="3"/>
  <c r="AN23" i="3"/>
  <c r="AU23" i="3" s="1"/>
  <c r="AV23" i="3" s="1"/>
  <c r="AW23" i="3" s="1"/>
  <c r="AX23" i="3" s="1"/>
  <c r="AP23" i="3"/>
  <c r="AQ23" i="3" s="1"/>
  <c r="AR23" i="3"/>
  <c r="AS23" i="3" s="1"/>
  <c r="AL631" i="3"/>
  <c r="AL512" i="3"/>
  <c r="AR996" i="3"/>
  <c r="AS996" i="3" s="1"/>
  <c r="AT996" i="3" s="1"/>
  <c r="AU996" i="3" s="1"/>
  <c r="AV996" i="3" s="1"/>
  <c r="AW996" i="3" s="1"/>
  <c r="AX996" i="3" s="1"/>
  <c r="AD751" i="4"/>
  <c r="AD205" i="4"/>
  <c r="AD787" i="4"/>
  <c r="AD777" i="4"/>
  <c r="AD762" i="4"/>
  <c r="AD767" i="4"/>
  <c r="AO1239" i="3"/>
  <c r="AL830" i="3"/>
  <c r="R751" i="4"/>
  <c r="R205" i="4"/>
  <c r="R777" i="4"/>
  <c r="R787" i="4"/>
  <c r="R767" i="4"/>
  <c r="R762" i="4"/>
  <c r="AR907" i="3"/>
  <c r="AS907" i="3" s="1"/>
  <c r="AT907" i="3" s="1"/>
  <c r="AU907" i="3" s="1"/>
  <c r="AV907" i="3" s="1"/>
  <c r="AW907" i="3" s="1"/>
  <c r="AX907" i="3" s="1"/>
  <c r="AP1290" i="3"/>
  <c r="AQ1290" i="3" s="1"/>
  <c r="AR1290" i="3" s="1"/>
  <c r="AO734" i="3"/>
  <c r="AO790" i="3"/>
  <c r="AN1120" i="3"/>
  <c r="AN1004" i="3"/>
  <c r="AQ101" i="3"/>
  <c r="AU101" i="3" s="1"/>
  <c r="AV101" i="3" s="1"/>
  <c r="AO838" i="3"/>
  <c r="AP838" i="3" s="1"/>
  <c r="AQ838" i="3" s="1"/>
  <c r="AM223" i="3"/>
  <c r="AN1127" i="3"/>
  <c r="AQ1363" i="3"/>
  <c r="AR1363" i="3"/>
  <c r="AS1363" i="3" s="1"/>
  <c r="AC241" i="2"/>
  <c r="AB139" i="2"/>
  <c r="AN856" i="3"/>
  <c r="AV889" i="3"/>
  <c r="AN761" i="3"/>
  <c r="AV1339" i="3"/>
  <c r="AW1339" i="3" s="1"/>
  <c r="AX1339" i="3" s="1"/>
  <c r="AO895" i="3"/>
  <c r="AP895" i="3" s="1"/>
  <c r="AP854" i="3"/>
  <c r="AQ854" i="3" s="1"/>
  <c r="AR854" i="3" s="1"/>
  <c r="AP1325" i="3"/>
  <c r="AQ1325" i="3"/>
  <c r="AR1325" i="3" s="1"/>
  <c r="AS1325" i="3"/>
  <c r="AT1325" i="3" s="1"/>
  <c r="AU1325" i="3" s="1"/>
  <c r="AV1325" i="3" s="1"/>
  <c r="AU1101" i="3"/>
  <c r="AV1101" i="3" s="1"/>
  <c r="AW1101" i="3" s="1"/>
  <c r="AX1101" i="3" s="1"/>
  <c r="AN439" i="3"/>
  <c r="AO439" i="3" s="1"/>
  <c r="Y526" i="4"/>
  <c r="AO65" i="3"/>
  <c r="AP65" i="3" s="1"/>
  <c r="AQ65" i="3" s="1"/>
  <c r="AR65" i="3" s="1"/>
  <c r="AS65" i="3" s="1"/>
  <c r="AT65" i="3" s="1"/>
  <c r="AU65" i="3" s="1"/>
  <c r="AV65" i="3" s="1"/>
  <c r="AW65" i="3" s="1"/>
  <c r="AX65" i="3" s="1"/>
  <c r="AL877" i="3"/>
  <c r="AM877" i="3"/>
  <c r="W415" i="4"/>
  <c r="W418" i="4"/>
  <c r="AN1090" i="3"/>
  <c r="AP566" i="3"/>
  <c r="AQ566" i="3" s="1"/>
  <c r="AO566" i="3"/>
  <c r="AR566" i="3" s="1"/>
  <c r="AS566" i="3" s="1"/>
  <c r="X149" i="2"/>
  <c r="X282" i="2"/>
  <c r="X32" i="10"/>
  <c r="AO134" i="3"/>
  <c r="AN134" i="3"/>
  <c r="AO847" i="3"/>
  <c r="AO176" i="3"/>
  <c r="AP176" i="3"/>
  <c r="AM596" i="3"/>
  <c r="AN449" i="3"/>
  <c r="S519" i="4"/>
  <c r="U344" i="2" s="1"/>
  <c r="AS80" i="3"/>
  <c r="AN388" i="3"/>
  <c r="AR942" i="3"/>
  <c r="AN299" i="3"/>
  <c r="AT1368" i="3"/>
  <c r="AU1368" i="3" s="1"/>
  <c r="AV1368" i="3" s="1"/>
  <c r="AW1368" i="3" s="1"/>
  <c r="AX1368" i="3" s="1"/>
  <c r="AP172" i="3"/>
  <c r="AN127" i="3"/>
  <c r="AO1095" i="3"/>
  <c r="AP1095" i="3" s="1"/>
  <c r="AL1114" i="3"/>
  <c r="AP919" i="3"/>
  <c r="AV15" i="3"/>
  <c r="AW15" i="3" s="1"/>
  <c r="AX15" i="3" s="1"/>
  <c r="AU15" i="3"/>
  <c r="AO424" i="3"/>
  <c r="AP1249" i="3"/>
  <c r="AR514" i="3"/>
  <c r="AS514" i="3"/>
  <c r="AT514" i="3" s="1"/>
  <c r="AP750" i="3"/>
  <c r="O227" i="4"/>
  <c r="O225" i="4"/>
  <c r="O224" i="4"/>
  <c r="O226" i="4"/>
  <c r="AM521" i="3"/>
  <c r="AO468" i="3"/>
  <c r="AT931" i="3"/>
  <c r="AU931" i="3" s="1"/>
  <c r="AQ931" i="3"/>
  <c r="AR931" i="3" s="1"/>
  <c r="AS931" i="3" s="1"/>
  <c r="AR430" i="3"/>
  <c r="AS430" i="3" s="1"/>
  <c r="AT430" i="3" s="1"/>
  <c r="AO461" i="3"/>
  <c r="W1190" i="4"/>
  <c r="AQ171" i="3"/>
  <c r="AU435" i="3"/>
  <c r="AV435" i="3" s="1"/>
  <c r="AW435" i="3" s="1"/>
  <c r="AX435" i="3" s="1"/>
  <c r="AT802" i="3"/>
  <c r="AU802" i="3" s="1"/>
  <c r="AK1424" i="3"/>
  <c r="V162" i="4" s="1"/>
  <c r="AO684" i="3"/>
  <c r="AN1055" i="3"/>
  <c r="AQ748" i="3"/>
  <c r="AR748" i="3" s="1"/>
  <c r="AS748" i="3" s="1"/>
  <c r="AQ587" i="3"/>
  <c r="AR587" i="3" s="1"/>
  <c r="AS587" i="3" s="1"/>
  <c r="AT587" i="3" s="1"/>
  <c r="AU587" i="3" s="1"/>
  <c r="AV587" i="3" s="1"/>
  <c r="AW587" i="3" s="1"/>
  <c r="AX587" i="3" s="1"/>
  <c r="AP965" i="3"/>
  <c r="AP1148" i="3"/>
  <c r="AQ1148" i="3" s="1"/>
  <c r="AR1148" i="3" s="1"/>
  <c r="AS1148" i="3" s="1"/>
  <c r="AT1148" i="3" s="1"/>
  <c r="AU1148" i="3" s="1"/>
  <c r="AV1148" i="3" s="1"/>
  <c r="AP205" i="3"/>
  <c r="AQ205" i="3" s="1"/>
  <c r="AR205" i="3" s="1"/>
  <c r="AS205" i="3" s="1"/>
  <c r="AT205" i="3" s="1"/>
  <c r="AU205" i="3"/>
  <c r="AV205" i="3" s="1"/>
  <c r="AW205" i="3" s="1"/>
  <c r="AX205" i="3" s="1"/>
  <c r="AO716" i="3"/>
  <c r="AN716" i="3"/>
  <c r="AL1359" i="3"/>
  <c r="AO963" i="3"/>
  <c r="AP963" i="3"/>
  <c r="AQ963" i="3" s="1"/>
  <c r="AR963" i="3" s="1"/>
  <c r="AW1059" i="3"/>
  <c r="AX1059" i="3" s="1"/>
  <c r="AO1164" i="3"/>
  <c r="AP1234" i="3"/>
  <c r="AS97" i="3"/>
  <c r="AT97" i="3" s="1"/>
  <c r="AU97" i="3" s="1"/>
  <c r="AV97" i="3" s="1"/>
  <c r="AW97" i="3" s="1"/>
  <c r="AX97" i="3" s="1"/>
  <c r="AL1374" i="3"/>
  <c r="T842" i="4"/>
  <c r="T839" i="4"/>
  <c r="V368" i="2" s="1"/>
  <c r="AO976" i="3"/>
  <c r="AP1372" i="3"/>
  <c r="AQ1372" i="3" s="1"/>
  <c r="AR1372" i="3" s="1"/>
  <c r="AQ94" i="3"/>
  <c r="AR94" i="3" s="1"/>
  <c r="AS94" i="3" s="1"/>
  <c r="AT94" i="3" s="1"/>
  <c r="AU94" i="3" s="1"/>
  <c r="AV94" i="3" s="1"/>
  <c r="AW94" i="3" s="1"/>
  <c r="AX94" i="3" s="1"/>
  <c r="AM81" i="3"/>
  <c r="T35" i="2"/>
  <c r="AR975" i="3"/>
  <c r="AC526" i="4"/>
  <c r="AQ620" i="3"/>
  <c r="AR620" i="3" s="1"/>
  <c r="AS620" i="3" s="1"/>
  <c r="AT620" i="3" s="1"/>
  <c r="AU620" i="3" s="1"/>
  <c r="AV620" i="3" s="1"/>
  <c r="AW620" i="3" s="1"/>
  <c r="AX620" i="3" s="1"/>
  <c r="U842" i="4"/>
  <c r="U839" i="4"/>
  <c r="W368" i="2" s="1"/>
  <c r="AP793" i="3"/>
  <c r="AQ793" i="3" s="1"/>
  <c r="AR793" i="3" s="1"/>
  <c r="AS793" i="3" s="1"/>
  <c r="AP1144" i="3"/>
  <c r="AM1375" i="3"/>
  <c r="AM880" i="3"/>
  <c r="AN880" i="3" s="1"/>
  <c r="AO880" i="3" s="1"/>
  <c r="AP880" i="3" s="1"/>
  <c r="AQ880" i="3" s="1"/>
  <c r="AP150" i="3"/>
  <c r="AQ150" i="3" s="1"/>
  <c r="AR150" i="3" s="1"/>
  <c r="AS150" i="3" s="1"/>
  <c r="AN977" i="3"/>
  <c r="AN475" i="3"/>
  <c r="AP1177" i="3"/>
  <c r="AW1148" i="3"/>
  <c r="AX1148" i="3" s="1"/>
  <c r="AQ84" i="3"/>
  <c r="AR140" i="3"/>
  <c r="AO1286" i="3"/>
  <c r="AP1286" i="3" s="1"/>
  <c r="AV646" i="3"/>
  <c r="AW646" i="3" s="1"/>
  <c r="AX646" i="3" s="1"/>
  <c r="AW1207" i="3"/>
  <c r="AX1207" i="3" s="1"/>
  <c r="AN609" i="3"/>
  <c r="AO609" i="3" s="1"/>
  <c r="AP609" i="3" s="1"/>
  <c r="AQ609" i="3" s="1"/>
  <c r="AR609" i="3" s="1"/>
  <c r="AS609" i="3" s="1"/>
  <c r="AR1183" i="3"/>
  <c r="AP1106" i="3"/>
  <c r="AQ1106" i="3" s="1"/>
  <c r="AP1016" i="3"/>
  <c r="AQ1016" i="3" s="1"/>
  <c r="AO1016" i="3"/>
  <c r="AO1004" i="3"/>
  <c r="AN19" i="3"/>
  <c r="AP781" i="3"/>
  <c r="AQ781" i="3" s="1"/>
  <c r="V1222" i="4"/>
  <c r="V1234" i="4" s="1"/>
  <c r="AQ649" i="3"/>
  <c r="AS649" i="3" s="1"/>
  <c r="AT649" i="3" s="1"/>
  <c r="AU649" i="3" s="1"/>
  <c r="AV649" i="3" s="1"/>
  <c r="AW649" i="3" s="1"/>
  <c r="AX649" i="3" s="1"/>
  <c r="AS1264" i="3"/>
  <c r="AN1242" i="3"/>
  <c r="AE839" i="4"/>
  <c r="AG368" i="2" s="1"/>
  <c r="AE842" i="4"/>
  <c r="AQ934" i="3"/>
  <c r="AR18" i="3"/>
  <c r="AO131" i="3"/>
  <c r="AP1327" i="3"/>
  <c r="AO1327" i="3"/>
  <c r="AR1147" i="3"/>
  <c r="AQ452" i="3"/>
  <c r="AT837" i="3"/>
  <c r="Q551" i="4"/>
  <c r="AP815" i="3"/>
  <c r="AQ815" i="3" s="1"/>
  <c r="AO1343" i="3"/>
  <c r="AN232" i="3"/>
  <c r="AT443" i="3"/>
  <c r="AU443" i="3" s="1"/>
  <c r="Q25" i="2"/>
  <c r="AS257" i="3"/>
  <c r="R526" i="4"/>
  <c r="AW889" i="3"/>
  <c r="AX889" i="3" s="1"/>
  <c r="AO780" i="3"/>
  <c r="AN780" i="3"/>
  <c r="W526" i="4"/>
  <c r="AN131" i="3"/>
  <c r="AO796" i="3"/>
  <c r="AP796" i="3" s="1"/>
  <c r="AN796" i="3"/>
  <c r="AN811" i="3"/>
  <c r="AO811" i="3" s="1"/>
  <c r="AM811" i="3"/>
  <c r="AC842" i="4"/>
  <c r="AC839" i="4"/>
  <c r="AE368" i="2" s="1"/>
  <c r="AO448" i="3"/>
  <c r="AP448" i="3" s="1"/>
  <c r="AM1281" i="3"/>
  <c r="AN1105" i="3"/>
  <c r="AO1105" i="3" s="1"/>
  <c r="AN1179" i="3"/>
  <c r="AD839" i="4"/>
  <c r="AF368" i="2" s="1"/>
  <c r="AD842" i="4"/>
  <c r="AN957" i="3"/>
  <c r="AS769" i="3"/>
  <c r="AT769" i="3" s="1"/>
  <c r="AU769" i="3" s="1"/>
  <c r="AV769" i="3" s="1"/>
  <c r="AW769" i="3" s="1"/>
  <c r="AX769" i="3" s="1"/>
  <c r="AN1151" i="3"/>
  <c r="AQ798" i="3"/>
  <c r="AN1345" i="3"/>
  <c r="AP579" i="3"/>
  <c r="AU579" i="3" s="1"/>
  <c r="AV579" i="3"/>
  <c r="AW579" i="3" s="1"/>
  <c r="AX579" i="3" s="1"/>
  <c r="AT10" i="3"/>
  <c r="AU10" i="3" s="1"/>
  <c r="AV10" i="3" s="1"/>
  <c r="AW10" i="3" s="1"/>
  <c r="AX10" i="3" s="1"/>
  <c r="AQ293" i="3"/>
  <c r="AR293" i="3"/>
  <c r="AS293" i="3" s="1"/>
  <c r="AT293" i="3" s="1"/>
  <c r="AU293" i="3" s="1"/>
  <c r="AP293" i="3"/>
  <c r="AO293" i="3"/>
  <c r="K345" i="2"/>
  <c r="AS1255" i="3"/>
  <c r="AT1255" i="3" s="1"/>
  <c r="AU1255" i="3" s="1"/>
  <c r="AV1255" i="3" s="1"/>
  <c r="AW1255" i="3" s="1"/>
  <c r="AX1255" i="3" s="1"/>
  <c r="AM1041" i="3"/>
  <c r="AO1041" i="3" s="1"/>
  <c r="AN1041" i="3"/>
  <c r="AO1345" i="3"/>
  <c r="AL762" i="3"/>
  <c r="AN309" i="3"/>
  <c r="AQ319" i="3"/>
  <c r="AR319" i="3" s="1"/>
  <c r="AS319" i="3" s="1"/>
  <c r="AT319" i="3" s="1"/>
  <c r="AU319" i="3" s="1"/>
  <c r="AV319" i="3" s="1"/>
  <c r="AW319" i="3" s="1"/>
  <c r="AX319" i="3" s="1"/>
  <c r="AM187" i="3"/>
  <c r="S5" i="2"/>
  <c r="R278" i="2"/>
  <c r="R288" i="2"/>
  <c r="R3" i="2"/>
  <c r="R276" i="2"/>
  <c r="R289" i="2"/>
  <c r="R269" i="2"/>
  <c r="R286" i="2"/>
  <c r="R290" i="2"/>
  <c r="R279" i="2"/>
  <c r="R287" i="2"/>
  <c r="R277" i="2"/>
  <c r="R275" i="2"/>
  <c r="U510" i="4"/>
  <c r="U515" i="4"/>
  <c r="AP474" i="3"/>
  <c r="AQ474" i="3" s="1"/>
  <c r="AR474" i="3" s="1"/>
  <c r="AS474" i="3" s="1"/>
  <c r="AT474" i="3" s="1"/>
  <c r="AU474" i="3" s="1"/>
  <c r="AV474" i="3" s="1"/>
  <c r="AW474" i="3" s="1"/>
  <c r="AX474" i="3" s="1"/>
  <c r="S526" i="4"/>
  <c r="AM318" i="3"/>
  <c r="AP396" i="3"/>
  <c r="K174" i="4"/>
  <c r="K189" i="4"/>
  <c r="Z526" i="4"/>
  <c r="AP811" i="3"/>
  <c r="AQ749" i="3"/>
  <c r="AR749" i="3" s="1"/>
  <c r="V526" i="4"/>
  <c r="AQ1231" i="3"/>
  <c r="AQ1080" i="3"/>
  <c r="AQ582" i="3"/>
  <c r="AM330" i="3"/>
  <c r="AN330" i="3"/>
  <c r="AO330" i="3" s="1"/>
  <c r="AP330" i="3" s="1"/>
  <c r="AQ330" i="3" s="1"/>
  <c r="AP511" i="3"/>
  <c r="AO1030" i="3"/>
  <c r="AM668" i="3"/>
  <c r="AP285" i="3"/>
  <c r="AQ285" i="3"/>
  <c r="AR285" i="3" s="1"/>
  <c r="AU514" i="3"/>
  <c r="AV514" i="3" s="1"/>
  <c r="AW514" i="3" s="1"/>
  <c r="AX514" i="3" s="1"/>
  <c r="AR1000" i="3"/>
  <c r="AQ1360" i="3"/>
  <c r="AM1067" i="3"/>
  <c r="AP166" i="3"/>
  <c r="AQ166" i="3" s="1"/>
  <c r="AR166" i="3" s="1"/>
  <c r="AS166" i="3" s="1"/>
  <c r="AT166" i="3" s="1"/>
  <c r="AU166" i="3" s="1"/>
  <c r="AR1090" i="3"/>
  <c r="AS605" i="3"/>
  <c r="AT605" i="3" s="1"/>
  <c r="AQ518" i="3"/>
  <c r="AN109" i="3"/>
  <c r="AQ1163" i="3"/>
  <c r="AN447" i="3"/>
  <c r="AT736" i="3"/>
  <c r="AU736" i="3" s="1"/>
  <c r="AV736" i="3" s="1"/>
  <c r="AW736" i="3" s="1"/>
  <c r="AX736" i="3" s="1"/>
  <c r="AD255" i="2"/>
  <c r="AN1032" i="3"/>
  <c r="AQ857" i="3"/>
  <c r="AR857" i="3" s="1"/>
  <c r="AS857" i="3" s="1"/>
  <c r="AT857" i="3" s="1"/>
  <c r="AU857" i="3" s="1"/>
  <c r="AV857" i="3" s="1"/>
  <c r="AW857" i="3" s="1"/>
  <c r="AX857" i="3" s="1"/>
  <c r="AQ1273" i="3"/>
  <c r="AM1203" i="3"/>
  <c r="AP684" i="3"/>
  <c r="AQ684" i="3" s="1"/>
  <c r="AR684" i="3" s="1"/>
  <c r="AS684" i="3" s="1"/>
  <c r="AT684" i="3" s="1"/>
  <c r="AU684" i="3" s="1"/>
  <c r="AV684" i="3" s="1"/>
  <c r="AL337" i="3"/>
  <c r="AP58" i="3"/>
  <c r="AT58" i="3" s="1"/>
  <c r="AR928" i="3"/>
  <c r="AP7" i="3"/>
  <c r="AT1069" i="3"/>
  <c r="AU1069" i="3" s="1"/>
  <c r="AV1069" i="3" s="1"/>
  <c r="AW1069" i="3" s="1"/>
  <c r="AX1069" i="3" s="1"/>
  <c r="AP1254" i="3"/>
  <c r="AR350" i="3"/>
  <c r="AS350" i="3" s="1"/>
  <c r="AT350" i="3" s="1"/>
  <c r="AU350" i="3" s="1"/>
  <c r="AV350" i="3" s="1"/>
  <c r="AW350" i="3" s="1"/>
  <c r="AX350" i="3" s="1"/>
  <c r="AO190" i="3"/>
  <c r="AP190" i="3" s="1"/>
  <c r="AN725" i="3"/>
  <c r="AN746" i="3"/>
  <c r="AO746" i="3" s="1"/>
  <c r="AM1374" i="3"/>
  <c r="AN1374" i="3" s="1"/>
  <c r="AO1374" i="3" s="1"/>
  <c r="AP1374" i="3" s="1"/>
  <c r="AT356" i="3"/>
  <c r="AU356" i="3" s="1"/>
  <c r="AV356" i="3"/>
  <c r="AW356" i="3" s="1"/>
  <c r="AX356" i="3" s="1"/>
  <c r="AR356" i="3"/>
  <c r="AS356" i="3" s="1"/>
  <c r="AP819" i="3"/>
  <c r="AQ819" i="3" s="1"/>
  <c r="AR819" i="3" s="1"/>
  <c r="AM1267" i="3"/>
  <c r="AT646" i="3"/>
  <c r="AU646" i="3" s="1"/>
  <c r="AP976" i="3"/>
  <c r="AN1274" i="3"/>
  <c r="AT654" i="3"/>
  <c r="AQ654" i="3"/>
  <c r="AR654" i="3" s="1"/>
  <c r="AS654" i="3" s="1"/>
  <c r="AO1348" i="3"/>
  <c r="AP1348" i="3" s="1"/>
  <c r="AN1347" i="3"/>
  <c r="AO1347" i="3" s="1"/>
  <c r="AR497" i="3"/>
  <c r="AN1063" i="3"/>
  <c r="AS247" i="3"/>
  <c r="AT247" i="3" s="1"/>
  <c r="AU247" i="3" s="1"/>
  <c r="AV247" i="3" s="1"/>
  <c r="AW247" i="3" s="1"/>
  <c r="AX247" i="3" s="1"/>
  <c r="AQ1302" i="3"/>
  <c r="AN1375" i="3"/>
  <c r="AS894" i="3"/>
  <c r="AT894" i="3" s="1"/>
  <c r="AU894" i="3" s="1"/>
  <c r="AV894" i="3" s="1"/>
  <c r="AW894" i="3" s="1"/>
  <c r="AX894" i="3" s="1"/>
  <c r="AN484" i="3"/>
  <c r="AP476" i="3"/>
  <c r="AK1392" i="3"/>
  <c r="AV701" i="3"/>
  <c r="AW701" i="3" s="1"/>
  <c r="AX701" i="3" s="1"/>
  <c r="AN239" i="3"/>
  <c r="AP201" i="3"/>
  <c r="AQ201" i="3" s="1"/>
  <c r="AN275" i="3"/>
  <c r="AT140" i="3"/>
  <c r="AU140" i="3" s="1"/>
  <c r="AV140" i="3" s="1"/>
  <c r="AN971" i="3"/>
  <c r="AO454" i="3"/>
  <c r="AP574" i="3"/>
  <c r="V751" i="4"/>
  <c r="V205" i="4"/>
  <c r="V777" i="4"/>
  <c r="V762" i="4"/>
  <c r="V787" i="4"/>
  <c r="V767" i="4"/>
  <c r="AO667" i="3"/>
  <c r="AP667" i="3" s="1"/>
  <c r="AQ667" i="3"/>
  <c r="AR667" i="3" s="1"/>
  <c r="AS667" i="3" s="1"/>
  <c r="AT667" i="3" s="1"/>
  <c r="AU667" i="3" s="1"/>
  <c r="AV667" i="3" s="1"/>
  <c r="AW667" i="3" s="1"/>
  <c r="AX667" i="3" s="1"/>
  <c r="AQ102" i="3"/>
  <c r="AO932" i="3"/>
  <c r="AM89" i="3"/>
  <c r="Z331" i="2" l="1"/>
  <c r="AA329" i="2"/>
  <c r="AA227" i="2"/>
  <c r="Z332" i="2"/>
  <c r="Z333" i="2" s="1"/>
  <c r="V139" i="4"/>
  <c r="V177" i="4" s="1"/>
  <c r="X413" i="4"/>
  <c r="X419" i="4" s="1"/>
  <c r="X515" i="4" s="1"/>
  <c r="X522" i="4" s="1"/>
  <c r="V510" i="4"/>
  <c r="W156" i="4"/>
  <c r="Y78" i="2" s="1"/>
  <c r="W143" i="4"/>
  <c r="W144" i="4" s="1"/>
  <c r="X75" i="2"/>
  <c r="X157" i="2" s="1"/>
  <c r="T49" i="4"/>
  <c r="R49" i="4"/>
  <c r="T845" i="4"/>
  <c r="T848" i="4" s="1"/>
  <c r="V95" i="2"/>
  <c r="V184" i="4"/>
  <c r="V218" i="4" s="1"/>
  <c r="U95" i="2"/>
  <c r="K75" i="2"/>
  <c r="I75" i="2" s="1"/>
  <c r="AI100" i="2"/>
  <c r="T95" i="2"/>
  <c r="S70" i="4"/>
  <c r="W137" i="4"/>
  <c r="Y69" i="2" s="1"/>
  <c r="W93" i="4"/>
  <c r="W178" i="4" s="1"/>
  <c r="X10" i="2"/>
  <c r="X9" i="2" s="1"/>
  <c r="V1257" i="4"/>
  <c r="V1262" i="4" s="1"/>
  <c r="V1267" i="4" s="1"/>
  <c r="Y68" i="2"/>
  <c r="T306" i="4"/>
  <c r="T309" i="4" s="1"/>
  <c r="AG1242" i="4"/>
  <c r="AG1247" i="4" s="1"/>
  <c r="AG1252" i="4" s="1"/>
  <c r="V157" i="2"/>
  <c r="Z1242" i="4"/>
  <c r="Z1247" i="4" s="1"/>
  <c r="Z1252" i="4" s="1"/>
  <c r="Y1242" i="4"/>
  <c r="Y1247" i="4" s="1"/>
  <c r="Y1252" i="4" s="1"/>
  <c r="X1242" i="4"/>
  <c r="X1247" i="4" s="1"/>
  <c r="X1252" i="4" s="1"/>
  <c r="X117" i="4"/>
  <c r="W1242" i="4"/>
  <c r="W1247" i="4" s="1"/>
  <c r="W1252" i="4" s="1"/>
  <c r="AF1242" i="4"/>
  <c r="AF1247" i="4" s="1"/>
  <c r="AF1252" i="4" s="1"/>
  <c r="AB1242" i="4"/>
  <c r="AB1247" i="4" s="1"/>
  <c r="AB1252" i="4" s="1"/>
  <c r="U186" i="4"/>
  <c r="AD1242" i="4"/>
  <c r="AD1247" i="4" s="1"/>
  <c r="AD1252" i="4" s="1"/>
  <c r="U1242" i="4"/>
  <c r="U1247" i="4" s="1"/>
  <c r="U1252" i="4" s="1"/>
  <c r="W95" i="2" s="1"/>
  <c r="AE1242" i="4"/>
  <c r="AE1247" i="4" s="1"/>
  <c r="AE1252" i="4" s="1"/>
  <c r="AA1242" i="4"/>
  <c r="AA1247" i="4" s="1"/>
  <c r="AA1252" i="4" s="1"/>
  <c r="AC1242" i="4"/>
  <c r="AC1247" i="4" s="1"/>
  <c r="AC1252" i="4" s="1"/>
  <c r="V1242" i="4"/>
  <c r="V1247" i="4" s="1"/>
  <c r="V1252" i="4" s="1"/>
  <c r="V380" i="2"/>
  <c r="X336" i="2"/>
  <c r="V80" i="4"/>
  <c r="V84" i="4" s="1"/>
  <c r="W157" i="2"/>
  <c r="AA411" i="4"/>
  <c r="AA31" i="10"/>
  <c r="AB31" i="10" s="1"/>
  <c r="X799" i="4"/>
  <c r="X801" i="4" s="1"/>
  <c r="X803" i="4" s="1"/>
  <c r="X821" i="4" s="1"/>
  <c r="X870" i="4" s="1"/>
  <c r="Z54" i="2" s="1"/>
  <c r="AB118" i="10"/>
  <c r="AB114" i="4"/>
  <c r="Z112" i="4"/>
  <c r="Z116" i="10"/>
  <c r="AF113" i="10"/>
  <c r="AG109" i="4" s="1"/>
  <c r="AF109" i="4"/>
  <c r="Y117" i="10"/>
  <c r="Y113" i="4"/>
  <c r="Y111" i="10"/>
  <c r="Y107" i="4"/>
  <c r="Y115" i="10"/>
  <c r="Y111" i="4"/>
  <c r="W142" i="2"/>
  <c r="K142" i="2" s="1"/>
  <c r="P226" i="4"/>
  <c r="P806" i="4" s="1"/>
  <c r="P823" i="4" s="1"/>
  <c r="U380" i="2"/>
  <c r="W799" i="4"/>
  <c r="W801" i="4" s="1"/>
  <c r="W803" i="4" s="1"/>
  <c r="W821" i="4" s="1"/>
  <c r="W870" i="4" s="1"/>
  <c r="Y54" i="2" s="1"/>
  <c r="U179" i="4"/>
  <c r="P225" i="4"/>
  <c r="P642" i="4" s="1"/>
  <c r="P659" i="4" s="1"/>
  <c r="V382" i="2"/>
  <c r="T70" i="4"/>
  <c r="T370" i="4"/>
  <c r="T373" i="4" s="1"/>
  <c r="T202" i="4"/>
  <c r="T221" i="4" s="1"/>
  <c r="T200" i="4" s="1"/>
  <c r="R202" i="4"/>
  <c r="R230" i="4" s="1"/>
  <c r="R643" i="4" s="1"/>
  <c r="R660" i="4" s="1"/>
  <c r="R290" i="4"/>
  <c r="R293" i="4" s="1"/>
  <c r="AG799" i="4"/>
  <c r="AG801" i="4" s="1"/>
  <c r="V84" i="2"/>
  <c r="V1235" i="4"/>
  <c r="T290" i="4"/>
  <c r="T293" i="4" s="1"/>
  <c r="T50" i="4"/>
  <c r="T188" i="4"/>
  <c r="T238" i="4" s="1"/>
  <c r="T179" i="4"/>
  <c r="T180" i="4" s="1"/>
  <c r="T338" i="4"/>
  <c r="T341" i="4" s="1"/>
  <c r="K225" i="4"/>
  <c r="K642" i="4" s="1"/>
  <c r="K659" i="4" s="1"/>
  <c r="R338" i="4"/>
  <c r="R341" i="4" s="1"/>
  <c r="R306" i="4"/>
  <c r="R309" i="4" s="1"/>
  <c r="K226" i="4"/>
  <c r="K247" i="4" s="1"/>
  <c r="K227" i="4"/>
  <c r="K945" i="4" s="1"/>
  <c r="L197" i="4"/>
  <c r="R173" i="4"/>
  <c r="R181" i="4" s="1"/>
  <c r="R188" i="4"/>
  <c r="Z799" i="4"/>
  <c r="Z801" i="4" s="1"/>
  <c r="R179" i="4"/>
  <c r="AB799" i="4"/>
  <c r="AB801" i="4" s="1"/>
  <c r="M197" i="4"/>
  <c r="P227" i="4"/>
  <c r="P945" i="4" s="1"/>
  <c r="W74" i="4"/>
  <c r="W76" i="4" s="1"/>
  <c r="W67" i="4"/>
  <c r="AU430" i="3"/>
  <c r="AV430" i="3"/>
  <c r="AW430" i="3" s="1"/>
  <c r="AX430" i="3" s="1"/>
  <c r="AP332" i="3"/>
  <c r="AQ332" i="3" s="1"/>
  <c r="AS357" i="3"/>
  <c r="AT357" i="3" s="1"/>
  <c r="AP1092" i="3"/>
  <c r="AQ1092" i="3" s="1"/>
  <c r="AR1092" i="3" s="1"/>
  <c r="AS1092" i="3" s="1"/>
  <c r="AT1092" i="3" s="1"/>
  <c r="AU1092" i="3" s="1"/>
  <c r="AV1092" i="3" s="1"/>
  <c r="AW1092" i="3" s="1"/>
  <c r="AX1092" i="3" s="1"/>
  <c r="AP647" i="3"/>
  <c r="AQ647" i="3" s="1"/>
  <c r="AR647" i="3" s="1"/>
  <c r="AS647" i="3" s="1"/>
  <c r="AT647" i="3" s="1"/>
  <c r="AU647" i="3" s="1"/>
  <c r="AV647" i="3" s="1"/>
  <c r="AW647" i="3" s="1"/>
  <c r="AX647" i="3" s="1"/>
  <c r="AU493" i="3"/>
  <c r="AV493" i="3" s="1"/>
  <c r="AW493" i="3"/>
  <c r="AX493" i="3" s="1"/>
  <c r="AV921" i="3"/>
  <c r="AW921" i="3"/>
  <c r="AX921" i="3" s="1"/>
  <c r="AU808" i="3"/>
  <c r="AV808" i="3" s="1"/>
  <c r="AW808" i="3" s="1"/>
  <c r="AX808" i="3" s="1"/>
  <c r="AR176" i="3"/>
  <c r="AS176" i="3" s="1"/>
  <c r="AT176" i="3" s="1"/>
  <c r="AU176" i="3" s="1"/>
  <c r="AV176" i="3" s="1"/>
  <c r="AW176" i="3" s="1"/>
  <c r="AX176" i="3" s="1"/>
  <c r="AP395" i="3"/>
  <c r="AQ395" i="3" s="1"/>
  <c r="AR395" i="3" s="1"/>
  <c r="AR551" i="3"/>
  <c r="AS551" i="3" s="1"/>
  <c r="AT551" i="3" s="1"/>
  <c r="AU551" i="3" s="1"/>
  <c r="AV551" i="3" s="1"/>
  <c r="AW551" i="3" s="1"/>
  <c r="AX551" i="3" s="1"/>
  <c r="AQ1094" i="3"/>
  <c r="AR1094" i="3" s="1"/>
  <c r="AS1094" i="3" s="1"/>
  <c r="AT1094" i="3"/>
  <c r="AN705" i="3"/>
  <c r="AO705" i="3" s="1"/>
  <c r="AP705" i="3" s="1"/>
  <c r="AQ705" i="3" s="1"/>
  <c r="AR705" i="3" s="1"/>
  <c r="AS705" i="3" s="1"/>
  <c r="AT705" i="3" s="1"/>
  <c r="AU705" i="3" s="1"/>
  <c r="AV705" i="3" s="1"/>
  <c r="AW705" i="3" s="1"/>
  <c r="AX705" i="3" s="1"/>
  <c r="AR347" i="3"/>
  <c r="AS347" i="3" s="1"/>
  <c r="AT347" i="3" s="1"/>
  <c r="AU347" i="3" s="1"/>
  <c r="AV347" i="3" s="1"/>
  <c r="AW347" i="3" s="1"/>
  <c r="AX347" i="3" s="1"/>
  <c r="AR970" i="3"/>
  <c r="AS970" i="3" s="1"/>
  <c r="AT970" i="3" s="1"/>
  <c r="AU970" i="3" s="1"/>
  <c r="AV970" i="3" s="1"/>
  <c r="AW970" i="3" s="1"/>
  <c r="AX970" i="3" s="1"/>
  <c r="AS398" i="3"/>
  <c r="AT398" i="3" s="1"/>
  <c r="AU398" i="3" s="1"/>
  <c r="AV398" i="3" s="1"/>
  <c r="AW398" i="3"/>
  <c r="AX398" i="3" s="1"/>
  <c r="AR926" i="3"/>
  <c r="AS926" i="3" s="1"/>
  <c r="AT926" i="3" s="1"/>
  <c r="AU926" i="3" s="1"/>
  <c r="AV926" i="3" s="1"/>
  <c r="AW926" i="3" s="1"/>
  <c r="AX926" i="3" s="1"/>
  <c r="AQ121" i="3"/>
  <c r="AR121" i="3" s="1"/>
  <c r="AS121" i="3" s="1"/>
  <c r="AT121" i="3" s="1"/>
  <c r="AU121" i="3" s="1"/>
  <c r="AV121" i="3" s="1"/>
  <c r="AW121" i="3" s="1"/>
  <c r="AX121" i="3" s="1"/>
  <c r="AT608" i="3"/>
  <c r="AV682" i="3"/>
  <c r="AW682" i="3" s="1"/>
  <c r="AX682" i="3" s="1"/>
  <c r="AW316" i="3"/>
  <c r="AX316" i="3" s="1"/>
  <c r="AU1218" i="3"/>
  <c r="AV1218" i="3" s="1"/>
  <c r="AW1218" i="3" s="1"/>
  <c r="AX1218" i="3" s="1"/>
  <c r="AR181" i="3"/>
  <c r="AS181" i="3" s="1"/>
  <c r="AT181" i="3" s="1"/>
  <c r="AT1346" i="3"/>
  <c r="AU1346" i="3" s="1"/>
  <c r="AV1346" i="3" s="1"/>
  <c r="AW1346" i="3" s="1"/>
  <c r="AX1346" i="3" s="1"/>
  <c r="AP1098" i="3"/>
  <c r="AQ1098" i="3" s="1"/>
  <c r="AR1098" i="3" s="1"/>
  <c r="AS1098" i="3" s="1"/>
  <c r="AT1098" i="3" s="1"/>
  <c r="AU1098" i="3" s="1"/>
  <c r="AV1098" i="3" s="1"/>
  <c r="AW1098" i="3" s="1"/>
  <c r="AX1098" i="3" s="1"/>
  <c r="AU404" i="3"/>
  <c r="AV404" i="3" s="1"/>
  <c r="AW404" i="3" s="1"/>
  <c r="AX404" i="3" s="1"/>
  <c r="AR1256" i="3"/>
  <c r="AS1256" i="3"/>
  <c r="AT1256" i="3" s="1"/>
  <c r="AU1256" i="3" s="1"/>
  <c r="AV1256" i="3" s="1"/>
  <c r="AW1256" i="3" s="1"/>
  <c r="AX1256" i="3" s="1"/>
  <c r="AS723" i="3"/>
  <c r="AP413" i="3"/>
  <c r="AQ413" i="3" s="1"/>
  <c r="AR413" i="3" s="1"/>
  <c r="AS413" i="3" s="1"/>
  <c r="AT413" i="3" s="1"/>
  <c r="AU413" i="3" s="1"/>
  <c r="AV413" i="3" s="1"/>
  <c r="AW413" i="3" s="1"/>
  <c r="AX413" i="3" s="1"/>
  <c r="AP484" i="3"/>
  <c r="AQ484" i="3" s="1"/>
  <c r="AR484" i="3" s="1"/>
  <c r="AS484" i="3" s="1"/>
  <c r="AT484" i="3" s="1"/>
  <c r="AU484" i="3" s="1"/>
  <c r="AV484" i="3" s="1"/>
  <c r="AW484" i="3" s="1"/>
  <c r="AX484" i="3" s="1"/>
  <c r="AU605" i="3"/>
  <c r="AV605" i="3" s="1"/>
  <c r="AW605" i="3" s="1"/>
  <c r="AX605" i="3" s="1"/>
  <c r="AR1169" i="3"/>
  <c r="AS1169" i="3" s="1"/>
  <c r="AT1169" i="3"/>
  <c r="AU1169" i="3" s="1"/>
  <c r="AV1169" i="3" s="1"/>
  <c r="AW1169" i="3" s="1"/>
  <c r="AX1169" i="3" s="1"/>
  <c r="AQ214" i="3"/>
  <c r="AR214" i="3" s="1"/>
  <c r="AS214" i="3" s="1"/>
  <c r="AT214" i="3" s="1"/>
  <c r="AU214" i="3" s="1"/>
  <c r="AV214" i="3" s="1"/>
  <c r="AW214" i="3" s="1"/>
  <c r="AX214" i="3" s="1"/>
  <c r="AV153" i="3"/>
  <c r="AW153" i="3" s="1"/>
  <c r="AX153" i="3" s="1"/>
  <c r="AT86" i="3"/>
  <c r="AU86" i="3" s="1"/>
  <c r="AP183" i="3"/>
  <c r="AQ183" i="3" s="1"/>
  <c r="AR183" i="3"/>
  <c r="AS183" i="3" s="1"/>
  <c r="AT183" i="3" s="1"/>
  <c r="AU183" i="3" s="1"/>
  <c r="AV183" i="3" s="1"/>
  <c r="AW183" i="3" s="1"/>
  <c r="AX183" i="3" s="1"/>
  <c r="AQ851" i="3"/>
  <c r="AV1373" i="3"/>
  <c r="AW1373" i="3" s="1"/>
  <c r="AX1373" i="3" s="1"/>
  <c r="AU1373" i="3"/>
  <c r="AT1338" i="3"/>
  <c r="AU1338" i="3" s="1"/>
  <c r="AV1338" i="3" s="1"/>
  <c r="AW1338" i="3" s="1"/>
  <c r="AX1338" i="3" s="1"/>
  <c r="AP933" i="3"/>
  <c r="AQ933" i="3" s="1"/>
  <c r="AR933" i="3" s="1"/>
  <c r="AS933" i="3" s="1"/>
  <c r="AT933" i="3" s="1"/>
  <c r="AU933" i="3" s="1"/>
  <c r="AV933" i="3" s="1"/>
  <c r="AW933" i="3" s="1"/>
  <c r="AX933" i="3" s="1"/>
  <c r="AO695" i="3"/>
  <c r="AQ1389" i="3"/>
  <c r="AR1389" i="3" s="1"/>
  <c r="AS1389" i="3" s="1"/>
  <c r="AT1389" i="3" s="1"/>
  <c r="AU1389" i="3" s="1"/>
  <c r="AV1389" i="3" s="1"/>
  <c r="AW1389" i="3" s="1"/>
  <c r="AX1389" i="3" s="1"/>
  <c r="AR683" i="3"/>
  <c r="AS683" i="3" s="1"/>
  <c r="AS765" i="3"/>
  <c r="AT765" i="3" s="1"/>
  <c r="AU765" i="3" s="1"/>
  <c r="AQ796" i="3"/>
  <c r="AR796" i="3"/>
  <c r="AS796" i="3" s="1"/>
  <c r="AT796" i="3" s="1"/>
  <c r="AU796" i="3" s="1"/>
  <c r="AV796" i="3" s="1"/>
  <c r="AW796" i="3" s="1"/>
  <c r="AX796" i="3" s="1"/>
  <c r="AQ457" i="3"/>
  <c r="AR457" i="3" s="1"/>
  <c r="AS457" i="3" s="1"/>
  <c r="AT457" i="3" s="1"/>
  <c r="AR403" i="3"/>
  <c r="AS403" i="3" s="1"/>
  <c r="AR1041" i="3"/>
  <c r="AS1041" i="3" s="1"/>
  <c r="AT1041" i="3" s="1"/>
  <c r="AU1041" i="3" s="1"/>
  <c r="AV1041" i="3" s="1"/>
  <c r="AW1041" i="3" s="1"/>
  <c r="AX1041" i="3" s="1"/>
  <c r="AT226" i="3"/>
  <c r="AU226" i="3" s="1"/>
  <c r="AV226" i="3" s="1"/>
  <c r="AW226" i="3" s="1"/>
  <c r="AX226" i="3" s="1"/>
  <c r="AV313" i="3"/>
  <c r="AW313" i="3" s="1"/>
  <c r="AX313" i="3" s="1"/>
  <c r="AU419" i="3"/>
  <c r="AV419" i="3" s="1"/>
  <c r="AW419" i="3"/>
  <c r="AX419" i="3" s="1"/>
  <c r="AQ1285" i="3"/>
  <c r="AR1285" i="3" s="1"/>
  <c r="AS1285" i="3" s="1"/>
  <c r="AT1285" i="3" s="1"/>
  <c r="AU1285" i="3" s="1"/>
  <c r="AV1285" i="3" s="1"/>
  <c r="AW1285" i="3" s="1"/>
  <c r="AX1285" i="3" s="1"/>
  <c r="AS749" i="3"/>
  <c r="AT749" i="3" s="1"/>
  <c r="AU749" i="3"/>
  <c r="AV749" i="3" s="1"/>
  <c r="AW749" i="3" s="1"/>
  <c r="AX749" i="3" s="1"/>
  <c r="AW684" i="3"/>
  <c r="AX684" i="3" s="1"/>
  <c r="AS471" i="3"/>
  <c r="AT471" i="3" s="1"/>
  <c r="AU471" i="3" s="1"/>
  <c r="AV471" i="3" s="1"/>
  <c r="AQ445" i="3"/>
  <c r="AR445" i="3" s="1"/>
  <c r="AS445" i="3" s="1"/>
  <c r="AT445" i="3" s="1"/>
  <c r="AW445" i="3"/>
  <c r="AX445" i="3" s="1"/>
  <c r="AU228" i="3"/>
  <c r="AV228" i="3" s="1"/>
  <c r="AW228" i="3" s="1"/>
  <c r="AX228" i="3" s="1"/>
  <c r="AQ1374" i="3"/>
  <c r="AR1374" i="3" s="1"/>
  <c r="AS1374" i="3" s="1"/>
  <c r="AT1374" i="3" s="1"/>
  <c r="AU1374" i="3" s="1"/>
  <c r="AV1374" i="3" s="1"/>
  <c r="AW1374" i="3" s="1"/>
  <c r="AX1374" i="3" s="1"/>
  <c r="AT840" i="3"/>
  <c r="AU840" i="3" s="1"/>
  <c r="AV840" i="3" s="1"/>
  <c r="AW840" i="3" s="1"/>
  <c r="AX840" i="3" s="1"/>
  <c r="AR600" i="3"/>
  <c r="AS600" i="3" s="1"/>
  <c r="AT600" i="3" s="1"/>
  <c r="AU600" i="3"/>
  <c r="AV600" i="3" s="1"/>
  <c r="AW600" i="3" s="1"/>
  <c r="AX600" i="3" s="1"/>
  <c r="AQ160" i="3"/>
  <c r="AR160" i="3" s="1"/>
  <c r="AS160" i="3" s="1"/>
  <c r="AT160" i="3" s="1"/>
  <c r="AU160" i="3" s="1"/>
  <c r="AV160" i="3" s="1"/>
  <c r="AW160" i="3" s="1"/>
  <c r="AX160" i="3" s="1"/>
  <c r="AP746" i="3"/>
  <c r="AQ746" i="3"/>
  <c r="AR746" i="3" s="1"/>
  <c r="AS746" i="3" s="1"/>
  <c r="AT746" i="3" s="1"/>
  <c r="AU746" i="3" s="1"/>
  <c r="AV746" i="3" s="1"/>
  <c r="AW746" i="3" s="1"/>
  <c r="AX746" i="3" s="1"/>
  <c r="AU1363" i="3"/>
  <c r="AV1363" i="3" s="1"/>
  <c r="AT1363" i="3"/>
  <c r="AT1259" i="3"/>
  <c r="AU1259" i="3" s="1"/>
  <c r="AV1259" i="3" s="1"/>
  <c r="AW1259" i="3" s="1"/>
  <c r="AX1259" i="3" s="1"/>
  <c r="AW554" i="3"/>
  <c r="AX554" i="3" s="1"/>
  <c r="AQ196" i="3"/>
  <c r="AR196" i="3" s="1"/>
  <c r="AS196" i="3" s="1"/>
  <c r="AT196" i="3" s="1"/>
  <c r="AU196" i="3" s="1"/>
  <c r="AV196" i="3" s="1"/>
  <c r="AW196" i="3" s="1"/>
  <c r="AX196" i="3" s="1"/>
  <c r="AQ1139" i="3"/>
  <c r="AS102" i="3"/>
  <c r="AV725" i="3"/>
  <c r="AW725" i="3" s="1"/>
  <c r="AX725" i="3" s="1"/>
  <c r="AO725" i="3"/>
  <c r="AP725" i="3"/>
  <c r="AQ725" i="3" s="1"/>
  <c r="AR725" i="3" s="1"/>
  <c r="AS725" i="3" s="1"/>
  <c r="AT725" i="3" s="1"/>
  <c r="AU725" i="3" s="1"/>
  <c r="AU761" i="3"/>
  <c r="AV761" i="3" s="1"/>
  <c r="AW761" i="3" s="1"/>
  <c r="AX761" i="3" s="1"/>
  <c r="AO761" i="3"/>
  <c r="AP761" i="3" s="1"/>
  <c r="AQ761" i="3" s="1"/>
  <c r="AR761" i="3" s="1"/>
  <c r="AS761" i="3" s="1"/>
  <c r="AT761" i="3" s="1"/>
  <c r="AR688" i="3"/>
  <c r="AS688" i="3" s="1"/>
  <c r="AT688" i="3" s="1"/>
  <c r="AU688" i="3" s="1"/>
  <c r="AV688" i="3" s="1"/>
  <c r="AW688" i="3"/>
  <c r="AX688" i="3" s="1"/>
  <c r="V684" i="4"/>
  <c r="W681" i="4" s="1"/>
  <c r="AS674" i="3"/>
  <c r="Z208" i="2"/>
  <c r="Z147" i="2" s="1"/>
  <c r="AS456" i="3"/>
  <c r="AT456" i="3" s="1"/>
  <c r="AR456" i="3"/>
  <c r="AO507" i="3"/>
  <c r="AP507" i="3" s="1"/>
  <c r="AQ507" i="3" s="1"/>
  <c r="AR507" i="3" s="1"/>
  <c r="AS507" i="3" s="1"/>
  <c r="AT507" i="3" s="1"/>
  <c r="AU507" i="3" s="1"/>
  <c r="AV507" i="3" s="1"/>
  <c r="AW507" i="3" s="1"/>
  <c r="AX507" i="3" s="1"/>
  <c r="AW945" i="3"/>
  <c r="AX945" i="3" s="1"/>
  <c r="AW1221" i="3"/>
  <c r="AX1221" i="3" s="1"/>
  <c r="AQ1091" i="3"/>
  <c r="AT1091" i="3"/>
  <c r="AU1091" i="3" s="1"/>
  <c r="AV1091" i="3" s="1"/>
  <c r="AW1091" i="3" s="1"/>
  <c r="AX1091" i="3" s="1"/>
  <c r="AR1091" i="3"/>
  <c r="AS1091" i="3" s="1"/>
  <c r="AQ811" i="3"/>
  <c r="AO977" i="3"/>
  <c r="AP977" i="3" s="1"/>
  <c r="AQ977" i="3" s="1"/>
  <c r="AR977" i="3"/>
  <c r="AS977" i="3" s="1"/>
  <c r="AT977" i="3" s="1"/>
  <c r="AU977" i="3" s="1"/>
  <c r="AV977" i="3" s="1"/>
  <c r="AW977" i="3" s="1"/>
  <c r="AX977" i="3" s="1"/>
  <c r="AR63" i="3"/>
  <c r="AS63" i="3" s="1"/>
  <c r="AT63" i="3" s="1"/>
  <c r="AU63" i="3" s="1"/>
  <c r="AV63" i="3" s="1"/>
  <c r="AW63" i="3" s="1"/>
  <c r="AX63" i="3" s="1"/>
  <c r="AN513" i="3"/>
  <c r="AO513" i="3" s="1"/>
  <c r="AP513" i="3" s="1"/>
  <c r="AQ513" i="3" s="1"/>
  <c r="AR513" i="3" s="1"/>
  <c r="AS513" i="3" s="1"/>
  <c r="AT513" i="3" s="1"/>
  <c r="AU513" i="3"/>
  <c r="AV513" i="3" s="1"/>
  <c r="AW513" i="3" s="1"/>
  <c r="AX513" i="3" s="1"/>
  <c r="AS26" i="3"/>
  <c r="AT26" i="3" s="1"/>
  <c r="AU26" i="3" s="1"/>
  <c r="AV26" i="3" s="1"/>
  <c r="AW26" i="3" s="1"/>
  <c r="AX26" i="3" s="1"/>
  <c r="AQ26" i="3"/>
  <c r="AR26" i="3" s="1"/>
  <c r="AN713" i="3"/>
  <c r="AQ431" i="3"/>
  <c r="AR431" i="3" s="1"/>
  <c r="AS431" i="3" s="1"/>
  <c r="AT431" i="3" s="1"/>
  <c r="AU431" i="3" s="1"/>
  <c r="AV431" i="3" s="1"/>
  <c r="AW431" i="3"/>
  <c r="AX431" i="3" s="1"/>
  <c r="AQ1033" i="3"/>
  <c r="AR1033" i="3" s="1"/>
  <c r="AS1033" i="3" s="1"/>
  <c r="AT1033" i="3" s="1"/>
  <c r="AU310" i="3"/>
  <c r="AV310" i="3" s="1"/>
  <c r="AW310" i="3" s="1"/>
  <c r="AX310" i="3" s="1"/>
  <c r="AP983" i="3"/>
  <c r="AN1212" i="3"/>
  <c r="S40" i="2"/>
  <c r="AR953" i="3"/>
  <c r="AS953" i="3" s="1"/>
  <c r="AT953" i="3" s="1"/>
  <c r="AU953" i="3" s="1"/>
  <c r="AV953" i="3" s="1"/>
  <c r="AW953" i="3" s="1"/>
  <c r="AX953" i="3" s="1"/>
  <c r="AR1360" i="3"/>
  <c r="AS1360" i="3" s="1"/>
  <c r="AR512" i="3"/>
  <c r="AS512" i="3" s="1"/>
  <c r="AT512" i="3" s="1"/>
  <c r="AU512" i="3" s="1"/>
  <c r="AV512" i="3" s="1"/>
  <c r="AM512" i="3"/>
  <c r="AN512" i="3" s="1"/>
  <c r="AO512" i="3" s="1"/>
  <c r="AP512" i="3" s="1"/>
  <c r="AQ512" i="3" s="1"/>
  <c r="V959" i="4"/>
  <c r="V960" i="4" s="1"/>
  <c r="V1103" i="4"/>
  <c r="AP263" i="3"/>
  <c r="AQ768" i="3"/>
  <c r="AR768" i="3" s="1"/>
  <c r="AS768" i="3" s="1"/>
  <c r="AT768" i="3" s="1"/>
  <c r="AU768" i="3" s="1"/>
  <c r="AV768" i="3" s="1"/>
  <c r="AO291" i="3"/>
  <c r="AP291" i="3"/>
  <c r="AQ291" i="3" s="1"/>
  <c r="AR291" i="3" s="1"/>
  <c r="AS291" i="3"/>
  <c r="AO1166" i="3"/>
  <c r="AP1166" i="3" s="1"/>
  <c r="AQ1166" i="3" s="1"/>
  <c r="AR1166" i="3" s="1"/>
  <c r="AS1166" i="3" s="1"/>
  <c r="AT1166" i="3" s="1"/>
  <c r="AU1166" i="3" s="1"/>
  <c r="AV1166" i="3" s="1"/>
  <c r="AW1166" i="3"/>
  <c r="AX1166" i="3" s="1"/>
  <c r="AP567" i="3"/>
  <c r="AQ567" i="3" s="1"/>
  <c r="AR330" i="3"/>
  <c r="AS330" i="3" s="1"/>
  <c r="AT330" i="3" s="1"/>
  <c r="U338" i="4"/>
  <c r="AV1340" i="3"/>
  <c r="AW1340" i="3" s="1"/>
  <c r="AX1340" i="3" s="1"/>
  <c r="Q34" i="4"/>
  <c r="Q35" i="4" s="1"/>
  <c r="Q1117" i="4"/>
  <c r="AN596" i="3"/>
  <c r="AO596" i="3" s="1"/>
  <c r="AP596" i="3"/>
  <c r="AQ596" i="3" s="1"/>
  <c r="AR596" i="3" s="1"/>
  <c r="AQ354" i="3"/>
  <c r="AR354" i="3" s="1"/>
  <c r="AO1173" i="3"/>
  <c r="AR1194" i="3"/>
  <c r="AQ104" i="3"/>
  <c r="AR104" i="3" s="1"/>
  <c r="AS104" i="3" s="1"/>
  <c r="AT104" i="3"/>
  <c r="AU104" i="3" s="1"/>
  <c r="AV104" i="3" s="1"/>
  <c r="AW104" i="3" s="1"/>
  <c r="AX104" i="3" s="1"/>
  <c r="R55" i="2"/>
  <c r="AS497" i="3"/>
  <c r="AT497" i="3" s="1"/>
  <c r="AU497" i="3" s="1"/>
  <c r="AV497" i="3" s="1"/>
  <c r="AW497" i="3" s="1"/>
  <c r="AX497" i="3" s="1"/>
  <c r="AR798" i="3"/>
  <c r="AU837" i="3"/>
  <c r="AV837" i="3"/>
  <c r="AW837" i="3" s="1"/>
  <c r="AX837" i="3" s="1"/>
  <c r="AT150" i="3"/>
  <c r="AU150" i="3" s="1"/>
  <c r="AV150" i="3" s="1"/>
  <c r="AW150" i="3" s="1"/>
  <c r="AX150" i="3" s="1"/>
  <c r="AQ970" i="3"/>
  <c r="AP1031" i="3"/>
  <c r="AQ1031" i="3"/>
  <c r="AQ1209" i="3"/>
  <c r="AR1209" i="3" s="1"/>
  <c r="AS1209" i="3" s="1"/>
  <c r="AT1209" i="3" s="1"/>
  <c r="AU1209" i="3" s="1"/>
  <c r="AV1209" i="3" s="1"/>
  <c r="AW9" i="3"/>
  <c r="AX9" i="3" s="1"/>
  <c r="AM1038" i="3"/>
  <c r="AN1038" i="3"/>
  <c r="AO1038" i="3" s="1"/>
  <c r="AP1038" i="3" s="1"/>
  <c r="AQ876" i="3"/>
  <c r="AR876" i="3" s="1"/>
  <c r="AS876" i="3" s="1"/>
  <c r="AT876" i="3" s="1"/>
  <c r="T954" i="4"/>
  <c r="U953" i="4" s="1"/>
  <c r="U1107" i="4"/>
  <c r="U1110" i="4" s="1"/>
  <c r="T1111" i="4"/>
  <c r="AR570" i="3"/>
  <c r="AS570" i="3" s="1"/>
  <c r="AT570" i="3" s="1"/>
  <c r="AU570" i="3" s="1"/>
  <c r="AV570" i="3" s="1"/>
  <c r="AW570" i="3" s="1"/>
  <c r="AX570" i="3" s="1"/>
  <c r="AN416" i="3"/>
  <c r="AO416" i="3" s="1"/>
  <c r="AM915" i="3"/>
  <c r="AN915" i="3" s="1"/>
  <c r="AO915" i="3" s="1"/>
  <c r="AP915" i="3" s="1"/>
  <c r="AR193" i="3"/>
  <c r="AS193" i="3" s="1"/>
  <c r="AT193" i="3" s="1"/>
  <c r="AU193" i="3" s="1"/>
  <c r="AV193" i="3" s="1"/>
  <c r="AW193" i="3" s="1"/>
  <c r="AX193" i="3" s="1"/>
  <c r="AW540" i="3"/>
  <c r="AX540" i="3" s="1"/>
  <c r="AP680" i="3"/>
  <c r="AR255" i="3"/>
  <c r="AO1048" i="3"/>
  <c r="AQ7" i="3"/>
  <c r="AO268" i="3"/>
  <c r="AW236" i="3"/>
  <c r="AX236" i="3" s="1"/>
  <c r="AS626" i="3"/>
  <c r="AT626" i="3" s="1"/>
  <c r="AU626" i="3" s="1"/>
  <c r="AV626" i="3" s="1"/>
  <c r="AW626" i="3" s="1"/>
  <c r="AX626" i="3" s="1"/>
  <c r="AR920" i="3"/>
  <c r="AS920" i="3" s="1"/>
  <c r="AT920" i="3" s="1"/>
  <c r="AU920" i="3" s="1"/>
  <c r="AV920" i="3" s="1"/>
  <c r="AW920" i="3" s="1"/>
  <c r="AX920" i="3" s="1"/>
  <c r="AW571" i="3"/>
  <c r="AX571" i="3" s="1"/>
  <c r="AN1364" i="3"/>
  <c r="AQ1268" i="3"/>
  <c r="AR1268" i="3" s="1"/>
  <c r="AS1268" i="3" s="1"/>
  <c r="AT1268" i="3" s="1"/>
  <c r="AU1268" i="3" s="1"/>
  <c r="AV1268" i="3" s="1"/>
  <c r="AW1268" i="3" s="1"/>
  <c r="AX1268" i="3" s="1"/>
  <c r="AV258" i="3"/>
  <c r="AW258" i="3" s="1"/>
  <c r="AX258" i="3" s="1"/>
  <c r="AQ683" i="3"/>
  <c r="AN1397" i="3"/>
  <c r="AP768" i="3"/>
  <c r="AR262" i="3"/>
  <c r="AQ729" i="3"/>
  <c r="AR729" i="3" s="1"/>
  <c r="AS729" i="3" s="1"/>
  <c r="AT729" i="3" s="1"/>
  <c r="AU729" i="3" s="1"/>
  <c r="AV729" i="3"/>
  <c r="AW729" i="3" s="1"/>
  <c r="AX729" i="3" s="1"/>
  <c r="AN536" i="3"/>
  <c r="AO536" i="3" s="1"/>
  <c r="AP536" i="3" s="1"/>
  <c r="AQ536" i="3" s="1"/>
  <c r="AR536" i="3"/>
  <c r="AS536" i="3" s="1"/>
  <c r="AT536" i="3" s="1"/>
  <c r="AU536" i="3" s="1"/>
  <c r="AV536" i="3" s="1"/>
  <c r="AW536" i="3" s="1"/>
  <c r="AX536" i="3" s="1"/>
  <c r="AU138" i="3"/>
  <c r="AV138" i="3" s="1"/>
  <c r="AW138" i="3" s="1"/>
  <c r="AX138" i="3" s="1"/>
  <c r="AP138" i="3"/>
  <c r="AQ138" i="3" s="1"/>
  <c r="AR138" i="3" s="1"/>
  <c r="AS138" i="3" s="1"/>
  <c r="AT138" i="3" s="1"/>
  <c r="AP1054" i="3"/>
  <c r="AQ1054" i="3" s="1"/>
  <c r="AR1054" i="3"/>
  <c r="AT379" i="3"/>
  <c r="AU379" i="3" s="1"/>
  <c r="AO1409" i="3"/>
  <c r="AT135" i="3"/>
  <c r="AU135" i="3" s="1"/>
  <c r="AV135" i="3" s="1"/>
  <c r="AW135" i="3" s="1"/>
  <c r="AX135" i="3" s="1"/>
  <c r="AM641" i="3"/>
  <c r="AN641" i="3" s="1"/>
  <c r="AR93" i="3"/>
  <c r="AS93" i="3" s="1"/>
  <c r="AT93" i="3" s="1"/>
  <c r="AU93" i="3" s="1"/>
  <c r="AT1163" i="3"/>
  <c r="AU1163" i="3" s="1"/>
  <c r="AV1163" i="3" s="1"/>
  <c r="AW1163" i="3" s="1"/>
  <c r="AX1163" i="3" s="1"/>
  <c r="AP440" i="3"/>
  <c r="AO717" i="3"/>
  <c r="AQ717" i="3" s="1"/>
  <c r="AR1291" i="3"/>
  <c r="AS844" i="3"/>
  <c r="S50" i="4"/>
  <c r="S49" i="4"/>
  <c r="AU338" i="3"/>
  <c r="AV338" i="3" s="1"/>
  <c r="AW338" i="3" s="1"/>
  <c r="AX338" i="3" s="1"/>
  <c r="AR582" i="3"/>
  <c r="AS582" i="3" s="1"/>
  <c r="AT582" i="3" s="1"/>
  <c r="AU582" i="3" s="1"/>
  <c r="AV582" i="3" s="1"/>
  <c r="AW582" i="3" s="1"/>
  <c r="AX582" i="3" s="1"/>
  <c r="AQ396" i="3"/>
  <c r="AR396" i="3"/>
  <c r="AS396" i="3" s="1"/>
  <c r="AT396" i="3" s="1"/>
  <c r="AU396" i="3" s="1"/>
  <c r="AV396" i="3" s="1"/>
  <c r="AW396" i="3" s="1"/>
  <c r="AX396" i="3" s="1"/>
  <c r="AR452" i="3"/>
  <c r="AS452" i="3" s="1"/>
  <c r="AT452" i="3" s="1"/>
  <c r="AU452" i="3" s="1"/>
  <c r="AV452" i="3" s="1"/>
  <c r="AW452" i="3" s="1"/>
  <c r="AX452" i="3" s="1"/>
  <c r="AW114" i="3"/>
  <c r="AX114" i="3" s="1"/>
  <c r="AV931" i="3"/>
  <c r="AW931" i="3"/>
  <c r="AX931" i="3" s="1"/>
  <c r="AD241" i="2"/>
  <c r="AC139" i="2"/>
  <c r="AN223" i="3"/>
  <c r="AM631" i="3"/>
  <c r="AN509" i="3"/>
  <c r="AO509" i="3" s="1"/>
  <c r="AP509" i="3"/>
  <c r="AQ509" i="3"/>
  <c r="AR509" i="3" s="1"/>
  <c r="AS509" i="3" s="1"/>
  <c r="AT509" i="3" s="1"/>
  <c r="AU509" i="3" s="1"/>
  <c r="AV509" i="3" s="1"/>
  <c r="AW509" i="3" s="1"/>
  <c r="AX509" i="3" s="1"/>
  <c r="AR179" i="3"/>
  <c r="AV1245" i="3"/>
  <c r="AW1245" i="3" s="1"/>
  <c r="AX1245" i="3" s="1"/>
  <c r="AP1156" i="3"/>
  <c r="AQ1156" i="3" s="1"/>
  <c r="AR1156" i="3"/>
  <c r="AS1156" i="3" s="1"/>
  <c r="AT1156" i="3"/>
  <c r="AU1156" i="3" s="1"/>
  <c r="AV1156" i="3" s="1"/>
  <c r="AW1156" i="3" s="1"/>
  <c r="AX1156" i="3" s="1"/>
  <c r="AV286" i="3"/>
  <c r="AW286" i="3" s="1"/>
  <c r="AX286" i="3" s="1"/>
  <c r="AA753" i="4"/>
  <c r="AA812" i="4" s="1"/>
  <c r="AA799" i="4"/>
  <c r="AA801" i="4" s="1"/>
  <c r="Z73" i="2"/>
  <c r="X138" i="4"/>
  <c r="AS1222" i="3"/>
  <c r="AT1222" i="3" s="1"/>
  <c r="AU1222" i="3"/>
  <c r="AP650" i="3"/>
  <c r="AP238" i="3"/>
  <c r="AW366" i="3"/>
  <c r="AX366" i="3" s="1"/>
  <c r="AW922" i="3"/>
  <c r="AX922" i="3" s="1"/>
  <c r="AO1031" i="3"/>
  <c r="AT1199" i="3"/>
  <c r="AU1199" i="3" s="1"/>
  <c r="AV1199" i="3" s="1"/>
  <c r="AW1199" i="3"/>
  <c r="AX1199" i="3" s="1"/>
  <c r="AS499" i="3"/>
  <c r="AQ476" i="3"/>
  <c r="AR476" i="3" s="1"/>
  <c r="AS476" i="3" s="1"/>
  <c r="AT476" i="3" s="1"/>
  <c r="AU476" i="3" s="1"/>
  <c r="AV476" i="3" s="1"/>
  <c r="AW476" i="3" s="1"/>
  <c r="AX476" i="3" s="1"/>
  <c r="AP334" i="3"/>
  <c r="AN334" i="3"/>
  <c r="AO334" i="3" s="1"/>
  <c r="AQ313" i="3"/>
  <c r="AR313" i="3" s="1"/>
  <c r="AS313" i="3" s="1"/>
  <c r="AT313" i="3" s="1"/>
  <c r="AU313" i="3" s="1"/>
  <c r="AP491" i="3"/>
  <c r="AT429" i="3"/>
  <c r="AU429" i="3" s="1"/>
  <c r="AV429" i="3" s="1"/>
  <c r="AW429" i="3" s="1"/>
  <c r="AX429" i="3" s="1"/>
  <c r="AU664" i="3"/>
  <c r="AV664" i="3" s="1"/>
  <c r="AW664" i="3" s="1"/>
  <c r="AX664" i="3" s="1"/>
  <c r="AS161" i="3"/>
  <c r="AT161" i="3" s="1"/>
  <c r="AU161" i="3" s="1"/>
  <c r="AV161" i="3" s="1"/>
  <c r="AW161" i="3" s="1"/>
  <c r="AX161" i="3" s="1"/>
  <c r="AQ685" i="3"/>
  <c r="AR685" i="3" s="1"/>
  <c r="AS685" i="3" s="1"/>
  <c r="AT685" i="3" s="1"/>
  <c r="AU685" i="3" s="1"/>
  <c r="AV685" i="3" s="1"/>
  <c r="AW685" i="3" s="1"/>
  <c r="AX685" i="3" s="1"/>
  <c r="AU1094" i="3"/>
  <c r="AM536" i="3"/>
  <c r="U202" i="4"/>
  <c r="U222" i="4" s="1"/>
  <c r="AS78" i="3"/>
  <c r="AT78" i="3" s="1"/>
  <c r="AU78" i="3" s="1"/>
  <c r="AP250" i="3"/>
  <c r="AS891" i="3"/>
  <c r="AT891" i="3" s="1"/>
  <c r="AS316" i="3"/>
  <c r="AT316" i="3" s="1"/>
  <c r="AU316" i="3" s="1"/>
  <c r="AV316" i="3" s="1"/>
  <c r="AP457" i="3"/>
  <c r="AR204" i="3"/>
  <c r="AS204" i="3" s="1"/>
  <c r="AT204" i="3" s="1"/>
  <c r="AU204" i="3" s="1"/>
  <c r="AV204" i="3" s="1"/>
  <c r="AW93" i="3"/>
  <c r="AX93" i="3" s="1"/>
  <c r="AW1096" i="3"/>
  <c r="AX1096" i="3" s="1"/>
  <c r="AV1096" i="3"/>
  <c r="AR1175" i="3"/>
  <c r="AS1175" i="3" s="1"/>
  <c r="AT1175" i="3" s="1"/>
  <c r="AU1175" i="3" s="1"/>
  <c r="AV1175" i="3" s="1"/>
  <c r="AW1175" i="3" s="1"/>
  <c r="AX1175" i="3" s="1"/>
  <c r="AQ1012" i="3"/>
  <c r="AK1448" i="3"/>
  <c r="X109" i="2" s="1"/>
  <c r="AW994" i="3"/>
  <c r="AX994" i="3" s="1"/>
  <c r="AP517" i="3"/>
  <c r="AQ517" i="3" s="1"/>
  <c r="AR517" i="3" s="1"/>
  <c r="AS517" i="3" s="1"/>
  <c r="AT517" i="3" s="1"/>
  <c r="AU517" i="3" s="1"/>
  <c r="AV517" i="3" s="1"/>
  <c r="AW517" i="3" s="1"/>
  <c r="AX517" i="3" s="1"/>
  <c r="W82" i="2"/>
  <c r="U169" i="4"/>
  <c r="U173" i="4" s="1"/>
  <c r="U187" i="4"/>
  <c r="AO1162" i="3"/>
  <c r="AP1162" i="3" s="1"/>
  <c r="AQ1162" i="3" s="1"/>
  <c r="AR1162" i="3" s="1"/>
  <c r="AS1162" i="3" s="1"/>
  <c r="AT1162" i="3" s="1"/>
  <c r="AU1162" i="3" s="1"/>
  <c r="AV1162" i="3" s="1"/>
  <c r="AW1162" i="3" s="1"/>
  <c r="AX1162" i="3" s="1"/>
  <c r="AR1077" i="3"/>
  <c r="AQ574" i="3"/>
  <c r="AR574" i="3" s="1"/>
  <c r="AS574" i="3" s="1"/>
  <c r="AT574" i="3" s="1"/>
  <c r="AU574" i="3" s="1"/>
  <c r="AV574" i="3" s="1"/>
  <c r="AW574" i="3" s="1"/>
  <c r="AX574" i="3" s="1"/>
  <c r="AO109" i="3"/>
  <c r="AP109" i="3" s="1"/>
  <c r="AQ109" i="3"/>
  <c r="AR109" i="3" s="1"/>
  <c r="AS109" i="3" s="1"/>
  <c r="AT109" i="3" s="1"/>
  <c r="AU109" i="3" s="1"/>
  <c r="AV109" i="3" s="1"/>
  <c r="AW109" i="3" s="1"/>
  <c r="AX109" i="3" s="1"/>
  <c r="AU1080" i="3"/>
  <c r="AV1080" i="3" s="1"/>
  <c r="AW1080" i="3" s="1"/>
  <c r="AX1080" i="3" s="1"/>
  <c r="AQ448" i="3"/>
  <c r="AR448" i="3" s="1"/>
  <c r="AS448" i="3" s="1"/>
  <c r="AT448" i="3" s="1"/>
  <c r="AU448" i="3" s="1"/>
  <c r="AV448" i="3" s="1"/>
  <c r="AW448" i="3" s="1"/>
  <c r="AX448" i="3" s="1"/>
  <c r="AR965" i="3"/>
  <c r="AS965" i="3" s="1"/>
  <c r="AT965" i="3" s="1"/>
  <c r="AU965" i="3" s="1"/>
  <c r="AV965" i="3" s="1"/>
  <c r="AW965" i="3" s="1"/>
  <c r="AX965" i="3" s="1"/>
  <c r="AQ847" i="3"/>
  <c r="AR847" i="3" s="1"/>
  <c r="AS847" i="3" s="1"/>
  <c r="AT847" i="3" s="1"/>
  <c r="AQ895" i="3"/>
  <c r="AR895" i="3" s="1"/>
  <c r="AS895" i="3" s="1"/>
  <c r="AT895" i="3" s="1"/>
  <c r="AU895" i="3" s="1"/>
  <c r="AV895" i="3" s="1"/>
  <c r="AW895" i="3" s="1"/>
  <c r="AX895" i="3" s="1"/>
  <c r="AP1239" i="3"/>
  <c r="AU180" i="3"/>
  <c r="AV1222" i="3"/>
  <c r="AW1222" i="3" s="1"/>
  <c r="AX1222" i="3" s="1"/>
  <c r="AP477" i="3"/>
  <c r="AN237" i="3"/>
  <c r="AO237" i="3" s="1"/>
  <c r="AP237" i="3" s="1"/>
  <c r="AQ237" i="3" s="1"/>
  <c r="AR237" i="3" s="1"/>
  <c r="AS237" i="3" s="1"/>
  <c r="AT237" i="3" s="1"/>
  <c r="AU237" i="3" s="1"/>
  <c r="AV237" i="3" s="1"/>
  <c r="AW237" i="3" s="1"/>
  <c r="AX237" i="3" s="1"/>
  <c r="X76" i="2"/>
  <c r="V186" i="4"/>
  <c r="AU602" i="3"/>
  <c r="AV602" i="3" s="1"/>
  <c r="AW602" i="3"/>
  <c r="AX602" i="3" s="1"/>
  <c r="AU619" i="3"/>
  <c r="AV619" i="3" s="1"/>
  <c r="AT180" i="3"/>
  <c r="AU1204" i="3"/>
  <c r="AV1204" i="3" s="1"/>
  <c r="AW1204" i="3" s="1"/>
  <c r="AX1204" i="3" s="1"/>
  <c r="AO240" i="3"/>
  <c r="AP554" i="3"/>
  <c r="AQ554" i="3" s="1"/>
  <c r="AR554" i="3" s="1"/>
  <c r="AS554" i="3" s="1"/>
  <c r="AT554" i="3" s="1"/>
  <c r="AU554" i="3" s="1"/>
  <c r="AV554" i="3" s="1"/>
  <c r="AR1025" i="3"/>
  <c r="AS1025" i="3" s="1"/>
  <c r="AT1025" i="3" s="1"/>
  <c r="AU1025" i="3" s="1"/>
  <c r="AV1025" i="3" s="1"/>
  <c r="AW1025" i="3" s="1"/>
  <c r="AX1025" i="3" s="1"/>
  <c r="AR1164" i="3"/>
  <c r="AW101" i="3"/>
  <c r="AX101" i="3" s="1"/>
  <c r="AR102" i="3"/>
  <c r="AT102" i="3" s="1"/>
  <c r="AU102" i="3" s="1"/>
  <c r="AV102" i="3" s="1"/>
  <c r="AW102" i="3" s="1"/>
  <c r="AX102" i="3" s="1"/>
  <c r="AO489" i="3"/>
  <c r="AP489" i="3" s="1"/>
  <c r="AQ489" i="3" s="1"/>
  <c r="AR489" i="3" s="1"/>
  <c r="AN489" i="3"/>
  <c r="AT225" i="3"/>
  <c r="AU225" i="3" s="1"/>
  <c r="AP1355" i="3"/>
  <c r="AQ1355" i="3" s="1"/>
  <c r="AR1355" i="3" s="1"/>
  <c r="AO1230" i="3"/>
  <c r="AW1159" i="3"/>
  <c r="AX1159" i="3" s="1"/>
  <c r="AR1140" i="3"/>
  <c r="AS1140" i="3" s="1"/>
  <c r="AT1140" i="3" s="1"/>
  <c r="AU1140" i="3" s="1"/>
  <c r="AV1140" i="3" s="1"/>
  <c r="AW1140" i="3" s="1"/>
  <c r="AX1140" i="3" s="1"/>
  <c r="AP292" i="3"/>
  <c r="AQ292" i="3" s="1"/>
  <c r="AR292" i="3" s="1"/>
  <c r="AS292" i="3" s="1"/>
  <c r="AT292" i="3" s="1"/>
  <c r="AU292" i="3" s="1"/>
  <c r="AV292" i="3" s="1"/>
  <c r="AW292" i="3" s="1"/>
  <c r="AX292" i="3" s="1"/>
  <c r="AR745" i="3"/>
  <c r="AS745" i="3" s="1"/>
  <c r="AT745" i="3" s="1"/>
  <c r="AU745" i="3" s="1"/>
  <c r="AV745" i="3" s="1"/>
  <c r="AW745" i="3" s="1"/>
  <c r="AX745" i="3" s="1"/>
  <c r="AK1447" i="3"/>
  <c r="AK1449" i="3" s="1"/>
  <c r="AQ491" i="3"/>
  <c r="AR491" i="3" s="1"/>
  <c r="AS491" i="3" s="1"/>
  <c r="AT491" i="3" s="1"/>
  <c r="AU491" i="3" s="1"/>
  <c r="AV491" i="3" s="1"/>
  <c r="AW491" i="3" s="1"/>
  <c r="AX491" i="3" s="1"/>
  <c r="AO832" i="3"/>
  <c r="AN832" i="3"/>
  <c r="AP1288" i="3"/>
  <c r="AQ1288" i="3" s="1"/>
  <c r="AR1288" i="3" s="1"/>
  <c r="AS1288" i="3" s="1"/>
  <c r="AT1288" i="3" s="1"/>
  <c r="AR161" i="3"/>
  <c r="Y283" i="2"/>
  <c r="Y155" i="2"/>
  <c r="U370" i="4"/>
  <c r="AN1381" i="3"/>
  <c r="AO1381" i="3" s="1"/>
  <c r="AP1381" i="3" s="1"/>
  <c r="AQ1381" i="3" s="1"/>
  <c r="AR1381" i="3" s="1"/>
  <c r="AS1381" i="3" s="1"/>
  <c r="AT1381" i="3" s="1"/>
  <c r="AN318" i="3"/>
  <c r="AW578" i="3"/>
  <c r="AX578" i="3" s="1"/>
  <c r="AS402" i="3"/>
  <c r="AT402" i="3" s="1"/>
  <c r="AU402" i="3" s="1"/>
  <c r="AV402" i="3" s="1"/>
  <c r="AW402" i="3" s="1"/>
  <c r="AX402" i="3" s="1"/>
  <c r="AQ494" i="3"/>
  <c r="AR494" i="3" s="1"/>
  <c r="AS494" i="3"/>
  <c r="AT494" i="3"/>
  <c r="AU494" i="3" s="1"/>
  <c r="AV494" i="3" s="1"/>
  <c r="AW494" i="3" s="1"/>
  <c r="AX494" i="3" s="1"/>
  <c r="AO971" i="3"/>
  <c r="AP971" i="3" s="1"/>
  <c r="AQ971" i="3" s="1"/>
  <c r="AR971" i="3" s="1"/>
  <c r="AS971" i="3" s="1"/>
  <c r="AT971" i="3" s="1"/>
  <c r="AU971" i="3" s="1"/>
  <c r="AV971" i="3" s="1"/>
  <c r="AW971" i="3" s="1"/>
  <c r="AX971" i="3" s="1"/>
  <c r="AN345" i="3"/>
  <c r="AR433" i="3"/>
  <c r="AS433" i="3" s="1"/>
  <c r="AT433" i="3" s="1"/>
  <c r="AU433" i="3" s="1"/>
  <c r="AV433" i="3" s="1"/>
  <c r="AQ433" i="3"/>
  <c r="AW433" i="3" s="1"/>
  <c r="AX433" i="3" s="1"/>
  <c r="AT98" i="3"/>
  <c r="AU98" i="3" s="1"/>
  <c r="AV98" i="3" s="1"/>
  <c r="AW98" i="3" s="1"/>
  <c r="AX98" i="3" s="1"/>
  <c r="W310" i="2"/>
  <c r="K218" i="2"/>
  <c r="X218" i="2"/>
  <c r="X309" i="2"/>
  <c r="W225" i="2"/>
  <c r="W143" i="2"/>
  <c r="K143" i="2" s="1"/>
  <c r="AT991" i="3"/>
  <c r="AU991" i="3" s="1"/>
  <c r="AV991" i="3"/>
  <c r="AW991" i="3" s="1"/>
  <c r="AX991" i="3" s="1"/>
  <c r="AW955" i="3"/>
  <c r="AX955" i="3" s="1"/>
  <c r="AQ399" i="3"/>
  <c r="AU1096" i="3"/>
  <c r="AT8" i="3"/>
  <c r="AU8" i="3" s="1"/>
  <c r="AV8" i="3" s="1"/>
  <c r="AW8" i="3" s="1"/>
  <c r="AX8" i="3" s="1"/>
  <c r="AR531" i="3"/>
  <c r="AS531" i="3" s="1"/>
  <c r="AT531" i="3" s="1"/>
  <c r="AU531" i="3" s="1"/>
  <c r="AV531" i="3" s="1"/>
  <c r="AW531" i="3" s="1"/>
  <c r="AX531" i="3" s="1"/>
  <c r="AS1012" i="3"/>
  <c r="AT1012" i="3" s="1"/>
  <c r="AU1012" i="3" s="1"/>
  <c r="AV1012" i="3" s="1"/>
  <c r="AW1012" i="3" s="1"/>
  <c r="AX1012" i="3" s="1"/>
  <c r="AP560" i="3"/>
  <c r="AQ560" i="3" s="1"/>
  <c r="AR560" i="3" s="1"/>
  <c r="AS560" i="3" s="1"/>
  <c r="AT560" i="3" s="1"/>
  <c r="AU560" i="3" s="1"/>
  <c r="AV560" i="3" s="1"/>
  <c r="AW560" i="3" s="1"/>
  <c r="AX560" i="3" s="1"/>
  <c r="AV1042" i="3"/>
  <c r="AW1042" i="3" s="1"/>
  <c r="AX1042" i="3" s="1"/>
  <c r="AP785" i="3"/>
  <c r="AQ785" i="3" s="1"/>
  <c r="AR785" i="3" s="1"/>
  <c r="AS785" i="3" s="1"/>
  <c r="AT785" i="3" s="1"/>
  <c r="AU785" i="3" s="1"/>
  <c r="AV785" i="3" s="1"/>
  <c r="AW785" i="3" s="1"/>
  <c r="AX785" i="3" s="1"/>
  <c r="AN1351" i="3"/>
  <c r="AO1351" i="3"/>
  <c r="AP1351" i="3" s="1"/>
  <c r="AQ1351" i="3" s="1"/>
  <c r="AR1351" i="3" s="1"/>
  <c r="AP865" i="3"/>
  <c r="AU1086" i="3"/>
  <c r="AV1086" i="3" s="1"/>
  <c r="AW1086" i="3" s="1"/>
  <c r="AX1086" i="3" s="1"/>
  <c r="AP29" i="3"/>
  <c r="AQ29" i="3" s="1"/>
  <c r="AR29" i="3" s="1"/>
  <c r="AS29" i="3" s="1"/>
  <c r="AT29" i="3" s="1"/>
  <c r="AU29" i="3" s="1"/>
  <c r="AV29" i="3" s="1"/>
  <c r="AW29" i="3" s="1"/>
  <c r="AX29" i="3" s="1"/>
  <c r="AT569" i="3"/>
  <c r="AU569" i="3" s="1"/>
  <c r="AV569" i="3" s="1"/>
  <c r="AW569" i="3" s="1"/>
  <c r="AX569" i="3" s="1"/>
  <c r="AP392" i="3"/>
  <c r="AW80" i="3"/>
  <c r="AX80" i="3" s="1"/>
  <c r="AT461" i="3"/>
  <c r="AU461" i="3" s="1"/>
  <c r="AV461" i="3" s="1"/>
  <c r="AW461" i="3" s="1"/>
  <c r="AX461" i="3" s="1"/>
  <c r="AS1290" i="3"/>
  <c r="AT1290" i="3" s="1"/>
  <c r="AU1290" i="3" s="1"/>
  <c r="AV1290" i="3" s="1"/>
  <c r="AW1290" i="3" s="1"/>
  <c r="AX1290" i="3" s="1"/>
  <c r="AP41" i="3"/>
  <c r="AQ41" i="3" s="1"/>
  <c r="AR41" i="3" s="1"/>
  <c r="W1222" i="4"/>
  <c r="W1234" i="4" s="1"/>
  <c r="AO657" i="3"/>
  <c r="AM1114" i="3"/>
  <c r="AQ63" i="3"/>
  <c r="AR1257" i="3"/>
  <c r="AS1257" i="3" s="1"/>
  <c r="AT1257" i="3" s="1"/>
  <c r="AU1257" i="3" s="1"/>
  <c r="AV1257" i="3" s="1"/>
  <c r="AR518" i="3"/>
  <c r="AS518" i="3" s="1"/>
  <c r="AT518" i="3"/>
  <c r="AU518" i="3" s="1"/>
  <c r="AV518" i="3" s="1"/>
  <c r="AW518" i="3" s="1"/>
  <c r="AX518" i="3" s="1"/>
  <c r="AP134" i="3"/>
  <c r="AQ134" i="3" s="1"/>
  <c r="AR134" i="3" s="1"/>
  <c r="AS134" i="3" s="1"/>
  <c r="AT134" i="3" s="1"/>
  <c r="AU134" i="3" s="1"/>
  <c r="AV134" i="3" s="1"/>
  <c r="AW134" i="3" s="1"/>
  <c r="AX134" i="3" s="1"/>
  <c r="AW1122" i="3"/>
  <c r="AX1122" i="3" s="1"/>
  <c r="AN783" i="3"/>
  <c r="AR988" i="3"/>
  <c r="AS988" i="3" s="1"/>
  <c r="AT988" i="3" s="1"/>
  <c r="AU988" i="3" s="1"/>
  <c r="AV988" i="3" s="1"/>
  <c r="AW988" i="3" s="1"/>
  <c r="AX988" i="3" s="1"/>
  <c r="AP1389" i="3"/>
  <c r="AO329" i="3"/>
  <c r="AP329" i="3" s="1"/>
  <c r="AQ329" i="3" s="1"/>
  <c r="AR329" i="3" s="1"/>
  <c r="AS329" i="3" s="1"/>
  <c r="AT329" i="3" s="1"/>
  <c r="AU329" i="3" s="1"/>
  <c r="AV329" i="3" s="1"/>
  <c r="AW329" i="3" s="1"/>
  <c r="AX329" i="3" s="1"/>
  <c r="AS43" i="3"/>
  <c r="AP1079" i="3"/>
  <c r="AO344" i="3"/>
  <c r="AP344" i="3" s="1"/>
  <c r="AQ344" i="3" s="1"/>
  <c r="AR344" i="3" s="1"/>
  <c r="AS344" i="3" s="1"/>
  <c r="AT344" i="3" s="1"/>
  <c r="AU344" i="3" s="1"/>
  <c r="AO1074" i="3"/>
  <c r="AP1074" i="3"/>
  <c r="AQ1074" i="3" s="1"/>
  <c r="AR1074" i="3" s="1"/>
  <c r="AS1074" i="3" s="1"/>
  <c r="AT1074" i="3" s="1"/>
  <c r="AU1074" i="3" s="1"/>
  <c r="AV1074" i="3" s="1"/>
  <c r="AW1074" i="3" s="1"/>
  <c r="AX1074" i="3" s="1"/>
  <c r="AO1071" i="3"/>
  <c r="AP1071" i="3" s="1"/>
  <c r="AQ1071" i="3" s="1"/>
  <c r="AR1071" i="3"/>
  <c r="AS1071" i="3" s="1"/>
  <c r="AT1071" i="3" s="1"/>
  <c r="AU1071" i="3" s="1"/>
  <c r="AV1071" i="3" s="1"/>
  <c r="AW1071" i="3" s="1"/>
  <c r="AX1071" i="3" s="1"/>
  <c r="AU311" i="3"/>
  <c r="AV311" i="3" s="1"/>
  <c r="AW311" i="3" s="1"/>
  <c r="AX311" i="3" s="1"/>
  <c r="AT221" i="3"/>
  <c r="AU221" i="3" s="1"/>
  <c r="AV221" i="3" s="1"/>
  <c r="AW221" i="3" s="1"/>
  <c r="AX221" i="3" s="1"/>
  <c r="AL1403" i="3"/>
  <c r="AP860" i="3"/>
  <c r="AQ860" i="3" s="1"/>
  <c r="AR228" i="3"/>
  <c r="AS228" i="3" s="1"/>
  <c r="AT228" i="3"/>
  <c r="AO1029" i="3"/>
  <c r="AR1012" i="3"/>
  <c r="AU11" i="3"/>
  <c r="AV11" i="3" s="1"/>
  <c r="AW11" i="3" s="1"/>
  <c r="AX11" i="3" s="1"/>
  <c r="AN1158" i="3"/>
  <c r="AQ987" i="3"/>
  <c r="AR987" i="3" s="1"/>
  <c r="AS987" i="3" s="1"/>
  <c r="AT987" i="3" s="1"/>
  <c r="AU987" i="3" s="1"/>
  <c r="AV987" i="3" s="1"/>
  <c r="AW987" i="3" s="1"/>
  <c r="AX987" i="3" s="1"/>
  <c r="AT598" i="3"/>
  <c r="AU598" i="3" s="1"/>
  <c r="AV598" i="3" s="1"/>
  <c r="AW598" i="3" s="1"/>
  <c r="AX598" i="3" s="1"/>
  <c r="AS598" i="3"/>
  <c r="AQ128" i="3"/>
  <c r="AP1138" i="3"/>
  <c r="AQ1138" i="3" s="1"/>
  <c r="AR1138" i="3"/>
  <c r="AS1138" i="3" s="1"/>
  <c r="AT1138" i="3" s="1"/>
  <c r="AU1138" i="3" s="1"/>
  <c r="AV1138" i="3" s="1"/>
  <c r="AW1138" i="3" s="1"/>
  <c r="AX1138" i="3" s="1"/>
  <c r="AW34" i="3"/>
  <c r="AX34" i="3" s="1"/>
  <c r="AS569" i="3"/>
  <c r="AR1202" i="3"/>
  <c r="AP791" i="3"/>
  <c r="AW901" i="3"/>
  <c r="AX901" i="3" s="1"/>
  <c r="AP388" i="3"/>
  <c r="AU1028" i="3"/>
  <c r="AV1028" i="3" s="1"/>
  <c r="AW1028" i="3" s="1"/>
  <c r="AX1028" i="3" s="1"/>
  <c r="AT720" i="3"/>
  <c r="AU720" i="3" s="1"/>
  <c r="AV720" i="3" s="1"/>
  <c r="AW720" i="3" s="1"/>
  <c r="AX720" i="3" s="1"/>
  <c r="AU835" i="3"/>
  <c r="AV835" i="3" s="1"/>
  <c r="AW835" i="3" s="1"/>
  <c r="AX835" i="3" s="1"/>
  <c r="AP441" i="3"/>
  <c r="AQ441" i="3" s="1"/>
  <c r="AR441" i="3" s="1"/>
  <c r="AS441" i="3" s="1"/>
  <c r="AT441" i="3" s="1"/>
  <c r="AU441" i="3" s="1"/>
  <c r="AV441" i="3" s="1"/>
  <c r="AW441" i="3" s="1"/>
  <c r="AX441" i="3" s="1"/>
  <c r="AR1037" i="3"/>
  <c r="AP939" i="3"/>
  <c r="AQ939" i="3" s="1"/>
  <c r="AR939" i="3" s="1"/>
  <c r="AS939" i="3" s="1"/>
  <c r="AT939" i="3" s="1"/>
  <c r="AV764" i="3"/>
  <c r="AW764" i="3" s="1"/>
  <c r="AX764" i="3" s="1"/>
  <c r="AU1324" i="3"/>
  <c r="AV1324" i="3" s="1"/>
  <c r="AW1324" i="3" s="1"/>
  <c r="AX1324" i="3" s="1"/>
  <c r="AO1324" i="3"/>
  <c r="AP1324" i="3" s="1"/>
  <c r="AQ1324" i="3" s="1"/>
  <c r="AR1324" i="3" s="1"/>
  <c r="AS1324" i="3" s="1"/>
  <c r="AT1324" i="3" s="1"/>
  <c r="AW1133" i="3"/>
  <c r="AX1133" i="3" s="1"/>
  <c r="O486" i="4"/>
  <c r="O503" i="4" s="1"/>
  <c r="O245" i="4"/>
  <c r="AN801" i="3"/>
  <c r="AO801" i="3"/>
  <c r="AV203" i="3"/>
  <c r="AW203" i="3" s="1"/>
  <c r="AX203" i="3" s="1"/>
  <c r="AW644" i="3"/>
  <c r="AX644" i="3" s="1"/>
  <c r="AT644" i="3"/>
  <c r="AU644" i="3" s="1"/>
  <c r="AV644" i="3" s="1"/>
  <c r="AQ835" i="3"/>
  <c r="AR835" i="3" s="1"/>
  <c r="AS835" i="3" s="1"/>
  <c r="AT835" i="3" s="1"/>
  <c r="AM1172" i="3"/>
  <c r="AN1172" i="3" s="1"/>
  <c r="AO1172" i="3" s="1"/>
  <c r="AP1172" i="3" s="1"/>
  <c r="AQ1172" i="3" s="1"/>
  <c r="AU766" i="3"/>
  <c r="AV766" i="3"/>
  <c r="AW766" i="3"/>
  <c r="AX766" i="3" s="1"/>
  <c r="AS35" i="3"/>
  <c r="O642" i="4"/>
  <c r="O659" i="4" s="1"/>
  <c r="O246" i="4"/>
  <c r="AO856" i="3"/>
  <c r="AP856" i="3" s="1"/>
  <c r="AO195" i="3"/>
  <c r="AP195" i="3" s="1"/>
  <c r="AQ195" i="3" s="1"/>
  <c r="AR195" i="3" s="1"/>
  <c r="AS195" i="3" s="1"/>
  <c r="AT195" i="3" s="1"/>
  <c r="AU195" i="3" s="1"/>
  <c r="AV195" i="3" s="1"/>
  <c r="AO634" i="3"/>
  <c r="AP634" i="3" s="1"/>
  <c r="AQ634" i="3" s="1"/>
  <c r="AR634" i="3" s="1"/>
  <c r="AS634" i="3" s="1"/>
  <c r="AT634" i="3" s="1"/>
  <c r="AU634" i="3" s="1"/>
  <c r="AV634" i="3" s="1"/>
  <c r="AO1237" i="3"/>
  <c r="AP1237" i="3" s="1"/>
  <c r="AQ1237" i="3"/>
  <c r="AR1237" i="3" s="1"/>
  <c r="AS1237" i="3" s="1"/>
  <c r="AT1237" i="3" s="1"/>
  <c r="AU1237" i="3" s="1"/>
  <c r="AV1237" i="3" s="1"/>
  <c r="AW1237" i="3" s="1"/>
  <c r="AX1237" i="3" s="1"/>
  <c r="AT869" i="3"/>
  <c r="AU869" i="3" s="1"/>
  <c r="AV869" i="3" s="1"/>
  <c r="AW869" i="3" s="1"/>
  <c r="AX869" i="3" s="1"/>
  <c r="AO1127" i="3"/>
  <c r="AR969" i="3"/>
  <c r="AS969" i="3" s="1"/>
  <c r="AT969" i="3" s="1"/>
  <c r="AU969" i="3"/>
  <c r="AQ969" i="3"/>
  <c r="AO463" i="3"/>
  <c r="AP463" i="3" s="1"/>
  <c r="AP73" i="3"/>
  <c r="J225" i="4"/>
  <c r="J227" i="4"/>
  <c r="J226" i="4"/>
  <c r="J224" i="4"/>
  <c r="AU253" i="3"/>
  <c r="AV253" i="3" s="1"/>
  <c r="AW253" i="3" s="1"/>
  <c r="AX253" i="3" s="1"/>
  <c r="AR851" i="3"/>
  <c r="AS851" i="3" s="1"/>
  <c r="AT851" i="3" s="1"/>
  <c r="AU851" i="3" s="1"/>
  <c r="AV851" i="3" s="1"/>
  <c r="AW851" i="3" s="1"/>
  <c r="AX851" i="3" s="1"/>
  <c r="AN648" i="3"/>
  <c r="AP1292" i="3"/>
  <c r="AQ1292" i="3" s="1"/>
  <c r="AR1292" i="3" s="1"/>
  <c r="AS1292" i="3" s="1"/>
  <c r="AT1292" i="3" s="1"/>
  <c r="AU1292" i="3" s="1"/>
  <c r="AV1292" i="3" s="1"/>
  <c r="AW1292" i="3" s="1"/>
  <c r="AX1292" i="3" s="1"/>
  <c r="AR208" i="3"/>
  <c r="AS208" i="3" s="1"/>
  <c r="AT208" i="3" s="1"/>
  <c r="AU208" i="3" s="1"/>
  <c r="AV208" i="3" s="1"/>
  <c r="AW208" i="3"/>
  <c r="AX208" i="3" s="1"/>
  <c r="AN858" i="3"/>
  <c r="AW623" i="3"/>
  <c r="AX623" i="3" s="1"/>
  <c r="AN1203" i="3"/>
  <c r="AO607" i="3"/>
  <c r="AP607" i="3"/>
  <c r="AQ607" i="3" s="1"/>
  <c r="AR607" i="3" s="1"/>
  <c r="AS607" i="3" s="1"/>
  <c r="AT607" i="3" s="1"/>
  <c r="AU607" i="3" s="1"/>
  <c r="AR149" i="3"/>
  <c r="AS149" i="3" s="1"/>
  <c r="AT149" i="3" s="1"/>
  <c r="AU149" i="3"/>
  <c r="AV149" i="3" s="1"/>
  <c r="AW149" i="3" s="1"/>
  <c r="AX149" i="3" s="1"/>
  <c r="AQ1218" i="3"/>
  <c r="AR1218" i="3" s="1"/>
  <c r="AS1218" i="3" s="1"/>
  <c r="AT1218" i="3" s="1"/>
  <c r="AR1273" i="3"/>
  <c r="U522" i="4"/>
  <c r="U519" i="4"/>
  <c r="W344" i="2" s="1"/>
  <c r="AS596" i="3"/>
  <c r="AT596" i="3" s="1"/>
  <c r="AU596" i="3" s="1"/>
  <c r="AV596" i="3" s="1"/>
  <c r="AW596" i="3" s="1"/>
  <c r="AX596" i="3" s="1"/>
  <c r="AQ788" i="3"/>
  <c r="AW1260" i="3"/>
  <c r="AX1260" i="3" s="1"/>
  <c r="AU201" i="3"/>
  <c r="AV201" i="3" s="1"/>
  <c r="AE753" i="4"/>
  <c r="AE812" i="4" s="1"/>
  <c r="AE799" i="4"/>
  <c r="AE801" i="4" s="1"/>
  <c r="AT1184" i="3"/>
  <c r="AU1184" i="3" s="1"/>
  <c r="AV1184" i="3" s="1"/>
  <c r="AW1184" i="3" s="1"/>
  <c r="AX1184" i="3" s="1"/>
  <c r="AP986" i="3"/>
  <c r="AO1092" i="3"/>
  <c r="AS379" i="3"/>
  <c r="AP444" i="3"/>
  <c r="AQ444" i="3"/>
  <c r="AR972" i="3"/>
  <c r="AS972" i="3" s="1"/>
  <c r="AT972" i="3" s="1"/>
  <c r="AU972" i="3" s="1"/>
  <c r="AV972" i="3" s="1"/>
  <c r="AW972" i="3" s="1"/>
  <c r="AX972" i="3" s="1"/>
  <c r="AW704" i="3"/>
  <c r="AX704" i="3" s="1"/>
  <c r="AO704" i="3"/>
  <c r="AP704" i="3" s="1"/>
  <c r="AQ704" i="3" s="1"/>
  <c r="AR704" i="3" s="1"/>
  <c r="AS704" i="3" s="1"/>
  <c r="AT704" i="3" s="1"/>
  <c r="AU704" i="3" s="1"/>
  <c r="AV704" i="3" s="1"/>
  <c r="AP182" i="3"/>
  <c r="AS1291" i="3"/>
  <c r="AV807" i="3"/>
  <c r="AW807" i="3"/>
  <c r="AX807" i="3" s="1"/>
  <c r="S338" i="4"/>
  <c r="AT757" i="3"/>
  <c r="AU757" i="3" s="1"/>
  <c r="AV757" i="3" s="1"/>
  <c r="AW757" i="3" s="1"/>
  <c r="AX757" i="3" s="1"/>
  <c r="AT257" i="3"/>
  <c r="AU257" i="3" s="1"/>
  <c r="AV257" i="3" s="1"/>
  <c r="AW257" i="3" s="1"/>
  <c r="AX257" i="3" s="1"/>
  <c r="V726" i="4"/>
  <c r="V729" i="4" s="1"/>
  <c r="U730" i="4"/>
  <c r="AW1353" i="3"/>
  <c r="AX1353" i="3" s="1"/>
  <c r="AS869" i="3"/>
  <c r="AN679" i="3"/>
  <c r="AR665" i="3"/>
  <c r="AS665" i="3" s="1"/>
  <c r="AT665" i="3" s="1"/>
  <c r="AU665" i="3" s="1"/>
  <c r="AV665" i="3" s="1"/>
  <c r="AW665" i="3" s="1"/>
  <c r="AX665" i="3" s="1"/>
  <c r="AP1082" i="3"/>
  <c r="AQ1082" i="3" s="1"/>
  <c r="AR1082" i="3" s="1"/>
  <c r="AS1082" i="3" s="1"/>
  <c r="AT1082" i="3" s="1"/>
  <c r="AU1082" i="3" s="1"/>
  <c r="AV1082" i="3" s="1"/>
  <c r="AW1082" i="3"/>
  <c r="AX1082" i="3" s="1"/>
  <c r="U968" i="4"/>
  <c r="T1101" i="4"/>
  <c r="AQ181" i="3"/>
  <c r="AR608" i="3"/>
  <c r="AS608" i="3"/>
  <c r="AU608" i="3"/>
  <c r="AV608" i="3" s="1"/>
  <c r="Q227" i="4"/>
  <c r="Q225" i="4"/>
  <c r="Q224" i="4"/>
  <c r="Q226" i="4"/>
  <c r="AQ1018" i="3"/>
  <c r="AR1018" i="3" s="1"/>
  <c r="AS1018" i="3" s="1"/>
  <c r="AT1018" i="3" s="1"/>
  <c r="AU1018" i="3" s="1"/>
  <c r="AV1018" i="3" s="1"/>
  <c r="AW1018" i="3" s="1"/>
  <c r="AX1018" i="3" s="1"/>
  <c r="AO1018" i="3"/>
  <c r="AP1018" i="3" s="1"/>
  <c r="AR1031" i="3"/>
  <c r="AS1031" i="3" s="1"/>
  <c r="AT1031" i="3" s="1"/>
  <c r="AU1031" i="3" s="1"/>
  <c r="AV1031" i="3" s="1"/>
  <c r="AT18" i="3"/>
  <c r="AU18" i="3" s="1"/>
  <c r="AV18" i="3" s="1"/>
  <c r="AW18" i="3" s="1"/>
  <c r="AX18" i="3" s="1"/>
  <c r="X17" i="10"/>
  <c r="X65" i="4"/>
  <c r="AQ773" i="3"/>
  <c r="AO106" i="3"/>
  <c r="AP106" i="3" s="1"/>
  <c r="AQ106" i="3" s="1"/>
  <c r="AR106" i="3" s="1"/>
  <c r="AS106" i="3" s="1"/>
  <c r="AT106" i="3" s="1"/>
  <c r="AU106" i="3" s="1"/>
  <c r="AV106" i="3" s="1"/>
  <c r="AW106" i="3" s="1"/>
  <c r="AX106" i="3" s="1"/>
  <c r="AV1094" i="3"/>
  <c r="AW1094" i="3" s="1"/>
  <c r="AX1094" i="3" s="1"/>
  <c r="AS71" i="3"/>
  <c r="AT71" i="3" s="1"/>
  <c r="AU71" i="3" s="1"/>
  <c r="AV71" i="3" s="1"/>
  <c r="AW71" i="3" s="1"/>
  <c r="AX71" i="3" s="1"/>
  <c r="AQ915" i="3"/>
  <c r="AR915" i="3" s="1"/>
  <c r="AS915" i="3" s="1"/>
  <c r="AT915" i="3" s="1"/>
  <c r="AU915" i="3" s="1"/>
  <c r="AV915" i="3" s="1"/>
  <c r="AW915" i="3" s="1"/>
  <c r="AX915" i="3" s="1"/>
  <c r="AP108" i="3"/>
  <c r="AR1310" i="3"/>
  <c r="AS1310" i="3" s="1"/>
  <c r="AT1310" i="3" s="1"/>
  <c r="AU1310" i="3" s="1"/>
  <c r="AV1310" i="3" s="1"/>
  <c r="AW1310" i="3" s="1"/>
  <c r="AX1310" i="3" s="1"/>
  <c r="AR1233" i="3"/>
  <c r="AS1233" i="3" s="1"/>
  <c r="AT1233" i="3" s="1"/>
  <c r="AU1233" i="3" s="1"/>
  <c r="AV1233" i="3" s="1"/>
  <c r="AW1233" i="3" s="1"/>
  <c r="AX1233" i="3" s="1"/>
  <c r="AW928" i="3"/>
  <c r="AX928" i="3" s="1"/>
  <c r="AS1372" i="3"/>
  <c r="AT1372" i="3" s="1"/>
  <c r="AU1372" i="3"/>
  <c r="AV1372" i="3" s="1"/>
  <c r="AW1372" i="3" s="1"/>
  <c r="AX1372" i="3" s="1"/>
  <c r="AR845" i="3"/>
  <c r="AS845" i="3" s="1"/>
  <c r="AT845" i="3" s="1"/>
  <c r="AU845" i="3" s="1"/>
  <c r="AV845" i="3" s="1"/>
  <c r="AW845" i="3" s="1"/>
  <c r="AX845" i="3" s="1"/>
  <c r="AV276" i="3"/>
  <c r="AW276" i="3" s="1"/>
  <c r="AX276" i="3" s="1"/>
  <c r="AO911" i="3"/>
  <c r="AP911" i="3" s="1"/>
  <c r="AM911" i="3"/>
  <c r="AN911" i="3"/>
  <c r="AT1190" i="3"/>
  <c r="AU1190" i="3" s="1"/>
  <c r="AV1190" i="3" s="1"/>
  <c r="AS498" i="3"/>
  <c r="AT498" i="3"/>
  <c r="AU498" i="3" s="1"/>
  <c r="AV498" i="3" s="1"/>
  <c r="AW498" i="3" s="1"/>
  <c r="AX498" i="3" s="1"/>
  <c r="AW1104" i="3"/>
  <c r="AX1104" i="3" s="1"/>
  <c r="N225" i="4"/>
  <c r="N226" i="4"/>
  <c r="N224" i="4"/>
  <c r="N227" i="4"/>
  <c r="AA223" i="2"/>
  <c r="AA144" i="2"/>
  <c r="AN17" i="3"/>
  <c r="AO17" i="3" s="1"/>
  <c r="AW151" i="3"/>
  <c r="AX151" i="3" s="1"/>
  <c r="AO1022" i="3"/>
  <c r="AP1022" i="3"/>
  <c r="AQ1022" i="3" s="1"/>
  <c r="AR1022" i="3" s="1"/>
  <c r="AS1022" i="3" s="1"/>
  <c r="AT1022" i="3" s="1"/>
  <c r="AU1022" i="3" s="1"/>
  <c r="AV1022" i="3" s="1"/>
  <c r="AW1022" i="3" s="1"/>
  <c r="AX1022" i="3" s="1"/>
  <c r="AP1182" i="3"/>
  <c r="AQ1182" i="3" s="1"/>
  <c r="AR1182" i="3" s="1"/>
  <c r="AS1182" i="3" s="1"/>
  <c r="AT1182" i="3" s="1"/>
  <c r="AU1182" i="3" s="1"/>
  <c r="AV1182" i="3" s="1"/>
  <c r="AW1182" i="3" s="1"/>
  <c r="AX1182" i="3" s="1"/>
  <c r="AS1066" i="3"/>
  <c r="AT1066" i="3" s="1"/>
  <c r="AU1066" i="3" s="1"/>
  <c r="AV1066" i="3" s="1"/>
  <c r="AQ1066" i="3"/>
  <c r="AR1066" i="3" s="1"/>
  <c r="AQ278" i="3"/>
  <c r="AS278" i="3" s="1"/>
  <c r="AT278" i="3" s="1"/>
  <c r="AU278" i="3" s="1"/>
  <c r="AV278" i="3" s="1"/>
  <c r="AW278" i="3" s="1"/>
  <c r="AX278" i="3" s="1"/>
  <c r="AR278" i="3"/>
  <c r="AS1084" i="3"/>
  <c r="AT1084" i="3" s="1"/>
  <c r="AU1084" i="3" s="1"/>
  <c r="AV1084" i="3" s="1"/>
  <c r="AO855" i="3"/>
  <c r="AP855" i="3" s="1"/>
  <c r="AQ855" i="3" s="1"/>
  <c r="AR855" i="3" s="1"/>
  <c r="AS855" i="3" s="1"/>
  <c r="AT855" i="3" s="1"/>
  <c r="AU855" i="3" s="1"/>
  <c r="AV855" i="3" s="1"/>
  <c r="AW855" i="3" s="1"/>
  <c r="AX855" i="3" s="1"/>
  <c r="AS1355" i="3"/>
  <c r="AT1355" i="3" s="1"/>
  <c r="AU1355" i="3" s="1"/>
  <c r="AV1355" i="3" s="1"/>
  <c r="AW1355" i="3" s="1"/>
  <c r="AX1355" i="3" s="1"/>
  <c r="AQ438" i="3"/>
  <c r="AR438" i="3" s="1"/>
  <c r="AS438" i="3" s="1"/>
  <c r="AT438" i="3" s="1"/>
  <c r="AU438" i="3" s="1"/>
  <c r="AV438" i="3" s="1"/>
  <c r="AW438" i="3" s="1"/>
  <c r="AX438" i="3" s="1"/>
  <c r="AQ899" i="3"/>
  <c r="AR899" i="3" s="1"/>
  <c r="AS899" i="3" s="1"/>
  <c r="AT899" i="3" s="1"/>
  <c r="AU899" i="3"/>
  <c r="AV899" i="3" s="1"/>
  <c r="AW899" i="3" s="1"/>
  <c r="AX899" i="3" s="1"/>
  <c r="AO1179" i="3"/>
  <c r="AP1179" i="3" s="1"/>
  <c r="AQ1179" i="3" s="1"/>
  <c r="AR1179" i="3" s="1"/>
  <c r="AS1179" i="3" s="1"/>
  <c r="AT1179" i="3" s="1"/>
  <c r="AU1179" i="3" s="1"/>
  <c r="AV1179" i="3" s="1"/>
  <c r="AW1179" i="3" s="1"/>
  <c r="AX1179" i="3" s="1"/>
  <c r="AS612" i="3"/>
  <c r="AT612" i="3" s="1"/>
  <c r="AU612" i="3" s="1"/>
  <c r="AV612" i="3"/>
  <c r="AW612" i="3" s="1"/>
  <c r="AX612" i="3" s="1"/>
  <c r="U50" i="4"/>
  <c r="U49" i="4"/>
  <c r="AT829" i="3"/>
  <c r="AU829" i="3" s="1"/>
  <c r="AV829" i="3" s="1"/>
  <c r="AP454" i="3"/>
  <c r="AQ454" i="3" s="1"/>
  <c r="AR454" i="3" s="1"/>
  <c r="AS454" i="3" s="1"/>
  <c r="AT454" i="3" s="1"/>
  <c r="AU454" i="3" s="1"/>
  <c r="AV454" i="3" s="1"/>
  <c r="AS928" i="3"/>
  <c r="AT928" i="3" s="1"/>
  <c r="AU928" i="3" s="1"/>
  <c r="AV928" i="3" s="1"/>
  <c r="AU285" i="3"/>
  <c r="AV285" i="3" s="1"/>
  <c r="AW285" i="3" s="1"/>
  <c r="AX285" i="3" s="1"/>
  <c r="AS285" i="3"/>
  <c r="AT285" i="3" s="1"/>
  <c r="AO1151" i="3"/>
  <c r="AP1151" i="3" s="1"/>
  <c r="AQ1151" i="3" s="1"/>
  <c r="AR1151" i="3" s="1"/>
  <c r="AS1151" i="3" s="1"/>
  <c r="AT1151" i="3" s="1"/>
  <c r="AU1151" i="3" s="1"/>
  <c r="AT1147" i="3"/>
  <c r="AU1147" i="3" s="1"/>
  <c r="AM1412" i="3"/>
  <c r="AQ1249" i="3"/>
  <c r="AP439" i="3"/>
  <c r="AQ845" i="3"/>
  <c r="AR1044" i="3"/>
  <c r="AS1044" i="3" s="1"/>
  <c r="AT1044" i="3" s="1"/>
  <c r="AU1044" i="3" s="1"/>
  <c r="AV1044" i="3" s="1"/>
  <c r="AW1044" i="3" s="1"/>
  <c r="AX1044" i="3" s="1"/>
  <c r="AN831" i="3"/>
  <c r="AO831" i="3" s="1"/>
  <c r="AP831" i="3" s="1"/>
  <c r="AQ831" i="3" s="1"/>
  <c r="AR831" i="3" s="1"/>
  <c r="AS831" i="3" s="1"/>
  <c r="AT831" i="3" s="1"/>
  <c r="AU831" i="3" s="1"/>
  <c r="AV831" i="3" s="1"/>
  <c r="AW831" i="3" s="1"/>
  <c r="AX831" i="3" s="1"/>
  <c r="AS124" i="3"/>
  <c r="AT124" i="3" s="1"/>
  <c r="AP672" i="3"/>
  <c r="AR772" i="3"/>
  <c r="AN187" i="3"/>
  <c r="AN184" i="3"/>
  <c r="AS523" i="3"/>
  <c r="AT523" i="3" s="1"/>
  <c r="AU523" i="3" s="1"/>
  <c r="AV523" i="3" s="1"/>
  <c r="AW523" i="3" s="1"/>
  <c r="AX523" i="3" s="1"/>
  <c r="AW1047" i="3"/>
  <c r="AX1047" i="3" s="1"/>
  <c r="AO54" i="3"/>
  <c r="AW1084" i="3"/>
  <c r="AX1084" i="3" s="1"/>
  <c r="AR43" i="3"/>
  <c r="AT1024" i="3"/>
  <c r="AW1024" i="3" s="1"/>
  <c r="AX1024" i="3" s="1"/>
  <c r="AU1024" i="3"/>
  <c r="AV1024" i="3" s="1"/>
  <c r="AP1024" i="3"/>
  <c r="AQ1024" i="3" s="1"/>
  <c r="AR1024" i="3" s="1"/>
  <c r="AS1024" i="3"/>
  <c r="AQ733" i="3"/>
  <c r="AO375" i="3"/>
  <c r="AP375" i="3" s="1"/>
  <c r="AQ375" i="3"/>
  <c r="AR375" i="3" s="1"/>
  <c r="AS375" i="3" s="1"/>
  <c r="AT375" i="3" s="1"/>
  <c r="AU375" i="3" s="1"/>
  <c r="AV375" i="3" s="1"/>
  <c r="AW375" i="3" s="1"/>
  <c r="AX375" i="3" s="1"/>
  <c r="AW759" i="3"/>
  <c r="AX759" i="3" s="1"/>
  <c r="AR612" i="3"/>
  <c r="AO1098" i="3"/>
  <c r="AS741" i="3"/>
  <c r="AT741" i="3" s="1"/>
  <c r="AU741" i="3" s="1"/>
  <c r="AV741" i="3" s="1"/>
  <c r="AW741" i="3" s="1"/>
  <c r="AX741" i="3" s="1"/>
  <c r="AQ1130" i="3"/>
  <c r="AR1130" i="3"/>
  <c r="AS1130" i="3" s="1"/>
  <c r="AT1130" i="3" s="1"/>
  <c r="AU1130" i="3" s="1"/>
  <c r="AV1130" i="3" s="1"/>
  <c r="AW1130" i="3" s="1"/>
  <c r="AX1130" i="3" s="1"/>
  <c r="AV344" i="3"/>
  <c r="AW344" i="3" s="1"/>
  <c r="AX344" i="3" s="1"/>
  <c r="AM989" i="3"/>
  <c r="AP1321" i="3"/>
  <c r="AR568" i="3"/>
  <c r="AT406" i="3"/>
  <c r="AU406" i="3" s="1"/>
  <c r="AW30" i="3"/>
  <c r="AX30" i="3" s="1"/>
  <c r="AQ221" i="3"/>
  <c r="AR221" i="3"/>
  <c r="AW333" i="3"/>
  <c r="AX333" i="3" s="1"/>
  <c r="W311" i="2"/>
  <c r="AR860" i="3"/>
  <c r="AS860" i="3" s="1"/>
  <c r="AT860" i="3" s="1"/>
  <c r="AU860" i="3" s="1"/>
  <c r="AV860" i="3" s="1"/>
  <c r="AR1226" i="3"/>
  <c r="AS1226" i="3" s="1"/>
  <c r="AT1226" i="3" s="1"/>
  <c r="AU1226" i="3" s="1"/>
  <c r="AV1226" i="3" s="1"/>
  <c r="AW1226" i="3" s="1"/>
  <c r="AX1226" i="3" s="1"/>
  <c r="AO1100" i="3"/>
  <c r="AP1100" i="3" s="1"/>
  <c r="AQ823" i="3"/>
  <c r="AR823" i="3"/>
  <c r="AS823" i="3" s="1"/>
  <c r="AT823" i="3" s="1"/>
  <c r="AU823" i="3" s="1"/>
  <c r="AV823" i="3" s="1"/>
  <c r="AW823" i="3" s="1"/>
  <c r="AX823" i="3" s="1"/>
  <c r="AU124" i="3"/>
  <c r="AS585" i="3"/>
  <c r="AT585" i="3" s="1"/>
  <c r="AU585" i="3" s="1"/>
  <c r="AV585" i="3" s="1"/>
  <c r="AW585" i="3" s="1"/>
  <c r="AX585" i="3" s="1"/>
  <c r="AR959" i="3"/>
  <c r="AS959" i="3" s="1"/>
  <c r="AT959" i="3" s="1"/>
  <c r="AU959" i="3" s="1"/>
  <c r="AV959" i="3" s="1"/>
  <c r="AW959" i="3" s="1"/>
  <c r="AX959" i="3" s="1"/>
  <c r="AR792" i="3"/>
  <c r="AQ791" i="3"/>
  <c r="AR791" i="3" s="1"/>
  <c r="AS791" i="3" s="1"/>
  <c r="AT791" i="3" s="1"/>
  <c r="AU791" i="3" s="1"/>
  <c r="AV791" i="3" s="1"/>
  <c r="AW791" i="3" s="1"/>
  <c r="AX791" i="3" s="1"/>
  <c r="AR901" i="3"/>
  <c r="AS901" i="3" s="1"/>
  <c r="AT901" i="3" s="1"/>
  <c r="AU901" i="3" s="1"/>
  <c r="AV901" i="3" s="1"/>
  <c r="AN791" i="3"/>
  <c r="AO791" i="3" s="1"/>
  <c r="AQ1262" i="3"/>
  <c r="AR1262" i="3"/>
  <c r="AS1262" i="3"/>
  <c r="AT1262" i="3" s="1"/>
  <c r="AU1262" i="3" s="1"/>
  <c r="AV1262" i="3" s="1"/>
  <c r="AW1262" i="3" s="1"/>
  <c r="AX1262" i="3" s="1"/>
  <c r="AP583" i="3"/>
  <c r="AQ583" i="3" s="1"/>
  <c r="AR583" i="3" s="1"/>
  <c r="AS583" i="3" s="1"/>
  <c r="AT583" i="3" s="1"/>
  <c r="AU583" i="3" s="1"/>
  <c r="AV583" i="3" s="1"/>
  <c r="AW583" i="3" s="1"/>
  <c r="AX583" i="3" s="1"/>
  <c r="AN776" i="3"/>
  <c r="AO776" i="3" s="1"/>
  <c r="AP776" i="3" s="1"/>
  <c r="AQ776" i="3" s="1"/>
  <c r="AR776" i="3" s="1"/>
  <c r="AS776" i="3" s="1"/>
  <c r="AT776" i="3" s="1"/>
  <c r="AU776" i="3" s="1"/>
  <c r="AV776" i="3" s="1"/>
  <c r="AW776" i="3" s="1"/>
  <c r="AX776" i="3" s="1"/>
  <c r="AU302" i="3"/>
  <c r="AV302" i="3" s="1"/>
  <c r="AW302" i="3" s="1"/>
  <c r="AX302" i="3" s="1"/>
  <c r="U216" i="4"/>
  <c r="U212" i="4" s="1"/>
  <c r="U1104" i="4"/>
  <c r="AU1311" i="3"/>
  <c r="AV1311" i="3" s="1"/>
  <c r="AW1311" i="3" s="1"/>
  <c r="AX1311" i="3" s="1"/>
  <c r="AN227" i="3"/>
  <c r="AN610" i="3"/>
  <c r="AO610" i="3" s="1"/>
  <c r="AU624" i="3"/>
  <c r="AV624" i="3" s="1"/>
  <c r="AW624" i="3" s="1"/>
  <c r="AX624" i="3" s="1"/>
  <c r="AW1332" i="3"/>
  <c r="AX1332" i="3" s="1"/>
  <c r="AQ172" i="3"/>
  <c r="AL1418" i="3"/>
  <c r="W165" i="4" s="1"/>
  <c r="AP830" i="3"/>
  <c r="AQ830" i="3" s="1"/>
  <c r="AR830" i="3" s="1"/>
  <c r="AS830" i="3" s="1"/>
  <c r="AT830" i="3" s="1"/>
  <c r="AU830" i="3" s="1"/>
  <c r="AV830" i="3" s="1"/>
  <c r="AW830" i="3" s="1"/>
  <c r="AX830" i="3" s="1"/>
  <c r="AO505" i="3"/>
  <c r="AQ267" i="3"/>
  <c r="AR267" i="3" s="1"/>
  <c r="AS267" i="3" s="1"/>
  <c r="AT267" i="3" s="1"/>
  <c r="AU267" i="3"/>
  <c r="AV267" i="3" s="1"/>
  <c r="AW267" i="3" s="1"/>
  <c r="AX267" i="3" s="1"/>
  <c r="AS1106" i="3"/>
  <c r="AT1106" i="3" s="1"/>
  <c r="AU1106" i="3" s="1"/>
  <c r="AV1106" i="3" s="1"/>
  <c r="AW1106" i="3" s="1"/>
  <c r="AX1106" i="3" s="1"/>
  <c r="T555" i="4"/>
  <c r="T1196" i="4"/>
  <c r="AO1063" i="3"/>
  <c r="AP1063" i="3"/>
  <c r="AS1063" i="3"/>
  <c r="S25" i="2"/>
  <c r="AR332" i="3"/>
  <c r="AS332" i="3" s="1"/>
  <c r="AT332" i="3" s="1"/>
  <c r="AU332" i="3" s="1"/>
  <c r="AV332" i="3" s="1"/>
  <c r="AW332" i="3" s="1"/>
  <c r="AX332" i="3" s="1"/>
  <c r="AT301" i="3"/>
  <c r="AU301" i="3" s="1"/>
  <c r="AV301" i="3" s="1"/>
  <c r="AW301" i="3" s="1"/>
  <c r="AX301" i="3" s="1"/>
  <c r="AW256" i="3"/>
  <c r="AX256" i="3" s="1"/>
  <c r="AV256" i="3"/>
  <c r="AU653" i="3"/>
  <c r="AV653" i="3"/>
  <c r="AT653" i="3"/>
  <c r="AW653" i="3" s="1"/>
  <c r="AX653" i="3" s="1"/>
  <c r="AS653" i="3"/>
  <c r="AP1157" i="3"/>
  <c r="AQ1157" i="3" s="1"/>
  <c r="AR1157" i="3" s="1"/>
  <c r="AS1157" i="3" s="1"/>
  <c r="AT1157" i="3" s="1"/>
  <c r="AU1157" i="3" s="1"/>
  <c r="AV1157" i="3" s="1"/>
  <c r="AW1157" i="3" s="1"/>
  <c r="AX1157" i="3" s="1"/>
  <c r="AP400" i="3"/>
  <c r="AQ400" i="3"/>
  <c r="AR400" i="3" s="1"/>
  <c r="AS400" i="3" s="1"/>
  <c r="AT400" i="3" s="1"/>
  <c r="AU400" i="3" s="1"/>
  <c r="AV400" i="3" s="1"/>
  <c r="AW400" i="3" s="1"/>
  <c r="AX400" i="3" s="1"/>
  <c r="AR303" i="3"/>
  <c r="AS303" i="3" s="1"/>
  <c r="AT303" i="3"/>
  <c r="AU303" i="3" s="1"/>
  <c r="AV303" i="3" s="1"/>
  <c r="AW303" i="3" s="1"/>
  <c r="AX303" i="3" s="1"/>
  <c r="AO484" i="3"/>
  <c r="AV654" i="3"/>
  <c r="AW654" i="3" s="1"/>
  <c r="AX654" i="3" s="1"/>
  <c r="AU654" i="3"/>
  <c r="AS1000" i="3"/>
  <c r="AT1000" i="3" s="1"/>
  <c r="AU1000" i="3" s="1"/>
  <c r="AV1000" i="3" s="1"/>
  <c r="AW1000" i="3" s="1"/>
  <c r="AX1000" i="3" s="1"/>
  <c r="AN668" i="3"/>
  <c r="AO668" i="3" s="1"/>
  <c r="AP668" i="3" s="1"/>
  <c r="AQ668" i="3" s="1"/>
  <c r="AR668" i="3" s="1"/>
  <c r="AS668" i="3" s="1"/>
  <c r="AT668" i="3" s="1"/>
  <c r="AO318" i="3"/>
  <c r="AP318" i="3" s="1"/>
  <c r="AQ318" i="3" s="1"/>
  <c r="AR318" i="3" s="1"/>
  <c r="AS318" i="3" s="1"/>
  <c r="AT318" i="3" s="1"/>
  <c r="AU318" i="3" s="1"/>
  <c r="AV293" i="3"/>
  <c r="AW293" i="3" s="1"/>
  <c r="AX293" i="3" s="1"/>
  <c r="AQ1234" i="3"/>
  <c r="T325" i="4"/>
  <c r="AQ1095" i="3"/>
  <c r="AR1095" i="3" s="1"/>
  <c r="AS1095" i="3" s="1"/>
  <c r="AT1095" i="3" s="1"/>
  <c r="AU1095" i="3" s="1"/>
  <c r="AV1095" i="3" s="1"/>
  <c r="AW1095" i="3" s="1"/>
  <c r="AX1095" i="3" s="1"/>
  <c r="AS1090" i="3"/>
  <c r="AT1090" i="3" s="1"/>
  <c r="AR1068" i="3"/>
  <c r="AP145" i="3"/>
  <c r="AQ145" i="3"/>
  <c r="AW1190" i="3"/>
  <c r="AX1190" i="3" s="1"/>
  <c r="AR85" i="3"/>
  <c r="AS85" i="3"/>
  <c r="AT85" i="3" s="1"/>
  <c r="AU85" i="3" s="1"/>
  <c r="AV85" i="3" s="1"/>
  <c r="AW85" i="3" s="1"/>
  <c r="AX85" i="3" s="1"/>
  <c r="AR67" i="3"/>
  <c r="AS67" i="3" s="1"/>
  <c r="AT67" i="3" s="1"/>
  <c r="AU67" i="3" s="1"/>
  <c r="AV67" i="3" s="1"/>
  <c r="AS726" i="3"/>
  <c r="AT726" i="3" s="1"/>
  <c r="AU726" i="3" s="1"/>
  <c r="AS404" i="3"/>
  <c r="AT404" i="3" s="1"/>
  <c r="AN1379" i="3"/>
  <c r="AO1379" i="3"/>
  <c r="AP1379" i="3" s="1"/>
  <c r="AQ1379" i="3" s="1"/>
  <c r="AR1379" i="3" s="1"/>
  <c r="AS1379" i="3" s="1"/>
  <c r="AT1379" i="3" s="1"/>
  <c r="AU1379" i="3" s="1"/>
  <c r="AV1379" i="3" s="1"/>
  <c r="AW1379" i="3" s="1"/>
  <c r="AX1379" i="3" s="1"/>
  <c r="AO292" i="3"/>
  <c r="AP551" i="3"/>
  <c r="AQ551" i="3" s="1"/>
  <c r="AO1388" i="3"/>
  <c r="AP1388" i="3" s="1"/>
  <c r="AQ1388" i="3" s="1"/>
  <c r="AR1388" i="3" s="1"/>
  <c r="AS1388" i="3" s="1"/>
  <c r="AT1388" i="3" s="1"/>
  <c r="AU1388" i="3" s="1"/>
  <c r="AV1388" i="3" s="1"/>
  <c r="AW1388" i="3" s="1"/>
  <c r="AX1388" i="3" s="1"/>
  <c r="T357" i="4"/>
  <c r="AW519" i="3"/>
  <c r="AX519" i="3" s="1"/>
  <c r="AP461" i="3"/>
  <c r="AQ461" i="3" s="1"/>
  <c r="AR461" i="3" s="1"/>
  <c r="AS461" i="3" s="1"/>
  <c r="AN488" i="3"/>
  <c r="AO488" i="3" s="1"/>
  <c r="AP488" i="3" s="1"/>
  <c r="AP1118" i="3"/>
  <c r="AR1192" i="3"/>
  <c r="AS1192" i="3" s="1"/>
  <c r="AS288" i="3"/>
  <c r="AT288" i="3" s="1"/>
  <c r="AU288" i="3" s="1"/>
  <c r="AV288" i="3" s="1"/>
  <c r="AW288" i="3" s="1"/>
  <c r="AX288" i="3" s="1"/>
  <c r="AR288" i="3"/>
  <c r="AQ479" i="3"/>
  <c r="AR834" i="3"/>
  <c r="AS834" i="3" s="1"/>
  <c r="AT834" i="3" s="1"/>
  <c r="AU834" i="3" s="1"/>
  <c r="AV834" i="3" s="1"/>
  <c r="AW834" i="3" s="1"/>
  <c r="AX834" i="3" s="1"/>
  <c r="AW848" i="3"/>
  <c r="AX848" i="3" s="1"/>
  <c r="AP1143" i="3"/>
  <c r="AR1186" i="3"/>
  <c r="AS1186" i="3" s="1"/>
  <c r="AT1186" i="3" s="1"/>
  <c r="AU1186" i="3" s="1"/>
  <c r="AV1186" i="3" s="1"/>
  <c r="AW1186" i="3" s="1"/>
  <c r="AX1186" i="3" s="1"/>
  <c r="AT881" i="3"/>
  <c r="AU881" i="3" s="1"/>
  <c r="AV881" i="3" s="1"/>
  <c r="AW881" i="3" s="1"/>
  <c r="AX881" i="3" s="1"/>
  <c r="AQ881" i="3"/>
  <c r="AR881" i="3" s="1"/>
  <c r="AS881" i="3" s="1"/>
  <c r="L55" i="2"/>
  <c r="AP682" i="3"/>
  <c r="AQ682" i="3" s="1"/>
  <c r="AR682" i="3" s="1"/>
  <c r="AS682" i="3" s="1"/>
  <c r="AT682" i="3" s="1"/>
  <c r="AU682" i="3" s="1"/>
  <c r="AQ1038" i="3"/>
  <c r="AR1038" i="3" s="1"/>
  <c r="AS1038" i="3" s="1"/>
  <c r="AT1038" i="3" s="1"/>
  <c r="AO126" i="3"/>
  <c r="AP126" i="3" s="1"/>
  <c r="AQ126" i="3" s="1"/>
  <c r="AR126" i="3" s="1"/>
  <c r="AS126" i="3" s="1"/>
  <c r="AT126" i="3" s="1"/>
  <c r="AU126" i="3" s="1"/>
  <c r="AV126" i="3" s="1"/>
  <c r="AW126" i="3"/>
  <c r="AX126" i="3" s="1"/>
  <c r="AW1128" i="3"/>
  <c r="AX1128" i="3" s="1"/>
  <c r="AR11" i="3"/>
  <c r="AS11" i="3" s="1"/>
  <c r="AT11" i="3" s="1"/>
  <c r="AO250" i="3"/>
  <c r="AR527" i="3"/>
  <c r="AS527" i="3"/>
  <c r="AR1284" i="3"/>
  <c r="AS1284" i="3" s="1"/>
  <c r="AT1284" i="3" s="1"/>
  <c r="AU1284" i="3" s="1"/>
  <c r="AV1284" i="3" s="1"/>
  <c r="AW1284" i="3" s="1"/>
  <c r="AX1284" i="3" s="1"/>
  <c r="AQ1153" i="3"/>
  <c r="AR1153" i="3" s="1"/>
  <c r="AS1153" i="3" s="1"/>
  <c r="AT1153" i="3" s="1"/>
  <c r="AU1153" i="3" s="1"/>
  <c r="AO22" i="3"/>
  <c r="AP22" i="3" s="1"/>
  <c r="AQ22" i="3" s="1"/>
  <c r="AR22" i="3" s="1"/>
  <c r="AS22" i="3" s="1"/>
  <c r="AT22" i="3"/>
  <c r="AU22" i="3" s="1"/>
  <c r="AV22" i="3" s="1"/>
  <c r="AW22" i="3" s="1"/>
  <c r="AX22" i="3" s="1"/>
  <c r="AS221" i="3"/>
  <c r="AW1387" i="3"/>
  <c r="AX1387" i="3" s="1"/>
  <c r="AQ132" i="3"/>
  <c r="AR132" i="3" s="1"/>
  <c r="AS132" i="3" s="1"/>
  <c r="AT132" i="3" s="1"/>
  <c r="AU132" i="3" s="1"/>
  <c r="AV132" i="3" s="1"/>
  <c r="AW132" i="3" s="1"/>
  <c r="AX132" i="3" s="1"/>
  <c r="AP347" i="3"/>
  <c r="AQ347" i="3" s="1"/>
  <c r="AV1353" i="3"/>
  <c r="AC866" i="4"/>
  <c r="AO121" i="3"/>
  <c r="AP121" i="3" s="1"/>
  <c r="AT1227" i="3"/>
  <c r="AU1227" i="3" s="1"/>
  <c r="AU1317" i="3"/>
  <c r="AV1317" i="3" s="1"/>
  <c r="AP1259" i="3"/>
  <c r="AQ1259" i="3" s="1"/>
  <c r="AR1259" i="3" s="1"/>
  <c r="AS1259" i="3" s="1"/>
  <c r="AS86" i="3"/>
  <c r="AQ1063" i="3"/>
  <c r="AR1063" i="3" s="1"/>
  <c r="S89" i="4"/>
  <c r="U382" i="2"/>
  <c r="AW342" i="3"/>
  <c r="AX342" i="3" s="1"/>
  <c r="AV1210" i="3"/>
  <c r="AW1210" i="3" s="1"/>
  <c r="AX1210" i="3" s="1"/>
  <c r="AM1053" i="3"/>
  <c r="AQ1177" i="3"/>
  <c r="AR1177" i="3" s="1"/>
  <c r="AS1177" i="3" s="1"/>
  <c r="AT1177" i="3" s="1"/>
  <c r="AS732" i="3"/>
  <c r="AT732" i="3" s="1"/>
  <c r="AU732" i="3" s="1"/>
  <c r="AV732" i="3" s="1"/>
  <c r="AW732" i="3"/>
  <c r="AX732" i="3" s="1"/>
  <c r="AS805" i="3"/>
  <c r="AT805" i="3" s="1"/>
  <c r="AU805" i="3" s="1"/>
  <c r="AV805" i="3"/>
  <c r="AW805" i="3" s="1"/>
  <c r="AX805" i="3" s="1"/>
  <c r="AO475" i="3"/>
  <c r="AP475" i="3" s="1"/>
  <c r="AR475" i="3"/>
  <c r="AT117" i="3"/>
  <c r="AU117" i="3" s="1"/>
  <c r="AV117" i="3" s="1"/>
  <c r="AW117" i="3" s="1"/>
  <c r="AX117" i="3" s="1"/>
  <c r="AO731" i="3"/>
  <c r="AP731" i="3"/>
  <c r="AQ731" i="3" s="1"/>
  <c r="AR731" i="3" s="1"/>
  <c r="AS731" i="3" s="1"/>
  <c r="AT731" i="3" s="1"/>
  <c r="AU731" i="3" s="1"/>
  <c r="AV731" i="3" s="1"/>
  <c r="AW731" i="3" s="1"/>
  <c r="AX731" i="3" s="1"/>
  <c r="AR1250" i="3"/>
  <c r="AS1250" i="3" s="1"/>
  <c r="AT1250" i="3" s="1"/>
  <c r="AU1250" i="3" s="1"/>
  <c r="AV1250" i="3" s="1"/>
  <c r="AW1250" i="3" s="1"/>
  <c r="AX1250" i="3" s="1"/>
  <c r="AQ1120" i="3"/>
  <c r="AR1120" i="3" s="1"/>
  <c r="AP1120" i="3"/>
  <c r="AO1120" i="3"/>
  <c r="AA300" i="2"/>
  <c r="AA212" i="2"/>
  <c r="Z301" i="2"/>
  <c r="Z302" i="2" s="1"/>
  <c r="Z306" i="2" s="1"/>
  <c r="AR442" i="3"/>
  <c r="AS442" i="3" s="1"/>
  <c r="AT442" i="3" s="1"/>
  <c r="AU442" i="3" s="1"/>
  <c r="AV442" i="3" s="1"/>
  <c r="AW442" i="3" s="1"/>
  <c r="AX442" i="3" s="1"/>
  <c r="AJ368" i="2"/>
  <c r="AP790" i="3"/>
  <c r="AQ790" i="3" s="1"/>
  <c r="AR790" i="3" s="1"/>
  <c r="AS790" i="3" s="1"/>
  <c r="AT790" i="3" s="1"/>
  <c r="AU790" i="3" s="1"/>
  <c r="AV790" i="3" s="1"/>
  <c r="AW790" i="3" s="1"/>
  <c r="AX790" i="3" s="1"/>
  <c r="AQ930" i="3"/>
  <c r="AR930" i="3" s="1"/>
  <c r="Y79" i="2"/>
  <c r="AP645" i="3"/>
  <c r="AQ645" i="3" s="1"/>
  <c r="AR645" i="3"/>
  <c r="AS645" i="3" s="1"/>
  <c r="AT645" i="3" s="1"/>
  <c r="AS702" i="3"/>
  <c r="AT702" i="3" s="1"/>
  <c r="AU702" i="3"/>
  <c r="AV702" i="3" s="1"/>
  <c r="AW702" i="3" s="1"/>
  <c r="AX702" i="3" s="1"/>
  <c r="AP335" i="3"/>
  <c r="AQ335" i="3" s="1"/>
  <c r="AR335" i="3" s="1"/>
  <c r="AS335" i="3" s="1"/>
  <c r="AT335" i="3" s="1"/>
  <c r="AU335" i="3" s="1"/>
  <c r="AV335" i="3" s="1"/>
  <c r="AW335" i="3" s="1"/>
  <c r="AX335" i="3" s="1"/>
  <c r="AR1346" i="3"/>
  <c r="AS1346" i="3"/>
  <c r="AQ418" i="3"/>
  <c r="AR418" i="3"/>
  <c r="AS418" i="3" s="1"/>
  <c r="AR1062" i="3"/>
  <c r="AS1062" i="3" s="1"/>
  <c r="AT1062" i="3" s="1"/>
  <c r="AU1062" i="3" s="1"/>
  <c r="AV1062" i="3" s="1"/>
  <c r="AW1062" i="3" s="1"/>
  <c r="AX1062" i="3" s="1"/>
  <c r="AS76" i="3"/>
  <c r="AT76" i="3" s="1"/>
  <c r="AU76" i="3" s="1"/>
  <c r="AV76" i="3" s="1"/>
  <c r="AW76" i="3" s="1"/>
  <c r="AX76" i="3" s="1"/>
  <c r="AR76" i="3"/>
  <c r="AO449" i="3"/>
  <c r="AS1087" i="3"/>
  <c r="AT1087" i="3" s="1"/>
  <c r="AU1087" i="3" s="1"/>
  <c r="AV1087" i="3" s="1"/>
  <c r="AW1087" i="3" s="1"/>
  <c r="AX1087" i="3" s="1"/>
  <c r="AF753" i="4"/>
  <c r="AF812" i="4" s="1"/>
  <c r="AF799" i="4"/>
  <c r="AF801" i="4" s="1"/>
  <c r="AT964" i="3"/>
  <c r="AU964" i="3" s="1"/>
  <c r="AV964" i="3" s="1"/>
  <c r="AW964" i="3" s="1"/>
  <c r="AX964" i="3" s="1"/>
  <c r="AQ702" i="3"/>
  <c r="AR702" i="3" s="1"/>
  <c r="AN938" i="3"/>
  <c r="AO938" i="3" s="1"/>
  <c r="AP938" i="3" s="1"/>
  <c r="AQ938" i="3" s="1"/>
  <c r="AR938" i="3" s="1"/>
  <c r="AS938" i="3" s="1"/>
  <c r="AT938" i="3" s="1"/>
  <c r="AU938" i="3" s="1"/>
  <c r="AV938" i="3" s="1"/>
  <c r="AW938" i="3"/>
  <c r="AX938" i="3" s="1"/>
  <c r="AP77" i="3"/>
  <c r="AU876" i="3"/>
  <c r="AV876" i="3" s="1"/>
  <c r="AW876" i="3" s="1"/>
  <c r="AX876" i="3" s="1"/>
  <c r="AN1276" i="3"/>
  <c r="AO1276" i="3" s="1"/>
  <c r="AP1276" i="3" s="1"/>
  <c r="AQ1276" i="3" s="1"/>
  <c r="AR1276" i="3" s="1"/>
  <c r="AS1276" i="3" s="1"/>
  <c r="AT1276" i="3" s="1"/>
  <c r="AU1276" i="3" s="1"/>
  <c r="AV1276" i="3" s="1"/>
  <c r="AW1276" i="3" s="1"/>
  <c r="AX1276" i="3" s="1"/>
  <c r="AP925" i="3"/>
  <c r="AQ925" i="3" s="1"/>
  <c r="AR925" i="3" s="1"/>
  <c r="AS116" i="3"/>
  <c r="AT116" i="3"/>
  <c r="AU116" i="3" s="1"/>
  <c r="AV116" i="3" s="1"/>
  <c r="AW116" i="3" s="1"/>
  <c r="AX116" i="3" s="1"/>
  <c r="AS789" i="3"/>
  <c r="AT789" i="3" s="1"/>
  <c r="AU789" i="3"/>
  <c r="AV789" i="3" s="1"/>
  <c r="AW789" i="3" s="1"/>
  <c r="AX789" i="3" s="1"/>
  <c r="AP82" i="3"/>
  <c r="AQ82" i="3" s="1"/>
  <c r="AR82" i="3" s="1"/>
  <c r="AS82" i="3" s="1"/>
  <c r="AT82" i="3" s="1"/>
  <c r="AU82" i="3" s="1"/>
  <c r="AV82" i="3" s="1"/>
  <c r="AW82" i="3" s="1"/>
  <c r="AX82" i="3" s="1"/>
  <c r="AO651" i="3"/>
  <c r="AP651" i="3" s="1"/>
  <c r="AQ651" i="3" s="1"/>
  <c r="AR651" i="3" s="1"/>
  <c r="AS651" i="3" s="1"/>
  <c r="AT651" i="3" s="1"/>
  <c r="AU651" i="3" s="1"/>
  <c r="AV651" i="3" s="1"/>
  <c r="AW651" i="3" s="1"/>
  <c r="AX651" i="3" s="1"/>
  <c r="AQ207" i="3"/>
  <c r="AR207" i="3" s="1"/>
  <c r="AS207" i="3" s="1"/>
  <c r="AT207" i="3" s="1"/>
  <c r="AU207" i="3" s="1"/>
  <c r="AV207" i="3" s="1"/>
  <c r="AW207" i="3" s="1"/>
  <c r="AX207" i="3" s="1"/>
  <c r="AQ367" i="3"/>
  <c r="AR367" i="3" s="1"/>
  <c r="AS949" i="3"/>
  <c r="AT949" i="3" s="1"/>
  <c r="AU949" i="3" s="1"/>
  <c r="AV949" i="3" s="1"/>
  <c r="AW949" i="3" s="1"/>
  <c r="AX949" i="3" s="1"/>
  <c r="AS262" i="3"/>
  <c r="AT262" i="3" s="1"/>
  <c r="AU262" i="3" s="1"/>
  <c r="AV262" i="3" s="1"/>
  <c r="AW262" i="3" s="1"/>
  <c r="AX262" i="3" s="1"/>
  <c r="AT902" i="3"/>
  <c r="AU902" i="3" s="1"/>
  <c r="AV902" i="3" s="1"/>
  <c r="AW902" i="3" s="1"/>
  <c r="AX902" i="3" s="1"/>
  <c r="AP1253" i="3"/>
  <c r="AQ1253" i="3" s="1"/>
  <c r="AR1253" i="3" s="1"/>
  <c r="AS1253" i="3" s="1"/>
  <c r="AT1253" i="3" s="1"/>
  <c r="AU1253" i="3" s="1"/>
  <c r="AV1253" i="3" s="1"/>
  <c r="AW1253" i="3" s="1"/>
  <c r="AX1253" i="3" s="1"/>
  <c r="AT984" i="3"/>
  <c r="AU984" i="3"/>
  <c r="AV984" i="3" s="1"/>
  <c r="AW984" i="3" s="1"/>
  <c r="AX984" i="3" s="1"/>
  <c r="AS703" i="3"/>
  <c r="AT703" i="3" s="1"/>
  <c r="AU703" i="3" s="1"/>
  <c r="AV703" i="3" s="1"/>
  <c r="AW703" i="3"/>
  <c r="AX703" i="3" s="1"/>
  <c r="T5" i="2"/>
  <c r="S3" i="2"/>
  <c r="S289" i="2"/>
  <c r="V289" i="2" s="1"/>
  <c r="S277" i="2"/>
  <c r="AI277" i="2" s="1"/>
  <c r="S276" i="2"/>
  <c r="X276" i="2" s="1"/>
  <c r="S269" i="2"/>
  <c r="Z269" i="2" s="1"/>
  <c r="S278" i="2"/>
  <c r="Y278" i="2" s="1"/>
  <c r="S275" i="2"/>
  <c r="AI275" i="2" s="1"/>
  <c r="S279" i="2"/>
  <c r="AF279" i="2" s="1"/>
  <c r="S286" i="2"/>
  <c r="AH286" i="2" s="1"/>
  <c r="S290" i="2"/>
  <c r="AB290" i="2" s="1"/>
  <c r="S287" i="2"/>
  <c r="W287" i="2" s="1"/>
  <c r="S288" i="2"/>
  <c r="AC288" i="2" s="1"/>
  <c r="R528" i="4"/>
  <c r="AR880" i="3"/>
  <c r="AS880" i="3" s="1"/>
  <c r="AT880" i="3" s="1"/>
  <c r="AU880" i="3" s="1"/>
  <c r="AV880" i="3" s="1"/>
  <c r="AW880" i="3"/>
  <c r="AX880" i="3" s="1"/>
  <c r="AO272" i="3"/>
  <c r="AP499" i="3"/>
  <c r="AO499" i="3"/>
  <c r="AT499" i="3" s="1"/>
  <c r="AU499" i="3" s="1"/>
  <c r="AV499" i="3" s="1"/>
  <c r="AW499" i="3" s="1"/>
  <c r="AX499" i="3" s="1"/>
  <c r="AQ499" i="3"/>
  <c r="AR499" i="3" s="1"/>
  <c r="AP131" i="3"/>
  <c r="AQ131" i="3" s="1"/>
  <c r="AR131" i="3" s="1"/>
  <c r="AS131" i="3"/>
  <c r="AT131" i="3" s="1"/>
  <c r="AU131" i="3" s="1"/>
  <c r="AV131" i="3" s="1"/>
  <c r="AW131" i="3" s="1"/>
  <c r="AX131" i="3" s="1"/>
  <c r="AN521" i="3"/>
  <c r="AO521" i="3" s="1"/>
  <c r="AP521" i="3" s="1"/>
  <c r="AQ521" i="3" s="1"/>
  <c r="AR521" i="3" s="1"/>
  <c r="AS521" i="3" s="1"/>
  <c r="AT521" i="3" s="1"/>
  <c r="AU521" i="3" s="1"/>
  <c r="AV521" i="3" s="1"/>
  <c r="AW521" i="3" s="1"/>
  <c r="AX521" i="3" s="1"/>
  <c r="AN715" i="3"/>
  <c r="AO715" i="3"/>
  <c r="AM715" i="3"/>
  <c r="AP715" i="3" s="1"/>
  <c r="AQ371" i="3"/>
  <c r="AR371" i="3" s="1"/>
  <c r="AS371" i="3" s="1"/>
  <c r="AU1061" i="3"/>
  <c r="AV1061" i="3" s="1"/>
  <c r="AW1061" i="3" s="1"/>
  <c r="AX1061" i="3" s="1"/>
  <c r="AP633" i="3"/>
  <c r="AJ35" i="2"/>
  <c r="R325" i="4"/>
  <c r="AO1176" i="3"/>
  <c r="AP1176" i="3" s="1"/>
  <c r="AQ1176" i="3" s="1"/>
  <c r="AR1176" i="3"/>
  <c r="AS1176" i="3" s="1"/>
  <c r="AT1176" i="3" s="1"/>
  <c r="AU1176" i="3" s="1"/>
  <c r="AV1176" i="3" s="1"/>
  <c r="AW1176" i="3" s="1"/>
  <c r="AX1176" i="3" s="1"/>
  <c r="AQ1254" i="3"/>
  <c r="AR1254" i="3" s="1"/>
  <c r="AS1254" i="3" s="1"/>
  <c r="AT1254" i="3" s="1"/>
  <c r="AT403" i="3"/>
  <c r="AU403" i="3" s="1"/>
  <c r="AV403" i="3" s="1"/>
  <c r="AW403" i="3" s="1"/>
  <c r="AX403" i="3" s="1"/>
  <c r="AO403" i="3"/>
  <c r="AP403" i="3" s="1"/>
  <c r="AQ403" i="3"/>
  <c r="AO426" i="3"/>
  <c r="AR380" i="3"/>
  <c r="AO590" i="3"/>
  <c r="AP590" i="3" s="1"/>
  <c r="AQ590" i="3" s="1"/>
  <c r="AR590" i="3" s="1"/>
  <c r="AS590" i="3" s="1"/>
  <c r="AT590" i="3" s="1"/>
  <c r="AU590" i="3" s="1"/>
  <c r="AV590" i="3" s="1"/>
  <c r="AW590" i="3" s="1"/>
  <c r="AX590" i="3" s="1"/>
  <c r="AO411" i="3"/>
  <c r="AP411" i="3" s="1"/>
  <c r="AQ411" i="3" s="1"/>
  <c r="AR411" i="3" s="1"/>
  <c r="AS411" i="3" s="1"/>
  <c r="AT411" i="3" s="1"/>
  <c r="AU411" i="3" s="1"/>
  <c r="AV411" i="3" s="1"/>
  <c r="AW411" i="3" s="1"/>
  <c r="AX411" i="3" s="1"/>
  <c r="AM830" i="3"/>
  <c r="AN830" i="3" s="1"/>
  <c r="AO830" i="3" s="1"/>
  <c r="AR1344" i="3"/>
  <c r="AS1344" i="3" s="1"/>
  <c r="AT1344" i="3" s="1"/>
  <c r="AU1344" i="3" s="1"/>
  <c r="AO1087" i="3"/>
  <c r="AP1087" i="3" s="1"/>
  <c r="AQ1087" i="3" s="1"/>
  <c r="AR1087" i="3" s="1"/>
  <c r="AR979" i="3"/>
  <c r="AS979" i="3" s="1"/>
  <c r="AT979" i="3" s="1"/>
  <c r="AU979" i="3" s="1"/>
  <c r="AV979" i="3" s="1"/>
  <c r="AW979" i="3" s="1"/>
  <c r="AX979" i="3" s="1"/>
  <c r="AU744" i="3"/>
  <c r="AV744" i="3" s="1"/>
  <c r="AW744" i="3" s="1"/>
  <c r="AX744" i="3" s="1"/>
  <c r="AT678" i="3"/>
  <c r="AU678" i="3" s="1"/>
  <c r="AV678" i="3" s="1"/>
  <c r="AW678" i="3" s="1"/>
  <c r="AX678" i="3" s="1"/>
  <c r="AP714" i="3"/>
  <c r="AQ714" i="3" s="1"/>
  <c r="AO714" i="3"/>
  <c r="AR714" i="3" s="1"/>
  <c r="AS714" i="3" s="1"/>
  <c r="AT714" i="3" s="1"/>
  <c r="AU714" i="3" s="1"/>
  <c r="AV714" i="3" s="1"/>
  <c r="AV501" i="3"/>
  <c r="AW501" i="3" s="1"/>
  <c r="AX501" i="3" s="1"/>
  <c r="AV655" i="3"/>
  <c r="AW655" i="3" s="1"/>
  <c r="AX655" i="3" s="1"/>
  <c r="AS655" i="3"/>
  <c r="AT655" i="3" s="1"/>
  <c r="AU655" i="3" s="1"/>
  <c r="AP221" i="3"/>
  <c r="AO647" i="3"/>
  <c r="AP853" i="3"/>
  <c r="AQ853" i="3" s="1"/>
  <c r="AR853" i="3" s="1"/>
  <c r="AS853" i="3" s="1"/>
  <c r="AQ163" i="3"/>
  <c r="AR163" i="3" s="1"/>
  <c r="AS163" i="3" s="1"/>
  <c r="AT163" i="3" s="1"/>
  <c r="AU163" i="3" s="1"/>
  <c r="AV163" i="3" s="1"/>
  <c r="AW163" i="3" s="1"/>
  <c r="AX163" i="3" s="1"/>
  <c r="AU1090" i="3"/>
  <c r="AV1090" i="3" s="1"/>
  <c r="AW1090" i="3" s="1"/>
  <c r="AX1090" i="3" s="1"/>
  <c r="AP594" i="3"/>
  <c r="AQ12" i="3"/>
  <c r="AR12" i="3"/>
  <c r="AS12" i="3" s="1"/>
  <c r="AT12" i="3" s="1"/>
  <c r="AU12" i="3" s="1"/>
  <c r="AV12" i="3" s="1"/>
  <c r="AW12" i="3" s="1"/>
  <c r="AX12" i="3" s="1"/>
  <c r="AW522" i="3"/>
  <c r="AX522" i="3" s="1"/>
  <c r="AU1332" i="3"/>
  <c r="AV1332" i="3" s="1"/>
  <c r="AO663" i="3"/>
  <c r="AP663" i="3" s="1"/>
  <c r="AQ663" i="3" s="1"/>
  <c r="AR663" i="3" s="1"/>
  <c r="AS663" i="3" s="1"/>
  <c r="AT663" i="3" s="1"/>
  <c r="AU663" i="3" s="1"/>
  <c r="AV663" i="3" s="1"/>
  <c r="AW663" i="3"/>
  <c r="AX663" i="3" s="1"/>
  <c r="AP526" i="3"/>
  <c r="AQ526" i="3" s="1"/>
  <c r="AV526" i="3"/>
  <c r="AW526" i="3" s="1"/>
  <c r="AX526" i="3" s="1"/>
  <c r="AT730" i="3"/>
  <c r="AU730" i="3" s="1"/>
  <c r="AV730" i="3" s="1"/>
  <c r="AW730" i="3" s="1"/>
  <c r="AX730" i="3" s="1"/>
  <c r="AP695" i="3"/>
  <c r="AQ695" i="3" s="1"/>
  <c r="AT1111" i="3"/>
  <c r="AU1111" i="3" s="1"/>
  <c r="AV1111" i="3" s="1"/>
  <c r="AW1111" i="3" s="1"/>
  <c r="AX1111" i="3" s="1"/>
  <c r="AN1229" i="3"/>
  <c r="AO1229" i="3" s="1"/>
  <c r="AP1229" i="3" s="1"/>
  <c r="AQ1229" i="3"/>
  <c r="AR1229" i="3" s="1"/>
  <c r="AS1229" i="3" s="1"/>
  <c r="AT1229" i="3" s="1"/>
  <c r="AU1229" i="3" s="1"/>
  <c r="AV1229" i="3" s="1"/>
  <c r="AW1229" i="3" s="1"/>
  <c r="AX1229" i="3" s="1"/>
  <c r="AN374" i="3"/>
  <c r="AN1251" i="3"/>
  <c r="AO1251" i="3" s="1"/>
  <c r="AP1251" i="3" s="1"/>
  <c r="AQ1251" i="3" s="1"/>
  <c r="AW724" i="3"/>
  <c r="AX724" i="3" s="1"/>
  <c r="AQ475" i="3"/>
  <c r="AS475" i="3" s="1"/>
  <c r="AT475" i="3" s="1"/>
  <c r="AU475" i="3" s="1"/>
  <c r="AV475" i="3" s="1"/>
  <c r="AW475" i="3" s="1"/>
  <c r="AX475" i="3" s="1"/>
  <c r="AO1196" i="3"/>
  <c r="AP1196" i="3" s="1"/>
  <c r="AQ1196" i="3" s="1"/>
  <c r="AR1196" i="3" s="1"/>
  <c r="AS1196" i="3" s="1"/>
  <c r="AT1196" i="3" s="1"/>
  <c r="AU1196" i="3" s="1"/>
  <c r="AV1196" i="3" s="1"/>
  <c r="AW1196" i="3"/>
  <c r="AX1196" i="3" s="1"/>
  <c r="AT1264" i="3"/>
  <c r="AU1264" i="3" s="1"/>
  <c r="AV1264" i="3" s="1"/>
  <c r="AW1264" i="3" s="1"/>
  <c r="AX1264" i="3" s="1"/>
  <c r="AR1141" i="3"/>
  <c r="AO1033" i="3"/>
  <c r="AN52" i="3"/>
  <c r="AQ546" i="3"/>
  <c r="AR546" i="3" s="1"/>
  <c r="AS546" i="3" s="1"/>
  <c r="AT546" i="3" s="1"/>
  <c r="AP202" i="3"/>
  <c r="AQ202" i="3" s="1"/>
  <c r="AR202" i="3" s="1"/>
  <c r="AS202" i="3" s="1"/>
  <c r="AT202" i="3" s="1"/>
  <c r="AU202" i="3" s="1"/>
  <c r="AV202" i="3" s="1"/>
  <c r="AW202" i="3" s="1"/>
  <c r="AX202" i="3" s="1"/>
  <c r="AO340" i="3"/>
  <c r="AP340" i="3" s="1"/>
  <c r="AQ340" i="3" s="1"/>
  <c r="AR340" i="3" s="1"/>
  <c r="AS340" i="3" s="1"/>
  <c r="AT340" i="3" s="1"/>
  <c r="AU340" i="3" s="1"/>
  <c r="AV340" i="3" s="1"/>
  <c r="AW340" i="3" s="1"/>
  <c r="AX340" i="3" s="1"/>
  <c r="AQ1154" i="3"/>
  <c r="AR1154" i="3" s="1"/>
  <c r="AS1154" i="3" s="1"/>
  <c r="AT1154" i="3" s="1"/>
  <c r="AU1154" i="3" s="1"/>
  <c r="AV1154" i="3" s="1"/>
  <c r="AW1154" i="3" s="1"/>
  <c r="AX1154" i="3" s="1"/>
  <c r="AT427" i="3"/>
  <c r="AS1078" i="3"/>
  <c r="AT1078" i="3" s="1"/>
  <c r="AU1078" i="3" s="1"/>
  <c r="AV1078" i="3" s="1"/>
  <c r="AW1078" i="3" s="1"/>
  <c r="AX1078" i="3" s="1"/>
  <c r="AS764" i="3"/>
  <c r="AT764" i="3" s="1"/>
  <c r="AU764" i="3" s="1"/>
  <c r="AP110" i="3"/>
  <c r="AO1352" i="3"/>
  <c r="AP1206" i="3"/>
  <c r="AQ1206" i="3" s="1"/>
  <c r="AR1206" i="3" s="1"/>
  <c r="AS798" i="3"/>
  <c r="AT798" i="3" s="1"/>
  <c r="AU798" i="3" s="1"/>
  <c r="AV798" i="3" s="1"/>
  <c r="AW798" i="3" s="1"/>
  <c r="AX798" i="3" s="1"/>
  <c r="AO364" i="3"/>
  <c r="AU1116" i="3"/>
  <c r="AV1116" i="3" s="1"/>
  <c r="AW1116" i="3" s="1"/>
  <c r="AX1116" i="3" s="1"/>
  <c r="AW123" i="3"/>
  <c r="AX123" i="3" s="1"/>
  <c r="AT123" i="3"/>
  <c r="AU123" i="3" s="1"/>
  <c r="AV123" i="3" s="1"/>
  <c r="AO235" i="3"/>
  <c r="AP627" i="3"/>
  <c r="AQ627" i="3"/>
  <c r="AP1041" i="3"/>
  <c r="AQ1041" i="3" s="1"/>
  <c r="AR1016" i="3"/>
  <c r="AO299" i="3"/>
  <c r="AP1112" i="3"/>
  <c r="AA232" i="2"/>
  <c r="Z231" i="2"/>
  <c r="AP530" i="3"/>
  <c r="AQ530" i="3" s="1"/>
  <c r="AR530" i="3"/>
  <c r="AS530" i="3" s="1"/>
  <c r="AT530" i="3" s="1"/>
  <c r="AU530" i="3" s="1"/>
  <c r="AV530" i="3" s="1"/>
  <c r="AM472" i="3"/>
  <c r="AQ1089" i="3"/>
  <c r="AR1089" i="3" s="1"/>
  <c r="AS1089" i="3" s="1"/>
  <c r="AT1089" i="3" s="1"/>
  <c r="AU1089" i="3" s="1"/>
  <c r="AV1089" i="3" s="1"/>
  <c r="AW1089" i="3" s="1"/>
  <c r="AX1089" i="3" s="1"/>
  <c r="AR1115" i="3"/>
  <c r="AS1115" i="3" s="1"/>
  <c r="AT1115" i="3" s="1"/>
  <c r="AU1115" i="3" s="1"/>
  <c r="AV1115" i="3" s="1"/>
  <c r="AW1115" i="3" s="1"/>
  <c r="AX1115" i="3" s="1"/>
  <c r="AG866" i="4"/>
  <c r="V169" i="4"/>
  <c r="X82" i="2"/>
  <c r="V187" i="4"/>
  <c r="AQ176" i="3"/>
  <c r="AQ591" i="3"/>
  <c r="AU46" i="3"/>
  <c r="AV46" i="3" s="1"/>
  <c r="AW46" i="3" s="1"/>
  <c r="AX46" i="3" s="1"/>
  <c r="AR707" i="3"/>
  <c r="AS707" i="3" s="1"/>
  <c r="AT707" i="3" s="1"/>
  <c r="AU707" i="3" s="1"/>
  <c r="AV707" i="3" s="1"/>
  <c r="AW707" i="3" s="1"/>
  <c r="AX707" i="3" s="1"/>
  <c r="AP780" i="3"/>
  <c r="AQ780" i="3" s="1"/>
  <c r="AR780" i="3" s="1"/>
  <c r="AS1147" i="3"/>
  <c r="AO19" i="3"/>
  <c r="AQ19" i="3" s="1"/>
  <c r="AR19" i="3" s="1"/>
  <c r="AS19" i="3" s="1"/>
  <c r="AP19" i="3"/>
  <c r="AT19" i="3" s="1"/>
  <c r="AU19" i="3" s="1"/>
  <c r="AV19" i="3" s="1"/>
  <c r="AW19" i="3" s="1"/>
  <c r="AX19" i="3" s="1"/>
  <c r="AT609" i="3"/>
  <c r="AU609" i="3" s="1"/>
  <c r="AV609" i="3"/>
  <c r="AW609" i="3" s="1"/>
  <c r="AX609" i="3" s="1"/>
  <c r="AR84" i="3"/>
  <c r="AS84" i="3" s="1"/>
  <c r="W509" i="4"/>
  <c r="W514" i="4"/>
  <c r="W421" i="4"/>
  <c r="AW1027" i="3"/>
  <c r="AX1027" i="3" s="1"/>
  <c r="AS1027" i="3"/>
  <c r="AT1027" i="3" s="1"/>
  <c r="AU1027" i="3" s="1"/>
  <c r="AV1027" i="3" s="1"/>
  <c r="Z866" i="4"/>
  <c r="AO1274" i="3"/>
  <c r="AO337" i="3"/>
  <c r="AM337" i="3"/>
  <c r="AN337" i="3" s="1"/>
  <c r="AS780" i="3"/>
  <c r="AT780" i="3" s="1"/>
  <c r="AU780" i="3" s="1"/>
  <c r="AV780" i="3" s="1"/>
  <c r="AW780" i="3" s="1"/>
  <c r="AX780" i="3" s="1"/>
  <c r="AR171" i="3"/>
  <c r="AS171" i="3" s="1"/>
  <c r="AT171" i="3" s="1"/>
  <c r="AU171" i="3" s="1"/>
  <c r="AV171" i="3" s="1"/>
  <c r="AW171" i="3" s="1"/>
  <c r="AX171" i="3" s="1"/>
  <c r="AQ388" i="3"/>
  <c r="AR388" i="3" s="1"/>
  <c r="AT371" i="3"/>
  <c r="AU371" i="3" s="1"/>
  <c r="AV371" i="3" s="1"/>
  <c r="AW371" i="3" s="1"/>
  <c r="AX371" i="3" s="1"/>
  <c r="AS1211" i="3"/>
  <c r="AU1341" i="3"/>
  <c r="AV1341" i="3" s="1"/>
  <c r="AP1004" i="3"/>
  <c r="AR1125" i="3"/>
  <c r="AS1125" i="3" s="1"/>
  <c r="AT1125" i="3" s="1"/>
  <c r="AU1125" i="3" s="1"/>
  <c r="AV1125" i="3" s="1"/>
  <c r="AW1125" i="3" s="1"/>
  <c r="AX1125" i="3" s="1"/>
  <c r="AQ707" i="3"/>
  <c r="AR1002" i="3"/>
  <c r="AS1002" i="3" s="1"/>
  <c r="AT1002" i="3" s="1"/>
  <c r="AU1002" i="3" s="1"/>
  <c r="AV1002" i="3" s="1"/>
  <c r="AW1002" i="3" s="1"/>
  <c r="AX1002" i="3" s="1"/>
  <c r="AN328" i="3"/>
  <c r="AR868" i="3"/>
  <c r="Y74" i="2"/>
  <c r="AP556" i="3"/>
  <c r="AQ556" i="3"/>
  <c r="AR556" i="3" s="1"/>
  <c r="AS556" i="3" s="1"/>
  <c r="AT556" i="3" s="1"/>
  <c r="AU556" i="3" s="1"/>
  <c r="AV556" i="3" s="1"/>
  <c r="AW556" i="3" s="1"/>
  <c r="AX556" i="3" s="1"/>
  <c r="AV739" i="3"/>
  <c r="AW739" i="3" s="1"/>
  <c r="AX739" i="3" s="1"/>
  <c r="AU562" i="3"/>
  <c r="AV562" i="3" s="1"/>
  <c r="AP299" i="3"/>
  <c r="AQ299" i="3" s="1"/>
  <c r="AR299" i="3" s="1"/>
  <c r="AS299" i="3" s="1"/>
  <c r="AT299" i="3" s="1"/>
  <c r="AU299" i="3" s="1"/>
  <c r="AV299" i="3" s="1"/>
  <c r="AQ156" i="3"/>
  <c r="Y1190" i="4"/>
  <c r="Z12" i="4"/>
  <c r="Y639" i="4"/>
  <c r="Y657" i="4" s="1"/>
  <c r="Y706" i="4" s="1"/>
  <c r="AA39" i="2" s="1"/>
  <c r="Y483" i="4"/>
  <c r="Y501" i="4" s="1"/>
  <c r="Y550" i="4" s="1"/>
  <c r="AA24" i="2" s="1"/>
  <c r="AP610" i="3"/>
  <c r="AN1129" i="3"/>
  <c r="AV822" i="3"/>
  <c r="AW822" i="3" s="1"/>
  <c r="AX822" i="3" s="1"/>
  <c r="AS822" i="3"/>
  <c r="AT822" i="3" s="1"/>
  <c r="AU822" i="3" s="1"/>
  <c r="AO214" i="3"/>
  <c r="AP214" i="3" s="1"/>
  <c r="AW1294" i="3"/>
  <c r="AX1294" i="3" s="1"/>
  <c r="AR1246" i="3"/>
  <c r="AT723" i="3"/>
  <c r="AU723" i="3" s="1"/>
  <c r="AV723" i="3" s="1"/>
  <c r="AW723" i="3" s="1"/>
  <c r="AX723" i="3" s="1"/>
  <c r="AN467" i="3"/>
  <c r="AN21" i="3"/>
  <c r="AO21" i="3"/>
  <c r="AP21" i="3"/>
  <c r="AQ21" i="3" s="1"/>
  <c r="AR21" i="3" s="1"/>
  <c r="AS21" i="3" s="1"/>
  <c r="AT21" i="3" s="1"/>
  <c r="AU21" i="3" s="1"/>
  <c r="AV21" i="3" s="1"/>
  <c r="AW21" i="3" s="1"/>
  <c r="AX21" i="3" s="1"/>
  <c r="AP358" i="3"/>
  <c r="AP1181" i="3"/>
  <c r="AQ1181" i="3" s="1"/>
  <c r="AR1181" i="3" s="1"/>
  <c r="U135" i="2"/>
  <c r="AR1142" i="3"/>
  <c r="AS1142" i="3" s="1"/>
  <c r="AT1142" i="3"/>
  <c r="AU1142" i="3" s="1"/>
  <c r="AV1142" i="3" s="1"/>
  <c r="AW1142" i="3" s="1"/>
  <c r="AX1142" i="3" s="1"/>
  <c r="AO515" i="3"/>
  <c r="AP515" i="3" s="1"/>
  <c r="AQ515" i="3" s="1"/>
  <c r="AR515" i="3" s="1"/>
  <c r="AS515" i="3" s="1"/>
  <c r="AT515" i="3" s="1"/>
  <c r="AU515" i="3" s="1"/>
  <c r="AV515" i="3" s="1"/>
  <c r="AW515" i="3" s="1"/>
  <c r="AX515" i="3" s="1"/>
  <c r="AV522" i="3"/>
  <c r="AO168" i="3"/>
  <c r="AP168" i="3" s="1"/>
  <c r="AQ168" i="3" s="1"/>
  <c r="AR168" i="3" s="1"/>
  <c r="AS168" i="3" s="1"/>
  <c r="AT168" i="3" s="1"/>
  <c r="AU168" i="3" s="1"/>
  <c r="AV168" i="3" s="1"/>
  <c r="AR526" i="3"/>
  <c r="AS526" i="3" s="1"/>
  <c r="AT526" i="3" s="1"/>
  <c r="AU526" i="3" s="1"/>
  <c r="AN1297" i="3"/>
  <c r="AR937" i="3"/>
  <c r="AU709" i="3"/>
  <c r="AV709" i="3" s="1"/>
  <c r="AW709" i="3" s="1"/>
  <c r="AX709" i="3" s="1"/>
  <c r="AS709" i="3"/>
  <c r="AT709" i="3" s="1"/>
  <c r="AP219" i="3"/>
  <c r="AQ219" i="3" s="1"/>
  <c r="AO927" i="3"/>
  <c r="AP927" i="3" s="1"/>
  <c r="AQ927" i="3" s="1"/>
  <c r="AR927" i="3" s="1"/>
  <c r="AS927" i="3" s="1"/>
  <c r="AT927" i="3" s="1"/>
  <c r="AU927" i="3" s="1"/>
  <c r="AV927" i="3" s="1"/>
  <c r="AW927" i="3" s="1"/>
  <c r="AX927" i="3" s="1"/>
  <c r="AQ1362" i="3"/>
  <c r="AR1362" i="3" s="1"/>
  <c r="AS1362" i="3" s="1"/>
  <c r="AT1362" i="3" s="1"/>
  <c r="AU1362" i="3" s="1"/>
  <c r="AV1362" i="3" s="1"/>
  <c r="AW1362" i="3"/>
  <c r="AX1362" i="3" s="1"/>
  <c r="AO275" i="3"/>
  <c r="AP275" i="3" s="1"/>
  <c r="AQ275" i="3" s="1"/>
  <c r="AR275" i="3" s="1"/>
  <c r="AQ190" i="3"/>
  <c r="AR190" i="3" s="1"/>
  <c r="AS190" i="3" s="1"/>
  <c r="AT190" i="3" s="1"/>
  <c r="AU190" i="3" s="1"/>
  <c r="AV190" i="3" s="1"/>
  <c r="AW190" i="3" s="1"/>
  <c r="AX190" i="3" s="1"/>
  <c r="O806" i="4"/>
  <c r="O823" i="4" s="1"/>
  <c r="O247" i="4"/>
  <c r="AO305" i="3"/>
  <c r="AP305" i="3" s="1"/>
  <c r="AQ305" i="3" s="1"/>
  <c r="AR305" i="3" s="1"/>
  <c r="AS305" i="3" s="1"/>
  <c r="AT305" i="3" s="1"/>
  <c r="AU305" i="3"/>
  <c r="AV305" i="3" s="1"/>
  <c r="AW305" i="3" s="1"/>
  <c r="AX305" i="3" s="1"/>
  <c r="AR1035" i="3"/>
  <c r="AS1035" i="3" s="1"/>
  <c r="AT1035" i="3" s="1"/>
  <c r="AU1035" i="3" s="1"/>
  <c r="AV1035" i="3" s="1"/>
  <c r="AW1035" i="3" s="1"/>
  <c r="AX1035" i="3" s="1"/>
  <c r="AR1200" i="3"/>
  <c r="AS1200" i="3" s="1"/>
  <c r="AT1200" i="3"/>
  <c r="AU1200" i="3" s="1"/>
  <c r="AV1200" i="3" s="1"/>
  <c r="AW1200" i="3" s="1"/>
  <c r="AX1200" i="3" s="1"/>
  <c r="AV812" i="3"/>
  <c r="AW812" i="3" s="1"/>
  <c r="AX812" i="3" s="1"/>
  <c r="AO369" i="3"/>
  <c r="AP369" i="3" s="1"/>
  <c r="AP888" i="3"/>
  <c r="AQ888" i="3" s="1"/>
  <c r="AR888" i="3" s="1"/>
  <c r="AS323" i="3"/>
  <c r="AT323" i="3" s="1"/>
  <c r="AU323" i="3" s="1"/>
  <c r="AV323" i="3" s="1"/>
  <c r="AW323" i="3" s="1"/>
  <c r="AX323" i="3" s="1"/>
  <c r="AO447" i="3"/>
  <c r="AP447" i="3" s="1"/>
  <c r="AQ447" i="3" s="1"/>
  <c r="AR447" i="3" s="1"/>
  <c r="AS447" i="3" s="1"/>
  <c r="Y147" i="2"/>
  <c r="AO783" i="3"/>
  <c r="AR70" i="3"/>
  <c r="AQ70" i="3"/>
  <c r="AS70" i="3"/>
  <c r="AT70" i="3"/>
  <c r="AU70" i="3" s="1"/>
  <c r="AV70" i="3" s="1"/>
  <c r="AW70" i="3" s="1"/>
  <c r="AX70" i="3" s="1"/>
  <c r="M25" i="2"/>
  <c r="AV699" i="3"/>
  <c r="AW699" i="3" s="1"/>
  <c r="AX699" i="3" s="1"/>
  <c r="AP864" i="3"/>
  <c r="AQ864" i="3" s="1"/>
  <c r="AR864" i="3" s="1"/>
  <c r="AS864" i="3" s="1"/>
  <c r="AT864" i="3" s="1"/>
  <c r="AU864" i="3" s="1"/>
  <c r="AV864" i="3" s="1"/>
  <c r="AW864" i="3"/>
  <c r="AX864" i="3" s="1"/>
  <c r="AN864" i="3"/>
  <c r="AO864" i="3" s="1"/>
  <c r="AO384" i="3"/>
  <c r="AP384" i="3" s="1"/>
  <c r="AQ384" i="3" s="1"/>
  <c r="AR384" i="3" s="1"/>
  <c r="AS384" i="3" s="1"/>
  <c r="AT384" i="3" s="1"/>
  <c r="AU384" i="3" s="1"/>
  <c r="AV384" i="3" s="1"/>
  <c r="AW384" i="3" s="1"/>
  <c r="AX384" i="3" s="1"/>
  <c r="AP160" i="3"/>
  <c r="AO395" i="3"/>
  <c r="AU445" i="3"/>
  <c r="AV445" i="3" s="1"/>
  <c r="AS274" i="3"/>
  <c r="AT274" i="3" s="1"/>
  <c r="AU274" i="3" s="1"/>
  <c r="AV274" i="3" s="1"/>
  <c r="AW274" i="3" s="1"/>
  <c r="AX274" i="3" s="1"/>
  <c r="AQ658" i="3"/>
  <c r="AP658" i="3"/>
  <c r="AR658" i="3" s="1"/>
  <c r="AA191" i="2"/>
  <c r="AA138" i="2" s="1"/>
  <c r="Z138" i="2"/>
  <c r="AO1043" i="3"/>
  <c r="AP1043" i="3" s="1"/>
  <c r="AQ1043" i="3" s="1"/>
  <c r="AR1043" i="3" s="1"/>
  <c r="AS1043" i="3" s="1"/>
  <c r="AT1043" i="3" s="1"/>
  <c r="AU1043" i="3" s="1"/>
  <c r="AV1043" i="3" s="1"/>
  <c r="AW1043" i="3" s="1"/>
  <c r="AX1043" i="3" s="1"/>
  <c r="AW353" i="3"/>
  <c r="AX353" i="3" s="1"/>
  <c r="AV564" i="3"/>
  <c r="AW564" i="3" s="1"/>
  <c r="AX564" i="3" s="1"/>
  <c r="U322" i="4"/>
  <c r="U1196" i="4"/>
  <c r="U555" i="4"/>
  <c r="AS152" i="3"/>
  <c r="AT152" i="3" s="1"/>
  <c r="AU152" i="3" s="1"/>
  <c r="AV152" i="3"/>
  <c r="AW152" i="3" s="1"/>
  <c r="AX152" i="3" s="1"/>
  <c r="AN601" i="3"/>
  <c r="AW675" i="3"/>
  <c r="AX675" i="3" s="1"/>
  <c r="AW662" i="3"/>
  <c r="AX662" i="3" s="1"/>
  <c r="AO652" i="3"/>
  <c r="AP652" i="3"/>
  <c r="AQ652" i="3" s="1"/>
  <c r="AR652" i="3" s="1"/>
  <c r="AS652" i="3" s="1"/>
  <c r="AU544" i="3"/>
  <c r="AV544" i="3" s="1"/>
  <c r="AW544" i="3" s="1"/>
  <c r="AX544" i="3" s="1"/>
  <c r="AT210" i="3"/>
  <c r="AU210" i="3" s="1"/>
  <c r="AV210" i="3" s="1"/>
  <c r="AW210" i="3" s="1"/>
  <c r="AX210" i="3" s="1"/>
  <c r="K486" i="4"/>
  <c r="K503" i="4" s="1"/>
  <c r="K245" i="4"/>
  <c r="AP529" i="3"/>
  <c r="AQ529" i="3" s="1"/>
  <c r="AR529" i="3" s="1"/>
  <c r="AS529" i="3" s="1"/>
  <c r="AT529" i="3" s="1"/>
  <c r="AU529" i="3" s="1"/>
  <c r="AV529" i="3" s="1"/>
  <c r="AW529" i="3" s="1"/>
  <c r="AX529" i="3" s="1"/>
  <c r="AP766" i="3"/>
  <c r="AQ766" i="3" s="1"/>
  <c r="AR766" i="3" s="1"/>
  <c r="AS766" i="3" s="1"/>
  <c r="AT766" i="3" s="1"/>
  <c r="AR909" i="3"/>
  <c r="AU290" i="3"/>
  <c r="AV290" i="3"/>
  <c r="AW290" i="3" s="1"/>
  <c r="AX290" i="3" s="1"/>
  <c r="AQ1298" i="3"/>
  <c r="AQ750" i="3"/>
  <c r="AR750" i="3" s="1"/>
  <c r="AS750" i="3" s="1"/>
  <c r="AT750" i="3" s="1"/>
  <c r="AU750" i="3" s="1"/>
  <c r="AV750" i="3" s="1"/>
  <c r="AW750" i="3" s="1"/>
  <c r="AX750" i="3" s="1"/>
  <c r="AW566" i="3"/>
  <c r="AX566" i="3" s="1"/>
  <c r="AR662" i="3"/>
  <c r="AS662" i="3" s="1"/>
  <c r="AT662" i="3" s="1"/>
  <c r="AU662" i="3" s="1"/>
  <c r="AV662" i="3" s="1"/>
  <c r="AR973" i="3"/>
  <c r="AS973" i="3" s="1"/>
  <c r="AT973" i="3" s="1"/>
  <c r="AU973" i="3" s="1"/>
  <c r="AV973" i="3" s="1"/>
  <c r="AW973" i="3" s="1"/>
  <c r="AX973" i="3" s="1"/>
  <c r="AO698" i="3"/>
  <c r="AP698" i="3" s="1"/>
  <c r="AQ698" i="3" s="1"/>
  <c r="AR698" i="3" s="1"/>
  <c r="AR871" i="3"/>
  <c r="AS871" i="3"/>
  <c r="AT871" i="3"/>
  <c r="AU871" i="3" s="1"/>
  <c r="AV871" i="3" s="1"/>
  <c r="AW871" i="3" s="1"/>
  <c r="AX871" i="3" s="1"/>
  <c r="AQ1146" i="3"/>
  <c r="AQ689" i="3"/>
  <c r="AR689" i="3" s="1"/>
  <c r="AS689" i="3" s="1"/>
  <c r="AT689" i="3" s="1"/>
  <c r="AU689" i="3" s="1"/>
  <c r="AV689" i="3" s="1"/>
  <c r="AW689" i="3" s="1"/>
  <c r="AX689" i="3" s="1"/>
  <c r="AP1105" i="3"/>
  <c r="AQ1105" i="3" s="1"/>
  <c r="AR1105" i="3" s="1"/>
  <c r="AS1105" i="3" s="1"/>
  <c r="AT1105" i="3" s="1"/>
  <c r="AU1105" i="3" s="1"/>
  <c r="AV1105" i="3" s="1"/>
  <c r="AW1105" i="3" s="1"/>
  <c r="AX1105" i="3" s="1"/>
  <c r="AR934" i="3"/>
  <c r="AS934" i="3" s="1"/>
  <c r="AT934" i="3" s="1"/>
  <c r="AU934" i="3" s="1"/>
  <c r="AV934" i="3" s="1"/>
  <c r="AW934" i="3" s="1"/>
  <c r="AX934" i="3" s="1"/>
  <c r="W923" i="4"/>
  <c r="W1140" i="4"/>
  <c r="Y149" i="2"/>
  <c r="Y282" i="2"/>
  <c r="AL1445" i="3"/>
  <c r="Y221" i="2" s="1"/>
  <c r="AL1421" i="3"/>
  <c r="W166" i="4" s="1"/>
  <c r="AM382" i="3"/>
  <c r="AN382" i="3" s="1"/>
  <c r="AP1033" i="3"/>
  <c r="AP146" i="3"/>
  <c r="AQ146" i="3" s="1"/>
  <c r="AR146" i="3" s="1"/>
  <c r="AS146" i="3" s="1"/>
  <c r="AT146" i="3" s="1"/>
  <c r="AU146" i="3" s="1"/>
  <c r="AV146" i="3" s="1"/>
  <c r="AW146" i="3" s="1"/>
  <c r="AX146" i="3" s="1"/>
  <c r="AP783" i="3"/>
  <c r="AQ783" i="3" s="1"/>
  <c r="AR783" i="3" s="1"/>
  <c r="AS783" i="3" s="1"/>
  <c r="AT783" i="3" s="1"/>
  <c r="AU783" i="3" s="1"/>
  <c r="AB155" i="4"/>
  <c r="AC155" i="4" s="1"/>
  <c r="AR511" i="3"/>
  <c r="AS511" i="3" s="1"/>
  <c r="AT511" i="3" s="1"/>
  <c r="AU511" i="3" s="1"/>
  <c r="AV511" i="3" s="1"/>
  <c r="AW511" i="3" s="1"/>
  <c r="AX511" i="3" s="1"/>
  <c r="AO957" i="3"/>
  <c r="AP957" i="3" s="1"/>
  <c r="AQ957" i="3" s="1"/>
  <c r="AR957" i="3" s="1"/>
  <c r="AS957" i="3" s="1"/>
  <c r="AO232" i="3"/>
  <c r="AQ1327" i="3"/>
  <c r="AR1327" i="3" s="1"/>
  <c r="AO1242" i="3"/>
  <c r="AP1242" i="3" s="1"/>
  <c r="AQ1242" i="3" s="1"/>
  <c r="AR1242" i="3" s="1"/>
  <c r="AS1242" i="3" s="1"/>
  <c r="AT1242" i="3" s="1"/>
  <c r="AU1242" i="3" s="1"/>
  <c r="AV1242" i="3" s="1"/>
  <c r="AW1242" i="3" s="1"/>
  <c r="AX1242" i="3" s="1"/>
  <c r="AO127" i="3"/>
  <c r="AP127" i="3"/>
  <c r="AQ127" i="3" s="1"/>
  <c r="AR127" i="3" s="1"/>
  <c r="AS127" i="3" s="1"/>
  <c r="AT127" i="3" s="1"/>
  <c r="AU127" i="3" s="1"/>
  <c r="AV127" i="3" s="1"/>
  <c r="AW127" i="3" s="1"/>
  <c r="AX127" i="3" s="1"/>
  <c r="AO388" i="3"/>
  <c r="Y412" i="4"/>
  <c r="X33" i="10"/>
  <c r="Y413" i="4" s="1"/>
  <c r="Y419" i="4" s="1"/>
  <c r="Y32" i="10"/>
  <c r="R370" i="4"/>
  <c r="AP370" i="3"/>
  <c r="AQ370" i="3"/>
  <c r="AR370" i="3" s="1"/>
  <c r="AS370" i="3" s="1"/>
  <c r="AT370" i="3" s="1"/>
  <c r="AU370" i="3" s="1"/>
  <c r="AV370" i="3" s="1"/>
  <c r="AQ976" i="3"/>
  <c r="AR941" i="3"/>
  <c r="AS941" i="3" s="1"/>
  <c r="AT941" i="3" s="1"/>
  <c r="AU941" i="3" s="1"/>
  <c r="AV941" i="3" s="1"/>
  <c r="AW941" i="3" s="1"/>
  <c r="AX941" i="3" s="1"/>
  <c r="AQ941" i="3"/>
  <c r="AO31" i="3"/>
  <c r="AP31" i="3" s="1"/>
  <c r="AQ31" i="3" s="1"/>
  <c r="X1161" i="4"/>
  <c r="X1084" i="4"/>
  <c r="X1086" i="4" s="1"/>
  <c r="Y1083" i="4" s="1"/>
  <c r="X1054" i="4"/>
  <c r="X1056" i="4" s="1"/>
  <c r="Y1053" i="4" s="1"/>
  <c r="X1044" i="4"/>
  <c r="X1046" i="4" s="1"/>
  <c r="Y1043" i="4" s="1"/>
  <c r="X1034" i="4"/>
  <c r="X1036" i="4" s="1"/>
  <c r="Y1033" i="4" s="1"/>
  <c r="X994" i="4"/>
  <c r="X996" i="4" s="1"/>
  <c r="Y993" i="4" s="1"/>
  <c r="X984" i="4"/>
  <c r="X986" i="4" s="1"/>
  <c r="Y983" i="4" s="1"/>
  <c r="X759" i="4"/>
  <c r="X1181" i="4"/>
  <c r="X1176" i="4"/>
  <c r="X1171" i="4"/>
  <c r="X656" i="4"/>
  <c r="X1079" i="4"/>
  <c r="X1081" i="4" s="1"/>
  <c r="Y1078" i="4" s="1"/>
  <c r="X1089" i="4"/>
  <c r="X1091" i="4" s="1"/>
  <c r="Y1088" i="4" s="1"/>
  <c r="Y10" i="4"/>
  <c r="X1019" i="4"/>
  <c r="X1021" i="4" s="1"/>
  <c r="Y1018" i="4" s="1"/>
  <c r="X1151" i="4"/>
  <c r="X1166" i="4"/>
  <c r="X1059" i="4"/>
  <c r="X1061" i="4" s="1"/>
  <c r="Y1058" i="4" s="1"/>
  <c r="X595" i="4"/>
  <c r="X1039" i="4"/>
  <c r="X1041" i="4" s="1"/>
  <c r="Y1038" i="4" s="1"/>
  <c r="X1146" i="4"/>
  <c r="X989" i="4"/>
  <c r="X991" i="4" s="1"/>
  <c r="Y988" i="4" s="1"/>
  <c r="X1029" i="4"/>
  <c r="X1031" i="4" s="1"/>
  <c r="Y1028" i="4" s="1"/>
  <c r="Z81" i="2"/>
  <c r="Z80" i="2"/>
  <c r="X820" i="4"/>
  <c r="AP948" i="3"/>
  <c r="AQ948" i="3" s="1"/>
  <c r="AR948" i="3" s="1"/>
  <c r="AS948" i="3" s="1"/>
  <c r="AT948" i="3" s="1"/>
  <c r="AU948" i="3" s="1"/>
  <c r="AV948" i="3" s="1"/>
  <c r="AW948" i="3" s="1"/>
  <c r="AX948" i="3" s="1"/>
  <c r="X222" i="2"/>
  <c r="K222" i="2"/>
  <c r="P40" i="2"/>
  <c r="AU1313" i="3"/>
  <c r="AV1313" i="3" s="1"/>
  <c r="AW1341" i="3"/>
  <c r="AX1341" i="3" s="1"/>
  <c r="AN167" i="3"/>
  <c r="P25" i="2"/>
  <c r="AU280" i="3"/>
  <c r="AV280" i="3" s="1"/>
  <c r="AW280" i="3" s="1"/>
  <c r="AX280" i="3" s="1"/>
  <c r="AQ727" i="3"/>
  <c r="AR727" i="3" s="1"/>
  <c r="AS727" i="3" s="1"/>
  <c r="AT727" i="3" s="1"/>
  <c r="AU727" i="3" s="1"/>
  <c r="AV727" i="3" s="1"/>
  <c r="AW727" i="3" s="1"/>
  <c r="AX727" i="3" s="1"/>
  <c r="AT304" i="3"/>
  <c r="AU304" i="3" s="1"/>
  <c r="AV304" i="3" s="1"/>
  <c r="AW304" i="3" s="1"/>
  <c r="AX304" i="3" s="1"/>
  <c r="AS18" i="3"/>
  <c r="AN1223" i="3"/>
  <c r="V976" i="4"/>
  <c r="W973" i="4" s="1"/>
  <c r="AO1088" i="3"/>
  <c r="AP1088" i="3" s="1"/>
  <c r="AQ1088" i="3" s="1"/>
  <c r="AR1088" i="3" s="1"/>
  <c r="AS1088" i="3" s="1"/>
  <c r="AT1088" i="3" s="1"/>
  <c r="AU1088" i="3" s="1"/>
  <c r="AV1088" i="3" s="1"/>
  <c r="AW1088" i="3" s="1"/>
  <c r="AX1088" i="3" s="1"/>
  <c r="AV642" i="3"/>
  <c r="AW642" i="3" s="1"/>
  <c r="AX642" i="3" s="1"/>
  <c r="AO185" i="3"/>
  <c r="AW562" i="3"/>
  <c r="AX562" i="3" s="1"/>
  <c r="AQ958" i="3"/>
  <c r="AR958" i="3" s="1"/>
  <c r="AS958" i="3" s="1"/>
  <c r="AT958" i="3" s="1"/>
  <c r="AU958" i="3" s="1"/>
  <c r="AV958" i="3" s="1"/>
  <c r="AW958" i="3" s="1"/>
  <c r="AX958" i="3" s="1"/>
  <c r="AN958" i="3"/>
  <c r="AO958" i="3" s="1"/>
  <c r="AP958" i="3" s="1"/>
  <c r="AO322" i="3"/>
  <c r="AP466" i="3"/>
  <c r="AQ466" i="3" s="1"/>
  <c r="AR466" i="3" s="1"/>
  <c r="AS466" i="3" s="1"/>
  <c r="AT466" i="3" s="1"/>
  <c r="AU466" i="3" s="1"/>
  <c r="AV466" i="3" s="1"/>
  <c r="AW466" i="3"/>
  <c r="AX466" i="3" s="1"/>
  <c r="AC189" i="2"/>
  <c r="AO1293" i="3"/>
  <c r="AP1293" i="3" s="1"/>
  <c r="AQ1293" i="3" s="1"/>
  <c r="AR1293" i="3" s="1"/>
  <c r="AS1293" i="3" s="1"/>
  <c r="AT1293" i="3" s="1"/>
  <c r="AU1293" i="3" s="1"/>
  <c r="AV1293" i="3" s="1"/>
  <c r="AW1293" i="3" s="1"/>
  <c r="AX1293" i="3" s="1"/>
  <c r="AP158" i="3"/>
  <c r="AW887" i="3"/>
  <c r="AX887" i="3" s="1"/>
  <c r="AW656" i="3"/>
  <c r="AX656" i="3" s="1"/>
  <c r="AP1085" i="3"/>
  <c r="AQ1085" i="3" s="1"/>
  <c r="AR1085" i="3" s="1"/>
  <c r="AS1085" i="3" s="1"/>
  <c r="AT1085" i="3" s="1"/>
  <c r="AU1085" i="3" s="1"/>
  <c r="AV1085" i="3" s="1"/>
  <c r="AW1085" i="3" s="1"/>
  <c r="AX1085" i="3" s="1"/>
  <c r="AS738" i="3"/>
  <c r="AT738" i="3" s="1"/>
  <c r="AU738" i="3" s="1"/>
  <c r="AV738" i="3" s="1"/>
  <c r="AW738" i="3" s="1"/>
  <c r="AX738" i="3" s="1"/>
  <c r="AQ1250" i="3"/>
  <c r="AV676" i="3"/>
  <c r="AW676" i="3" s="1"/>
  <c r="AX676" i="3" s="1"/>
  <c r="AT401" i="3"/>
  <c r="AU401" i="3" s="1"/>
  <c r="AV401" i="3" s="1"/>
  <c r="AW401" i="3" s="1"/>
  <c r="AX401" i="3" s="1"/>
  <c r="AU1331" i="3"/>
  <c r="AV1331" i="3"/>
  <c r="AW1331" i="3" s="1"/>
  <c r="AX1331" i="3" s="1"/>
  <c r="AQ723" i="3"/>
  <c r="AR723" i="3"/>
  <c r="AR720" i="3"/>
  <c r="AS720" i="3" s="1"/>
  <c r="AR434" i="3"/>
  <c r="AU125" i="3"/>
  <c r="AV125" i="3" s="1"/>
  <c r="AW125" i="3" s="1"/>
  <c r="AX125" i="3" s="1"/>
  <c r="AP1409" i="3"/>
  <c r="AT1383" i="3"/>
  <c r="AU1383" i="3" s="1"/>
  <c r="AV1383" i="3" s="1"/>
  <c r="AN1133" i="3"/>
  <c r="AO1133" i="3" s="1"/>
  <c r="AP1133" i="3" s="1"/>
  <c r="AQ1133" i="3" s="1"/>
  <c r="AR1133" i="3" s="1"/>
  <c r="AS1133" i="3" s="1"/>
  <c r="AT1133" i="3" s="1"/>
  <c r="AU1133" i="3" s="1"/>
  <c r="AV1133" i="3" s="1"/>
  <c r="AL1406" i="3"/>
  <c r="AM186" i="3"/>
  <c r="AN186" i="3" s="1"/>
  <c r="AO186" i="3" s="1"/>
  <c r="AP186" i="3" s="1"/>
  <c r="AQ186" i="3" s="1"/>
  <c r="AR186" i="3" s="1"/>
  <c r="AS186" i="3" s="1"/>
  <c r="AT186" i="3" s="1"/>
  <c r="AU186" i="3" s="1"/>
  <c r="AV186" i="3" s="1"/>
  <c r="AW186" i="3" s="1"/>
  <c r="AX186" i="3" s="1"/>
  <c r="AN413" i="3"/>
  <c r="AO413" i="3" s="1"/>
  <c r="AL1427" i="3"/>
  <c r="W163" i="4" s="1"/>
  <c r="AB866" i="4"/>
  <c r="AQ415" i="3"/>
  <c r="AR415" i="3" s="1"/>
  <c r="AN100" i="3"/>
  <c r="U290" i="4"/>
  <c r="AW360" i="3"/>
  <c r="AX360" i="3" s="1"/>
  <c r="AV365" i="3"/>
  <c r="AW365" i="3" s="1"/>
  <c r="AX365" i="3" s="1"/>
  <c r="AV1279" i="3"/>
  <c r="AO453" i="3"/>
  <c r="AP453" i="3" s="1"/>
  <c r="AQ453" i="3" s="1"/>
  <c r="AR453" i="3" s="1"/>
  <c r="AS453" i="3" s="1"/>
  <c r="AT453" i="3" s="1"/>
  <c r="AU453" i="3"/>
  <c r="AV453" i="3" s="1"/>
  <c r="AW453" i="3" s="1"/>
  <c r="AX453" i="3" s="1"/>
  <c r="AQ820" i="3"/>
  <c r="AR820" i="3" s="1"/>
  <c r="AS820" i="3" s="1"/>
  <c r="AT820" i="3" s="1"/>
  <c r="AU820" i="3" s="1"/>
  <c r="AV820" i="3" s="1"/>
  <c r="AR982" i="3"/>
  <c r="AS982" i="3" s="1"/>
  <c r="AT982" i="3" s="1"/>
  <c r="AQ585" i="3"/>
  <c r="AR585" i="3" s="1"/>
  <c r="AU1291" i="3"/>
  <c r="AV86" i="3"/>
  <c r="AW86" i="3" s="1"/>
  <c r="AX86" i="3" s="1"/>
  <c r="AT1228" i="3"/>
  <c r="AU1228" i="3" s="1"/>
  <c r="AV1228" i="3" s="1"/>
  <c r="AW1228" i="3" s="1"/>
  <c r="AX1228" i="3" s="1"/>
  <c r="AT697" i="3"/>
  <c r="AU697" i="3" s="1"/>
  <c r="AV697" i="3" s="1"/>
  <c r="AW697" i="3" s="1"/>
  <c r="AX697" i="3" s="1"/>
  <c r="AW1108" i="3"/>
  <c r="AX1108" i="3" s="1"/>
  <c r="AQ273" i="3"/>
  <c r="AP273" i="3"/>
  <c r="AR273" i="3"/>
  <c r="AO473" i="3"/>
  <c r="AP473" i="3" s="1"/>
  <c r="AQ473" i="3" s="1"/>
  <c r="AR473" i="3" s="1"/>
  <c r="AS473" i="3" s="1"/>
  <c r="AT473" i="3" s="1"/>
  <c r="AU473" i="3" s="1"/>
  <c r="AV473" i="3" s="1"/>
  <c r="AW473" i="3" s="1"/>
  <c r="AX473" i="3" s="1"/>
  <c r="AS188" i="3"/>
  <c r="AT188" i="3" s="1"/>
  <c r="AU188" i="3" s="1"/>
  <c r="AV188" i="3" s="1"/>
  <c r="AW188" i="3" s="1"/>
  <c r="AX188" i="3" s="1"/>
  <c r="AV279" i="3"/>
  <c r="AW279" i="3" s="1"/>
  <c r="AX279" i="3" s="1"/>
  <c r="AP599" i="3"/>
  <c r="AQ712" i="3"/>
  <c r="AW1197" i="3"/>
  <c r="AX1197" i="3" s="1"/>
  <c r="Z251" i="2"/>
  <c r="Y154" i="2"/>
  <c r="Y252" i="2"/>
  <c r="R24" i="4"/>
  <c r="R26" i="4" s="1"/>
  <c r="R36" i="4" s="1"/>
  <c r="S4" i="4"/>
  <c r="S202" i="4"/>
  <c r="S222" i="4" s="1"/>
  <c r="AQ392" i="3"/>
  <c r="AR392" i="3"/>
  <c r="AS392" i="3" s="1"/>
  <c r="AT392" i="3" s="1"/>
  <c r="AU392" i="3" s="1"/>
  <c r="AV392" i="3" s="1"/>
  <c r="AQ718" i="3"/>
  <c r="AR718" i="3" s="1"/>
  <c r="AS718" i="3" s="1"/>
  <c r="AT718" i="3" s="1"/>
  <c r="AU718" i="3"/>
  <c r="AV718" i="3" s="1"/>
  <c r="AW718" i="3" s="1"/>
  <c r="AX718" i="3" s="1"/>
  <c r="AS963" i="3"/>
  <c r="AT963" i="3" s="1"/>
  <c r="O945" i="4"/>
  <c r="O248" i="4"/>
  <c r="O964" i="4" s="1"/>
  <c r="O965" i="4" s="1"/>
  <c r="AW1363" i="3"/>
  <c r="AX1363" i="3" s="1"/>
  <c r="T389" i="4"/>
  <c r="M55" i="2"/>
  <c r="AP44" i="3"/>
  <c r="AQ44" i="3"/>
  <c r="AR44" i="3" s="1"/>
  <c r="AS44" i="3" s="1"/>
  <c r="AT44" i="3" s="1"/>
  <c r="AU44" i="3" s="1"/>
  <c r="AV44" i="3" s="1"/>
  <c r="AW44" i="3" s="1"/>
  <c r="AX44" i="3" s="1"/>
  <c r="AM962" i="3"/>
  <c r="AO51" i="3"/>
  <c r="AP51" i="3" s="1"/>
  <c r="AQ51" i="3" s="1"/>
  <c r="AR51" i="3" s="1"/>
  <c r="AS51" i="3" s="1"/>
  <c r="AV51" i="3"/>
  <c r="AW51" i="3" s="1"/>
  <c r="AX51" i="3" s="1"/>
  <c r="AN861" i="3"/>
  <c r="AO861" i="3" s="1"/>
  <c r="AP861" i="3" s="1"/>
  <c r="AQ861" i="3" s="1"/>
  <c r="AR861" i="3" s="1"/>
  <c r="AS861" i="3" s="1"/>
  <c r="AT861" i="3" s="1"/>
  <c r="AU861" i="3" s="1"/>
  <c r="AV861" i="3" s="1"/>
  <c r="AW861" i="3" s="1"/>
  <c r="AX861" i="3" s="1"/>
  <c r="R25" i="2"/>
  <c r="S799" i="4"/>
  <c r="S801" i="4" s="1"/>
  <c r="S803" i="4" s="1"/>
  <c r="S821" i="4" s="1"/>
  <c r="S870" i="4" s="1"/>
  <c r="U54" i="2" s="1"/>
  <c r="S753" i="4"/>
  <c r="S812" i="4" s="1"/>
  <c r="AR1108" i="3"/>
  <c r="AS1108" i="3" s="1"/>
  <c r="AT1108" i="3" s="1"/>
  <c r="AU1108" i="3" s="1"/>
  <c r="AV1108" i="3" s="1"/>
  <c r="S306" i="4"/>
  <c r="AV737" i="3"/>
  <c r="AW737" i="3" s="1"/>
  <c r="AX737" i="3" s="1"/>
  <c r="AO89" i="3"/>
  <c r="V799" i="4"/>
  <c r="V801" i="4" s="1"/>
  <c r="V803" i="4" s="1"/>
  <c r="V821" i="4" s="1"/>
  <c r="V870" i="4" s="1"/>
  <c r="X54" i="2" s="1"/>
  <c r="V753" i="4"/>
  <c r="V812" i="4" s="1"/>
  <c r="AO1267" i="3"/>
  <c r="AP1267" i="3" s="1"/>
  <c r="AQ1267" i="3" s="1"/>
  <c r="AR1267" i="3" s="1"/>
  <c r="AS1267" i="3" s="1"/>
  <c r="AT1267" i="3" s="1"/>
  <c r="AU1267" i="3" s="1"/>
  <c r="AV1267" i="3" s="1"/>
  <c r="AW1267" i="3" s="1"/>
  <c r="AX1267" i="3" s="1"/>
  <c r="AO1032" i="3"/>
  <c r="AP1032" i="3" s="1"/>
  <c r="AQ1032" i="3" s="1"/>
  <c r="AR1032" i="3" s="1"/>
  <c r="AS1032" i="3" s="1"/>
  <c r="AR1080" i="3"/>
  <c r="AS1080" i="3" s="1"/>
  <c r="AT1080" i="3" s="1"/>
  <c r="AO309" i="3"/>
  <c r="AN1281" i="3"/>
  <c r="AO1281" i="3" s="1"/>
  <c r="AP1281" i="3"/>
  <c r="AQ1281" i="3" s="1"/>
  <c r="AR1281" i="3" s="1"/>
  <c r="AS1281" i="3" s="1"/>
  <c r="AO1375" i="3"/>
  <c r="AS942" i="3"/>
  <c r="AT908" i="3"/>
  <c r="AU908" i="3" s="1"/>
  <c r="AV908" i="3" s="1"/>
  <c r="AW908" i="3" s="1"/>
  <c r="AX908" i="3" s="1"/>
  <c r="AW1325" i="3"/>
  <c r="AX1325" i="3" s="1"/>
  <c r="AP412" i="3"/>
  <c r="X866" i="4"/>
  <c r="AO1382" i="3"/>
  <c r="AP771" i="3"/>
  <c r="AQ771" i="3" s="1"/>
  <c r="AR771" i="3" s="1"/>
  <c r="AS771" i="3" s="1"/>
  <c r="AT771" i="3" s="1"/>
  <c r="AU771" i="3" s="1"/>
  <c r="AV771" i="3" s="1"/>
  <c r="AW771" i="3" s="1"/>
  <c r="AX771" i="3" s="1"/>
  <c r="AS422" i="3"/>
  <c r="AT422" i="3" s="1"/>
  <c r="AU422" i="3" s="1"/>
  <c r="AV422" i="3" s="1"/>
  <c r="AW422" i="3" s="1"/>
  <c r="AX422" i="3" s="1"/>
  <c r="AQ155" i="3"/>
  <c r="AR155" i="3" s="1"/>
  <c r="AS155" i="3" s="1"/>
  <c r="AT155" i="3" s="1"/>
  <c r="AU155" i="3" s="1"/>
  <c r="AV155" i="3" s="1"/>
  <c r="AN1008" i="3"/>
  <c r="AP1065" i="3"/>
  <c r="AQ1065" i="3" s="1"/>
  <c r="AP944" i="3"/>
  <c r="AW1040" i="3"/>
  <c r="AX1040" i="3" s="1"/>
  <c r="AF287" i="2"/>
  <c r="AR824" i="3"/>
  <c r="AS824" i="3" s="1"/>
  <c r="AT824" i="3" s="1"/>
  <c r="AU824" i="3" s="1"/>
  <c r="T368" i="2"/>
  <c r="K368" i="2" s="1"/>
  <c r="R843" i="4"/>
  <c r="S838" i="4" s="1"/>
  <c r="AP1051" i="3"/>
  <c r="AQ1051" i="3" s="1"/>
  <c r="AR1051" i="3" s="1"/>
  <c r="AS1051" i="3" s="1"/>
  <c r="AT1051" i="3" s="1"/>
  <c r="AU1051" i="3" s="1"/>
  <c r="AV1051" i="3" s="1"/>
  <c r="AW1051" i="3" s="1"/>
  <c r="AX1051" i="3" s="1"/>
  <c r="AP469" i="3"/>
  <c r="X510" i="4"/>
  <c r="AQ588" i="3"/>
  <c r="AR588" i="3" s="1"/>
  <c r="AS588" i="3" s="1"/>
  <c r="AT588" i="3" s="1"/>
  <c r="AU588" i="3" s="1"/>
  <c r="AV588" i="3" s="1"/>
  <c r="AW588" i="3" s="1"/>
  <c r="AX588" i="3" s="1"/>
  <c r="AQ795" i="3"/>
  <c r="AR795" i="3" s="1"/>
  <c r="AS795" i="3" s="1"/>
  <c r="AT795" i="3" s="1"/>
  <c r="AU795" i="3" s="1"/>
  <c r="AV795" i="3" s="1"/>
  <c r="AW795" i="3" s="1"/>
  <c r="AX795" i="3" s="1"/>
  <c r="AO1070" i="3"/>
  <c r="AN1070" i="3"/>
  <c r="AM1330" i="3"/>
  <c r="U376" i="2"/>
  <c r="S962" i="4"/>
  <c r="AS767" i="3"/>
  <c r="AT767" i="3" s="1"/>
  <c r="AU767" i="3" s="1"/>
  <c r="AV767" i="3" s="1"/>
  <c r="AW767" i="3" s="1"/>
  <c r="AX767" i="3" s="1"/>
  <c r="AP265" i="3"/>
  <c r="AQ265" i="3" s="1"/>
  <c r="AR265" i="3" s="1"/>
  <c r="AT51" i="3"/>
  <c r="AU51" i="3" s="1"/>
  <c r="AW890" i="3"/>
  <c r="AX890" i="3" s="1"/>
  <c r="AO1275" i="3"/>
  <c r="AN616" i="3"/>
  <c r="AR1304" i="3"/>
  <c r="AO1103" i="3"/>
  <c r="AP1103" i="3" s="1"/>
  <c r="AQ1103" i="3" s="1"/>
  <c r="AP14" i="3"/>
  <c r="AP289" i="3"/>
  <c r="AQ289" i="3"/>
  <c r="AR289" i="3" s="1"/>
  <c r="AS289" i="3" s="1"/>
  <c r="AT289" i="3" s="1"/>
  <c r="AU289" i="3" s="1"/>
  <c r="AV289" i="3" s="1"/>
  <c r="AW289" i="3" s="1"/>
  <c r="AX289" i="3" s="1"/>
  <c r="AR1333" i="3"/>
  <c r="AQ1333" i="3"/>
  <c r="AS1385" i="3"/>
  <c r="AT1385" i="3" s="1"/>
  <c r="AU1385" i="3" s="1"/>
  <c r="AV1385" i="3" s="1"/>
  <c r="AW1385" i="3" s="1"/>
  <c r="AX1385" i="3" s="1"/>
  <c r="AS945" i="3"/>
  <c r="AT945" i="3" s="1"/>
  <c r="AU945" i="3" s="1"/>
  <c r="AV945" i="3" s="1"/>
  <c r="AP1057" i="3"/>
  <c r="AQ1057" i="3" s="1"/>
  <c r="AR1057" i="3" s="1"/>
  <c r="AS1057" i="3" s="1"/>
  <c r="AT1057" i="3" s="1"/>
  <c r="AU1057" i="3" s="1"/>
  <c r="AV1057" i="3" s="1"/>
  <c r="AW1057" i="3" s="1"/>
  <c r="AX1057" i="3" s="1"/>
  <c r="AP230" i="3"/>
  <c r="AT1265" i="3"/>
  <c r="AU1265" i="3" s="1"/>
  <c r="AV1265" i="3" s="1"/>
  <c r="AW1265" i="3" s="1"/>
  <c r="AX1265" i="3" s="1"/>
  <c r="AO954" i="3"/>
  <c r="AQ1075" i="3"/>
  <c r="AR242" i="3"/>
  <c r="AS242" i="3" s="1"/>
  <c r="AT242" i="3" s="1"/>
  <c r="AU242" i="3" s="1"/>
  <c r="AV242" i="3" s="1"/>
  <c r="AW242" i="3" s="1"/>
  <c r="AX242" i="3" s="1"/>
  <c r="AR542" i="3"/>
  <c r="AS542" i="3" s="1"/>
  <c r="AT542" i="3" s="1"/>
  <c r="AU542" i="3" s="1"/>
  <c r="AV542" i="3" s="1"/>
  <c r="AW542" i="3" s="1"/>
  <c r="AX542" i="3" s="1"/>
  <c r="AV93" i="3"/>
  <c r="V509" i="4"/>
  <c r="V514" i="4"/>
  <c r="V421" i="4"/>
  <c r="AT372" i="3"/>
  <c r="AU372" i="3" s="1"/>
  <c r="AV372" i="3" s="1"/>
  <c r="AW372" i="3" s="1"/>
  <c r="AX372" i="3" s="1"/>
  <c r="AR88" i="3"/>
  <c r="AS88" i="3" s="1"/>
  <c r="AT88" i="3" s="1"/>
  <c r="AU88" i="3" s="1"/>
  <c r="AV88" i="3" s="1"/>
  <c r="AW88" i="3" s="1"/>
  <c r="AX88" i="3" s="1"/>
  <c r="AM1397" i="3"/>
  <c r="AW870" i="3"/>
  <c r="AX870" i="3" s="1"/>
  <c r="AN264" i="3"/>
  <c r="T9" i="2"/>
  <c r="K10" i="2"/>
  <c r="I10" i="2" s="1"/>
  <c r="Z141" i="4"/>
  <c r="AA141" i="4" s="1"/>
  <c r="AR177" i="3"/>
  <c r="AR1010" i="3"/>
  <c r="AS1010" i="3" s="1"/>
  <c r="AT1010" i="3" s="1"/>
  <c r="AU1010" i="3" s="1"/>
  <c r="AV1010" i="3" s="1"/>
  <c r="AW1010" i="3" s="1"/>
  <c r="AX1010" i="3" s="1"/>
  <c r="S55" i="2"/>
  <c r="AS1383" i="3"/>
  <c r="S354" i="4"/>
  <c r="P486" i="4"/>
  <c r="P503" i="4" s="1"/>
  <c r="P245" i="4"/>
  <c r="AL1424" i="3"/>
  <c r="W162" i="4" s="1"/>
  <c r="AW975" i="3"/>
  <c r="AX975" i="3" s="1"/>
  <c r="Y573" i="4"/>
  <c r="Y575" i="4" s="1"/>
  <c r="Y35" i="10"/>
  <c r="AT614" i="3"/>
  <c r="AU614" i="3"/>
  <c r="AV614" i="3" s="1"/>
  <c r="AW614" i="3" s="1"/>
  <c r="AX614" i="3" s="1"/>
  <c r="AR1266" i="3"/>
  <c r="AM1185" i="3"/>
  <c r="AN1185" i="3" s="1"/>
  <c r="AM222" i="3"/>
  <c r="AN222" i="3"/>
  <c r="AO222" i="3" s="1"/>
  <c r="AS135" i="3"/>
  <c r="Z242" i="2"/>
  <c r="AA243" i="2"/>
  <c r="U679" i="4"/>
  <c r="V674" i="4" s="1"/>
  <c r="AB77" i="2"/>
  <c r="AL1415" i="3"/>
  <c r="W164" i="4" s="1"/>
  <c r="AL1436" i="3"/>
  <c r="L25" i="2"/>
  <c r="R40" i="2"/>
  <c r="R84" i="4"/>
  <c r="AR91" i="3"/>
  <c r="AS91" i="3" s="1"/>
  <c r="AT91" i="3" s="1"/>
  <c r="AU91" i="3" s="1"/>
  <c r="AV91" i="3" s="1"/>
  <c r="AW91" i="3" s="1"/>
  <c r="AX91" i="3" s="1"/>
  <c r="AO1371" i="3"/>
  <c r="AW392" i="3"/>
  <c r="AX392" i="3" s="1"/>
  <c r="AE255" i="2"/>
  <c r="AN1067" i="3"/>
  <c r="AN1442" i="3"/>
  <c r="AP1345" i="3"/>
  <c r="AQ1345" i="3"/>
  <c r="AR1345" i="3" s="1"/>
  <c r="AS1345" i="3" s="1"/>
  <c r="AT1345" i="3" s="1"/>
  <c r="AU1345" i="3" s="1"/>
  <c r="AV1345" i="3" s="1"/>
  <c r="AW1345" i="3" s="1"/>
  <c r="AX1345" i="3" s="1"/>
  <c r="AR811" i="3"/>
  <c r="K35" i="2"/>
  <c r="I35" i="2" s="1"/>
  <c r="AM1359" i="3"/>
  <c r="AP424" i="3"/>
  <c r="AQ424" i="3" s="1"/>
  <c r="AR424" i="3" s="1"/>
  <c r="AS424" i="3" s="1"/>
  <c r="AT424" i="3" s="1"/>
  <c r="AU424" i="3" s="1"/>
  <c r="AV424" i="3" s="1"/>
  <c r="R753" i="4"/>
  <c r="R812" i="4" s="1"/>
  <c r="R799" i="4"/>
  <c r="R801" i="4" s="1"/>
  <c r="R803" i="4" s="1"/>
  <c r="R821" i="4" s="1"/>
  <c r="R870" i="4" s="1"/>
  <c r="T54" i="2" s="1"/>
  <c r="AP20" i="3"/>
  <c r="AQ20" i="3" s="1"/>
  <c r="AR20" i="3" s="1"/>
  <c r="AU1123" i="3"/>
  <c r="AV1123" i="3"/>
  <c r="AW1123" i="3" s="1"/>
  <c r="AX1123" i="3" s="1"/>
  <c r="W974" i="4"/>
  <c r="W1099" i="4" s="1"/>
  <c r="W1100" i="4"/>
  <c r="AQ817" i="3"/>
  <c r="AR817" i="3" s="1"/>
  <c r="AS817" i="3" s="1"/>
  <c r="AT817" i="3" s="1"/>
  <c r="AR422" i="3"/>
  <c r="AT1313" i="3"/>
  <c r="R1196" i="4"/>
  <c r="R555" i="4"/>
  <c r="AQ1354" i="3"/>
  <c r="AW296" i="3"/>
  <c r="AX296" i="3" s="1"/>
  <c r="AQ464" i="3"/>
  <c r="AR464" i="3" s="1"/>
  <c r="AS464" i="3" s="1"/>
  <c r="AT464" i="3" s="1"/>
  <c r="AU464" i="3" s="1"/>
  <c r="AV464" i="3" s="1"/>
  <c r="AR781" i="3"/>
  <c r="AS781" i="3" s="1"/>
  <c r="AT781" i="3" s="1"/>
  <c r="AU781" i="3" s="1"/>
  <c r="AV781" i="3" s="1"/>
  <c r="AW781" i="3" s="1"/>
  <c r="AX781" i="3" s="1"/>
  <c r="AS376" i="3"/>
  <c r="AT376" i="3" s="1"/>
  <c r="AU376" i="3" s="1"/>
  <c r="AV376" i="3" s="1"/>
  <c r="AW376" i="3"/>
  <c r="AX376" i="3" s="1"/>
  <c r="AT1281" i="3"/>
  <c r="AU1281" i="3" s="1"/>
  <c r="AV1281" i="3" s="1"/>
  <c r="AW1281" i="3" s="1"/>
  <c r="AX1281" i="3" s="1"/>
  <c r="AO325" i="3"/>
  <c r="AR940" i="3"/>
  <c r="AS940" i="3"/>
  <c r="AT940" i="3" s="1"/>
  <c r="AO639" i="3"/>
  <c r="AO923" i="3"/>
  <c r="AR1036" i="3"/>
  <c r="AS1036" i="3" s="1"/>
  <c r="AT1036" i="3" s="1"/>
  <c r="AU1036" i="3" s="1"/>
  <c r="AV1036" i="3" s="1"/>
  <c r="AW1036" i="3" s="1"/>
  <c r="AX1036" i="3" s="1"/>
  <c r="AV1052" i="3"/>
  <c r="AW1052" i="3" s="1"/>
  <c r="AX1052" i="3" s="1"/>
  <c r="W866" i="4"/>
  <c r="AW254" i="3"/>
  <c r="AX254" i="3" s="1"/>
  <c r="AT37" i="3"/>
  <c r="AW37" i="3" s="1"/>
  <c r="AX37" i="3" s="1"/>
  <c r="AU37" i="3"/>
  <c r="AV37" i="3" s="1"/>
  <c r="AU1247" i="3"/>
  <c r="AV1247" i="3" s="1"/>
  <c r="AW1247" i="3" s="1"/>
  <c r="AX1247" i="3" s="1"/>
  <c r="AQ210" i="3"/>
  <c r="AR210" i="3" s="1"/>
  <c r="AS210" i="3" s="1"/>
  <c r="AM504" i="3"/>
  <c r="AO504" i="3" s="1"/>
  <c r="AN504" i="3"/>
  <c r="AO136" i="3"/>
  <c r="AO122" i="3"/>
  <c r="AR870" i="3"/>
  <c r="AS870" i="3" s="1"/>
  <c r="AT870" i="3" s="1"/>
  <c r="AU870" i="3" s="1"/>
  <c r="AV870" i="3" s="1"/>
  <c r="AA325" i="2"/>
  <c r="AA326" i="2" s="1"/>
  <c r="AA327" i="2" s="1"/>
  <c r="AB249" i="2"/>
  <c r="AA248" i="2"/>
  <c r="AB323" i="2"/>
  <c r="AO524" i="3"/>
  <c r="AP524" i="3" s="1"/>
  <c r="AO541" i="3"/>
  <c r="AW1380" i="3"/>
  <c r="AX1380" i="3" s="1"/>
  <c r="AE152" i="4"/>
  <c r="AT629" i="3"/>
  <c r="AU629" i="3" s="1"/>
  <c r="AV629" i="3" s="1"/>
  <c r="AW629" i="3" s="1"/>
  <c r="AX629" i="3" s="1"/>
  <c r="AN1275" i="3"/>
  <c r="AO212" i="3"/>
  <c r="AQ492" i="3"/>
  <c r="AB198" i="2"/>
  <c r="AA197" i="2"/>
  <c r="AA156" i="2" s="1"/>
  <c r="AR738" i="3"/>
  <c r="AR300" i="3"/>
  <c r="AS300" i="3" s="1"/>
  <c r="AT300" i="3" s="1"/>
  <c r="AU300" i="3" s="1"/>
  <c r="AA153" i="4"/>
  <c r="AM580" i="3"/>
  <c r="AP96" i="3"/>
  <c r="AS863" i="3"/>
  <c r="AT863" i="3" s="1"/>
  <c r="AU863" i="3" s="1"/>
  <c r="AV863" i="3" s="1"/>
  <c r="AW863" i="3" s="1"/>
  <c r="AX863" i="3" s="1"/>
  <c r="AO1321" i="3"/>
  <c r="AR213" i="3"/>
  <c r="AS213" i="3" s="1"/>
  <c r="AT213" i="3" s="1"/>
  <c r="AU213" i="3" s="1"/>
  <c r="AV213" i="3" s="1"/>
  <c r="AW213" i="3" s="1"/>
  <c r="AX213" i="3" s="1"/>
  <c r="AQ269" i="3"/>
  <c r="AR935" i="3"/>
  <c r="AW943" i="3"/>
  <c r="AX943" i="3" s="1"/>
  <c r="AW878" i="3"/>
  <c r="AX878" i="3" s="1"/>
  <c r="AP932" i="3"/>
  <c r="AQ932" i="3" s="1"/>
  <c r="AR932" i="3" s="1"/>
  <c r="AS932" i="3" s="1"/>
  <c r="AT932" i="3" s="1"/>
  <c r="AU932" i="3" s="1"/>
  <c r="AV932" i="3" s="1"/>
  <c r="AW932" i="3" s="1"/>
  <c r="AX932" i="3" s="1"/>
  <c r="AO1300" i="3"/>
  <c r="AP1300" i="3" s="1"/>
  <c r="AQ1300" i="3" s="1"/>
  <c r="AR1300" i="3" s="1"/>
  <c r="AS1300" i="3" s="1"/>
  <c r="AT1300" i="3" s="1"/>
  <c r="AU1300" i="3" s="1"/>
  <c r="AV1300" i="3" s="1"/>
  <c r="AW1300" i="3" s="1"/>
  <c r="AX1300" i="3" s="1"/>
  <c r="AW618" i="3"/>
  <c r="AX618" i="3" s="1"/>
  <c r="AW204" i="3"/>
  <c r="AX204" i="3" s="1"/>
  <c r="AQ621" i="3"/>
  <c r="AO326" i="3"/>
  <c r="AP326" i="3" s="1"/>
  <c r="AQ326" i="3" s="1"/>
  <c r="AR326" i="3" s="1"/>
  <c r="AS326" i="3" s="1"/>
  <c r="AT326" i="3" s="1"/>
  <c r="AU326" i="3"/>
  <c r="AV326" i="3" s="1"/>
  <c r="AW326" i="3" s="1"/>
  <c r="AX326" i="3" s="1"/>
  <c r="AQ87" i="3"/>
  <c r="AP468" i="3"/>
  <c r="AQ1100" i="3"/>
  <c r="AR1100" i="3" s="1"/>
  <c r="AS1100" i="3" s="1"/>
  <c r="AT1100" i="3" s="1"/>
  <c r="AU1100" i="3" s="1"/>
  <c r="AV1100" i="3" s="1"/>
  <c r="AW1100" i="3" s="1"/>
  <c r="AX1100" i="3" s="1"/>
  <c r="K336" i="2"/>
  <c r="AN83" i="3"/>
  <c r="AU478" i="3"/>
  <c r="AV478" i="3" s="1"/>
  <c r="AQ751" i="3"/>
  <c r="AU690" i="3"/>
  <c r="AV690" i="3" s="1"/>
  <c r="AW690" i="3" s="1"/>
  <c r="AX690" i="3" s="1"/>
  <c r="AQ1160" i="3"/>
  <c r="AR1160" i="3" s="1"/>
  <c r="AS1160" i="3" s="1"/>
  <c r="AT1160" i="3" s="1"/>
  <c r="AU1160" i="3" s="1"/>
  <c r="AV1160" i="3" s="1"/>
  <c r="AW1160" i="3" s="1"/>
  <c r="AX1160" i="3" s="1"/>
  <c r="S322" i="4"/>
  <c r="AQ637" i="3"/>
  <c r="AP1343" i="3"/>
  <c r="AQ1343" i="3" s="1"/>
  <c r="AV700" i="3"/>
  <c r="AW700" i="3"/>
  <c r="AX700" i="3" s="1"/>
  <c r="AR1302" i="3"/>
  <c r="AS1302" i="3" s="1"/>
  <c r="AT1302" i="3"/>
  <c r="AU1302" i="3" s="1"/>
  <c r="AV1302" i="3" s="1"/>
  <c r="AW1302" i="3" s="1"/>
  <c r="AX1302" i="3" s="1"/>
  <c r="AW734" i="3"/>
  <c r="AX734" i="3" s="1"/>
  <c r="AQ422" i="3"/>
  <c r="AQ711" i="3"/>
  <c r="Q177" i="2"/>
  <c r="AR825" i="3"/>
  <c r="S1196" i="4"/>
  <c r="S555" i="4"/>
  <c r="AS543" i="3"/>
  <c r="AT543" i="3" s="1"/>
  <c r="AU543" i="3" s="1"/>
  <c r="AV543" i="3" s="1"/>
  <c r="AW543" i="3" s="1"/>
  <c r="AX543" i="3" s="1"/>
  <c r="AQ759" i="3"/>
  <c r="AR759" i="3" s="1"/>
  <c r="AS759" i="3" s="1"/>
  <c r="AT759" i="3" s="1"/>
  <c r="AL1444" i="3"/>
  <c r="AM68" i="3"/>
  <c r="AM1400" i="3" s="1"/>
  <c r="U354" i="4"/>
  <c r="AV78" i="3"/>
  <c r="AW78" i="3" s="1"/>
  <c r="AX78" i="3" s="1"/>
  <c r="AW617" i="3"/>
  <c r="AX617" i="3" s="1"/>
  <c r="AU1308" i="3"/>
  <c r="AV1308" i="3" s="1"/>
  <c r="AW1308" i="3" s="1"/>
  <c r="AX1308" i="3" s="1"/>
  <c r="AW516" i="3"/>
  <c r="AX516" i="3" s="1"/>
  <c r="AP954" i="3"/>
  <c r="AQ954" i="3" s="1"/>
  <c r="AR767" i="3"/>
  <c r="AR1163" i="3"/>
  <c r="AS1163" i="3" s="1"/>
  <c r="AP261" i="3"/>
  <c r="AQ261" i="3" s="1"/>
  <c r="AR261" i="3" s="1"/>
  <c r="AS261" i="3" s="1"/>
  <c r="AT261" i="3" s="1"/>
  <c r="AU261" i="3" s="1"/>
  <c r="AV261" i="3" s="1"/>
  <c r="AS1280" i="3"/>
  <c r="AT1280" i="3" s="1"/>
  <c r="AU1280" i="3" s="1"/>
  <c r="AV1280" i="3" s="1"/>
  <c r="AW1280" i="3" s="1"/>
  <c r="AX1280" i="3" s="1"/>
  <c r="AL1430" i="3"/>
  <c r="W167" i="4" s="1"/>
  <c r="S290" i="4"/>
  <c r="AV166" i="3"/>
  <c r="AW166" i="3" s="1"/>
  <c r="AX166" i="3" s="1"/>
  <c r="AO589" i="3"/>
  <c r="AP103" i="3"/>
  <c r="AN103" i="3"/>
  <c r="AO103" i="3" s="1"/>
  <c r="AT1283" i="3"/>
  <c r="AU1283" i="3" s="1"/>
  <c r="AV1283" i="3" s="1"/>
  <c r="AQ1409" i="3"/>
  <c r="AR378" i="3"/>
  <c r="AM918" i="3"/>
  <c r="AN1267" i="3"/>
  <c r="AQ1144" i="3"/>
  <c r="AR1144" i="3" s="1"/>
  <c r="AS1144" i="3" s="1"/>
  <c r="AT1144" i="3" s="1"/>
  <c r="AU1144" i="3" s="1"/>
  <c r="AV1144" i="3" s="1"/>
  <c r="AW1144" i="3" s="1"/>
  <c r="AX1144" i="3" s="1"/>
  <c r="AU847" i="3"/>
  <c r="AV847" i="3" s="1"/>
  <c r="AP847" i="3"/>
  <c r="AR1075" i="3"/>
  <c r="AS1075" i="3" s="1"/>
  <c r="AP154" i="3"/>
  <c r="AQ154" i="3" s="1"/>
  <c r="AS367" i="3"/>
  <c r="AT367" i="3" s="1"/>
  <c r="AU367" i="3" s="1"/>
  <c r="AV367" i="3" s="1"/>
  <c r="AP367" i="3"/>
  <c r="AO386" i="3"/>
  <c r="R389" i="4"/>
  <c r="AN1081" i="3"/>
  <c r="M40" i="2"/>
  <c r="X418" i="4"/>
  <c r="AQ638" i="3"/>
  <c r="AR638" i="3" s="1"/>
  <c r="AS638" i="3" s="1"/>
  <c r="AT638" i="3" s="1"/>
  <c r="AU638" i="3" s="1"/>
  <c r="AV638" i="3" s="1"/>
  <c r="AW638" i="3" s="1"/>
  <c r="AX638" i="3" s="1"/>
  <c r="AP1030" i="3"/>
  <c r="AQ1030" i="3"/>
  <c r="AS1231" i="3"/>
  <c r="AT1231" i="3" s="1"/>
  <c r="AU1231" i="3" s="1"/>
  <c r="AV1231" i="3" s="1"/>
  <c r="AW1231" i="3" s="1"/>
  <c r="AX1231" i="3" s="1"/>
  <c r="AR815" i="3"/>
  <c r="AQ1286" i="3"/>
  <c r="AR1286" i="3" s="1"/>
  <c r="AS1286" i="3" s="1"/>
  <c r="AT1286" i="3" s="1"/>
  <c r="AU1286" i="3" s="1"/>
  <c r="AV1286" i="3" s="1"/>
  <c r="AW1286" i="3" s="1"/>
  <c r="AX1286" i="3" s="1"/>
  <c r="AP716" i="3"/>
  <c r="AQ716" i="3" s="1"/>
  <c r="AR716" i="3" s="1"/>
  <c r="AS716" i="3" s="1"/>
  <c r="AV566" i="3"/>
  <c r="AS854" i="3"/>
  <c r="AD753" i="4"/>
  <c r="AD812" i="4" s="1"/>
  <c r="AD799" i="4"/>
  <c r="AD801" i="4" s="1"/>
  <c r="U799" i="4"/>
  <c r="U801" i="4" s="1"/>
  <c r="U803" i="4" s="1"/>
  <c r="U821" i="4" s="1"/>
  <c r="U870" i="4" s="1"/>
  <c r="W54" i="2" s="1"/>
  <c r="U753" i="4"/>
  <c r="U812" i="4" s="1"/>
  <c r="AT1075" i="3"/>
  <c r="AU1075" i="3" s="1"/>
  <c r="AV1075" i="3" s="1"/>
  <c r="AW1075" i="3" s="1"/>
  <c r="AX1075" i="3" s="1"/>
  <c r="AW748" i="3"/>
  <c r="AX748" i="3" s="1"/>
  <c r="AU148" i="3"/>
  <c r="AV148" i="3" s="1"/>
  <c r="AW148" i="3" s="1"/>
  <c r="AX148" i="3" s="1"/>
  <c r="AT148" i="3"/>
  <c r="AQ575" i="3"/>
  <c r="AO506" i="3"/>
  <c r="AP506" i="3" s="1"/>
  <c r="AU625" i="3"/>
  <c r="AV414" i="3"/>
  <c r="AW414" i="3" s="1"/>
  <c r="AX414" i="3" s="1"/>
  <c r="R175" i="2"/>
  <c r="R177" i="2" s="1"/>
  <c r="S256" i="2"/>
  <c r="AQ671" i="3"/>
  <c r="AT312" i="3"/>
  <c r="AU312" i="3" s="1"/>
  <c r="AV312" i="3" s="1"/>
  <c r="AW312" i="3" s="1"/>
  <c r="AX312" i="3" s="1"/>
  <c r="AO199" i="3"/>
  <c r="AP199" i="3" s="1"/>
  <c r="AQ199" i="3"/>
  <c r="AS1204" i="3"/>
  <c r="AT1204" i="3" s="1"/>
  <c r="AM694" i="3"/>
  <c r="AT1161" i="3"/>
  <c r="AU1161" i="3" s="1"/>
  <c r="AV1161" i="3" s="1"/>
  <c r="AS1161" i="3"/>
  <c r="AN510" i="3"/>
  <c r="AO496" i="3"/>
  <c r="AM549" i="3"/>
  <c r="AN549" i="3" s="1"/>
  <c r="AO549" i="3" s="1"/>
  <c r="AU759" i="3"/>
  <c r="AV759" i="3" s="1"/>
  <c r="AU1337" i="3"/>
  <c r="AV1337" i="3" s="1"/>
  <c r="AW1337" i="3" s="1"/>
  <c r="AX1337" i="3" s="1"/>
  <c r="AR1390" i="3"/>
  <c r="AS254" i="3"/>
  <c r="AT254" i="3" s="1"/>
  <c r="AU254" i="3" s="1"/>
  <c r="AV254" i="3" s="1"/>
  <c r="AR33" i="3"/>
  <c r="AS33" i="3" s="1"/>
  <c r="AL1400" i="3"/>
  <c r="AL1443" i="3"/>
  <c r="Y219" i="2" s="1"/>
  <c r="AR450" i="3"/>
  <c r="AP336" i="3"/>
  <c r="AQ336" i="3" s="1"/>
  <c r="AR336" i="3" s="1"/>
  <c r="AS336" i="3" s="1"/>
  <c r="AT336" i="3" s="1"/>
  <c r="AU336" i="3" s="1"/>
  <c r="AV336" i="3" s="1"/>
  <c r="AW336" i="3" s="1"/>
  <c r="AX336" i="3" s="1"/>
  <c r="AU500" i="3"/>
  <c r="AV500" i="3" s="1"/>
  <c r="AW500" i="3" s="1"/>
  <c r="AX500" i="3" s="1"/>
  <c r="AW144" i="3"/>
  <c r="AX144" i="3" s="1"/>
  <c r="AT159" i="3"/>
  <c r="AU159" i="3" s="1"/>
  <c r="AV159" i="3" s="1"/>
  <c r="AT436" i="3"/>
  <c r="AU436" i="3" s="1"/>
  <c r="AV436" i="3" s="1"/>
  <c r="AW436" i="3" s="1"/>
  <c r="AX436" i="3" s="1"/>
  <c r="AS974" i="3"/>
  <c r="AW164" i="3"/>
  <c r="AX164" i="3" s="1"/>
  <c r="U306" i="4"/>
  <c r="AS617" i="3"/>
  <c r="AT617" i="3" s="1"/>
  <c r="AU617" i="3" s="1"/>
  <c r="AV617" i="3" s="1"/>
  <c r="AM362" i="3"/>
  <c r="AR295" i="3"/>
  <c r="AS295" i="3" s="1"/>
  <c r="AT295" i="3" s="1"/>
  <c r="AU295" i="3" s="1"/>
  <c r="AV295" i="3"/>
  <c r="AW295" i="3" s="1"/>
  <c r="AX295" i="3" s="1"/>
  <c r="AT819" i="3"/>
  <c r="AU819" i="3" s="1"/>
  <c r="AV819" i="3"/>
  <c r="AW819" i="3" s="1"/>
  <c r="AX819" i="3" s="1"/>
  <c r="AO1126" i="3"/>
  <c r="P55" i="2"/>
  <c r="AT324" i="3"/>
  <c r="AU324" i="3" s="1"/>
  <c r="AV324" i="3" s="1"/>
  <c r="AT992" i="3"/>
  <c r="AM1442" i="3"/>
  <c r="AO72" i="3"/>
  <c r="AR1136" i="3"/>
  <c r="AS985" i="3"/>
  <c r="AT985" i="3" s="1"/>
  <c r="AU985" i="3" s="1"/>
  <c r="AV985" i="3" s="1"/>
  <c r="AW985" i="3" s="1"/>
  <c r="AX985" i="3" s="1"/>
  <c r="AR799" i="3"/>
  <c r="AO951" i="3"/>
  <c r="AQ696" i="3"/>
  <c r="AR696" i="3" s="1"/>
  <c r="AS696" i="3" s="1"/>
  <c r="AT696" i="3" s="1"/>
  <c r="AU696" i="3" s="1"/>
  <c r="AV696" i="3" s="1"/>
  <c r="AW696" i="3" s="1"/>
  <c r="AX696" i="3" s="1"/>
  <c r="AP107" i="3"/>
  <c r="AQ107" i="3" s="1"/>
  <c r="AR107" i="3" s="1"/>
  <c r="AS107" i="3" s="1"/>
  <c r="AT107" i="3" s="1"/>
  <c r="AU107" i="3" s="1"/>
  <c r="AV107" i="3" s="1"/>
  <c r="AW107" i="3" s="1"/>
  <c r="AX107" i="3" s="1"/>
  <c r="AQ1326" i="3"/>
  <c r="AS1077" i="3"/>
  <c r="AT1077" i="3" s="1"/>
  <c r="AU1077" i="3" s="1"/>
  <c r="AL1446" i="3"/>
  <c r="AP1391" i="3"/>
  <c r="AW266" i="3"/>
  <c r="AX266" i="3" s="1"/>
  <c r="S370" i="4"/>
  <c r="AP717" i="3"/>
  <c r="AN459" i="3"/>
  <c r="L40" i="2"/>
  <c r="Y220" i="2"/>
  <c r="AQ251" i="3"/>
  <c r="AT481" i="3"/>
  <c r="AU481" i="3" s="1"/>
  <c r="AV481" i="3" s="1"/>
  <c r="AW481" i="3" s="1"/>
  <c r="AX481" i="3" s="1"/>
  <c r="AP1376" i="3"/>
  <c r="AQ1376" i="3" s="1"/>
  <c r="AR1376" i="3"/>
  <c r="AS1376" i="3" s="1"/>
  <c r="AT1376" i="3" s="1"/>
  <c r="AU1376" i="3" s="1"/>
  <c r="AV1376" i="3" s="1"/>
  <c r="AW1376" i="3" s="1"/>
  <c r="AX1376" i="3" s="1"/>
  <c r="AP1347" i="3"/>
  <c r="U84" i="4"/>
  <c r="U70" i="4"/>
  <c r="AO1271" i="3"/>
  <c r="AT1028" i="3"/>
  <c r="AR1028" i="3"/>
  <c r="AS1028" i="3" s="1"/>
  <c r="AR786" i="3"/>
  <c r="AS786" i="3" s="1"/>
  <c r="U386" i="4"/>
  <c r="AO78" i="3"/>
  <c r="AP78" i="3"/>
  <c r="AQ78" i="3" s="1"/>
  <c r="AR78" i="3" s="1"/>
  <c r="AQ722" i="3"/>
  <c r="AR722" i="3" s="1"/>
  <c r="AS722" i="3" s="1"/>
  <c r="AT722" i="3"/>
  <c r="AU722" i="3" s="1"/>
  <c r="AV722" i="3" s="1"/>
  <c r="AW722" i="3" s="1"/>
  <c r="AX722" i="3" s="1"/>
  <c r="AO298" i="3"/>
  <c r="AP298" i="3" s="1"/>
  <c r="AQ298" i="3" s="1"/>
  <c r="AR298" i="3"/>
  <c r="AS298" i="3" s="1"/>
  <c r="AT298" i="3" s="1"/>
  <c r="AU298" i="3" s="1"/>
  <c r="AV298" i="3" s="1"/>
  <c r="AW298" i="3" s="1"/>
  <c r="AX298" i="3" s="1"/>
  <c r="AO115" i="3"/>
  <c r="AP115" i="3" s="1"/>
  <c r="AQ115" i="3" s="1"/>
  <c r="AR115" i="3" s="1"/>
  <c r="AS115" i="3" s="1"/>
  <c r="AT115" i="3" s="1"/>
  <c r="AU115" i="3"/>
  <c r="AV115" i="3" s="1"/>
  <c r="AW115" i="3" s="1"/>
  <c r="AX115" i="3" s="1"/>
  <c r="AP763" i="3"/>
  <c r="AS975" i="3"/>
  <c r="AT975" i="3" s="1"/>
  <c r="AU975" i="3" s="1"/>
  <c r="AV975" i="3" s="1"/>
  <c r="Y753" i="4"/>
  <c r="Y812" i="4" s="1"/>
  <c r="Y799" i="4"/>
  <c r="Y801" i="4" s="1"/>
  <c r="AN615" i="3"/>
  <c r="AS577" i="3"/>
  <c r="AT577" i="3" s="1"/>
  <c r="AU577" i="3" s="1"/>
  <c r="AV577" i="3" s="1"/>
  <c r="AW577" i="3" s="1"/>
  <c r="AX577" i="3" s="1"/>
  <c r="AV1291" i="3"/>
  <c r="AW1291" i="3" s="1"/>
  <c r="AX1291" i="3" s="1"/>
  <c r="AO998" i="3"/>
  <c r="AV677" i="3"/>
  <c r="AW677" i="3" s="1"/>
  <c r="AX677" i="3" s="1"/>
  <c r="AU147" i="3"/>
  <c r="AV147" i="3" s="1"/>
  <c r="AW147" i="3" s="1"/>
  <c r="AX147" i="3" s="1"/>
  <c r="S386" i="4"/>
  <c r="AO239" i="3"/>
  <c r="AM762" i="3"/>
  <c r="AN81" i="3"/>
  <c r="AO1055" i="3"/>
  <c r="AQ919" i="3"/>
  <c r="AR919" i="3"/>
  <c r="AS919" i="3" s="1"/>
  <c r="AT919" i="3" s="1"/>
  <c r="AN877" i="3"/>
  <c r="AO877" i="3"/>
  <c r="AP877" i="3" s="1"/>
  <c r="AQ877" i="3" s="1"/>
  <c r="AR877" i="3" s="1"/>
  <c r="AS877" i="3" s="1"/>
  <c r="AT877" i="3" s="1"/>
  <c r="AU877" i="3" s="1"/>
  <c r="AP1248" i="3"/>
  <c r="AO775" i="3"/>
  <c r="AP775" i="3" s="1"/>
  <c r="AR156" i="3"/>
  <c r="AS156" i="3" s="1"/>
  <c r="AT156" i="3" s="1"/>
  <c r="AU156" i="3" s="1"/>
  <c r="AV156" i="3" s="1"/>
  <c r="AW156" i="3" s="1"/>
  <c r="AX156" i="3" s="1"/>
  <c r="Q7" i="10"/>
  <c r="R4" i="10"/>
  <c r="AN1099" i="3"/>
  <c r="W148" i="4"/>
  <c r="W150" i="4" s="1"/>
  <c r="X147" i="4"/>
  <c r="AT674" i="3"/>
  <c r="AU674" i="3" s="1"/>
  <c r="AV674" i="3" s="1"/>
  <c r="AW674" i="3" s="1"/>
  <c r="AX674" i="3" s="1"/>
  <c r="AW465" i="3"/>
  <c r="AX465" i="3" s="1"/>
  <c r="AQ446" i="3"/>
  <c r="AR446" i="3" s="1"/>
  <c r="AS446" i="3" s="1"/>
  <c r="AO162" i="3"/>
  <c r="AO346" i="3"/>
  <c r="AP346" i="3" s="1"/>
  <c r="AQ346" i="3" s="1"/>
  <c r="AR346" i="3" s="1"/>
  <c r="AS346" i="3" s="1"/>
  <c r="AT346" i="3" s="1"/>
  <c r="AN346" i="3"/>
  <c r="AW1279" i="3"/>
  <c r="AX1279" i="3" s="1"/>
  <c r="Z121" i="4"/>
  <c r="Y134" i="4"/>
  <c r="T344" i="2"/>
  <c r="R523" i="4"/>
  <c r="R357" i="4"/>
  <c r="AN89" i="3"/>
  <c r="AP410" i="3"/>
  <c r="AQ410" i="3"/>
  <c r="AR410" i="3" s="1"/>
  <c r="AS410" i="3" s="1"/>
  <c r="AT410" i="3" s="1"/>
  <c r="AU410" i="3" s="1"/>
  <c r="AM1008" i="3"/>
  <c r="AM1208" i="3"/>
  <c r="AO1014" i="3"/>
  <c r="AR1150" i="3"/>
  <c r="AS1150" i="3" s="1"/>
  <c r="AT1150" i="3" s="1"/>
  <c r="AU1150" i="3" s="1"/>
  <c r="AV1150" i="3" s="1"/>
  <c r="AW1150" i="3" s="1"/>
  <c r="AX1150" i="3" s="1"/>
  <c r="V135" i="2"/>
  <c r="AN287" i="3"/>
  <c r="AW140" i="3"/>
  <c r="AX140" i="3" s="1"/>
  <c r="W380" i="2"/>
  <c r="W17" i="2"/>
  <c r="AU348" i="3"/>
  <c r="AV348" i="3" s="1"/>
  <c r="AR56" i="3"/>
  <c r="AS56" i="3" s="1"/>
  <c r="AT56" i="3" s="1"/>
  <c r="AU56" i="3" s="1"/>
  <c r="AV56" i="3" s="1"/>
  <c r="AW56" i="3" s="1"/>
  <c r="AX56" i="3" s="1"/>
  <c r="AS265" i="3"/>
  <c r="AT265" i="3" s="1"/>
  <c r="AU265" i="3" s="1"/>
  <c r="AV265" i="3" s="1"/>
  <c r="AW265" i="3" s="1"/>
  <c r="AX265" i="3" s="1"/>
  <c r="AU260" i="3"/>
  <c r="AV260" i="3" s="1"/>
  <c r="AW260" i="3" s="1"/>
  <c r="AX260" i="3" s="1"/>
  <c r="AU1288" i="3"/>
  <c r="AV1288" i="3" s="1"/>
  <c r="AW1288" i="3" s="1"/>
  <c r="AX1288" i="3" s="1"/>
  <c r="AB101" i="2"/>
  <c r="AQ360" i="3"/>
  <c r="AR360" i="3" s="1"/>
  <c r="AS360" i="3" s="1"/>
  <c r="AT360" i="3" s="1"/>
  <c r="AU360" i="3" s="1"/>
  <c r="AV360" i="3" s="1"/>
  <c r="AP778" i="3"/>
  <c r="AQ778" i="3" s="1"/>
  <c r="AR778" i="3" s="1"/>
  <c r="AS778" i="3" s="1"/>
  <c r="AT778" i="3" s="1"/>
  <c r="AU778" i="3" s="1"/>
  <c r="AV778" i="3" s="1"/>
  <c r="AW778" i="3" s="1"/>
  <c r="AX778" i="3" s="1"/>
  <c r="AO314" i="3"/>
  <c r="AP314" i="3" s="1"/>
  <c r="AQ314" i="3" s="1"/>
  <c r="AP363" i="3"/>
  <c r="W84" i="2"/>
  <c r="U188" i="4"/>
  <c r="U238" i="4" s="1"/>
  <c r="AQ462" i="3"/>
  <c r="AV217" i="3"/>
  <c r="AW217" i="3" s="1"/>
  <c r="AX217" i="3" s="1"/>
  <c r="AM297" i="3"/>
  <c r="AP297" i="3"/>
  <c r="AQ297" i="3" s="1"/>
  <c r="AR297" i="3" s="1"/>
  <c r="AS297" i="3" s="1"/>
  <c r="AN297" i="3"/>
  <c r="AO297" i="3" s="1"/>
  <c r="AQ1049" i="3"/>
  <c r="T866" i="4"/>
  <c r="AU1282" i="3"/>
  <c r="AV1282" i="3" s="1"/>
  <c r="AW1282" i="3" s="1"/>
  <c r="AX1282" i="3" s="1"/>
  <c r="AP1225" i="3"/>
  <c r="AQ1225" i="3" s="1"/>
  <c r="AR1225" i="3" s="1"/>
  <c r="AS1225" i="3" s="1"/>
  <c r="AT1225" i="3" s="1"/>
  <c r="AU1225" i="3" s="1"/>
  <c r="AV1225" i="3" s="1"/>
  <c r="AW1225" i="3" s="1"/>
  <c r="AX1225" i="3" s="1"/>
  <c r="AT661" i="3"/>
  <c r="AU661" i="3" s="1"/>
  <c r="AV661" i="3" s="1"/>
  <c r="AW661" i="3" s="1"/>
  <c r="AX661" i="3" s="1"/>
  <c r="AP1277" i="3"/>
  <c r="AQ1277" i="3" s="1"/>
  <c r="AR1277" i="3" s="1"/>
  <c r="AS1277" i="3" s="1"/>
  <c r="AT1277" i="3"/>
  <c r="AU1277" i="3" s="1"/>
  <c r="AV1277" i="3" s="1"/>
  <c r="AW1277" i="3" s="1"/>
  <c r="AX1277" i="3" s="1"/>
  <c r="AO824" i="3"/>
  <c r="AP824" i="3" s="1"/>
  <c r="AQ824" i="3" s="1"/>
  <c r="AO779" i="3"/>
  <c r="AA190" i="2"/>
  <c r="AA145" i="2" s="1"/>
  <c r="Z188" i="2"/>
  <c r="AQ502" i="3"/>
  <c r="AR502" i="3" s="1"/>
  <c r="AS502" i="3" s="1"/>
  <c r="AW324" i="3"/>
  <c r="AX324" i="3" s="1"/>
  <c r="AR956" i="3"/>
  <c r="AS956" i="3" s="1"/>
  <c r="AT956" i="3" s="1"/>
  <c r="AU956" i="3" s="1"/>
  <c r="AV956" i="3" s="1"/>
  <c r="AW956" i="3" s="1"/>
  <c r="AX956" i="3" s="1"/>
  <c r="AQ799" i="3"/>
  <c r="AN1132" i="3"/>
  <c r="AT1291" i="3"/>
  <c r="AS1278" i="3"/>
  <c r="AT1278" i="3" s="1"/>
  <c r="AU1278" i="3" s="1"/>
  <c r="AV1278" i="3" s="1"/>
  <c r="AW1278" i="3" s="1"/>
  <c r="AX1278" i="3" s="1"/>
  <c r="AV1155" i="3"/>
  <c r="AW1155" i="3" s="1"/>
  <c r="AX1155" i="3" s="1"/>
  <c r="AP1305" i="3"/>
  <c r="AQ1305" i="3" s="1"/>
  <c r="AR1305" i="3" s="1"/>
  <c r="AS1305" i="3" s="1"/>
  <c r="AT1305" i="3" s="1"/>
  <c r="AU1305" i="3" s="1"/>
  <c r="AV1305" i="3" s="1"/>
  <c r="AW1305" i="3" s="1"/>
  <c r="AX1305" i="3" s="1"/>
  <c r="AT677" i="3"/>
  <c r="AU677" i="3" s="1"/>
  <c r="U84" i="2"/>
  <c r="S188" i="4"/>
  <c r="S179" i="4"/>
  <c r="S173" i="4"/>
  <c r="AV555" i="3"/>
  <c r="AW555" i="3" s="1"/>
  <c r="AX555" i="3" s="1"/>
  <c r="AE275" i="2" l="1"/>
  <c r="AH276" i="2"/>
  <c r="AG269" i="2"/>
  <c r="U276" i="2"/>
  <c r="AG287" i="2"/>
  <c r="AC279" i="2"/>
  <c r="W276" i="2"/>
  <c r="AI287" i="2"/>
  <c r="U279" i="2"/>
  <c r="AA288" i="2"/>
  <c r="T288" i="2"/>
  <c r="X288" i="2"/>
  <c r="X143" i="2"/>
  <c r="X275" i="2"/>
  <c r="AI288" i="2"/>
  <c r="V288" i="2"/>
  <c r="V275" i="2"/>
  <c r="Y276" i="2"/>
  <c r="AH275" i="2"/>
  <c r="AC276" i="2"/>
  <c r="Z276" i="2"/>
  <c r="AI276" i="2"/>
  <c r="AA276" i="2"/>
  <c r="AB277" i="2"/>
  <c r="AB289" i="2"/>
  <c r="K225" i="2"/>
  <c r="Z288" i="2"/>
  <c r="AD290" i="2"/>
  <c r="AE288" i="2"/>
  <c r="AD288" i="2"/>
  <c r="AC277" i="2"/>
  <c r="X277" i="2"/>
  <c r="AG290" i="2"/>
  <c r="AB329" i="2"/>
  <c r="AB227" i="2"/>
  <c r="AA331" i="2"/>
  <c r="AA332" i="2" s="1"/>
  <c r="AA333" i="2" s="1"/>
  <c r="AB278" i="2"/>
  <c r="AF288" i="2"/>
  <c r="X415" i="4"/>
  <c r="Y75" i="2"/>
  <c r="Z32" i="10"/>
  <c r="AA32" i="10" s="1"/>
  <c r="X143" i="4"/>
  <c r="X144" i="4" s="1"/>
  <c r="X142" i="2"/>
  <c r="V185" i="4"/>
  <c r="U845" i="4"/>
  <c r="U848" i="4" s="1"/>
  <c r="W185" i="4"/>
  <c r="W184" i="4"/>
  <c r="W218" i="4" s="1"/>
  <c r="X95" i="2"/>
  <c r="X111" i="2" s="1"/>
  <c r="X151" i="2" s="1"/>
  <c r="W139" i="4"/>
  <c r="W177" i="4" s="1"/>
  <c r="Y70" i="2"/>
  <c r="Z70" i="2"/>
  <c r="X156" i="4"/>
  <c r="Z78" i="2" s="1"/>
  <c r="X93" i="4"/>
  <c r="X178" i="4" s="1"/>
  <c r="K157" i="2"/>
  <c r="Y336" i="2"/>
  <c r="W1257" i="4"/>
  <c r="W1262" i="4" s="1"/>
  <c r="W1267" i="4" s="1"/>
  <c r="Y95" i="2" s="1"/>
  <c r="X137" i="4"/>
  <c r="Z69" i="2" s="1"/>
  <c r="Z68" i="2"/>
  <c r="V70" i="4"/>
  <c r="P246" i="4"/>
  <c r="T232" i="4"/>
  <c r="T946" i="4" s="1"/>
  <c r="T224" i="4"/>
  <c r="T486" i="4" s="1"/>
  <c r="T503" i="4" s="1"/>
  <c r="T219" i="4"/>
  <c r="T485" i="4" s="1"/>
  <c r="T502" i="4" s="1"/>
  <c r="T551" i="4" s="1"/>
  <c r="V25" i="2" s="1"/>
  <c r="P247" i="4"/>
  <c r="R220" i="4"/>
  <c r="R641" i="4" s="1"/>
  <c r="R658" i="4" s="1"/>
  <c r="R707" i="4" s="1"/>
  <c r="T40" i="2" s="1"/>
  <c r="AC118" i="10"/>
  <c r="AC114" i="4"/>
  <c r="Y117" i="4"/>
  <c r="AC31" i="10"/>
  <c r="AC411" i="4"/>
  <c r="T229" i="4"/>
  <c r="T487" i="4" s="1"/>
  <c r="T504" i="4" s="1"/>
  <c r="Z111" i="10"/>
  <c r="Z107" i="4"/>
  <c r="Z117" i="10"/>
  <c r="Z113" i="4"/>
  <c r="AA116" i="10"/>
  <c r="AA112" i="4"/>
  <c r="Z115" i="10"/>
  <c r="Z111" i="4"/>
  <c r="AB411" i="4"/>
  <c r="T805" i="4"/>
  <c r="T822" i="4" s="1"/>
  <c r="T871" i="4" s="1"/>
  <c r="V55" i="2" s="1"/>
  <c r="R221" i="4"/>
  <c r="R200" i="4" s="1"/>
  <c r="R229" i="4"/>
  <c r="R487" i="4" s="1"/>
  <c r="R504" i="4" s="1"/>
  <c r="R226" i="4"/>
  <c r="R806" i="4" s="1"/>
  <c r="R823" i="4" s="1"/>
  <c r="R219" i="4"/>
  <c r="R198" i="4" s="1"/>
  <c r="T222" i="4"/>
  <c r="T944" i="4" s="1"/>
  <c r="T174" i="4"/>
  <c r="R180" i="4"/>
  <c r="T225" i="4"/>
  <c r="T642" i="4" s="1"/>
  <c r="T659" i="4" s="1"/>
  <c r="T226" i="4"/>
  <c r="T806" i="4" s="1"/>
  <c r="T823" i="4" s="1"/>
  <c r="T230" i="4"/>
  <c r="T643" i="4" s="1"/>
  <c r="T660" i="4" s="1"/>
  <c r="R174" i="4"/>
  <c r="R224" i="4"/>
  <c r="R486" i="4" s="1"/>
  <c r="R503" i="4" s="1"/>
  <c r="T231" i="4"/>
  <c r="T807" i="4" s="1"/>
  <c r="T824" i="4" s="1"/>
  <c r="R242" i="4"/>
  <c r="R948" i="4" s="1"/>
  <c r="K248" i="4"/>
  <c r="K964" i="4" s="1"/>
  <c r="K965" i="4" s="1"/>
  <c r="T227" i="4"/>
  <c r="T945" i="4" s="1"/>
  <c r="R231" i="4"/>
  <c r="R807" i="4" s="1"/>
  <c r="R824" i="4" s="1"/>
  <c r="R238" i="4"/>
  <c r="T220" i="4"/>
  <c r="T641" i="4" s="1"/>
  <c r="T658" i="4" s="1"/>
  <c r="T707" i="4" s="1"/>
  <c r="V40" i="2" s="1"/>
  <c r="T242" i="4"/>
  <c r="T948" i="4" s="1"/>
  <c r="R240" i="4"/>
  <c r="R645" i="4" s="1"/>
  <c r="R662" i="4" s="1"/>
  <c r="R241" i="4"/>
  <c r="R809" i="4" s="1"/>
  <c r="R826" i="4" s="1"/>
  <c r="R239" i="4"/>
  <c r="R489" i="4" s="1"/>
  <c r="R506" i="4" s="1"/>
  <c r="R227" i="4"/>
  <c r="R945" i="4" s="1"/>
  <c r="R225" i="4"/>
  <c r="R642" i="4" s="1"/>
  <c r="R659" i="4" s="1"/>
  <c r="T240" i="4"/>
  <c r="T645" i="4" s="1"/>
  <c r="T662" i="4" s="1"/>
  <c r="R222" i="4"/>
  <c r="R201" i="4" s="1"/>
  <c r="T241" i="4"/>
  <c r="T809" i="4" s="1"/>
  <c r="T826" i="4" s="1"/>
  <c r="T239" i="4"/>
  <c r="T489" i="4" s="1"/>
  <c r="T506" i="4" s="1"/>
  <c r="R232" i="4"/>
  <c r="R946" i="4" s="1"/>
  <c r="W1235" i="4"/>
  <c r="T111" i="2"/>
  <c r="T151" i="2" s="1"/>
  <c r="K806" i="4"/>
  <c r="K823" i="4" s="1"/>
  <c r="K872" i="4" s="1"/>
  <c r="T189" i="4"/>
  <c r="U111" i="2"/>
  <c r="U151" i="2" s="1"/>
  <c r="U150" i="2" s="1"/>
  <c r="K246" i="4"/>
  <c r="R189" i="4"/>
  <c r="P248" i="4"/>
  <c r="P964" i="4" s="1"/>
  <c r="P965" i="4" s="1"/>
  <c r="L227" i="4"/>
  <c r="L225" i="4"/>
  <c r="L226" i="4"/>
  <c r="L224" i="4"/>
  <c r="W111" i="2"/>
  <c r="W151" i="2" s="1"/>
  <c r="W150" i="2" s="1"/>
  <c r="Y10" i="2"/>
  <c r="Y9" i="2" s="1"/>
  <c r="Y17" i="2" s="1"/>
  <c r="W80" i="4"/>
  <c r="W84" i="4" s="1"/>
  <c r="M227" i="4"/>
  <c r="M226" i="4"/>
  <c r="M224" i="4"/>
  <c r="M225" i="4"/>
  <c r="S227" i="4"/>
  <c r="S945" i="4" s="1"/>
  <c r="U230" i="4"/>
  <c r="U643" i="4" s="1"/>
  <c r="U660" i="4" s="1"/>
  <c r="U231" i="4"/>
  <c r="U807" i="4" s="1"/>
  <c r="U824" i="4" s="1"/>
  <c r="U225" i="4"/>
  <c r="U642" i="4" s="1"/>
  <c r="U659" i="4" s="1"/>
  <c r="V111" i="2"/>
  <c r="V151" i="2" s="1"/>
  <c r="V150" i="2" s="1"/>
  <c r="K84" i="2"/>
  <c r="I84" i="2" s="1"/>
  <c r="S225" i="4"/>
  <c r="S642" i="4" s="1"/>
  <c r="S659" i="4" s="1"/>
  <c r="W976" i="4"/>
  <c r="X973" i="4" s="1"/>
  <c r="S230" i="4"/>
  <c r="S643" i="4" s="1"/>
  <c r="S660" i="4" s="1"/>
  <c r="X74" i="4"/>
  <c r="X76" i="4" s="1"/>
  <c r="X67" i="4"/>
  <c r="U226" i="4"/>
  <c r="U806" i="4" s="1"/>
  <c r="U823" i="4" s="1"/>
  <c r="U221" i="4"/>
  <c r="U200" i="4" s="1"/>
  <c r="S231" i="4"/>
  <c r="S807" i="4" s="1"/>
  <c r="S824" i="4" s="1"/>
  <c r="S226" i="4"/>
  <c r="S806" i="4" s="1"/>
  <c r="S823" i="4" s="1"/>
  <c r="AT1185" i="3"/>
  <c r="AU1185" i="3" s="1"/>
  <c r="AV1185" i="3" s="1"/>
  <c r="AW1185" i="3" s="1"/>
  <c r="AX1185" i="3" s="1"/>
  <c r="AO1185" i="3"/>
  <c r="AT84" i="3"/>
  <c r="AU84" i="3"/>
  <c r="AV84" i="3" s="1"/>
  <c r="AW84" i="3" s="1"/>
  <c r="AX84" i="3" s="1"/>
  <c r="AW811" i="3"/>
  <c r="AX811" i="3" s="1"/>
  <c r="AS658" i="3"/>
  <c r="AT658" i="3" s="1"/>
  <c r="AU658" i="3" s="1"/>
  <c r="AV658" i="3" s="1"/>
  <c r="AW658" i="3" s="1"/>
  <c r="AX658" i="3" s="1"/>
  <c r="AV858" i="3"/>
  <c r="AW858" i="3" s="1"/>
  <c r="AX858" i="3" s="1"/>
  <c r="AT788" i="3"/>
  <c r="AU788" i="3" s="1"/>
  <c r="AV788" i="3" s="1"/>
  <c r="AW788" i="3" s="1"/>
  <c r="AX788" i="3" s="1"/>
  <c r="AT1192" i="3"/>
  <c r="AU1192" i="3" s="1"/>
  <c r="AV1192" i="3" s="1"/>
  <c r="AW1192" i="3" s="1"/>
  <c r="AX1192" i="3" s="1"/>
  <c r="AR717" i="3"/>
  <c r="AU940" i="3"/>
  <c r="AV940" i="3" s="1"/>
  <c r="AW940" i="3"/>
  <c r="AX940" i="3" s="1"/>
  <c r="AU1038" i="3"/>
  <c r="AV1038" i="3" s="1"/>
  <c r="AW1038" i="3"/>
  <c r="AX1038" i="3" s="1"/>
  <c r="AW388" i="3"/>
  <c r="AX388" i="3" s="1"/>
  <c r="AS354" i="3"/>
  <c r="AT354" i="3" s="1"/>
  <c r="AU354" i="3" s="1"/>
  <c r="AV354" i="3" s="1"/>
  <c r="AW354" i="3"/>
  <c r="AX354" i="3" s="1"/>
  <c r="AU1063" i="3"/>
  <c r="AV1063" i="3" s="1"/>
  <c r="AW1063" i="3" s="1"/>
  <c r="AX1063" i="3" s="1"/>
  <c r="AW1068" i="3"/>
  <c r="AX1068" i="3" s="1"/>
  <c r="AV856" i="3"/>
  <c r="AW856" i="3" s="1"/>
  <c r="AX856" i="3" s="1"/>
  <c r="AQ856" i="3"/>
  <c r="AR856" i="3" s="1"/>
  <c r="AS856" i="3" s="1"/>
  <c r="AT856" i="3" s="1"/>
  <c r="AU856" i="3" s="1"/>
  <c r="AU891" i="3"/>
  <c r="AV891" i="3" s="1"/>
  <c r="AW891" i="3" s="1"/>
  <c r="AX891" i="3" s="1"/>
  <c r="AO382" i="3"/>
  <c r="AQ911" i="3"/>
  <c r="AR911" i="3" s="1"/>
  <c r="AS911" i="3" s="1"/>
  <c r="AT911" i="3"/>
  <c r="AU911" i="3" s="1"/>
  <c r="AV911" i="3" s="1"/>
  <c r="AW911" i="3" s="1"/>
  <c r="AX911" i="3" s="1"/>
  <c r="AU951" i="3"/>
  <c r="AV951" i="3" s="1"/>
  <c r="AW951" i="3" s="1"/>
  <c r="AX951" i="3" s="1"/>
  <c r="AS238" i="3"/>
  <c r="AT446" i="3"/>
  <c r="AU446" i="3" s="1"/>
  <c r="AV446" i="3" s="1"/>
  <c r="AW446" i="3" s="1"/>
  <c r="AX446" i="3" s="1"/>
  <c r="AU1081" i="3"/>
  <c r="AV1081" i="3" s="1"/>
  <c r="AW1081" i="3" s="1"/>
  <c r="AX1081" i="3" s="1"/>
  <c r="AV379" i="3"/>
  <c r="AW379" i="3" s="1"/>
  <c r="AX379" i="3" s="1"/>
  <c r="AV250" i="3"/>
  <c r="AW250" i="3" s="1"/>
  <c r="AX250" i="3" s="1"/>
  <c r="AU1391" i="3"/>
  <c r="AV1391" i="3" s="1"/>
  <c r="AW1391" i="3" s="1"/>
  <c r="AX1391" i="3" s="1"/>
  <c r="AV450" i="3"/>
  <c r="AW450" i="3" s="1"/>
  <c r="AX450" i="3" s="1"/>
  <c r="AT199" i="3"/>
  <c r="AU199" i="3" s="1"/>
  <c r="AV199" i="3" s="1"/>
  <c r="AW199" i="3" s="1"/>
  <c r="AX199" i="3" s="1"/>
  <c r="AW1371" i="3"/>
  <c r="AX1371" i="3" s="1"/>
  <c r="AW641" i="3"/>
  <c r="AX641" i="3" s="1"/>
  <c r="AO641" i="3"/>
  <c r="AP641" i="3" s="1"/>
  <c r="AQ641" i="3" s="1"/>
  <c r="AR641" i="3"/>
  <c r="AS641" i="3" s="1"/>
  <c r="AT641" i="3" s="1"/>
  <c r="AU641" i="3" s="1"/>
  <c r="AV641" i="3" s="1"/>
  <c r="AU1347" i="3"/>
  <c r="S944" i="4"/>
  <c r="S201" i="4"/>
  <c r="AT418" i="3"/>
  <c r="AU418" i="3"/>
  <c r="AV418" i="3" s="1"/>
  <c r="AW418" i="3" s="1"/>
  <c r="AX418" i="3" s="1"/>
  <c r="AS715" i="3"/>
  <c r="AT715" i="3"/>
  <c r="AU715" i="3" s="1"/>
  <c r="AV715" i="3" s="1"/>
  <c r="AW715" i="3" s="1"/>
  <c r="AX715" i="3" s="1"/>
  <c r="AQ715" i="3"/>
  <c r="AR715" i="3" s="1"/>
  <c r="AW1271" i="3"/>
  <c r="AX1271" i="3" s="1"/>
  <c r="AW1383" i="3"/>
  <c r="AX1383" i="3" s="1"/>
  <c r="AW1352" i="3"/>
  <c r="AX1352" i="3" s="1"/>
  <c r="AW489" i="3"/>
  <c r="AX489" i="3" s="1"/>
  <c r="AW1234" i="3"/>
  <c r="AX1234" i="3" s="1"/>
  <c r="AS925" i="3"/>
  <c r="AT925" i="3" s="1"/>
  <c r="AU925" i="3" s="1"/>
  <c r="AV925" i="3" s="1"/>
  <c r="AW925" i="3" s="1"/>
  <c r="AX925" i="3" s="1"/>
  <c r="AU330" i="3"/>
  <c r="AV330" i="3" s="1"/>
  <c r="AW330" i="3" s="1"/>
  <c r="AX330" i="3" s="1"/>
  <c r="AW374" i="3"/>
  <c r="AX374" i="3" s="1"/>
  <c r="AQ463" i="3"/>
  <c r="AR463" i="3" s="1"/>
  <c r="AS463" i="3" s="1"/>
  <c r="AT463" i="3" s="1"/>
  <c r="AU463" i="3"/>
  <c r="AV463" i="3" s="1"/>
  <c r="AW463" i="3" s="1"/>
  <c r="AX463" i="3" s="1"/>
  <c r="AR567" i="3"/>
  <c r="AS567" i="3" s="1"/>
  <c r="AT567" i="3" s="1"/>
  <c r="AU567" i="3" s="1"/>
  <c r="AW567" i="3"/>
  <c r="AX567" i="3" s="1"/>
  <c r="Z573" i="4"/>
  <c r="Z575" i="4" s="1"/>
  <c r="AN962" i="3"/>
  <c r="AO962" i="3" s="1"/>
  <c r="AP962" i="3" s="1"/>
  <c r="AP1418" i="3" s="1"/>
  <c r="AA165" i="4" s="1"/>
  <c r="V866" i="4"/>
  <c r="AS937" i="3"/>
  <c r="AT937" i="3" s="1"/>
  <c r="AU937" i="3" s="1"/>
  <c r="AV937" i="3" s="1"/>
  <c r="AW937" i="3" s="1"/>
  <c r="AX937" i="3" s="1"/>
  <c r="AV1227" i="3"/>
  <c r="AW1227" i="3" s="1"/>
  <c r="AX1227" i="3" s="1"/>
  <c r="AP337" i="3"/>
  <c r="AP364" i="3"/>
  <c r="AQ364" i="3" s="1"/>
  <c r="AR364" i="3" s="1"/>
  <c r="AS364" i="3" s="1"/>
  <c r="AT364" i="3" s="1"/>
  <c r="AU364" i="3"/>
  <c r="AV364" i="3" s="1"/>
  <c r="AW364" i="3" s="1"/>
  <c r="AX364" i="3" s="1"/>
  <c r="AR1251" i="3"/>
  <c r="AS1251" i="3" s="1"/>
  <c r="AT1251" i="3" s="1"/>
  <c r="AU1251" i="3" s="1"/>
  <c r="AV1251" i="3" s="1"/>
  <c r="AW1251" i="3" s="1"/>
  <c r="AX1251" i="3" s="1"/>
  <c r="AW714" i="3"/>
  <c r="AX714" i="3" s="1"/>
  <c r="AQ633" i="3"/>
  <c r="AR633" i="3" s="1"/>
  <c r="AS633" i="3" s="1"/>
  <c r="AT633" i="3" s="1"/>
  <c r="AU633" i="3" s="1"/>
  <c r="AV633" i="3" s="1"/>
  <c r="AW633" i="3" s="1"/>
  <c r="AX633" i="3" s="1"/>
  <c r="T279" i="2"/>
  <c r="AB279" i="2"/>
  <c r="AG279" i="2"/>
  <c r="Z279" i="2"/>
  <c r="AE279" i="2"/>
  <c r="Y279" i="2"/>
  <c r="X279" i="2"/>
  <c r="W279" i="2"/>
  <c r="AD279" i="2"/>
  <c r="V279" i="2"/>
  <c r="AA279" i="2"/>
  <c r="AF278" i="2"/>
  <c r="AF866" i="4"/>
  <c r="AW1317" i="3"/>
  <c r="AX1317" i="3" s="1"/>
  <c r="V28" i="2"/>
  <c r="AO227" i="3"/>
  <c r="AP227" i="3" s="1"/>
  <c r="AQ227" i="3" s="1"/>
  <c r="AR227" i="3" s="1"/>
  <c r="AS227" i="3" s="1"/>
  <c r="AT227" i="3" s="1"/>
  <c r="AU227" i="3" s="1"/>
  <c r="AN1406" i="3"/>
  <c r="AB223" i="2"/>
  <c r="AB144" i="2" s="1"/>
  <c r="AO858" i="3"/>
  <c r="AO345" i="3"/>
  <c r="AP345" i="3"/>
  <c r="AQ345" i="3" s="1"/>
  <c r="AR345" i="3" s="1"/>
  <c r="AS345" i="3" s="1"/>
  <c r="AT345" i="3" s="1"/>
  <c r="AU345" i="3" s="1"/>
  <c r="AQ240" i="3"/>
  <c r="AA866" i="4"/>
  <c r="AE241" i="2"/>
  <c r="AD139" i="2"/>
  <c r="AW1209" i="3"/>
  <c r="AX1209" i="3" s="1"/>
  <c r="AA269" i="2"/>
  <c r="AO1158" i="3"/>
  <c r="AO287" i="3"/>
  <c r="AP287" i="3" s="1"/>
  <c r="AQ287" i="3" s="1"/>
  <c r="AR287" i="3"/>
  <c r="AS287" i="3" s="1"/>
  <c r="AT287" i="3" s="1"/>
  <c r="AU287" i="3" s="1"/>
  <c r="AV287" i="3" s="1"/>
  <c r="AW287" i="3" s="1"/>
  <c r="AX287" i="3" s="1"/>
  <c r="K344" i="2"/>
  <c r="AQ775" i="3"/>
  <c r="AR775" i="3" s="1"/>
  <c r="AS775" i="3" s="1"/>
  <c r="AT775" i="3" s="1"/>
  <c r="AU775" i="3" s="1"/>
  <c r="AV775" i="3" s="1"/>
  <c r="AW775" i="3" s="1"/>
  <c r="AX775" i="3" s="1"/>
  <c r="AP998" i="3"/>
  <c r="S373" i="4"/>
  <c r="AQ103" i="3"/>
  <c r="AR103" i="3" s="1"/>
  <c r="AS103" i="3" s="1"/>
  <c r="AT103" i="3" s="1"/>
  <c r="AU103" i="3" s="1"/>
  <c r="AV103" i="3" s="1"/>
  <c r="AW103" i="3" s="1"/>
  <c r="AX103" i="3" s="1"/>
  <c r="AH279" i="2"/>
  <c r="AW478" i="3"/>
  <c r="AX478" i="3" s="1"/>
  <c r="AR269" i="3"/>
  <c r="AS269" i="3" s="1"/>
  <c r="AT269" i="3" s="1"/>
  <c r="AU269" i="3" s="1"/>
  <c r="AV269" i="3" s="1"/>
  <c r="AW269" i="3" s="1"/>
  <c r="AX269" i="3" s="1"/>
  <c r="AR492" i="3"/>
  <c r="AS492" i="3" s="1"/>
  <c r="AT492" i="3" s="1"/>
  <c r="AU492" i="3" s="1"/>
  <c r="AV492" i="3" s="1"/>
  <c r="AW492" i="3" s="1"/>
  <c r="AX492" i="3" s="1"/>
  <c r="AR504" i="3"/>
  <c r="AS504" i="3" s="1"/>
  <c r="AT504" i="3" s="1"/>
  <c r="AU504" i="3" s="1"/>
  <c r="AV504" i="3" s="1"/>
  <c r="AW504" i="3" s="1"/>
  <c r="AX504" i="3" s="1"/>
  <c r="R377" i="2"/>
  <c r="P949" i="4"/>
  <c r="P952" i="4" s="1"/>
  <c r="P955" i="4" s="1"/>
  <c r="R63" i="2" s="1"/>
  <c r="R373" i="2" s="1"/>
  <c r="R378" i="2" s="1"/>
  <c r="R379" i="2" s="1"/>
  <c r="AQ14" i="3"/>
  <c r="AR14" i="3" s="1"/>
  <c r="AS14" i="3" s="1"/>
  <c r="AT14" i="3"/>
  <c r="AU14" i="3" s="1"/>
  <c r="AV14" i="3"/>
  <c r="AW14" i="3" s="1"/>
  <c r="AX14" i="3" s="1"/>
  <c r="AV824" i="3"/>
  <c r="AW824" i="3" s="1"/>
  <c r="AX824" i="3" s="1"/>
  <c r="AT942" i="3"/>
  <c r="AU942" i="3" s="1"/>
  <c r="AV942" i="3" s="1"/>
  <c r="AW942" i="3" s="1"/>
  <c r="AX942" i="3" s="1"/>
  <c r="S24" i="4"/>
  <c r="S26" i="4" s="1"/>
  <c r="S36" i="4" s="1"/>
  <c r="T4" i="4"/>
  <c r="AW820" i="3"/>
  <c r="AX820" i="3" s="1"/>
  <c r="AS415" i="3"/>
  <c r="AT415" i="3" s="1"/>
  <c r="AU415" i="3" s="1"/>
  <c r="AV415" i="3" s="1"/>
  <c r="AW415" i="3" s="1"/>
  <c r="AX415" i="3" s="1"/>
  <c r="AD189" i="2"/>
  <c r="AP185" i="3"/>
  <c r="AQ185" i="3" s="1"/>
  <c r="AR185" i="3" s="1"/>
  <c r="AS185" i="3" s="1"/>
  <c r="AT185" i="3" s="1"/>
  <c r="AU185" i="3"/>
  <c r="AV185" i="3" s="1"/>
  <c r="AW185" i="3" s="1"/>
  <c r="AX185" i="3" s="1"/>
  <c r="AO167" i="3"/>
  <c r="AP167" i="3" s="1"/>
  <c r="AQ167" i="3" s="1"/>
  <c r="AR167" i="3" s="1"/>
  <c r="AS167" i="3" s="1"/>
  <c r="AT167" i="3" s="1"/>
  <c r="AU167" i="3" s="1"/>
  <c r="AV167" i="3" s="1"/>
  <c r="AW167" i="3"/>
  <c r="AX167" i="3" s="1"/>
  <c r="AB276" i="2"/>
  <c r="AO467" i="3"/>
  <c r="AP467" i="3" s="1"/>
  <c r="AQ467" i="3"/>
  <c r="AR467" i="3" s="1"/>
  <c r="AS467" i="3" s="1"/>
  <c r="AT467" i="3" s="1"/>
  <c r="AU467" i="3" s="1"/>
  <c r="AV467" i="3" s="1"/>
  <c r="AW467" i="3" s="1"/>
  <c r="AX467" i="3" s="1"/>
  <c r="AW299" i="3"/>
  <c r="AX299" i="3" s="1"/>
  <c r="AQ337" i="3"/>
  <c r="AR627" i="3"/>
  <c r="AO374" i="3"/>
  <c r="AP374" i="3" s="1"/>
  <c r="AQ374" i="3" s="1"/>
  <c r="AR374" i="3" s="1"/>
  <c r="AS374" i="3" s="1"/>
  <c r="AT374" i="3" s="1"/>
  <c r="AU374" i="3" s="1"/>
  <c r="AV374" i="3" s="1"/>
  <c r="AA275" i="2"/>
  <c r="T275" i="2"/>
  <c r="AC275" i="2"/>
  <c r="AF275" i="2"/>
  <c r="Y275" i="2"/>
  <c r="AB275" i="2"/>
  <c r="U275" i="2"/>
  <c r="Z275" i="2"/>
  <c r="AG278" i="2"/>
  <c r="AQ1143" i="3"/>
  <c r="AW67" i="3"/>
  <c r="AX67" i="3" s="1"/>
  <c r="AS792" i="3"/>
  <c r="AT792" i="3" s="1"/>
  <c r="AU792" i="3" s="1"/>
  <c r="AV792" i="3" s="1"/>
  <c r="AW792" i="3" s="1"/>
  <c r="AX792" i="3" s="1"/>
  <c r="W312" i="2"/>
  <c r="AB269" i="2"/>
  <c r="AT43" i="3"/>
  <c r="AU43" i="3" s="1"/>
  <c r="AV43" i="3" s="1"/>
  <c r="AW43" i="3" s="1"/>
  <c r="AX43" i="3" s="1"/>
  <c r="W275" i="2"/>
  <c r="AQ108" i="3"/>
  <c r="AR108" i="3" s="1"/>
  <c r="AS108" i="3" s="1"/>
  <c r="AT108" i="3" s="1"/>
  <c r="AU108" i="3" s="1"/>
  <c r="AV108" i="3" s="1"/>
  <c r="AW108" i="3" s="1"/>
  <c r="AX108" i="3" s="1"/>
  <c r="AR444" i="3"/>
  <c r="AS444" i="3" s="1"/>
  <c r="AT444" i="3" s="1"/>
  <c r="AU444" i="3" s="1"/>
  <c r="AV444" i="3" s="1"/>
  <c r="AW444" i="3" s="1"/>
  <c r="AX444" i="3" s="1"/>
  <c r="AT683" i="3"/>
  <c r="AU683" i="3" s="1"/>
  <c r="AV683" i="3" s="1"/>
  <c r="AW683" i="3" s="1"/>
  <c r="AX683" i="3" s="1"/>
  <c r="AV969" i="3"/>
  <c r="AW969" i="3" s="1"/>
  <c r="AX969" i="3" s="1"/>
  <c r="AW195" i="3"/>
  <c r="AX195" i="3" s="1"/>
  <c r="AT35" i="3"/>
  <c r="AU939" i="3"/>
  <c r="AV939" i="3" s="1"/>
  <c r="AW939" i="3" s="1"/>
  <c r="AX939" i="3" s="1"/>
  <c r="AS41" i="3"/>
  <c r="AT41" i="3" s="1"/>
  <c r="AU41" i="3" s="1"/>
  <c r="AQ477" i="3"/>
  <c r="AR477" i="3" s="1"/>
  <c r="AS477" i="3" s="1"/>
  <c r="AT477" i="3" s="1"/>
  <c r="AU477" i="3" s="1"/>
  <c r="AV477" i="3" s="1"/>
  <c r="AW477" i="3" s="1"/>
  <c r="AX477" i="3" s="1"/>
  <c r="AF276" i="2"/>
  <c r="U234" i="4"/>
  <c r="U488" i="4" s="1"/>
  <c r="U505" i="4" s="1"/>
  <c r="U235" i="4"/>
  <c r="U644" i="4" s="1"/>
  <c r="U661" i="4" s="1"/>
  <c r="U236" i="4"/>
  <c r="U808" i="4" s="1"/>
  <c r="U825" i="4" s="1"/>
  <c r="U237" i="4"/>
  <c r="U947" i="4" s="1"/>
  <c r="AQ650" i="3"/>
  <c r="AR650" i="3"/>
  <c r="AS650" i="3"/>
  <c r="AT650" i="3" s="1"/>
  <c r="AU650" i="3" s="1"/>
  <c r="AV650" i="3" s="1"/>
  <c r="AW650" i="3" s="1"/>
  <c r="AX650" i="3" s="1"/>
  <c r="AP1173" i="3"/>
  <c r="AQ1173" i="3" s="1"/>
  <c r="AR1173" i="3" s="1"/>
  <c r="AS1173" i="3" s="1"/>
  <c r="AT1173" i="3" s="1"/>
  <c r="AU1173" i="3" s="1"/>
  <c r="AV1173" i="3" s="1"/>
  <c r="AW1173" i="3" s="1"/>
  <c r="AX1173" i="3" s="1"/>
  <c r="AT1360" i="3"/>
  <c r="AU1360" i="3" s="1"/>
  <c r="AV1360" i="3" s="1"/>
  <c r="AW1360" i="3" s="1"/>
  <c r="AX1360" i="3" s="1"/>
  <c r="AA121" i="4"/>
  <c r="Z134" i="4"/>
  <c r="AR154" i="3"/>
  <c r="AS154" i="3" s="1"/>
  <c r="U971" i="4"/>
  <c r="U1098" i="4"/>
  <c r="X380" i="2"/>
  <c r="X17" i="2"/>
  <c r="X382" i="2" s="1"/>
  <c r="S238" i="4"/>
  <c r="S241" i="4"/>
  <c r="S809" i="4" s="1"/>
  <c r="S826" i="4" s="1"/>
  <c r="S239" i="4"/>
  <c r="S489" i="4" s="1"/>
  <c r="S506" i="4" s="1"/>
  <c r="S242" i="4"/>
  <c r="S948" i="4" s="1"/>
  <c r="S240" i="4"/>
  <c r="S645" i="4" s="1"/>
  <c r="S662" i="4" s="1"/>
  <c r="U866" i="4"/>
  <c r="AS825" i="3"/>
  <c r="AT825" i="3" s="1"/>
  <c r="AU825" i="3" s="1"/>
  <c r="AV825" i="3" s="1"/>
  <c r="AW825" i="3" s="1"/>
  <c r="AX825" i="3" s="1"/>
  <c r="Q377" i="2"/>
  <c r="O949" i="4"/>
  <c r="O952" i="4" s="1"/>
  <c r="O955" i="4" s="1"/>
  <c r="Q63" i="2" s="1"/>
  <c r="Q373" i="2" s="1"/>
  <c r="Q378" i="2" s="1"/>
  <c r="Q379" i="2" s="1"/>
  <c r="AS275" i="3"/>
  <c r="AT275" i="3" s="1"/>
  <c r="AU275" i="3"/>
  <c r="AV275" i="3" s="1"/>
  <c r="AW275" i="3" s="1"/>
  <c r="AX275" i="3" s="1"/>
  <c r="AV1118" i="3"/>
  <c r="AW1118" i="3" s="1"/>
  <c r="AX1118" i="3" s="1"/>
  <c r="AV41" i="3"/>
  <c r="AW41" i="3" s="1"/>
  <c r="AX41" i="3" s="1"/>
  <c r="X278" i="2"/>
  <c r="AQ263" i="3"/>
  <c r="AR263" i="3" s="1"/>
  <c r="AS263" i="3" s="1"/>
  <c r="AT263" i="3" s="1"/>
  <c r="AU263" i="3" s="1"/>
  <c r="AV263" i="3" s="1"/>
  <c r="AW263" i="3"/>
  <c r="AX263" i="3" s="1"/>
  <c r="AC249" i="2"/>
  <c r="AB325" i="2"/>
  <c r="AB326" i="2" s="1"/>
  <c r="AB327" i="2" s="1"/>
  <c r="AC323" i="2"/>
  <c r="AB248" i="2"/>
  <c r="AP222" i="3"/>
  <c r="AQ222" i="3" s="1"/>
  <c r="AR222" i="3" s="1"/>
  <c r="AS222" i="3" s="1"/>
  <c r="AT222" i="3" s="1"/>
  <c r="AU222" i="3" s="1"/>
  <c r="AV222" i="3" s="1"/>
  <c r="AW222" i="3" s="1"/>
  <c r="AX222" i="3" s="1"/>
  <c r="AQ187" i="3"/>
  <c r="AR187" i="3" s="1"/>
  <c r="AS187" i="3" s="1"/>
  <c r="AT187" i="3"/>
  <c r="AU187" i="3" s="1"/>
  <c r="AV187" i="3" s="1"/>
  <c r="AW187" i="3" s="1"/>
  <c r="AX187" i="3" s="1"/>
  <c r="N945" i="4"/>
  <c r="N248" i="4"/>
  <c r="N964" i="4" s="1"/>
  <c r="N965" i="4" s="1"/>
  <c r="Q486" i="4"/>
  <c r="Q503" i="4" s="1"/>
  <c r="Q245" i="4"/>
  <c r="AQ1248" i="3"/>
  <c r="AR1248" i="3" s="1"/>
  <c r="AS1248" i="3" s="1"/>
  <c r="AT1248" i="3" s="1"/>
  <c r="AU1248" i="3" s="1"/>
  <c r="AV1248" i="3" s="1"/>
  <c r="AW1248" i="3"/>
  <c r="AX1248" i="3" s="1"/>
  <c r="AS976" i="3"/>
  <c r="AT976" i="3" s="1"/>
  <c r="AU976" i="3" s="1"/>
  <c r="AV976" i="3" s="1"/>
  <c r="AW976" i="3" s="1"/>
  <c r="AX976" i="3" s="1"/>
  <c r="AR976" i="3"/>
  <c r="AS380" i="3"/>
  <c r="AS1037" i="3"/>
  <c r="AT1037" i="3" s="1"/>
  <c r="AU1037" i="3"/>
  <c r="AV1037" i="3" s="1"/>
  <c r="AW1037" i="3" s="1"/>
  <c r="AX1037" i="3" s="1"/>
  <c r="AP1048" i="3"/>
  <c r="AQ1048" i="3" s="1"/>
  <c r="AR1048" i="3" s="1"/>
  <c r="AS1048" i="3" s="1"/>
  <c r="AT1048" i="3" s="1"/>
  <c r="AU1048" i="3" s="1"/>
  <c r="AV1048" i="3"/>
  <c r="AW1048" i="3" s="1"/>
  <c r="AX1048" i="3" s="1"/>
  <c r="V50" i="2"/>
  <c r="AP496" i="3"/>
  <c r="P552" i="4"/>
  <c r="P507" i="4"/>
  <c r="P511" i="4" s="1"/>
  <c r="AQ944" i="3"/>
  <c r="AR944" i="3" s="1"/>
  <c r="AS944" i="3" s="1"/>
  <c r="AT944" i="3" s="1"/>
  <c r="AU944" i="3" s="1"/>
  <c r="AV944" i="3" s="1"/>
  <c r="AT447" i="3"/>
  <c r="AU447" i="3" s="1"/>
  <c r="AV447" i="3" s="1"/>
  <c r="AW447" i="3" s="1"/>
  <c r="AX447" i="3" s="1"/>
  <c r="AR1354" i="3"/>
  <c r="AS1354" i="3" s="1"/>
  <c r="AT1354" i="3" s="1"/>
  <c r="AU1354" i="3" s="1"/>
  <c r="AV1354" i="3" s="1"/>
  <c r="AW1354" i="3" s="1"/>
  <c r="AX1354" i="3" s="1"/>
  <c r="AU546" i="3"/>
  <c r="AV546" i="3" s="1"/>
  <c r="AW546" i="3" s="1"/>
  <c r="AX546" i="3" s="1"/>
  <c r="AP162" i="3"/>
  <c r="AQ162" i="3" s="1"/>
  <c r="AR162" i="3"/>
  <c r="AS162" i="3" s="1"/>
  <c r="AT162" i="3" s="1"/>
  <c r="AU162" i="3" s="1"/>
  <c r="AV162" i="3" s="1"/>
  <c r="AW162" i="3" s="1"/>
  <c r="AX162" i="3" s="1"/>
  <c r="AO459" i="3"/>
  <c r="AP459" i="3" s="1"/>
  <c r="AQ459" i="3" s="1"/>
  <c r="AR459" i="3" s="1"/>
  <c r="AS459" i="3" s="1"/>
  <c r="AT459" i="3" s="1"/>
  <c r="AU459" i="3" s="1"/>
  <c r="AV459" i="3" s="1"/>
  <c r="AW459" i="3" s="1"/>
  <c r="AX459" i="3" s="1"/>
  <c r="AP549" i="3"/>
  <c r="AQ549" i="3" s="1"/>
  <c r="AR549" i="3"/>
  <c r="AS549" i="3" s="1"/>
  <c r="AT549" i="3" s="1"/>
  <c r="AU549" i="3" s="1"/>
  <c r="AV549" i="3" s="1"/>
  <c r="AW549" i="3" s="1"/>
  <c r="AX549" i="3" s="1"/>
  <c r="AW158" i="3"/>
  <c r="AX158" i="3" s="1"/>
  <c r="AA412" i="4"/>
  <c r="Z33" i="10"/>
  <c r="AA413" i="4" s="1"/>
  <c r="AA419" i="4" s="1"/>
  <c r="AG286" i="2"/>
  <c r="U286" i="2"/>
  <c r="AI286" i="2"/>
  <c r="Z286" i="2"/>
  <c r="X286" i="2"/>
  <c r="Y286" i="2"/>
  <c r="AC286" i="2"/>
  <c r="T286" i="2"/>
  <c r="AF286" i="2"/>
  <c r="AB286" i="2"/>
  <c r="AA286" i="2"/>
  <c r="AN1053" i="3"/>
  <c r="AO1053" i="3" s="1"/>
  <c r="AP1053" i="3" s="1"/>
  <c r="AQ1053" i="3" s="1"/>
  <c r="AR1053" i="3" s="1"/>
  <c r="AS1053" i="3" s="1"/>
  <c r="AT1053" i="3" s="1"/>
  <c r="AU1053" i="3" s="1"/>
  <c r="AV1053" i="3" s="1"/>
  <c r="AW1053" i="3" s="1"/>
  <c r="AX1053" i="3" s="1"/>
  <c r="AR1249" i="3"/>
  <c r="AS1249" i="3" s="1"/>
  <c r="AT1249" i="3" s="1"/>
  <c r="AU1249" i="3"/>
  <c r="AV1249" i="3" s="1"/>
  <c r="AP858" i="3"/>
  <c r="AQ858" i="3" s="1"/>
  <c r="AR858" i="3" s="1"/>
  <c r="AS858" i="3" s="1"/>
  <c r="AT858" i="3" s="1"/>
  <c r="AU858" i="3" s="1"/>
  <c r="AR7" i="3"/>
  <c r="S293" i="4"/>
  <c r="AS935" i="3"/>
  <c r="AT935" i="3" s="1"/>
  <c r="AS815" i="3"/>
  <c r="AT815" i="3" s="1"/>
  <c r="AU815" i="3" s="1"/>
  <c r="AV815" i="3"/>
  <c r="AN1448" i="3"/>
  <c r="AA109" i="2" s="1"/>
  <c r="AS1327" i="3"/>
  <c r="AT1327" i="3" s="1"/>
  <c r="AU1327" i="3" s="1"/>
  <c r="AM1445" i="3"/>
  <c r="Z221" i="2" s="1"/>
  <c r="AM1421" i="3"/>
  <c r="X166" i="4" s="1"/>
  <c r="K552" i="4"/>
  <c r="K507" i="4"/>
  <c r="K511" i="4" s="1"/>
  <c r="AH278" i="2"/>
  <c r="AP989" i="3"/>
  <c r="AQ989" i="3" s="1"/>
  <c r="AR989" i="3" s="1"/>
  <c r="AS989" i="3" s="1"/>
  <c r="AT989" i="3" s="1"/>
  <c r="AU989" i="3" s="1"/>
  <c r="AV989" i="3" s="1"/>
  <c r="AW989" i="3" s="1"/>
  <c r="AX989" i="3" s="1"/>
  <c r="U181" i="4"/>
  <c r="U180" i="4"/>
  <c r="U174" i="4"/>
  <c r="U189" i="4"/>
  <c r="W169" i="4"/>
  <c r="Y82" i="2"/>
  <c r="AR1103" i="3"/>
  <c r="AS1103" i="3" s="1"/>
  <c r="AT1103" i="3" s="1"/>
  <c r="AU1103" i="3" s="1"/>
  <c r="AV1103" i="3" s="1"/>
  <c r="AW1103" i="3" s="1"/>
  <c r="AX1103" i="3" s="1"/>
  <c r="AO328" i="3"/>
  <c r="AP328" i="3" s="1"/>
  <c r="AQ77" i="3"/>
  <c r="W278" i="2"/>
  <c r="S341" i="4"/>
  <c r="AS1273" i="3"/>
  <c r="AT1273" i="3" s="1"/>
  <c r="AU1273" i="3" s="1"/>
  <c r="AV1273" i="3" s="1"/>
  <c r="AW1273" i="3" s="1"/>
  <c r="AX1273" i="3" s="1"/>
  <c r="W286" i="2"/>
  <c r="AQ1321" i="3"/>
  <c r="AR1321" i="3" s="1"/>
  <c r="AS1321" i="3" s="1"/>
  <c r="AT1321" i="3" s="1"/>
  <c r="AU1321" i="3" s="1"/>
  <c r="AV1321" i="3" s="1"/>
  <c r="AW1321" i="3" s="1"/>
  <c r="AX1321" i="3" s="1"/>
  <c r="T28" i="2"/>
  <c r="AQ412" i="3"/>
  <c r="AR412" i="3" s="1"/>
  <c r="AS412" i="3" s="1"/>
  <c r="AT412" i="3" s="1"/>
  <c r="AU412" i="3" s="1"/>
  <c r="AV412" i="3" s="1"/>
  <c r="AW412" i="3" s="1"/>
  <c r="AX412" i="3" s="1"/>
  <c r="AR1146" i="3"/>
  <c r="AS1146" i="3" s="1"/>
  <c r="AT1146" i="3" s="1"/>
  <c r="AU1146" i="3" s="1"/>
  <c r="AV1146" i="3" s="1"/>
  <c r="AW1146" i="3" s="1"/>
  <c r="AX1146" i="3" s="1"/>
  <c r="AP1274" i="3"/>
  <c r="AQ1274" i="3" s="1"/>
  <c r="AR1274" i="3" s="1"/>
  <c r="AS1274" i="3" s="1"/>
  <c r="AT1274" i="3" s="1"/>
  <c r="AU1274" i="3" s="1"/>
  <c r="AV1274" i="3" s="1"/>
  <c r="AW1274" i="3" s="1"/>
  <c r="AX1274" i="3" s="1"/>
  <c r="AS1202" i="3"/>
  <c r="AT1202" i="3" s="1"/>
  <c r="AU1202" i="3" s="1"/>
  <c r="AV1202" i="3" s="1"/>
  <c r="AW1202" i="3"/>
  <c r="AX1202" i="3" s="1"/>
  <c r="W684" i="4"/>
  <c r="X681" i="4" s="1"/>
  <c r="AO1067" i="3"/>
  <c r="AR954" i="3"/>
  <c r="AS954" i="3" s="1"/>
  <c r="AS434" i="3"/>
  <c r="AT434" i="3" s="1"/>
  <c r="AU434" i="3" s="1"/>
  <c r="AV434" i="3" s="1"/>
  <c r="AW434" i="3"/>
  <c r="AX434" i="3" s="1"/>
  <c r="AP801" i="3"/>
  <c r="AQ801" i="3" s="1"/>
  <c r="AR801" i="3" s="1"/>
  <c r="AS801" i="3" s="1"/>
  <c r="AT801" i="3" s="1"/>
  <c r="AU801" i="3" s="1"/>
  <c r="AV801" i="3" s="1"/>
  <c r="AW801" i="3" s="1"/>
  <c r="AX801" i="3" s="1"/>
  <c r="AW1257" i="3"/>
  <c r="AX1257" i="3" s="1"/>
  <c r="AB153" i="4"/>
  <c r="AC153" i="4" s="1"/>
  <c r="AV300" i="3"/>
  <c r="AW300" i="3" s="1"/>
  <c r="AX300" i="3" s="1"/>
  <c r="AP1275" i="3"/>
  <c r="AQ1275" i="3" s="1"/>
  <c r="AR1275" i="3" s="1"/>
  <c r="AW1313" i="3"/>
  <c r="AX1313" i="3" s="1"/>
  <c r="W277" i="2"/>
  <c r="N806" i="4"/>
  <c r="N823" i="4" s="1"/>
  <c r="N247" i="4"/>
  <c r="Q945" i="4"/>
  <c r="Q248" i="4"/>
  <c r="Q964" i="4" s="1"/>
  <c r="Q965" i="4" s="1"/>
  <c r="AS388" i="3"/>
  <c r="AT388" i="3" s="1"/>
  <c r="AU388" i="3" s="1"/>
  <c r="AV388" i="3" s="1"/>
  <c r="AV180" i="3"/>
  <c r="AW180" i="3" s="1"/>
  <c r="AX180" i="3" s="1"/>
  <c r="X148" i="4"/>
  <c r="X150" i="4" s="1"/>
  <c r="Y147" i="4"/>
  <c r="AR251" i="3"/>
  <c r="AS251" i="3" s="1"/>
  <c r="AT251" i="3" s="1"/>
  <c r="AU251" i="3" s="1"/>
  <c r="AV251" i="3" s="1"/>
  <c r="AW251" i="3" s="1"/>
  <c r="AX251" i="3" s="1"/>
  <c r="AR711" i="3"/>
  <c r="AS711" i="3" s="1"/>
  <c r="AT711" i="3" s="1"/>
  <c r="AU711" i="3"/>
  <c r="AV711" i="3"/>
  <c r="AW711" i="3" s="1"/>
  <c r="AX711" i="3" s="1"/>
  <c r="R866" i="4"/>
  <c r="AB232" i="2"/>
  <c r="AA231" i="2"/>
  <c r="AS369" i="3"/>
  <c r="AT369" i="3" s="1"/>
  <c r="AU369" i="3" s="1"/>
  <c r="AV369" i="3" s="1"/>
  <c r="AW369" i="3" s="1"/>
  <c r="AX369" i="3" s="1"/>
  <c r="M377" i="2"/>
  <c r="K949" i="4"/>
  <c r="K952" i="4" s="1"/>
  <c r="K955" i="4" s="1"/>
  <c r="M63" i="2" s="1"/>
  <c r="M373" i="2" s="1"/>
  <c r="M378" i="2" s="1"/>
  <c r="M379" i="2" s="1"/>
  <c r="N642" i="4"/>
  <c r="N659" i="4" s="1"/>
  <c r="N246" i="4"/>
  <c r="AV318" i="3"/>
  <c r="AW318" i="3" s="1"/>
  <c r="AX318" i="3" s="1"/>
  <c r="AO648" i="3"/>
  <c r="AP648" i="3" s="1"/>
  <c r="AQ648" i="3" s="1"/>
  <c r="AR648" i="3" s="1"/>
  <c r="AS648" i="3" s="1"/>
  <c r="AT648" i="3" s="1"/>
  <c r="AU648" i="3" s="1"/>
  <c r="AV648" i="3" s="1"/>
  <c r="AW648" i="3" s="1"/>
  <c r="AX648" i="3" s="1"/>
  <c r="Y76" i="2"/>
  <c r="W186" i="4"/>
  <c r="AS1390" i="3"/>
  <c r="AT1390" i="3" s="1"/>
  <c r="AU1390" i="3" s="1"/>
  <c r="AV1390" i="3" s="1"/>
  <c r="AW1390" i="3" s="1"/>
  <c r="AX1390" i="3" s="1"/>
  <c r="AR199" i="3"/>
  <c r="AR1030" i="3"/>
  <c r="AP122" i="3"/>
  <c r="AQ122" i="3" s="1"/>
  <c r="AR122" i="3" s="1"/>
  <c r="AS122" i="3" s="1"/>
  <c r="AT122" i="3" s="1"/>
  <c r="AU122" i="3" s="1"/>
  <c r="AV122" i="3" s="1"/>
  <c r="AW122" i="3" s="1"/>
  <c r="AX122" i="3" s="1"/>
  <c r="V286" i="2"/>
  <c r="AP325" i="3"/>
  <c r="AQ325" i="3" s="1"/>
  <c r="AR325" i="3" s="1"/>
  <c r="AS325" i="3" s="1"/>
  <c r="AT325" i="3" s="1"/>
  <c r="AU325" i="3" s="1"/>
  <c r="AV325" i="3" s="1"/>
  <c r="AW325" i="3" s="1"/>
  <c r="AX325" i="3" s="1"/>
  <c r="U5" i="2"/>
  <c r="U205" i="2" s="1"/>
  <c r="T3" i="2"/>
  <c r="AP54" i="3"/>
  <c r="AQ54" i="3" s="1"/>
  <c r="AR54" i="3" s="1"/>
  <c r="AS54" i="3" s="1"/>
  <c r="AT54" i="3" s="1"/>
  <c r="AU54" i="3" s="1"/>
  <c r="AV54" i="3" s="1"/>
  <c r="AW54" i="3" s="1"/>
  <c r="AX54" i="3" s="1"/>
  <c r="AS1351" i="3"/>
  <c r="AT1351" i="3" s="1"/>
  <c r="AU1351" i="3" s="1"/>
  <c r="AV1351" i="3" s="1"/>
  <c r="AW1351" i="3" s="1"/>
  <c r="AX1351" i="3" s="1"/>
  <c r="AN472" i="3"/>
  <c r="W135" i="2"/>
  <c r="AU346" i="3"/>
  <c r="AV346" i="3" s="1"/>
  <c r="AW346" i="3" s="1"/>
  <c r="AX346" i="3" s="1"/>
  <c r="AP239" i="3"/>
  <c r="AQ239" i="3" s="1"/>
  <c r="AR239" i="3" s="1"/>
  <c r="AQ1391" i="3"/>
  <c r="AR1391" i="3" s="1"/>
  <c r="AS1391" i="3" s="1"/>
  <c r="AE286" i="2"/>
  <c r="AQ1118" i="3"/>
  <c r="AR1118" i="3" s="1"/>
  <c r="AS1118" i="3" s="1"/>
  <c r="AT1118" i="3" s="1"/>
  <c r="AU1118" i="3" s="1"/>
  <c r="AT854" i="3"/>
  <c r="AU854" i="3"/>
  <c r="AV854" i="3" s="1"/>
  <c r="AW854" i="3" s="1"/>
  <c r="AX854" i="3" s="1"/>
  <c r="AP386" i="3"/>
  <c r="AQ386" i="3" s="1"/>
  <c r="AR386" i="3" s="1"/>
  <c r="AS386" i="3" s="1"/>
  <c r="AT386" i="3" s="1"/>
  <c r="AU386" i="3" s="1"/>
  <c r="AV386" i="3" s="1"/>
  <c r="AW386" i="3" s="1"/>
  <c r="AX386" i="3" s="1"/>
  <c r="AM1392" i="3"/>
  <c r="AP951" i="3"/>
  <c r="AQ951" i="3" s="1"/>
  <c r="AR951" i="3" s="1"/>
  <c r="AS951" i="3" s="1"/>
  <c r="AT951" i="3" s="1"/>
  <c r="AQ96" i="3"/>
  <c r="AR96" i="3" s="1"/>
  <c r="AS96" i="3" s="1"/>
  <c r="AT96" i="3" s="1"/>
  <c r="AU96" i="3" s="1"/>
  <c r="AV96" i="3" s="1"/>
  <c r="AW96" i="3" s="1"/>
  <c r="AX96" i="3" s="1"/>
  <c r="R89" i="4"/>
  <c r="AP1185" i="3"/>
  <c r="AQ1185" i="3" s="1"/>
  <c r="AR1185" i="3" s="1"/>
  <c r="AS1185" i="3" s="1"/>
  <c r="AQ469" i="3"/>
  <c r="AR469" i="3" s="1"/>
  <c r="AS469" i="3" s="1"/>
  <c r="AT469" i="3"/>
  <c r="AU469" i="3" s="1"/>
  <c r="AV469" i="3" s="1"/>
  <c r="AW469" i="3" s="1"/>
  <c r="AX469" i="3" s="1"/>
  <c r="AP309" i="3"/>
  <c r="AQ309" i="3" s="1"/>
  <c r="AA251" i="2"/>
  <c r="Z252" i="2"/>
  <c r="Z154" i="2"/>
  <c r="R373" i="4"/>
  <c r="AB300" i="2"/>
  <c r="AA301" i="2"/>
  <c r="AA302" i="2" s="1"/>
  <c r="AA306" i="2" s="1"/>
  <c r="AB212" i="2"/>
  <c r="AT527" i="3"/>
  <c r="AU527" i="3" s="1"/>
  <c r="AV527" i="3" s="1"/>
  <c r="AW527" i="3" s="1"/>
  <c r="AX527" i="3" s="1"/>
  <c r="AQ488" i="3"/>
  <c r="Y277" i="2"/>
  <c r="AO1203" i="3"/>
  <c r="Y269" i="2"/>
  <c r="AR128" i="3"/>
  <c r="AS128" i="3"/>
  <c r="AT128" i="3" s="1"/>
  <c r="AU128" i="3" s="1"/>
  <c r="AV128" i="3" s="1"/>
  <c r="AW128" i="3" s="1"/>
  <c r="AX128" i="3" s="1"/>
  <c r="AV783" i="3"/>
  <c r="AW783" i="3" s="1"/>
  <c r="AX783" i="3" s="1"/>
  <c r="AP1230" i="3"/>
  <c r="AQ1230" i="3" s="1"/>
  <c r="AR1230" i="3" s="1"/>
  <c r="AS1230" i="3" s="1"/>
  <c r="AT1230" i="3" s="1"/>
  <c r="AU1230" i="3" s="1"/>
  <c r="AV1230" i="3" s="1"/>
  <c r="AW1230" i="3" s="1"/>
  <c r="AX1230" i="3" s="1"/>
  <c r="AS1164" i="3"/>
  <c r="AQ1239" i="3"/>
  <c r="AR1239" i="3" s="1"/>
  <c r="AS1239" i="3" s="1"/>
  <c r="AT1239" i="3"/>
  <c r="AU1239" i="3" s="1"/>
  <c r="AV1239" i="3" s="1"/>
  <c r="AW1239" i="3" s="1"/>
  <c r="AX1239" i="3" s="1"/>
  <c r="U229" i="4"/>
  <c r="U487" i="4" s="1"/>
  <c r="U504" i="4" s="1"/>
  <c r="U219" i="4"/>
  <c r="U224" i="4"/>
  <c r="U486" i="4" s="1"/>
  <c r="U503" i="4" s="1"/>
  <c r="AW159" i="3"/>
  <c r="AX159" i="3" s="1"/>
  <c r="AS1054" i="3"/>
  <c r="AT1054" i="3" s="1"/>
  <c r="V216" i="4"/>
  <c r="V212" i="4" s="1"/>
  <c r="AO713" i="3"/>
  <c r="AP713" i="3" s="1"/>
  <c r="AQ713" i="3" s="1"/>
  <c r="AR713" i="3" s="1"/>
  <c r="AS713" i="3" s="1"/>
  <c r="AT713" i="3" s="1"/>
  <c r="AU713" i="3" s="1"/>
  <c r="AV713" i="3" s="1"/>
  <c r="AW713" i="3" s="1"/>
  <c r="AX713" i="3" s="1"/>
  <c r="AU456" i="3"/>
  <c r="AV456" i="3" s="1"/>
  <c r="AW456" i="3" s="1"/>
  <c r="AX456" i="3" s="1"/>
  <c r="AP89" i="3"/>
  <c r="AU919" i="3"/>
  <c r="AV919" i="3" s="1"/>
  <c r="AW919" i="3"/>
  <c r="AX919" i="3" s="1"/>
  <c r="Y803" i="4"/>
  <c r="Y821" i="4" s="1"/>
  <c r="Y870" i="4" s="1"/>
  <c r="AA54" i="2" s="1"/>
  <c r="U389" i="4"/>
  <c r="AL1447" i="3"/>
  <c r="AL1449" i="3" s="1"/>
  <c r="U227" i="4"/>
  <c r="U945" i="4" s="1"/>
  <c r="AR1409" i="3"/>
  <c r="AS378" i="3"/>
  <c r="AS1409" i="3" s="1"/>
  <c r="S325" i="4"/>
  <c r="AP136" i="3"/>
  <c r="AQ136" i="3" s="1"/>
  <c r="AR136" i="3"/>
  <c r="AS136" i="3" s="1"/>
  <c r="AT136" i="3" s="1"/>
  <c r="AU136" i="3" s="1"/>
  <c r="AV136" i="3" s="1"/>
  <c r="AW136" i="3" s="1"/>
  <c r="AX136" i="3" s="1"/>
  <c r="AM1443" i="3"/>
  <c r="AM1448" i="3" s="1"/>
  <c r="Z109" i="2" s="1"/>
  <c r="AR31" i="3"/>
  <c r="AS31" i="3" s="1"/>
  <c r="AT31" i="3" s="1"/>
  <c r="AU31" i="3" s="1"/>
  <c r="AV31" i="3" s="1"/>
  <c r="AW31" i="3" s="1"/>
  <c r="AX31" i="3" s="1"/>
  <c r="S221" i="4"/>
  <c r="AN1330" i="3"/>
  <c r="AB141" i="4"/>
  <c r="AS273" i="3"/>
  <c r="AT273" i="3" s="1"/>
  <c r="AU273" i="3" s="1"/>
  <c r="AV273" i="3" s="1"/>
  <c r="Y222" i="2"/>
  <c r="Z222" i="2" s="1"/>
  <c r="AB191" i="2"/>
  <c r="AS395" i="3"/>
  <c r="AT395" i="3" s="1"/>
  <c r="AU395" i="3"/>
  <c r="AV395" i="3" s="1"/>
  <c r="AW395" i="3" s="1"/>
  <c r="AX395" i="3" s="1"/>
  <c r="AW168" i="3"/>
  <c r="AX168" i="3" s="1"/>
  <c r="AQ1004" i="3"/>
  <c r="AR1004" i="3" s="1"/>
  <c r="AS1004" i="3" s="1"/>
  <c r="AT1004" i="3"/>
  <c r="AU1004" i="3" s="1"/>
  <c r="AV1004" i="3" s="1"/>
  <c r="AW1004" i="3" s="1"/>
  <c r="AX1004" i="3" s="1"/>
  <c r="AB50" i="2"/>
  <c r="AP235" i="3"/>
  <c r="AV110" i="3"/>
  <c r="AW110" i="3" s="1"/>
  <c r="AX110" i="3" s="1"/>
  <c r="AO52" i="3"/>
  <c r="AN1443" i="3"/>
  <c r="AQ110" i="3"/>
  <c r="AR110" i="3" s="1"/>
  <c r="AS110" i="3" s="1"/>
  <c r="AT110" i="3" s="1"/>
  <c r="AU110" i="3" s="1"/>
  <c r="AD269" i="2"/>
  <c r="AP426" i="3"/>
  <c r="S525" i="4"/>
  <c r="AB288" i="2"/>
  <c r="AR479" i="3"/>
  <c r="AS479" i="3" s="1"/>
  <c r="AT479" i="3" s="1"/>
  <c r="AU479" i="3" s="1"/>
  <c r="AV479" i="3" s="1"/>
  <c r="AW479" i="3" s="1"/>
  <c r="AX479" i="3" s="1"/>
  <c r="AS1068" i="3"/>
  <c r="AT1068" i="3" s="1"/>
  <c r="AU1068" i="3" s="1"/>
  <c r="AV1068" i="3" s="1"/>
  <c r="AR1234" i="3"/>
  <c r="AS1234" i="3" s="1"/>
  <c r="AT1234" i="3" s="1"/>
  <c r="AU1234" i="3" s="1"/>
  <c r="AV1234" i="3" s="1"/>
  <c r="AT1063" i="3"/>
  <c r="AQ610" i="3"/>
  <c r="AR610" i="3" s="1"/>
  <c r="AS610" i="3" s="1"/>
  <c r="AT610" i="3" s="1"/>
  <c r="AU610" i="3" s="1"/>
  <c r="AV610" i="3" s="1"/>
  <c r="AW610" i="3" s="1"/>
  <c r="AX610" i="3" s="1"/>
  <c r="AV406" i="3"/>
  <c r="AW406" i="3" s="1"/>
  <c r="AX406" i="3" s="1"/>
  <c r="AR733" i="3"/>
  <c r="AQ672" i="3"/>
  <c r="AR672" i="3" s="1"/>
  <c r="AS672" i="3" s="1"/>
  <c r="AT672" i="3" s="1"/>
  <c r="AU672" i="3" s="1"/>
  <c r="AV672" i="3" s="1"/>
  <c r="AW672" i="3" s="1"/>
  <c r="AX672" i="3" s="1"/>
  <c r="AR773" i="3"/>
  <c r="AS773" i="3" s="1"/>
  <c r="AT773" i="3" s="1"/>
  <c r="AU773" i="3" s="1"/>
  <c r="AV773" i="3" s="1"/>
  <c r="AW773" i="3"/>
  <c r="AX773" i="3" s="1"/>
  <c r="W726" i="4"/>
  <c r="W729" i="4" s="1"/>
  <c r="V730" i="4"/>
  <c r="AQ182" i="3"/>
  <c r="AR1172" i="3"/>
  <c r="AS1172" i="3" s="1"/>
  <c r="AT1172" i="3" s="1"/>
  <c r="AU1172" i="3" s="1"/>
  <c r="AV1172" i="3" s="1"/>
  <c r="AW1172" i="3" s="1"/>
  <c r="AX1172" i="3" s="1"/>
  <c r="O249" i="4"/>
  <c r="O255" i="4" s="1"/>
  <c r="V269" i="2"/>
  <c r="AU457" i="3"/>
  <c r="AV457" i="3" s="1"/>
  <c r="AW457" i="3" s="1"/>
  <c r="AX457" i="3" s="1"/>
  <c r="U220" i="4"/>
  <c r="AE276" i="2"/>
  <c r="AT844" i="3"/>
  <c r="AU844" i="3" s="1"/>
  <c r="AV844" i="3" s="1"/>
  <c r="AW844" i="3"/>
  <c r="AX844" i="3" s="1"/>
  <c r="AT291" i="3"/>
  <c r="AU291" i="3" s="1"/>
  <c r="AV291" i="3" s="1"/>
  <c r="AW291" i="3" s="1"/>
  <c r="AX291" i="3" s="1"/>
  <c r="V1104" i="4"/>
  <c r="AG288" i="2"/>
  <c r="AR1326" i="3"/>
  <c r="AS1326" i="3"/>
  <c r="AT1326" i="3" s="1"/>
  <c r="AU1326" i="3" s="1"/>
  <c r="AV1326" i="3" s="1"/>
  <c r="AW1326" i="3" s="1"/>
  <c r="AX1326" i="3" s="1"/>
  <c r="AR751" i="3"/>
  <c r="AS751" i="3" s="1"/>
  <c r="AT751" i="3" s="1"/>
  <c r="AU751" i="3" s="1"/>
  <c r="AV751" i="3"/>
  <c r="AW751" i="3" s="1"/>
  <c r="AX751" i="3" s="1"/>
  <c r="AS177" i="3"/>
  <c r="AT177" i="3" s="1"/>
  <c r="AU177" i="3" s="1"/>
  <c r="AV177" i="3" s="1"/>
  <c r="AW177" i="3" s="1"/>
  <c r="AX177" i="3" s="1"/>
  <c r="AR621" i="3"/>
  <c r="AS621" i="3"/>
  <c r="AT621" i="3" s="1"/>
  <c r="AU621" i="3" s="1"/>
  <c r="AV621" i="3" s="1"/>
  <c r="AW621" i="3" s="1"/>
  <c r="AX621" i="3" s="1"/>
  <c r="AU20" i="3"/>
  <c r="AV20" i="3" s="1"/>
  <c r="AW20" i="3" s="1"/>
  <c r="AX20" i="3" s="1"/>
  <c r="AS20" i="3"/>
  <c r="AT20" i="3" s="1"/>
  <c r="AP1371" i="3"/>
  <c r="AQ1371" i="3" s="1"/>
  <c r="AR1371" i="3"/>
  <c r="AS1371" i="3" s="1"/>
  <c r="AT1371" i="3" s="1"/>
  <c r="AU1371" i="3"/>
  <c r="AV1371" i="3" s="1"/>
  <c r="AQ962" i="3"/>
  <c r="AR962" i="3"/>
  <c r="AS962" i="3" s="1"/>
  <c r="AT962" i="3" s="1"/>
  <c r="AU962" i="3" s="1"/>
  <c r="AV962" i="3" s="1"/>
  <c r="AW962" i="3" s="1"/>
  <c r="AX962" i="3" s="1"/>
  <c r="Z79" i="2"/>
  <c r="AD278" i="2"/>
  <c r="AC278" i="2"/>
  <c r="AP1271" i="3"/>
  <c r="AQ1271" i="3" s="1"/>
  <c r="AR1271" i="3" s="1"/>
  <c r="AS1271" i="3" s="1"/>
  <c r="AT1271" i="3"/>
  <c r="AU1271" i="3" s="1"/>
  <c r="AV1271" i="3" s="1"/>
  <c r="AO81" i="3"/>
  <c r="AN1412" i="3"/>
  <c r="AN1444" i="3"/>
  <c r="AT853" i="3"/>
  <c r="AU853" i="3" s="1"/>
  <c r="AV853" i="3" s="1"/>
  <c r="AW853" i="3" s="1"/>
  <c r="AX853" i="3" s="1"/>
  <c r="AR172" i="3"/>
  <c r="AS172" i="3" s="1"/>
  <c r="AT172" i="3" s="1"/>
  <c r="AN989" i="3"/>
  <c r="AO989" i="3" s="1"/>
  <c r="AN362" i="3"/>
  <c r="Y415" i="4"/>
  <c r="Y418" i="4"/>
  <c r="AO601" i="3"/>
  <c r="AP601" i="3" s="1"/>
  <c r="AQ601" i="3" s="1"/>
  <c r="AR601" i="3" s="1"/>
  <c r="AS601" i="3" s="1"/>
  <c r="AT601" i="3" s="1"/>
  <c r="AU601" i="3" s="1"/>
  <c r="AV601" i="3" s="1"/>
  <c r="AW601" i="3" s="1"/>
  <c r="AX601" i="3" s="1"/>
  <c r="AQ328" i="3"/>
  <c r="AR328" i="3" s="1"/>
  <c r="AS328" i="3" s="1"/>
  <c r="AT328" i="3" s="1"/>
  <c r="AU328" i="3" s="1"/>
  <c r="AV328" i="3" s="1"/>
  <c r="AW328" i="3" s="1"/>
  <c r="AX328" i="3" s="1"/>
  <c r="AS772" i="3"/>
  <c r="AT772" i="3" s="1"/>
  <c r="AU772" i="3"/>
  <c r="AV772" i="3" s="1"/>
  <c r="AO679" i="3"/>
  <c r="AP679" i="3"/>
  <c r="AQ679" i="3" s="1"/>
  <c r="AR679" i="3" s="1"/>
  <c r="AS679" i="3" s="1"/>
  <c r="AT679" i="3" s="1"/>
  <c r="AU679" i="3" s="1"/>
  <c r="AV679" i="3" s="1"/>
  <c r="AW679" i="3" s="1"/>
  <c r="AX679" i="3" s="1"/>
  <c r="AI278" i="2"/>
  <c r="J486" i="4"/>
  <c r="J503" i="4" s="1"/>
  <c r="J245" i="4"/>
  <c r="AO1008" i="3"/>
  <c r="AM1446" i="3"/>
  <c r="U357" i="4"/>
  <c r="K54" i="2"/>
  <c r="I54" i="2" s="1"/>
  <c r="AW768" i="3"/>
  <c r="AX768" i="3" s="1"/>
  <c r="AD289" i="2"/>
  <c r="AA289" i="2"/>
  <c r="T289" i="2"/>
  <c r="X289" i="2"/>
  <c r="W289" i="2"/>
  <c r="Z289" i="2"/>
  <c r="AF289" i="2"/>
  <c r="U289" i="2"/>
  <c r="AI289" i="2"/>
  <c r="AH289" i="2"/>
  <c r="AG289" i="2"/>
  <c r="AE289" i="2"/>
  <c r="AP449" i="3"/>
  <c r="AQ449" i="3" s="1"/>
  <c r="AR449" i="3" s="1"/>
  <c r="AS449" i="3" s="1"/>
  <c r="AT449" i="3" s="1"/>
  <c r="AU449" i="3" s="1"/>
  <c r="AV449" i="3" s="1"/>
  <c r="AW449" i="3" s="1"/>
  <c r="AX449" i="3" s="1"/>
  <c r="AV1153" i="3"/>
  <c r="AW1153" i="3" s="1"/>
  <c r="AX1153" i="3" s="1"/>
  <c r="AU668" i="3"/>
  <c r="AV668" i="3" s="1"/>
  <c r="AW668" i="3" s="1"/>
  <c r="AX668" i="3" s="1"/>
  <c r="Y309" i="2"/>
  <c r="X310" i="2"/>
  <c r="X311" i="2" s="1"/>
  <c r="X312" i="2" s="1"/>
  <c r="Y218" i="2"/>
  <c r="X225" i="2"/>
  <c r="AI269" i="2"/>
  <c r="AP779" i="3"/>
  <c r="AQ779" i="3" s="1"/>
  <c r="AR779" i="3" s="1"/>
  <c r="AS779" i="3" s="1"/>
  <c r="AT779" i="3" s="1"/>
  <c r="AU779" i="3" s="1"/>
  <c r="AV779" i="3" s="1"/>
  <c r="AW779" i="3" s="1"/>
  <c r="AX779" i="3" s="1"/>
  <c r="AA242" i="2"/>
  <c r="AB243" i="2"/>
  <c r="AS1246" i="3"/>
  <c r="AT1246" i="3" s="1"/>
  <c r="AU1246" i="3" s="1"/>
  <c r="AV1246" i="3"/>
  <c r="AW1246" i="3" s="1"/>
  <c r="AX1246" i="3" s="1"/>
  <c r="AR591" i="3"/>
  <c r="AS591" i="3" s="1"/>
  <c r="AT591" i="3"/>
  <c r="AU591" i="3" s="1"/>
  <c r="AV591" i="3" s="1"/>
  <c r="AW591" i="3" s="1"/>
  <c r="AX591" i="3" s="1"/>
  <c r="V278" i="2"/>
  <c r="J945" i="4"/>
  <c r="J248" i="4"/>
  <c r="J964" i="4" s="1"/>
  <c r="J965" i="4" s="1"/>
  <c r="AH269" i="2"/>
  <c r="AW1031" i="3"/>
  <c r="AX1031" i="3" s="1"/>
  <c r="AF269" i="2"/>
  <c r="U309" i="4"/>
  <c r="AD866" i="4"/>
  <c r="AV637" i="3"/>
  <c r="AW637" i="3" s="1"/>
  <c r="AX637" i="3" s="1"/>
  <c r="AE290" i="2"/>
  <c r="AW370" i="3"/>
  <c r="AX370" i="3" s="1"/>
  <c r="AQ369" i="3"/>
  <c r="AR369" i="3" s="1"/>
  <c r="AR145" i="3"/>
  <c r="AW608" i="3"/>
  <c r="AX608" i="3" s="1"/>
  <c r="AP1127" i="3"/>
  <c r="AQ1127" i="3" s="1"/>
  <c r="AR1127" i="3" s="1"/>
  <c r="AS1127" i="3" s="1"/>
  <c r="AT1127" i="3" s="1"/>
  <c r="AU1127" i="3" s="1"/>
  <c r="AV1127" i="3" s="1"/>
  <c r="AW1127" i="3" s="1"/>
  <c r="AX1127" i="3" s="1"/>
  <c r="W269" i="2"/>
  <c r="AN631" i="3"/>
  <c r="AO1212" i="3"/>
  <c r="AP1212" i="3" s="1"/>
  <c r="AQ1212" i="3" s="1"/>
  <c r="AR1212" i="3" s="1"/>
  <c r="AS1212" i="3" s="1"/>
  <c r="AT1212" i="3" s="1"/>
  <c r="AU1212" i="3" s="1"/>
  <c r="AV1212" i="3" s="1"/>
  <c r="AW1212" i="3" s="1"/>
  <c r="AX1212" i="3" s="1"/>
  <c r="AP1132" i="3"/>
  <c r="AQ1132" i="3" s="1"/>
  <c r="AR1132" i="3" s="1"/>
  <c r="AS1132" i="3" s="1"/>
  <c r="AT1132" i="3" s="1"/>
  <c r="AU1132" i="3" s="1"/>
  <c r="AO1132" i="3"/>
  <c r="AR1049" i="3"/>
  <c r="AV410" i="3"/>
  <c r="AW410" i="3" s="1"/>
  <c r="AX410" i="3" s="1"/>
  <c r="AO615" i="3"/>
  <c r="AS199" i="3"/>
  <c r="AH277" i="2"/>
  <c r="AF255" i="2"/>
  <c r="AP1382" i="3"/>
  <c r="AQ1382" i="3" s="1"/>
  <c r="AR1382" i="3" s="1"/>
  <c r="AS1382" i="3" s="1"/>
  <c r="AT1382" i="3" s="1"/>
  <c r="AU1382" i="3" s="1"/>
  <c r="AV1382" i="3" s="1"/>
  <c r="AW1382" i="3" s="1"/>
  <c r="AX1382" i="3" s="1"/>
  <c r="AT652" i="3"/>
  <c r="AU652" i="3" s="1"/>
  <c r="AV652" i="3" s="1"/>
  <c r="AW652" i="3" s="1"/>
  <c r="AX652" i="3" s="1"/>
  <c r="AV1147" i="3"/>
  <c r="AW1147" i="3" s="1"/>
  <c r="AX1147" i="3" s="1"/>
  <c r="AP1352" i="3"/>
  <c r="AQ1352" i="3" s="1"/>
  <c r="AR1352" i="3" s="1"/>
  <c r="AS1352" i="3" s="1"/>
  <c r="AT1352" i="3" s="1"/>
  <c r="AU1352" i="3" s="1"/>
  <c r="AV1352" i="3" s="1"/>
  <c r="AU645" i="3"/>
  <c r="AV645" i="3" s="1"/>
  <c r="AW645" i="3" s="1"/>
  <c r="AX645" i="3" s="1"/>
  <c r="AQ73" i="3"/>
  <c r="AR73" i="3" s="1"/>
  <c r="AS73" i="3" s="1"/>
  <c r="AT73" i="3" s="1"/>
  <c r="AU73" i="3" s="1"/>
  <c r="AV73" i="3" s="1"/>
  <c r="AW73" i="3"/>
  <c r="AX73" i="3" s="1"/>
  <c r="AR763" i="3"/>
  <c r="AS763" i="3" s="1"/>
  <c r="AT763" i="3" s="1"/>
  <c r="AU763" i="3" s="1"/>
  <c r="AV763" i="3" s="1"/>
  <c r="AW763" i="3" s="1"/>
  <c r="AX763" i="3" s="1"/>
  <c r="Z35" i="10"/>
  <c r="AO1099" i="3"/>
  <c r="AP1099" i="3" s="1"/>
  <c r="AQ1099" i="3" s="1"/>
  <c r="AR1099" i="3" s="1"/>
  <c r="AS1099" i="3" s="1"/>
  <c r="AT1099" i="3" s="1"/>
  <c r="AU1099" i="3" s="1"/>
  <c r="AV1099" i="3" s="1"/>
  <c r="AW1099" i="3" s="1"/>
  <c r="AX1099" i="3" s="1"/>
  <c r="Y866" i="4"/>
  <c r="AT786" i="3"/>
  <c r="AU786" i="3" s="1"/>
  <c r="AV786" i="3" s="1"/>
  <c r="AW786" i="3" s="1"/>
  <c r="AX786" i="3" s="1"/>
  <c r="W382" i="2"/>
  <c r="U89" i="4"/>
  <c r="AS1136" i="3"/>
  <c r="AT1136" i="3" s="1"/>
  <c r="AU1136" i="3"/>
  <c r="AV1136" i="3" s="1"/>
  <c r="AW1136" i="3" s="1"/>
  <c r="AX1136" i="3" s="1"/>
  <c r="AR575" i="3"/>
  <c r="AS575" i="3" s="1"/>
  <c r="AT575" i="3" s="1"/>
  <c r="AU575" i="3" s="1"/>
  <c r="AV575" i="3"/>
  <c r="AW575" i="3" s="1"/>
  <c r="AX575" i="3" s="1"/>
  <c r="AW847" i="3"/>
  <c r="AX847" i="3" s="1"/>
  <c r="U232" i="4"/>
  <c r="U946" i="4" s="1"/>
  <c r="AD286" i="2"/>
  <c r="AO100" i="3"/>
  <c r="AP100" i="3" s="1"/>
  <c r="AQ100" i="3" s="1"/>
  <c r="AR100" i="3" s="1"/>
  <c r="AS100" i="3" s="1"/>
  <c r="AT100" i="3" s="1"/>
  <c r="AU100" i="3" s="1"/>
  <c r="AV100" i="3" s="1"/>
  <c r="AP504" i="3"/>
  <c r="AQ504" i="3" s="1"/>
  <c r="AC289" i="2"/>
  <c r="AS239" i="3"/>
  <c r="AT239" i="3" s="1"/>
  <c r="AU239" i="3" s="1"/>
  <c r="AV239" i="3" s="1"/>
  <c r="AW239" i="3" s="1"/>
  <c r="AX239" i="3" s="1"/>
  <c r="AS1266" i="3"/>
  <c r="AT1266" i="3" s="1"/>
  <c r="AU1266" i="3" s="1"/>
  <c r="AV1266" i="3" s="1"/>
  <c r="AW1266" i="3"/>
  <c r="AX1266" i="3" s="1"/>
  <c r="AS1304" i="3"/>
  <c r="AT1304" i="3" s="1"/>
  <c r="AU1304" i="3" s="1"/>
  <c r="AV1304" i="3" s="1"/>
  <c r="AW1304" i="3" s="1"/>
  <c r="AX1304" i="3" s="1"/>
  <c r="AQ983" i="3"/>
  <c r="AV765" i="3"/>
  <c r="AW765" i="3" s="1"/>
  <c r="AX765" i="3" s="1"/>
  <c r="U293" i="4"/>
  <c r="AW201" i="3"/>
  <c r="AX201" i="3" s="1"/>
  <c r="W28" i="2"/>
  <c r="V234" i="4"/>
  <c r="V488" i="4" s="1"/>
  <c r="V505" i="4" s="1"/>
  <c r="V237" i="4"/>
  <c r="V947" i="4" s="1"/>
  <c r="V236" i="4"/>
  <c r="V808" i="4" s="1"/>
  <c r="V825" i="4" s="1"/>
  <c r="V235" i="4"/>
  <c r="V644" i="4" s="1"/>
  <c r="V661" i="4" s="1"/>
  <c r="AU1033" i="3"/>
  <c r="AV1033" i="3" s="1"/>
  <c r="AW1033" i="3" s="1"/>
  <c r="AX1033" i="3" s="1"/>
  <c r="AV1344" i="3"/>
  <c r="AW1344" i="3" s="1"/>
  <c r="AX1344" i="3" s="1"/>
  <c r="W187" i="4"/>
  <c r="AW1120" i="3"/>
  <c r="AX1120" i="3" s="1"/>
  <c r="AS1120" i="3"/>
  <c r="AT1120" i="3" s="1"/>
  <c r="AU1177" i="3"/>
  <c r="AV1177" i="3" s="1"/>
  <c r="AW1177" i="3" s="1"/>
  <c r="AX1177" i="3" s="1"/>
  <c r="AE50" i="2"/>
  <c r="AW829" i="3"/>
  <c r="AX829" i="3" s="1"/>
  <c r="AP505" i="3"/>
  <c r="AQ505" i="3"/>
  <c r="AR505" i="3" s="1"/>
  <c r="AS505" i="3" s="1"/>
  <c r="AT505" i="3" s="1"/>
  <c r="AQ439" i="3"/>
  <c r="AR439" i="3" s="1"/>
  <c r="AS439" i="3" s="1"/>
  <c r="AT439" i="3" s="1"/>
  <c r="AU439" i="3" s="1"/>
  <c r="AV439" i="3" s="1"/>
  <c r="AW439" i="3"/>
  <c r="AX439" i="3" s="1"/>
  <c r="AW1066" i="3"/>
  <c r="AX1066" i="3" s="1"/>
  <c r="AR788" i="3"/>
  <c r="AS788" i="3" s="1"/>
  <c r="AV607" i="3"/>
  <c r="AW607" i="3" s="1"/>
  <c r="AX607" i="3" s="1"/>
  <c r="O552" i="4"/>
  <c r="O507" i="4"/>
  <c r="O511" i="4" s="1"/>
  <c r="X269" i="2"/>
  <c r="AV726" i="3"/>
  <c r="AW726" i="3" s="1"/>
  <c r="AX726" i="3" s="1"/>
  <c r="AP832" i="3"/>
  <c r="AP416" i="3"/>
  <c r="AQ416" i="3" s="1"/>
  <c r="AR416" i="3" s="1"/>
  <c r="AS416" i="3" s="1"/>
  <c r="AT416" i="3" s="1"/>
  <c r="AU416" i="3" s="1"/>
  <c r="AV416" i="3" s="1"/>
  <c r="AW416" i="3" s="1"/>
  <c r="AX416" i="3" s="1"/>
  <c r="AR238" i="3"/>
  <c r="AT238" i="3"/>
  <c r="AU238" i="3" s="1"/>
  <c r="AV238" i="3" s="1"/>
  <c r="AW238" i="3" s="1"/>
  <c r="AX238" i="3" s="1"/>
  <c r="AQ238" i="3"/>
  <c r="AQ680" i="3"/>
  <c r="AR680" i="3" s="1"/>
  <c r="AS680" i="3" s="1"/>
  <c r="AT680" i="3" s="1"/>
  <c r="AU680" i="3" s="1"/>
  <c r="AV680" i="3"/>
  <c r="AW680" i="3" s="1"/>
  <c r="AX680" i="3" s="1"/>
  <c r="AS1194" i="3"/>
  <c r="AT1194" i="3" s="1"/>
  <c r="AU1194" i="3" s="1"/>
  <c r="AV1194" i="3" s="1"/>
  <c r="AW1194" i="3" s="1"/>
  <c r="AX1194" i="3" s="1"/>
  <c r="AW512" i="3"/>
  <c r="AX512" i="3" s="1"/>
  <c r="Y50" i="2"/>
  <c r="AE866" i="4"/>
  <c r="AA208" i="2"/>
  <c r="AR462" i="3"/>
  <c r="AS462" i="3" s="1"/>
  <c r="AT462" i="3" s="1"/>
  <c r="AU462" i="3" s="1"/>
  <c r="AV462" i="3" s="1"/>
  <c r="AW462" i="3" s="1"/>
  <c r="AX462" i="3" s="1"/>
  <c r="S518" i="4"/>
  <c r="R1195" i="4"/>
  <c r="AQ1347" i="3"/>
  <c r="AR1347" i="3" s="1"/>
  <c r="AS1347" i="3" s="1"/>
  <c r="AT1347" i="3" s="1"/>
  <c r="AM1430" i="3"/>
  <c r="X167" i="4" s="1"/>
  <c r="AN694" i="3"/>
  <c r="AO694" i="3" s="1"/>
  <c r="AP694" i="3" s="1"/>
  <c r="AQ694" i="3" s="1"/>
  <c r="AR694" i="3" s="1"/>
  <c r="AS694" i="3" s="1"/>
  <c r="AP240" i="3"/>
  <c r="AR240" i="3"/>
  <c r="AS240" i="3" s="1"/>
  <c r="AT240" i="3" s="1"/>
  <c r="AU240" i="3" s="1"/>
  <c r="AV240" i="3" s="1"/>
  <c r="AW240" i="3" s="1"/>
  <c r="AX240" i="3" s="1"/>
  <c r="AT502" i="3"/>
  <c r="AU502" i="3" s="1"/>
  <c r="AV502" i="3" s="1"/>
  <c r="AW502" i="3" s="1"/>
  <c r="AX502" i="3" s="1"/>
  <c r="AP1375" i="3"/>
  <c r="AQ1375" i="3" s="1"/>
  <c r="AR1375" i="3" s="1"/>
  <c r="AS1375" i="3" s="1"/>
  <c r="AT1375" i="3"/>
  <c r="AU1375" i="3" s="1"/>
  <c r="AV1375" i="3" s="1"/>
  <c r="AW1375" i="3" s="1"/>
  <c r="AX1375" i="3" s="1"/>
  <c r="Y515" i="4"/>
  <c r="Y522" i="4" s="1"/>
  <c r="Y510" i="4"/>
  <c r="AO1297" i="3"/>
  <c r="AP1297" i="3" s="1"/>
  <c r="AQ1297" i="3" s="1"/>
  <c r="AR1297" i="3"/>
  <c r="AS1297" i="3" s="1"/>
  <c r="AT1297" i="3" s="1"/>
  <c r="AU1297" i="3" s="1"/>
  <c r="AV1297" i="3" s="1"/>
  <c r="AW1297" i="3" s="1"/>
  <c r="AX1297" i="3" s="1"/>
  <c r="AS1206" i="3"/>
  <c r="AT1206" i="3" s="1"/>
  <c r="AU1206" i="3" s="1"/>
  <c r="AV1206" i="3" s="1"/>
  <c r="AW1206" i="3" s="1"/>
  <c r="AX1206" i="3" s="1"/>
  <c r="U373" i="4"/>
  <c r="AV567" i="3"/>
  <c r="AQ363" i="3"/>
  <c r="AR363" i="3" s="1"/>
  <c r="AS363" i="3" s="1"/>
  <c r="AT363" i="3" s="1"/>
  <c r="AU363" i="3" s="1"/>
  <c r="AV363" i="3" s="1"/>
  <c r="AW363" i="3" s="1"/>
  <c r="AX363" i="3" s="1"/>
  <c r="AT33" i="3"/>
  <c r="AU33" i="3" s="1"/>
  <c r="AV33" i="3" s="1"/>
  <c r="AW33" i="3" s="1"/>
  <c r="AX33" i="3" s="1"/>
  <c r="AO1223" i="3"/>
  <c r="AP1223" i="3" s="1"/>
  <c r="AD155" i="4"/>
  <c r="AU357" i="3"/>
  <c r="AV357" i="3" s="1"/>
  <c r="AW357" i="3" s="1"/>
  <c r="AX357" i="3" s="1"/>
  <c r="AW530" i="3"/>
  <c r="AX530" i="3" s="1"/>
  <c r="AQ865" i="3"/>
  <c r="AR865" i="3" s="1"/>
  <c r="AS865" i="3" s="1"/>
  <c r="AT865" i="3"/>
  <c r="AU865" i="3" s="1"/>
  <c r="AV865" i="3" s="1"/>
  <c r="AW865" i="3" s="1"/>
  <c r="AX865" i="3" s="1"/>
  <c r="U1111" i="4"/>
  <c r="U954" i="4"/>
  <c r="V953" i="4" s="1"/>
  <c r="V1107" i="4"/>
  <c r="V1110" i="4" s="1"/>
  <c r="AW1343" i="3"/>
  <c r="AX1343" i="3" s="1"/>
  <c r="AR1343" i="3"/>
  <c r="AS1343" i="3" s="1"/>
  <c r="AT1343" i="3" s="1"/>
  <c r="AU1343" i="3" s="1"/>
  <c r="AV1343" i="3" s="1"/>
  <c r="AB190" i="2"/>
  <c r="AB145" i="2" s="1"/>
  <c r="AA188" i="2"/>
  <c r="AT1391" i="3"/>
  <c r="AN918" i="3"/>
  <c r="AO918" i="3" s="1"/>
  <c r="AP918" i="3" s="1"/>
  <c r="AQ918" i="3" s="1"/>
  <c r="AR918" i="3" s="1"/>
  <c r="AS918" i="3" s="1"/>
  <c r="AT918" i="3" s="1"/>
  <c r="AU918" i="3" s="1"/>
  <c r="AV918" i="3" s="1"/>
  <c r="AW918" i="3" s="1"/>
  <c r="AX918" i="3" s="1"/>
  <c r="AP923" i="3"/>
  <c r="AQ923" i="3"/>
  <c r="AR923" i="3" s="1"/>
  <c r="AS923" i="3" s="1"/>
  <c r="AT923" i="3"/>
  <c r="AU923" i="3" s="1"/>
  <c r="AV923" i="3" s="1"/>
  <c r="AW923" i="3" s="1"/>
  <c r="AX923" i="3" s="1"/>
  <c r="AU982" i="3"/>
  <c r="AV982" i="3" s="1"/>
  <c r="AW982" i="3" s="1"/>
  <c r="AX982" i="3" s="1"/>
  <c r="Z282" i="2"/>
  <c r="Z149" i="2"/>
  <c r="AV877" i="3"/>
  <c r="AW877" i="3" s="1"/>
  <c r="AX877" i="3" s="1"/>
  <c r="AQ1223" i="3"/>
  <c r="AR1223" i="3" s="1"/>
  <c r="AS1223" i="3" s="1"/>
  <c r="AT1223" i="3" s="1"/>
  <c r="AU1223" i="3" s="1"/>
  <c r="AV1223" i="3" s="1"/>
  <c r="AW1223" i="3" s="1"/>
  <c r="AX1223" i="3" s="1"/>
  <c r="AS868" i="3"/>
  <c r="AU1381" i="3"/>
  <c r="AV1381" i="3" s="1"/>
  <c r="AW1381" i="3"/>
  <c r="AX1381" i="3" s="1"/>
  <c r="AN1424" i="3"/>
  <c r="Y162" i="4" s="1"/>
  <c r="U28" i="2"/>
  <c r="AA73" i="2"/>
  <c r="Y138" i="4"/>
  <c r="AO1081" i="3"/>
  <c r="AP1081" i="3" s="1"/>
  <c r="AQ1081" i="3" s="1"/>
  <c r="AR1081" i="3" s="1"/>
  <c r="AS1081" i="3" s="1"/>
  <c r="AT1081" i="3" s="1"/>
  <c r="AT154" i="3"/>
  <c r="AU154" i="3" s="1"/>
  <c r="AV154" i="3" s="1"/>
  <c r="AW154" i="3" s="1"/>
  <c r="AX154" i="3" s="1"/>
  <c r="AQ230" i="3"/>
  <c r="AR230" i="3"/>
  <c r="AS230" i="3" s="1"/>
  <c r="AT230" i="3" s="1"/>
  <c r="AU230" i="3" s="1"/>
  <c r="AV230" i="3" s="1"/>
  <c r="AW230" i="3" s="1"/>
  <c r="AX230" i="3" s="1"/>
  <c r="R34" i="4"/>
  <c r="R35" i="4" s="1"/>
  <c r="R1117" i="4"/>
  <c r="AO1364" i="3"/>
  <c r="AP1364" i="3" s="1"/>
  <c r="AQ1364" i="3" s="1"/>
  <c r="AR1364" i="3" s="1"/>
  <c r="AS1364" i="3" s="1"/>
  <c r="AT1364" i="3" s="1"/>
  <c r="AU1364" i="3" s="1"/>
  <c r="AV1364" i="3" s="1"/>
  <c r="AW1364" i="3" s="1"/>
  <c r="AX1364" i="3" s="1"/>
  <c r="AP1014" i="3"/>
  <c r="AQ1014" i="3" s="1"/>
  <c r="AR1014" i="3" s="1"/>
  <c r="AS1014" i="3" s="1"/>
  <c r="AT1014" i="3" s="1"/>
  <c r="AU1014" i="3"/>
  <c r="AV1014" i="3" s="1"/>
  <c r="AW1014" i="3" s="1"/>
  <c r="AX1014" i="3" s="1"/>
  <c r="AO83" i="3"/>
  <c r="AP83" i="3" s="1"/>
  <c r="AQ83" i="3" s="1"/>
  <c r="AR83" i="3" s="1"/>
  <c r="AS83" i="3" s="1"/>
  <c r="AT83" i="3" s="1"/>
  <c r="AU83" i="3" s="1"/>
  <c r="AV83" i="3" s="1"/>
  <c r="AW83" i="3" s="1"/>
  <c r="AX83" i="3" s="1"/>
  <c r="AP212" i="3"/>
  <c r="AQ212" i="3" s="1"/>
  <c r="T380" i="2"/>
  <c r="K9" i="2"/>
  <c r="T17" i="2"/>
  <c r="T382" i="2" s="1"/>
  <c r="AD50" i="2"/>
  <c r="T278" i="2"/>
  <c r="V434" i="4"/>
  <c r="V203" i="4"/>
  <c r="V48" i="4"/>
  <c r="V500" i="4"/>
  <c r="V425" i="4"/>
  <c r="V433" i="4" s="1"/>
  <c r="V427" i="4" s="1"/>
  <c r="V428" i="4" s="1"/>
  <c r="V452" i="4"/>
  <c r="V467" i="4"/>
  <c r="V457" i="4"/>
  <c r="V472" i="4"/>
  <c r="V442" i="4"/>
  <c r="V462" i="4"/>
  <c r="V447" i="4"/>
  <c r="AT954" i="3"/>
  <c r="AU954" i="3" s="1"/>
  <c r="AV954" i="3" s="1"/>
  <c r="AW954" i="3" s="1"/>
  <c r="AX954" i="3" s="1"/>
  <c r="AU963" i="3"/>
  <c r="AV963" i="3" s="1"/>
  <c r="AW963" i="3" s="1"/>
  <c r="AX963" i="3" s="1"/>
  <c r="AS1181" i="3"/>
  <c r="AT1181" i="3" s="1"/>
  <c r="AU1181" i="3" s="1"/>
  <c r="AV1181" i="3" s="1"/>
  <c r="AW1181" i="3" s="1"/>
  <c r="AX1181" i="3" s="1"/>
  <c r="V276" i="2"/>
  <c r="AN1208" i="3"/>
  <c r="AO1208" i="3" s="1"/>
  <c r="AQ1208" i="3"/>
  <c r="AR1208" i="3" s="1"/>
  <c r="AS1208" i="3" s="1"/>
  <c r="AT1208" i="3" s="1"/>
  <c r="AU1208" i="3" s="1"/>
  <c r="AV1208" i="3" s="1"/>
  <c r="AW1208" i="3" s="1"/>
  <c r="AX1208" i="3" s="1"/>
  <c r="AP1208" i="3"/>
  <c r="AW261" i="3"/>
  <c r="AX261" i="3" s="1"/>
  <c r="V679" i="4"/>
  <c r="W674" i="4" s="1"/>
  <c r="V521" i="4"/>
  <c r="V519" i="4"/>
  <c r="X344" i="2" s="1"/>
  <c r="X974" i="4"/>
  <c r="X1099" i="4" s="1"/>
  <c r="X1100" i="4"/>
  <c r="AP232" i="3"/>
  <c r="AQ232" i="3" s="1"/>
  <c r="AR232" i="3" s="1"/>
  <c r="AS232" i="3" s="1"/>
  <c r="AT232" i="3"/>
  <c r="AU232" i="3" s="1"/>
  <c r="AV232" i="3" s="1"/>
  <c r="AW232" i="3" s="1"/>
  <c r="AX232" i="3" s="1"/>
  <c r="Z639" i="4"/>
  <c r="Z657" i="4" s="1"/>
  <c r="Z706" i="4" s="1"/>
  <c r="AB39" i="2" s="1"/>
  <c r="Z1190" i="4"/>
  <c r="Z803" i="4"/>
  <c r="Z821" i="4" s="1"/>
  <c r="Z870" i="4" s="1"/>
  <c r="AB54" i="2" s="1"/>
  <c r="AA12" i="4"/>
  <c r="Z483" i="4"/>
  <c r="Z501" i="4" s="1"/>
  <c r="Z550" i="4" s="1"/>
  <c r="AB24" i="2" s="1"/>
  <c r="U277" i="2"/>
  <c r="T277" i="2"/>
  <c r="AG277" i="2"/>
  <c r="AE277" i="2"/>
  <c r="V277" i="2"/>
  <c r="AD277" i="2"/>
  <c r="AA277" i="2"/>
  <c r="Z277" i="2"/>
  <c r="N486" i="4"/>
  <c r="N503" i="4" s="1"/>
  <c r="N245" i="4"/>
  <c r="Q642" i="4"/>
  <c r="Q659" i="4" s="1"/>
  <c r="Q246" i="4"/>
  <c r="AQ440" i="3"/>
  <c r="AR440" i="3" s="1"/>
  <c r="AS440" i="3"/>
  <c r="AT440" i="3" s="1"/>
  <c r="AU440" i="3" s="1"/>
  <c r="AV440" i="3" s="1"/>
  <c r="AW440" i="3" s="1"/>
  <c r="AX440" i="3" s="1"/>
  <c r="AR314" i="3"/>
  <c r="AS314" i="3" s="1"/>
  <c r="AT314" i="3" s="1"/>
  <c r="AU314" i="3" s="1"/>
  <c r="AV314" i="3"/>
  <c r="AW314" i="3" s="1"/>
  <c r="AX314" i="3" s="1"/>
  <c r="AO264" i="3"/>
  <c r="J806" i="4"/>
  <c r="J823" i="4" s="1"/>
  <c r="J247" i="4"/>
  <c r="AM1415" i="3"/>
  <c r="X164" i="4" s="1"/>
  <c r="AN762" i="3"/>
  <c r="AC101" i="2"/>
  <c r="AD101" i="2" s="1"/>
  <c r="AC290" i="2"/>
  <c r="AN68" i="3"/>
  <c r="AO68" i="3" s="1"/>
  <c r="AP68" i="3"/>
  <c r="AQ68" i="3" s="1"/>
  <c r="AR68" i="3" s="1"/>
  <c r="AS68" i="3"/>
  <c r="AT68" i="3" s="1"/>
  <c r="AU68" i="3" s="1"/>
  <c r="AV68" i="3" s="1"/>
  <c r="AW68" i="3" s="1"/>
  <c r="AX68" i="3" s="1"/>
  <c r="P708" i="4"/>
  <c r="P663" i="4"/>
  <c r="P667" i="4" s="1"/>
  <c r="S357" i="4"/>
  <c r="S309" i="4"/>
  <c r="AP322" i="3"/>
  <c r="AQ322" i="3" s="1"/>
  <c r="AR322" i="3"/>
  <c r="AS322" i="3" s="1"/>
  <c r="AT322" i="3" s="1"/>
  <c r="AU322" i="3" s="1"/>
  <c r="AV322" i="3" s="1"/>
  <c r="AW322" i="3" s="1"/>
  <c r="AX322" i="3" s="1"/>
  <c r="AN1430" i="3"/>
  <c r="Y167" i="4" s="1"/>
  <c r="U239" i="4"/>
  <c r="U489" i="4" s="1"/>
  <c r="U506" i="4" s="1"/>
  <c r="U242" i="4"/>
  <c r="U948" i="4" s="1"/>
  <c r="U241" i="4"/>
  <c r="U809" i="4" s="1"/>
  <c r="U826" i="4" s="1"/>
  <c r="U240" i="4"/>
  <c r="U645" i="4" s="1"/>
  <c r="U662" i="4" s="1"/>
  <c r="AN1114" i="3"/>
  <c r="AW619" i="3"/>
  <c r="AX619" i="3" s="1"/>
  <c r="AS255" i="3"/>
  <c r="AT255" i="3" s="1"/>
  <c r="AU255" i="3" s="1"/>
  <c r="AV255" i="3" s="1"/>
  <c r="AW255" i="3" s="1"/>
  <c r="AX255" i="3" s="1"/>
  <c r="AW348" i="3"/>
  <c r="AX348" i="3" s="1"/>
  <c r="AP1126" i="3"/>
  <c r="AQ1126" i="3" s="1"/>
  <c r="AR1126" i="3" s="1"/>
  <c r="AS1126" i="3" s="1"/>
  <c r="AT1126" i="3" s="1"/>
  <c r="AU1126" i="3" s="1"/>
  <c r="AV1126" i="3" s="1"/>
  <c r="AW1126" i="3" s="1"/>
  <c r="AX1126" i="3" s="1"/>
  <c r="AQ506" i="3"/>
  <c r="AR506" i="3"/>
  <c r="AS506" i="3" s="1"/>
  <c r="AT506" i="3" s="1"/>
  <c r="AU506" i="3" s="1"/>
  <c r="AV506" i="3" s="1"/>
  <c r="AW506" i="3" s="1"/>
  <c r="AX506" i="3" s="1"/>
  <c r="Z155" i="2"/>
  <c r="Z283" i="2"/>
  <c r="AR1298" i="3"/>
  <c r="AS1298" i="3" s="1"/>
  <c r="AT1298" i="3" s="1"/>
  <c r="AU1298" i="3" s="1"/>
  <c r="AV1298" i="3" s="1"/>
  <c r="AW1298" i="3" s="1"/>
  <c r="AX1298" i="3" s="1"/>
  <c r="AQ1112" i="3"/>
  <c r="AV1151" i="3"/>
  <c r="AW1151" i="3" s="1"/>
  <c r="AX1151" i="3" s="1"/>
  <c r="J642" i="4"/>
  <c r="J659" i="4" s="1"/>
  <c r="J246" i="4"/>
  <c r="AP1029" i="3"/>
  <c r="AQ1029" i="3" s="1"/>
  <c r="AR1029" i="3" s="1"/>
  <c r="AS1029" i="3" s="1"/>
  <c r="AT1029" i="3" s="1"/>
  <c r="AU1029" i="3" s="1"/>
  <c r="AV1029" i="3" s="1"/>
  <c r="AW1029" i="3" s="1"/>
  <c r="AX1029" i="3" s="1"/>
  <c r="AW1347" i="3"/>
  <c r="AX1347" i="3" s="1"/>
  <c r="AU1054" i="3"/>
  <c r="AV1054" i="3" s="1"/>
  <c r="AW1054" i="3" s="1"/>
  <c r="AX1054" i="3" s="1"/>
  <c r="AQ763" i="3"/>
  <c r="AM1427" i="3"/>
  <c r="X163" i="4" s="1"/>
  <c r="AS799" i="3"/>
  <c r="AT799" i="3" s="1"/>
  <c r="AU799" i="3" s="1"/>
  <c r="AV799" i="3" s="1"/>
  <c r="AW799" i="3" s="1"/>
  <c r="AX799" i="3" s="1"/>
  <c r="R7" i="10"/>
  <c r="S4" i="10"/>
  <c r="AN1427" i="3"/>
  <c r="Y163" i="4" s="1"/>
  <c r="AP72" i="3"/>
  <c r="AQ72" i="3" s="1"/>
  <c r="AR72" i="3" s="1"/>
  <c r="AS72" i="3" s="1"/>
  <c r="AT72" i="3" s="1"/>
  <c r="AU72" i="3" s="1"/>
  <c r="AV72" i="3" s="1"/>
  <c r="AT974" i="3"/>
  <c r="AU974" i="3" s="1"/>
  <c r="AV974" i="3" s="1"/>
  <c r="AW974" i="3" s="1"/>
  <c r="AX974" i="3" s="1"/>
  <c r="AS450" i="3"/>
  <c r="AT450" i="3"/>
  <c r="AU450" i="3" s="1"/>
  <c r="AO510" i="3"/>
  <c r="AP510" i="3" s="1"/>
  <c r="AQ510" i="3" s="1"/>
  <c r="AR510" i="3" s="1"/>
  <c r="AS510" i="3" s="1"/>
  <c r="AT510" i="3" s="1"/>
  <c r="AU510" i="3" s="1"/>
  <c r="AV510" i="3" s="1"/>
  <c r="AW510" i="3" s="1"/>
  <c r="AX510" i="3" s="1"/>
  <c r="X509" i="4"/>
  <c r="X514" i="4"/>
  <c r="X421" i="4"/>
  <c r="AW367" i="3"/>
  <c r="AX367" i="3" s="1"/>
  <c r="U201" i="4"/>
  <c r="U944" i="4"/>
  <c r="AM1418" i="3"/>
  <c r="X165" i="4" s="1"/>
  <c r="AB197" i="2"/>
  <c r="AB156" i="2" s="1"/>
  <c r="AC198" i="2"/>
  <c r="AP541" i="3"/>
  <c r="AQ541" i="3" s="1"/>
  <c r="AR541" i="3" s="1"/>
  <c r="AS541" i="3" s="1"/>
  <c r="AT541" i="3" s="1"/>
  <c r="AU541" i="3"/>
  <c r="AV541" i="3" s="1"/>
  <c r="AW541" i="3" s="1"/>
  <c r="AX541" i="3" s="1"/>
  <c r="AP639" i="3"/>
  <c r="AQ639" i="3"/>
  <c r="AR639" i="3" s="1"/>
  <c r="AS639" i="3" s="1"/>
  <c r="AT639" i="3" s="1"/>
  <c r="AU639" i="3" s="1"/>
  <c r="AV639" i="3"/>
  <c r="AW639" i="3" s="1"/>
  <c r="AX639" i="3" s="1"/>
  <c r="AU817" i="3"/>
  <c r="AV817" i="3" s="1"/>
  <c r="AW817" i="3" s="1"/>
  <c r="AX817" i="3" s="1"/>
  <c r="AR1065" i="3"/>
  <c r="AS1065" i="3" s="1"/>
  <c r="AT1065" i="3" s="1"/>
  <c r="AU1065" i="3" s="1"/>
  <c r="AW155" i="3"/>
  <c r="AX155" i="3" s="1"/>
  <c r="AT1032" i="3"/>
  <c r="AU1032" i="3" s="1"/>
  <c r="AV1032" i="3" s="1"/>
  <c r="AW1032" i="3" s="1"/>
  <c r="AX1032" i="3" s="1"/>
  <c r="AQ358" i="3"/>
  <c r="AR358" i="3" s="1"/>
  <c r="AS358" i="3" s="1"/>
  <c r="AT358" i="3" s="1"/>
  <c r="AU358" i="3" s="1"/>
  <c r="AV358" i="3" s="1"/>
  <c r="AW358" i="3" s="1"/>
  <c r="AX358" i="3" s="1"/>
  <c r="S224" i="4"/>
  <c r="S486" i="4" s="1"/>
  <c r="S503" i="4" s="1"/>
  <c r="S219" i="4"/>
  <c r="S229" i="4"/>
  <c r="S487" i="4" s="1"/>
  <c r="S504" i="4" s="1"/>
  <c r="AR712" i="3"/>
  <c r="AS712" i="3" s="1"/>
  <c r="AT712" i="3" s="1"/>
  <c r="AU712" i="3" s="1"/>
  <c r="AV712" i="3" s="1"/>
  <c r="AW712" i="3"/>
  <c r="AX712" i="3" s="1"/>
  <c r="K708" i="4"/>
  <c r="K663" i="4"/>
  <c r="K667" i="4" s="1"/>
  <c r="X923" i="4"/>
  <c r="X1140" i="4"/>
  <c r="AT957" i="3"/>
  <c r="AU957" i="3" s="1"/>
  <c r="AV957" i="3" s="1"/>
  <c r="AW957" i="3" s="1"/>
  <c r="AX957" i="3" s="1"/>
  <c r="AS698" i="3"/>
  <c r="AT698" i="3" s="1"/>
  <c r="AU698" i="3" s="1"/>
  <c r="AV698" i="3" s="1"/>
  <c r="AW698" i="3" s="1"/>
  <c r="AX698" i="3" s="1"/>
  <c r="AS909" i="3"/>
  <c r="AT909" i="3" s="1"/>
  <c r="AU909" i="3" s="1"/>
  <c r="AV909" i="3" s="1"/>
  <c r="AW909" i="3" s="1"/>
  <c r="AX909" i="3" s="1"/>
  <c r="O872" i="4"/>
  <c r="O827" i="4"/>
  <c r="O831" i="4" s="1"/>
  <c r="AR219" i="3"/>
  <c r="AS219" i="3" s="1"/>
  <c r="AT219" i="3" s="1"/>
  <c r="AU219" i="3" s="1"/>
  <c r="AV219" i="3" s="1"/>
  <c r="AW219" i="3" s="1"/>
  <c r="AX219" i="3" s="1"/>
  <c r="AT1211" i="3"/>
  <c r="AU1211" i="3" s="1"/>
  <c r="AV1211" i="3" s="1"/>
  <c r="AW1211" i="3" s="1"/>
  <c r="AX1211" i="3" s="1"/>
  <c r="AS1016" i="3"/>
  <c r="AT1016" i="3" s="1"/>
  <c r="AU1016" i="3" s="1"/>
  <c r="AV1016" i="3" s="1"/>
  <c r="AW1016" i="3"/>
  <c r="AX1016" i="3" s="1"/>
  <c r="AU695" i="3"/>
  <c r="AV695" i="3" s="1"/>
  <c r="AW695" i="3" s="1"/>
  <c r="AX695" i="3" s="1"/>
  <c r="Y288" i="2"/>
  <c r="U288" i="2"/>
  <c r="W288" i="2"/>
  <c r="AH288" i="2"/>
  <c r="AR1139" i="3"/>
  <c r="AC269" i="2"/>
  <c r="AS568" i="3"/>
  <c r="AT568" i="3"/>
  <c r="AU568" i="3" s="1"/>
  <c r="AV568" i="3" s="1"/>
  <c r="AW568" i="3" s="1"/>
  <c r="AX568" i="3" s="1"/>
  <c r="AM1406" i="3"/>
  <c r="Y17" i="10"/>
  <c r="Y65" i="4"/>
  <c r="AW634" i="3"/>
  <c r="AX634" i="3" s="1"/>
  <c r="O708" i="4"/>
  <c r="O663" i="4"/>
  <c r="O667" i="4" s="1"/>
  <c r="T269" i="2"/>
  <c r="AW860" i="3"/>
  <c r="AX860" i="3" s="1"/>
  <c r="AP657" i="3"/>
  <c r="AQ657" i="3" s="1"/>
  <c r="AR657" i="3" s="1"/>
  <c r="AS657" i="3" s="1"/>
  <c r="AT657" i="3" s="1"/>
  <c r="AU657" i="3" s="1"/>
  <c r="AV657" i="3" s="1"/>
  <c r="AW657" i="3" s="1"/>
  <c r="AX657" i="3" s="1"/>
  <c r="AR637" i="3"/>
  <c r="AS637" i="3" s="1"/>
  <c r="AT637" i="3" s="1"/>
  <c r="AU637" i="3" s="1"/>
  <c r="Z278" i="2"/>
  <c r="AV1077" i="3"/>
  <c r="AW1077" i="3" s="1"/>
  <c r="AX1077" i="3" s="1"/>
  <c r="X123" i="2"/>
  <c r="Z74" i="2"/>
  <c r="U278" i="2"/>
  <c r="AD276" i="2"/>
  <c r="AS811" i="3"/>
  <c r="AT811" i="3" s="1"/>
  <c r="AU811" i="3" s="1"/>
  <c r="AV811" i="3" s="1"/>
  <c r="AT297" i="3"/>
  <c r="AU297" i="3" s="1"/>
  <c r="AV297" i="3" s="1"/>
  <c r="AW297" i="3" s="1"/>
  <c r="AX297" i="3" s="1"/>
  <c r="AN1403" i="3"/>
  <c r="R371" i="4"/>
  <c r="R339" i="4"/>
  <c r="R343" i="4" s="1"/>
  <c r="R345" i="4" s="1"/>
  <c r="R291" i="4"/>
  <c r="R295" i="4" s="1"/>
  <c r="R297" i="4" s="1"/>
  <c r="R259" i="4"/>
  <c r="R263" i="4" s="1"/>
  <c r="R265" i="4" s="1"/>
  <c r="R275" i="4"/>
  <c r="R279" i="4" s="1"/>
  <c r="R281" i="4" s="1"/>
  <c r="R307" i="4"/>
  <c r="R311" i="4" s="1"/>
  <c r="R313" i="4" s="1"/>
  <c r="R387" i="4"/>
  <c r="R391" i="4" s="1"/>
  <c r="R393" i="4" s="1"/>
  <c r="R323" i="4"/>
  <c r="R327" i="4" s="1"/>
  <c r="R329" i="4" s="1"/>
  <c r="R355" i="4"/>
  <c r="R359" i="4" s="1"/>
  <c r="R361" i="4" s="1"/>
  <c r="AV1347" i="3"/>
  <c r="AF152" i="4"/>
  <c r="AL1448" i="3"/>
  <c r="Y109" i="2" s="1"/>
  <c r="AW1161" i="3"/>
  <c r="AX1161" i="3" s="1"/>
  <c r="AT716" i="3"/>
  <c r="AW1283" i="3"/>
  <c r="AX1283" i="3" s="1"/>
  <c r="AQ468" i="3"/>
  <c r="AR468" i="3" s="1"/>
  <c r="AS468" i="3" s="1"/>
  <c r="AT468" i="3" s="1"/>
  <c r="AU468" i="3" s="1"/>
  <c r="AV468" i="3"/>
  <c r="AW468" i="3" s="1"/>
  <c r="AX468" i="3" s="1"/>
  <c r="AF277" i="2"/>
  <c r="W959" i="4"/>
  <c r="W960" i="4" s="1"/>
  <c r="W1104" i="4" s="1"/>
  <c r="W1103" i="4"/>
  <c r="AW424" i="3"/>
  <c r="AX424" i="3" s="1"/>
  <c r="AW815" i="3"/>
  <c r="AX815" i="3" s="1"/>
  <c r="S232" i="4"/>
  <c r="S946" i="4" s="1"/>
  <c r="AS1333" i="3"/>
  <c r="AT1333" i="3" s="1"/>
  <c r="AU1333" i="3" s="1"/>
  <c r="AV1333" i="3" s="1"/>
  <c r="AW1333" i="3" s="1"/>
  <c r="AX1333" i="3" s="1"/>
  <c r="AO616" i="3"/>
  <c r="AP1070" i="3"/>
  <c r="Z50" i="2"/>
  <c r="S866" i="4"/>
  <c r="S220" i="4"/>
  <c r="Y1084" i="4"/>
  <c r="Y1086" i="4" s="1"/>
  <c r="Z1083" i="4" s="1"/>
  <c r="Y1054" i="4"/>
  <c r="Y1056" i="4" s="1"/>
  <c r="Z1053" i="4" s="1"/>
  <c r="Y1044" i="4"/>
  <c r="Y1046" i="4" s="1"/>
  <c r="Z1043" i="4" s="1"/>
  <c r="Y1034" i="4"/>
  <c r="Y1036" i="4" s="1"/>
  <c r="Z1033" i="4" s="1"/>
  <c r="Y994" i="4"/>
  <c r="Y996" i="4" s="1"/>
  <c r="Z993" i="4" s="1"/>
  <c r="Y984" i="4"/>
  <c r="Y986" i="4" s="1"/>
  <c r="Z983" i="4" s="1"/>
  <c r="Y759" i="4"/>
  <c r="Y1181" i="4"/>
  <c r="Y1161" i="4"/>
  <c r="Y1151" i="4"/>
  <c r="Y1146" i="4"/>
  <c r="Y1171" i="4"/>
  <c r="Y595" i="4"/>
  <c r="Y1089" i="4"/>
  <c r="Y1091" i="4" s="1"/>
  <c r="Z1088" i="4" s="1"/>
  <c r="Z10" i="4"/>
  <c r="Y1176" i="4"/>
  <c r="Y1166" i="4"/>
  <c r="Y1079" i="4"/>
  <c r="Y1081" i="4" s="1"/>
  <c r="Z1078" i="4" s="1"/>
  <c r="Y989" i="4"/>
  <c r="Y991" i="4" s="1"/>
  <c r="Z988" i="4" s="1"/>
  <c r="Y1039" i="4"/>
  <c r="Y1041" i="4" s="1"/>
  <c r="Z1038" i="4" s="1"/>
  <c r="Y1059" i="4"/>
  <c r="Y1061" i="4" s="1"/>
  <c r="Z1058" i="4" s="1"/>
  <c r="Y656" i="4"/>
  <c r="Y1019" i="4"/>
  <c r="Y1021" i="4" s="1"/>
  <c r="Z1018" i="4" s="1"/>
  <c r="Y1029" i="4"/>
  <c r="Y1031" i="4" s="1"/>
  <c r="Z1028" i="4" s="1"/>
  <c r="AA80" i="2"/>
  <c r="AA81" i="2"/>
  <c r="Y820" i="4"/>
  <c r="Z412" i="4"/>
  <c r="Y33" i="10"/>
  <c r="Z413" i="4" s="1"/>
  <c r="Z419" i="4" s="1"/>
  <c r="AA278" i="2"/>
  <c r="U325" i="4"/>
  <c r="AO1129" i="3"/>
  <c r="AE269" i="2"/>
  <c r="AU427" i="3"/>
  <c r="AV427" i="3"/>
  <c r="AW427" i="3" s="1"/>
  <c r="AX427" i="3" s="1"/>
  <c r="Y289" i="2"/>
  <c r="AR695" i="3"/>
  <c r="AS695" i="3" s="1"/>
  <c r="AT695" i="3" s="1"/>
  <c r="AH287" i="2"/>
  <c r="AE287" i="2"/>
  <c r="Z287" i="2"/>
  <c r="Y287" i="2"/>
  <c r="AB287" i="2"/>
  <c r="AD287" i="2"/>
  <c r="AA287" i="2"/>
  <c r="V287" i="2"/>
  <c r="X287" i="2"/>
  <c r="T287" i="2"/>
  <c r="U287" i="2"/>
  <c r="AC287" i="2"/>
  <c r="AS930" i="3"/>
  <c r="AT930" i="3" s="1"/>
  <c r="AU930" i="3" s="1"/>
  <c r="AV930" i="3" s="1"/>
  <c r="AW930" i="3" s="1"/>
  <c r="AX930" i="3" s="1"/>
  <c r="AU1120" i="3"/>
  <c r="AV1120" i="3" s="1"/>
  <c r="AQ250" i="3"/>
  <c r="AR250" i="3" s="1"/>
  <c r="AS250" i="3" s="1"/>
  <c r="AT250" i="3" s="1"/>
  <c r="AU250" i="3" s="1"/>
  <c r="AO184" i="3"/>
  <c r="AV124" i="3"/>
  <c r="AW124" i="3" s="1"/>
  <c r="AX124" i="3" s="1"/>
  <c r="AP17" i="3"/>
  <c r="AO1442" i="3"/>
  <c r="AG276" i="2"/>
  <c r="X1222" i="4"/>
  <c r="X1234" i="4" s="1"/>
  <c r="AW181" i="3"/>
  <c r="AX181" i="3" s="1"/>
  <c r="AU181" i="3"/>
  <c r="AV181" i="3" s="1"/>
  <c r="T962" i="4"/>
  <c r="U269" i="2"/>
  <c r="AR399" i="3"/>
  <c r="AS399" i="3" s="1"/>
  <c r="AT399" i="3" s="1"/>
  <c r="AU399" i="3" s="1"/>
  <c r="AV399" i="3" s="1"/>
  <c r="AW399" i="3" s="1"/>
  <c r="AX399" i="3" s="1"/>
  <c r="AM1424" i="3"/>
  <c r="X162" i="4" s="1"/>
  <c r="AV225" i="3"/>
  <c r="AW225" i="3" s="1"/>
  <c r="AX225" i="3" s="1"/>
  <c r="AO187" i="3"/>
  <c r="AP187" i="3" s="1"/>
  <c r="AQ334" i="3"/>
  <c r="AR334" i="3" s="1"/>
  <c r="AS334" i="3" s="1"/>
  <c r="AT334" i="3" s="1"/>
  <c r="AU334" i="3" s="1"/>
  <c r="AV334" i="3" s="1"/>
  <c r="AW334" i="3" s="1"/>
  <c r="AX334" i="3" s="1"/>
  <c r="AQ986" i="3"/>
  <c r="AP268" i="3"/>
  <c r="AQ268" i="3" s="1"/>
  <c r="AR268" i="3" s="1"/>
  <c r="AS268" i="3"/>
  <c r="AT268" i="3" s="1"/>
  <c r="AU268" i="3" s="1"/>
  <c r="AV268" i="3" s="1"/>
  <c r="AW268" i="3" s="1"/>
  <c r="AX268" i="3" s="1"/>
  <c r="U341" i="4"/>
  <c r="AW471" i="3"/>
  <c r="AX471" i="3" s="1"/>
  <c r="AG275" i="2"/>
  <c r="S175" i="2"/>
  <c r="S177" i="2" s="1"/>
  <c r="K177" i="2" s="1"/>
  <c r="T256" i="2"/>
  <c r="AQ524" i="3"/>
  <c r="AR524" i="3" s="1"/>
  <c r="AS524" i="3" s="1"/>
  <c r="AT524" i="3" s="1"/>
  <c r="AU524" i="3" s="1"/>
  <c r="AV524" i="3" s="1"/>
  <c r="AW524" i="3" s="1"/>
  <c r="AX524" i="3" s="1"/>
  <c r="W521" i="4"/>
  <c r="W519" i="4"/>
  <c r="Y344" i="2" s="1"/>
  <c r="AN1418" i="3"/>
  <c r="Y165" i="4" s="1"/>
  <c r="AR589" i="3"/>
  <c r="AS589" i="3" s="1"/>
  <c r="AT589" i="3" s="1"/>
  <c r="AU589" i="3" s="1"/>
  <c r="AV589" i="3" s="1"/>
  <c r="AW589" i="3" s="1"/>
  <c r="AX589" i="3" s="1"/>
  <c r="AC77" i="2"/>
  <c r="AP1067" i="3"/>
  <c r="AQ1067" i="3" s="1"/>
  <c r="AR1067" i="3" s="1"/>
  <c r="AS1067" i="3" s="1"/>
  <c r="AT1067" i="3" s="1"/>
  <c r="AU1067" i="3" s="1"/>
  <c r="AV1067" i="3" s="1"/>
  <c r="AW1067" i="3" s="1"/>
  <c r="AX1067" i="3" s="1"/>
  <c r="AS1141" i="3"/>
  <c r="AU1254" i="3"/>
  <c r="AV1254" i="3" s="1"/>
  <c r="AW1254" i="3" s="1"/>
  <c r="AX1254" i="3" s="1"/>
  <c r="Q806" i="4"/>
  <c r="Q823" i="4" s="1"/>
  <c r="Q247" i="4"/>
  <c r="K82" i="2"/>
  <c r="W123" i="2"/>
  <c r="K123" i="2" s="1"/>
  <c r="AV625" i="3"/>
  <c r="AW625" i="3"/>
  <c r="AX625" i="3" s="1"/>
  <c r="AP589" i="3"/>
  <c r="AQ589" i="3" s="1"/>
  <c r="AN1359" i="3"/>
  <c r="V89" i="4"/>
  <c r="S189" i="4"/>
  <c r="S181" i="4"/>
  <c r="S180" i="4"/>
  <c r="S174" i="4"/>
  <c r="AP1055" i="3"/>
  <c r="AQ1055" i="3" s="1"/>
  <c r="AR1055" i="3" s="1"/>
  <c r="AS1055" i="3" s="1"/>
  <c r="AT1055" i="3" s="1"/>
  <c r="AU1055" i="3" s="1"/>
  <c r="AV1055" i="3" s="1"/>
  <c r="AW1055" i="3" s="1"/>
  <c r="AX1055" i="3" s="1"/>
  <c r="S389" i="4"/>
  <c r="AU992" i="3"/>
  <c r="AI279" i="2"/>
  <c r="AR671" i="3"/>
  <c r="AS671" i="3"/>
  <c r="AT671" i="3" s="1"/>
  <c r="AU671" i="3" s="1"/>
  <c r="AV671" i="3" s="1"/>
  <c r="AW671" i="3" s="1"/>
  <c r="AX671" i="3" s="1"/>
  <c r="P872" i="4"/>
  <c r="P827" i="4"/>
  <c r="P831" i="4" s="1"/>
  <c r="AR87" i="3"/>
  <c r="AS87" i="3" s="1"/>
  <c r="AT87" i="3" s="1"/>
  <c r="AU87" i="3" s="1"/>
  <c r="AV87" i="3" s="1"/>
  <c r="AW87" i="3" s="1"/>
  <c r="AX87" i="3" s="1"/>
  <c r="AN580" i="3"/>
  <c r="AO580" i="3" s="1"/>
  <c r="AP580" i="3" s="1"/>
  <c r="AQ580" i="3" s="1"/>
  <c r="AR580" i="3" s="1"/>
  <c r="AS580" i="3" s="1"/>
  <c r="AT580" i="3" s="1"/>
  <c r="AU580" i="3"/>
  <c r="AV580" i="3" s="1"/>
  <c r="AW580" i="3" s="1"/>
  <c r="AX580" i="3" s="1"/>
  <c r="AW464" i="3"/>
  <c r="AX464" i="3" s="1"/>
  <c r="AM1444" i="3"/>
  <c r="Z220" i="2" s="1"/>
  <c r="AA220" i="2" s="1"/>
  <c r="S843" i="4"/>
  <c r="T838" i="4" s="1"/>
  <c r="AQ599" i="3"/>
  <c r="AQ158" i="3"/>
  <c r="AR158" i="3" s="1"/>
  <c r="AS158" i="3" s="1"/>
  <c r="AT158" i="3" s="1"/>
  <c r="AU158" i="3" s="1"/>
  <c r="AV158" i="3" s="1"/>
  <c r="T276" i="2"/>
  <c r="AS888" i="3"/>
  <c r="AT888" i="3" s="1"/>
  <c r="AU888" i="3" s="1"/>
  <c r="AV888" i="3" s="1"/>
  <c r="AW888" i="3" s="1"/>
  <c r="AX888" i="3" s="1"/>
  <c r="AT868" i="3"/>
  <c r="AU868" i="3" s="1"/>
  <c r="AV868" i="3" s="1"/>
  <c r="AW868" i="3" s="1"/>
  <c r="AX868" i="3" s="1"/>
  <c r="W48" i="4"/>
  <c r="W500" i="4"/>
  <c r="W425" i="4"/>
  <c r="W433" i="4" s="1"/>
  <c r="W427" i="4" s="1"/>
  <c r="W428" i="4" s="1"/>
  <c r="W434" i="4"/>
  <c r="W203" i="4"/>
  <c r="W452" i="4"/>
  <c r="W467" i="4"/>
  <c r="W442" i="4"/>
  <c r="W472" i="4"/>
  <c r="W457" i="4"/>
  <c r="W447" i="4"/>
  <c r="W462" i="4"/>
  <c r="AI50" i="2"/>
  <c r="AQ594" i="3"/>
  <c r="AR594" i="3" s="1"/>
  <c r="AS594" i="3" s="1"/>
  <c r="AP272" i="3"/>
  <c r="Y290" i="2"/>
  <c r="Z290" i="2"/>
  <c r="U290" i="2"/>
  <c r="T290" i="2"/>
  <c r="AF290" i="2"/>
  <c r="AA290" i="2"/>
  <c r="V290" i="2"/>
  <c r="AH290" i="2"/>
  <c r="AI290" i="2"/>
  <c r="X290" i="2"/>
  <c r="W290" i="2"/>
  <c r="AE278" i="2"/>
  <c r="AW454" i="3"/>
  <c r="AX454" i="3" s="1"/>
  <c r="AO1397" i="3"/>
  <c r="V376" i="2"/>
  <c r="AQ1079" i="3"/>
  <c r="AM1403" i="3"/>
  <c r="AM1436" i="3" s="1"/>
  <c r="AS489" i="3"/>
  <c r="AT489" i="3" s="1"/>
  <c r="AU489" i="3" s="1"/>
  <c r="AV489" i="3" s="1"/>
  <c r="AD275" i="2"/>
  <c r="AS179" i="3"/>
  <c r="AT179" i="3"/>
  <c r="AU179" i="3"/>
  <c r="AV179" i="3" s="1"/>
  <c r="AW179" i="3" s="1"/>
  <c r="AX179" i="3" s="1"/>
  <c r="AO223" i="3"/>
  <c r="U186" i="2" l="1"/>
  <c r="U185" i="2" s="1"/>
  <c r="U236" i="2"/>
  <c r="U207" i="2"/>
  <c r="U235" i="2"/>
  <c r="AC227" i="2"/>
  <c r="AC329" i="2"/>
  <c r="AB331" i="2"/>
  <c r="AB332" i="2" s="1"/>
  <c r="AB333" i="2" s="1"/>
  <c r="K175" i="2"/>
  <c r="Y143" i="2"/>
  <c r="U206" i="2"/>
  <c r="X185" i="4"/>
  <c r="Y142" i="2"/>
  <c r="Y156" i="4"/>
  <c r="AA78" i="2" s="1"/>
  <c r="Y143" i="4"/>
  <c r="Y144" i="4" s="1"/>
  <c r="Z75" i="2"/>
  <c r="Z157" i="2" s="1"/>
  <c r="AD31" i="10"/>
  <c r="V845" i="4"/>
  <c r="V848" i="4" s="1"/>
  <c r="Y157" i="2"/>
  <c r="R199" i="4"/>
  <c r="R197" i="4" s="1"/>
  <c r="Y93" i="4"/>
  <c r="Y178" i="4" s="1"/>
  <c r="Z336" i="2"/>
  <c r="X1257" i="4"/>
  <c r="X1262" i="4" s="1"/>
  <c r="X1267" i="4" s="1"/>
  <c r="Z95" i="2" s="1"/>
  <c r="Z111" i="2" s="1"/>
  <c r="Z151" i="2" s="1"/>
  <c r="Z150" i="2" s="1"/>
  <c r="X184" i="4"/>
  <c r="X218" i="4" s="1"/>
  <c r="Y111" i="2"/>
  <c r="Y151" i="2" s="1"/>
  <c r="Y150" i="2" s="1"/>
  <c r="X139" i="4"/>
  <c r="X177" i="4" s="1"/>
  <c r="T198" i="4"/>
  <c r="R805" i="4"/>
  <c r="R822" i="4" s="1"/>
  <c r="R871" i="4" s="1"/>
  <c r="T55" i="2" s="1"/>
  <c r="AJ100" i="2"/>
  <c r="AB116" i="10"/>
  <c r="AB112" i="4"/>
  <c r="AA117" i="10"/>
  <c r="AA113" i="4"/>
  <c r="AA111" i="10"/>
  <c r="AA107" i="4"/>
  <c r="R485" i="4"/>
  <c r="R502" i="4" s="1"/>
  <c r="R551" i="4" s="1"/>
  <c r="T25" i="2" s="1"/>
  <c r="AE31" i="10"/>
  <c r="AA115" i="10"/>
  <c r="AA111" i="4"/>
  <c r="Y137" i="4"/>
  <c r="Y139" i="4" s="1"/>
  <c r="AA68" i="2"/>
  <c r="Z117" i="4"/>
  <c r="Z143" i="4" s="1"/>
  <c r="Z144" i="4" s="1"/>
  <c r="AD411" i="4"/>
  <c r="T552" i="4"/>
  <c r="V26" i="2" s="1"/>
  <c r="V341" i="2" s="1"/>
  <c r="AD118" i="10"/>
  <c r="AD114" i="4"/>
  <c r="R872" i="4"/>
  <c r="T56" i="2" s="1"/>
  <c r="K100" i="2"/>
  <c r="I100" i="2" s="1"/>
  <c r="T201" i="4"/>
  <c r="T708" i="4"/>
  <c r="V41" i="2" s="1"/>
  <c r="V353" i="2" s="1"/>
  <c r="R708" i="4"/>
  <c r="T41" i="2" s="1"/>
  <c r="T353" i="2" s="1"/>
  <c r="T872" i="4"/>
  <c r="V56" i="2" s="1"/>
  <c r="V365" i="2" s="1"/>
  <c r="T245" i="4"/>
  <c r="R552" i="4"/>
  <c r="T26" i="2" s="1"/>
  <c r="K249" i="4"/>
  <c r="K255" i="4" s="1"/>
  <c r="R246" i="4"/>
  <c r="T248" i="4"/>
  <c r="T964" i="4" s="1"/>
  <c r="T247" i="4"/>
  <c r="T199" i="4"/>
  <c r="R944" i="4"/>
  <c r="T377" i="2" s="1"/>
  <c r="R245" i="4"/>
  <c r="R247" i="4"/>
  <c r="R248" i="4"/>
  <c r="R964" i="4" s="1"/>
  <c r="T246" i="4"/>
  <c r="K827" i="4"/>
  <c r="K831" i="4" s="1"/>
  <c r="X1235" i="4"/>
  <c r="P249" i="4"/>
  <c r="P255" i="4" s="1"/>
  <c r="L642" i="4"/>
  <c r="L659" i="4" s="1"/>
  <c r="L246" i="4"/>
  <c r="X976" i="4"/>
  <c r="Y973" i="4" s="1"/>
  <c r="L247" i="4"/>
  <c r="L806" i="4"/>
  <c r="L823" i="4" s="1"/>
  <c r="L945" i="4"/>
  <c r="L248" i="4"/>
  <c r="L964" i="4" s="1"/>
  <c r="L965" i="4" s="1"/>
  <c r="L245" i="4"/>
  <c r="L486" i="4"/>
  <c r="L503" i="4" s="1"/>
  <c r="M486" i="4"/>
  <c r="M503" i="4" s="1"/>
  <c r="M245" i="4"/>
  <c r="W70" i="4"/>
  <c r="X80" i="4"/>
  <c r="X84" i="4" s="1"/>
  <c r="Z10" i="2"/>
  <c r="Z9" i="2" s="1"/>
  <c r="M642" i="4"/>
  <c r="M659" i="4" s="1"/>
  <c r="M246" i="4"/>
  <c r="S708" i="4"/>
  <c r="U41" i="2" s="1"/>
  <c r="M806" i="4"/>
  <c r="M823" i="4" s="1"/>
  <c r="M247" i="4"/>
  <c r="W173" i="4"/>
  <c r="W181" i="4" s="1"/>
  <c r="K95" i="2"/>
  <c r="Y380" i="2"/>
  <c r="S872" i="4"/>
  <c r="U56" i="2" s="1"/>
  <c r="M945" i="4"/>
  <c r="M248" i="4"/>
  <c r="M964" i="4" s="1"/>
  <c r="M965" i="4" s="1"/>
  <c r="U552" i="4"/>
  <c r="W26" i="2" s="1"/>
  <c r="U872" i="4"/>
  <c r="W56" i="2" s="1"/>
  <c r="U962" i="4"/>
  <c r="U708" i="4"/>
  <c r="W41" i="2" s="1"/>
  <c r="W376" i="2"/>
  <c r="K376" i="2" s="1"/>
  <c r="Y74" i="4"/>
  <c r="Y76" i="4" s="1"/>
  <c r="Y67" i="4"/>
  <c r="U805" i="4"/>
  <c r="U822" i="4" s="1"/>
  <c r="U871" i="4" s="1"/>
  <c r="W55" i="2" s="1"/>
  <c r="U247" i="4"/>
  <c r="AU172" i="3"/>
  <c r="AV172" i="3" s="1"/>
  <c r="AW172" i="3"/>
  <c r="AX172" i="3" s="1"/>
  <c r="AR212" i="3"/>
  <c r="R394" i="4"/>
  <c r="S392" i="4" s="1"/>
  <c r="R397" i="4"/>
  <c r="R317" i="4"/>
  <c r="R318" i="4" s="1"/>
  <c r="R314" i="4"/>
  <c r="S312" i="4" s="1"/>
  <c r="AE77" i="2"/>
  <c r="R362" i="4"/>
  <c r="S360" i="4" s="1"/>
  <c r="R365" i="4"/>
  <c r="R333" i="4"/>
  <c r="R334" i="4" s="1"/>
  <c r="R330" i="4"/>
  <c r="S328" i="4" s="1"/>
  <c r="R346" i="4"/>
  <c r="S344" i="4" s="1"/>
  <c r="R349" i="4"/>
  <c r="R350" i="4" s="1"/>
  <c r="Z510" i="4"/>
  <c r="Z515" i="4"/>
  <c r="Z522" i="4" s="1"/>
  <c r="W679" i="4"/>
  <c r="X674" i="4" s="1"/>
  <c r="AP615" i="3"/>
  <c r="AQ615" i="3"/>
  <c r="AR615" i="3" s="1"/>
  <c r="AS615" i="3" s="1"/>
  <c r="AT615" i="3" s="1"/>
  <c r="AU615" i="3" s="1"/>
  <c r="AV615" i="3" s="1"/>
  <c r="AF50" i="2"/>
  <c r="J552" i="4"/>
  <c r="J507" i="4"/>
  <c r="J511" i="4" s="1"/>
  <c r="AR1418" i="3"/>
  <c r="AC165" i="4" s="1"/>
  <c r="AS717" i="3"/>
  <c r="W370" i="4"/>
  <c r="V338" i="4"/>
  <c r="U1101" i="4"/>
  <c r="V968" i="4"/>
  <c r="AQ1418" i="3"/>
  <c r="AB165" i="4" s="1"/>
  <c r="AC191" i="2"/>
  <c r="AC138" i="2"/>
  <c r="AQ998" i="3"/>
  <c r="T50" i="2"/>
  <c r="AS627" i="3"/>
  <c r="AT627" i="3"/>
  <c r="AU627" i="3" s="1"/>
  <c r="AV627" i="3" s="1"/>
  <c r="AW627" i="3" s="1"/>
  <c r="AX627" i="3" s="1"/>
  <c r="AH50" i="2"/>
  <c r="Q872" i="4"/>
  <c r="Q827" i="4"/>
  <c r="Q831" i="4" s="1"/>
  <c r="Y974" i="4"/>
  <c r="Y1099" i="4" s="1"/>
  <c r="Y1100" i="4"/>
  <c r="Y310" i="2"/>
  <c r="Y311" i="2" s="1"/>
  <c r="Y312" i="2" s="1"/>
  <c r="Z309" i="2"/>
  <c r="Z218" i="2"/>
  <c r="Y225" i="2"/>
  <c r="M56" i="2"/>
  <c r="K873" i="4"/>
  <c r="K884" i="4" s="1"/>
  <c r="K886" i="4" s="1"/>
  <c r="Q249" i="4"/>
  <c r="Q255" i="4" s="1"/>
  <c r="AP1008" i="3"/>
  <c r="AQ1008" i="3" s="1"/>
  <c r="AR1008" i="3" s="1"/>
  <c r="AS1008" i="3" s="1"/>
  <c r="AT1008" i="3" s="1"/>
  <c r="AU1008" i="3" s="1"/>
  <c r="AV1008" i="3" s="1"/>
  <c r="AW1008" i="3" s="1"/>
  <c r="AX1008" i="3" s="1"/>
  <c r="Q552" i="4"/>
  <c r="Q507" i="4"/>
  <c r="Q511" i="4" s="1"/>
  <c r="W338" i="4"/>
  <c r="M41" i="2"/>
  <c r="K709" i="4"/>
  <c r="K720" i="4" s="1"/>
  <c r="K722" i="4" s="1"/>
  <c r="AO631" i="3"/>
  <c r="AP631" i="3" s="1"/>
  <c r="AQ631" i="3" s="1"/>
  <c r="AR631" i="3" s="1"/>
  <c r="AS631" i="3" s="1"/>
  <c r="AT631" i="3" s="1"/>
  <c r="AU631" i="3" s="1"/>
  <c r="AV631" i="3" s="1"/>
  <c r="AW631" i="3" s="1"/>
  <c r="AX631" i="3" s="1"/>
  <c r="Y514" i="4"/>
  <c r="Y509" i="4"/>
  <c r="Y421" i="4"/>
  <c r="AA515" i="4"/>
  <c r="AA522" i="4" s="1"/>
  <c r="AA510" i="4"/>
  <c r="S34" i="4"/>
  <c r="S35" i="4" s="1"/>
  <c r="S1117" i="4"/>
  <c r="X50" i="2"/>
  <c r="W386" i="4"/>
  <c r="AQ17" i="3"/>
  <c r="AP1442" i="3"/>
  <c r="AP1397" i="3"/>
  <c r="AU505" i="3"/>
  <c r="AV505" i="3" s="1"/>
  <c r="AW505" i="3" s="1"/>
  <c r="AX505" i="3" s="1"/>
  <c r="AW273" i="3"/>
  <c r="AX273" i="3" s="1"/>
  <c r="AW488" i="3"/>
  <c r="AX488" i="3" s="1"/>
  <c r="AR488" i="3"/>
  <c r="AS488" i="3" s="1"/>
  <c r="AT488" i="3" s="1"/>
  <c r="AU488" i="3" s="1"/>
  <c r="AV488" i="3" s="1"/>
  <c r="AR77" i="3"/>
  <c r="AP382" i="3"/>
  <c r="W290" i="4"/>
  <c r="V5" i="2"/>
  <c r="V236" i="2" s="1"/>
  <c r="U3" i="2"/>
  <c r="AA282" i="2"/>
  <c r="AA149" i="2"/>
  <c r="Z219" i="2"/>
  <c r="AA219" i="2" s="1"/>
  <c r="U377" i="2"/>
  <c r="S949" i="4"/>
  <c r="Y84" i="2"/>
  <c r="W188" i="4"/>
  <c r="W238" i="4" s="1"/>
  <c r="AB412" i="4"/>
  <c r="AA33" i="10"/>
  <c r="AB413" i="4" s="1"/>
  <c r="AB419" i="4" s="1"/>
  <c r="AT1141" i="3"/>
  <c r="AR986" i="3"/>
  <c r="AS986" i="3" s="1"/>
  <c r="AT986" i="3" s="1"/>
  <c r="AU986" i="3" s="1"/>
  <c r="AV986" i="3" s="1"/>
  <c r="AW986" i="3" s="1"/>
  <c r="AX986" i="3" s="1"/>
  <c r="AQ1070" i="3"/>
  <c r="AR1070" i="3" s="1"/>
  <c r="AS1070" i="3" s="1"/>
  <c r="AT1070" i="3" s="1"/>
  <c r="AU1070" i="3" s="1"/>
  <c r="AV1070" i="3" s="1"/>
  <c r="AW1070" i="3" s="1"/>
  <c r="AX1070" i="3" s="1"/>
  <c r="J872" i="4"/>
  <c r="J827" i="4"/>
  <c r="J831" i="4" s="1"/>
  <c r="V386" i="4"/>
  <c r="AT694" i="3"/>
  <c r="AU694" i="3" s="1"/>
  <c r="AV694" i="3" s="1"/>
  <c r="AW694" i="3" s="1"/>
  <c r="AX694" i="3" s="1"/>
  <c r="AN1446" i="3"/>
  <c r="AA222" i="2" s="1"/>
  <c r="AO1443" i="3"/>
  <c r="AS733" i="3"/>
  <c r="AQ89" i="3"/>
  <c r="AR89" i="3" s="1"/>
  <c r="AS89" i="3" s="1"/>
  <c r="AT89" i="3" s="1"/>
  <c r="AU89" i="3" s="1"/>
  <c r="AV89" i="3" s="1"/>
  <c r="AW89" i="3" s="1"/>
  <c r="AX89" i="3" s="1"/>
  <c r="AC300" i="2"/>
  <c r="AB301" i="2"/>
  <c r="AB302" i="2" s="1"/>
  <c r="AB306" i="2" s="1"/>
  <c r="AC212" i="2"/>
  <c r="AC232" i="2"/>
  <c r="AB231" i="2"/>
  <c r="N872" i="4"/>
  <c r="N827" i="4"/>
  <c r="N831" i="4" s="1"/>
  <c r="V377" i="2"/>
  <c r="T949" i="4"/>
  <c r="U204" i="2"/>
  <c r="AC223" i="2"/>
  <c r="AC144" i="2" s="1"/>
  <c r="AN1421" i="3"/>
  <c r="Y166" i="4" s="1"/>
  <c r="Z418" i="4"/>
  <c r="Z415" i="4"/>
  <c r="AC197" i="2"/>
  <c r="AC156" i="2" s="1"/>
  <c r="AD198" i="2"/>
  <c r="T239" i="2"/>
  <c r="T235" i="2"/>
  <c r="T207" i="2"/>
  <c r="T205" i="2"/>
  <c r="T236" i="2"/>
  <c r="T186" i="2"/>
  <c r="T185" i="2" s="1"/>
  <c r="T206" i="2"/>
  <c r="T237" i="2"/>
  <c r="T238" i="2"/>
  <c r="T135" i="2"/>
  <c r="T203" i="2"/>
  <c r="T204" i="2"/>
  <c r="AA74" i="2"/>
  <c r="AB242" i="2"/>
  <c r="AC243" i="2"/>
  <c r="AU362" i="3"/>
  <c r="AV362" i="3" s="1"/>
  <c r="AW362" i="3"/>
  <c r="AX362" i="3" s="1"/>
  <c r="AT378" i="3"/>
  <c r="AT1164" i="3"/>
  <c r="AU1164" i="3" s="1"/>
  <c r="AV1164" i="3" s="1"/>
  <c r="AW1164" i="3" s="1"/>
  <c r="AX1164" i="3" s="1"/>
  <c r="W179" i="4"/>
  <c r="AW944" i="3"/>
  <c r="AX944" i="3" s="1"/>
  <c r="AT380" i="3"/>
  <c r="AR1079" i="3"/>
  <c r="AS1079" i="3" s="1"/>
  <c r="AT1079" i="3" s="1"/>
  <c r="AU1079" i="3" s="1"/>
  <c r="AV1079" i="3"/>
  <c r="AW1079" i="3" s="1"/>
  <c r="AX1079" i="3" s="1"/>
  <c r="U239" i="2"/>
  <c r="W322" i="4"/>
  <c r="Z1084" i="4"/>
  <c r="Z1086" i="4" s="1"/>
  <c r="AA1083" i="4" s="1"/>
  <c r="Z1054" i="4"/>
  <c r="Z1056" i="4" s="1"/>
  <c r="AA1053" i="4" s="1"/>
  <c r="Z1044" i="4"/>
  <c r="Z1046" i="4" s="1"/>
  <c r="AA1043" i="4" s="1"/>
  <c r="Z1034" i="4"/>
  <c r="Z1036" i="4" s="1"/>
  <c r="AA1033" i="4" s="1"/>
  <c r="Z994" i="4"/>
  <c r="Z996" i="4" s="1"/>
  <c r="AA993" i="4" s="1"/>
  <c r="Z984" i="4"/>
  <c r="Z986" i="4" s="1"/>
  <c r="AA983" i="4" s="1"/>
  <c r="Z759" i="4"/>
  <c r="Z1181" i="4"/>
  <c r="Z1176" i="4"/>
  <c r="Z1171" i="4"/>
  <c r="Z656" i="4"/>
  <c r="Z1089" i="4"/>
  <c r="Z1091" i="4" s="1"/>
  <c r="AA1088" i="4" s="1"/>
  <c r="Z1029" i="4"/>
  <c r="Z1031" i="4" s="1"/>
  <c r="AA1028" i="4" s="1"/>
  <c r="Z989" i="4"/>
  <c r="Z991" i="4" s="1"/>
  <c r="AA988" i="4" s="1"/>
  <c r="Z1151" i="4"/>
  <c r="Z1146" i="4"/>
  <c r="Z1161" i="4"/>
  <c r="AA10" i="4"/>
  <c r="Z1166" i="4"/>
  <c r="Z1079" i="4"/>
  <c r="Z1081" i="4" s="1"/>
  <c r="AA1078" i="4" s="1"/>
  <c r="Z1059" i="4"/>
  <c r="Z1061" i="4" s="1"/>
  <c r="AA1058" i="4" s="1"/>
  <c r="Z595" i="4"/>
  <c r="Z1039" i="4"/>
  <c r="Z1041" i="4" s="1"/>
  <c r="AA1038" i="4" s="1"/>
  <c r="Z1019" i="4"/>
  <c r="Z1021" i="4" s="1"/>
  <c r="AA1018" i="4" s="1"/>
  <c r="AB81" i="2"/>
  <c r="AB80" i="2"/>
  <c r="Z820" i="4"/>
  <c r="AU716" i="3"/>
  <c r="AV716" i="3" s="1"/>
  <c r="AW716" i="3" s="1"/>
  <c r="AX716" i="3" s="1"/>
  <c r="Q56" i="2"/>
  <c r="O873" i="4"/>
  <c r="O884" i="4" s="1"/>
  <c r="O886" i="4" s="1"/>
  <c r="S245" i="4"/>
  <c r="S198" i="4"/>
  <c r="S485" i="4"/>
  <c r="S502" i="4" s="1"/>
  <c r="S551" i="4" s="1"/>
  <c r="U25" i="2" s="1"/>
  <c r="Q708" i="4"/>
  <c r="Q663" i="4"/>
  <c r="Q667" i="4" s="1"/>
  <c r="X84" i="2"/>
  <c r="V188" i="4"/>
  <c r="V238" i="4" s="1"/>
  <c r="V179" i="4"/>
  <c r="V173" i="4"/>
  <c r="I9" i="2"/>
  <c r="K17" i="2"/>
  <c r="I17" i="2" s="1"/>
  <c r="AB32" i="10"/>
  <c r="AE101" i="2"/>
  <c r="AF101" i="2" s="1"/>
  <c r="T150" i="2"/>
  <c r="K150" i="2" s="1"/>
  <c r="K151" i="2"/>
  <c r="AS145" i="3"/>
  <c r="AT145" i="3"/>
  <c r="AA155" i="2"/>
  <c r="AA283" i="2"/>
  <c r="AO362" i="3"/>
  <c r="AP362" i="3" s="1"/>
  <c r="AQ362" i="3" s="1"/>
  <c r="AR362" i="3" s="1"/>
  <c r="AS362" i="3" s="1"/>
  <c r="AT362" i="3" s="1"/>
  <c r="AP1158" i="3"/>
  <c r="AO1427" i="3"/>
  <c r="Z163" i="4" s="1"/>
  <c r="AR337" i="3"/>
  <c r="AS337" i="3" s="1"/>
  <c r="AT337" i="3" s="1"/>
  <c r="AU337" i="3" s="1"/>
  <c r="AV337" i="3" s="1"/>
  <c r="AW337" i="3" s="1"/>
  <c r="AX337" i="3" s="1"/>
  <c r="AN1392" i="3"/>
  <c r="AV1065" i="3"/>
  <c r="AW1065" i="3" s="1"/>
  <c r="AX1065" i="3" s="1"/>
  <c r="V202" i="4"/>
  <c r="V225" i="4" s="1"/>
  <c r="V642" i="4" s="1"/>
  <c r="V659" i="4" s="1"/>
  <c r="AB208" i="2"/>
  <c r="AB147" i="2"/>
  <c r="J949" i="4"/>
  <c r="L377" i="2"/>
  <c r="X521" i="4"/>
  <c r="X519" i="4"/>
  <c r="Z344" i="2" s="1"/>
  <c r="X959" i="4"/>
  <c r="X960" i="4" s="1"/>
  <c r="X1104" i="4" s="1"/>
  <c r="X1103" i="4"/>
  <c r="N708" i="4"/>
  <c r="N663" i="4"/>
  <c r="N667" i="4" s="1"/>
  <c r="AA252" i="2"/>
  <c r="AB251" i="2"/>
  <c r="AA154" i="2"/>
  <c r="AG255" i="2"/>
  <c r="W306" i="4"/>
  <c r="U198" i="4"/>
  <c r="U245" i="4"/>
  <c r="U485" i="4"/>
  <c r="U502" i="4" s="1"/>
  <c r="U551" i="4" s="1"/>
  <c r="W25" i="2" s="1"/>
  <c r="AP1203" i="3"/>
  <c r="AV345" i="3"/>
  <c r="AW345" i="3" s="1"/>
  <c r="AX345" i="3" s="1"/>
  <c r="R282" i="4"/>
  <c r="S280" i="4" s="1"/>
  <c r="R285" i="4"/>
  <c r="R286" i="4" s="1"/>
  <c r="AO1114" i="3"/>
  <c r="AO1430" i="3" s="1"/>
  <c r="Z167" i="4" s="1"/>
  <c r="AO762" i="3"/>
  <c r="AN1415" i="3"/>
  <c r="Y164" i="4" s="1"/>
  <c r="V306" i="4"/>
  <c r="U641" i="4"/>
  <c r="U658" i="4" s="1"/>
  <c r="U707" i="4" s="1"/>
  <c r="W40" i="2" s="1"/>
  <c r="U199" i="4"/>
  <c r="U246" i="4"/>
  <c r="S528" i="4"/>
  <c r="AQ235" i="3"/>
  <c r="AR235" i="3" s="1"/>
  <c r="AS235" i="3" s="1"/>
  <c r="AT235" i="3" s="1"/>
  <c r="AU235" i="3" s="1"/>
  <c r="AV235" i="3" s="1"/>
  <c r="AW235" i="3" s="1"/>
  <c r="AX235" i="3" s="1"/>
  <c r="AU935" i="3"/>
  <c r="AV935" i="3" s="1"/>
  <c r="AW935" i="3" s="1"/>
  <c r="AX935" i="3" s="1"/>
  <c r="X135" i="2"/>
  <c r="S248" i="4"/>
  <c r="S964" i="4" s="1"/>
  <c r="R266" i="4"/>
  <c r="R269" i="4"/>
  <c r="R270" i="4" s="1"/>
  <c r="V534" i="4"/>
  <c r="V354" i="4"/>
  <c r="S377" i="2"/>
  <c r="Q949" i="4"/>
  <c r="Q952" i="4" s="1"/>
  <c r="Q955" i="4" s="1"/>
  <c r="S63" i="2" s="1"/>
  <c r="S373" i="2" s="1"/>
  <c r="S378" i="2" s="1"/>
  <c r="S379" i="2" s="1"/>
  <c r="AW1249" i="3"/>
  <c r="AX1249" i="3" s="1"/>
  <c r="N949" i="4"/>
  <c r="N952" i="4" s="1"/>
  <c r="N955" i="4" s="1"/>
  <c r="P63" i="2" s="1"/>
  <c r="P373" i="2" s="1"/>
  <c r="P378" i="2" s="1"/>
  <c r="P379" i="2" s="1"/>
  <c r="P377" i="2"/>
  <c r="V290" i="4"/>
  <c r="AQ832" i="3"/>
  <c r="AR832" i="3"/>
  <c r="AS832" i="3" s="1"/>
  <c r="AT832" i="3" s="1"/>
  <c r="AU832" i="3" s="1"/>
  <c r="AV832" i="3" s="1"/>
  <c r="AW832" i="3" s="1"/>
  <c r="AX832" i="3" s="1"/>
  <c r="J249" i="4"/>
  <c r="J255" i="4" s="1"/>
  <c r="AP81" i="3"/>
  <c r="AO1412" i="3"/>
  <c r="AA418" i="4"/>
  <c r="AA415" i="4"/>
  <c r="AN1445" i="3"/>
  <c r="AA221" i="2" s="1"/>
  <c r="AO1359" i="3"/>
  <c r="AO1406" i="3"/>
  <c r="AP184" i="3"/>
  <c r="W202" i="4"/>
  <c r="W220" i="4" s="1"/>
  <c r="U256" i="2"/>
  <c r="AP616" i="3"/>
  <c r="AQ616" i="3" s="1"/>
  <c r="AR616" i="3" s="1"/>
  <c r="AS616" i="3" s="1"/>
  <c r="AT616" i="3" s="1"/>
  <c r="AU616" i="3" s="1"/>
  <c r="AV616" i="3" s="1"/>
  <c r="AW616" i="3"/>
  <c r="AX616" i="3" s="1"/>
  <c r="Y135" i="2"/>
  <c r="S552" i="4"/>
  <c r="U26" i="2" s="1"/>
  <c r="AW72" i="3"/>
  <c r="AX72" i="3" s="1"/>
  <c r="N249" i="4"/>
  <c r="N255" i="4" s="1"/>
  <c r="AB12" i="4"/>
  <c r="AA803" i="4"/>
  <c r="AA821" i="4" s="1"/>
  <c r="AA870" i="4" s="1"/>
  <c r="AC54" i="2" s="1"/>
  <c r="AA639" i="4"/>
  <c r="AA657" i="4" s="1"/>
  <c r="AA706" i="4" s="1"/>
  <c r="AC39" i="2" s="1"/>
  <c r="AA1190" i="4"/>
  <c r="AA483" i="4"/>
  <c r="AA501" i="4" s="1"/>
  <c r="AA550" i="4" s="1"/>
  <c r="AC24" i="2" s="1"/>
  <c r="V370" i="4"/>
  <c r="AC190" i="2"/>
  <c r="AC145" i="2"/>
  <c r="AB188" i="2"/>
  <c r="Q26" i="2"/>
  <c r="O553" i="4"/>
  <c r="O564" i="4" s="1"/>
  <c r="O566" i="4" s="1"/>
  <c r="O1219" i="4" s="1"/>
  <c r="M26" i="2"/>
  <c r="K553" i="4"/>
  <c r="K564" i="4" s="1"/>
  <c r="K566" i="4" s="1"/>
  <c r="K1219" i="4" s="1"/>
  <c r="AS7" i="3"/>
  <c r="AR599" i="3"/>
  <c r="AS599" i="3" s="1"/>
  <c r="AT599" i="3" s="1"/>
  <c r="AU599" i="3" s="1"/>
  <c r="AV599" i="3" s="1"/>
  <c r="AW599" i="3"/>
  <c r="AX599" i="3" s="1"/>
  <c r="X169" i="4"/>
  <c r="Z82" i="2"/>
  <c r="Z123" i="2" s="1"/>
  <c r="Y123" i="2"/>
  <c r="U248" i="4"/>
  <c r="U964" i="4" s="1"/>
  <c r="AP264" i="3"/>
  <c r="N552" i="4"/>
  <c r="N507" i="4"/>
  <c r="N511" i="4" s="1"/>
  <c r="V322" i="4"/>
  <c r="S523" i="4"/>
  <c r="AS1049" i="3"/>
  <c r="AT1049" i="3"/>
  <c r="AU1049" i="3" s="1"/>
  <c r="AV1049" i="3" s="1"/>
  <c r="AW1049" i="3" s="1"/>
  <c r="AX1049" i="3" s="1"/>
  <c r="AQ426" i="3"/>
  <c r="AR426" i="3"/>
  <c r="AS426" i="3" s="1"/>
  <c r="AT426" i="3" s="1"/>
  <c r="AU426" i="3" s="1"/>
  <c r="AV426" i="3" s="1"/>
  <c r="R375" i="4"/>
  <c r="R377" i="4" s="1"/>
  <c r="K28" i="2"/>
  <c r="I28" i="2" s="1"/>
  <c r="R26" i="2"/>
  <c r="P553" i="4"/>
  <c r="P564" i="4" s="1"/>
  <c r="P566" i="4" s="1"/>
  <c r="P1219" i="4" s="1"/>
  <c r="AB73" i="2"/>
  <c r="Z138" i="4"/>
  <c r="U203" i="2"/>
  <c r="AR1112" i="3"/>
  <c r="AS1112" i="3" s="1"/>
  <c r="AT1112" i="3" s="1"/>
  <c r="AU1112" i="3" s="1"/>
  <c r="AV1112" i="3" s="1"/>
  <c r="AW1112" i="3" s="1"/>
  <c r="AX1112" i="3" s="1"/>
  <c r="W730" i="4"/>
  <c r="X726" i="4"/>
  <c r="X729" i="4" s="1"/>
  <c r="R301" i="4"/>
  <c r="R302" i="4" s="1"/>
  <c r="R298" i="4"/>
  <c r="S296" i="4" s="1"/>
  <c r="AA147" i="2"/>
  <c r="AA573" i="4"/>
  <c r="AA575" i="4" s="1"/>
  <c r="AA35" i="10"/>
  <c r="AB573" i="4" s="1"/>
  <c r="AB575" i="4" s="1"/>
  <c r="J708" i="4"/>
  <c r="J663" i="4"/>
  <c r="S641" i="4"/>
  <c r="S658" i="4" s="1"/>
  <c r="S707" i="4" s="1"/>
  <c r="U40" i="2" s="1"/>
  <c r="S199" i="4"/>
  <c r="S246" i="4"/>
  <c r="AR182" i="3"/>
  <c r="AP52" i="3"/>
  <c r="AO1400" i="3"/>
  <c r="AU35" i="3"/>
  <c r="AV992" i="3"/>
  <c r="Y923" i="4"/>
  <c r="Y1140" i="4"/>
  <c r="AD77" i="2"/>
  <c r="W354" i="4"/>
  <c r="AG50" i="2"/>
  <c r="AR983" i="3"/>
  <c r="AS983" i="3" s="1"/>
  <c r="AT983" i="3" s="1"/>
  <c r="AU983" i="3" s="1"/>
  <c r="AV983" i="3" s="1"/>
  <c r="AW983" i="3" s="1"/>
  <c r="AX983" i="3" s="1"/>
  <c r="AR1143" i="3"/>
  <c r="W534" i="4"/>
  <c r="X150" i="2"/>
  <c r="W216" i="4"/>
  <c r="W212" i="4" s="1"/>
  <c r="Z17" i="10"/>
  <c r="Z65" i="4"/>
  <c r="AR309" i="3"/>
  <c r="AS309" i="3" s="1"/>
  <c r="AT309" i="3" s="1"/>
  <c r="AU309" i="3" s="1"/>
  <c r="AV309" i="3" s="1"/>
  <c r="AW309" i="3" s="1"/>
  <c r="AX309" i="3" s="1"/>
  <c r="U4" i="4"/>
  <c r="T24" i="4"/>
  <c r="T26" i="4" s="1"/>
  <c r="T36" i="4" s="1"/>
  <c r="Y1222" i="4"/>
  <c r="Y1234" i="4" s="1"/>
  <c r="AQ272" i="3"/>
  <c r="AR272" i="3" s="1"/>
  <c r="AS272" i="3" s="1"/>
  <c r="AT272" i="3" s="1"/>
  <c r="AU272" i="3" s="1"/>
  <c r="AV272" i="3" s="1"/>
  <c r="AW272" i="3" s="1"/>
  <c r="AX272" i="3" s="1"/>
  <c r="R56" i="2"/>
  <c r="P873" i="4"/>
  <c r="P884" i="4" s="1"/>
  <c r="P886" i="4" s="1"/>
  <c r="AA79" i="2"/>
  <c r="Y187" i="4"/>
  <c r="AS1139" i="3"/>
  <c r="W377" i="2"/>
  <c r="U949" i="4"/>
  <c r="R41" i="2"/>
  <c r="P709" i="4"/>
  <c r="P720" i="4" s="1"/>
  <c r="P722" i="4" s="1"/>
  <c r="AW100" i="3"/>
  <c r="AX100" i="3" s="1"/>
  <c r="AA134" i="4"/>
  <c r="AB121" i="4"/>
  <c r="AV227" i="3"/>
  <c r="AW227" i="3" s="1"/>
  <c r="AX227" i="3" s="1"/>
  <c r="U127" i="2"/>
  <c r="AG152" i="4"/>
  <c r="W236" i="4"/>
  <c r="W808" i="4" s="1"/>
  <c r="W825" i="4" s="1"/>
  <c r="W234" i="4"/>
  <c r="W488" i="4" s="1"/>
  <c r="W505" i="4" s="1"/>
  <c r="W237" i="4"/>
  <c r="W947" i="4" s="1"/>
  <c r="W235" i="4"/>
  <c r="W644" i="4" s="1"/>
  <c r="W661" i="4" s="1"/>
  <c r="AE155" i="4"/>
  <c r="AF155" i="4" s="1"/>
  <c r="AO1330" i="3"/>
  <c r="AP1330" i="3" s="1"/>
  <c r="AQ1330" i="3" s="1"/>
  <c r="AR1330" i="3" s="1"/>
  <c r="AS1330" i="3" s="1"/>
  <c r="AT1330" i="3" s="1"/>
  <c r="AU1330" i="3" s="1"/>
  <c r="AV1330" i="3" s="1"/>
  <c r="AW1330" i="3" s="1"/>
  <c r="AX1330" i="3" s="1"/>
  <c r="Y148" i="4"/>
  <c r="Y150" i="4" s="1"/>
  <c r="W50" i="2"/>
  <c r="AO1418" i="3"/>
  <c r="Z165" i="4" s="1"/>
  <c r="AT594" i="3"/>
  <c r="AU594" i="3" s="1"/>
  <c r="AV594" i="3" s="1"/>
  <c r="AW594" i="3" s="1"/>
  <c r="AX594" i="3" s="1"/>
  <c r="Y382" i="2"/>
  <c r="W89" i="4"/>
  <c r="AD153" i="4"/>
  <c r="AE153" i="4" s="1"/>
  <c r="AG77" i="2" s="1"/>
  <c r="AP1129" i="3"/>
  <c r="AQ1129" i="3" s="1"/>
  <c r="AR1129" i="3" s="1"/>
  <c r="AS1129" i="3"/>
  <c r="AT1129" i="3" s="1"/>
  <c r="AU1129" i="3" s="1"/>
  <c r="AV1129" i="3" s="1"/>
  <c r="AW1129" i="3" s="1"/>
  <c r="AX1129" i="3" s="1"/>
  <c r="U50" i="2"/>
  <c r="S7" i="10"/>
  <c r="T4" i="10"/>
  <c r="V954" i="4"/>
  <c r="W953" i="4" s="1"/>
  <c r="W1107" i="4"/>
  <c r="W1110" i="4" s="1"/>
  <c r="V1111" i="4"/>
  <c r="AA50" i="2"/>
  <c r="AV1132" i="3"/>
  <c r="AW1132" i="3" s="1"/>
  <c r="AX1132" i="3" s="1"/>
  <c r="U238" i="2"/>
  <c r="AW772" i="3"/>
  <c r="AX772" i="3" s="1"/>
  <c r="S247" i="4"/>
  <c r="S200" i="4"/>
  <c r="S805" i="4"/>
  <c r="S822" i="4" s="1"/>
  <c r="S871" i="4" s="1"/>
  <c r="U55" i="2" s="1"/>
  <c r="AO472" i="3"/>
  <c r="AP472" i="3" s="1"/>
  <c r="AQ472" i="3" s="1"/>
  <c r="AR472" i="3" s="1"/>
  <c r="AS472" i="3" s="1"/>
  <c r="AT472" i="3" s="1"/>
  <c r="AU472" i="3" s="1"/>
  <c r="AV472" i="3" s="1"/>
  <c r="AW472" i="3" s="1"/>
  <c r="AX472" i="3" s="1"/>
  <c r="Z76" i="2"/>
  <c r="X186" i="4"/>
  <c r="X684" i="4"/>
  <c r="Y681" i="4" s="1"/>
  <c r="AV1327" i="3"/>
  <c r="AW1327" i="3" s="1"/>
  <c r="AX1327" i="3" s="1"/>
  <c r="AQ496" i="3"/>
  <c r="AR496" i="3" s="1"/>
  <c r="AS496" i="3" s="1"/>
  <c r="AT496" i="3" s="1"/>
  <c r="AU496" i="3" s="1"/>
  <c r="AV496" i="3" s="1"/>
  <c r="AW496" i="3" s="1"/>
  <c r="AX496" i="3" s="1"/>
  <c r="AD323" i="2"/>
  <c r="AC325" i="2"/>
  <c r="AC326" i="2" s="1"/>
  <c r="AC327" i="2" s="1"/>
  <c r="AD249" i="2"/>
  <c r="AC248" i="2"/>
  <c r="AE189" i="2"/>
  <c r="AF241" i="2"/>
  <c r="AE139" i="2"/>
  <c r="AP223" i="3"/>
  <c r="W49" i="4"/>
  <c r="W50" i="4"/>
  <c r="T843" i="4"/>
  <c r="U838" i="4" s="1"/>
  <c r="Q41" i="2"/>
  <c r="O709" i="4"/>
  <c r="O720" i="4" s="1"/>
  <c r="O722" i="4" s="1"/>
  <c r="U237" i="2"/>
  <c r="X500" i="4"/>
  <c r="X425" i="4"/>
  <c r="X433" i="4" s="1"/>
  <c r="X427" i="4" s="1"/>
  <c r="X428" i="4" s="1"/>
  <c r="X48" i="4"/>
  <c r="X203" i="4"/>
  <c r="X442" i="4"/>
  <c r="X434" i="4"/>
  <c r="X452" i="4"/>
  <c r="X467" i="4"/>
  <c r="X472" i="4"/>
  <c r="X179" i="4"/>
  <c r="X457" i="4"/>
  <c r="X462" i="4"/>
  <c r="X447" i="4"/>
  <c r="S387" i="4"/>
  <c r="S391" i="4" s="1"/>
  <c r="S259" i="4"/>
  <c r="S263" i="4" s="1"/>
  <c r="S275" i="4"/>
  <c r="S279" i="4" s="1"/>
  <c r="S291" i="4"/>
  <c r="S295" i="4" s="1"/>
  <c r="S307" i="4"/>
  <c r="S311" i="4" s="1"/>
  <c r="S371" i="4"/>
  <c r="S375" i="4" s="1"/>
  <c r="S339" i="4"/>
  <c r="S343" i="4" s="1"/>
  <c r="S355" i="4"/>
  <c r="S359" i="4" s="1"/>
  <c r="S323" i="4"/>
  <c r="S327" i="4" s="1"/>
  <c r="V50" i="4"/>
  <c r="V49" i="4"/>
  <c r="AM1447" i="3"/>
  <c r="AM1449" i="3" s="1"/>
  <c r="X187" i="4"/>
  <c r="AN1400" i="3"/>
  <c r="AN1436" i="3" s="1"/>
  <c r="AB138" i="2"/>
  <c r="Z147" i="4"/>
  <c r="AA147" i="4" s="1"/>
  <c r="AS1275" i="3"/>
  <c r="AC141" i="4"/>
  <c r="AC50" i="2"/>
  <c r="AS1030" i="3"/>
  <c r="AT1030" i="3" s="1"/>
  <c r="AU1030" i="3" s="1"/>
  <c r="AV1030" i="3" s="1"/>
  <c r="AW1030" i="3" s="1"/>
  <c r="AX1030" i="3" s="1"/>
  <c r="Z143" i="2" l="1"/>
  <c r="AD227" i="2"/>
  <c r="AC331" i="2"/>
  <c r="AC332" i="2" s="1"/>
  <c r="AC333" i="2" s="1"/>
  <c r="AD329" i="2"/>
  <c r="Z142" i="2"/>
  <c r="AC32" i="10"/>
  <c r="AE411" i="4"/>
  <c r="AF411" i="4"/>
  <c r="W845" i="4"/>
  <c r="W848" i="4" s="1"/>
  <c r="AF31" i="10"/>
  <c r="AA336" i="2"/>
  <c r="Y1257" i="4"/>
  <c r="Y1262" i="4" s="1"/>
  <c r="Y1267" i="4" s="1"/>
  <c r="AA95" i="2" s="1"/>
  <c r="T341" i="2"/>
  <c r="T365" i="2"/>
  <c r="T197" i="4"/>
  <c r="Z137" i="4"/>
  <c r="AB69" i="2" s="1"/>
  <c r="AB68" i="2"/>
  <c r="AA70" i="2"/>
  <c r="Z93" i="4"/>
  <c r="Z178" i="4" s="1"/>
  <c r="AB111" i="10"/>
  <c r="AB107" i="4"/>
  <c r="AB117" i="10"/>
  <c r="AB113" i="4"/>
  <c r="AA69" i="2"/>
  <c r="Y184" i="4"/>
  <c r="Y218" i="4" s="1"/>
  <c r="Z156" i="4"/>
  <c r="AB78" i="2" s="1"/>
  <c r="AB115" i="10"/>
  <c r="AB111" i="4"/>
  <c r="AA117" i="4"/>
  <c r="AA143" i="4" s="1"/>
  <c r="AA144" i="4" s="1"/>
  <c r="AE118" i="10"/>
  <c r="AE114" i="4"/>
  <c r="AC116" i="10"/>
  <c r="AC112" i="4"/>
  <c r="K111" i="2"/>
  <c r="I111" i="2" s="1"/>
  <c r="R949" i="4"/>
  <c r="T249" i="4"/>
  <c r="T255" i="4" s="1"/>
  <c r="R249" i="4"/>
  <c r="R255" i="4" s="1"/>
  <c r="AA82" i="2"/>
  <c r="AA123" i="2" s="1"/>
  <c r="V230" i="4"/>
  <c r="V643" i="4" s="1"/>
  <c r="V660" i="4" s="1"/>
  <c r="W180" i="4"/>
  <c r="V239" i="4"/>
  <c r="V489" i="4" s="1"/>
  <c r="V506" i="4" s="1"/>
  <c r="Y80" i="4"/>
  <c r="Y84" i="4" s="1"/>
  <c r="Y1235" i="4"/>
  <c r="S393" i="4"/>
  <c r="S397" i="4" s="1"/>
  <c r="AA10" i="2"/>
  <c r="AA9" i="2" s="1"/>
  <c r="AA17" i="2" s="1"/>
  <c r="L507" i="4"/>
  <c r="L511" i="4" s="1"/>
  <c r="L552" i="4"/>
  <c r="L249" i="4"/>
  <c r="L255" i="4" s="1"/>
  <c r="X70" i="4"/>
  <c r="N377" i="2"/>
  <c r="L949" i="4"/>
  <c r="L952" i="4" s="1"/>
  <c r="L955" i="4" s="1"/>
  <c r="N63" i="2" s="1"/>
  <c r="N373" i="2" s="1"/>
  <c r="N378" i="2" s="1"/>
  <c r="N379" i="2" s="1"/>
  <c r="L872" i="4"/>
  <c r="L827" i="4"/>
  <c r="L831" i="4" s="1"/>
  <c r="S361" i="4"/>
  <c r="S365" i="4" s="1"/>
  <c r="W353" i="2"/>
  <c r="L663" i="4"/>
  <c r="L667" i="4" s="1"/>
  <c r="L708" i="4"/>
  <c r="O377" i="2"/>
  <c r="M949" i="4"/>
  <c r="M952" i="4" s="1"/>
  <c r="M955" i="4" s="1"/>
  <c r="O63" i="2" s="1"/>
  <c r="O373" i="2" s="1"/>
  <c r="O378" i="2" s="1"/>
  <c r="O379" i="2" s="1"/>
  <c r="M708" i="4"/>
  <c r="M663" i="4"/>
  <c r="M667" i="4" s="1"/>
  <c r="S313" i="4"/>
  <c r="S317" i="4" s="1"/>
  <c r="M249" i="4"/>
  <c r="M255" i="4" s="1"/>
  <c r="I95" i="2"/>
  <c r="M872" i="4"/>
  <c r="M827" i="4"/>
  <c r="M831" i="4" s="1"/>
  <c r="M552" i="4"/>
  <c r="M507" i="4"/>
  <c r="M511" i="4" s="1"/>
  <c r="X173" i="4"/>
  <c r="X180" i="4" s="1"/>
  <c r="W341" i="2"/>
  <c r="W365" i="2"/>
  <c r="S297" i="4"/>
  <c r="S301" i="4" s="1"/>
  <c r="W231" i="4"/>
  <c r="W807" i="4" s="1"/>
  <c r="W824" i="4" s="1"/>
  <c r="W225" i="4"/>
  <c r="W642" i="4" s="1"/>
  <c r="W659" i="4" s="1"/>
  <c r="W230" i="4"/>
  <c r="W643" i="4" s="1"/>
  <c r="W660" i="4" s="1"/>
  <c r="S345" i="4"/>
  <c r="S349" i="4" s="1"/>
  <c r="W174" i="4"/>
  <c r="Y169" i="4"/>
  <c r="Z74" i="4"/>
  <c r="Z76" i="4" s="1"/>
  <c r="Z67" i="4"/>
  <c r="U234" i="2"/>
  <c r="AA148" i="4"/>
  <c r="AA150" i="4" s="1"/>
  <c r="AB147" i="4"/>
  <c r="R430" i="4"/>
  <c r="R431" i="4" s="1"/>
  <c r="R271" i="4"/>
  <c r="R272" i="4" s="1"/>
  <c r="AD412" i="4"/>
  <c r="AC33" i="10"/>
  <c r="AD413" i="4" s="1"/>
  <c r="AD419" i="4" s="1"/>
  <c r="AB221" i="2"/>
  <c r="AQ223" i="3"/>
  <c r="Y684" i="4"/>
  <c r="Z681" i="4" s="1"/>
  <c r="X89" i="4"/>
  <c r="W555" i="4"/>
  <c r="W1196" i="4"/>
  <c r="AB803" i="4"/>
  <c r="AB821" i="4" s="1"/>
  <c r="AB870" i="4" s="1"/>
  <c r="AD54" i="2" s="1"/>
  <c r="AB639" i="4"/>
  <c r="AB657" i="4" s="1"/>
  <c r="AB706" i="4" s="1"/>
  <c r="AD39" i="2" s="1"/>
  <c r="AC12" i="4"/>
  <c r="AB1190" i="4"/>
  <c r="AB483" i="4"/>
  <c r="AB501" i="4" s="1"/>
  <c r="AB550" i="4" s="1"/>
  <c r="AD24" i="2" s="1"/>
  <c r="S264" i="4"/>
  <c r="S265" i="4" s="1"/>
  <c r="S269" i="4" s="1"/>
  <c r="AT1409" i="3"/>
  <c r="AU378" i="3"/>
  <c r="AT733" i="3"/>
  <c r="AP1114" i="3"/>
  <c r="AC208" i="2"/>
  <c r="AC147" i="2" s="1"/>
  <c r="W5" i="2"/>
  <c r="V3" i="2"/>
  <c r="V237" i="2"/>
  <c r="V238" i="2"/>
  <c r="V204" i="2"/>
  <c r="AR998" i="3"/>
  <c r="X234" i="4"/>
  <c r="X488" i="4" s="1"/>
  <c r="X505" i="4" s="1"/>
  <c r="X236" i="4"/>
  <c r="X808" i="4" s="1"/>
  <c r="X825" i="4" s="1"/>
  <c r="X235" i="4"/>
  <c r="X644" i="4" s="1"/>
  <c r="X661" i="4" s="1"/>
  <c r="X237" i="4"/>
  <c r="X947" i="4" s="1"/>
  <c r="X202" i="4"/>
  <c r="X230" i="4" s="1"/>
  <c r="X643" i="4" s="1"/>
  <c r="X660" i="4" s="1"/>
  <c r="T34" i="4"/>
  <c r="T35" i="4" s="1"/>
  <c r="T1117" i="4"/>
  <c r="U202" i="2"/>
  <c r="U136" i="2"/>
  <c r="T127" i="2"/>
  <c r="T136" i="2"/>
  <c r="Y1103" i="4"/>
  <c r="Y959" i="4"/>
  <c r="Y960" i="4" s="1"/>
  <c r="AD191" i="2"/>
  <c r="AD138" i="2" s="1"/>
  <c r="AQ52" i="3"/>
  <c r="AP1443" i="3"/>
  <c r="AP1400" i="3"/>
  <c r="Q341" i="2"/>
  <c r="Q18" i="2"/>
  <c r="V203" i="2"/>
  <c r="T7" i="10"/>
  <c r="U4" i="10"/>
  <c r="AO1446" i="3"/>
  <c r="AO1447" i="3" s="1"/>
  <c r="T387" i="4"/>
  <c r="T391" i="4" s="1"/>
  <c r="T291" i="4"/>
  <c r="T295" i="4" s="1"/>
  <c r="T371" i="4"/>
  <c r="T375" i="4" s="1"/>
  <c r="T259" i="4"/>
  <c r="T263" i="4" s="1"/>
  <c r="T323" i="4"/>
  <c r="T327" i="4" s="1"/>
  <c r="T307" i="4"/>
  <c r="T311" i="4" s="1"/>
  <c r="T355" i="4"/>
  <c r="T359" i="4" s="1"/>
  <c r="T339" i="4"/>
  <c r="T343" i="4" s="1"/>
  <c r="T275" i="4"/>
  <c r="T279" i="4" s="1"/>
  <c r="V256" i="2"/>
  <c r="AB282" i="2"/>
  <c r="AB149" i="2"/>
  <c r="AP1421" i="3"/>
  <c r="AA166" i="4" s="1"/>
  <c r="AQ382" i="3"/>
  <c r="S56" i="2"/>
  <c r="Q873" i="4"/>
  <c r="Q884" i="4" s="1"/>
  <c r="Q886" i="4" s="1"/>
  <c r="AW615" i="3"/>
  <c r="AX615" i="3" s="1"/>
  <c r="R398" i="4"/>
  <c r="S329" i="4"/>
  <c r="S333" i="4" s="1"/>
  <c r="AH255" i="2"/>
  <c r="AD232" i="2"/>
  <c r="AC231" i="2"/>
  <c r="AB418" i="4"/>
  <c r="AB415" i="4"/>
  <c r="AD197" i="2"/>
  <c r="AE198" i="2"/>
  <c r="X679" i="4"/>
  <c r="Y674" i="4" s="1"/>
  <c r="X376" i="2"/>
  <c r="X354" i="4"/>
  <c r="Q353" i="2"/>
  <c r="Q33" i="2"/>
  <c r="Q349" i="2" s="1"/>
  <c r="Q354" i="2" s="1"/>
  <c r="Q355" i="2" s="1"/>
  <c r="AC121" i="4"/>
  <c r="AB134" i="4"/>
  <c r="Y237" i="4"/>
  <c r="Y947" i="4" s="1"/>
  <c r="Y236" i="4"/>
  <c r="Y808" i="4" s="1"/>
  <c r="Y825" i="4" s="1"/>
  <c r="Y234" i="4"/>
  <c r="Y488" i="4" s="1"/>
  <c r="Y505" i="4" s="1"/>
  <c r="Y235" i="4"/>
  <c r="Y644" i="4" s="1"/>
  <c r="Y661" i="4" s="1"/>
  <c r="AA17" i="10"/>
  <c r="AA65" i="4"/>
  <c r="W357" i="4"/>
  <c r="R763" i="4"/>
  <c r="R764" i="4" s="1"/>
  <c r="R813" i="4" s="1"/>
  <c r="R443" i="4"/>
  <c r="R444" i="4" s="1"/>
  <c r="R493" i="4" s="1"/>
  <c r="R547" i="4" s="1"/>
  <c r="T21" i="2" s="1"/>
  <c r="R599" i="4"/>
  <c r="R600" i="4" s="1"/>
  <c r="R649" i="4" s="1"/>
  <c r="R303" i="4"/>
  <c r="R304" i="4" s="1"/>
  <c r="S300" i="4" s="1"/>
  <c r="S1195" i="4"/>
  <c r="T518" i="4"/>
  <c r="AT7" i="3"/>
  <c r="V373" i="4"/>
  <c r="W199" i="4"/>
  <c r="W641" i="4"/>
  <c r="W658" i="4" s="1"/>
  <c r="W707" i="4" s="1"/>
  <c r="Y40" i="2" s="1"/>
  <c r="Y177" i="4"/>
  <c r="AD300" i="2"/>
  <c r="AC301" i="2"/>
  <c r="AC302" i="2" s="1"/>
  <c r="AC306" i="2" s="1"/>
  <c r="AD212" i="2"/>
  <c r="V389" i="4"/>
  <c r="AR17" i="3"/>
  <c r="AQ1442" i="3"/>
  <c r="AC73" i="2"/>
  <c r="AA138" i="4"/>
  <c r="AW992" i="3"/>
  <c r="AX992" i="3" s="1"/>
  <c r="P1220" i="4"/>
  <c r="P1223" i="4"/>
  <c r="W229" i="4"/>
  <c r="W487" i="4" s="1"/>
  <c r="W504" i="4" s="1"/>
  <c r="W224" i="4"/>
  <c r="W486" i="4" s="1"/>
  <c r="W503" i="4" s="1"/>
  <c r="W219" i="4"/>
  <c r="W227" i="4"/>
  <c r="W945" i="4" s="1"/>
  <c r="W222" i="4"/>
  <c r="W221" i="4"/>
  <c r="W226" i="4"/>
  <c r="W806" i="4" s="1"/>
  <c r="W823" i="4" s="1"/>
  <c r="V357" i="4"/>
  <c r="AC251" i="2"/>
  <c r="AB252" i="2"/>
  <c r="AB154" i="2"/>
  <c r="U341" i="2"/>
  <c r="K25" i="2"/>
  <c r="I25" i="2" s="1"/>
  <c r="M365" i="2"/>
  <c r="M48" i="2"/>
  <c r="M361" i="2" s="1"/>
  <c r="M366" i="2" s="1"/>
  <c r="M367" i="2" s="1"/>
  <c r="Z84" i="2"/>
  <c r="X188" i="4"/>
  <c r="X238" i="4" s="1"/>
  <c r="AF77" i="2"/>
  <c r="R18" i="2"/>
  <c r="R341" i="2"/>
  <c r="AQ81" i="3"/>
  <c r="AP1412" i="3"/>
  <c r="AR81" i="3"/>
  <c r="AS81" i="3" s="1"/>
  <c r="AT81" i="3" s="1"/>
  <c r="AU81" i="3" s="1"/>
  <c r="AV81" i="3" s="1"/>
  <c r="AW81" i="3" s="1"/>
  <c r="AX81" i="3" s="1"/>
  <c r="AP1444" i="3"/>
  <c r="AP1448" i="3" s="1"/>
  <c r="AC109" i="2" s="1"/>
  <c r="U249" i="4"/>
  <c r="U255" i="4" s="1"/>
  <c r="S197" i="4"/>
  <c r="W389" i="4"/>
  <c r="V341" i="4"/>
  <c r="R458" i="4"/>
  <c r="R459" i="4" s="1"/>
  <c r="R496" i="4" s="1"/>
  <c r="R778" i="4"/>
  <c r="R779" i="4" s="1"/>
  <c r="R816" i="4" s="1"/>
  <c r="R614" i="4"/>
  <c r="R615" i="4" s="1"/>
  <c r="R652" i="4" s="1"/>
  <c r="R351" i="4"/>
  <c r="R352" i="4" s="1"/>
  <c r="S348" i="4" s="1"/>
  <c r="AD141" i="4"/>
  <c r="X386" i="4"/>
  <c r="U843" i="4"/>
  <c r="V838" i="4" s="1"/>
  <c r="R365" i="2"/>
  <c r="R48" i="2"/>
  <c r="R361" i="2" s="1"/>
  <c r="R366" i="2" s="1"/>
  <c r="R367" i="2" s="1"/>
  <c r="W242" i="4"/>
  <c r="W948" i="4" s="1"/>
  <c r="W240" i="4"/>
  <c r="W645" i="4" s="1"/>
  <c r="W662" i="4" s="1"/>
  <c r="W239" i="4"/>
  <c r="W489" i="4" s="1"/>
  <c r="W506" i="4" s="1"/>
  <c r="W241" i="4"/>
  <c r="W809" i="4" s="1"/>
  <c r="W826" i="4" s="1"/>
  <c r="AQ1397" i="3"/>
  <c r="V325" i="4"/>
  <c r="AQ184" i="3"/>
  <c r="AP1406" i="3"/>
  <c r="U197" i="4"/>
  <c r="V207" i="2"/>
  <c r="V206" i="2"/>
  <c r="AQ1158" i="3"/>
  <c r="AP1427" i="3"/>
  <c r="AA163" i="4" s="1"/>
  <c r="S249" i="4"/>
  <c r="S255" i="4" s="1"/>
  <c r="T202" i="2"/>
  <c r="Z514" i="4"/>
  <c r="Z509" i="4"/>
  <c r="Z421" i="4"/>
  <c r="AB219" i="2"/>
  <c r="AC219" i="2" s="1"/>
  <c r="M33" i="2"/>
  <c r="M349" i="2" s="1"/>
  <c r="M354" i="2" s="1"/>
  <c r="M355" i="2" s="1"/>
  <c r="M353" i="2"/>
  <c r="AP1359" i="3"/>
  <c r="AQ1359" i="3" s="1"/>
  <c r="AR1359" i="3" s="1"/>
  <c r="AS1359" i="3" s="1"/>
  <c r="AT1359" i="3" s="1"/>
  <c r="AU1359" i="3" s="1"/>
  <c r="AV1359" i="3" s="1"/>
  <c r="AW1359" i="3" s="1"/>
  <c r="AX1359" i="3" s="1"/>
  <c r="V293" i="4"/>
  <c r="AF153" i="4"/>
  <c r="AH77" i="2" s="1"/>
  <c r="AO1392" i="3"/>
  <c r="AG241" i="2"/>
  <c r="AF139" i="2"/>
  <c r="W1111" i="4"/>
  <c r="W954" i="4"/>
  <c r="X953" i="4" s="1"/>
  <c r="X1107" i="4"/>
  <c r="X1110" i="4" s="1"/>
  <c r="AS1143" i="3"/>
  <c r="R436" i="4"/>
  <c r="R437" i="4" s="1"/>
  <c r="R287" i="4"/>
  <c r="R288" i="4" s="1"/>
  <c r="S284" i="4" s="1"/>
  <c r="V181" i="4"/>
  <c r="V180" i="4"/>
  <c r="V174" i="4"/>
  <c r="V189" i="4"/>
  <c r="W325" i="4"/>
  <c r="V186" i="2"/>
  <c r="V185" i="2" s="1"/>
  <c r="S26" i="2"/>
  <c r="Q553" i="4"/>
  <c r="Q564" i="4" s="1"/>
  <c r="Q566" i="4" s="1"/>
  <c r="L26" i="2"/>
  <c r="J553" i="4"/>
  <c r="J564" i="4" s="1"/>
  <c r="J566" i="4" s="1"/>
  <c r="J1219" i="4" s="1"/>
  <c r="V239" i="2"/>
  <c r="AD243" i="2"/>
  <c r="AC242" i="2"/>
  <c r="Y500" i="4"/>
  <c r="Y425" i="4"/>
  <c r="Y433" i="4" s="1"/>
  <c r="Y427" i="4" s="1"/>
  <c r="Y428" i="4" s="1"/>
  <c r="Y48" i="4"/>
  <c r="Y203" i="4"/>
  <c r="Y434" i="4"/>
  <c r="Y452" i="4"/>
  <c r="Y467" i="4"/>
  <c r="Y442" i="4"/>
  <c r="Y457" i="4"/>
  <c r="Y179" i="4"/>
  <c r="Y472" i="4"/>
  <c r="Y447" i="4"/>
  <c r="Y462" i="4"/>
  <c r="W309" i="4"/>
  <c r="V219" i="4"/>
  <c r="V229" i="4"/>
  <c r="V487" i="4" s="1"/>
  <c r="V504" i="4" s="1"/>
  <c r="V224" i="4"/>
  <c r="V486" i="4" s="1"/>
  <c r="V503" i="4" s="1"/>
  <c r="V221" i="4"/>
  <c r="V222" i="4"/>
  <c r="V227" i="4"/>
  <c r="V945" i="4" s="1"/>
  <c r="V232" i="4"/>
  <c r="V946" i="4" s="1"/>
  <c r="V226" i="4"/>
  <c r="V806" i="4" s="1"/>
  <c r="V823" i="4" s="1"/>
  <c r="V231" i="4"/>
  <c r="V807" i="4" s="1"/>
  <c r="V824" i="4" s="1"/>
  <c r="AB79" i="2"/>
  <c r="AB283" i="2"/>
  <c r="AB155" i="2"/>
  <c r="L41" i="2"/>
  <c r="J709" i="4"/>
  <c r="J720" i="4" s="1"/>
  <c r="J722" i="4" s="1"/>
  <c r="P41" i="2"/>
  <c r="N709" i="4"/>
  <c r="N720" i="4" s="1"/>
  <c r="N722" i="4" s="1"/>
  <c r="AB510" i="4"/>
  <c r="AB515" i="4"/>
  <c r="AB522" i="4" s="1"/>
  <c r="U365" i="2"/>
  <c r="K55" i="2"/>
  <c r="I55" i="2" s="1"/>
  <c r="AA76" i="2"/>
  <c r="Y186" i="4"/>
  <c r="AA514" i="4"/>
  <c r="AA509" i="4"/>
  <c r="AA421" i="4"/>
  <c r="Z923" i="4"/>
  <c r="Z1140" i="4"/>
  <c r="AU380" i="3"/>
  <c r="T234" i="2"/>
  <c r="AB74" i="2"/>
  <c r="AB35" i="10"/>
  <c r="AD190" i="2"/>
  <c r="AC188" i="2"/>
  <c r="AD145" i="2"/>
  <c r="AO1424" i="3"/>
  <c r="Z162" i="4" s="1"/>
  <c r="Z187" i="4" s="1"/>
  <c r="AU145" i="3"/>
  <c r="AV145" i="3" s="1"/>
  <c r="AW145" i="3" s="1"/>
  <c r="AX145" i="3" s="1"/>
  <c r="S41" i="2"/>
  <c r="Q709" i="4"/>
  <c r="Q720" i="4" s="1"/>
  <c r="Q722" i="4" s="1"/>
  <c r="AO1421" i="3"/>
  <c r="Z166" i="4" s="1"/>
  <c r="AO1444" i="3"/>
  <c r="AQ1203" i="3"/>
  <c r="AD156" i="2"/>
  <c r="V1098" i="4"/>
  <c r="V971" i="4"/>
  <c r="R366" i="4"/>
  <c r="X338" i="4"/>
  <c r="Z1222" i="4"/>
  <c r="Z1234" i="4" s="1"/>
  <c r="X534" i="4"/>
  <c r="Z974" i="4"/>
  <c r="Z1099" i="4" s="1"/>
  <c r="Z1100" i="4"/>
  <c r="AR1412" i="3"/>
  <c r="AS77" i="3"/>
  <c r="AT1275" i="3"/>
  <c r="AU1275" i="3" s="1"/>
  <c r="AV1275" i="3" s="1"/>
  <c r="AW1275" i="3" s="1"/>
  <c r="AX1275" i="3" s="1"/>
  <c r="X370" i="4"/>
  <c r="V240" i="4"/>
  <c r="V645" i="4" s="1"/>
  <c r="V662" i="4" s="1"/>
  <c r="AV35" i="3"/>
  <c r="AS182" i="3"/>
  <c r="X730" i="4"/>
  <c r="Y726" i="4"/>
  <c r="Y729" i="4" s="1"/>
  <c r="K1220" i="4"/>
  <c r="K1223" i="4"/>
  <c r="V555" i="4"/>
  <c r="V1196" i="4"/>
  <c r="V309" i="4"/>
  <c r="Y976" i="4"/>
  <c r="Z973" i="4" s="1"/>
  <c r="K135" i="2"/>
  <c r="AA309" i="2"/>
  <c r="AA218" i="2"/>
  <c r="Z310" i="2"/>
  <c r="Z311" i="2" s="1"/>
  <c r="Z312" i="2" s="1"/>
  <c r="Z225" i="2"/>
  <c r="K50" i="2"/>
  <c r="I50" i="2" s="1"/>
  <c r="W373" i="4"/>
  <c r="V205" i="2"/>
  <c r="X322" i="4"/>
  <c r="V241" i="4"/>
  <c r="V809" i="4" s="1"/>
  <c r="V826" i="4" s="1"/>
  <c r="V235" i="2"/>
  <c r="P26" i="2"/>
  <c r="N553" i="4"/>
  <c r="N564" i="4" s="1"/>
  <c r="N566" i="4" s="1"/>
  <c r="N1219" i="4" s="1"/>
  <c r="M18" i="2"/>
  <c r="M341" i="2"/>
  <c r="W232" i="4"/>
  <c r="W946" i="4" s="1"/>
  <c r="Q365" i="2"/>
  <c r="Q48" i="2"/>
  <c r="Q361" i="2" s="1"/>
  <c r="Q366" i="2" s="1"/>
  <c r="Q367" i="2" s="1"/>
  <c r="AA759" i="4"/>
  <c r="AA1181" i="4"/>
  <c r="AA1176" i="4"/>
  <c r="AA1089" i="4"/>
  <c r="AA1091" i="4" s="1"/>
  <c r="AB1088" i="4" s="1"/>
  <c r="AA1054" i="4"/>
  <c r="AA1056" i="4" s="1"/>
  <c r="AB1053" i="4" s="1"/>
  <c r="AA1029" i="4"/>
  <c r="AA1031" i="4" s="1"/>
  <c r="AB1028" i="4" s="1"/>
  <c r="AB10" i="4"/>
  <c r="AA1044" i="4"/>
  <c r="AA1046" i="4" s="1"/>
  <c r="AB1043" i="4" s="1"/>
  <c r="AA1161" i="4"/>
  <c r="AA595" i="4"/>
  <c r="AA984" i="4"/>
  <c r="AA986" i="4" s="1"/>
  <c r="AB983" i="4" s="1"/>
  <c r="AA1034" i="4"/>
  <c r="AA1036" i="4" s="1"/>
  <c r="AB1033" i="4" s="1"/>
  <c r="AA1151" i="4"/>
  <c r="AA1146" i="4"/>
  <c r="AA1059" i="4"/>
  <c r="AA1061" i="4" s="1"/>
  <c r="AB1058" i="4" s="1"/>
  <c r="AA656" i="4"/>
  <c r="AA994" i="4"/>
  <c r="AA996" i="4" s="1"/>
  <c r="AB993" i="4" s="1"/>
  <c r="AA1039" i="4"/>
  <c r="AA1041" i="4" s="1"/>
  <c r="AB1038" i="4" s="1"/>
  <c r="AA1171" i="4"/>
  <c r="AA1084" i="4"/>
  <c r="AA1086" i="4" s="1"/>
  <c r="AB1083" i="4" s="1"/>
  <c r="AA989" i="4"/>
  <c r="AA991" i="4" s="1"/>
  <c r="AB988" i="4" s="1"/>
  <c r="AA1166" i="4"/>
  <c r="AA1019" i="4"/>
  <c r="AA1021" i="4" s="1"/>
  <c r="AB1018" i="4" s="1"/>
  <c r="AA1079" i="4"/>
  <c r="AA1081" i="4" s="1"/>
  <c r="AB1078" i="4" s="1"/>
  <c r="AC80" i="2"/>
  <c r="AC81" i="2"/>
  <c r="AA820" i="4"/>
  <c r="L56" i="2"/>
  <c r="J873" i="4"/>
  <c r="J884" i="4" s="1"/>
  <c r="J886" i="4" s="1"/>
  <c r="AJ50" i="2"/>
  <c r="W341" i="4"/>
  <c r="AO1403" i="3"/>
  <c r="AO1436" i="3" s="1"/>
  <c r="AG101" i="2"/>
  <c r="X290" i="4"/>
  <c r="AQ264" i="3"/>
  <c r="AR264" i="3" s="1"/>
  <c r="AS264" i="3" s="1"/>
  <c r="AT264" i="3" s="1"/>
  <c r="AU264" i="3" s="1"/>
  <c r="AV264" i="3" s="1"/>
  <c r="AW264" i="3"/>
  <c r="AX264" i="3" s="1"/>
  <c r="U353" i="2"/>
  <c r="K40" i="2"/>
  <c r="I40" i="2" s="1"/>
  <c r="R605" i="4"/>
  <c r="R650" i="4" s="1"/>
  <c r="R704" i="4" s="1"/>
  <c r="T37" i="2" s="1"/>
  <c r="R449" i="4"/>
  <c r="R494" i="4" s="1"/>
  <c r="R548" i="4" s="1"/>
  <c r="T22" i="2" s="1"/>
  <c r="R319" i="4"/>
  <c r="R320" i="4" s="1"/>
  <c r="S316" i="4" s="1"/>
  <c r="R769" i="4"/>
  <c r="R814" i="4" s="1"/>
  <c r="R868" i="4" s="1"/>
  <c r="T52" i="2" s="1"/>
  <c r="AP1403" i="3"/>
  <c r="AW426" i="3"/>
  <c r="AX426" i="3" s="1"/>
  <c r="X49" i="4"/>
  <c r="X50" i="4"/>
  <c r="AF189" i="2"/>
  <c r="U24" i="4"/>
  <c r="U26" i="4" s="1"/>
  <c r="U36" i="4" s="1"/>
  <c r="V4" i="4"/>
  <c r="O1220" i="4"/>
  <c r="O1223" i="4"/>
  <c r="AU1141" i="3"/>
  <c r="R773" i="4"/>
  <c r="R774" i="4" s="1"/>
  <c r="R815" i="4" s="1"/>
  <c r="R609" i="4"/>
  <c r="R610" i="4" s="1"/>
  <c r="R651" i="4" s="1"/>
  <c r="R453" i="4"/>
  <c r="R454" i="4" s="1"/>
  <c r="R495" i="4" s="1"/>
  <c r="R335" i="4"/>
  <c r="R336" i="4" s="1"/>
  <c r="S332" i="4" s="1"/>
  <c r="R353" i="2"/>
  <c r="R33" i="2"/>
  <c r="R349" i="2" s="1"/>
  <c r="R354" i="2" s="1"/>
  <c r="R355" i="2" s="1"/>
  <c r="AN1447" i="3"/>
  <c r="AN1449" i="3" s="1"/>
  <c r="S281" i="4"/>
  <c r="S285" i="4" s="1"/>
  <c r="V220" i="4"/>
  <c r="P56" i="2"/>
  <c r="N873" i="4"/>
  <c r="N884" i="4" s="1"/>
  <c r="N886" i="4" s="1"/>
  <c r="W293" i="4"/>
  <c r="Y521" i="4"/>
  <c r="Y519" i="4"/>
  <c r="AA344" i="2" s="1"/>
  <c r="AS212" i="3"/>
  <c r="AE249" i="2"/>
  <c r="AE323" i="2"/>
  <c r="AD325" i="2"/>
  <c r="AD326" i="2" s="1"/>
  <c r="AD327" i="2" s="1"/>
  <c r="AD248" i="2"/>
  <c r="AT1139" i="3"/>
  <c r="T525" i="4"/>
  <c r="X216" i="4"/>
  <c r="X212" i="4" s="1"/>
  <c r="AO1445" i="3"/>
  <c r="V962" i="4"/>
  <c r="X306" i="4"/>
  <c r="Z148" i="4"/>
  <c r="Z150" i="4" s="1"/>
  <c r="Z380" i="2"/>
  <c r="Z17" i="2"/>
  <c r="Z382" i="2" s="1"/>
  <c r="V242" i="4"/>
  <c r="V948" i="4" s="1"/>
  <c r="R378" i="4"/>
  <c r="S376" i="4" s="1"/>
  <c r="R381" i="4"/>
  <c r="R382" i="4" s="1"/>
  <c r="AP762" i="3"/>
  <c r="AP1392" i="3" s="1"/>
  <c r="AO1415" i="3"/>
  <c r="Z164" i="4" s="1"/>
  <c r="W189" i="4"/>
  <c r="J952" i="4"/>
  <c r="J955" i="4" s="1"/>
  <c r="L63" i="2" s="1"/>
  <c r="AC412" i="4"/>
  <c r="AB33" i="10"/>
  <c r="AC413" i="4" s="1"/>
  <c r="AC419" i="4" s="1"/>
  <c r="AD32" i="10"/>
  <c r="AD223" i="2"/>
  <c r="AD144" i="2"/>
  <c r="AP1430" i="3"/>
  <c r="AA167" i="4" s="1"/>
  <c r="AS1418" i="3"/>
  <c r="AD165" i="4" s="1"/>
  <c r="AT717" i="3"/>
  <c r="AG155" i="4"/>
  <c r="AE227" i="2" l="1"/>
  <c r="AE329" i="2"/>
  <c r="AD331" i="2"/>
  <c r="AD332" i="2" s="1"/>
  <c r="AD333" i="2" s="1"/>
  <c r="AG411" i="4"/>
  <c r="X845" i="4"/>
  <c r="X848" i="4" s="1"/>
  <c r="AA111" i="2"/>
  <c r="AA151" i="2" s="1"/>
  <c r="AA150" i="2" s="1"/>
  <c r="Z80" i="4"/>
  <c r="Z84" i="4" s="1"/>
  <c r="Z1257" i="4"/>
  <c r="Z1262" i="4" s="1"/>
  <c r="Z1267" i="4" s="1"/>
  <c r="AB95" i="2" s="1"/>
  <c r="AF118" i="10"/>
  <c r="AG114" i="4" s="1"/>
  <c r="AF114" i="4"/>
  <c r="AB70" i="2"/>
  <c r="AC68" i="2"/>
  <c r="AA137" i="4"/>
  <c r="AC69" i="2" s="1"/>
  <c r="AA184" i="4"/>
  <c r="AA218" i="4" s="1"/>
  <c r="AC115" i="10"/>
  <c r="AC111" i="4"/>
  <c r="AA156" i="4"/>
  <c r="AC78" i="2" s="1"/>
  <c r="Y70" i="4"/>
  <c r="AA93" i="4"/>
  <c r="AA178" i="4" s="1"/>
  <c r="Z184" i="4"/>
  <c r="Z218" i="4" s="1"/>
  <c r="Z139" i="4"/>
  <c r="Z177" i="4" s="1"/>
  <c r="AC117" i="10"/>
  <c r="AC113" i="4"/>
  <c r="AB117" i="4"/>
  <c r="AC111" i="10"/>
  <c r="AC107" i="4"/>
  <c r="AD116" i="10"/>
  <c r="AD112" i="4"/>
  <c r="V708" i="4"/>
  <c r="X41" i="2" s="1"/>
  <c r="AA75" i="2"/>
  <c r="AA142" i="2" s="1"/>
  <c r="Y185" i="4"/>
  <c r="S394" i="4"/>
  <c r="T392" i="4" s="1"/>
  <c r="T393" i="4" s="1"/>
  <c r="T397" i="4" s="1"/>
  <c r="Z1235" i="4"/>
  <c r="X220" i="4"/>
  <c r="X199" i="4" s="1"/>
  <c r="K377" i="2"/>
  <c r="X225" i="4"/>
  <c r="X642" i="4" s="1"/>
  <c r="X659" i="4" s="1"/>
  <c r="S314" i="4"/>
  <c r="T312" i="4" s="1"/>
  <c r="T313" i="4" s="1"/>
  <c r="T317" i="4" s="1"/>
  <c r="S282" i="4"/>
  <c r="T280" i="4" s="1"/>
  <c r="T281" i="4" s="1"/>
  <c r="T285" i="4" s="1"/>
  <c r="AA380" i="2"/>
  <c r="N41" i="2"/>
  <c r="L709" i="4"/>
  <c r="L720" i="4" s="1"/>
  <c r="L722" i="4" s="1"/>
  <c r="X231" i="4"/>
  <c r="X807" i="4" s="1"/>
  <c r="X824" i="4" s="1"/>
  <c r="N26" i="2"/>
  <c r="L553" i="4"/>
  <c r="L564" i="4" s="1"/>
  <c r="L566" i="4" s="1"/>
  <c r="L1219" i="4" s="1"/>
  <c r="X232" i="4"/>
  <c r="X946" i="4" s="1"/>
  <c r="S346" i="4"/>
  <c r="T344" i="4" s="1"/>
  <c r="T345" i="4" s="1"/>
  <c r="T349" i="4" s="1"/>
  <c r="N56" i="2"/>
  <c r="L873" i="4"/>
  <c r="L884" i="4" s="1"/>
  <c r="L886" i="4" s="1"/>
  <c r="S362" i="4"/>
  <c r="T360" i="4" s="1"/>
  <c r="T361" i="4" s="1"/>
  <c r="T365" i="4" s="1"/>
  <c r="S330" i="4"/>
  <c r="T328" i="4" s="1"/>
  <c r="T329" i="4" s="1"/>
  <c r="T333" i="4" s="1"/>
  <c r="W708" i="4"/>
  <c r="Y41" i="2" s="1"/>
  <c r="Y353" i="2" s="1"/>
  <c r="S298" i="4"/>
  <c r="T296" i="4" s="1"/>
  <c r="T297" i="4" s="1"/>
  <c r="T301" i="4" s="1"/>
  <c r="M553" i="4"/>
  <c r="M564" i="4" s="1"/>
  <c r="M566" i="4" s="1"/>
  <c r="M1219" i="4" s="1"/>
  <c r="O26" i="2"/>
  <c r="O41" i="2"/>
  <c r="M709" i="4"/>
  <c r="M720" i="4" s="1"/>
  <c r="M722" i="4" s="1"/>
  <c r="M873" i="4"/>
  <c r="M884" i="4" s="1"/>
  <c r="M886" i="4" s="1"/>
  <c r="O56" i="2"/>
  <c r="X181" i="4"/>
  <c r="W552" i="4"/>
  <c r="Y26" i="2" s="1"/>
  <c r="W246" i="4"/>
  <c r="AA74" i="4"/>
  <c r="AA76" i="4" s="1"/>
  <c r="AA67" i="4"/>
  <c r="AB10" i="2"/>
  <c r="AB9" i="2" s="1"/>
  <c r="AB17" i="2" s="1"/>
  <c r="AB336" i="2"/>
  <c r="V552" i="4"/>
  <c r="X26" i="2" s="1"/>
  <c r="X174" i="4"/>
  <c r="Z237" i="4"/>
  <c r="Z947" i="4" s="1"/>
  <c r="Z236" i="4"/>
  <c r="Z808" i="4" s="1"/>
  <c r="Z825" i="4" s="1"/>
  <c r="Z235" i="4"/>
  <c r="Z644" i="4" s="1"/>
  <c r="Z661" i="4" s="1"/>
  <c r="Z234" i="4"/>
  <c r="Z488" i="4" s="1"/>
  <c r="Z505" i="4" s="1"/>
  <c r="S302" i="4"/>
  <c r="S334" i="4"/>
  <c r="T528" i="4"/>
  <c r="R703" i="4"/>
  <c r="AV1141" i="3"/>
  <c r="U275" i="4"/>
  <c r="U279" i="4" s="1"/>
  <c r="U291" i="4"/>
  <c r="U295" i="4" s="1"/>
  <c r="U307" i="4"/>
  <c r="U311" i="4" s="1"/>
  <c r="U371" i="4"/>
  <c r="U375" i="4" s="1"/>
  <c r="U259" i="4"/>
  <c r="U263" i="4" s="1"/>
  <c r="U323" i="4"/>
  <c r="U327" i="4" s="1"/>
  <c r="U339" i="4"/>
  <c r="U343" i="4" s="1"/>
  <c r="U355" i="4"/>
  <c r="U359" i="4" s="1"/>
  <c r="U387" i="4"/>
  <c r="U391" i="4" s="1"/>
  <c r="AA382" i="2"/>
  <c r="Y89" i="4"/>
  <c r="R624" i="4"/>
  <c r="R625" i="4" s="1"/>
  <c r="R654" i="4" s="1"/>
  <c r="R788" i="4"/>
  <c r="R789" i="4" s="1"/>
  <c r="R818" i="4" s="1"/>
  <c r="R468" i="4"/>
  <c r="R469" i="4" s="1"/>
  <c r="R498" i="4" s="1"/>
  <c r="R383" i="4"/>
  <c r="R384" i="4" s="1"/>
  <c r="X325" i="4"/>
  <c r="AB309" i="2"/>
  <c r="AB218" i="2"/>
  <c r="AA310" i="2"/>
  <c r="AA311" i="2" s="1"/>
  <c r="AA312" i="2" s="1"/>
  <c r="AA225" i="2"/>
  <c r="AP1424" i="3"/>
  <c r="AA162" i="4" s="1"/>
  <c r="AA187" i="4" s="1"/>
  <c r="V805" i="4"/>
  <c r="V822" i="4" s="1"/>
  <c r="V871" i="4" s="1"/>
  <c r="X55" i="2" s="1"/>
  <c r="V200" i="4"/>
  <c r="V247" i="4"/>
  <c r="V127" i="2"/>
  <c r="V136" i="2"/>
  <c r="U7" i="10"/>
  <c r="V4" i="10"/>
  <c r="Z1103" i="4"/>
  <c r="Z959" i="4"/>
  <c r="Z960" i="4" s="1"/>
  <c r="Z1104" i="4" s="1"/>
  <c r="AA521" i="4"/>
  <c r="AA519" i="4"/>
  <c r="AC344" i="2" s="1"/>
  <c r="Y354" i="4"/>
  <c r="R867" i="4"/>
  <c r="AE232" i="2"/>
  <c r="AD231" i="2"/>
  <c r="AE412" i="4"/>
  <c r="AD33" i="10"/>
  <c r="V199" i="4"/>
  <c r="V641" i="4"/>
  <c r="V658" i="4" s="1"/>
  <c r="V707" i="4" s="1"/>
  <c r="X40" i="2" s="1"/>
  <c r="V246" i="4"/>
  <c r="AR1203" i="3"/>
  <c r="AQ1424" i="3"/>
  <c r="AB162" i="4" s="1"/>
  <c r="Y306" i="4"/>
  <c r="X954" i="4"/>
  <c r="Y953" i="4" s="1"/>
  <c r="X1111" i="4"/>
  <c r="Y1107" i="4"/>
  <c r="Y1110" i="4" s="1"/>
  <c r="AC79" i="2"/>
  <c r="AW35" i="3"/>
  <c r="AX35" i="3" s="1"/>
  <c r="X1196" i="4"/>
  <c r="X555" i="4"/>
  <c r="V485" i="4"/>
  <c r="V502" i="4" s="1"/>
  <c r="V551" i="4" s="1"/>
  <c r="X25" i="2" s="1"/>
  <c r="V245" i="4"/>
  <c r="V198" i="4"/>
  <c r="Y386" i="4"/>
  <c r="AE32" i="10"/>
  <c r="Q337" i="2"/>
  <c r="Q342" i="2" s="1"/>
  <c r="Q343" i="2" s="1"/>
  <c r="Q64" i="2"/>
  <c r="AS998" i="3"/>
  <c r="Z976" i="4"/>
  <c r="AA973" i="4" s="1"/>
  <c r="Y290" i="4"/>
  <c r="W962" i="4"/>
  <c r="AH241" i="2"/>
  <c r="AG139" i="2"/>
  <c r="Z434" i="4"/>
  <c r="Z203" i="4"/>
  <c r="Z425" i="4"/>
  <c r="Z433" i="4" s="1"/>
  <c r="Z427" i="4" s="1"/>
  <c r="Z428" i="4" s="1"/>
  <c r="Z500" i="4"/>
  <c r="Z48" i="4"/>
  <c r="Z442" i="4"/>
  <c r="Z452" i="4"/>
  <c r="Z467" i="4"/>
  <c r="Z472" i="4"/>
  <c r="Z457" i="4"/>
  <c r="Z179" i="4"/>
  <c r="Z462" i="4"/>
  <c r="Z447" i="4"/>
  <c r="AQ1444" i="3"/>
  <c r="AQ1412" i="3"/>
  <c r="AS17" i="3"/>
  <c r="AR1442" i="3"/>
  <c r="AR1397" i="3"/>
  <c r="AB17" i="10"/>
  <c r="AB65" i="4"/>
  <c r="Y679" i="4"/>
  <c r="Z674" i="4" s="1"/>
  <c r="Z684" i="4"/>
  <c r="AA681" i="4" s="1"/>
  <c r="AD515" i="4"/>
  <c r="AD522" i="4" s="1"/>
  <c r="AD510" i="4"/>
  <c r="L373" i="2"/>
  <c r="AC147" i="4"/>
  <c r="AD147" i="4" s="1"/>
  <c r="AE147" i="4" s="1"/>
  <c r="AE148" i="4" s="1"/>
  <c r="AE150" i="4" s="1"/>
  <c r="AE326" i="2"/>
  <c r="AE327" i="2" s="1"/>
  <c r="AA135" i="2"/>
  <c r="AB1181" i="4"/>
  <c r="AB1176" i="4"/>
  <c r="AB1171" i="4"/>
  <c r="AB656" i="4"/>
  <c r="AB1089" i="4"/>
  <c r="AB1091" i="4" s="1"/>
  <c r="AC1088" i="4" s="1"/>
  <c r="AB1054" i="4"/>
  <c r="AB1056" i="4" s="1"/>
  <c r="AC1053" i="4" s="1"/>
  <c r="AB1034" i="4"/>
  <c r="AB1036" i="4" s="1"/>
  <c r="AC1033" i="4" s="1"/>
  <c r="AB1029" i="4"/>
  <c r="AB1031" i="4" s="1"/>
  <c r="AC1028" i="4" s="1"/>
  <c r="AB994" i="4"/>
  <c r="AB996" i="4" s="1"/>
  <c r="AC993" i="4" s="1"/>
  <c r="AB989" i="4"/>
  <c r="AB991" i="4" s="1"/>
  <c r="AC988" i="4" s="1"/>
  <c r="AB595" i="4"/>
  <c r="AC10" i="4"/>
  <c r="AB1161" i="4"/>
  <c r="AB1059" i="4"/>
  <c r="AB1061" i="4" s="1"/>
  <c r="AC1058" i="4" s="1"/>
  <c r="AB1151" i="4"/>
  <c r="AB1146" i="4"/>
  <c r="AB984" i="4"/>
  <c r="AB986" i="4" s="1"/>
  <c r="AC983" i="4" s="1"/>
  <c r="AB1019" i="4"/>
  <c r="AB1021" i="4" s="1"/>
  <c r="AC1018" i="4" s="1"/>
  <c r="AB1084" i="4"/>
  <c r="AB1086" i="4" s="1"/>
  <c r="AC1083" i="4" s="1"/>
  <c r="AB1039" i="4"/>
  <c r="AB1041" i="4" s="1"/>
  <c r="AC1038" i="4" s="1"/>
  <c r="AB759" i="4"/>
  <c r="AB1044" i="4"/>
  <c r="AB1046" i="4" s="1"/>
  <c r="AC1043" i="4" s="1"/>
  <c r="AB1166" i="4"/>
  <c r="AB1079" i="4"/>
  <c r="AB1081" i="4" s="1"/>
  <c r="AC1078" i="4" s="1"/>
  <c r="AD80" i="2"/>
  <c r="AD81" i="2"/>
  <c r="AB820" i="4"/>
  <c r="Y370" i="4"/>
  <c r="Y376" i="2"/>
  <c r="AU7" i="3"/>
  <c r="AA1222" i="4"/>
  <c r="AA1234" i="4" s="1"/>
  <c r="R473" i="4"/>
  <c r="R474" i="4" s="1"/>
  <c r="R499" i="4" s="1"/>
  <c r="R793" i="4"/>
  <c r="R794" i="4" s="1"/>
  <c r="R819" i="4" s="1"/>
  <c r="R629" i="4"/>
  <c r="R630" i="4" s="1"/>
  <c r="R655" i="4" s="1"/>
  <c r="R399" i="4"/>
  <c r="R400" i="4" s="1"/>
  <c r="S396" i="4" s="1"/>
  <c r="AU1409" i="3"/>
  <c r="AV378" i="3"/>
  <c r="AD415" i="4"/>
  <c r="AD418" i="4"/>
  <c r="X309" i="4"/>
  <c r="AF323" i="2"/>
  <c r="AE325" i="2"/>
  <c r="AE248" i="2"/>
  <c r="AF249" i="2"/>
  <c r="M337" i="2"/>
  <c r="M342" i="2" s="1"/>
  <c r="M343" i="2" s="1"/>
  <c r="M64" i="2"/>
  <c r="S353" i="2"/>
  <c r="S33" i="2"/>
  <c r="S349" i="2" s="1"/>
  <c r="S354" i="2" s="1"/>
  <c r="S355" i="2" s="1"/>
  <c r="S286" i="4"/>
  <c r="Y322" i="4"/>
  <c r="Z521" i="4"/>
  <c r="Z519" i="4"/>
  <c r="AB344" i="2" s="1"/>
  <c r="R337" i="2"/>
  <c r="R342" i="2" s="1"/>
  <c r="R343" i="2" s="1"/>
  <c r="R64" i="2"/>
  <c r="AT212" i="3"/>
  <c r="X189" i="4"/>
  <c r="S318" i="4"/>
  <c r="N1220" i="4"/>
  <c r="N1223" i="4"/>
  <c r="J1223" i="4"/>
  <c r="J1220" i="4"/>
  <c r="U137" i="2"/>
  <c r="U134" i="2" s="1"/>
  <c r="T137" i="2"/>
  <c r="T134" i="2" s="1"/>
  <c r="AE197" i="2"/>
  <c r="AF198" i="2"/>
  <c r="R403" i="4"/>
  <c r="AR223" i="3"/>
  <c r="AQ1403" i="3"/>
  <c r="R492" i="4"/>
  <c r="V944" i="4"/>
  <c r="V201" i="4"/>
  <c r="V248" i="4"/>
  <c r="V964" i="4" s="1"/>
  <c r="X293" i="4"/>
  <c r="AA923" i="4"/>
  <c r="AA1140" i="4"/>
  <c r="W248" i="4"/>
  <c r="W964" i="4" s="1"/>
  <c r="W201" i="4"/>
  <c r="W944" i="4"/>
  <c r="Y216" i="4"/>
  <c r="Y212" i="4" s="1"/>
  <c r="AT182" i="3"/>
  <c r="AA974" i="4"/>
  <c r="AA1099" i="4" s="1"/>
  <c r="AA1100" i="4"/>
  <c r="W485" i="4"/>
  <c r="W502" i="4" s="1"/>
  <c r="W551" i="4" s="1"/>
  <c r="Y25" i="2" s="1"/>
  <c r="W198" i="4"/>
  <c r="W245" i="4"/>
  <c r="Y28" i="2"/>
  <c r="AG189" i="2"/>
  <c r="AB220" i="2"/>
  <c r="AC220" i="2" s="1"/>
  <c r="AD220" i="2" s="1"/>
  <c r="AO1448" i="3"/>
  <c r="AB109" i="2" s="1"/>
  <c r="AC515" i="4"/>
  <c r="AC522" i="4" s="1"/>
  <c r="AC510" i="4"/>
  <c r="Z135" i="2"/>
  <c r="AA84" i="2"/>
  <c r="Y188" i="4"/>
  <c r="Y238" i="4" s="1"/>
  <c r="AU733" i="3"/>
  <c r="P341" i="2"/>
  <c r="P18" i="2"/>
  <c r="X341" i="4"/>
  <c r="AV380" i="3"/>
  <c r="Y202" i="4"/>
  <c r="AC252" i="2"/>
  <c r="AD251" i="2"/>
  <c r="AC154" i="2"/>
  <c r="AE212" i="2"/>
  <c r="AD301" i="2"/>
  <c r="AD302" i="2" s="1"/>
  <c r="AD306" i="2" s="1"/>
  <c r="AE300" i="2"/>
  <c r="AR52" i="3"/>
  <c r="AQ1443" i="3"/>
  <c r="AQ1448" i="3" s="1"/>
  <c r="AD109" i="2" s="1"/>
  <c r="AQ1400" i="3"/>
  <c r="S266" i="4"/>
  <c r="AB222" i="2"/>
  <c r="AC222" i="2" s="1"/>
  <c r="W4" i="4"/>
  <c r="V24" i="4"/>
  <c r="V26" i="4" s="1"/>
  <c r="V36" i="4" s="1"/>
  <c r="V234" i="2"/>
  <c r="X28" i="2"/>
  <c r="X373" i="4"/>
  <c r="Y50" i="4"/>
  <c r="Y49" i="4"/>
  <c r="Q1219" i="4"/>
  <c r="T523" i="4"/>
  <c r="AC76" i="2"/>
  <c r="AA186" i="4"/>
  <c r="Y534" i="4"/>
  <c r="U34" i="4"/>
  <c r="U35" i="4" s="1"/>
  <c r="U1117" i="4"/>
  <c r="S377" i="4"/>
  <c r="S381" i="4" s="1"/>
  <c r="R783" i="4"/>
  <c r="R784" i="4" s="1"/>
  <c r="R817" i="4" s="1"/>
  <c r="R463" i="4"/>
  <c r="R464" i="4" s="1"/>
  <c r="R497" i="4" s="1"/>
  <c r="R619" i="4"/>
  <c r="R620" i="4" s="1"/>
  <c r="R653" i="4" s="1"/>
  <c r="R367" i="4"/>
  <c r="R368" i="4" s="1"/>
  <c r="S364" i="4" s="1"/>
  <c r="V872" i="4"/>
  <c r="X56" i="2" s="1"/>
  <c r="S341" i="2"/>
  <c r="S18" i="2"/>
  <c r="AR1158" i="3"/>
  <c r="AQ1427" i="3"/>
  <c r="AB163" i="4" s="1"/>
  <c r="AD73" i="2"/>
  <c r="AB138" i="4"/>
  <c r="S365" i="2"/>
  <c r="S48" i="2"/>
  <c r="S361" i="2" s="1"/>
  <c r="S366" i="2" s="1"/>
  <c r="S367" i="2" s="1"/>
  <c r="AD208" i="2"/>
  <c r="AD147" i="2"/>
  <c r="Z726" i="4"/>
  <c r="Z729" i="4" s="1"/>
  <c r="Y730" i="4"/>
  <c r="AC282" i="2"/>
  <c r="AC149" i="2"/>
  <c r="AA500" i="4"/>
  <c r="AA425" i="4"/>
  <c r="AA433" i="4" s="1"/>
  <c r="AA427" i="4" s="1"/>
  <c r="AA428" i="4" s="1"/>
  <c r="AA48" i="4"/>
  <c r="AA203" i="4"/>
  <c r="AA442" i="4"/>
  <c r="AA452" i="4"/>
  <c r="AA434" i="4"/>
  <c r="AC84" i="2"/>
  <c r="AA457" i="4"/>
  <c r="AA467" i="4"/>
  <c r="AA472" i="4"/>
  <c r="AA447" i="4"/>
  <c r="AA462" i="4"/>
  <c r="X389" i="4"/>
  <c r="W805" i="4"/>
  <c r="W822" i="4" s="1"/>
  <c r="W871" i="4" s="1"/>
  <c r="Y55" i="2" s="1"/>
  <c r="W247" i="4"/>
  <c r="W200" i="4"/>
  <c r="AB514" i="4"/>
  <c r="AB509" i="4"/>
  <c r="AB421" i="4"/>
  <c r="L353" i="2"/>
  <c r="L33" i="2"/>
  <c r="AC283" i="2"/>
  <c r="AC155" i="2"/>
  <c r="AE141" i="4"/>
  <c r="AE223" i="2"/>
  <c r="AE144" i="2"/>
  <c r="P365" i="2"/>
  <c r="P48" i="2"/>
  <c r="P361" i="2" s="1"/>
  <c r="P366" i="2" s="1"/>
  <c r="P367" i="2" s="1"/>
  <c r="AD242" i="2"/>
  <c r="AE243" i="2"/>
  <c r="AR184" i="3"/>
  <c r="AQ1406" i="3"/>
  <c r="X357" i="4"/>
  <c r="Y1104" i="4"/>
  <c r="AU1139" i="3"/>
  <c r="AI255" i="2"/>
  <c r="W256" i="2"/>
  <c r="V202" i="2"/>
  <c r="V137" i="2" s="1"/>
  <c r="S350" i="4"/>
  <c r="AH101" i="2"/>
  <c r="AI101" i="2" s="1"/>
  <c r="Y338" i="4"/>
  <c r="AC415" i="4"/>
  <c r="AC418" i="4"/>
  <c r="Z186" i="4"/>
  <c r="AB76" i="2"/>
  <c r="AB82" i="2"/>
  <c r="Z169" i="4"/>
  <c r="L18" i="2"/>
  <c r="L341" i="2"/>
  <c r="W3" i="2"/>
  <c r="X5" i="2"/>
  <c r="W205" i="2"/>
  <c r="K205" i="2" s="1"/>
  <c r="W236" i="2"/>
  <c r="K236" i="2" s="1"/>
  <c r="W186" i="2"/>
  <c r="W204" i="2"/>
  <c r="K204" i="2" s="1"/>
  <c r="W203" i="2"/>
  <c r="W206" i="2"/>
  <c r="K206" i="2" s="1"/>
  <c r="W237" i="2"/>
  <c r="K237" i="2" s="1"/>
  <c r="W235" i="2"/>
  <c r="W238" i="2"/>
  <c r="K238" i="2" s="1"/>
  <c r="W207" i="2"/>
  <c r="K207" i="2" s="1"/>
  <c r="W239" i="2"/>
  <c r="K239" i="2" s="1"/>
  <c r="AB148" i="4"/>
  <c r="AB150" i="4" s="1"/>
  <c r="AT1418" i="3"/>
  <c r="AE165" i="4" s="1"/>
  <c r="AU717" i="3"/>
  <c r="AQ762" i="3"/>
  <c r="AP1415" i="3"/>
  <c r="AA164" i="4" s="1"/>
  <c r="L365" i="2"/>
  <c r="L48" i="2"/>
  <c r="AA143" i="2"/>
  <c r="V1101" i="4"/>
  <c r="W968" i="4"/>
  <c r="AE190" i="2"/>
  <c r="AE145" i="2"/>
  <c r="AD188" i="2"/>
  <c r="P353" i="2"/>
  <c r="P33" i="2"/>
  <c r="P349" i="2" s="1"/>
  <c r="P354" i="2" s="1"/>
  <c r="P355" i="2" s="1"/>
  <c r="V843" i="4"/>
  <c r="W838" i="4" s="1"/>
  <c r="AG153" i="4"/>
  <c r="AI77" i="2" s="1"/>
  <c r="AC74" i="2"/>
  <c r="AC134" i="4"/>
  <c r="AD121" i="4"/>
  <c r="AR382" i="3"/>
  <c r="AQ1421" i="3"/>
  <c r="AB166" i="4" s="1"/>
  <c r="AQ1114" i="3"/>
  <c r="AP1446" i="3"/>
  <c r="AP1447" i="3" s="1"/>
  <c r="AP1449" i="3" s="1"/>
  <c r="AC221" i="2"/>
  <c r="S268" i="4"/>
  <c r="S270" i="4" s="1"/>
  <c r="X242" i="4"/>
  <c r="X948" i="4" s="1"/>
  <c r="X241" i="4"/>
  <c r="X809" i="4" s="1"/>
  <c r="X826" i="4" s="1"/>
  <c r="X239" i="4"/>
  <c r="X489" i="4" s="1"/>
  <c r="X506" i="4" s="1"/>
  <c r="X240" i="4"/>
  <c r="X645" i="4" s="1"/>
  <c r="X662" i="4" s="1"/>
  <c r="AS1412" i="3"/>
  <c r="AT77" i="3"/>
  <c r="AC573" i="4"/>
  <c r="AC575" i="4" s="1"/>
  <c r="AC35" i="10"/>
  <c r="AT1143" i="3"/>
  <c r="W872" i="4"/>
  <c r="Y56" i="2" s="1"/>
  <c r="Y173" i="4"/>
  <c r="AP1445" i="3"/>
  <c r="AE191" i="2"/>
  <c r="X219" i="4"/>
  <c r="X224" i="4"/>
  <c r="X486" i="4" s="1"/>
  <c r="X503" i="4" s="1"/>
  <c r="X229" i="4"/>
  <c r="X487" i="4" s="1"/>
  <c r="X504" i="4" s="1"/>
  <c r="X226" i="4"/>
  <c r="X806" i="4" s="1"/>
  <c r="X823" i="4" s="1"/>
  <c r="X227" i="4"/>
  <c r="X945" i="4" s="1"/>
  <c r="X221" i="4"/>
  <c r="X222" i="4"/>
  <c r="AC803" i="4"/>
  <c r="AC821" i="4" s="1"/>
  <c r="AC870" i="4" s="1"/>
  <c r="AE54" i="2" s="1"/>
  <c r="AD12" i="4"/>
  <c r="AC1190" i="4"/>
  <c r="AC639" i="4"/>
  <c r="AC657" i="4" s="1"/>
  <c r="AC706" i="4" s="1"/>
  <c r="AE39" i="2" s="1"/>
  <c r="AC483" i="4"/>
  <c r="AC501" i="4" s="1"/>
  <c r="AC550" i="4" s="1"/>
  <c r="AE24" i="2" s="1"/>
  <c r="AF329" i="2" l="1"/>
  <c r="AE331" i="2"/>
  <c r="AE332" i="2" s="1"/>
  <c r="AE333" i="2" s="1"/>
  <c r="AF227" i="2"/>
  <c r="AB93" i="4"/>
  <c r="AB178" i="4" s="1"/>
  <c r="AB143" i="4"/>
  <c r="AB144" i="4" s="1"/>
  <c r="AE413" i="4"/>
  <c r="AE419" i="4" s="1"/>
  <c r="AE515" i="4" s="1"/>
  <c r="AE522" i="4" s="1"/>
  <c r="Y845" i="4"/>
  <c r="Y848" i="4" s="1"/>
  <c r="Z70" i="4"/>
  <c r="AC336" i="2"/>
  <c r="AA1257" i="4"/>
  <c r="AA1262" i="4" s="1"/>
  <c r="AA1267" i="4" s="1"/>
  <c r="AC95" i="2" s="1"/>
  <c r="AB156" i="4"/>
  <c r="AD78" i="2" s="1"/>
  <c r="AA139" i="4"/>
  <c r="AA177" i="4" s="1"/>
  <c r="AA157" i="2"/>
  <c r="Y225" i="4"/>
  <c r="Y642" i="4" s="1"/>
  <c r="Y659" i="4" s="1"/>
  <c r="AD115" i="10"/>
  <c r="AD111" i="4"/>
  <c r="K26" i="2"/>
  <c r="I26" i="2" s="1"/>
  <c r="AE116" i="10"/>
  <c r="AE112" i="4"/>
  <c r="AC70" i="2"/>
  <c r="AC117" i="4"/>
  <c r="AC143" i="4" s="1"/>
  <c r="AC144" i="4" s="1"/>
  <c r="AD111" i="10"/>
  <c r="AD107" i="4"/>
  <c r="AD68" i="2"/>
  <c r="AB137" i="4"/>
  <c r="AD69" i="2" s="1"/>
  <c r="AB75" i="2"/>
  <c r="AB142" i="2" s="1"/>
  <c r="Z185" i="4"/>
  <c r="AD117" i="10"/>
  <c r="AD113" i="4"/>
  <c r="X641" i="4"/>
  <c r="X658" i="4" s="1"/>
  <c r="X707" i="4" s="1"/>
  <c r="Z40" i="2" s="1"/>
  <c r="X708" i="4"/>
  <c r="Z41" i="2" s="1"/>
  <c r="K41" i="2"/>
  <c r="I41" i="2" s="1"/>
  <c r="AA1235" i="4"/>
  <c r="T314" i="4"/>
  <c r="U312" i="4" s="1"/>
  <c r="U313" i="4" s="1"/>
  <c r="U317" i="4" s="1"/>
  <c r="T950" i="4"/>
  <c r="U950" i="4"/>
  <c r="R869" i="4"/>
  <c r="T53" i="2" s="1"/>
  <c r="K56" i="2"/>
  <c r="I56" i="2" s="1"/>
  <c r="N341" i="2"/>
  <c r="N18" i="2"/>
  <c r="V950" i="4"/>
  <c r="L1223" i="4"/>
  <c r="L1220" i="4"/>
  <c r="N365" i="2"/>
  <c r="N48" i="2"/>
  <c r="N361" i="2" s="1"/>
  <c r="N366" i="2" s="1"/>
  <c r="N367" i="2" s="1"/>
  <c r="N33" i="2"/>
  <c r="N349" i="2" s="1"/>
  <c r="N354" i="2" s="1"/>
  <c r="N355" i="2" s="1"/>
  <c r="N353" i="2"/>
  <c r="AA80" i="4"/>
  <c r="AA84" i="4" s="1"/>
  <c r="AC10" i="2"/>
  <c r="AC9" i="2" s="1"/>
  <c r="AC17" i="2" s="1"/>
  <c r="AB380" i="2"/>
  <c r="Y230" i="4"/>
  <c r="Y643" i="4" s="1"/>
  <c r="Y660" i="4" s="1"/>
  <c r="Y220" i="4"/>
  <c r="Y199" i="4" s="1"/>
  <c r="R663" i="4"/>
  <c r="R688" i="4" s="1"/>
  <c r="R705" i="4"/>
  <c r="T38" i="2" s="1"/>
  <c r="O48" i="2"/>
  <c r="O361" i="2" s="1"/>
  <c r="O366" i="2" s="1"/>
  <c r="O367" i="2" s="1"/>
  <c r="O365" i="2"/>
  <c r="O33" i="2"/>
  <c r="O349" i="2" s="1"/>
  <c r="O354" i="2" s="1"/>
  <c r="O355" i="2" s="1"/>
  <c r="O353" i="2"/>
  <c r="O341" i="2"/>
  <c r="O18" i="2"/>
  <c r="M1223" i="4"/>
  <c r="M1220" i="4"/>
  <c r="T298" i="4"/>
  <c r="U296" i="4" s="1"/>
  <c r="U297" i="4" s="1"/>
  <c r="Z173" i="4"/>
  <c r="Z181" i="4" s="1"/>
  <c r="V197" i="4"/>
  <c r="X246" i="4"/>
  <c r="Y341" i="2"/>
  <c r="T362" i="4"/>
  <c r="U360" i="4" s="1"/>
  <c r="U361" i="4" s="1"/>
  <c r="T394" i="4"/>
  <c r="U392" i="4" s="1"/>
  <c r="U393" i="4" s="1"/>
  <c r="U397" i="4" s="1"/>
  <c r="Y365" i="2"/>
  <c r="T330" i="4"/>
  <c r="U328" i="4" s="1"/>
  <c r="U329" i="4" s="1"/>
  <c r="U333" i="4" s="1"/>
  <c r="Z376" i="2"/>
  <c r="R549" i="4"/>
  <c r="T23" i="2" s="1"/>
  <c r="AB74" i="4"/>
  <c r="AB76" i="4" s="1"/>
  <c r="AB67" i="4"/>
  <c r="R827" i="4"/>
  <c r="R831" i="4" s="1"/>
  <c r="T282" i="4"/>
  <c r="U280" i="4" s="1"/>
  <c r="U281" i="4" s="1"/>
  <c r="U285" i="4" s="1"/>
  <c r="X872" i="4"/>
  <c r="Z56" i="2" s="1"/>
  <c r="V134" i="2"/>
  <c r="AA237" i="4"/>
  <c r="AA947" i="4" s="1"/>
  <c r="AA236" i="4"/>
  <c r="AA808" i="4" s="1"/>
  <c r="AA825" i="4" s="1"/>
  <c r="AA234" i="4"/>
  <c r="AA488" i="4" s="1"/>
  <c r="AA505" i="4" s="1"/>
  <c r="AA235" i="4"/>
  <c r="AA644" i="4" s="1"/>
  <c r="AA661" i="4" s="1"/>
  <c r="AJ101" i="2"/>
  <c r="S380" i="4"/>
  <c r="R402" i="4"/>
  <c r="R404" i="4"/>
  <c r="R407" i="4" s="1"/>
  <c r="T193" i="2" s="1"/>
  <c r="S430" i="4"/>
  <c r="S431" i="4" s="1"/>
  <c r="S271" i="4"/>
  <c r="S272" i="4" s="1"/>
  <c r="AR762" i="3"/>
  <c r="AQ1415" i="3"/>
  <c r="AD283" i="2"/>
  <c r="AD155" i="2"/>
  <c r="AF197" i="2"/>
  <c r="AF156" i="2" s="1"/>
  <c r="AG198" i="2"/>
  <c r="X365" i="2"/>
  <c r="AU1418" i="3"/>
  <c r="AF165" i="4" s="1"/>
  <c r="AV717" i="3"/>
  <c r="Y341" i="4"/>
  <c r="Z338" i="4"/>
  <c r="AF412" i="4"/>
  <c r="AE33" i="10"/>
  <c r="AF413" i="4" s="1"/>
  <c r="AF419" i="4" s="1"/>
  <c r="AW1141" i="3"/>
  <c r="AX1141" i="3" s="1"/>
  <c r="AA322" i="4"/>
  <c r="X805" i="4"/>
  <c r="X822" i="4" s="1"/>
  <c r="X871" i="4" s="1"/>
  <c r="Z55" i="2" s="1"/>
  <c r="X200" i="4"/>
  <c r="X247" i="4"/>
  <c r="L337" i="2"/>
  <c r="L64" i="2"/>
  <c r="AA290" i="4"/>
  <c r="AA726" i="4"/>
  <c r="AA729" i="4" s="1"/>
  <c r="Z730" i="4"/>
  <c r="Q1220" i="4"/>
  <c r="Q1223" i="4"/>
  <c r="T264" i="4"/>
  <c r="AD509" i="4"/>
  <c r="AD514" i="4"/>
  <c r="AD421" i="4"/>
  <c r="Z322" i="4"/>
  <c r="AA534" i="4"/>
  <c r="AA179" i="4"/>
  <c r="Z290" i="4"/>
  <c r="AV1409" i="3"/>
  <c r="AW378" i="3"/>
  <c r="AX378" i="3" s="1"/>
  <c r="AC17" i="10"/>
  <c r="AC65" i="4"/>
  <c r="AT1412" i="3"/>
  <c r="AU77" i="3"/>
  <c r="AF190" i="2"/>
  <c r="AE188" i="2"/>
  <c r="AF145" i="2"/>
  <c r="AA50" i="4"/>
  <c r="AA49" i="4"/>
  <c r="AE208" i="2"/>
  <c r="AE147" i="2"/>
  <c r="S337" i="2"/>
  <c r="S342" i="2" s="1"/>
  <c r="S343" i="2" s="1"/>
  <c r="S64" i="2"/>
  <c r="Y229" i="4"/>
  <c r="Y487" i="4" s="1"/>
  <c r="Y504" i="4" s="1"/>
  <c r="Y224" i="4"/>
  <c r="Y486" i="4" s="1"/>
  <c r="Y503" i="4" s="1"/>
  <c r="Y219" i="4"/>
  <c r="Y221" i="4"/>
  <c r="Y222" i="4"/>
  <c r="Y226" i="4"/>
  <c r="Y806" i="4" s="1"/>
  <c r="Y823" i="4" s="1"/>
  <c r="Y227" i="4"/>
  <c r="Y945" i="4" s="1"/>
  <c r="AU182" i="3"/>
  <c r="Y325" i="4"/>
  <c r="AB923" i="4"/>
  <c r="AB1140" i="4"/>
  <c r="AB1222" i="4"/>
  <c r="AB1234" i="4" s="1"/>
  <c r="Z50" i="4"/>
  <c r="Z49" i="4"/>
  <c r="AD219" i="2"/>
  <c r="AE219" i="2" s="1"/>
  <c r="AC309" i="2"/>
  <c r="AC218" i="2"/>
  <c r="AB310" i="2"/>
  <c r="AB311" i="2" s="1"/>
  <c r="AB312" i="2" s="1"/>
  <c r="AC143" i="2"/>
  <c r="AB225" i="2"/>
  <c r="U525" i="4"/>
  <c r="X552" i="4"/>
  <c r="Z26" i="2" s="1"/>
  <c r="W1098" i="4"/>
  <c r="W971" i="4"/>
  <c r="AF223" i="2"/>
  <c r="AF144" i="2" s="1"/>
  <c r="AR1443" i="3"/>
  <c r="AS52" i="3"/>
  <c r="AR1400" i="3"/>
  <c r="AW380" i="3"/>
  <c r="AX380" i="3" s="1"/>
  <c r="S436" i="4"/>
  <c r="S437" i="4" s="1"/>
  <c r="S287" i="4"/>
  <c r="S288" i="4" s="1"/>
  <c r="T284" i="4" s="1"/>
  <c r="W4" i="10"/>
  <c r="V7" i="10"/>
  <c r="X245" i="4"/>
  <c r="X485" i="4"/>
  <c r="X502" i="4" s="1"/>
  <c r="X551" i="4" s="1"/>
  <c r="Z25" i="2" s="1"/>
  <c r="X198" i="4"/>
  <c r="AQ1445" i="3"/>
  <c r="AD221" i="2" s="1"/>
  <c r="AE221" i="2" s="1"/>
  <c r="W234" i="2"/>
  <c r="K234" i="2" s="1"/>
  <c r="K235" i="2"/>
  <c r="U518" i="4"/>
  <c r="T1195" i="4"/>
  <c r="S378" i="4"/>
  <c r="T376" i="4" s="1"/>
  <c r="S605" i="4"/>
  <c r="S650" i="4" s="1"/>
  <c r="S704" i="4" s="1"/>
  <c r="U37" i="2" s="1"/>
  <c r="S449" i="4"/>
  <c r="S494" i="4" s="1"/>
  <c r="S548" i="4" s="1"/>
  <c r="U22" i="2" s="1"/>
  <c r="S769" i="4"/>
  <c r="S814" i="4" s="1"/>
  <c r="S868" i="4" s="1"/>
  <c r="U52" i="2" s="1"/>
  <c r="S319" i="4"/>
  <c r="S320" i="4" s="1"/>
  <c r="T316" i="4" s="1"/>
  <c r="S398" i="4"/>
  <c r="AF147" i="4"/>
  <c r="AF148" i="4" s="1"/>
  <c r="AF150" i="4" s="1"/>
  <c r="AC148" i="4"/>
  <c r="AC150" i="4" s="1"/>
  <c r="AR1448" i="3"/>
  <c r="AE109" i="2" s="1"/>
  <c r="AT998" i="3"/>
  <c r="X962" i="4"/>
  <c r="V339" i="4"/>
  <c r="V343" i="4" s="1"/>
  <c r="V323" i="4"/>
  <c r="V327" i="4" s="1"/>
  <c r="V355" i="4"/>
  <c r="V359" i="4" s="1"/>
  <c r="V387" i="4"/>
  <c r="V391" i="4" s="1"/>
  <c r="V259" i="4"/>
  <c r="V263" i="4" s="1"/>
  <c r="V291" i="4"/>
  <c r="V295" i="4" s="1"/>
  <c r="V275" i="4"/>
  <c r="V279" i="4" s="1"/>
  <c r="V371" i="4"/>
  <c r="V375" i="4" s="1"/>
  <c r="V307" i="4"/>
  <c r="V311" i="4" s="1"/>
  <c r="AF141" i="4"/>
  <c r="AH189" i="2"/>
  <c r="AA169" i="4"/>
  <c r="AC82" i="2"/>
  <c r="AC123" i="2" s="1"/>
  <c r="AB974" i="4"/>
  <c r="AB1099" i="4" s="1"/>
  <c r="AB1100" i="4"/>
  <c r="Y293" i="4"/>
  <c r="AD803" i="4"/>
  <c r="AD821" i="4" s="1"/>
  <c r="AD870" i="4" s="1"/>
  <c r="AF54" i="2" s="1"/>
  <c r="AD639" i="4"/>
  <c r="AD657" i="4" s="1"/>
  <c r="AD706" i="4" s="1"/>
  <c r="AF39" i="2" s="1"/>
  <c r="AE12" i="4"/>
  <c r="AD1190" i="4"/>
  <c r="AD483" i="4"/>
  <c r="AD501" i="4" s="1"/>
  <c r="AD550" i="4" s="1"/>
  <c r="AF24" i="2" s="1"/>
  <c r="AA1103" i="4"/>
  <c r="AA959" i="4"/>
  <c r="AA960" i="4" s="1"/>
  <c r="Y309" i="4"/>
  <c r="AV733" i="3"/>
  <c r="AD76" i="2"/>
  <c r="AB186" i="4"/>
  <c r="AA202" i="4"/>
  <c r="AA230" i="4" s="1"/>
  <c r="AA643" i="4" s="1"/>
  <c r="AA660" i="4" s="1"/>
  <c r="Y373" i="4"/>
  <c r="AB143" i="2"/>
  <c r="AF32" i="10"/>
  <c r="X353" i="2"/>
  <c r="T36" i="2"/>
  <c r="AF191" i="2"/>
  <c r="AF138" i="2" s="1"/>
  <c r="W249" i="4"/>
  <c r="W255" i="4" s="1"/>
  <c r="V949" i="4"/>
  <c r="X377" i="2"/>
  <c r="Z202" i="4"/>
  <c r="Z220" i="4" s="1"/>
  <c r="AP1436" i="3"/>
  <c r="AE138" i="2"/>
  <c r="AS382" i="3"/>
  <c r="AR1445" i="3"/>
  <c r="AR1421" i="3"/>
  <c r="AC166" i="4" s="1"/>
  <c r="L361" i="2"/>
  <c r="X256" i="2"/>
  <c r="K256" i="2"/>
  <c r="T346" i="4"/>
  <c r="U344" i="4" s="1"/>
  <c r="U345" i="4" s="1"/>
  <c r="U349" i="4" s="1"/>
  <c r="W197" i="4"/>
  <c r="R507" i="4"/>
  <c r="R546" i="4"/>
  <c r="AU212" i="3"/>
  <c r="M281" i="2"/>
  <c r="M272" i="2"/>
  <c r="M141" i="2"/>
  <c r="M140" i="2" s="1"/>
  <c r="M161" i="2" s="1"/>
  <c r="M179" i="2" s="1"/>
  <c r="M89" i="2"/>
  <c r="M383" i="2"/>
  <c r="M88" i="2"/>
  <c r="L378" i="2"/>
  <c r="AT17" i="3"/>
  <c r="AS1397" i="3"/>
  <c r="AS1442" i="3"/>
  <c r="Q272" i="2"/>
  <c r="Q141" i="2"/>
  <c r="Q140" i="2" s="1"/>
  <c r="Q161" i="2" s="1"/>
  <c r="Q179" i="2" s="1"/>
  <c r="Q281" i="2"/>
  <c r="Q89" i="2"/>
  <c r="Q383" i="2"/>
  <c r="Q88" i="2"/>
  <c r="Y389" i="4"/>
  <c r="AD148" i="4"/>
  <c r="AD150" i="4" s="1"/>
  <c r="AO1449" i="3"/>
  <c r="AE121" i="4"/>
  <c r="AD134" i="4"/>
  <c r="W202" i="2"/>
  <c r="W137" i="2" s="1"/>
  <c r="K137" i="2" s="1"/>
  <c r="K203" i="2"/>
  <c r="AA354" i="4"/>
  <c r="Y242" i="4"/>
  <c r="Y948" i="4" s="1"/>
  <c r="Y240" i="4"/>
  <c r="Y645" i="4" s="1"/>
  <c r="Y662" i="4" s="1"/>
  <c r="Y241" i="4"/>
  <c r="Y809" i="4" s="1"/>
  <c r="Y826" i="4" s="1"/>
  <c r="Y239" i="4"/>
  <c r="Y489" i="4" s="1"/>
  <c r="Y506" i="4" s="1"/>
  <c r="AE418" i="4"/>
  <c r="X3" i="2"/>
  <c r="Y5" i="2"/>
  <c r="X203" i="2"/>
  <c r="X239" i="2"/>
  <c r="X238" i="2"/>
  <c r="X236" i="2"/>
  <c r="X206" i="2"/>
  <c r="X186" i="2"/>
  <c r="X185" i="2" s="1"/>
  <c r="X237" i="2"/>
  <c r="X235" i="2"/>
  <c r="X207" i="2"/>
  <c r="X204" i="2"/>
  <c r="X205" i="2"/>
  <c r="AD252" i="2"/>
  <c r="AD154" i="2"/>
  <c r="AE251" i="2"/>
  <c r="AA338" i="4"/>
  <c r="AB123" i="2"/>
  <c r="AB111" i="2"/>
  <c r="AB151" i="2" s="1"/>
  <c r="R281" i="2"/>
  <c r="R89" i="2"/>
  <c r="R272" i="2"/>
  <c r="R141" i="2"/>
  <c r="R140" i="2" s="1"/>
  <c r="R161" i="2" s="1"/>
  <c r="R179" i="2" s="1"/>
  <c r="R383" i="2"/>
  <c r="R88" i="2"/>
  <c r="AB84" i="2"/>
  <c r="Z188" i="4"/>
  <c r="Z238" i="4" s="1"/>
  <c r="T51" i="2"/>
  <c r="AU1143" i="3"/>
  <c r="Y357" i="4"/>
  <c r="W843" i="4"/>
  <c r="X838" i="4" s="1"/>
  <c r="AD74" i="2"/>
  <c r="Y1196" i="4"/>
  <c r="Y555" i="4"/>
  <c r="Z386" i="4"/>
  <c r="S763" i="4"/>
  <c r="S764" i="4" s="1"/>
  <c r="S813" i="4" s="1"/>
  <c r="S443" i="4"/>
  <c r="S444" i="4" s="1"/>
  <c r="S493" i="4" s="1"/>
  <c r="S547" i="4" s="1"/>
  <c r="U21" i="2" s="1"/>
  <c r="S599" i="4"/>
  <c r="S600" i="4" s="1"/>
  <c r="S649" i="4" s="1"/>
  <c r="S303" i="4"/>
  <c r="S304" i="4" s="1"/>
  <c r="T300" i="4" s="1"/>
  <c r="X944" i="4"/>
  <c r="X201" i="4"/>
  <c r="X248" i="4"/>
  <c r="X964" i="4" s="1"/>
  <c r="S458" i="4"/>
  <c r="S459" i="4" s="1"/>
  <c r="S496" i="4" s="1"/>
  <c r="S778" i="4"/>
  <c r="S779" i="4" s="1"/>
  <c r="S816" i="4" s="1"/>
  <c r="S614" i="4"/>
  <c r="S615" i="4" s="1"/>
  <c r="S652" i="4" s="1"/>
  <c r="S351" i="4"/>
  <c r="S352" i="4" s="1"/>
  <c r="T348" i="4" s="1"/>
  <c r="T350" i="4" s="1"/>
  <c r="AB48" i="4"/>
  <c r="AB500" i="4"/>
  <c r="AB425" i="4"/>
  <c r="AB433" i="4" s="1"/>
  <c r="AB427" i="4" s="1"/>
  <c r="AB428" i="4" s="1"/>
  <c r="AB203" i="4"/>
  <c r="AB434" i="4"/>
  <c r="AB467" i="4"/>
  <c r="AB472" i="4"/>
  <c r="AB457" i="4"/>
  <c r="AD84" i="2"/>
  <c r="AB442" i="4"/>
  <c r="AB452" i="4"/>
  <c r="AB462" i="4"/>
  <c r="AB447" i="4"/>
  <c r="Z679" i="4"/>
  <c r="AA674" i="4" s="1"/>
  <c r="Z370" i="4"/>
  <c r="Z28" i="2"/>
  <c r="Z534" i="4"/>
  <c r="AS1203" i="3"/>
  <c r="AR1424" i="3"/>
  <c r="AC162" i="4" s="1"/>
  <c r="AD573" i="4"/>
  <c r="AD575" i="4" s="1"/>
  <c r="AD35" i="10"/>
  <c r="AG76" i="2"/>
  <c r="AE186" i="4"/>
  <c r="AB521" i="4"/>
  <c r="AB519" i="4"/>
  <c r="AD344" i="2" s="1"/>
  <c r="AA976" i="4"/>
  <c r="AB973" i="4" s="1"/>
  <c r="Z216" i="4"/>
  <c r="Z212" i="4" s="1"/>
  <c r="AR1114" i="3"/>
  <c r="AQ1430" i="3"/>
  <c r="AB167" i="4" s="1"/>
  <c r="AB187" i="4" s="1"/>
  <c r="AQ1446" i="3"/>
  <c r="AV1139" i="3"/>
  <c r="AS1158" i="3"/>
  <c r="AR1427" i="3"/>
  <c r="AC163" i="4" s="1"/>
  <c r="S366" i="4"/>
  <c r="AE156" i="2"/>
  <c r="Y180" i="4"/>
  <c r="Y174" i="4"/>
  <c r="Y181" i="4"/>
  <c r="Y189" i="4"/>
  <c r="AE73" i="2"/>
  <c r="AC138" i="4"/>
  <c r="AC514" i="4"/>
  <c r="AC509" i="4"/>
  <c r="AC421" i="4"/>
  <c r="AA306" i="4"/>
  <c r="AF212" i="2"/>
  <c r="AE301" i="2"/>
  <c r="AE302" i="2" s="1"/>
  <c r="AE306" i="2" s="1"/>
  <c r="AF300" i="2"/>
  <c r="W949" i="4"/>
  <c r="Y377" i="2"/>
  <c r="AS223" i="3"/>
  <c r="AR1403" i="3"/>
  <c r="AG323" i="2"/>
  <c r="AF248" i="2"/>
  <c r="AF325" i="2"/>
  <c r="AF326" i="2" s="1"/>
  <c r="AF327" i="2" s="1"/>
  <c r="AG249" i="2"/>
  <c r="Z1107" i="4"/>
  <c r="Z1110" i="4" s="1"/>
  <c r="Y1111" i="4"/>
  <c r="Y954" i="4"/>
  <c r="Z953" i="4" s="1"/>
  <c r="AD282" i="2"/>
  <c r="AD149" i="2"/>
  <c r="S609" i="4"/>
  <c r="S610" i="4" s="1"/>
  <c r="S651" i="4" s="1"/>
  <c r="S453" i="4"/>
  <c r="S454" i="4" s="1"/>
  <c r="S495" i="4" s="1"/>
  <c r="S773" i="4"/>
  <c r="S774" i="4" s="1"/>
  <c r="S815" i="4" s="1"/>
  <c r="S335" i="4"/>
  <c r="S336" i="4" s="1"/>
  <c r="T332" i="4" s="1"/>
  <c r="W185" i="2"/>
  <c r="K186" i="2"/>
  <c r="Y232" i="4"/>
  <c r="Y946" i="4" s="1"/>
  <c r="AS184" i="3"/>
  <c r="AR1444" i="3"/>
  <c r="AE220" i="2" s="1"/>
  <c r="AR1406" i="3"/>
  <c r="AA386" i="4"/>
  <c r="AB382" i="2"/>
  <c r="Z89" i="4"/>
  <c r="V34" i="4"/>
  <c r="V35" i="4" s="1"/>
  <c r="V1117" i="4"/>
  <c r="P337" i="2"/>
  <c r="P342" i="2" s="1"/>
  <c r="P343" i="2" s="1"/>
  <c r="P64" i="2"/>
  <c r="AC1176" i="4"/>
  <c r="AC1171" i="4"/>
  <c r="AC1181" i="4"/>
  <c r="AC989" i="4"/>
  <c r="AC991" i="4" s="1"/>
  <c r="AD988" i="4" s="1"/>
  <c r="AC984" i="4"/>
  <c r="AC986" i="4" s="1"/>
  <c r="AD983" i="4" s="1"/>
  <c r="AC1084" i="4"/>
  <c r="AC1086" i="4" s="1"/>
  <c r="AD1083" i="4" s="1"/>
  <c r="AD10" i="4"/>
  <c r="AC1151" i="4"/>
  <c r="AC1146" i="4"/>
  <c r="AC1034" i="4"/>
  <c r="AC1036" i="4" s="1"/>
  <c r="AD1033" i="4" s="1"/>
  <c r="AC1059" i="4"/>
  <c r="AC1061" i="4" s="1"/>
  <c r="AD1058" i="4" s="1"/>
  <c r="AC595" i="4"/>
  <c r="AC994" i="4"/>
  <c r="AC996" i="4" s="1"/>
  <c r="AD993" i="4" s="1"/>
  <c r="AC1161" i="4"/>
  <c r="AC1039" i="4"/>
  <c r="AC1041" i="4" s="1"/>
  <c r="AD1038" i="4" s="1"/>
  <c r="AC1089" i="4"/>
  <c r="AC1091" i="4" s="1"/>
  <c r="AD1088" i="4" s="1"/>
  <c r="AC1044" i="4"/>
  <c r="AC1046" i="4" s="1"/>
  <c r="AD1043" i="4" s="1"/>
  <c r="AC656" i="4"/>
  <c r="AC1054" i="4"/>
  <c r="AC1056" i="4" s="1"/>
  <c r="AD1053" i="4" s="1"/>
  <c r="AC759" i="4"/>
  <c r="AC1019" i="4"/>
  <c r="AC1021" i="4" s="1"/>
  <c r="AD1018" i="4" s="1"/>
  <c r="AC1029" i="4"/>
  <c r="AC1031" i="4" s="1"/>
  <c r="AD1028" i="4" s="1"/>
  <c r="AC1166" i="4"/>
  <c r="AC1079" i="4"/>
  <c r="AC1081" i="4" s="1"/>
  <c r="AD1078" i="4" s="1"/>
  <c r="AE80" i="2"/>
  <c r="AE81" i="2"/>
  <c r="AC820" i="4"/>
  <c r="Z306" i="4"/>
  <c r="AI241" i="2"/>
  <c r="AI139" i="2" s="1"/>
  <c r="AH139" i="2"/>
  <c r="V249" i="4"/>
  <c r="V255" i="4" s="1"/>
  <c r="AF232" i="2"/>
  <c r="AE231" i="2"/>
  <c r="AQ1392" i="3"/>
  <c r="Y231" i="4"/>
  <c r="Y807" i="4" s="1"/>
  <c r="Y824" i="4" s="1"/>
  <c r="AF243" i="2"/>
  <c r="AE242" i="2"/>
  <c r="L349" i="2"/>
  <c r="AA370" i="4"/>
  <c r="W24" i="4"/>
  <c r="W26" i="4" s="1"/>
  <c r="W36" i="4" s="1"/>
  <c r="X4" i="4"/>
  <c r="AA188" i="4"/>
  <c r="AA238" i="4" s="1"/>
  <c r="AB135" i="2"/>
  <c r="AV7" i="3"/>
  <c r="AD79" i="2"/>
  <c r="AA684" i="4"/>
  <c r="AB681" i="4" s="1"/>
  <c r="Z354" i="4"/>
  <c r="X341" i="2"/>
  <c r="AG329" i="2" l="1"/>
  <c r="AG227" i="2"/>
  <c r="AF331" i="2"/>
  <c r="AF332" i="2"/>
  <c r="AF333" i="2" s="1"/>
  <c r="AE510" i="4"/>
  <c r="AE415" i="4"/>
  <c r="Z845" i="4"/>
  <c r="Z848" i="4" s="1"/>
  <c r="AC111" i="2"/>
  <c r="AC151" i="2" s="1"/>
  <c r="AC150" i="2" s="1"/>
  <c r="AB80" i="4"/>
  <c r="AB84" i="4" s="1"/>
  <c r="AB1257" i="4"/>
  <c r="AB1262" i="4" s="1"/>
  <c r="AB1267" i="4" s="1"/>
  <c r="AD95" i="2" s="1"/>
  <c r="AD111" i="2" s="1"/>
  <c r="AD151" i="2" s="1"/>
  <c r="AD150" i="2" s="1"/>
  <c r="AD117" i="4"/>
  <c r="AA173" i="4"/>
  <c r="AA180" i="4" s="1"/>
  <c r="AB139" i="4"/>
  <c r="AE111" i="10"/>
  <c r="AE107" i="4"/>
  <c r="AC137" i="4"/>
  <c r="AE69" i="2" s="1"/>
  <c r="AE68" i="2"/>
  <c r="AC75" i="2"/>
  <c r="AC142" i="2" s="1"/>
  <c r="AA185" i="4"/>
  <c r="AA225" i="4" s="1"/>
  <c r="AA642" i="4" s="1"/>
  <c r="AA659" i="4" s="1"/>
  <c r="AC156" i="4"/>
  <c r="AE78" i="2" s="1"/>
  <c r="AC93" i="4"/>
  <c r="AC178" i="4" s="1"/>
  <c r="AF116" i="10"/>
  <c r="AG112" i="4" s="1"/>
  <c r="AF112" i="4"/>
  <c r="Z180" i="4"/>
  <c r="AE117" i="10"/>
  <c r="AE113" i="4"/>
  <c r="AE115" i="10"/>
  <c r="AE111" i="4"/>
  <c r="AB157" i="2"/>
  <c r="AB184" i="4"/>
  <c r="AB218" i="4" s="1"/>
  <c r="AD70" i="2"/>
  <c r="Z353" i="2"/>
  <c r="K341" i="2"/>
  <c r="U952" i="4"/>
  <c r="U955" i="4" s="1"/>
  <c r="W63" i="2" s="1"/>
  <c r="W373" i="2" s="1"/>
  <c r="W378" i="2" s="1"/>
  <c r="W379" i="2" s="1"/>
  <c r="U961" i="4"/>
  <c r="U963" i="4" s="1"/>
  <c r="U965" i="4" s="1"/>
  <c r="R873" i="4"/>
  <c r="Y708" i="4"/>
  <c r="AA41" i="2" s="1"/>
  <c r="AB1235" i="4"/>
  <c r="W375" i="2"/>
  <c r="Y641" i="4"/>
  <c r="Y658" i="4" s="1"/>
  <c r="Y707" i="4" s="1"/>
  <c r="AA40" i="2" s="1"/>
  <c r="AC380" i="2"/>
  <c r="K353" i="2"/>
  <c r="Z365" i="2"/>
  <c r="N64" i="2"/>
  <c r="N337" i="2"/>
  <c r="K365" i="2"/>
  <c r="S950" i="4"/>
  <c r="T375" i="2"/>
  <c r="R961" i="4"/>
  <c r="R963" i="4" s="1"/>
  <c r="R965" i="4" s="1"/>
  <c r="R952" i="4"/>
  <c r="R955" i="4" s="1"/>
  <c r="T63" i="2" s="1"/>
  <c r="T373" i="2" s="1"/>
  <c r="T378" i="2" s="1"/>
  <c r="T379" i="2" s="1"/>
  <c r="T961" i="4"/>
  <c r="T963" i="4" s="1"/>
  <c r="T965" i="4" s="1"/>
  <c r="V375" i="2"/>
  <c r="T952" i="4"/>
  <c r="T955" i="4" s="1"/>
  <c r="V63" i="2" s="1"/>
  <c r="V373" i="2" s="1"/>
  <c r="V378" i="2" s="1"/>
  <c r="V379" i="2" s="1"/>
  <c r="U301" i="4"/>
  <c r="U298" i="4"/>
  <c r="V296" i="4" s="1"/>
  <c r="U365" i="4"/>
  <c r="U362" i="4"/>
  <c r="V360" i="4" s="1"/>
  <c r="V361" i="4" s="1"/>
  <c r="V365" i="4" s="1"/>
  <c r="R667" i="4"/>
  <c r="U330" i="4"/>
  <c r="V328" i="4" s="1"/>
  <c r="V329" i="4" s="1"/>
  <c r="V333" i="4" s="1"/>
  <c r="O64" i="2"/>
  <c r="O337" i="2"/>
  <c r="S403" i="4"/>
  <c r="R709" i="4"/>
  <c r="AA70" i="4"/>
  <c r="AA232" i="4"/>
  <c r="AA946" i="4" s="1"/>
  <c r="AA231" i="4"/>
  <c r="AA807" i="4" s="1"/>
  <c r="AA824" i="4" s="1"/>
  <c r="Z232" i="4"/>
  <c r="Z946" i="4" s="1"/>
  <c r="R852" i="4"/>
  <c r="R863" i="4" s="1"/>
  <c r="Z189" i="4"/>
  <c r="Y552" i="4"/>
  <c r="AA26" i="2" s="1"/>
  <c r="AD336" i="2"/>
  <c r="AD10" i="2"/>
  <c r="AD9" i="2" s="1"/>
  <c r="AD17" i="2" s="1"/>
  <c r="Z230" i="4"/>
  <c r="Z643" i="4" s="1"/>
  <c r="Z660" i="4" s="1"/>
  <c r="Z174" i="4"/>
  <c r="Z341" i="2"/>
  <c r="U282" i="4"/>
  <c r="V280" i="4" s="1"/>
  <c r="V281" i="4" s="1"/>
  <c r="V285" i="4" s="1"/>
  <c r="AC74" i="4"/>
  <c r="AC76" i="4" s="1"/>
  <c r="AC67" i="4"/>
  <c r="Y962" i="4"/>
  <c r="AA376" i="2"/>
  <c r="X234" i="2"/>
  <c r="Z199" i="4"/>
  <c r="Z641" i="4"/>
  <c r="Z658" i="4" s="1"/>
  <c r="Z707" i="4" s="1"/>
  <c r="AB40" i="2" s="1"/>
  <c r="P281" i="2"/>
  <c r="P141" i="2"/>
  <c r="P140" i="2" s="1"/>
  <c r="P161" i="2" s="1"/>
  <c r="P179" i="2" s="1"/>
  <c r="P272" i="2"/>
  <c r="P89" i="2"/>
  <c r="P383" i="2"/>
  <c r="P88" i="2"/>
  <c r="AB234" i="4"/>
  <c r="AB488" i="4" s="1"/>
  <c r="AB505" i="4" s="1"/>
  <c r="AB237" i="4"/>
  <c r="AB947" i="4" s="1"/>
  <c r="AB235" i="4"/>
  <c r="AB644" i="4" s="1"/>
  <c r="AB661" i="4" s="1"/>
  <c r="AB236" i="4"/>
  <c r="AB808" i="4" s="1"/>
  <c r="AB825" i="4" s="1"/>
  <c r="Z1111" i="4"/>
  <c r="Z954" i="4"/>
  <c r="AA953" i="4" s="1"/>
  <c r="AA1107" i="4"/>
  <c r="AA1110" i="4" s="1"/>
  <c r="AB290" i="4"/>
  <c r="R90" i="2"/>
  <c r="R93" i="2" s="1"/>
  <c r="R112" i="2"/>
  <c r="X127" i="2"/>
  <c r="AW7" i="3"/>
  <c r="AE79" i="2"/>
  <c r="AB534" i="4"/>
  <c r="T778" i="4"/>
  <c r="T779" i="4" s="1"/>
  <c r="T816" i="4" s="1"/>
  <c r="T458" i="4"/>
  <c r="T459" i="4" s="1"/>
  <c r="T496" i="4" s="1"/>
  <c r="T614" i="4"/>
  <c r="T615" i="4" s="1"/>
  <c r="T652" i="4" s="1"/>
  <c r="T351" i="4"/>
  <c r="T352" i="4" s="1"/>
  <c r="U348" i="4" s="1"/>
  <c r="U350" i="4" s="1"/>
  <c r="AB386" i="4"/>
  <c r="AA357" i="4"/>
  <c r="L366" i="2"/>
  <c r="AE76" i="2"/>
  <c r="AC186" i="4"/>
  <c r="AB370" i="4"/>
  <c r="T302" i="4"/>
  <c r="AA216" i="4"/>
  <c r="AA212" i="4" s="1"/>
  <c r="AF186" i="4"/>
  <c r="AH76" i="2"/>
  <c r="W34" i="4"/>
  <c r="W35" i="4" s="1"/>
  <c r="W1117" i="4"/>
  <c r="AH323" i="2"/>
  <c r="AG248" i="2"/>
  <c r="AG325" i="2"/>
  <c r="AG326" i="2" s="1"/>
  <c r="AG327" i="2" s="1"/>
  <c r="AH249" i="2"/>
  <c r="AE74" i="2"/>
  <c r="AT1158" i="3"/>
  <c r="AS1427" i="3"/>
  <c r="AD163" i="4" s="1"/>
  <c r="AA679" i="4"/>
  <c r="AB674" i="4" s="1"/>
  <c r="S703" i="4"/>
  <c r="AG141" i="4"/>
  <c r="AU1412" i="3"/>
  <c r="AV77" i="3"/>
  <c r="Z325" i="4"/>
  <c r="L342" i="2"/>
  <c r="R699" i="4"/>
  <c r="AB959" i="4"/>
  <c r="AB960" i="4" s="1"/>
  <c r="AB1104" i="4" s="1"/>
  <c r="AB1103" i="4"/>
  <c r="Z341" i="4"/>
  <c r="AG232" i="2"/>
  <c r="AF231" i="2"/>
  <c r="S867" i="4"/>
  <c r="T318" i="4"/>
  <c r="X197" i="4"/>
  <c r="AD500" i="4"/>
  <c r="AD425" i="4"/>
  <c r="AD433" i="4" s="1"/>
  <c r="AD427" i="4" s="1"/>
  <c r="AD428" i="4" s="1"/>
  <c r="AD203" i="4"/>
  <c r="AD48" i="4"/>
  <c r="AD434" i="4"/>
  <c r="AD467" i="4"/>
  <c r="AD442" i="4"/>
  <c r="AD457" i="4"/>
  <c r="AF84" i="2"/>
  <c r="AD452" i="4"/>
  <c r="AD472" i="4"/>
  <c r="AD462" i="4"/>
  <c r="AD447" i="4"/>
  <c r="AQ1447" i="3"/>
  <c r="AQ1449" i="3" s="1"/>
  <c r="AE573" i="4"/>
  <c r="AE575" i="4" s="1"/>
  <c r="AE35" i="10"/>
  <c r="Z389" i="4"/>
  <c r="T20" i="2"/>
  <c r="R553" i="4"/>
  <c r="R251" i="4"/>
  <c r="T350" i="2"/>
  <c r="AA229" i="4"/>
  <c r="AA487" i="4" s="1"/>
  <c r="AA504" i="4" s="1"/>
  <c r="AA219" i="4"/>
  <c r="AA221" i="4"/>
  <c r="AA222" i="4"/>
  <c r="Y485" i="4"/>
  <c r="Y502" i="4" s="1"/>
  <c r="Y551" i="4" s="1"/>
  <c r="AA25" i="2" s="1"/>
  <c r="Y245" i="4"/>
  <c r="Y198" i="4"/>
  <c r="AD521" i="4"/>
  <c r="AD519" i="4"/>
  <c r="AF344" i="2" s="1"/>
  <c r="AB164" i="4"/>
  <c r="AB169" i="4" s="1"/>
  <c r="AQ1436" i="3"/>
  <c r="AA373" i="4"/>
  <c r="T362" i="2"/>
  <c r="AF73" i="2"/>
  <c r="AD138" i="4"/>
  <c r="R532" i="4"/>
  <c r="R511" i="4"/>
  <c r="R1197" i="4"/>
  <c r="AA220" i="4"/>
  <c r="U314" i="4"/>
  <c r="V312" i="4" s="1"/>
  <c r="X249" i="4"/>
  <c r="X255" i="4" s="1"/>
  <c r="AD17" i="10"/>
  <c r="AD65" i="4"/>
  <c r="AS762" i="3"/>
  <c r="AS1392" i="3" s="1"/>
  <c r="AR1415" i="3"/>
  <c r="AC164" i="4" s="1"/>
  <c r="AR1392" i="3"/>
  <c r="AJ139" i="2"/>
  <c r="AA389" i="4"/>
  <c r="AT223" i="3"/>
  <c r="AS1403" i="3"/>
  <c r="AG212" i="2"/>
  <c r="AG300" i="2"/>
  <c r="AF301" i="2"/>
  <c r="AF302" i="2" s="1"/>
  <c r="AF306" i="2" s="1"/>
  <c r="AS1114" i="3"/>
  <c r="AR1446" i="3"/>
  <c r="AR1447" i="3" s="1"/>
  <c r="AR1449" i="3" s="1"/>
  <c r="AR1430" i="3"/>
  <c r="AC167" i="4" s="1"/>
  <c r="AB49" i="4"/>
  <c r="AB50" i="4"/>
  <c r="AE134" i="4"/>
  <c r="AF121" i="4"/>
  <c r="AE803" i="4"/>
  <c r="AE821" i="4" s="1"/>
  <c r="AE870" i="4" s="1"/>
  <c r="AG54" i="2" s="1"/>
  <c r="AF12" i="4"/>
  <c r="AE639" i="4"/>
  <c r="AE657" i="4" s="1"/>
  <c r="AE706" i="4" s="1"/>
  <c r="AG39" i="2" s="1"/>
  <c r="AE1190" i="4"/>
  <c r="AE483" i="4"/>
  <c r="AE501" i="4" s="1"/>
  <c r="AE550" i="4" s="1"/>
  <c r="AG24" i="2" s="1"/>
  <c r="AG223" i="2"/>
  <c r="AG144" i="2" s="1"/>
  <c r="AC1222" i="4"/>
  <c r="AC1234" i="4" s="1"/>
  <c r="S382" i="4"/>
  <c r="Z309" i="4"/>
  <c r="AT1203" i="3"/>
  <c r="AS1424" i="3"/>
  <c r="AD162" i="4" s="1"/>
  <c r="AA28" i="2"/>
  <c r="U346" i="4"/>
  <c r="V344" i="4" s="1"/>
  <c r="V345" i="4" s="1"/>
  <c r="V349" i="4" s="1"/>
  <c r="AG412" i="4"/>
  <c r="AF33" i="10"/>
  <c r="AG413" i="4" s="1"/>
  <c r="AG419" i="4" s="1"/>
  <c r="AB179" i="4"/>
  <c r="T377" i="4"/>
  <c r="T381" i="4" s="1"/>
  <c r="W291" i="4"/>
  <c r="W295" i="4" s="1"/>
  <c r="W307" i="4"/>
  <c r="W311" i="4" s="1"/>
  <c r="W323" i="4"/>
  <c r="W327" i="4" s="1"/>
  <c r="W259" i="4"/>
  <c r="W263" i="4" s="1"/>
  <c r="W355" i="4"/>
  <c r="W359" i="4" s="1"/>
  <c r="W275" i="4"/>
  <c r="W279" i="4" s="1"/>
  <c r="W339" i="4"/>
  <c r="W343" i="4" s="1"/>
  <c r="W387" i="4"/>
  <c r="W391" i="4" s="1"/>
  <c r="W371" i="4"/>
  <c r="W375" i="4" s="1"/>
  <c r="W1101" i="4"/>
  <c r="X968" i="4"/>
  <c r="S141" i="2"/>
  <c r="S140" i="2" s="1"/>
  <c r="S161" i="2" s="1"/>
  <c r="S179" i="2" s="1"/>
  <c r="S281" i="2"/>
  <c r="AD281" i="2" s="1"/>
  <c r="S272" i="2"/>
  <c r="T272" i="2" s="1"/>
  <c r="S89" i="2"/>
  <c r="S383" i="2"/>
  <c r="S88" i="2"/>
  <c r="T265" i="4"/>
  <c r="T269" i="4" s="1"/>
  <c r="AC521" i="4"/>
  <c r="AC519" i="4"/>
  <c r="AE344" i="2" s="1"/>
  <c r="AV182" i="3"/>
  <c r="AA293" i="4"/>
  <c r="X949" i="4"/>
  <c r="Z377" i="2"/>
  <c r="T334" i="4"/>
  <c r="AA341" i="4"/>
  <c r="X202" i="2"/>
  <c r="X137" i="2" s="1"/>
  <c r="Q90" i="2"/>
  <c r="Q93" i="2" s="1"/>
  <c r="Q112" i="2"/>
  <c r="AV212" i="3"/>
  <c r="Y248" i="4"/>
  <c r="Y964" i="4" s="1"/>
  <c r="Y201" i="4"/>
  <c r="Y944" i="4"/>
  <c r="AB322" i="4"/>
  <c r="AC382" i="2"/>
  <c r="AA89" i="4"/>
  <c r="T268" i="4"/>
  <c r="AC974" i="4"/>
  <c r="AC1099" i="4" s="1"/>
  <c r="AC1100" i="4"/>
  <c r="K185" i="2"/>
  <c r="X136" i="2"/>
  <c r="W127" i="2"/>
  <c r="W136" i="2"/>
  <c r="AC135" i="2"/>
  <c r="X843" i="4"/>
  <c r="Y838" i="4" s="1"/>
  <c r="AU998" i="3"/>
  <c r="Z373" i="4"/>
  <c r="AB338" i="4"/>
  <c r="M112" i="2"/>
  <c r="M90" i="2"/>
  <c r="M93" i="2" s="1"/>
  <c r="Z231" i="4"/>
  <c r="Z807" i="4" s="1"/>
  <c r="Z824" i="4" s="1"/>
  <c r="V952" i="4"/>
  <c r="V955" i="4" s="1"/>
  <c r="X63" i="2" s="1"/>
  <c r="X373" i="2" s="1"/>
  <c r="AB150" i="2"/>
  <c r="AA555" i="4"/>
  <c r="AA1196" i="4"/>
  <c r="L281" i="2"/>
  <c r="L272" i="2"/>
  <c r="L141" i="2"/>
  <c r="L89" i="2"/>
  <c r="L383" i="2"/>
  <c r="L88" i="2"/>
  <c r="AF510" i="4"/>
  <c r="AF515" i="4"/>
  <c r="AF522" i="4" s="1"/>
  <c r="Y4" i="4"/>
  <c r="X24" i="4"/>
  <c r="X26" i="4" s="1"/>
  <c r="X36" i="4" s="1"/>
  <c r="AD309" i="2"/>
  <c r="AD218" i="2"/>
  <c r="AC310" i="2"/>
  <c r="AC311" i="2" s="1"/>
  <c r="AC312" i="2" s="1"/>
  <c r="AC225" i="2"/>
  <c r="AG190" i="2"/>
  <c r="AF188" i="2"/>
  <c r="AG145" i="2"/>
  <c r="AF415" i="4"/>
  <c r="AF418" i="4"/>
  <c r="AH198" i="2"/>
  <c r="AG197" i="2"/>
  <c r="AG191" i="2"/>
  <c r="AA1104" i="4"/>
  <c r="S473" i="4"/>
  <c r="S474" i="4" s="1"/>
  <c r="S499" i="4" s="1"/>
  <c r="S793" i="4"/>
  <c r="S794" i="4" s="1"/>
  <c r="S819" i="4" s="1"/>
  <c r="S629" i="4"/>
  <c r="S630" i="4" s="1"/>
  <c r="S655" i="4" s="1"/>
  <c r="S399" i="4"/>
  <c r="S400" i="4" s="1"/>
  <c r="T396" i="4" s="1"/>
  <c r="Y872" i="4"/>
  <c r="AA56" i="2" s="1"/>
  <c r="AE282" i="2"/>
  <c r="AE149" i="2"/>
  <c r="AD1176" i="4"/>
  <c r="AD1171" i="4"/>
  <c r="AD1089" i="4"/>
  <c r="AD1091" i="4" s="1"/>
  <c r="AE1088" i="4" s="1"/>
  <c r="AD1079" i="4"/>
  <c r="AD1081" i="4" s="1"/>
  <c r="AE1078" i="4" s="1"/>
  <c r="AD1059" i="4"/>
  <c r="AD1061" i="4" s="1"/>
  <c r="AE1058" i="4" s="1"/>
  <c r="AD1039" i="4"/>
  <c r="AD1041" i="4" s="1"/>
  <c r="AE1038" i="4" s="1"/>
  <c r="AD1029" i="4"/>
  <c r="AD1031" i="4" s="1"/>
  <c r="AE1028" i="4" s="1"/>
  <c r="AD1019" i="4"/>
  <c r="AD1021" i="4" s="1"/>
  <c r="AE1018" i="4" s="1"/>
  <c r="AD989" i="4"/>
  <c r="AD991" i="4" s="1"/>
  <c r="AE988" i="4" s="1"/>
  <c r="AD1054" i="4"/>
  <c r="AD1056" i="4" s="1"/>
  <c r="AE1053" i="4" s="1"/>
  <c r="AD1034" i="4"/>
  <c r="AD1036" i="4" s="1"/>
  <c r="AE1033" i="4" s="1"/>
  <c r="AD994" i="4"/>
  <c r="AD996" i="4" s="1"/>
  <c r="AE993" i="4" s="1"/>
  <c r="AD1181" i="4"/>
  <c r="AD595" i="4"/>
  <c r="AD1146" i="4"/>
  <c r="AE10" i="4"/>
  <c r="AD1151" i="4"/>
  <c r="AD984" i="4"/>
  <c r="AD986" i="4" s="1"/>
  <c r="AE983" i="4" s="1"/>
  <c r="AD1084" i="4"/>
  <c r="AD1086" i="4" s="1"/>
  <c r="AE1083" i="4" s="1"/>
  <c r="AD1166" i="4"/>
  <c r="AD656" i="4"/>
  <c r="AD1044" i="4"/>
  <c r="AD1046" i="4" s="1"/>
  <c r="AE1043" i="4" s="1"/>
  <c r="AD759" i="4"/>
  <c r="AD1161" i="4"/>
  <c r="AF80" i="2"/>
  <c r="AF81" i="2"/>
  <c r="AD820" i="4"/>
  <c r="AW1139" i="3"/>
  <c r="AX1139" i="3" s="1"/>
  <c r="AV1143" i="3"/>
  <c r="AT52" i="3"/>
  <c r="AS1400" i="3"/>
  <c r="AS1443" i="3"/>
  <c r="AF219" i="2" s="1"/>
  <c r="AB202" i="4"/>
  <c r="AB231" i="4" s="1"/>
  <c r="AB807" i="4" s="1"/>
  <c r="AB824" i="4" s="1"/>
  <c r="AF251" i="2"/>
  <c r="AE154" i="2"/>
  <c r="AE252" i="2"/>
  <c r="Y3" i="2"/>
  <c r="Z5" i="2"/>
  <c r="Y236" i="2"/>
  <c r="Y237" i="2"/>
  <c r="Y239" i="2"/>
  <c r="Y238" i="2"/>
  <c r="Y235" i="2"/>
  <c r="Y186" i="2"/>
  <c r="Y185" i="2" s="1"/>
  <c r="Y136" i="2" s="1"/>
  <c r="Y204" i="2"/>
  <c r="Y206" i="2"/>
  <c r="Y207" i="2"/>
  <c r="Y205" i="2"/>
  <c r="Y203" i="2"/>
  <c r="K202" i="2"/>
  <c r="AT382" i="3"/>
  <c r="AS1421" i="3"/>
  <c r="AD166" i="4" s="1"/>
  <c r="Y805" i="4"/>
  <c r="Y822" i="4" s="1"/>
  <c r="Y871" i="4" s="1"/>
  <c r="AA55" i="2" s="1"/>
  <c r="Y200" i="4"/>
  <c r="Y247" i="4"/>
  <c r="L354" i="2"/>
  <c r="X950" i="4"/>
  <c r="AA309" i="4"/>
  <c r="S463" i="4"/>
  <c r="S464" i="4" s="1"/>
  <c r="S497" i="4" s="1"/>
  <c r="S783" i="4"/>
  <c r="S784" i="4" s="1"/>
  <c r="S817" i="4" s="1"/>
  <c r="S619" i="4"/>
  <c r="S620" i="4" s="1"/>
  <c r="S653" i="4" s="1"/>
  <c r="S367" i="4"/>
  <c r="S368" i="4" s="1"/>
  <c r="T364" i="4" s="1"/>
  <c r="AD222" i="2"/>
  <c r="AE509" i="4"/>
  <c r="AE514" i="4"/>
  <c r="AE421" i="4"/>
  <c r="AF76" i="2"/>
  <c r="AD186" i="4"/>
  <c r="X4" i="10"/>
  <c r="W7" i="10"/>
  <c r="AA325" i="4"/>
  <c r="S492" i="4"/>
  <c r="Z357" i="4"/>
  <c r="AE155" i="2"/>
  <c r="AE283" i="2"/>
  <c r="Z241" i="4"/>
  <c r="Z809" i="4" s="1"/>
  <c r="Z826" i="4" s="1"/>
  <c r="Z239" i="4"/>
  <c r="Z489" i="4" s="1"/>
  <c r="Z506" i="4" s="1"/>
  <c r="Z242" i="4"/>
  <c r="Z948" i="4" s="1"/>
  <c r="Z240" i="4"/>
  <c r="Z645" i="4" s="1"/>
  <c r="Z662" i="4" s="1"/>
  <c r="AB306" i="4"/>
  <c r="AG147" i="4"/>
  <c r="AG148" i="4" s="1"/>
  <c r="AG150" i="4" s="1"/>
  <c r="AU17" i="3"/>
  <c r="AT1442" i="3"/>
  <c r="AT1397" i="3"/>
  <c r="Z225" i="4"/>
  <c r="Z642" i="4" s="1"/>
  <c r="Z659" i="4" s="1"/>
  <c r="U394" i="4"/>
  <c r="V392" i="4" s="1"/>
  <c r="U523" i="4"/>
  <c r="AB684" i="4"/>
  <c r="AC681" i="4" s="1"/>
  <c r="AF242" i="2"/>
  <c r="AG243" i="2"/>
  <c r="AC923" i="4"/>
  <c r="AC1140" i="4"/>
  <c r="AT184" i="3"/>
  <c r="AS1444" i="3"/>
  <c r="AF220" i="2" s="1"/>
  <c r="AS1406" i="3"/>
  <c r="AC500" i="4"/>
  <c r="AC425" i="4"/>
  <c r="AC433" i="4" s="1"/>
  <c r="AC427" i="4" s="1"/>
  <c r="AC428" i="4" s="1"/>
  <c r="AC203" i="4"/>
  <c r="AC434" i="4"/>
  <c r="AC48" i="4"/>
  <c r="AC457" i="4"/>
  <c r="AC452" i="4"/>
  <c r="AC442" i="4"/>
  <c r="AE84" i="2"/>
  <c r="AC472" i="4"/>
  <c r="AC467" i="4"/>
  <c r="AC462" i="4"/>
  <c r="AC447" i="4"/>
  <c r="AB976" i="4"/>
  <c r="AC973" i="4" s="1"/>
  <c r="Z1196" i="4"/>
  <c r="Z555" i="4"/>
  <c r="AB354" i="4"/>
  <c r="L379" i="2"/>
  <c r="AW733" i="3"/>
  <c r="AX733" i="3" s="1"/>
  <c r="U528" i="4"/>
  <c r="AF208" i="2"/>
  <c r="AF147" i="2" s="1"/>
  <c r="Y246" i="4"/>
  <c r="Y256" i="2"/>
  <c r="Z224" i="4"/>
  <c r="Z486" i="4" s="1"/>
  <c r="Z503" i="4" s="1"/>
  <c r="Z229" i="4"/>
  <c r="Z487" i="4" s="1"/>
  <c r="Z504" i="4" s="1"/>
  <c r="Z219" i="4"/>
  <c r="Z221" i="4"/>
  <c r="Z222" i="4"/>
  <c r="Z226" i="4"/>
  <c r="Z806" i="4" s="1"/>
  <c r="Z823" i="4" s="1"/>
  <c r="Z227" i="4"/>
  <c r="Z945" i="4" s="1"/>
  <c r="AI189" i="2"/>
  <c r="T286" i="4"/>
  <c r="Z293" i="4"/>
  <c r="AB726" i="4"/>
  <c r="AB729" i="4" s="1"/>
  <c r="AA730" i="4"/>
  <c r="AV1418" i="3"/>
  <c r="AG165" i="4" s="1"/>
  <c r="AW717" i="3"/>
  <c r="AX717" i="3" s="1"/>
  <c r="AG331" i="2" l="1"/>
  <c r="AG332" i="2" s="1"/>
  <c r="AG333" i="2" s="1"/>
  <c r="AH227" i="2"/>
  <c r="AH329" i="2"/>
  <c r="AC139" i="4"/>
  <c r="AC177" i="4" s="1"/>
  <c r="AF68" i="2"/>
  <c r="AD143" i="4"/>
  <c r="AD144" i="4" s="1"/>
  <c r="AA845" i="4"/>
  <c r="AA848" i="4" s="1"/>
  <c r="AC184" i="4"/>
  <c r="AC218" i="4" s="1"/>
  <c r="AB70" i="4"/>
  <c r="AE336" i="2"/>
  <c r="AC1257" i="4"/>
  <c r="AC1262" i="4" s="1"/>
  <c r="AC1267" i="4" s="1"/>
  <c r="AE95" i="2" s="1"/>
  <c r="AE111" i="2" s="1"/>
  <c r="AE151" i="2" s="1"/>
  <c r="AE150" i="2" s="1"/>
  <c r="AA226" i="4"/>
  <c r="AA806" i="4" s="1"/>
  <c r="AA823" i="4" s="1"/>
  <c r="AB230" i="4"/>
  <c r="AB643" i="4" s="1"/>
  <c r="AB660" i="4" s="1"/>
  <c r="AA227" i="4"/>
  <c r="AA945" i="4" s="1"/>
  <c r="AB173" i="4"/>
  <c r="AD93" i="4"/>
  <c r="AD178" i="4" s="1"/>
  <c r="AD156" i="4"/>
  <c r="AF78" i="2" s="1"/>
  <c r="AA181" i="4"/>
  <c r="AD137" i="4"/>
  <c r="AF69" i="2" s="1"/>
  <c r="AA189" i="4"/>
  <c r="AA224" i="4"/>
  <c r="AA486" i="4" s="1"/>
  <c r="AA503" i="4" s="1"/>
  <c r="AC157" i="2"/>
  <c r="AD75" i="2"/>
  <c r="AD142" i="2" s="1"/>
  <c r="AB185" i="4"/>
  <c r="AB226" i="4" s="1"/>
  <c r="AB806" i="4" s="1"/>
  <c r="AB823" i="4" s="1"/>
  <c r="AA174" i="4"/>
  <c r="AE70" i="2"/>
  <c r="AF115" i="10"/>
  <c r="AG111" i="4" s="1"/>
  <c r="AF111" i="4"/>
  <c r="AA353" i="2"/>
  <c r="AF117" i="10"/>
  <c r="AG113" i="4" s="1"/>
  <c r="AF113" i="4"/>
  <c r="AE117" i="4"/>
  <c r="AE143" i="4" s="1"/>
  <c r="AE144" i="4" s="1"/>
  <c r="AF111" i="10"/>
  <c r="AG107" i="4" s="1"/>
  <c r="AF107" i="4"/>
  <c r="AD380" i="2"/>
  <c r="AC1235" i="4"/>
  <c r="V297" i="4"/>
  <c r="V301" i="4" s="1"/>
  <c r="N342" i="2"/>
  <c r="N343" i="2" s="1"/>
  <c r="N383" i="2"/>
  <c r="N272" i="2"/>
  <c r="N281" i="2"/>
  <c r="N141" i="2"/>
  <c r="N140" i="2" s="1"/>
  <c r="N161" i="2" s="1"/>
  <c r="N179" i="2" s="1"/>
  <c r="N89" i="2"/>
  <c r="N88" i="2"/>
  <c r="S961" i="4"/>
  <c r="S963" i="4" s="1"/>
  <c r="S965" i="4" s="1"/>
  <c r="U375" i="2"/>
  <c r="K375" i="2" s="1"/>
  <c r="S952" i="4"/>
  <c r="S955" i="4" s="1"/>
  <c r="U63" i="2" s="1"/>
  <c r="U373" i="2" s="1"/>
  <c r="K373" i="2" s="1"/>
  <c r="AE82" i="2"/>
  <c r="AE123" i="2" s="1"/>
  <c r="O342" i="2"/>
  <c r="O343" i="2" s="1"/>
  <c r="O383" i="2"/>
  <c r="AE10" i="2"/>
  <c r="AE9" i="2" s="1"/>
  <c r="AE17" i="2" s="1"/>
  <c r="O281" i="2"/>
  <c r="O88" i="2"/>
  <c r="O272" i="2"/>
  <c r="O141" i="2"/>
  <c r="O140" i="2" s="1"/>
  <c r="O161" i="2" s="1"/>
  <c r="O179" i="2" s="1"/>
  <c r="O89" i="2"/>
  <c r="AC80" i="4"/>
  <c r="AC84" i="4" s="1"/>
  <c r="AC976" i="4"/>
  <c r="AD973" i="4" s="1"/>
  <c r="AB177" i="4"/>
  <c r="AB220" i="4"/>
  <c r="AB641" i="4" s="1"/>
  <c r="AB658" i="4" s="1"/>
  <c r="AB707" i="4" s="1"/>
  <c r="AD40" i="2" s="1"/>
  <c r="AB272" i="2"/>
  <c r="AC272" i="2"/>
  <c r="V281" i="2"/>
  <c r="W281" i="2"/>
  <c r="AC281" i="2"/>
  <c r="T281" i="2"/>
  <c r="Y281" i="2"/>
  <c r="AA341" i="2"/>
  <c r="U272" i="2"/>
  <c r="V272" i="2"/>
  <c r="AA272" i="2"/>
  <c r="X281" i="2"/>
  <c r="AC179" i="4"/>
  <c r="AF281" i="2"/>
  <c r="V282" i="4"/>
  <c r="W280" i="4" s="1"/>
  <c r="W281" i="4" s="1"/>
  <c r="W285" i="4" s="1"/>
  <c r="AG281" i="2"/>
  <c r="AD74" i="4"/>
  <c r="AD76" i="4" s="1"/>
  <c r="AD67" i="4"/>
  <c r="AF272" i="2"/>
  <c r="AB232" i="4"/>
  <c r="AB946" i="4" s="1"/>
  <c r="AB376" i="2"/>
  <c r="AH281" i="2"/>
  <c r="AB188" i="4"/>
  <c r="AB238" i="4" s="1"/>
  <c r="AE281" i="2"/>
  <c r="Z962" i="4"/>
  <c r="V330" i="4"/>
  <c r="W328" i="4" s="1"/>
  <c r="W329" i="4" s="1"/>
  <c r="W333" i="4" s="1"/>
  <c r="AI281" i="2"/>
  <c r="U458" i="4"/>
  <c r="U459" i="4" s="1"/>
  <c r="U496" i="4" s="1"/>
  <c r="U778" i="4"/>
  <c r="U779" i="4" s="1"/>
  <c r="U816" i="4" s="1"/>
  <c r="U614" i="4"/>
  <c r="U615" i="4" s="1"/>
  <c r="U652" i="4" s="1"/>
  <c r="U351" i="4"/>
  <c r="U352" i="4" s="1"/>
  <c r="V348" i="4" s="1"/>
  <c r="AF74" i="2"/>
  <c r="AD322" i="4"/>
  <c r="M122" i="2"/>
  <c r="M124" i="2" s="1"/>
  <c r="M118" i="2"/>
  <c r="M120" i="2" s="1"/>
  <c r="AT1114" i="3"/>
  <c r="AS1430" i="3"/>
  <c r="AD167" i="4" s="1"/>
  <c r="AD187" i="4" s="1"/>
  <c r="AS1446" i="3"/>
  <c r="AS1447" i="3" s="1"/>
  <c r="AS1449" i="3" s="1"/>
  <c r="AH248" i="2"/>
  <c r="AH325" i="2"/>
  <c r="AH326" i="2" s="1"/>
  <c r="AH327" i="2" s="1"/>
  <c r="AI323" i="2"/>
  <c r="AI249" i="2"/>
  <c r="Z552" i="4"/>
  <c r="AB26" i="2" s="1"/>
  <c r="AC370" i="4"/>
  <c r="Y950" i="4"/>
  <c r="Z256" i="2"/>
  <c r="Z200" i="4"/>
  <c r="Z805" i="4"/>
  <c r="Z822" i="4" s="1"/>
  <c r="Z871" i="4" s="1"/>
  <c r="AB55" i="2" s="1"/>
  <c r="Z247" i="4"/>
  <c r="AD386" i="4"/>
  <c r="L343" i="2"/>
  <c r="Z245" i="4"/>
  <c r="Z485" i="4"/>
  <c r="Z502" i="4" s="1"/>
  <c r="Z551" i="4" s="1"/>
  <c r="AB25" i="2" s="1"/>
  <c r="Z198" i="4"/>
  <c r="AC306" i="4"/>
  <c r="AE222" i="2"/>
  <c r="T270" i="4"/>
  <c r="L140" i="2"/>
  <c r="W134" i="2"/>
  <c r="K136" i="2"/>
  <c r="T266" i="4"/>
  <c r="U51" i="2"/>
  <c r="Y949" i="4"/>
  <c r="AA377" i="2"/>
  <c r="AD1222" i="4"/>
  <c r="AD1234" i="4" s="1"/>
  <c r="AD338" i="4"/>
  <c r="T436" i="4"/>
  <c r="T437" i="4" s="1"/>
  <c r="T287" i="4"/>
  <c r="T288" i="4" s="1"/>
  <c r="U284" i="4" s="1"/>
  <c r="AC386" i="4"/>
  <c r="X387" i="4"/>
  <c r="X391" i="4" s="1"/>
  <c r="X355" i="4"/>
  <c r="X359" i="4" s="1"/>
  <c r="X323" i="4"/>
  <c r="X327" i="4" s="1"/>
  <c r="X275" i="4"/>
  <c r="X279" i="4" s="1"/>
  <c r="X371" i="4"/>
  <c r="X375" i="4" s="1"/>
  <c r="X291" i="4"/>
  <c r="X295" i="4" s="1"/>
  <c r="X259" i="4"/>
  <c r="X263" i="4" s="1"/>
  <c r="X339" i="4"/>
  <c r="X343" i="4" s="1"/>
  <c r="X307" i="4"/>
  <c r="X311" i="4" s="1"/>
  <c r="Y843" i="4"/>
  <c r="Z838" i="4" s="1"/>
  <c r="AF803" i="4"/>
  <c r="AF821" i="4" s="1"/>
  <c r="AF870" i="4" s="1"/>
  <c r="AH54" i="2" s="1"/>
  <c r="AF1190" i="4"/>
  <c r="AG12" i="4"/>
  <c r="AF639" i="4"/>
  <c r="AF657" i="4" s="1"/>
  <c r="AF706" i="4" s="1"/>
  <c r="AH39" i="2" s="1"/>
  <c r="AF483" i="4"/>
  <c r="AF501" i="4" s="1"/>
  <c r="AF550" i="4" s="1"/>
  <c r="AH24" i="2" s="1"/>
  <c r="T338" i="2"/>
  <c r="AD290" i="4"/>
  <c r="AF282" i="2"/>
  <c r="AF149" i="2"/>
  <c r="Y4" i="10"/>
  <c r="X7" i="10"/>
  <c r="AU382" i="3"/>
  <c r="AT1445" i="3"/>
  <c r="AT1421" i="3"/>
  <c r="AE166" i="4" s="1"/>
  <c r="AB341" i="4"/>
  <c r="S90" i="2"/>
  <c r="S93" i="2" s="1"/>
  <c r="S112" i="2"/>
  <c r="Y197" i="4"/>
  <c r="AD370" i="4"/>
  <c r="AH232" i="2"/>
  <c r="AG231" i="2"/>
  <c r="AV1412" i="3"/>
  <c r="AW77" i="3"/>
  <c r="AX77" i="3" s="1"/>
  <c r="AC188" i="4"/>
  <c r="AC238" i="4" s="1"/>
  <c r="Z708" i="4"/>
  <c r="AB41" i="2" s="1"/>
  <c r="AB353" i="2" s="1"/>
  <c r="AD923" i="4"/>
  <c r="AD1140" i="4"/>
  <c r="X34" i="4"/>
  <c r="X35" i="4" s="1"/>
  <c r="X1117" i="4"/>
  <c r="AC28" i="2"/>
  <c r="AC1103" i="4"/>
  <c r="AC959" i="4"/>
  <c r="AC960" i="4" s="1"/>
  <c r="T378" i="4"/>
  <c r="U376" i="4" s="1"/>
  <c r="AH212" i="2"/>
  <c r="AG301" i="2"/>
  <c r="AG302" i="2" s="1"/>
  <c r="AG306" i="2" s="1"/>
  <c r="AH300" i="2"/>
  <c r="Y249" i="4"/>
  <c r="Y255" i="4" s="1"/>
  <c r="AG251" i="2"/>
  <c r="AF154" i="2"/>
  <c r="AF252" i="2"/>
  <c r="Z4" i="4"/>
  <c r="Y24" i="4"/>
  <c r="Y26" i="4" s="1"/>
  <c r="Y36" i="4" s="1"/>
  <c r="X272" i="2"/>
  <c r="AD50" i="4"/>
  <c r="AD49" i="4"/>
  <c r="L367" i="2"/>
  <c r="R118" i="2"/>
  <c r="R120" i="2" s="1"/>
  <c r="R122" i="2"/>
  <c r="R124" i="2" s="1"/>
  <c r="AC338" i="4"/>
  <c r="AF155" i="2"/>
  <c r="AF283" i="2"/>
  <c r="AA281" i="2"/>
  <c r="Y202" i="2"/>
  <c r="Y137" i="2" s="1"/>
  <c r="Y134" i="2" s="1"/>
  <c r="AD974" i="4"/>
  <c r="AD1099" i="4" s="1"/>
  <c r="AD1100" i="4"/>
  <c r="T398" i="4"/>
  <c r="Q122" i="2"/>
  <c r="Q124" i="2" s="1"/>
  <c r="Q118" i="2"/>
  <c r="Q120" i="2" s="1"/>
  <c r="S624" i="4"/>
  <c r="S625" i="4" s="1"/>
  <c r="S654" i="4" s="1"/>
  <c r="S663" i="4" s="1"/>
  <c r="S468" i="4"/>
  <c r="S469" i="4" s="1"/>
  <c r="S498" i="4" s="1"/>
  <c r="S549" i="4" s="1"/>
  <c r="U23" i="2" s="1"/>
  <c r="S788" i="4"/>
  <c r="S789" i="4" s="1"/>
  <c r="S818" i="4" s="1"/>
  <c r="S383" i="4"/>
  <c r="S384" i="4" s="1"/>
  <c r="T380" i="4" s="1"/>
  <c r="T382" i="4" s="1"/>
  <c r="AS1448" i="3"/>
  <c r="AF109" i="2" s="1"/>
  <c r="AU223" i="3"/>
  <c r="AT1403" i="3"/>
  <c r="AA199" i="4"/>
  <c r="AA641" i="4"/>
  <c r="AA658" i="4" s="1"/>
  <c r="AA707" i="4" s="1"/>
  <c r="AC40" i="2" s="1"/>
  <c r="Y272" i="2"/>
  <c r="AD202" i="4"/>
  <c r="AD231" i="4" s="1"/>
  <c r="AD807" i="4" s="1"/>
  <c r="AD824" i="4" s="1"/>
  <c r="AC49" i="4"/>
  <c r="AC50" i="4"/>
  <c r="AC684" i="4"/>
  <c r="AD681" i="4" s="1"/>
  <c r="AB281" i="2"/>
  <c r="AD143" i="2"/>
  <c r="AW182" i="3"/>
  <c r="AX182" i="3" s="1"/>
  <c r="X1098" i="4"/>
  <c r="X971" i="4"/>
  <c r="AF134" i="4"/>
  <c r="AG121" i="4"/>
  <c r="AG134" i="4" s="1"/>
  <c r="Z272" i="2"/>
  <c r="AB1196" i="4"/>
  <c r="AB555" i="4"/>
  <c r="AB357" i="4"/>
  <c r="AD179" i="4"/>
  <c r="U281" i="2"/>
  <c r="AF79" i="2"/>
  <c r="AD310" i="2"/>
  <c r="AD311" i="2" s="1"/>
  <c r="AE218" i="2"/>
  <c r="AE309" i="2"/>
  <c r="AD225" i="2"/>
  <c r="AG510" i="4"/>
  <c r="AG515" i="4"/>
  <c r="AG522" i="4" s="1"/>
  <c r="AG73" i="2"/>
  <c r="AE138" i="4"/>
  <c r="AD272" i="2"/>
  <c r="AA201" i="4"/>
  <c r="AA944" i="4"/>
  <c r="AF573" i="4"/>
  <c r="AF575" i="4" s="1"/>
  <c r="AF35" i="10"/>
  <c r="AB293" i="4"/>
  <c r="AB89" i="4"/>
  <c r="AD382" i="2"/>
  <c r="AB28" i="2"/>
  <c r="AC202" i="4"/>
  <c r="Z281" i="2"/>
  <c r="AB229" i="4"/>
  <c r="AB487" i="4" s="1"/>
  <c r="AB504" i="4" s="1"/>
  <c r="AB219" i="4"/>
  <c r="AB221" i="4"/>
  <c r="AB222" i="4"/>
  <c r="V362" i="4"/>
  <c r="W360" i="4" s="1"/>
  <c r="W361" i="4" s="1"/>
  <c r="W365" i="4" s="1"/>
  <c r="AG415" i="4"/>
  <c r="AG418" i="4"/>
  <c r="AE272" i="2"/>
  <c r="AA805" i="4"/>
  <c r="AA822" i="4" s="1"/>
  <c r="AA871" i="4" s="1"/>
  <c r="AC55" i="2" s="1"/>
  <c r="AA200" i="4"/>
  <c r="AB216" i="4"/>
  <c r="AB212" i="4" s="1"/>
  <c r="U36" i="2"/>
  <c r="AC187" i="4"/>
  <c r="Z246" i="4"/>
  <c r="T366" i="4"/>
  <c r="P90" i="2"/>
  <c r="P93" i="2" s="1"/>
  <c r="P112" i="2"/>
  <c r="AC290" i="4"/>
  <c r="AH190" i="2"/>
  <c r="AH145" i="2" s="1"/>
  <c r="AG188" i="2"/>
  <c r="AW212" i="3"/>
  <c r="AX212" i="3" s="1"/>
  <c r="W272" i="2"/>
  <c r="AC322" i="4"/>
  <c r="AH243" i="2"/>
  <c r="AG242" i="2"/>
  <c r="AD135" i="2"/>
  <c r="AV17" i="3"/>
  <c r="AU1442" i="3"/>
  <c r="AU1397" i="3"/>
  <c r="R853" i="4"/>
  <c r="R855" i="4"/>
  <c r="V313" i="4"/>
  <c r="V317" i="4" s="1"/>
  <c r="R543" i="4"/>
  <c r="AG272" i="2"/>
  <c r="AA485" i="4"/>
  <c r="AA502" i="4" s="1"/>
  <c r="AA551" i="4" s="1"/>
  <c r="AC25" i="2" s="1"/>
  <c r="AA198" i="4"/>
  <c r="AB679" i="4"/>
  <c r="AC674" i="4" s="1"/>
  <c r="AA954" i="4"/>
  <c r="AB953" i="4" s="1"/>
  <c r="AA1111" i="4"/>
  <c r="AB1107" i="4"/>
  <c r="AB1110" i="4" s="1"/>
  <c r="AA365" i="2"/>
  <c r="AG208" i="2"/>
  <c r="AG147" i="2" s="1"/>
  <c r="V346" i="4"/>
  <c r="W344" i="4" s="1"/>
  <c r="W345" i="4" s="1"/>
  <c r="W349" i="4" s="1"/>
  <c r="AH223" i="2"/>
  <c r="AI272" i="2"/>
  <c r="AA242" i="4"/>
  <c r="AA948" i="4" s="1"/>
  <c r="AA240" i="4"/>
  <c r="AA645" i="4" s="1"/>
  <c r="AA662" i="4" s="1"/>
  <c r="AA708" i="4" s="1"/>
  <c r="AC41" i="2" s="1"/>
  <c r="AA239" i="4"/>
  <c r="AA489" i="4" s="1"/>
  <c r="AA506" i="4" s="1"/>
  <c r="AA241" i="4"/>
  <c r="AA809" i="4" s="1"/>
  <c r="AA826" i="4" s="1"/>
  <c r="AB389" i="4"/>
  <c r="AX7" i="3"/>
  <c r="AR1436" i="3"/>
  <c r="U1195" i="4"/>
  <c r="V518" i="4"/>
  <c r="AA5" i="2"/>
  <c r="Z3" i="2"/>
  <c r="Z186" i="2"/>
  <c r="Z185" i="2" s="1"/>
  <c r="Z206" i="2"/>
  <c r="Z205" i="2"/>
  <c r="Z238" i="2"/>
  <c r="Z203" i="2"/>
  <c r="Z236" i="2"/>
  <c r="Z204" i="2"/>
  <c r="Z207" i="2"/>
  <c r="Z235" i="2"/>
  <c r="Z239" i="2"/>
  <c r="Z237" i="2"/>
  <c r="K127" i="2"/>
  <c r="AU184" i="3"/>
  <c r="AT1444" i="3"/>
  <c r="AG220" i="2" s="1"/>
  <c r="AT1406" i="3"/>
  <c r="AE1171" i="4"/>
  <c r="AE1089" i="4"/>
  <c r="AE1091" i="4" s="1"/>
  <c r="AF1088" i="4" s="1"/>
  <c r="AE1079" i="4"/>
  <c r="AE1081" i="4" s="1"/>
  <c r="AF1078" i="4" s="1"/>
  <c r="AE1059" i="4"/>
  <c r="AE1061" i="4" s="1"/>
  <c r="AF1058" i="4" s="1"/>
  <c r="AE1039" i="4"/>
  <c r="AE1041" i="4" s="1"/>
  <c r="AF1038" i="4" s="1"/>
  <c r="AE1029" i="4"/>
  <c r="AE1031" i="4" s="1"/>
  <c r="AF1028" i="4" s="1"/>
  <c r="AE1019" i="4"/>
  <c r="AE1021" i="4" s="1"/>
  <c r="AF1018" i="4" s="1"/>
  <c r="AE989" i="4"/>
  <c r="AE991" i="4" s="1"/>
  <c r="AF988" i="4" s="1"/>
  <c r="AE1176" i="4"/>
  <c r="AE759" i="4"/>
  <c r="AE1044" i="4"/>
  <c r="AE1046" i="4" s="1"/>
  <c r="AF1043" i="4" s="1"/>
  <c r="AE595" i="4"/>
  <c r="AE1151" i="4"/>
  <c r="AE1146" i="4"/>
  <c r="AE1034" i="4"/>
  <c r="AE1036" i="4" s="1"/>
  <c r="AF1033" i="4" s="1"/>
  <c r="AE984" i="4"/>
  <c r="AE986" i="4" s="1"/>
  <c r="AF983" i="4" s="1"/>
  <c r="AE994" i="4"/>
  <c r="AE996" i="4" s="1"/>
  <c r="AF993" i="4" s="1"/>
  <c r="AE1084" i="4"/>
  <c r="AE1086" i="4" s="1"/>
  <c r="AF1083" i="4" s="1"/>
  <c r="AF10" i="4"/>
  <c r="AE1181" i="4"/>
  <c r="AE1166" i="4"/>
  <c r="AE1054" i="4"/>
  <c r="AE1056" i="4" s="1"/>
  <c r="AF1053" i="4" s="1"/>
  <c r="AE656" i="4"/>
  <c r="AE1161" i="4"/>
  <c r="AG81" i="2"/>
  <c r="AG80" i="2"/>
  <c r="AE820" i="4"/>
  <c r="X134" i="2"/>
  <c r="AG186" i="4"/>
  <c r="AI76" i="2"/>
  <c r="Y127" i="2"/>
  <c r="S546" i="4"/>
  <c r="AE521" i="4"/>
  <c r="AE519" i="4"/>
  <c r="AG344" i="2" s="1"/>
  <c r="Y234" i="2"/>
  <c r="X378" i="2"/>
  <c r="AC534" i="4"/>
  <c r="V393" i="4"/>
  <c r="V397" i="4" s="1"/>
  <c r="AC169" i="4"/>
  <c r="AH272" i="2"/>
  <c r="AD306" i="4"/>
  <c r="T605" i="4"/>
  <c r="T650" i="4" s="1"/>
  <c r="T704" i="4" s="1"/>
  <c r="V37" i="2" s="1"/>
  <c r="T769" i="4"/>
  <c r="T814" i="4" s="1"/>
  <c r="T868" i="4" s="1"/>
  <c r="V52" i="2" s="1"/>
  <c r="T449" i="4"/>
  <c r="T494" i="4" s="1"/>
  <c r="T548" i="4" s="1"/>
  <c r="V22" i="2" s="1"/>
  <c r="T319" i="4"/>
  <c r="T320" i="4" s="1"/>
  <c r="U316" i="4" s="1"/>
  <c r="R689" i="4"/>
  <c r="R691" i="4"/>
  <c r="AD82" i="2"/>
  <c r="AD123" i="2" s="1"/>
  <c r="AB730" i="4"/>
  <c r="AC726" i="4"/>
  <c r="AC729" i="4" s="1"/>
  <c r="V525" i="4"/>
  <c r="AB309" i="4"/>
  <c r="AV998" i="3"/>
  <c r="AT762" i="3"/>
  <c r="AS1415" i="3"/>
  <c r="AD164" i="4" s="1"/>
  <c r="AW1143" i="3"/>
  <c r="AX1143" i="3" s="1"/>
  <c r="AI198" i="2"/>
  <c r="AI197" i="2" s="1"/>
  <c r="AH197" i="2"/>
  <c r="L112" i="2"/>
  <c r="L90" i="2"/>
  <c r="L93" i="2" s="1"/>
  <c r="AG156" i="2"/>
  <c r="AD534" i="4"/>
  <c r="AB373" i="4"/>
  <c r="AC354" i="4"/>
  <c r="AF509" i="4"/>
  <c r="AF514" i="4"/>
  <c r="AF421" i="4"/>
  <c r="AU1203" i="3"/>
  <c r="AT1424" i="3"/>
  <c r="AE162" i="4" s="1"/>
  <c r="AE17" i="10"/>
  <c r="AE65" i="4"/>
  <c r="R252" i="4"/>
  <c r="T83" i="2" s="1"/>
  <c r="T66" i="2"/>
  <c r="AS1445" i="3"/>
  <c r="AF221" i="2" s="1"/>
  <c r="AE203" i="4"/>
  <c r="AE500" i="4"/>
  <c r="AE425" i="4"/>
  <c r="AE433" i="4" s="1"/>
  <c r="AE427" i="4" s="1"/>
  <c r="AE428" i="4" s="1"/>
  <c r="AE48" i="4"/>
  <c r="AE434" i="4"/>
  <c r="AE472" i="4"/>
  <c r="AE457" i="4"/>
  <c r="AE442" i="4"/>
  <c r="AE452" i="4"/>
  <c r="AE467" i="4"/>
  <c r="AE462" i="4"/>
  <c r="AE447" i="4"/>
  <c r="L355" i="2"/>
  <c r="Z872" i="4"/>
  <c r="AB56" i="2" s="1"/>
  <c r="AH191" i="2"/>
  <c r="Z944" i="4"/>
  <c r="Z248" i="4"/>
  <c r="Z964" i="4" s="1"/>
  <c r="Z201" i="4"/>
  <c r="AU52" i="3"/>
  <c r="AT1443" i="3"/>
  <c r="AG219" i="2" s="1"/>
  <c r="AT1400" i="3"/>
  <c r="AG138" i="2"/>
  <c r="W950" i="4"/>
  <c r="X375" i="2"/>
  <c r="V961" i="4"/>
  <c r="V963" i="4" s="1"/>
  <c r="V965" i="4" s="1"/>
  <c r="AB325" i="4"/>
  <c r="T453" i="4"/>
  <c r="T454" i="4" s="1"/>
  <c r="T495" i="4" s="1"/>
  <c r="T609" i="4"/>
  <c r="T610" i="4" s="1"/>
  <c r="T651" i="4" s="1"/>
  <c r="T773" i="4"/>
  <c r="T774" i="4" s="1"/>
  <c r="T815" i="4" s="1"/>
  <c r="T335" i="4"/>
  <c r="T336" i="4" s="1"/>
  <c r="U332" i="4" s="1"/>
  <c r="AD354" i="4"/>
  <c r="AU1158" i="3"/>
  <c r="AT1427" i="3"/>
  <c r="AE163" i="4" s="1"/>
  <c r="T763" i="4"/>
  <c r="T764" i="4" s="1"/>
  <c r="T813" i="4" s="1"/>
  <c r="T443" i="4"/>
  <c r="T444" i="4" s="1"/>
  <c r="T493" i="4" s="1"/>
  <c r="T547" i="4" s="1"/>
  <c r="V21" i="2" s="1"/>
  <c r="T599" i="4"/>
  <c r="T600" i="4" s="1"/>
  <c r="T649" i="4" s="1"/>
  <c r="T303" i="4"/>
  <c r="T304" i="4" s="1"/>
  <c r="U300" i="4" s="1"/>
  <c r="AI156" i="2" l="1"/>
  <c r="AH156" i="2"/>
  <c r="AI227" i="2"/>
  <c r="AI331" i="2" s="1"/>
  <c r="AI329" i="2"/>
  <c r="AI332" i="2" s="1"/>
  <c r="AI333" i="2" s="1"/>
  <c r="AH331" i="2"/>
  <c r="AH332" i="2" s="1"/>
  <c r="AH333" i="2" s="1"/>
  <c r="AC220" i="4"/>
  <c r="AC641" i="4" s="1"/>
  <c r="AC658" i="4" s="1"/>
  <c r="AC707" i="4" s="1"/>
  <c r="AE40" i="2" s="1"/>
  <c r="AC173" i="4"/>
  <c r="AC180" i="4" s="1"/>
  <c r="AB845" i="4"/>
  <c r="AA552" i="4"/>
  <c r="AC26" i="2" s="1"/>
  <c r="AC341" i="2" s="1"/>
  <c r="AA872" i="4"/>
  <c r="AC56" i="2" s="1"/>
  <c r="AC365" i="2" s="1"/>
  <c r="AF336" i="2"/>
  <c r="AD1257" i="4"/>
  <c r="AD1262" i="4" s="1"/>
  <c r="AD1267" i="4" s="1"/>
  <c r="AF95" i="2" s="1"/>
  <c r="AF111" i="2" s="1"/>
  <c r="AF151" i="2" s="1"/>
  <c r="AD139" i="4"/>
  <c r="AD177" i="4" s="1"/>
  <c r="AD188" i="4"/>
  <c r="AD238" i="4" s="1"/>
  <c r="AD184" i="4"/>
  <c r="AD218" i="4" s="1"/>
  <c r="AB181" i="4"/>
  <c r="AF70" i="2"/>
  <c r="AG117" i="4"/>
  <c r="AB180" i="4"/>
  <c r="S404" i="4"/>
  <c r="S407" i="4" s="1"/>
  <c r="U193" i="2" s="1"/>
  <c r="AG68" i="2"/>
  <c r="AE137" i="4"/>
  <c r="AG69" i="2" s="1"/>
  <c r="AE156" i="4"/>
  <c r="AG78" i="2" s="1"/>
  <c r="AE93" i="4"/>
  <c r="AE178" i="4" s="1"/>
  <c r="AB224" i="4"/>
  <c r="AB486" i="4" s="1"/>
  <c r="AB503" i="4" s="1"/>
  <c r="AB225" i="4"/>
  <c r="AB642" i="4" s="1"/>
  <c r="AB659" i="4" s="1"/>
  <c r="AE75" i="2"/>
  <c r="AE157" i="2" s="1"/>
  <c r="AC185" i="4"/>
  <c r="AB227" i="4"/>
  <c r="AB945" i="4" s="1"/>
  <c r="AF117" i="4"/>
  <c r="AD157" i="2"/>
  <c r="AC70" i="4"/>
  <c r="AE380" i="2"/>
  <c r="AD1235" i="4"/>
  <c r="S402" i="4"/>
  <c r="S507" i="4"/>
  <c r="S511" i="4" s="1"/>
  <c r="K63" i="2"/>
  <c r="I63" i="2" s="1"/>
  <c r="U378" i="2"/>
  <c r="U379" i="2" s="1"/>
  <c r="N112" i="2"/>
  <c r="N90" i="2"/>
  <c r="N93" i="2" s="1"/>
  <c r="X952" i="4"/>
  <c r="X955" i="4" s="1"/>
  <c r="Z63" i="2" s="1"/>
  <c r="Z373" i="2" s="1"/>
  <c r="Z378" i="2" s="1"/>
  <c r="Z379" i="2" s="1"/>
  <c r="V298" i="4"/>
  <c r="W296" i="4" s="1"/>
  <c r="W297" i="4" s="1"/>
  <c r="W301" i="4" s="1"/>
  <c r="O90" i="2"/>
  <c r="O93" i="2" s="1"/>
  <c r="O112" i="2"/>
  <c r="AB199" i="4"/>
  <c r="AB189" i="4"/>
  <c r="Z197" i="4"/>
  <c r="AB174" i="4"/>
  <c r="AD312" i="2"/>
  <c r="AF10" i="2"/>
  <c r="AF9" i="2" s="1"/>
  <c r="AF17" i="2" s="1"/>
  <c r="Z249" i="4"/>
  <c r="Z255" i="4" s="1"/>
  <c r="AB365" i="2"/>
  <c r="W330" i="4"/>
  <c r="X328" i="4" s="1"/>
  <c r="X329" i="4" s="1"/>
  <c r="X333" i="4" s="1"/>
  <c r="AD80" i="4"/>
  <c r="AD70" i="4" s="1"/>
  <c r="AA247" i="4"/>
  <c r="AE74" i="4"/>
  <c r="AE76" i="4" s="1"/>
  <c r="AE67" i="4"/>
  <c r="AB341" i="2"/>
  <c r="AA197" i="4"/>
  <c r="S705" i="4"/>
  <c r="Z202" i="2"/>
  <c r="Z137" i="2" s="1"/>
  <c r="T788" i="4"/>
  <c r="T789" i="4" s="1"/>
  <c r="T818" i="4" s="1"/>
  <c r="T624" i="4"/>
  <c r="T625" i="4" s="1"/>
  <c r="T654" i="4" s="1"/>
  <c r="T468" i="4"/>
  <c r="T469" i="4" s="1"/>
  <c r="T498" i="4" s="1"/>
  <c r="T383" i="4"/>
  <c r="T384" i="4" s="1"/>
  <c r="U380" i="4" s="1"/>
  <c r="AD236" i="4"/>
  <c r="AD808" i="4" s="1"/>
  <c r="AD825" i="4" s="1"/>
  <c r="AD234" i="4"/>
  <c r="AD488" i="4" s="1"/>
  <c r="AD505" i="4" s="1"/>
  <c r="AD237" i="4"/>
  <c r="AD947" i="4" s="1"/>
  <c r="AD235" i="4"/>
  <c r="AD644" i="4" s="1"/>
  <c r="AD661" i="4" s="1"/>
  <c r="AH220" i="2"/>
  <c r="S688" i="4"/>
  <c r="S667" i="4"/>
  <c r="AG84" i="2"/>
  <c r="AE179" i="4"/>
  <c r="X379" i="2"/>
  <c r="R859" i="4"/>
  <c r="R856" i="4"/>
  <c r="X1101" i="4"/>
  <c r="Y968" i="4"/>
  <c r="AC309" i="4"/>
  <c r="R712" i="4"/>
  <c r="R721" i="4"/>
  <c r="Y34" i="4"/>
  <c r="Y35" i="4" s="1"/>
  <c r="Y1117" i="4"/>
  <c r="AI212" i="2"/>
  <c r="AH301" i="2"/>
  <c r="AH302" i="2" s="1"/>
  <c r="AH306" i="2" s="1"/>
  <c r="AI300" i="2"/>
  <c r="AE290" i="4"/>
  <c r="AG155" i="2"/>
  <c r="AG283" i="2"/>
  <c r="AU1114" i="3"/>
  <c r="AT1446" i="3"/>
  <c r="AT1447" i="3" s="1"/>
  <c r="AT1449" i="3" s="1"/>
  <c r="AT1430" i="3"/>
  <c r="AE167" i="4" s="1"/>
  <c r="AE187" i="4" s="1"/>
  <c r="U318" i="4"/>
  <c r="AE534" i="4"/>
  <c r="T783" i="4"/>
  <c r="T784" i="4" s="1"/>
  <c r="T817" i="4" s="1"/>
  <c r="T463" i="4"/>
  <c r="T464" i="4" s="1"/>
  <c r="T497" i="4" s="1"/>
  <c r="T619" i="4"/>
  <c r="T620" i="4" s="1"/>
  <c r="T653" i="4" s="1"/>
  <c r="T367" i="4"/>
  <c r="T368" i="4" s="1"/>
  <c r="U364" i="4" s="1"/>
  <c r="AG509" i="4"/>
  <c r="AG514" i="4"/>
  <c r="AG421" i="4"/>
  <c r="AD232" i="4"/>
  <c r="AD946" i="4" s="1"/>
  <c r="AD230" i="4"/>
  <c r="AD643" i="4" s="1"/>
  <c r="AD660" i="4" s="1"/>
  <c r="AW17" i="3"/>
  <c r="AV1442" i="3"/>
  <c r="AV1397" i="3"/>
  <c r="AC325" i="4"/>
  <c r="AC216" i="4"/>
  <c r="AC212" i="4" s="1"/>
  <c r="AG282" i="2"/>
  <c r="AG149" i="2"/>
  <c r="AV382" i="3"/>
  <c r="AU1445" i="3"/>
  <c r="AU1421" i="3"/>
  <c r="AF166" i="4" s="1"/>
  <c r="U334" i="4"/>
  <c r="AF17" i="10"/>
  <c r="AF65" i="4"/>
  <c r="L118" i="2"/>
  <c r="L122" i="2"/>
  <c r="L124" i="2" s="1"/>
  <c r="AB848" i="4"/>
  <c r="U20" i="2"/>
  <c r="S553" i="4"/>
  <c r="AV184" i="3"/>
  <c r="AU1406" i="3"/>
  <c r="AU1444" i="3"/>
  <c r="Z127" i="2"/>
  <c r="AT1448" i="3"/>
  <c r="AG109" i="2" s="1"/>
  <c r="AG573" i="4"/>
  <c r="AG575" i="4" s="1"/>
  <c r="T793" i="4"/>
  <c r="T794" i="4" s="1"/>
  <c r="T819" i="4" s="1"/>
  <c r="T473" i="4"/>
  <c r="T474" i="4" s="1"/>
  <c r="T499" i="4" s="1"/>
  <c r="T629" i="4"/>
  <c r="T630" i="4" s="1"/>
  <c r="T655" i="4" s="1"/>
  <c r="T399" i="4"/>
  <c r="T400" i="4" s="1"/>
  <c r="U396" i="4" s="1"/>
  <c r="AC1104" i="4"/>
  <c r="AI232" i="2"/>
  <c r="AI231" i="2" s="1"/>
  <c r="AH231" i="2"/>
  <c r="Y307" i="4"/>
  <c r="Y311" i="4" s="1"/>
  <c r="Y323" i="4"/>
  <c r="Y327" i="4" s="1"/>
  <c r="Y339" i="4"/>
  <c r="Y343" i="4" s="1"/>
  <c r="Y355" i="4"/>
  <c r="Y359" i="4" s="1"/>
  <c r="Y275" i="4"/>
  <c r="Y279" i="4" s="1"/>
  <c r="Y387" i="4"/>
  <c r="Y391" i="4" s="1"/>
  <c r="Y371" i="4"/>
  <c r="Y375" i="4" s="1"/>
  <c r="Y259" i="4"/>
  <c r="Y263" i="4" s="1"/>
  <c r="Y291" i="4"/>
  <c r="Y295" i="4" s="1"/>
  <c r="AG639" i="4"/>
  <c r="AG657" i="4" s="1"/>
  <c r="AG706" i="4" s="1"/>
  <c r="AI39" i="2" s="1"/>
  <c r="AJ39" i="2" s="1"/>
  <c r="AG803" i="4"/>
  <c r="AG821" i="4" s="1"/>
  <c r="AG870" i="4" s="1"/>
  <c r="AI54" i="2" s="1"/>
  <c r="AJ54" i="2" s="1"/>
  <c r="AG1190" i="4"/>
  <c r="AG483" i="4"/>
  <c r="AG501" i="4" s="1"/>
  <c r="AG550" i="4" s="1"/>
  <c r="AI24" i="2" s="1"/>
  <c r="AJ24" i="2" s="1"/>
  <c r="U286" i="4"/>
  <c r="K134" i="2"/>
  <c r="AC181" i="4"/>
  <c r="AD325" i="4"/>
  <c r="AE50" i="4"/>
  <c r="AE49" i="4"/>
  <c r="AE1222" i="4"/>
  <c r="AE1234" i="4" s="1"/>
  <c r="AE923" i="4"/>
  <c r="AE1140" i="4"/>
  <c r="W362" i="4"/>
  <c r="X360" i="4" s="1"/>
  <c r="X361" i="4" s="1"/>
  <c r="X365" i="4" s="1"/>
  <c r="AC353" i="2"/>
  <c r="AD373" i="4"/>
  <c r="Z4" i="10"/>
  <c r="Y7" i="10"/>
  <c r="AC373" i="4"/>
  <c r="AS1436" i="3"/>
  <c r="Z949" i="4"/>
  <c r="AB377" i="2"/>
  <c r="AJ156" i="2"/>
  <c r="AA3" i="2"/>
  <c r="AB5" i="2"/>
  <c r="AA207" i="2"/>
  <c r="AA235" i="2"/>
  <c r="AA239" i="2"/>
  <c r="AA204" i="2"/>
  <c r="AA237" i="2"/>
  <c r="AA186" i="2"/>
  <c r="AA185" i="2" s="1"/>
  <c r="AA136" i="2" s="1"/>
  <c r="AA203" i="2"/>
  <c r="AA236" i="2"/>
  <c r="AA206" i="2"/>
  <c r="AA205" i="2"/>
  <c r="AA238" i="2"/>
  <c r="AD169" i="4"/>
  <c r="AC229" i="4"/>
  <c r="AC487" i="4" s="1"/>
  <c r="AC504" i="4" s="1"/>
  <c r="AC219" i="4"/>
  <c r="AC221" i="4"/>
  <c r="AC222" i="4"/>
  <c r="AC377" i="2"/>
  <c r="AA949" i="4"/>
  <c r="AD1103" i="4"/>
  <c r="AD959" i="4"/>
  <c r="AD960" i="4" s="1"/>
  <c r="AD1104" i="4" s="1"/>
  <c r="L161" i="2"/>
  <c r="AI191" i="2"/>
  <c r="AI138" i="2" s="1"/>
  <c r="AV1203" i="3"/>
  <c r="AU1424" i="3"/>
  <c r="AF162" i="4" s="1"/>
  <c r="AD309" i="4"/>
  <c r="AG79" i="2"/>
  <c r="AF82" i="2"/>
  <c r="AF123" i="2" s="1"/>
  <c r="AC234" i="4"/>
  <c r="AC488" i="4" s="1"/>
  <c r="AC505" i="4" s="1"/>
  <c r="AC237" i="4"/>
  <c r="AC947" i="4" s="1"/>
  <c r="AC235" i="4"/>
  <c r="AC644" i="4" s="1"/>
  <c r="AC661" i="4" s="1"/>
  <c r="AC236" i="4"/>
  <c r="AC808" i="4" s="1"/>
  <c r="AC825" i="4" s="1"/>
  <c r="AC230" i="4"/>
  <c r="AC643" i="4" s="1"/>
  <c r="AC660" i="4" s="1"/>
  <c r="AD28" i="2"/>
  <c r="AA246" i="4"/>
  <c r="V394" i="4"/>
  <c r="W392" i="4" s="1"/>
  <c r="AD341" i="4"/>
  <c r="W282" i="4"/>
  <c r="X280" i="4" s="1"/>
  <c r="X281" i="4" s="1"/>
  <c r="X285" i="4" s="1"/>
  <c r="AH138" i="2"/>
  <c r="AF425" i="4"/>
  <c r="AF433" i="4" s="1"/>
  <c r="AF427" i="4" s="1"/>
  <c r="AF428" i="4" s="1"/>
  <c r="AF203" i="4"/>
  <c r="AF434" i="4"/>
  <c r="AF500" i="4"/>
  <c r="AF48" i="4"/>
  <c r="AF457" i="4"/>
  <c r="AF467" i="4"/>
  <c r="AF472" i="4"/>
  <c r="AF442" i="4"/>
  <c r="AF452" i="4"/>
  <c r="AF447" i="4"/>
  <c r="AF462" i="4"/>
  <c r="V523" i="4"/>
  <c r="AA248" i="4"/>
  <c r="AA964" i="4" s="1"/>
  <c r="AC232" i="4"/>
  <c r="AC946" i="4" s="1"/>
  <c r="Z843" i="4"/>
  <c r="AA838" i="4" s="1"/>
  <c r="AD389" i="4"/>
  <c r="AE202" i="4"/>
  <c r="AE230" i="4" s="1"/>
  <c r="AE643" i="4" s="1"/>
  <c r="AE660" i="4" s="1"/>
  <c r="AF521" i="4"/>
  <c r="AF519" i="4"/>
  <c r="AH344" i="2" s="1"/>
  <c r="V528" i="4"/>
  <c r="Z136" i="2"/>
  <c r="AC1107" i="4"/>
  <c r="AC1110" i="4" s="1"/>
  <c r="AB1111" i="4"/>
  <c r="AB954" i="4"/>
  <c r="AC953" i="4" s="1"/>
  <c r="AV223" i="3"/>
  <c r="AU1403" i="3"/>
  <c r="AG252" i="2"/>
  <c r="AH251" i="2"/>
  <c r="AG154" i="2"/>
  <c r="AC231" i="4"/>
  <c r="AC807" i="4" s="1"/>
  <c r="AC824" i="4" s="1"/>
  <c r="AE382" i="2"/>
  <c r="AC89" i="4"/>
  <c r="AI248" i="2"/>
  <c r="AI325" i="2"/>
  <c r="AI326" i="2" s="1"/>
  <c r="AI327" i="2" s="1"/>
  <c r="AV52" i="3"/>
  <c r="AU1400" i="3"/>
  <c r="AU1443" i="3"/>
  <c r="AH219" i="2" s="1"/>
  <c r="AE386" i="4"/>
  <c r="AD1196" i="4"/>
  <c r="AD555" i="4"/>
  <c r="AV1158" i="3"/>
  <c r="AU1427" i="3"/>
  <c r="AF163" i="4" s="1"/>
  <c r="U377" i="4"/>
  <c r="U381" i="4" s="1"/>
  <c r="AW998" i="3"/>
  <c r="AX998" i="3" s="1"/>
  <c r="W346" i="4"/>
  <c r="X344" i="4" s="1"/>
  <c r="X345" i="4" s="1"/>
  <c r="X349" i="4" s="1"/>
  <c r="P122" i="2"/>
  <c r="P124" i="2" s="1"/>
  <c r="P118" i="2"/>
  <c r="P120" i="2" s="1"/>
  <c r="AD229" i="4"/>
  <c r="AD487" i="4" s="1"/>
  <c r="AD504" i="4" s="1"/>
  <c r="AC341" i="4"/>
  <c r="AA256" i="2"/>
  <c r="AE322" i="4"/>
  <c r="R695" i="4"/>
  <c r="R692" i="4"/>
  <c r="AE974" i="4"/>
  <c r="AE1099" i="4" s="1"/>
  <c r="AE1100" i="4"/>
  <c r="AA4" i="4"/>
  <c r="Z24" i="4"/>
  <c r="Z26" i="4" s="1"/>
  <c r="Z36" i="4" s="1"/>
  <c r="AD357" i="4"/>
  <c r="AE338" i="4"/>
  <c r="R533" i="4"/>
  <c r="R535" i="4"/>
  <c r="AI243" i="2"/>
  <c r="AI242" i="2" s="1"/>
  <c r="AH242" i="2"/>
  <c r="AC389" i="4"/>
  <c r="U264" i="4"/>
  <c r="T403" i="4"/>
  <c r="AH208" i="2"/>
  <c r="AH147" i="2"/>
  <c r="AT1392" i="3"/>
  <c r="AD684" i="4"/>
  <c r="AE681" i="4" s="1"/>
  <c r="S122" i="2"/>
  <c r="S124" i="2" s="1"/>
  <c r="S118" i="2"/>
  <c r="S120" i="2" s="1"/>
  <c r="U302" i="4"/>
  <c r="AC357" i="4"/>
  <c r="AE310" i="2"/>
  <c r="AE311" i="2" s="1"/>
  <c r="AE312" i="2" s="1"/>
  <c r="AF309" i="2"/>
  <c r="AF218" i="2"/>
  <c r="AF143" i="2" s="1"/>
  <c r="AE225" i="2"/>
  <c r="T703" i="4"/>
  <c r="AE306" i="4"/>
  <c r="AC1196" i="4"/>
  <c r="AC555" i="4"/>
  <c r="Z234" i="2"/>
  <c r="AA962" i="4"/>
  <c r="AI223" i="2"/>
  <c r="AI144" i="2"/>
  <c r="AC679" i="4"/>
  <c r="AD674" i="4" s="1"/>
  <c r="Z375" i="2"/>
  <c r="AI190" i="2"/>
  <c r="AI145" i="2" s="1"/>
  <c r="AJ145" i="2" s="1"/>
  <c r="AH188" i="2"/>
  <c r="AB241" i="4"/>
  <c r="AB809" i="4" s="1"/>
  <c r="AB826" i="4" s="1"/>
  <c r="AB872" i="4" s="1"/>
  <c r="AD56" i="2" s="1"/>
  <c r="AB240" i="4"/>
  <c r="AB242" i="4"/>
  <c r="AB948" i="4" s="1"/>
  <c r="AB239" i="4"/>
  <c r="AB489" i="4" s="1"/>
  <c r="AB506" i="4" s="1"/>
  <c r="AB201" i="4"/>
  <c r="AB944" i="4"/>
  <c r="AE143" i="2"/>
  <c r="S827" i="4"/>
  <c r="S869" i="4"/>
  <c r="W961" i="4"/>
  <c r="W963" i="4" s="1"/>
  <c r="W965" i="4" s="1"/>
  <c r="Y375" i="2"/>
  <c r="W952" i="4"/>
  <c r="W955" i="4" s="1"/>
  <c r="Y63" i="2" s="1"/>
  <c r="Y373" i="2" s="1"/>
  <c r="AE354" i="4"/>
  <c r="AG221" i="2"/>
  <c r="AD726" i="4"/>
  <c r="AD729" i="4" s="1"/>
  <c r="AC730" i="4"/>
  <c r="AC376" i="2"/>
  <c r="AH144" i="2"/>
  <c r="X961" i="4"/>
  <c r="X963" i="4" s="1"/>
  <c r="X965" i="4" s="1"/>
  <c r="AC293" i="4"/>
  <c r="AB200" i="4"/>
  <c r="AB805" i="4"/>
  <c r="AB822" i="4" s="1"/>
  <c r="AB871" i="4" s="1"/>
  <c r="AD55" i="2" s="1"/>
  <c r="AG74" i="2"/>
  <c r="AI73" i="2"/>
  <c r="AG138" i="4"/>
  <c r="V314" i="4"/>
  <c r="W312" i="4" s="1"/>
  <c r="AD293" i="4"/>
  <c r="Z950" i="4"/>
  <c r="T271" i="4"/>
  <c r="T272" i="4" s="1"/>
  <c r="T430" i="4"/>
  <c r="T431" i="4" s="1"/>
  <c r="T492" i="4" s="1"/>
  <c r="AE135" i="2"/>
  <c r="T867" i="4"/>
  <c r="AE370" i="4"/>
  <c r="AU762" i="3"/>
  <c r="AT1415" i="3"/>
  <c r="AE164" i="4" s="1"/>
  <c r="AD976" i="4"/>
  <c r="AE973" i="4" s="1"/>
  <c r="AF1171" i="4"/>
  <c r="AF1089" i="4"/>
  <c r="AF1091" i="4" s="1"/>
  <c r="AG1088" i="4" s="1"/>
  <c r="AF1079" i="4"/>
  <c r="AF1081" i="4" s="1"/>
  <c r="AG1078" i="4" s="1"/>
  <c r="AF1059" i="4"/>
  <c r="AF1061" i="4" s="1"/>
  <c r="AG1058" i="4" s="1"/>
  <c r="AF1039" i="4"/>
  <c r="AF1041" i="4" s="1"/>
  <c r="AG1038" i="4" s="1"/>
  <c r="AF1029" i="4"/>
  <c r="AF1031" i="4" s="1"/>
  <c r="AG1028" i="4" s="1"/>
  <c r="AF1019" i="4"/>
  <c r="AF1021" i="4" s="1"/>
  <c r="AG1018" i="4" s="1"/>
  <c r="AF989" i="4"/>
  <c r="AF991" i="4" s="1"/>
  <c r="AG988" i="4" s="1"/>
  <c r="AF1151" i="4"/>
  <c r="AF1181" i="4"/>
  <c r="AF595" i="4"/>
  <c r="AF1161" i="4"/>
  <c r="AF1034" i="4"/>
  <c r="AF1036" i="4" s="1"/>
  <c r="AG1033" i="4" s="1"/>
  <c r="AF984" i="4"/>
  <c r="AF986" i="4" s="1"/>
  <c r="AG983" i="4" s="1"/>
  <c r="AF1146" i="4"/>
  <c r="AF994" i="4"/>
  <c r="AF996" i="4" s="1"/>
  <c r="AG993" i="4" s="1"/>
  <c r="AF1044" i="4"/>
  <c r="AF1046" i="4" s="1"/>
  <c r="AG1043" i="4" s="1"/>
  <c r="AF1084" i="4"/>
  <c r="AF1086" i="4" s="1"/>
  <c r="AG1083" i="4" s="1"/>
  <c r="AF1166" i="4"/>
  <c r="AF1176" i="4"/>
  <c r="AG10" i="4"/>
  <c r="AF1054" i="4"/>
  <c r="AF1056" i="4" s="1"/>
  <c r="AG1053" i="4" s="1"/>
  <c r="AF656" i="4"/>
  <c r="AF759" i="4"/>
  <c r="AH80" i="2"/>
  <c r="AH81" i="2"/>
  <c r="AF820" i="4"/>
  <c r="V350" i="4"/>
  <c r="AA245" i="4"/>
  <c r="R885" i="4"/>
  <c r="R876" i="4"/>
  <c r="AB198" i="4"/>
  <c r="AB485" i="4"/>
  <c r="AB502" i="4" s="1"/>
  <c r="AB551" i="4" s="1"/>
  <c r="AD25" i="2" s="1"/>
  <c r="AH73" i="2"/>
  <c r="AF138" i="4"/>
  <c r="AF222" i="2"/>
  <c r="AI188" i="2" l="1"/>
  <c r="AJ138" i="2"/>
  <c r="AC199" i="4"/>
  <c r="AC174" i="4"/>
  <c r="AG137" i="4"/>
  <c r="AI69" i="2" s="1"/>
  <c r="AG143" i="4"/>
  <c r="AG144" i="4" s="1"/>
  <c r="AE184" i="4"/>
  <c r="AE218" i="4" s="1"/>
  <c r="AF93" i="4"/>
  <c r="AF143" i="4"/>
  <c r="AF144" i="4" s="1"/>
  <c r="AC845" i="4"/>
  <c r="AC848" i="4" s="1"/>
  <c r="AG10" i="2"/>
  <c r="AG9" i="2" s="1"/>
  <c r="AG17" i="2" s="1"/>
  <c r="AE1257" i="4"/>
  <c r="AE1262" i="4" s="1"/>
  <c r="AE1267" i="4" s="1"/>
  <c r="AG95" i="2" s="1"/>
  <c r="AG111" i="2" s="1"/>
  <c r="AG151" i="2" s="1"/>
  <c r="AG150" i="2" s="1"/>
  <c r="AD173" i="4"/>
  <c r="AD222" i="4"/>
  <c r="AD944" i="4" s="1"/>
  <c r="AD221" i="4"/>
  <c r="AD200" i="4" s="1"/>
  <c r="AD220" i="4"/>
  <c r="AD199" i="4" s="1"/>
  <c r="AD219" i="4"/>
  <c r="AD198" i="4" s="1"/>
  <c r="AF75" i="2"/>
  <c r="AF142" i="2" s="1"/>
  <c r="AD185" i="4"/>
  <c r="AI70" i="2"/>
  <c r="AG156" i="4"/>
  <c r="AI78" i="2" s="1"/>
  <c r="AG93" i="4"/>
  <c r="AI68" i="2"/>
  <c r="AE139" i="4"/>
  <c r="AE177" i="4" s="1"/>
  <c r="AE188" i="4"/>
  <c r="AE238" i="4" s="1"/>
  <c r="AE142" i="2"/>
  <c r="AB552" i="4"/>
  <c r="AD26" i="2" s="1"/>
  <c r="AD341" i="2" s="1"/>
  <c r="AF156" i="4"/>
  <c r="AH78" i="2" s="1"/>
  <c r="AG70" i="2"/>
  <c r="AC225" i="4"/>
  <c r="AC642" i="4" s="1"/>
  <c r="AC659" i="4" s="1"/>
  <c r="AC227" i="4"/>
  <c r="AC945" i="4" s="1"/>
  <c r="AC226" i="4"/>
  <c r="AC806" i="4" s="1"/>
  <c r="AC823" i="4" s="1"/>
  <c r="AC224" i="4"/>
  <c r="AC486" i="4" s="1"/>
  <c r="AC503" i="4" s="1"/>
  <c r="AC189" i="4"/>
  <c r="AH68" i="2"/>
  <c r="AF137" i="4"/>
  <c r="AH69" i="2" s="1"/>
  <c r="U382" i="4"/>
  <c r="U788" i="4" s="1"/>
  <c r="U789" i="4" s="1"/>
  <c r="U818" i="4" s="1"/>
  <c r="AE1235" i="4"/>
  <c r="W298" i="4"/>
  <c r="X296" i="4" s="1"/>
  <c r="X297" i="4" s="1"/>
  <c r="X301" i="4" s="1"/>
  <c r="K378" i="2"/>
  <c r="K379" i="2" s="1"/>
  <c r="S532" i="4"/>
  <c r="S1197" i="4"/>
  <c r="AD84" i="4"/>
  <c r="AD89" i="4" s="1"/>
  <c r="N122" i="2"/>
  <c r="N124" i="2" s="1"/>
  <c r="N118" i="2"/>
  <c r="N120" i="2" s="1"/>
  <c r="T549" i="4"/>
  <c r="V23" i="2" s="1"/>
  <c r="O122" i="2"/>
  <c r="O124" i="2" s="1"/>
  <c r="O118" i="2"/>
  <c r="O120" i="2" s="1"/>
  <c r="T663" i="4"/>
  <c r="T667" i="4" s="1"/>
  <c r="AF380" i="2"/>
  <c r="AB247" i="4"/>
  <c r="AE80" i="4"/>
  <c r="AE84" i="4" s="1"/>
  <c r="AG82" i="2"/>
  <c r="AG123" i="2" s="1"/>
  <c r="X330" i="4"/>
  <c r="Y328" i="4" s="1"/>
  <c r="Y329" i="4" s="1"/>
  <c r="U38" i="2"/>
  <c r="U350" i="2" s="1"/>
  <c r="S709" i="4"/>
  <c r="AF74" i="4"/>
  <c r="AF76" i="4" s="1"/>
  <c r="AF67" i="4"/>
  <c r="T705" i="4"/>
  <c r="V38" i="2" s="1"/>
  <c r="AG336" i="2"/>
  <c r="S251" i="4"/>
  <c r="S252" i="4" s="1"/>
  <c r="U83" i="2" s="1"/>
  <c r="U378" i="4"/>
  <c r="V376" i="4" s="1"/>
  <c r="V377" i="4" s="1"/>
  <c r="V381" i="4" s="1"/>
  <c r="T827" i="4"/>
  <c r="T852" i="4" s="1"/>
  <c r="AI219" i="2"/>
  <c r="AU1436" i="3"/>
  <c r="AB197" i="4"/>
  <c r="AG1089" i="4"/>
  <c r="AG1091" i="4" s="1"/>
  <c r="AG1079" i="4"/>
  <c r="AG1081" i="4" s="1"/>
  <c r="AG1059" i="4"/>
  <c r="AG1061" i="4" s="1"/>
  <c r="AG1039" i="4"/>
  <c r="AG1041" i="4" s="1"/>
  <c r="AG1029" i="4"/>
  <c r="AG1031" i="4" s="1"/>
  <c r="AG1019" i="4"/>
  <c r="AG1021" i="4" s="1"/>
  <c r="AG989" i="4"/>
  <c r="AG991" i="4" s="1"/>
  <c r="AG1151" i="4"/>
  <c r="AG1171" i="4"/>
  <c r="AG759" i="4"/>
  <c r="AG1084" i="4"/>
  <c r="AG1086" i="4" s="1"/>
  <c r="AG1034" i="4"/>
  <c r="AG1036" i="4" s="1"/>
  <c r="AG1146" i="4"/>
  <c r="AG984" i="4"/>
  <c r="AG986" i="4" s="1"/>
  <c r="AG994" i="4"/>
  <c r="AG996" i="4" s="1"/>
  <c r="AG595" i="4"/>
  <c r="AG1166" i="4"/>
  <c r="AG1044" i="4"/>
  <c r="AG1046" i="4" s="1"/>
  <c r="AG1181" i="4"/>
  <c r="AG1054" i="4"/>
  <c r="AG1056" i="4" s="1"/>
  <c r="AG656" i="4"/>
  <c r="AG1161" i="4"/>
  <c r="AG1176" i="4"/>
  <c r="AI81" i="2"/>
  <c r="AI80" i="2"/>
  <c r="AG820" i="4"/>
  <c r="R539" i="4"/>
  <c r="R536" i="4"/>
  <c r="AF370" i="4"/>
  <c r="Z307" i="4"/>
  <c r="Z311" i="4" s="1"/>
  <c r="Z275" i="4"/>
  <c r="Z279" i="4" s="1"/>
  <c r="Z323" i="4"/>
  <c r="Z327" i="4" s="1"/>
  <c r="Z355" i="4"/>
  <c r="Z359" i="4" s="1"/>
  <c r="Z387" i="4"/>
  <c r="Z391" i="4" s="1"/>
  <c r="Z259" i="4"/>
  <c r="Z263" i="4" s="1"/>
  <c r="Z291" i="4"/>
  <c r="Z295" i="4" s="1"/>
  <c r="Z371" i="4"/>
  <c r="Z375" i="4" s="1"/>
  <c r="Z339" i="4"/>
  <c r="Z343" i="4" s="1"/>
  <c r="U436" i="4"/>
  <c r="U437" i="4" s="1"/>
  <c r="U287" i="4"/>
  <c r="U288" i="4" s="1"/>
  <c r="V284" i="4" s="1"/>
  <c r="AH149" i="2"/>
  <c r="AH282" i="2"/>
  <c r="AE309" i="4"/>
  <c r="AI208" i="2"/>
  <c r="AI147" i="2"/>
  <c r="AJ147" i="2" s="1"/>
  <c r="AF338" i="4"/>
  <c r="AW1203" i="3"/>
  <c r="AX1203" i="3" s="1"/>
  <c r="AV1424" i="3"/>
  <c r="AG162" i="4" s="1"/>
  <c r="AA234" i="2"/>
  <c r="AA4" i="10"/>
  <c r="Z7" i="10"/>
  <c r="AI149" i="2"/>
  <c r="AI282" i="2"/>
  <c r="AW382" i="3"/>
  <c r="AX382" i="3" s="1"/>
  <c r="AV1445" i="3"/>
  <c r="AV1421" i="3"/>
  <c r="AG166" i="4" s="1"/>
  <c r="AG203" i="4"/>
  <c r="AG434" i="4"/>
  <c r="AG500" i="4"/>
  <c r="AG425" i="4"/>
  <c r="AG433" i="4" s="1"/>
  <c r="AG427" i="4" s="1"/>
  <c r="AG428" i="4" s="1"/>
  <c r="AG48" i="4"/>
  <c r="AG457" i="4"/>
  <c r="AG467" i="4"/>
  <c r="AG472" i="4"/>
  <c r="AG442" i="4"/>
  <c r="AG452" i="4"/>
  <c r="AG462" i="4"/>
  <c r="AG447" i="4"/>
  <c r="AE1103" i="4"/>
  <c r="AE959" i="4"/>
  <c r="AE960" i="4" s="1"/>
  <c r="AA843" i="4"/>
  <c r="AB838" i="4" s="1"/>
  <c r="AF49" i="4"/>
  <c r="AF50" i="4"/>
  <c r="AC201" i="4"/>
  <c r="AC944" i="4"/>
  <c r="U338" i="2"/>
  <c r="AG521" i="4"/>
  <c r="AG519" i="4"/>
  <c r="AI344" i="2" s="1"/>
  <c r="AJ344" i="2" s="1"/>
  <c r="AV1114" i="3"/>
  <c r="AU1446" i="3"/>
  <c r="AU1447" i="3" s="1"/>
  <c r="AU1430" i="3"/>
  <c r="AF167" i="4" s="1"/>
  <c r="AA249" i="4"/>
  <c r="AA255" i="4" s="1"/>
  <c r="W313" i="4"/>
  <c r="W317" i="4" s="1"/>
  <c r="AD679" i="4"/>
  <c r="AE674" i="4" s="1"/>
  <c r="AE341" i="4"/>
  <c r="AD1107" i="4"/>
  <c r="AD1110" i="4" s="1"/>
  <c r="AC954" i="4"/>
  <c r="AD953" i="4" s="1"/>
  <c r="AC1111" i="4"/>
  <c r="AC805" i="4"/>
  <c r="AC822" i="4" s="1"/>
  <c r="AC871" i="4" s="1"/>
  <c r="AE55" i="2" s="1"/>
  <c r="AC200" i="4"/>
  <c r="AB3" i="2"/>
  <c r="AC5" i="2"/>
  <c r="AB204" i="2"/>
  <c r="AB237" i="2"/>
  <c r="AB205" i="2"/>
  <c r="AB203" i="2"/>
  <c r="AB239" i="2"/>
  <c r="AB238" i="2"/>
  <c r="AB207" i="2"/>
  <c r="AB235" i="2"/>
  <c r="AB186" i="2"/>
  <c r="AB185" i="2" s="1"/>
  <c r="AB136" i="2" s="1"/>
  <c r="AB236" i="2"/>
  <c r="AB206" i="2"/>
  <c r="U398" i="4"/>
  <c r="R879" i="4"/>
  <c r="T60" i="2" s="1"/>
  <c r="S851" i="4"/>
  <c r="V778" i="4"/>
  <c r="V779" i="4" s="1"/>
  <c r="V816" i="4" s="1"/>
  <c r="V458" i="4"/>
  <c r="V459" i="4" s="1"/>
  <c r="V496" i="4" s="1"/>
  <c r="V614" i="4"/>
  <c r="V615" i="4" s="1"/>
  <c r="V652" i="4" s="1"/>
  <c r="V351" i="4"/>
  <c r="V352" i="4" s="1"/>
  <c r="W348" i="4" s="1"/>
  <c r="V36" i="2"/>
  <c r="AF150" i="2"/>
  <c r="S687" i="4"/>
  <c r="R715" i="4"/>
  <c r="T45" i="2" s="1"/>
  <c r="Z134" i="2"/>
  <c r="U366" i="4"/>
  <c r="R864" i="4"/>
  <c r="R860" i="4" s="1"/>
  <c r="R861" i="4" s="1"/>
  <c r="AG222" i="2"/>
  <c r="AH222" i="2" s="1"/>
  <c r="U53" i="2"/>
  <c r="S873" i="4"/>
  <c r="AJ144" i="2"/>
  <c r="AB962" i="4"/>
  <c r="R700" i="4"/>
  <c r="R696" i="4" s="1"/>
  <c r="R697" i="4" s="1"/>
  <c r="X346" i="4"/>
  <c r="Y344" i="4" s="1"/>
  <c r="Y345" i="4" s="1"/>
  <c r="Y349" i="4" s="1"/>
  <c r="AF202" i="4"/>
  <c r="AC485" i="4"/>
  <c r="AC502" i="4" s="1"/>
  <c r="AC551" i="4" s="1"/>
  <c r="AE25" i="2" s="1"/>
  <c r="AC198" i="4"/>
  <c r="T869" i="4"/>
  <c r="V53" i="2" s="1"/>
  <c r="AC242" i="4"/>
  <c r="AC948" i="4" s="1"/>
  <c r="AC239" i="4"/>
  <c r="AC489" i="4" s="1"/>
  <c r="AC506" i="4" s="1"/>
  <c r="AC240" i="4"/>
  <c r="AC645" i="4" s="1"/>
  <c r="AC662" i="4" s="1"/>
  <c r="AC241" i="4"/>
  <c r="AC809" i="4" s="1"/>
  <c r="AC826" i="4" s="1"/>
  <c r="AF974" i="4"/>
  <c r="AF1099" i="4" s="1"/>
  <c r="AF1100" i="4"/>
  <c r="AE976" i="4"/>
  <c r="AF973" i="4" s="1"/>
  <c r="S852" i="4"/>
  <c r="S831" i="4"/>
  <c r="AD376" i="2"/>
  <c r="AE684" i="4"/>
  <c r="AF681" i="4" s="1"/>
  <c r="AE325" i="4"/>
  <c r="AH252" i="2"/>
  <c r="AI251" i="2"/>
  <c r="AH154" i="2"/>
  <c r="W525" i="4"/>
  <c r="V1195" i="4"/>
  <c r="W518" i="4"/>
  <c r="AE169" i="4"/>
  <c r="L120" i="2"/>
  <c r="AE293" i="4"/>
  <c r="AF178" i="4"/>
  <c r="AF923" i="4"/>
  <c r="AF1140" i="4"/>
  <c r="AV762" i="3"/>
  <c r="AU1415" i="3"/>
  <c r="AF164" i="4" s="1"/>
  <c r="AU1392" i="3"/>
  <c r="AI74" i="2"/>
  <c r="AD730" i="4"/>
  <c r="AE726" i="4"/>
  <c r="AE729" i="4" s="1"/>
  <c r="AB248" i="4"/>
  <c r="AB964" i="4" s="1"/>
  <c r="AE389" i="4"/>
  <c r="AF534" i="4"/>
  <c r="L179" i="2"/>
  <c r="AU1448" i="3"/>
  <c r="AH109" i="2" s="1"/>
  <c r="AD377" i="2"/>
  <c r="AB949" i="4"/>
  <c r="U265" i="4"/>
  <c r="U269" i="4" s="1"/>
  <c r="AB256" i="2"/>
  <c r="AE229" i="4"/>
  <c r="AE487" i="4" s="1"/>
  <c r="AE504" i="4" s="1"/>
  <c r="AE232" i="4"/>
  <c r="AE946" i="4" s="1"/>
  <c r="AE231" i="4"/>
  <c r="AE807" i="4" s="1"/>
  <c r="AE824" i="4" s="1"/>
  <c r="AG65" i="4"/>
  <c r="AE1196" i="4"/>
  <c r="AE555" i="4"/>
  <c r="AH221" i="2"/>
  <c r="AI221" i="2" s="1"/>
  <c r="AG309" i="2"/>
  <c r="AF310" i="2"/>
  <c r="AG218" i="2"/>
  <c r="AF225" i="2"/>
  <c r="AW223" i="3"/>
  <c r="AX223" i="3" s="1"/>
  <c r="AV1403" i="3"/>
  <c r="AE220" i="4"/>
  <c r="AF354" i="4"/>
  <c r="AA950" i="4"/>
  <c r="AF1222" i="4"/>
  <c r="AF1234" i="4" s="1"/>
  <c r="AE373" i="4"/>
  <c r="AF311" i="2"/>
  <c r="AF312" i="2" s="1"/>
  <c r="Z34" i="4"/>
  <c r="Z35" i="4" s="1"/>
  <c r="Z1117" i="4"/>
  <c r="U453" i="4"/>
  <c r="U454" i="4" s="1"/>
  <c r="U495" i="4" s="1"/>
  <c r="U609" i="4"/>
  <c r="U610" i="4" s="1"/>
  <c r="U651" i="4" s="1"/>
  <c r="U773" i="4"/>
  <c r="U774" i="4" s="1"/>
  <c r="U815" i="4" s="1"/>
  <c r="U335" i="4"/>
  <c r="U336" i="4" s="1"/>
  <c r="V332" i="4" s="1"/>
  <c r="R556" i="4"/>
  <c r="R565" i="4"/>
  <c r="AF28" i="2"/>
  <c r="AF386" i="4"/>
  <c r="AH79" i="2"/>
  <c r="AF306" i="4"/>
  <c r="X282" i="4"/>
  <c r="Y280" i="4" s="1"/>
  <c r="AE234" i="4"/>
  <c r="AE488" i="4" s="1"/>
  <c r="AE505" i="4" s="1"/>
  <c r="AE237" i="4"/>
  <c r="AE947" i="4" s="1"/>
  <c r="AE235" i="4"/>
  <c r="AE644" i="4" s="1"/>
  <c r="AE661" i="4" s="1"/>
  <c r="AE236" i="4"/>
  <c r="AE808" i="4" s="1"/>
  <c r="AE825" i="4" s="1"/>
  <c r="X362" i="4"/>
  <c r="Y360" i="4" s="1"/>
  <c r="Y361" i="4" s="1"/>
  <c r="Y365" i="4" s="1"/>
  <c r="U605" i="4"/>
  <c r="U650" i="4" s="1"/>
  <c r="U704" i="4" s="1"/>
  <c r="W37" i="2" s="1"/>
  <c r="K37" i="2" s="1"/>
  <c r="I37" i="2" s="1"/>
  <c r="U449" i="4"/>
  <c r="U494" i="4" s="1"/>
  <c r="U548" i="4" s="1"/>
  <c r="W22" i="2" s="1"/>
  <c r="K22" i="2" s="1"/>
  <c r="I22" i="2" s="1"/>
  <c r="U769" i="4"/>
  <c r="U814" i="4" s="1"/>
  <c r="U868" i="4" s="1"/>
  <c r="W52" i="2" s="1"/>
  <c r="K52" i="2" s="1"/>
  <c r="I52" i="2" s="1"/>
  <c r="U319" i="4"/>
  <c r="U320" i="4" s="1"/>
  <c r="V316" i="4" s="1"/>
  <c r="U268" i="4"/>
  <c r="T402" i="4"/>
  <c r="T404" i="4"/>
  <c r="T407" i="4" s="1"/>
  <c r="V193" i="2" s="1"/>
  <c r="AE357" i="4"/>
  <c r="U443" i="4"/>
  <c r="U444" i="4" s="1"/>
  <c r="U493" i="4" s="1"/>
  <c r="U547" i="4" s="1"/>
  <c r="W21" i="2" s="1"/>
  <c r="K21" i="2" s="1"/>
  <c r="I21" i="2" s="1"/>
  <c r="U599" i="4"/>
  <c r="U600" i="4" s="1"/>
  <c r="U649" i="4" s="1"/>
  <c r="U763" i="4"/>
  <c r="U764" i="4" s="1"/>
  <c r="U813" i="4" s="1"/>
  <c r="U303" i="4"/>
  <c r="U304" i="4" s="1"/>
  <c r="V300" i="4" s="1"/>
  <c r="AA24" i="4"/>
  <c r="AA26" i="4" s="1"/>
  <c r="AA36" i="4" s="1"/>
  <c r="AB4" i="4"/>
  <c r="AH84" i="2"/>
  <c r="AF179" i="4"/>
  <c r="AD216" i="4"/>
  <c r="AD212" i="4" s="1"/>
  <c r="AA202" i="2"/>
  <c r="AT1436" i="3"/>
  <c r="V51" i="2"/>
  <c r="Y952" i="4"/>
  <c r="Y955" i="4" s="1"/>
  <c r="AA63" i="2" s="1"/>
  <c r="AA373" i="2" s="1"/>
  <c r="AA378" i="2" s="1"/>
  <c r="AA379" i="2" s="1"/>
  <c r="AD365" i="2"/>
  <c r="Y378" i="2"/>
  <c r="AB645" i="4"/>
  <c r="AB662" i="4" s="1"/>
  <c r="AB708" i="4" s="1"/>
  <c r="AD41" i="2" s="1"/>
  <c r="AD353" i="2" s="1"/>
  <c r="AB246" i="4"/>
  <c r="AH155" i="2"/>
  <c r="AH283" i="2"/>
  <c r="AW52" i="3"/>
  <c r="AX52" i="3" s="1"/>
  <c r="AV1400" i="3"/>
  <c r="AV1443" i="3"/>
  <c r="AF322" i="4"/>
  <c r="AA127" i="2"/>
  <c r="AA375" i="2"/>
  <c r="AV1448" i="3"/>
  <c r="AI109" i="2" s="1"/>
  <c r="W393" i="4"/>
  <c r="W397" i="4" s="1"/>
  <c r="AH74" i="2"/>
  <c r="T507" i="4"/>
  <c r="T546" i="4"/>
  <c r="AE28" i="2"/>
  <c r="AB245" i="4"/>
  <c r="AF135" i="2"/>
  <c r="AI155" i="2"/>
  <c r="AI283" i="2"/>
  <c r="AW1158" i="3"/>
  <c r="AX1158" i="3" s="1"/>
  <c r="AV1427" i="3"/>
  <c r="AG163" i="4" s="1"/>
  <c r="AF290" i="4"/>
  <c r="AB950" i="4"/>
  <c r="Y961" i="4"/>
  <c r="Y963" i="4" s="1"/>
  <c r="Y965" i="4" s="1"/>
  <c r="AX17" i="3"/>
  <c r="AI301" i="2"/>
  <c r="AI302" i="2" s="1"/>
  <c r="AI306" i="2" s="1"/>
  <c r="AW184" i="3"/>
  <c r="AX184" i="3" s="1"/>
  <c r="AV1444" i="3"/>
  <c r="AI220" i="2" s="1"/>
  <c r="AV1406" i="3"/>
  <c r="Y1098" i="4"/>
  <c r="Y971" i="4"/>
  <c r="AJ155" i="2" l="1"/>
  <c r="AE222" i="4"/>
  <c r="AE201" i="4" s="1"/>
  <c r="AE221" i="4"/>
  <c r="AE805" i="4" s="1"/>
  <c r="AE822" i="4" s="1"/>
  <c r="AE871" i="4" s="1"/>
  <c r="AG55" i="2" s="1"/>
  <c r="AE219" i="4"/>
  <c r="AE198" i="4" s="1"/>
  <c r="AG139" i="4"/>
  <c r="AF157" i="2"/>
  <c r="AD845" i="4"/>
  <c r="AD848" i="4" s="1"/>
  <c r="AI75" i="2"/>
  <c r="AI142" i="2" s="1"/>
  <c r="AD485" i="4"/>
  <c r="AD502" i="4" s="1"/>
  <c r="AD551" i="4" s="1"/>
  <c r="AF25" i="2" s="1"/>
  <c r="AG380" i="2"/>
  <c r="AH336" i="2"/>
  <c r="AF1257" i="4"/>
  <c r="AF1262" i="4" s="1"/>
  <c r="AF1267" i="4" s="1"/>
  <c r="AH95" i="2" s="1"/>
  <c r="AH111" i="2" s="1"/>
  <c r="AH151" i="2" s="1"/>
  <c r="AH150" i="2" s="1"/>
  <c r="AD174" i="4"/>
  <c r="AD180" i="4"/>
  <c r="AD189" i="4"/>
  <c r="AD181" i="4"/>
  <c r="AG184" i="4"/>
  <c r="AG218" i="4" s="1"/>
  <c r="AD641" i="4"/>
  <c r="AD658" i="4" s="1"/>
  <c r="AD707" i="4" s="1"/>
  <c r="AF40" i="2" s="1"/>
  <c r="AD805" i="4"/>
  <c r="AD822" i="4" s="1"/>
  <c r="AD871" i="4" s="1"/>
  <c r="AF55" i="2" s="1"/>
  <c r="AG178" i="4"/>
  <c r="AD227" i="4"/>
  <c r="AD945" i="4" s="1"/>
  <c r="AD226" i="4"/>
  <c r="AD806" i="4" s="1"/>
  <c r="AD823" i="4" s="1"/>
  <c r="AD224" i="4"/>
  <c r="AD486" i="4" s="1"/>
  <c r="AD503" i="4" s="1"/>
  <c r="AD225" i="4"/>
  <c r="AD642" i="4" s="1"/>
  <c r="AD659" i="4" s="1"/>
  <c r="AD201" i="4"/>
  <c r="AD197" i="4" s="1"/>
  <c r="U624" i="4"/>
  <c r="U625" i="4" s="1"/>
  <c r="U654" i="4" s="1"/>
  <c r="AE173" i="4"/>
  <c r="AE181" i="4" s="1"/>
  <c r="AG185" i="4"/>
  <c r="AC872" i="4"/>
  <c r="AE56" i="2" s="1"/>
  <c r="AE365" i="2" s="1"/>
  <c r="AC708" i="4"/>
  <c r="AE41" i="2" s="1"/>
  <c r="AE353" i="2" s="1"/>
  <c r="AH70" i="2"/>
  <c r="AF184" i="4"/>
  <c r="AF218" i="4" s="1"/>
  <c r="AF139" i="4"/>
  <c r="AF177" i="4" s="1"/>
  <c r="AC552" i="4"/>
  <c r="AE26" i="2" s="1"/>
  <c r="AE341" i="2" s="1"/>
  <c r="AG75" i="2"/>
  <c r="AG157" i="2" s="1"/>
  <c r="AE185" i="4"/>
  <c r="U383" i="4"/>
  <c r="U384" i="4" s="1"/>
  <c r="V380" i="4" s="1"/>
  <c r="V382" i="4" s="1"/>
  <c r="U468" i="4"/>
  <c r="U469" i="4" s="1"/>
  <c r="U498" i="4" s="1"/>
  <c r="T873" i="4"/>
  <c r="AF80" i="4"/>
  <c r="AF84" i="4" s="1"/>
  <c r="AE70" i="4"/>
  <c r="AH10" i="2"/>
  <c r="AH9" i="2" s="1"/>
  <c r="AH17" i="2" s="1"/>
  <c r="AF382" i="2"/>
  <c r="T688" i="4"/>
  <c r="AF976" i="4"/>
  <c r="AG973" i="4" s="1"/>
  <c r="X298" i="4"/>
  <c r="Y296" i="4" s="1"/>
  <c r="Y297" i="4" s="1"/>
  <c r="Y301" i="4" s="1"/>
  <c r="AF1235" i="4"/>
  <c r="Z952" i="4"/>
  <c r="Z955" i="4" s="1"/>
  <c r="AB63" i="2" s="1"/>
  <c r="AB373" i="2" s="1"/>
  <c r="AB378" i="2" s="1"/>
  <c r="AB379" i="2" s="1"/>
  <c r="AA952" i="4"/>
  <c r="AA955" i="4" s="1"/>
  <c r="AC63" i="2" s="1"/>
  <c r="AC373" i="2" s="1"/>
  <c r="AC378" i="2" s="1"/>
  <c r="AC379" i="2" s="1"/>
  <c r="AF169" i="4"/>
  <c r="T709" i="4"/>
  <c r="AC197" i="4"/>
  <c r="Z961" i="4"/>
  <c r="Z963" i="4" s="1"/>
  <c r="Z965" i="4" s="1"/>
  <c r="AC962" i="4"/>
  <c r="AE376" i="2"/>
  <c r="Y333" i="4"/>
  <c r="Y330" i="4"/>
  <c r="Z328" i="4" s="1"/>
  <c r="Z329" i="4" s="1"/>
  <c r="Z333" i="4" s="1"/>
  <c r="AG74" i="4"/>
  <c r="AG76" i="4" s="1"/>
  <c r="AG67" i="4"/>
  <c r="T831" i="4"/>
  <c r="U66" i="2"/>
  <c r="AF230" i="4"/>
  <c r="AF643" i="4" s="1"/>
  <c r="AF660" i="4" s="1"/>
  <c r="W394" i="4"/>
  <c r="X392" i="4" s="1"/>
  <c r="X393" i="4" s="1"/>
  <c r="X397" i="4" s="1"/>
  <c r="AH82" i="2"/>
  <c r="AH123" i="2" s="1"/>
  <c r="AC246" i="4"/>
  <c r="AB202" i="2"/>
  <c r="AB137" i="2" s="1"/>
  <c r="AB134" i="2" s="1"/>
  <c r="R882" i="4"/>
  <c r="T62" i="2" s="1"/>
  <c r="T48" i="2" s="1"/>
  <c r="S858" i="4"/>
  <c r="S694" i="4"/>
  <c r="R718" i="4"/>
  <c r="AF726" i="4"/>
  <c r="AF729" i="4" s="1"/>
  <c r="AE730" i="4"/>
  <c r="AW1114" i="3"/>
  <c r="AX1114" i="3" s="1"/>
  <c r="AV1446" i="3"/>
  <c r="AV1447" i="3" s="1"/>
  <c r="AV1449" i="3" s="1"/>
  <c r="AV1430" i="3"/>
  <c r="AG167" i="4" s="1"/>
  <c r="AG187" i="4" s="1"/>
  <c r="AG143" i="2"/>
  <c r="V350" i="2"/>
  <c r="W350" i="4"/>
  <c r="AG534" i="4"/>
  <c r="AF341" i="4"/>
  <c r="W523" i="4"/>
  <c r="Y346" i="4"/>
  <c r="Z344" i="4" s="1"/>
  <c r="Z345" i="4" s="1"/>
  <c r="Z349" i="4" s="1"/>
  <c r="U783" i="4"/>
  <c r="U784" i="4" s="1"/>
  <c r="U817" i="4" s="1"/>
  <c r="U463" i="4"/>
  <c r="U464" i="4" s="1"/>
  <c r="U497" i="4" s="1"/>
  <c r="U619" i="4"/>
  <c r="U620" i="4" s="1"/>
  <c r="U653" i="4" s="1"/>
  <c r="U367" i="4"/>
  <c r="U368" i="4" s="1"/>
  <c r="V364" i="4" s="1"/>
  <c r="AG202" i="4"/>
  <c r="R1193" i="4"/>
  <c r="R559" i="4"/>
  <c r="S531" i="4"/>
  <c r="T194" i="2"/>
  <c r="AG28" i="2"/>
  <c r="V362" i="2"/>
  <c r="AA34" i="4"/>
  <c r="AA35" i="4" s="1"/>
  <c r="AA1117" i="4"/>
  <c r="AF309" i="4"/>
  <c r="AG1222" i="4"/>
  <c r="AG1234" i="4" s="1"/>
  <c r="U270" i="4"/>
  <c r="AF684" i="4"/>
  <c r="AG681" i="4" s="1"/>
  <c r="S878" i="4"/>
  <c r="U59" i="2" s="1"/>
  <c r="S863" i="4"/>
  <c r="AE679" i="4"/>
  <c r="AF674" i="4" s="1"/>
  <c r="AE377" i="2"/>
  <c r="AC949" i="4"/>
  <c r="AG354" i="4"/>
  <c r="V318" i="4"/>
  <c r="AF187" i="4"/>
  <c r="AE199" i="4"/>
  <c r="AE641" i="4"/>
  <c r="AE658" i="4" s="1"/>
  <c r="AE707" i="4" s="1"/>
  <c r="AG40" i="2" s="1"/>
  <c r="AF1196" i="4"/>
  <c r="AF555" i="4"/>
  <c r="AC245" i="4"/>
  <c r="T363" i="2"/>
  <c r="AC247" i="4"/>
  <c r="AC248" i="4"/>
  <c r="AC964" i="4" s="1"/>
  <c r="AG322" i="4"/>
  <c r="AG1100" i="4"/>
  <c r="AG974" i="4"/>
  <c r="AG1099" i="4" s="1"/>
  <c r="AF293" i="4"/>
  <c r="AF188" i="4"/>
  <c r="AF238" i="4" s="1"/>
  <c r="U473" i="4"/>
  <c r="U474" i="4" s="1"/>
  <c r="U499" i="4" s="1"/>
  <c r="U793" i="4"/>
  <c r="U794" i="4" s="1"/>
  <c r="U819" i="4" s="1"/>
  <c r="U629" i="4"/>
  <c r="U630" i="4" s="1"/>
  <c r="U655" i="4" s="1"/>
  <c r="U399" i="4"/>
  <c r="U400" i="4" s="1"/>
  <c r="V396" i="4" s="1"/>
  <c r="AG290" i="4"/>
  <c r="AF389" i="4"/>
  <c r="AC950" i="4"/>
  <c r="T351" i="2"/>
  <c r="W314" i="4"/>
  <c r="X312" i="4" s="1"/>
  <c r="AG386" i="4"/>
  <c r="AG923" i="4"/>
  <c r="AG1140" i="4"/>
  <c r="V302" i="4"/>
  <c r="U362" i="2"/>
  <c r="S714" i="4"/>
  <c r="U44" i="2" s="1"/>
  <c r="S699" i="4"/>
  <c r="AG370" i="4"/>
  <c r="AJ149" i="2"/>
  <c r="AI79" i="2"/>
  <c r="Y1101" i="4"/>
  <c r="Z968" i="4"/>
  <c r="U867" i="4"/>
  <c r="W528" i="4"/>
  <c r="AI84" i="2"/>
  <c r="AG179" i="4"/>
  <c r="AA323" i="4"/>
  <c r="AA327" i="4" s="1"/>
  <c r="AA339" i="4"/>
  <c r="AA343" i="4" s="1"/>
  <c r="AA355" i="4"/>
  <c r="AA359" i="4" s="1"/>
  <c r="AA259" i="4"/>
  <c r="AA263" i="4" s="1"/>
  <c r="AA275" i="4"/>
  <c r="AA279" i="4" s="1"/>
  <c r="AA307" i="4"/>
  <c r="AA311" i="4" s="1"/>
  <c r="AA387" i="4"/>
  <c r="AA391" i="4" s="1"/>
  <c r="AA291" i="4"/>
  <c r="AA295" i="4" s="1"/>
  <c r="AA371" i="4"/>
  <c r="AA375" i="4" s="1"/>
  <c r="AI154" i="2"/>
  <c r="AJ154" i="2" s="1"/>
  <c r="AI252" i="2"/>
  <c r="AE216" i="4"/>
  <c r="AE212" i="4" s="1"/>
  <c r="V286" i="4"/>
  <c r="AB249" i="4"/>
  <c r="AB255" i="4" s="1"/>
  <c r="AG135" i="2"/>
  <c r="Y379" i="2"/>
  <c r="AX1392" i="3"/>
  <c r="V378" i="4"/>
  <c r="W376" i="4" s="1"/>
  <c r="AC256" i="2"/>
  <c r="R544" i="4"/>
  <c r="R540" i="4" s="1"/>
  <c r="R541" i="4" s="1"/>
  <c r="T251" i="4"/>
  <c r="V20" i="2"/>
  <c r="T553" i="4"/>
  <c r="AF325" i="4"/>
  <c r="AC4" i="4"/>
  <c r="AB24" i="4"/>
  <c r="AB26" i="4" s="1"/>
  <c r="AB36" i="4" s="1"/>
  <c r="AF357" i="4"/>
  <c r="U266" i="4"/>
  <c r="L180" i="2"/>
  <c r="K180" i="2" s="1"/>
  <c r="AW762" i="3"/>
  <c r="AX762" i="3" s="1"/>
  <c r="AV1415" i="3"/>
  <c r="AG164" i="4" s="1"/>
  <c r="AC3" i="2"/>
  <c r="AD5" i="2"/>
  <c r="AC204" i="2"/>
  <c r="AC206" i="2"/>
  <c r="AC239" i="2"/>
  <c r="AC237" i="2"/>
  <c r="AC205" i="2"/>
  <c r="AC238" i="2"/>
  <c r="AC207" i="2"/>
  <c r="AC203" i="2"/>
  <c r="AC235" i="2"/>
  <c r="AC236" i="2"/>
  <c r="AC186" i="2"/>
  <c r="AC185" i="2" s="1"/>
  <c r="AC136" i="2" s="1"/>
  <c r="AG306" i="4"/>
  <c r="T532" i="4"/>
  <c r="T511" i="4"/>
  <c r="T1197" i="4"/>
  <c r="AA137" i="2"/>
  <c r="U703" i="4"/>
  <c r="Y281" i="4"/>
  <c r="Y285" i="4" s="1"/>
  <c r="L258" i="2"/>
  <c r="AE89" i="4"/>
  <c r="AG382" i="2"/>
  <c r="AB127" i="2"/>
  <c r="AB843" i="4"/>
  <c r="AC838" i="4" s="1"/>
  <c r="AG338" i="4"/>
  <c r="AA7" i="10"/>
  <c r="AB4" i="10"/>
  <c r="V334" i="4"/>
  <c r="AF1103" i="4"/>
  <c r="AF959" i="4"/>
  <c r="AF960" i="4" s="1"/>
  <c r="AF1104" i="4" s="1"/>
  <c r="AA961" i="4"/>
  <c r="AA963" i="4" s="1"/>
  <c r="AA965" i="4" s="1"/>
  <c r="AC375" i="2"/>
  <c r="AD242" i="4"/>
  <c r="AD239" i="4"/>
  <c r="AD240" i="4"/>
  <c r="AD241" i="4"/>
  <c r="AG310" i="2"/>
  <c r="AG311" i="2" s="1"/>
  <c r="AG312" i="2" s="1"/>
  <c r="AH218" i="2"/>
  <c r="AH309" i="2"/>
  <c r="AG225" i="2"/>
  <c r="AB234" i="2"/>
  <c r="AE1107" i="4"/>
  <c r="AE1110" i="4" s="1"/>
  <c r="AD1111" i="4"/>
  <c r="AD954" i="4"/>
  <c r="AE953" i="4" s="1"/>
  <c r="AG49" i="4"/>
  <c r="AG50" i="4"/>
  <c r="AF373" i="4"/>
  <c r="AB375" i="2"/>
  <c r="Y362" i="4"/>
  <c r="Z360" i="4" s="1"/>
  <c r="AJ109" i="2"/>
  <c r="AF229" i="4"/>
  <c r="AF487" i="4" s="1"/>
  <c r="AF504" i="4" s="1"/>
  <c r="AF231" i="4"/>
  <c r="AF807" i="4" s="1"/>
  <c r="AF824" i="4" s="1"/>
  <c r="AF232" i="4"/>
  <c r="AF946" i="4" s="1"/>
  <c r="AU1449" i="3"/>
  <c r="AE1104" i="4"/>
  <c r="AV1392" i="3"/>
  <c r="AE200" i="4" l="1"/>
  <c r="AE944" i="4"/>
  <c r="AE485" i="4"/>
  <c r="AE502" i="4" s="1"/>
  <c r="AE551" i="4" s="1"/>
  <c r="AG25" i="2" s="1"/>
  <c r="AE845" i="4"/>
  <c r="AE848" i="4" s="1"/>
  <c r="AI157" i="2"/>
  <c r="AI10" i="2"/>
  <c r="AI9" i="2" s="1"/>
  <c r="AG1257" i="4"/>
  <c r="AG1262" i="4" s="1"/>
  <c r="AG1267" i="4" s="1"/>
  <c r="AI95" i="2" s="1"/>
  <c r="AF173" i="4"/>
  <c r="AF180" i="4" s="1"/>
  <c r="AF222" i="4"/>
  <c r="AF944" i="4" s="1"/>
  <c r="AF219" i="4"/>
  <c r="AF485" i="4" s="1"/>
  <c r="AF502" i="4" s="1"/>
  <c r="AF551" i="4" s="1"/>
  <c r="AH25" i="2" s="1"/>
  <c r="AE180" i="4"/>
  <c r="AG226" i="4"/>
  <c r="AG806" i="4" s="1"/>
  <c r="AG823" i="4" s="1"/>
  <c r="AG142" i="2"/>
  <c r="AF221" i="4"/>
  <c r="AF805" i="4" s="1"/>
  <c r="AF822" i="4" s="1"/>
  <c r="AF871" i="4" s="1"/>
  <c r="AH55" i="2" s="1"/>
  <c r="AE224" i="4"/>
  <c r="AE486" i="4" s="1"/>
  <c r="AE503" i="4" s="1"/>
  <c r="AE226" i="4"/>
  <c r="AE806" i="4" s="1"/>
  <c r="AE823" i="4" s="1"/>
  <c r="AE227" i="4"/>
  <c r="AE945" i="4" s="1"/>
  <c r="AE225" i="4"/>
  <c r="AE642" i="4" s="1"/>
  <c r="AE659" i="4" s="1"/>
  <c r="AE174" i="4"/>
  <c r="AH75" i="2"/>
  <c r="AF185" i="4"/>
  <c r="AE189" i="4"/>
  <c r="AF220" i="4"/>
  <c r="AF70" i="4"/>
  <c r="AD962" i="4"/>
  <c r="AH380" i="2"/>
  <c r="AG1235" i="4"/>
  <c r="AI336" i="2"/>
  <c r="AJ336" i="2" s="1"/>
  <c r="AG80" i="4"/>
  <c r="AG84" i="4" s="1"/>
  <c r="AG976" i="4"/>
  <c r="AG227" i="4"/>
  <c r="AG945" i="4" s="1"/>
  <c r="U705" i="4"/>
  <c r="W38" i="2" s="1"/>
  <c r="K38" i="2" s="1"/>
  <c r="I38" i="2" s="1"/>
  <c r="Y298" i="4"/>
  <c r="Z296" i="4" s="1"/>
  <c r="Z297" i="4" s="1"/>
  <c r="Z301" i="4" s="1"/>
  <c r="U827" i="4"/>
  <c r="U852" i="4" s="1"/>
  <c r="R884" i="4"/>
  <c r="R886" i="4" s="1"/>
  <c r="R887" i="4" s="1"/>
  <c r="R888" i="4" s="1"/>
  <c r="AB952" i="4"/>
  <c r="AB955" i="4" s="1"/>
  <c r="AD63" i="2" s="1"/>
  <c r="AD373" i="2" s="1"/>
  <c r="AD378" i="2" s="1"/>
  <c r="AD379" i="2" s="1"/>
  <c r="U549" i="4"/>
  <c r="W23" i="2" s="1"/>
  <c r="K23" i="2" s="1"/>
  <c r="I23" i="2" s="1"/>
  <c r="AG177" i="4"/>
  <c r="AB961" i="4"/>
  <c r="AB963" i="4" s="1"/>
  <c r="AB965" i="4" s="1"/>
  <c r="U663" i="4"/>
  <c r="U688" i="4" s="1"/>
  <c r="U869" i="4"/>
  <c r="W53" i="2" s="1"/>
  <c r="K53" i="2" s="1"/>
  <c r="I53" i="2" s="1"/>
  <c r="AF376" i="2"/>
  <c r="AD375" i="2"/>
  <c r="AC202" i="2"/>
  <c r="AC137" i="2" s="1"/>
  <c r="AC134" i="2" s="1"/>
  <c r="AG234" i="4"/>
  <c r="AG488" i="4" s="1"/>
  <c r="AG505" i="4" s="1"/>
  <c r="AG236" i="4"/>
  <c r="AG808" i="4" s="1"/>
  <c r="AG825" i="4" s="1"/>
  <c r="AG237" i="4"/>
  <c r="AG947" i="4" s="1"/>
  <c r="AG235" i="4"/>
  <c r="AG644" i="4" s="1"/>
  <c r="AG661" i="4" s="1"/>
  <c r="R1194" i="4"/>
  <c r="S538" i="4"/>
  <c r="R562" i="4"/>
  <c r="T85" i="2" s="1"/>
  <c r="T87" i="2" s="1"/>
  <c r="T195" i="2"/>
  <c r="T192" i="2" s="1"/>
  <c r="X525" i="4"/>
  <c r="X313" i="4"/>
  <c r="X317" i="4" s="1"/>
  <c r="AG309" i="4"/>
  <c r="AG684" i="4"/>
  <c r="AB323" i="4"/>
  <c r="AB327" i="4" s="1"/>
  <c r="AB355" i="4"/>
  <c r="AB359" i="4" s="1"/>
  <c r="AB275" i="4"/>
  <c r="AB279" i="4" s="1"/>
  <c r="AB387" i="4"/>
  <c r="AB391" i="4" s="1"/>
  <c r="AB307" i="4"/>
  <c r="AB311" i="4" s="1"/>
  <c r="AB259" i="4"/>
  <c r="AB263" i="4" s="1"/>
  <c r="AB291" i="4"/>
  <c r="AB295" i="4" s="1"/>
  <c r="AB371" i="4"/>
  <c r="AB375" i="4" s="1"/>
  <c r="AB339" i="4"/>
  <c r="AB343" i="4" s="1"/>
  <c r="Z330" i="4"/>
  <c r="AA328" i="4" s="1"/>
  <c r="AA329" i="4" s="1"/>
  <c r="AA333" i="4" s="1"/>
  <c r="L181" i="2"/>
  <c r="W51" i="2"/>
  <c r="U403" i="4"/>
  <c r="V264" i="4"/>
  <c r="AE197" i="4"/>
  <c r="AW1392" i="3"/>
  <c r="AA134" i="2"/>
  <c r="Z1098" i="4"/>
  <c r="Z971" i="4"/>
  <c r="AG357" i="4"/>
  <c r="Y282" i="4"/>
  <c r="Z280" i="4" s="1"/>
  <c r="V366" i="4"/>
  <c r="AF216" i="4"/>
  <c r="AF212" i="4" s="1"/>
  <c r="AD645" i="4"/>
  <c r="AD662" i="4" s="1"/>
  <c r="AD708" i="4" s="1"/>
  <c r="AF41" i="2" s="1"/>
  <c r="AF353" i="2" s="1"/>
  <c r="AD246" i="4"/>
  <c r="X394" i="4"/>
  <c r="Y392" i="4" s="1"/>
  <c r="AB34" i="4"/>
  <c r="AB35" i="4" s="1"/>
  <c r="AB1117" i="4"/>
  <c r="AC249" i="4"/>
  <c r="AC255" i="4" s="1"/>
  <c r="AF679" i="4"/>
  <c r="AG674" i="4" s="1"/>
  <c r="Z346" i="4"/>
  <c r="AA344" i="4" s="1"/>
  <c r="S717" i="4"/>
  <c r="U46" i="2" s="1"/>
  <c r="AI82" i="2"/>
  <c r="AI123" i="2" s="1"/>
  <c r="AJ123" i="2" s="1"/>
  <c r="M258" i="2"/>
  <c r="L262" i="2"/>
  <c r="L263" i="2" s="1"/>
  <c r="L266" i="2" s="1"/>
  <c r="AB7" i="10"/>
  <c r="AC4" i="10"/>
  <c r="AG293" i="4"/>
  <c r="AF235" i="4"/>
  <c r="AF234" i="4"/>
  <c r="AF488" i="4" s="1"/>
  <c r="AF505" i="4" s="1"/>
  <c r="AF236" i="4"/>
  <c r="AF808" i="4" s="1"/>
  <c r="AF825" i="4" s="1"/>
  <c r="AF237" i="4"/>
  <c r="AF947" i="4" s="1"/>
  <c r="AG229" i="4"/>
  <c r="AG487" i="4" s="1"/>
  <c r="AG504" i="4" s="1"/>
  <c r="AG224" i="4"/>
  <c r="AG486" i="4" s="1"/>
  <c r="AG503" i="4" s="1"/>
  <c r="AG219" i="4"/>
  <c r="AG221" i="4"/>
  <c r="AG222" i="4"/>
  <c r="AG231" i="4"/>
  <c r="AG807" i="4" s="1"/>
  <c r="AG824" i="4" s="1"/>
  <c r="AG232" i="4"/>
  <c r="AG946" i="4" s="1"/>
  <c r="V624" i="4"/>
  <c r="V625" i="4" s="1"/>
  <c r="V654" i="4" s="1"/>
  <c r="V788" i="4"/>
  <c r="V789" i="4" s="1"/>
  <c r="V818" i="4" s="1"/>
  <c r="V468" i="4"/>
  <c r="V469" i="4" s="1"/>
  <c r="V498" i="4" s="1"/>
  <c r="V383" i="4"/>
  <c r="V384" i="4" s="1"/>
  <c r="W380" i="4" s="1"/>
  <c r="V605" i="4"/>
  <c r="V650" i="4" s="1"/>
  <c r="V704" i="4" s="1"/>
  <c r="X37" i="2" s="1"/>
  <c r="V769" i="4"/>
  <c r="V814" i="4" s="1"/>
  <c r="V868" i="4" s="1"/>
  <c r="X52" i="2" s="1"/>
  <c r="V449" i="4"/>
  <c r="V494" i="4" s="1"/>
  <c r="V548" i="4" s="1"/>
  <c r="X22" i="2" s="1"/>
  <c r="V319" i="4"/>
  <c r="V320" i="4" s="1"/>
  <c r="W316" i="4" s="1"/>
  <c r="AG220" i="4"/>
  <c r="AG225" i="4"/>
  <c r="AG642" i="4" s="1"/>
  <c r="AG659" i="4" s="1"/>
  <c r="AC843" i="4"/>
  <c r="AD838" i="4" s="1"/>
  <c r="AG1196" i="4"/>
  <c r="AG555" i="4"/>
  <c r="V436" i="4"/>
  <c r="V437" i="4" s="1"/>
  <c r="V287" i="4"/>
  <c r="V288" i="4" s="1"/>
  <c r="W284" i="4" s="1"/>
  <c r="V443" i="4"/>
  <c r="V444" i="4" s="1"/>
  <c r="V493" i="4" s="1"/>
  <c r="V547" i="4" s="1"/>
  <c r="X21" i="2" s="1"/>
  <c r="V599" i="4"/>
  <c r="V600" i="4" s="1"/>
  <c r="V649" i="4" s="1"/>
  <c r="V763" i="4"/>
  <c r="V764" i="4" s="1"/>
  <c r="V813" i="4" s="1"/>
  <c r="V303" i="4"/>
  <c r="V304" i="4" s="1"/>
  <c r="W300" i="4" s="1"/>
  <c r="T361" i="2"/>
  <c r="W778" i="4"/>
  <c r="W779" i="4" s="1"/>
  <c r="W816" i="4" s="1"/>
  <c r="W458" i="4"/>
  <c r="W459" i="4" s="1"/>
  <c r="W496" i="4" s="1"/>
  <c r="W614" i="4"/>
  <c r="W615" i="4" s="1"/>
  <c r="W652" i="4" s="1"/>
  <c r="W351" i="4"/>
  <c r="W352" i="4" s="1"/>
  <c r="X348" i="4" s="1"/>
  <c r="AD950" i="4"/>
  <c r="AE241" i="4"/>
  <c r="AE239" i="4"/>
  <c r="AE240" i="4"/>
  <c r="AE242" i="4"/>
  <c r="T47" i="2"/>
  <c r="R720" i="4"/>
  <c r="R722" i="4" s="1"/>
  <c r="R723" i="4" s="1"/>
  <c r="R724" i="4" s="1"/>
  <c r="AC24" i="4"/>
  <c r="AC26" i="4" s="1"/>
  <c r="AC36" i="4" s="1"/>
  <c r="AD4" i="4"/>
  <c r="AI222" i="2"/>
  <c r="AF1107" i="4"/>
  <c r="AF1110" i="4" s="1"/>
  <c r="AE1111" i="4"/>
  <c r="AE954" i="4"/>
  <c r="AF953" i="4" s="1"/>
  <c r="T364" i="2"/>
  <c r="S689" i="4"/>
  <c r="S691" i="4"/>
  <c r="AF730" i="4"/>
  <c r="AG726" i="4"/>
  <c r="AG729" i="4" s="1"/>
  <c r="AG341" i="4"/>
  <c r="AC127" i="2"/>
  <c r="AH135" i="2"/>
  <c r="V398" i="4"/>
  <c r="U430" i="4"/>
  <c r="U431" i="4" s="1"/>
  <c r="U492" i="4" s="1"/>
  <c r="U271" i="4"/>
  <c r="U272" i="4" s="1"/>
  <c r="AC234" i="2"/>
  <c r="AG325" i="4"/>
  <c r="AG230" i="4"/>
  <c r="AG643" i="4" s="1"/>
  <c r="AG660" i="4" s="1"/>
  <c r="AF89" i="4"/>
  <c r="AH382" i="2"/>
  <c r="V338" i="2"/>
  <c r="AH310" i="2"/>
  <c r="AH311" i="2" s="1"/>
  <c r="AH312" i="2" s="1"/>
  <c r="AI218" i="2"/>
  <c r="AI309" i="2"/>
  <c r="AH225" i="2"/>
  <c r="W36" i="2"/>
  <c r="V66" i="2"/>
  <c r="T252" i="4"/>
  <c r="V83" i="2" s="1"/>
  <c r="Z361" i="4"/>
  <c r="Z365" i="4" s="1"/>
  <c r="AH143" i="2"/>
  <c r="AV1436" i="3"/>
  <c r="AD809" i="4"/>
  <c r="AD826" i="4" s="1"/>
  <c r="AD872" i="4" s="1"/>
  <c r="AF56" i="2" s="1"/>
  <c r="AF365" i="2" s="1"/>
  <c r="AD247" i="4"/>
  <c r="AD489" i="4"/>
  <c r="AD506" i="4" s="1"/>
  <c r="AD552" i="4" s="1"/>
  <c r="AF26" i="2" s="1"/>
  <c r="AF341" i="2" s="1"/>
  <c r="AD245" i="4"/>
  <c r="V453" i="4"/>
  <c r="V454" i="4" s="1"/>
  <c r="V495" i="4" s="1"/>
  <c r="V773" i="4"/>
  <c r="V774" i="4" s="1"/>
  <c r="V815" i="4" s="1"/>
  <c r="V609" i="4"/>
  <c r="V610" i="4" s="1"/>
  <c r="V651" i="4" s="1"/>
  <c r="V335" i="4"/>
  <c r="V336" i="4" s="1"/>
  <c r="W332" i="4" s="1"/>
  <c r="AH28" i="2"/>
  <c r="S881" i="4"/>
  <c r="U61" i="2" s="1"/>
  <c r="AD948" i="4"/>
  <c r="AD248" i="4"/>
  <c r="AD964" i="4" s="1"/>
  <c r="AD3" i="2"/>
  <c r="AE5" i="2"/>
  <c r="AD204" i="2"/>
  <c r="AD239" i="2"/>
  <c r="AD237" i="2"/>
  <c r="AD205" i="2"/>
  <c r="AD238" i="2"/>
  <c r="AD206" i="2"/>
  <c r="AD207" i="2"/>
  <c r="AD203" i="2"/>
  <c r="AD186" i="2"/>
  <c r="AD185" i="2" s="1"/>
  <c r="AD235" i="2"/>
  <c r="AD236" i="2"/>
  <c r="AD256" i="2"/>
  <c r="AG188" i="4"/>
  <c r="AG238" i="4" s="1"/>
  <c r="AG373" i="4"/>
  <c r="S853" i="4"/>
  <c r="S855" i="4"/>
  <c r="S558" i="4"/>
  <c r="S543" i="4"/>
  <c r="AG169" i="4"/>
  <c r="AG173" i="4" s="1"/>
  <c r="W377" i="4"/>
  <c r="W381" i="4" s="1"/>
  <c r="AG389" i="4"/>
  <c r="AG1103" i="4"/>
  <c r="AG959" i="4"/>
  <c r="AG960" i="4" s="1"/>
  <c r="AG1104" i="4" s="1"/>
  <c r="T30" i="2"/>
  <c r="W1195" i="4"/>
  <c r="X518" i="4"/>
  <c r="AF845" i="4" l="1"/>
  <c r="AF848" i="4" s="1"/>
  <c r="AF198" i="4"/>
  <c r="AJ95" i="2"/>
  <c r="AJ111" i="2" s="1"/>
  <c r="AI111" i="2"/>
  <c r="AI151" i="2" s="1"/>
  <c r="AJ10" i="2"/>
  <c r="AF201" i="4"/>
  <c r="AF189" i="4"/>
  <c r="AF181" i="4"/>
  <c r="AF200" i="4"/>
  <c r="AF226" i="4"/>
  <c r="AF806" i="4" s="1"/>
  <c r="AF823" i="4" s="1"/>
  <c r="AF225" i="4"/>
  <c r="AF642" i="4" s="1"/>
  <c r="AF659" i="4" s="1"/>
  <c r="AF227" i="4"/>
  <c r="AF945" i="4" s="1"/>
  <c r="AF224" i="4"/>
  <c r="AF486" i="4" s="1"/>
  <c r="AF503" i="4" s="1"/>
  <c r="AF174" i="4"/>
  <c r="AH142" i="2"/>
  <c r="AJ142" i="2" s="1"/>
  <c r="AH157" i="2"/>
  <c r="AJ157" i="2" s="1"/>
  <c r="AF199" i="4"/>
  <c r="AF641" i="4"/>
  <c r="AF658" i="4" s="1"/>
  <c r="AF707" i="4" s="1"/>
  <c r="AH40" i="2" s="1"/>
  <c r="U831" i="4"/>
  <c r="AE375" i="2"/>
  <c r="U873" i="4"/>
  <c r="U709" i="4"/>
  <c r="AG70" i="4"/>
  <c r="Z362" i="4"/>
  <c r="AA360" i="4" s="1"/>
  <c r="AA361" i="4" s="1"/>
  <c r="AA365" i="4" s="1"/>
  <c r="AE962" i="4"/>
  <c r="U667" i="4"/>
  <c r="AC961" i="4"/>
  <c r="AC963" i="4" s="1"/>
  <c r="AC965" i="4" s="1"/>
  <c r="X314" i="4"/>
  <c r="Y312" i="4" s="1"/>
  <c r="Y313" i="4" s="1"/>
  <c r="Y317" i="4" s="1"/>
  <c r="AD202" i="2"/>
  <c r="AD137" i="2" s="1"/>
  <c r="T273" i="2"/>
  <c r="T129" i="2"/>
  <c r="T146" i="2"/>
  <c r="AE3" i="2"/>
  <c r="AF5" i="2"/>
  <c r="AE235" i="2"/>
  <c r="AE203" i="2"/>
  <c r="AE238" i="2"/>
  <c r="AE206" i="2"/>
  <c r="AE204" i="2"/>
  <c r="AE237" i="2"/>
  <c r="AE186" i="2"/>
  <c r="AE185" i="2" s="1"/>
  <c r="AE136" i="2" s="1"/>
  <c r="AE239" i="2"/>
  <c r="AE205" i="2"/>
  <c r="AE236" i="2"/>
  <c r="AE207" i="2"/>
  <c r="W378" i="4"/>
  <c r="X376" i="4" s="1"/>
  <c r="AF377" i="2"/>
  <c r="AD949" i="4"/>
  <c r="AF644" i="4"/>
  <c r="AF661" i="4" s="1"/>
  <c r="T339" i="2"/>
  <c r="W382" i="4"/>
  <c r="AE256" i="2"/>
  <c r="AI310" i="2"/>
  <c r="AI311" i="2" s="1"/>
  <c r="AI312" i="2" s="1"/>
  <c r="AI225" i="2"/>
  <c r="V463" i="4"/>
  <c r="V464" i="4" s="1"/>
  <c r="V497" i="4" s="1"/>
  <c r="V619" i="4"/>
  <c r="V620" i="4" s="1"/>
  <c r="V653" i="4" s="1"/>
  <c r="V783" i="4"/>
  <c r="V784" i="4" s="1"/>
  <c r="V817" i="4" s="1"/>
  <c r="V367" i="4"/>
  <c r="V368" i="4" s="1"/>
  <c r="W364" i="4" s="1"/>
  <c r="S561" i="4"/>
  <c r="U31" i="2" s="1"/>
  <c r="AG679" i="4"/>
  <c r="W302" i="4"/>
  <c r="AD127" i="2"/>
  <c r="AE645" i="4"/>
  <c r="AE662" i="4" s="1"/>
  <c r="AE708" i="4" s="1"/>
  <c r="AG41" i="2" s="1"/>
  <c r="AG353" i="2" s="1"/>
  <c r="AE246" i="4"/>
  <c r="U546" i="4"/>
  <c r="U507" i="4"/>
  <c r="V703" i="4"/>
  <c r="AC339" i="4"/>
  <c r="AC343" i="4" s="1"/>
  <c r="AC355" i="4"/>
  <c r="AC359" i="4" s="1"/>
  <c r="AC371" i="4"/>
  <c r="AC375" i="4" s="1"/>
  <c r="AC275" i="4"/>
  <c r="AC279" i="4" s="1"/>
  <c r="AC387" i="4"/>
  <c r="AC391" i="4" s="1"/>
  <c r="AC307" i="4"/>
  <c r="AC311" i="4" s="1"/>
  <c r="AC259" i="4"/>
  <c r="AC263" i="4" s="1"/>
  <c r="AC291" i="4"/>
  <c r="AC295" i="4" s="1"/>
  <c r="AC323" i="4"/>
  <c r="AC327" i="4" s="1"/>
  <c r="V793" i="4"/>
  <c r="V794" i="4" s="1"/>
  <c r="V819" i="4" s="1"/>
  <c r="V629" i="4"/>
  <c r="V630" i="4" s="1"/>
  <c r="V655" i="4" s="1"/>
  <c r="V473" i="4"/>
  <c r="V474" i="4" s="1"/>
  <c r="V499" i="4" s="1"/>
  <c r="V399" i="4"/>
  <c r="V400" i="4" s="1"/>
  <c r="W396" i="4" s="1"/>
  <c r="AE809" i="4"/>
  <c r="AE826" i="4" s="1"/>
  <c r="AE872" i="4" s="1"/>
  <c r="AG56" i="2" s="1"/>
  <c r="AG365" i="2" s="1"/>
  <c r="AE247" i="4"/>
  <c r="Y393" i="4"/>
  <c r="Y397" i="4" s="1"/>
  <c r="AD843" i="4"/>
  <c r="AE838" i="4" s="1"/>
  <c r="N258" i="2"/>
  <c r="M262" i="2"/>
  <c r="M263" i="2" s="1"/>
  <c r="M266" i="2" s="1"/>
  <c r="AA968" i="4"/>
  <c r="Z1101" i="4"/>
  <c r="AG216" i="4"/>
  <c r="AG212" i="4" s="1"/>
  <c r="U29" i="2"/>
  <c r="W334" i="4"/>
  <c r="W286" i="4"/>
  <c r="AG944" i="4"/>
  <c r="AG201" i="4"/>
  <c r="AG730" i="4"/>
  <c r="T366" i="2"/>
  <c r="AE948" i="4"/>
  <c r="AE248" i="4"/>
  <c r="AE964" i="4" s="1"/>
  <c r="Z281" i="4"/>
  <c r="Z285" i="4" s="1"/>
  <c r="V867" i="4"/>
  <c r="S533" i="4"/>
  <c r="S535" i="4"/>
  <c r="AE489" i="4"/>
  <c r="AE506" i="4" s="1"/>
  <c r="AE552" i="4" s="1"/>
  <c r="AG26" i="2" s="1"/>
  <c r="AG341" i="2" s="1"/>
  <c r="AE245" i="4"/>
  <c r="AA330" i="4"/>
  <c r="AB328" i="4" s="1"/>
  <c r="AB329" i="4" s="1"/>
  <c r="AB333" i="4" s="1"/>
  <c r="AD136" i="2"/>
  <c r="S876" i="4"/>
  <c r="S885" i="4"/>
  <c r="AG1107" i="4"/>
  <c r="AG1110" i="4" s="1"/>
  <c r="AF1111" i="4"/>
  <c r="AF954" i="4"/>
  <c r="AG953" i="4" s="1"/>
  <c r="AC952" i="4"/>
  <c r="AC955" i="4" s="1"/>
  <c r="AE63" i="2" s="1"/>
  <c r="AE373" i="2" s="1"/>
  <c r="AG200" i="4"/>
  <c r="AG805" i="4"/>
  <c r="AG822" i="4" s="1"/>
  <c r="AG871" i="4" s="1"/>
  <c r="AI55" i="2" s="1"/>
  <c r="Z298" i="4"/>
  <c r="AA296" i="4" s="1"/>
  <c r="AG376" i="2"/>
  <c r="V265" i="4"/>
  <c r="V269" i="4" s="1"/>
  <c r="X523" i="4"/>
  <c r="X350" i="4"/>
  <c r="W318" i="4"/>
  <c r="W350" i="2"/>
  <c r="K350" i="2" s="1"/>
  <c r="K36" i="2"/>
  <c r="I36" i="2" s="1"/>
  <c r="M180" i="2"/>
  <c r="M181" i="2" s="1"/>
  <c r="L265" i="2"/>
  <c r="AG89" i="4"/>
  <c r="T32" i="2"/>
  <c r="R564" i="4"/>
  <c r="R566" i="4" s="1"/>
  <c r="S712" i="4"/>
  <c r="S721" i="4"/>
  <c r="AD234" i="2"/>
  <c r="AI143" i="2"/>
  <c r="AJ143" i="2" s="1"/>
  <c r="U402" i="4"/>
  <c r="U404" i="4"/>
  <c r="U407" i="4" s="1"/>
  <c r="W193" i="2" s="1"/>
  <c r="V268" i="4"/>
  <c r="AC7" i="10"/>
  <c r="AD4" i="10"/>
  <c r="AA345" i="4"/>
  <c r="AA349" i="4" s="1"/>
  <c r="AD24" i="4"/>
  <c r="AD26" i="4" s="1"/>
  <c r="AD36" i="4" s="1"/>
  <c r="AE4" i="4"/>
  <c r="AI28" i="2"/>
  <c r="AF242" i="4"/>
  <c r="AF948" i="4" s="1"/>
  <c r="AF239" i="4"/>
  <c r="AF240" i="4"/>
  <c r="AF645" i="4" s="1"/>
  <c r="AF662" i="4" s="1"/>
  <c r="AF241" i="4"/>
  <c r="AF809" i="4" s="1"/>
  <c r="AF826" i="4" s="1"/>
  <c r="AI380" i="2"/>
  <c r="AI17" i="2"/>
  <c r="AJ9" i="2"/>
  <c r="AJ17" i="2" s="1"/>
  <c r="X528" i="4"/>
  <c r="T352" i="2"/>
  <c r="T33" i="2"/>
  <c r="T92" i="2" s="1"/>
  <c r="AG189" i="4"/>
  <c r="AG181" i="4"/>
  <c r="AG180" i="4"/>
  <c r="AG174" i="4"/>
  <c r="S695" i="4"/>
  <c r="S692" i="4"/>
  <c r="S859" i="4"/>
  <c r="S856" i="4"/>
  <c r="AG198" i="4"/>
  <c r="AG485" i="4"/>
  <c r="AG502" i="4" s="1"/>
  <c r="AG551" i="4" s="1"/>
  <c r="AI25" i="2" s="1"/>
  <c r="AD249" i="4"/>
  <c r="AD255" i="4" s="1"/>
  <c r="AC34" i="4"/>
  <c r="AC35" i="4" s="1"/>
  <c r="AC1117" i="4"/>
  <c r="AG641" i="4"/>
  <c r="AG658" i="4" s="1"/>
  <c r="AG707" i="4" s="1"/>
  <c r="AI40" i="2" s="1"/>
  <c r="AG199" i="4"/>
  <c r="W362" i="2"/>
  <c r="K362" i="2" s="1"/>
  <c r="K51" i="2"/>
  <c r="I51" i="2" s="1"/>
  <c r="AG845" i="4" l="1"/>
  <c r="AG848" i="4" s="1"/>
  <c r="AI150" i="2"/>
  <c r="AJ150" i="2" s="1"/>
  <c r="AJ151" i="2"/>
  <c r="AF949" i="4"/>
  <c r="AG950" i="4" s="1"/>
  <c r="AF197" i="4"/>
  <c r="AF872" i="4"/>
  <c r="AH56" i="2" s="1"/>
  <c r="AH365" i="2" s="1"/>
  <c r="AA346" i="4"/>
  <c r="AB344" i="4" s="1"/>
  <c r="AB345" i="4" s="1"/>
  <c r="AB349" i="4" s="1"/>
  <c r="V705" i="4"/>
  <c r="X38" i="2" s="1"/>
  <c r="V549" i="4"/>
  <c r="X23" i="2" s="1"/>
  <c r="AF248" i="4"/>
  <c r="AF964" i="4" s="1"/>
  <c r="AH377" i="2"/>
  <c r="AH376" i="2"/>
  <c r="AF962" i="4"/>
  <c r="V266" i="4"/>
  <c r="V403" i="4" s="1"/>
  <c r="AF246" i="4"/>
  <c r="V270" i="4"/>
  <c r="V271" i="4" s="1"/>
  <c r="V272" i="4" s="1"/>
  <c r="AF708" i="4"/>
  <c r="AH41" i="2" s="1"/>
  <c r="AH353" i="2" s="1"/>
  <c r="Z282" i="4"/>
  <c r="AA280" i="4" s="1"/>
  <c r="AE249" i="4"/>
  <c r="AE255" i="4" s="1"/>
  <c r="V869" i="4"/>
  <c r="X53" i="2" s="1"/>
  <c r="AD134" i="2"/>
  <c r="T367" i="2"/>
  <c r="AE843" i="4"/>
  <c r="AF838" i="4" s="1"/>
  <c r="S864" i="4"/>
  <c r="S860" i="4" s="1"/>
  <c r="S861" i="4" s="1"/>
  <c r="X377" i="4"/>
  <c r="X381" i="4" s="1"/>
  <c r="AE202" i="2"/>
  <c r="T687" i="4"/>
  <c r="S715" i="4"/>
  <c r="U45" i="2" s="1"/>
  <c r="AI135" i="2"/>
  <c r="AA297" i="4"/>
  <c r="AA301" i="4" s="1"/>
  <c r="AJ55" i="2"/>
  <c r="AG5" i="2"/>
  <c r="AF3" i="2"/>
  <c r="AF238" i="2"/>
  <c r="AF204" i="2"/>
  <c r="AF203" i="2"/>
  <c r="AF239" i="2"/>
  <c r="AF237" i="2"/>
  <c r="AF186" i="2"/>
  <c r="AF185" i="2" s="1"/>
  <c r="AF136" i="2" s="1"/>
  <c r="AF205" i="2"/>
  <c r="AF206" i="2"/>
  <c r="AF235" i="2"/>
  <c r="AF236" i="2"/>
  <c r="AF207" i="2"/>
  <c r="R567" i="4"/>
  <c r="R568" i="4" s="1"/>
  <c r="R1219" i="4"/>
  <c r="W605" i="4"/>
  <c r="W650" i="4" s="1"/>
  <c r="W704" i="4" s="1"/>
  <c r="Y37" i="2" s="1"/>
  <c r="W769" i="4"/>
  <c r="W814" i="4" s="1"/>
  <c r="W868" i="4" s="1"/>
  <c r="Y52" i="2" s="1"/>
  <c r="W449" i="4"/>
  <c r="W494" i="4" s="1"/>
  <c r="W548" i="4" s="1"/>
  <c r="Y22" i="2" s="1"/>
  <c r="W319" i="4"/>
  <c r="W320" i="4" s="1"/>
  <c r="X316" i="4" s="1"/>
  <c r="W599" i="4"/>
  <c r="W600" i="4" s="1"/>
  <c r="W649" i="4" s="1"/>
  <c r="W443" i="4"/>
  <c r="W444" i="4" s="1"/>
  <c r="W493" i="4" s="1"/>
  <c r="W547" i="4" s="1"/>
  <c r="Y21" i="2" s="1"/>
  <c r="W763" i="4"/>
  <c r="W764" i="4" s="1"/>
  <c r="W813" i="4" s="1"/>
  <c r="W303" i="4"/>
  <c r="W304" i="4" s="1"/>
  <c r="X300" i="4" s="1"/>
  <c r="AJ40" i="2"/>
  <c r="T340" i="2"/>
  <c r="S556" i="4"/>
  <c r="S565" i="4"/>
  <c r="AA362" i="4"/>
  <c r="AB360" i="4" s="1"/>
  <c r="AF489" i="4"/>
  <c r="AF506" i="4" s="1"/>
  <c r="AF552" i="4" s="1"/>
  <c r="AH26" i="2" s="1"/>
  <c r="AH341" i="2" s="1"/>
  <c r="AF245" i="4"/>
  <c r="Y314" i="4"/>
  <c r="Z312" i="4" s="1"/>
  <c r="X778" i="4"/>
  <c r="X779" i="4" s="1"/>
  <c r="X816" i="4" s="1"/>
  <c r="X614" i="4"/>
  <c r="X615" i="4" s="1"/>
  <c r="X652" i="4" s="1"/>
  <c r="X458" i="4"/>
  <c r="X459" i="4" s="1"/>
  <c r="X496" i="4" s="1"/>
  <c r="X351" i="4"/>
  <c r="X352" i="4" s="1"/>
  <c r="Y348" i="4" s="1"/>
  <c r="S539" i="4"/>
  <c r="S536" i="4"/>
  <c r="AG241" i="4"/>
  <c r="AG239" i="4"/>
  <c r="AG240" i="4"/>
  <c r="AG242" i="4"/>
  <c r="AF256" i="2"/>
  <c r="AE378" i="2"/>
  <c r="V827" i="4"/>
  <c r="W788" i="4"/>
  <c r="W789" i="4" s="1"/>
  <c r="W818" i="4" s="1"/>
  <c r="W624" i="4"/>
  <c r="W625" i="4" s="1"/>
  <c r="W654" i="4" s="1"/>
  <c r="W468" i="4"/>
  <c r="W469" i="4" s="1"/>
  <c r="W498" i="4" s="1"/>
  <c r="W383" i="4"/>
  <c r="W384" i="4" s="1"/>
  <c r="X380" i="4" s="1"/>
  <c r="AI382" i="2"/>
  <c r="X51" i="2"/>
  <c r="Y394" i="4"/>
  <c r="Z392" i="4" s="1"/>
  <c r="T18" i="2"/>
  <c r="T91" i="2" s="1"/>
  <c r="S879" i="4"/>
  <c r="U60" i="2" s="1"/>
  <c r="T851" i="4"/>
  <c r="AB330" i="4"/>
  <c r="AC328" i="4" s="1"/>
  <c r="W453" i="4"/>
  <c r="W454" i="4" s="1"/>
  <c r="W495" i="4" s="1"/>
  <c r="W773" i="4"/>
  <c r="W774" i="4" s="1"/>
  <c r="W815" i="4" s="1"/>
  <c r="W609" i="4"/>
  <c r="W610" i="4" s="1"/>
  <c r="W651" i="4" s="1"/>
  <c r="W335" i="4"/>
  <c r="W336" i="4" s="1"/>
  <c r="X332" i="4" s="1"/>
  <c r="AE234" i="2"/>
  <c r="S700" i="4"/>
  <c r="S696" i="4" s="1"/>
  <c r="S697" i="4" s="1"/>
  <c r="T349" i="2"/>
  <c r="X1195" i="4"/>
  <c r="Y518" i="4"/>
  <c r="V663" i="4"/>
  <c r="X36" i="2"/>
  <c r="AJ25" i="2"/>
  <c r="AF4" i="4"/>
  <c r="AE24" i="4"/>
  <c r="AE26" i="4" s="1"/>
  <c r="AE36" i="4" s="1"/>
  <c r="AD7" i="10"/>
  <c r="AE4" i="10"/>
  <c r="AG1111" i="4"/>
  <c r="AG954" i="4"/>
  <c r="AG962" i="4" s="1"/>
  <c r="W398" i="4"/>
  <c r="U511" i="4"/>
  <c r="U532" i="4"/>
  <c r="U1197" i="4"/>
  <c r="AG197" i="4"/>
  <c r="AD34" i="4"/>
  <c r="AD35" i="4" s="1"/>
  <c r="AD1117" i="4"/>
  <c r="AD355" i="4"/>
  <c r="AD359" i="4" s="1"/>
  <c r="AD275" i="4"/>
  <c r="AD279" i="4" s="1"/>
  <c r="AD387" i="4"/>
  <c r="AD391" i="4" s="1"/>
  <c r="AD307" i="4"/>
  <c r="AD311" i="4" s="1"/>
  <c r="AD291" i="4"/>
  <c r="AD295" i="4" s="1"/>
  <c r="AD371" i="4"/>
  <c r="AD375" i="4" s="1"/>
  <c r="AD323" i="4"/>
  <c r="AD327" i="4" s="1"/>
  <c r="AD339" i="4"/>
  <c r="AD343" i="4" s="1"/>
  <c r="AD259" i="4"/>
  <c r="AD263" i="4" s="1"/>
  <c r="AA971" i="4"/>
  <c r="AA1098" i="4"/>
  <c r="U251" i="4"/>
  <c r="W20" i="2"/>
  <c r="U553" i="4"/>
  <c r="AE127" i="2"/>
  <c r="AE949" i="4"/>
  <c r="AG377" i="2"/>
  <c r="AF247" i="4"/>
  <c r="Y525" i="4"/>
  <c r="K193" i="2"/>
  <c r="N180" i="2"/>
  <c r="N181" i="2" s="1"/>
  <c r="M265" i="2"/>
  <c r="W436" i="4"/>
  <c r="W437" i="4" s="1"/>
  <c r="W287" i="4"/>
  <c r="W288" i="4" s="1"/>
  <c r="X284" i="4" s="1"/>
  <c r="O258" i="2"/>
  <c r="N262" i="2"/>
  <c r="N263" i="2" s="1"/>
  <c r="N266" i="2" s="1"/>
  <c r="W366" i="4"/>
  <c r="AD952" i="4"/>
  <c r="AD955" i="4" s="1"/>
  <c r="AF63" i="2" s="1"/>
  <c r="AF373" i="2" s="1"/>
  <c r="AF378" i="2" s="1"/>
  <c r="AF379" i="2" s="1"/>
  <c r="V873" i="4" l="1"/>
  <c r="V430" i="4"/>
  <c r="V431" i="4" s="1"/>
  <c r="V492" i="4" s="1"/>
  <c r="V507" i="4" s="1"/>
  <c r="W264" i="4"/>
  <c r="W265" i="4" s="1"/>
  <c r="W269" i="4" s="1"/>
  <c r="V709" i="4"/>
  <c r="AF249" i="4"/>
  <c r="AF255" i="4" s="1"/>
  <c r="AA281" i="4"/>
  <c r="AA285" i="4" s="1"/>
  <c r="AI376" i="2"/>
  <c r="AJ376" i="2" s="1"/>
  <c r="AA298" i="4"/>
  <c r="AB296" i="4" s="1"/>
  <c r="AB297" i="4" s="1"/>
  <c r="AB301" i="4" s="1"/>
  <c r="AG256" i="2"/>
  <c r="P258" i="2"/>
  <c r="O262" i="2"/>
  <c r="O263" i="2" s="1"/>
  <c r="O266" i="2" s="1"/>
  <c r="AE355" i="4"/>
  <c r="AE359" i="4" s="1"/>
  <c r="AE371" i="4"/>
  <c r="AE375" i="4" s="1"/>
  <c r="AE387" i="4"/>
  <c r="AE391" i="4" s="1"/>
  <c r="AE259" i="4"/>
  <c r="AE263" i="4" s="1"/>
  <c r="AE323" i="4"/>
  <c r="AE327" i="4" s="1"/>
  <c r="AE307" i="4"/>
  <c r="AE311" i="4" s="1"/>
  <c r="AE275" i="4"/>
  <c r="AE279" i="4" s="1"/>
  <c r="AE339" i="4"/>
  <c r="AE343" i="4" s="1"/>
  <c r="AE291" i="4"/>
  <c r="AE295" i="4" s="1"/>
  <c r="AG948" i="4"/>
  <c r="AG248" i="4"/>
  <c r="AG964" i="4" s="1"/>
  <c r="AF202" i="2"/>
  <c r="AF137" i="2" s="1"/>
  <c r="AF134" i="2" s="1"/>
  <c r="AF24" i="4"/>
  <c r="AF26" i="4" s="1"/>
  <c r="AF36" i="4" s="1"/>
  <c r="AG4" i="4"/>
  <c r="Y523" i="4"/>
  <c r="AC329" i="4"/>
  <c r="AC333" i="4" s="1"/>
  <c r="AG489" i="4"/>
  <c r="AG506" i="4" s="1"/>
  <c r="AG552" i="4" s="1"/>
  <c r="AI26" i="2" s="1"/>
  <c r="AG245" i="4"/>
  <c r="AH5" i="2"/>
  <c r="AG3" i="2"/>
  <c r="AG235" i="2"/>
  <c r="AG238" i="2"/>
  <c r="AG207" i="2"/>
  <c r="AG237" i="2"/>
  <c r="AG186" i="2"/>
  <c r="AG185" i="2" s="1"/>
  <c r="AG136" i="2" s="1"/>
  <c r="AG205" i="2"/>
  <c r="AG203" i="2"/>
  <c r="AG239" i="2"/>
  <c r="AG236" i="2"/>
  <c r="AG206" i="2"/>
  <c r="AG204" i="2"/>
  <c r="X378" i="4"/>
  <c r="Y376" i="4" s="1"/>
  <c r="X382" i="4"/>
  <c r="Y528" i="4"/>
  <c r="S544" i="4"/>
  <c r="S540" i="4" s="1"/>
  <c r="S541" i="4" s="1"/>
  <c r="R1220" i="4"/>
  <c r="R1223" i="4"/>
  <c r="AA1101" i="4"/>
  <c r="AB968" i="4"/>
  <c r="W793" i="4"/>
  <c r="W794" i="4" s="1"/>
  <c r="W819" i="4" s="1"/>
  <c r="W473" i="4"/>
  <c r="W474" i="4" s="1"/>
  <c r="W499" i="4" s="1"/>
  <c r="W629" i="4"/>
  <c r="W630" i="4" s="1"/>
  <c r="W655" i="4" s="1"/>
  <c r="W399" i="4"/>
  <c r="W400" i="4" s="1"/>
  <c r="X396" i="4" s="1"/>
  <c r="T694" i="4"/>
  <c r="S718" i="4"/>
  <c r="T878" i="4"/>
  <c r="V59" i="2" s="1"/>
  <c r="T863" i="4"/>
  <c r="Y350" i="4"/>
  <c r="U363" i="2"/>
  <c r="AB346" i="4"/>
  <c r="AC344" i="4" s="1"/>
  <c r="T337" i="2"/>
  <c r="T64" i="2"/>
  <c r="X302" i="4"/>
  <c r="AF843" i="4"/>
  <c r="AG838" i="4" s="1"/>
  <c r="V402" i="4"/>
  <c r="W268" i="4"/>
  <c r="V404" i="4"/>
  <c r="V407" i="4" s="1"/>
  <c r="X193" i="2" s="1"/>
  <c r="AE7" i="10"/>
  <c r="AF4" i="10"/>
  <c r="AF7" i="10" s="1"/>
  <c r="V688" i="4"/>
  <c r="V667" i="4"/>
  <c r="X318" i="4"/>
  <c r="T714" i="4"/>
  <c r="V44" i="2" s="1"/>
  <c r="T699" i="4"/>
  <c r="X286" i="4"/>
  <c r="X362" i="2"/>
  <c r="AE137" i="2"/>
  <c r="AE134" i="2" s="1"/>
  <c r="AE34" i="4"/>
  <c r="AE35" i="4" s="1"/>
  <c r="AE1117" i="4"/>
  <c r="AG645" i="4"/>
  <c r="AG662" i="4" s="1"/>
  <c r="AG708" i="4" s="1"/>
  <c r="AI41" i="2" s="1"/>
  <c r="AG246" i="4"/>
  <c r="O180" i="2"/>
  <c r="O181" i="2" s="1"/>
  <c r="N265" i="2"/>
  <c r="AG809" i="4"/>
  <c r="AG826" i="4" s="1"/>
  <c r="AG872" i="4" s="1"/>
  <c r="AI56" i="2" s="1"/>
  <c r="AG247" i="4"/>
  <c r="W338" i="2"/>
  <c r="K338" i="2" s="1"/>
  <c r="K20" i="2"/>
  <c r="I20" i="2" s="1"/>
  <c r="T531" i="4"/>
  <c r="S1193" i="4"/>
  <c r="U194" i="2"/>
  <c r="S559" i="4"/>
  <c r="W66" i="2"/>
  <c r="U252" i="4"/>
  <c r="W83" i="2" s="1"/>
  <c r="T354" i="2"/>
  <c r="T858" i="4"/>
  <c r="S882" i="4"/>
  <c r="U62" i="2" s="1"/>
  <c r="V831" i="4"/>
  <c r="V852" i="4"/>
  <c r="AE950" i="4"/>
  <c r="AF375" i="2"/>
  <c r="AD961" i="4"/>
  <c r="AD963" i="4" s="1"/>
  <c r="AD965" i="4" s="1"/>
  <c r="X350" i="2"/>
  <c r="X334" i="4"/>
  <c r="AE379" i="2"/>
  <c r="W867" i="4"/>
  <c r="AF234" i="2"/>
  <c r="Z313" i="4"/>
  <c r="Z317" i="4" s="1"/>
  <c r="AJ135" i="2"/>
  <c r="W783" i="4"/>
  <c r="W784" i="4" s="1"/>
  <c r="W817" i="4" s="1"/>
  <c r="W463" i="4"/>
  <c r="W464" i="4" s="1"/>
  <c r="W497" i="4" s="1"/>
  <c r="W619" i="4"/>
  <c r="W620" i="4" s="1"/>
  <c r="W653" i="4" s="1"/>
  <c r="W367" i="4"/>
  <c r="W368" i="4" s="1"/>
  <c r="X364" i="4" s="1"/>
  <c r="W703" i="4"/>
  <c r="AF950" i="4"/>
  <c r="Z393" i="4"/>
  <c r="Z397" i="4" s="1"/>
  <c r="AF127" i="2"/>
  <c r="AB361" i="4"/>
  <c r="AB365" i="4" s="1"/>
  <c r="U351" i="2"/>
  <c r="V546" i="4" l="1"/>
  <c r="V553" i="4" s="1"/>
  <c r="W549" i="4"/>
  <c r="Y23" i="2" s="1"/>
  <c r="W705" i="4"/>
  <c r="Y38" i="2" s="1"/>
  <c r="W869" i="4"/>
  <c r="Y53" i="2" s="1"/>
  <c r="W663" i="4"/>
  <c r="W667" i="4" s="1"/>
  <c r="Z314" i="4"/>
  <c r="AA312" i="4" s="1"/>
  <c r="AA313" i="4" s="1"/>
  <c r="AA317" i="4" s="1"/>
  <c r="AA282" i="4"/>
  <c r="AB280" i="4" s="1"/>
  <c r="AB281" i="4" s="1"/>
  <c r="AB285" i="4" s="1"/>
  <c r="T538" i="4"/>
  <c r="S562" i="4"/>
  <c r="U195" i="2"/>
  <c r="U192" i="2" s="1"/>
  <c r="S1194" i="4"/>
  <c r="T558" i="4"/>
  <c r="T543" i="4"/>
  <c r="W827" i="4"/>
  <c r="U364" i="2"/>
  <c r="AF371" i="4"/>
  <c r="AF375" i="4" s="1"/>
  <c r="AF291" i="4"/>
  <c r="AF295" i="4" s="1"/>
  <c r="AF387" i="4"/>
  <c r="AF391" i="4" s="1"/>
  <c r="AF355" i="4"/>
  <c r="AF359" i="4" s="1"/>
  <c r="AF307" i="4"/>
  <c r="AF311" i="4" s="1"/>
  <c r="AF323" i="4"/>
  <c r="AF327" i="4" s="1"/>
  <c r="AF339" i="4"/>
  <c r="AF343" i="4" s="1"/>
  <c r="AF275" i="4"/>
  <c r="AF279" i="4" s="1"/>
  <c r="AF259" i="4"/>
  <c r="AF263" i="4" s="1"/>
  <c r="AC345" i="4"/>
  <c r="AC349" i="4" s="1"/>
  <c r="U48" i="2"/>
  <c r="X453" i="4"/>
  <c r="X454" i="4" s="1"/>
  <c r="X495" i="4" s="1"/>
  <c r="X773" i="4"/>
  <c r="X774" i="4" s="1"/>
  <c r="X815" i="4" s="1"/>
  <c r="X609" i="4"/>
  <c r="X610" i="4" s="1"/>
  <c r="X651" i="4" s="1"/>
  <c r="X335" i="4"/>
  <c r="X336" i="4" s="1"/>
  <c r="Y332" i="4" s="1"/>
  <c r="X436" i="4"/>
  <c r="X437" i="4" s="1"/>
  <c r="X287" i="4"/>
  <c r="X288" i="4" s="1"/>
  <c r="Y284" i="4" s="1"/>
  <c r="AF34" i="4"/>
  <c r="AF35" i="4" s="1"/>
  <c r="AF1117" i="4"/>
  <c r="X366" i="4"/>
  <c r="AJ56" i="2"/>
  <c r="AI365" i="2"/>
  <c r="AJ365" i="2" s="1"/>
  <c r="Y778" i="4"/>
  <c r="Y779" i="4" s="1"/>
  <c r="Y816" i="4" s="1"/>
  <c r="Y614" i="4"/>
  <c r="Y615" i="4" s="1"/>
  <c r="Y652" i="4" s="1"/>
  <c r="Y458" i="4"/>
  <c r="Y459" i="4" s="1"/>
  <c r="Y496" i="4" s="1"/>
  <c r="Y351" i="4"/>
  <c r="Y352" i="4" s="1"/>
  <c r="Z348" i="4" s="1"/>
  <c r="K83" i="2"/>
  <c r="I83" i="2" s="1"/>
  <c r="K66" i="2"/>
  <c r="I66" i="2" s="1"/>
  <c r="AB298" i="4"/>
  <c r="AC296" i="4" s="1"/>
  <c r="Z394" i="4"/>
  <c r="AA392" i="4" s="1"/>
  <c r="U30" i="2"/>
  <c r="AJ41" i="2"/>
  <c r="AI353" i="2"/>
  <c r="AJ353" i="2" s="1"/>
  <c r="T717" i="4"/>
  <c r="V46" i="2" s="1"/>
  <c r="W266" i="4"/>
  <c r="AC330" i="4"/>
  <c r="AD328" i="4" s="1"/>
  <c r="Q258" i="2"/>
  <c r="P262" i="2"/>
  <c r="P263" i="2" s="1"/>
  <c r="P266" i="2" s="1"/>
  <c r="T342" i="2"/>
  <c r="AH375" i="2"/>
  <c r="AF961" i="4"/>
  <c r="AF963" i="4" s="1"/>
  <c r="AF965" i="4" s="1"/>
  <c r="AF952" i="4"/>
  <c r="AF955" i="4" s="1"/>
  <c r="AH63" i="2" s="1"/>
  <c r="AH373" i="2" s="1"/>
  <c r="AH378" i="2" s="1"/>
  <c r="AH379" i="2" s="1"/>
  <c r="AE952" i="4"/>
  <c r="AE955" i="4" s="1"/>
  <c r="AG63" i="2" s="1"/>
  <c r="AG373" i="2" s="1"/>
  <c r="AG378" i="2" s="1"/>
  <c r="V532" i="4"/>
  <c r="V511" i="4"/>
  <c r="V1197" i="4"/>
  <c r="Y51" i="2"/>
  <c r="T881" i="4"/>
  <c r="V61" i="2" s="1"/>
  <c r="AG202" i="2"/>
  <c r="AG137" i="2" s="1"/>
  <c r="AG134" i="2" s="1"/>
  <c r="Y36" i="2"/>
  <c r="AG127" i="2"/>
  <c r="AG24" i="4"/>
  <c r="AG26" i="4" s="1"/>
  <c r="AG36" i="4" s="1"/>
  <c r="AB362" i="4"/>
  <c r="AC360" i="4" s="1"/>
  <c r="T355" i="2"/>
  <c r="T689" i="4"/>
  <c r="T691" i="4"/>
  <c r="Z525" i="4"/>
  <c r="S884" i="4"/>
  <c r="S886" i="4" s="1"/>
  <c r="S887" i="4" s="1"/>
  <c r="S888" i="4" s="1"/>
  <c r="O265" i="2"/>
  <c r="P180" i="2"/>
  <c r="P181" i="2" s="1"/>
  <c r="T853" i="4"/>
  <c r="T855" i="4"/>
  <c r="AG234" i="2"/>
  <c r="AG843" i="4"/>
  <c r="X788" i="4"/>
  <c r="X789" i="4" s="1"/>
  <c r="X818" i="4" s="1"/>
  <c r="X624" i="4"/>
  <c r="X625" i="4" s="1"/>
  <c r="X654" i="4" s="1"/>
  <c r="X468" i="4"/>
  <c r="X469" i="4" s="1"/>
  <c r="X498" i="4" s="1"/>
  <c r="X383" i="4"/>
  <c r="X384" i="4" s="1"/>
  <c r="Y380" i="4" s="1"/>
  <c r="AI5" i="2"/>
  <c r="AH3" i="2"/>
  <c r="AH239" i="2"/>
  <c r="AH237" i="2"/>
  <c r="AH206" i="2"/>
  <c r="AH236" i="2"/>
  <c r="AH186" i="2"/>
  <c r="AH185" i="2" s="1"/>
  <c r="AH205" i="2"/>
  <c r="AH235" i="2"/>
  <c r="AH238" i="2"/>
  <c r="AH207" i="2"/>
  <c r="AH204" i="2"/>
  <c r="AH203" i="2"/>
  <c r="X599" i="4"/>
  <c r="X600" i="4" s="1"/>
  <c r="X649" i="4" s="1"/>
  <c r="X443" i="4"/>
  <c r="X444" i="4" s="1"/>
  <c r="X493" i="4" s="1"/>
  <c r="X547" i="4" s="1"/>
  <c r="Z21" i="2" s="1"/>
  <c r="X763" i="4"/>
  <c r="X764" i="4" s="1"/>
  <c r="X813" i="4" s="1"/>
  <c r="X303" i="4"/>
  <c r="X304" i="4" s="1"/>
  <c r="Y300" i="4" s="1"/>
  <c r="U47" i="2"/>
  <c r="S720" i="4"/>
  <c r="S722" i="4" s="1"/>
  <c r="S723" i="4" s="1"/>
  <c r="S724" i="4" s="1"/>
  <c r="W270" i="4"/>
  <c r="AI377" i="2"/>
  <c r="AJ377" i="2" s="1"/>
  <c r="AG949" i="4"/>
  <c r="AG375" i="2"/>
  <c r="AE961" i="4"/>
  <c r="AE963" i="4" s="1"/>
  <c r="AE965" i="4" s="1"/>
  <c r="X605" i="4"/>
  <c r="X650" i="4" s="1"/>
  <c r="X704" i="4" s="1"/>
  <c r="Z37" i="2" s="1"/>
  <c r="X769" i="4"/>
  <c r="X814" i="4" s="1"/>
  <c r="X868" i="4" s="1"/>
  <c r="Z52" i="2" s="1"/>
  <c r="X449" i="4"/>
  <c r="X494" i="4" s="1"/>
  <c r="X548" i="4" s="1"/>
  <c r="Z22" i="2" s="1"/>
  <c r="X319" i="4"/>
  <c r="X320" i="4" s="1"/>
  <c r="Y316" i="4" s="1"/>
  <c r="T141" i="2"/>
  <c r="T229" i="2"/>
  <c r="T89" i="2"/>
  <c r="T383" i="2"/>
  <c r="T88" i="2"/>
  <c r="X398" i="4"/>
  <c r="Y377" i="4"/>
  <c r="Y381" i="4" s="1"/>
  <c r="AG249" i="4"/>
  <c r="AG255" i="4" s="1"/>
  <c r="AJ26" i="2"/>
  <c r="AI341" i="2"/>
  <c r="AJ341" i="2" s="1"/>
  <c r="AH256" i="2"/>
  <c r="AG371" i="4"/>
  <c r="AG375" i="4" s="1"/>
  <c r="AG387" i="4"/>
  <c r="AG391" i="4" s="1"/>
  <c r="AG259" i="4"/>
  <c r="AG263" i="4" s="1"/>
  <c r="AG275" i="4"/>
  <c r="AG279" i="4" s="1"/>
  <c r="AG339" i="4"/>
  <c r="AG343" i="4" s="1"/>
  <c r="AG323" i="4"/>
  <c r="AG327" i="4" s="1"/>
  <c r="AG355" i="4"/>
  <c r="AG359" i="4" s="1"/>
  <c r="AG291" i="4"/>
  <c r="AG295" i="4" s="1"/>
  <c r="AG307" i="4"/>
  <c r="AG311" i="4" s="1"/>
  <c r="AB1098" i="4"/>
  <c r="AB971" i="4"/>
  <c r="Z518" i="4"/>
  <c r="Y1195" i="4"/>
  <c r="AB282" i="4" l="1"/>
  <c r="AC280" i="4" s="1"/>
  <c r="AC281" i="4" s="1"/>
  <c r="AC285" i="4" s="1"/>
  <c r="W873" i="4"/>
  <c r="X20" i="2"/>
  <c r="X338" i="2" s="1"/>
  <c r="V251" i="4"/>
  <c r="X66" i="2" s="1"/>
  <c r="W709" i="4"/>
  <c r="W688" i="4"/>
  <c r="AH234" i="2"/>
  <c r="U273" i="2"/>
  <c r="U129" i="2"/>
  <c r="U146" i="2"/>
  <c r="AC297" i="4"/>
  <c r="AC301" i="4" s="1"/>
  <c r="U32" i="2"/>
  <c r="U18" i="2" s="1"/>
  <c r="U91" i="2" s="1"/>
  <c r="S564" i="4"/>
  <c r="S566" i="4" s="1"/>
  <c r="Y378" i="4"/>
  <c r="Z376" i="4" s="1"/>
  <c r="AH127" i="2"/>
  <c r="T876" i="4"/>
  <c r="T885" i="4"/>
  <c r="Y362" i="2"/>
  <c r="AA314" i="4"/>
  <c r="AB312" i="4" s="1"/>
  <c r="Y382" i="4"/>
  <c r="T859" i="4"/>
  <c r="T856" i="4"/>
  <c r="X793" i="4"/>
  <c r="X794" i="4" s="1"/>
  <c r="X819" i="4" s="1"/>
  <c r="X629" i="4"/>
  <c r="X630" i="4" s="1"/>
  <c r="X655" i="4" s="1"/>
  <c r="X473" i="4"/>
  <c r="X474" i="4" s="1"/>
  <c r="X499" i="4" s="1"/>
  <c r="X399" i="4"/>
  <c r="X400" i="4" s="1"/>
  <c r="Y396" i="4" s="1"/>
  <c r="AG379" i="2"/>
  <c r="AD329" i="4"/>
  <c r="AD333" i="4" s="1"/>
  <c r="U352" i="2"/>
  <c r="U33" i="2"/>
  <c r="U92" i="2" s="1"/>
  <c r="W403" i="4"/>
  <c r="X264" i="4"/>
  <c r="Y302" i="4"/>
  <c r="AI3" i="2"/>
  <c r="AI237" i="2"/>
  <c r="AI186" i="2"/>
  <c r="AI185" i="2" s="1"/>
  <c r="AI127" i="2" s="1"/>
  <c r="AI235" i="2"/>
  <c r="AI206" i="2"/>
  <c r="AI236" i="2"/>
  <c r="AI205" i="2"/>
  <c r="AI207" i="2"/>
  <c r="AI239" i="2"/>
  <c r="AI238" i="2"/>
  <c r="AI204" i="2"/>
  <c r="AI203" i="2"/>
  <c r="Y286" i="4"/>
  <c r="AI256" i="2"/>
  <c r="Y318" i="4"/>
  <c r="T695" i="4"/>
  <c r="T692" i="4"/>
  <c r="Y334" i="4"/>
  <c r="Z523" i="4"/>
  <c r="AB1101" i="4"/>
  <c r="AC968" i="4"/>
  <c r="T343" i="2"/>
  <c r="U85" i="2"/>
  <c r="U87" i="2" s="1"/>
  <c r="AA393" i="4"/>
  <c r="AA397" i="4" s="1"/>
  <c r="U361" i="2"/>
  <c r="AG34" i="4"/>
  <c r="AG35" i="4" s="1"/>
  <c r="AG1117" i="4"/>
  <c r="W831" i="4"/>
  <c r="W852" i="4"/>
  <c r="P265" i="2"/>
  <c r="Q180" i="2"/>
  <c r="Q181" i="2" s="1"/>
  <c r="AH136" i="2"/>
  <c r="V29" i="2"/>
  <c r="Z528" i="4"/>
  <c r="T90" i="2"/>
  <c r="T93" i="2" s="1"/>
  <c r="T112" i="2"/>
  <c r="T228" i="2"/>
  <c r="T250" i="2"/>
  <c r="X867" i="4"/>
  <c r="T721" i="4"/>
  <c r="T712" i="4"/>
  <c r="X703" i="4"/>
  <c r="Y350" i="2"/>
  <c r="AH202" i="2"/>
  <c r="AH137" i="2" s="1"/>
  <c r="AC361" i="4"/>
  <c r="AC365" i="4" s="1"/>
  <c r="U339" i="2"/>
  <c r="Z350" i="4"/>
  <c r="T561" i="4"/>
  <c r="V31" i="2" s="1"/>
  <c r="W430" i="4"/>
  <c r="W431" i="4" s="1"/>
  <c r="W492" i="4" s="1"/>
  <c r="W271" i="4"/>
  <c r="W272" i="4" s="1"/>
  <c r="R258" i="2"/>
  <c r="Q262" i="2"/>
  <c r="Q263" i="2" s="1"/>
  <c r="Q266" i="2" s="1"/>
  <c r="X619" i="4"/>
  <c r="X620" i="4" s="1"/>
  <c r="X653" i="4" s="1"/>
  <c r="X463" i="4"/>
  <c r="X464" i="4" s="1"/>
  <c r="X497" i="4" s="1"/>
  <c r="X783" i="4"/>
  <c r="X784" i="4" s="1"/>
  <c r="X817" i="4" s="1"/>
  <c r="X367" i="4"/>
  <c r="X368" i="4" s="1"/>
  <c r="Y364" i="4" s="1"/>
  <c r="AC346" i="4"/>
  <c r="AD344" i="4" s="1"/>
  <c r="T533" i="4"/>
  <c r="T535" i="4"/>
  <c r="X549" i="4" l="1"/>
  <c r="Z23" i="2" s="1"/>
  <c r="V252" i="4"/>
  <c r="X83" i="2" s="1"/>
  <c r="X663" i="4"/>
  <c r="X688" i="4" s="1"/>
  <c r="X827" i="4"/>
  <c r="X852" i="4" s="1"/>
  <c r="AC282" i="4"/>
  <c r="AD280" i="4" s="1"/>
  <c r="AD281" i="4" s="1"/>
  <c r="AD285" i="4" s="1"/>
  <c r="X705" i="4"/>
  <c r="Z38" i="2" s="1"/>
  <c r="AC298" i="4"/>
  <c r="AD296" i="4" s="1"/>
  <c r="AD297" i="4" s="1"/>
  <c r="AD301" i="4" s="1"/>
  <c r="T122" i="2"/>
  <c r="T124" i="2" s="1"/>
  <c r="T118" i="2"/>
  <c r="T864" i="4"/>
  <c r="T860" i="4" s="1"/>
  <c r="T861" i="4" s="1"/>
  <c r="Z778" i="4"/>
  <c r="Z779" i="4" s="1"/>
  <c r="Z816" i="4" s="1"/>
  <c r="Z614" i="4"/>
  <c r="Z615" i="4" s="1"/>
  <c r="Z652" i="4" s="1"/>
  <c r="Z458" i="4"/>
  <c r="Z459" i="4" s="1"/>
  <c r="Z496" i="4" s="1"/>
  <c r="Z351" i="4"/>
  <c r="Z352" i="4" s="1"/>
  <c r="AA348" i="4" s="1"/>
  <c r="AI375" i="2"/>
  <c r="AJ375" i="2" s="1"/>
  <c r="AG961" i="4"/>
  <c r="AG963" i="4" s="1"/>
  <c r="AG965" i="4" s="1"/>
  <c r="AI234" i="2"/>
  <c r="AG952" i="4"/>
  <c r="AG955" i="4" s="1"/>
  <c r="AI63" i="2" s="1"/>
  <c r="AI373" i="2" s="1"/>
  <c r="U337" i="2"/>
  <c r="U64" i="2"/>
  <c r="U88" i="2" s="1"/>
  <c r="AA525" i="4"/>
  <c r="AJ127" i="2"/>
  <c r="Y788" i="4"/>
  <c r="Y789" i="4" s="1"/>
  <c r="Y818" i="4" s="1"/>
  <c r="Y468" i="4"/>
  <c r="Y469" i="4" s="1"/>
  <c r="Y498" i="4" s="1"/>
  <c r="Y624" i="4"/>
  <c r="Y625" i="4" s="1"/>
  <c r="Y654" i="4" s="1"/>
  <c r="Y383" i="4"/>
  <c r="Y384" i="4" s="1"/>
  <c r="Z380" i="4" s="1"/>
  <c r="S258" i="2"/>
  <c r="R262" i="2"/>
  <c r="R263" i="2" s="1"/>
  <c r="R266" i="2" s="1"/>
  <c r="Z51" i="2"/>
  <c r="W404" i="4"/>
  <c r="W407" i="4" s="1"/>
  <c r="Y193" i="2" s="1"/>
  <c r="W402" i="4"/>
  <c r="X268" i="4"/>
  <c r="AC362" i="4"/>
  <c r="AD360" i="4" s="1"/>
  <c r="T128" i="2"/>
  <c r="T130" i="2" s="1"/>
  <c r="T148" i="2"/>
  <c r="AI202" i="2"/>
  <c r="AI137" i="2" s="1"/>
  <c r="AJ137" i="2" s="1"/>
  <c r="X265" i="4"/>
  <c r="X269" i="4" s="1"/>
  <c r="AI136" i="2"/>
  <c r="AC971" i="4"/>
  <c r="AC1098" i="4"/>
  <c r="Y605" i="4"/>
  <c r="Y650" i="4" s="1"/>
  <c r="Y704" i="4" s="1"/>
  <c r="AA37" i="2" s="1"/>
  <c r="Y769" i="4"/>
  <c r="Y814" i="4" s="1"/>
  <c r="Y868" i="4" s="1"/>
  <c r="AA52" i="2" s="1"/>
  <c r="Y449" i="4"/>
  <c r="Y494" i="4" s="1"/>
  <c r="Y548" i="4" s="1"/>
  <c r="AA22" i="2" s="1"/>
  <c r="Y319" i="4"/>
  <c r="Y320" i="4" s="1"/>
  <c r="Z316" i="4" s="1"/>
  <c r="S567" i="4"/>
  <c r="S568" i="4" s="1"/>
  <c r="S1219" i="4"/>
  <c r="X869" i="4"/>
  <c r="Z53" i="2" s="1"/>
  <c r="U349" i="2"/>
  <c r="U340" i="2"/>
  <c r="T565" i="4"/>
  <c r="T556" i="4"/>
  <c r="U366" i="2"/>
  <c r="Y366" i="4"/>
  <c r="AA518" i="4"/>
  <c r="Z1195" i="4"/>
  <c r="AD330" i="4"/>
  <c r="AE328" i="4" s="1"/>
  <c r="Q265" i="2"/>
  <c r="R180" i="2"/>
  <c r="R181" i="2" s="1"/>
  <c r="T295" i="2"/>
  <c r="T253" i="2"/>
  <c r="U687" i="4"/>
  <c r="T715" i="4"/>
  <c r="V45" i="2" s="1"/>
  <c r="Y398" i="4"/>
  <c r="W546" i="4"/>
  <c r="W507" i="4"/>
  <c r="T700" i="4"/>
  <c r="T696" i="4" s="1"/>
  <c r="T697" i="4" s="1"/>
  <c r="Z377" i="4"/>
  <c r="Z381" i="4" s="1"/>
  <c r="T879" i="4"/>
  <c r="V60" i="2" s="1"/>
  <c r="U851" i="4"/>
  <c r="Z36" i="2"/>
  <c r="T539" i="4"/>
  <c r="T536" i="4"/>
  <c r="AD345" i="4"/>
  <c r="AD349" i="4" s="1"/>
  <c r="AA394" i="4"/>
  <c r="AB392" i="4" s="1"/>
  <c r="Y436" i="4"/>
  <c r="Y437" i="4" s="1"/>
  <c r="Y287" i="4"/>
  <c r="Y288" i="4" s="1"/>
  <c r="Z284" i="4" s="1"/>
  <c r="AB313" i="4"/>
  <c r="AB317" i="4" s="1"/>
  <c r="Y599" i="4"/>
  <c r="Y600" i="4" s="1"/>
  <c r="Y649" i="4" s="1"/>
  <c r="Y443" i="4"/>
  <c r="Y444" i="4" s="1"/>
  <c r="Y493" i="4" s="1"/>
  <c r="Y547" i="4" s="1"/>
  <c r="AA21" i="2" s="1"/>
  <c r="Y763" i="4"/>
  <c r="Y764" i="4" s="1"/>
  <c r="Y813" i="4" s="1"/>
  <c r="Y303" i="4"/>
  <c r="Y304" i="4" s="1"/>
  <c r="Z300" i="4" s="1"/>
  <c r="AH134" i="2"/>
  <c r="Y773" i="4"/>
  <c r="Y774" i="4" s="1"/>
  <c r="Y815" i="4" s="1"/>
  <c r="Y609" i="4"/>
  <c r="Y610" i="4" s="1"/>
  <c r="Y651" i="4" s="1"/>
  <c r="Y453" i="4"/>
  <c r="Y454" i="4" s="1"/>
  <c r="Y495" i="4" s="1"/>
  <c r="Y335" i="4"/>
  <c r="Y336" i="4" s="1"/>
  <c r="Z332" i="4" s="1"/>
  <c r="X873" i="4" l="1"/>
  <c r="X667" i="4"/>
  <c r="X831" i="4"/>
  <c r="X709" i="4"/>
  <c r="AD298" i="4"/>
  <c r="AE296" i="4" s="1"/>
  <c r="U694" i="4"/>
  <c r="T718" i="4"/>
  <c r="V47" i="2" s="1"/>
  <c r="V33" i="2" s="1"/>
  <c r="V92" i="2" s="1"/>
  <c r="U858" i="4"/>
  <c r="T882" i="4"/>
  <c r="V62" i="2" s="1"/>
  <c r="V48" i="2" s="1"/>
  <c r="Z286" i="4"/>
  <c r="Z350" i="2"/>
  <c r="T140" i="2"/>
  <c r="U878" i="4"/>
  <c r="W59" i="2" s="1"/>
  <c r="U863" i="4"/>
  <c r="T131" i="2"/>
  <c r="AA528" i="4"/>
  <c r="AB393" i="4"/>
  <c r="AB397" i="4" s="1"/>
  <c r="AD361" i="4"/>
  <c r="AD365" i="4" s="1"/>
  <c r="Z302" i="4"/>
  <c r="Z378" i="4"/>
  <c r="AA376" i="4" s="1"/>
  <c r="U141" i="2"/>
  <c r="U229" i="2"/>
  <c r="U89" i="2"/>
  <c r="U383" i="2"/>
  <c r="Z382" i="4"/>
  <c r="U354" i="2"/>
  <c r="U342" i="2"/>
  <c r="Y703" i="4"/>
  <c r="AI378" i="2"/>
  <c r="AJ373" i="2"/>
  <c r="AA523" i="4"/>
  <c r="Z362" i="2"/>
  <c r="AD968" i="4"/>
  <c r="AC1101" i="4"/>
  <c r="AJ136" i="2"/>
  <c r="AI134" i="2"/>
  <c r="T1193" i="4"/>
  <c r="U531" i="4"/>
  <c r="V194" i="2"/>
  <c r="T559" i="4"/>
  <c r="W511" i="4"/>
  <c r="W532" i="4"/>
  <c r="W1197" i="4"/>
  <c r="Z334" i="4"/>
  <c r="W251" i="4"/>
  <c r="Y20" i="2"/>
  <c r="W553" i="4"/>
  <c r="U367" i="2"/>
  <c r="S1220" i="4"/>
  <c r="S1223" i="4"/>
  <c r="X266" i="4"/>
  <c r="AE297" i="4"/>
  <c r="AE301" i="4" s="1"/>
  <c r="V351" i="2"/>
  <c r="U714" i="4"/>
  <c r="W44" i="2" s="1"/>
  <c r="U699" i="4"/>
  <c r="V363" i="2"/>
  <c r="R265" i="2"/>
  <c r="S180" i="2"/>
  <c r="S181" i="2" s="1"/>
  <c r="Z318" i="4"/>
  <c r="Y867" i="4"/>
  <c r="AE329" i="4"/>
  <c r="AE333" i="4" s="1"/>
  <c r="AD346" i="4"/>
  <c r="AE344" i="4" s="1"/>
  <c r="AD282" i="4"/>
  <c r="AE280" i="4" s="1"/>
  <c r="Y463" i="4"/>
  <c r="Y464" i="4" s="1"/>
  <c r="Y497" i="4" s="1"/>
  <c r="Y619" i="4"/>
  <c r="Y620" i="4" s="1"/>
  <c r="Y653" i="4" s="1"/>
  <c r="Y783" i="4"/>
  <c r="Y784" i="4" s="1"/>
  <c r="Y817" i="4" s="1"/>
  <c r="Y367" i="4"/>
  <c r="Y368" i="4" s="1"/>
  <c r="Z364" i="4" s="1"/>
  <c r="S262" i="2"/>
  <c r="S263" i="2" s="1"/>
  <c r="S266" i="2" s="1"/>
  <c r="AA350" i="4"/>
  <c r="AB314" i="4"/>
  <c r="AC312" i="4" s="1"/>
  <c r="T544" i="4"/>
  <c r="T540" i="4" s="1"/>
  <c r="T541" i="4" s="1"/>
  <c r="Y793" i="4"/>
  <c r="Y794" i="4" s="1"/>
  <c r="Y819" i="4" s="1"/>
  <c r="Y629" i="4"/>
  <c r="Y630" i="4" s="1"/>
  <c r="Y655" i="4" s="1"/>
  <c r="Y473" i="4"/>
  <c r="Y474" i="4" s="1"/>
  <c r="Y499" i="4" s="1"/>
  <c r="Y399" i="4"/>
  <c r="Y400" i="4" s="1"/>
  <c r="Z396" i="4" s="1"/>
  <c r="X270" i="4"/>
  <c r="Y869" i="4" l="1"/>
  <c r="AA53" i="2" s="1"/>
  <c r="Y549" i="4"/>
  <c r="AA23" i="2" s="1"/>
  <c r="Y705" i="4"/>
  <c r="AA38" i="2" s="1"/>
  <c r="Y827" i="4"/>
  <c r="Y852" i="4" s="1"/>
  <c r="T720" i="4"/>
  <c r="T722" i="4" s="1"/>
  <c r="T723" i="4" s="1"/>
  <c r="T724" i="4" s="1"/>
  <c r="Y663" i="4"/>
  <c r="Y688" i="4" s="1"/>
  <c r="AE330" i="4"/>
  <c r="AF328" i="4" s="1"/>
  <c r="AF329" i="4" s="1"/>
  <c r="AF333" i="4" s="1"/>
  <c r="V361" i="2"/>
  <c r="Z287" i="4"/>
  <c r="Z288" i="4" s="1"/>
  <c r="AA284" i="4" s="1"/>
  <c r="Z436" i="4"/>
  <c r="Z437" i="4" s="1"/>
  <c r="Z605" i="4"/>
  <c r="Z650" i="4" s="1"/>
  <c r="Z704" i="4" s="1"/>
  <c r="AB37" i="2" s="1"/>
  <c r="Z769" i="4"/>
  <c r="Z814" i="4" s="1"/>
  <c r="Z868" i="4" s="1"/>
  <c r="AB52" i="2" s="1"/>
  <c r="Z449" i="4"/>
  <c r="Z494" i="4" s="1"/>
  <c r="Z548" i="4" s="1"/>
  <c r="AB22" i="2" s="1"/>
  <c r="Z319" i="4"/>
  <c r="Z320" i="4" s="1"/>
  <c r="AA316" i="4" s="1"/>
  <c r="U112" i="2"/>
  <c r="U90" i="2"/>
  <c r="U93" i="2" s="1"/>
  <c r="AB525" i="4"/>
  <c r="X403" i="4"/>
  <c r="Y264" i="4"/>
  <c r="AI379" i="2"/>
  <c r="AJ378" i="2"/>
  <c r="AJ379" i="2" s="1"/>
  <c r="U717" i="4"/>
  <c r="W46" i="2" s="1"/>
  <c r="AA36" i="2"/>
  <c r="U853" i="4"/>
  <c r="U855" i="4"/>
  <c r="AJ134" i="2"/>
  <c r="U343" i="2"/>
  <c r="AE345" i="4"/>
  <c r="AE349" i="4" s="1"/>
  <c r="U689" i="4"/>
  <c r="U691" i="4"/>
  <c r="AD362" i="4"/>
  <c r="AE360" i="4" s="1"/>
  <c r="K59" i="2"/>
  <c r="I59" i="2" s="1"/>
  <c r="AC313" i="4"/>
  <c r="AC317" i="4" s="1"/>
  <c r="AA51" i="2"/>
  <c r="Z773" i="4"/>
  <c r="Z774" i="4" s="1"/>
  <c r="Z815" i="4" s="1"/>
  <c r="Z609" i="4"/>
  <c r="Z610" i="4" s="1"/>
  <c r="Z651" i="4" s="1"/>
  <c r="Z453" i="4"/>
  <c r="Z454" i="4" s="1"/>
  <c r="Z495" i="4" s="1"/>
  <c r="Z335" i="4"/>
  <c r="Z336" i="4" s="1"/>
  <c r="AA332" i="4" s="1"/>
  <c r="T158" i="2"/>
  <c r="T161" i="2" s="1"/>
  <c r="U228" i="2"/>
  <c r="U250" i="2"/>
  <c r="S265" i="2"/>
  <c r="T180" i="2"/>
  <c r="T884" i="4"/>
  <c r="T886" i="4" s="1"/>
  <c r="T887" i="4" s="1"/>
  <c r="T888" i="4" s="1"/>
  <c r="AA377" i="4"/>
  <c r="AA381" i="4" s="1"/>
  <c r="U881" i="4"/>
  <c r="W61" i="2" s="1"/>
  <c r="V30" i="2"/>
  <c r="Z599" i="4"/>
  <c r="Z600" i="4" s="1"/>
  <c r="Z649" i="4" s="1"/>
  <c r="Z763" i="4"/>
  <c r="Z764" i="4" s="1"/>
  <c r="Z813" i="4" s="1"/>
  <c r="Z443" i="4"/>
  <c r="Z444" i="4" s="1"/>
  <c r="Z493" i="4" s="1"/>
  <c r="Z547" i="4" s="1"/>
  <c r="AB21" i="2" s="1"/>
  <c r="Z303" i="4"/>
  <c r="Z304" i="4" s="1"/>
  <c r="AA300" i="4" s="1"/>
  <c r="X430" i="4"/>
  <c r="X431" i="4" s="1"/>
  <c r="X492" i="4" s="1"/>
  <c r="X271" i="4"/>
  <c r="X272" i="4" s="1"/>
  <c r="Z398" i="4"/>
  <c r="U558" i="4"/>
  <c r="U543" i="4"/>
  <c r="AE281" i="4"/>
  <c r="AE285" i="4" s="1"/>
  <c r="K44" i="2"/>
  <c r="I44" i="2" s="1"/>
  <c r="Y338" i="2"/>
  <c r="Z788" i="4"/>
  <c r="Z789" i="4" s="1"/>
  <c r="Z818" i="4" s="1"/>
  <c r="Z624" i="4"/>
  <c r="Z625" i="4" s="1"/>
  <c r="Z654" i="4" s="1"/>
  <c r="Z468" i="4"/>
  <c r="Z469" i="4" s="1"/>
  <c r="Z498" i="4" s="1"/>
  <c r="Z383" i="4"/>
  <c r="Z384" i="4" s="1"/>
  <c r="AA380" i="4" s="1"/>
  <c r="AB394" i="4"/>
  <c r="AC392" i="4" s="1"/>
  <c r="U538" i="4"/>
  <c r="T562" i="4"/>
  <c r="V32" i="2" s="1"/>
  <c r="T1194" i="4"/>
  <c r="V195" i="2"/>
  <c r="V192" i="2" s="1"/>
  <c r="V349" i="2"/>
  <c r="AD971" i="4"/>
  <c r="AD1098" i="4"/>
  <c r="T120" i="2"/>
  <c r="Y66" i="2"/>
  <c r="W252" i="4"/>
  <c r="Y83" i="2" s="1"/>
  <c r="U355" i="2"/>
  <c r="AA778" i="4"/>
  <c r="AA779" i="4" s="1"/>
  <c r="AA816" i="4" s="1"/>
  <c r="AA614" i="4"/>
  <c r="AA615" i="4" s="1"/>
  <c r="AA652" i="4" s="1"/>
  <c r="AA458" i="4"/>
  <c r="AA459" i="4" s="1"/>
  <c r="AA496" i="4" s="1"/>
  <c r="AA351" i="4"/>
  <c r="AA352" i="4" s="1"/>
  <c r="AB348" i="4" s="1"/>
  <c r="AB518" i="4"/>
  <c r="AA1195" i="4"/>
  <c r="AE298" i="4"/>
  <c r="AF296" i="4" s="1"/>
  <c r="V364" i="2"/>
  <c r="Z366" i="4"/>
  <c r="V352" i="2"/>
  <c r="T564" i="4" l="1"/>
  <c r="T566" i="4" s="1"/>
  <c r="Y831" i="4"/>
  <c r="Y873" i="4"/>
  <c r="Y709" i="4"/>
  <c r="Y667" i="4"/>
  <c r="AE282" i="4"/>
  <c r="AF280" i="4" s="1"/>
  <c r="AF281" i="4" s="1"/>
  <c r="AF285" i="4" s="1"/>
  <c r="AE346" i="4"/>
  <c r="AF344" i="4" s="1"/>
  <c r="AF345" i="4" s="1"/>
  <c r="AF349" i="4" s="1"/>
  <c r="V85" i="2"/>
  <c r="V87" i="2" s="1"/>
  <c r="U876" i="4"/>
  <c r="U885" i="4"/>
  <c r="Z783" i="4"/>
  <c r="Z784" i="4" s="1"/>
  <c r="Z817" i="4" s="1"/>
  <c r="Z619" i="4"/>
  <c r="Z620" i="4" s="1"/>
  <c r="Z653" i="4" s="1"/>
  <c r="Z463" i="4"/>
  <c r="Z464" i="4" s="1"/>
  <c r="Z497" i="4" s="1"/>
  <c r="Z367" i="4"/>
  <c r="Z368" i="4" s="1"/>
  <c r="AA364" i="4" s="1"/>
  <c r="V339" i="2"/>
  <c r="V18" i="2"/>
  <c r="V91" i="2" s="1"/>
  <c r="V366" i="2"/>
  <c r="AE968" i="4"/>
  <c r="AD1101" i="4"/>
  <c r="U533" i="4"/>
  <c r="U535" i="4"/>
  <c r="AA378" i="4"/>
  <c r="AB376" i="4" s="1"/>
  <c r="AB523" i="4"/>
  <c r="T179" i="2"/>
  <c r="AB350" i="4"/>
  <c r="U859" i="4"/>
  <c r="U856" i="4"/>
  <c r="X402" i="4"/>
  <c r="Y268" i="4"/>
  <c r="X404" i="4"/>
  <c r="X407" i="4" s="1"/>
  <c r="Z193" i="2" s="1"/>
  <c r="X507" i="4"/>
  <c r="X546" i="4"/>
  <c r="AA318" i="4"/>
  <c r="V340" i="2"/>
  <c r="AA302" i="4"/>
  <c r="AE361" i="4"/>
  <c r="AE365" i="4" s="1"/>
  <c r="U561" i="4"/>
  <c r="W31" i="2" s="1"/>
  <c r="U128" i="2"/>
  <c r="U130" i="2" s="1"/>
  <c r="U148" i="2"/>
  <c r="Z867" i="4"/>
  <c r="U712" i="4"/>
  <c r="U721" i="4"/>
  <c r="T258" i="2"/>
  <c r="Y265" i="4"/>
  <c r="Y269" i="4" s="1"/>
  <c r="AB528" i="4"/>
  <c r="K61" i="2"/>
  <c r="I61" i="2" s="1"/>
  <c r="AF297" i="4"/>
  <c r="AF301" i="4" s="1"/>
  <c r="W29" i="2"/>
  <c r="AA362" i="2"/>
  <c r="AF330" i="4"/>
  <c r="AG328" i="4" s="1"/>
  <c r="V354" i="2"/>
  <c r="Z793" i="4"/>
  <c r="Z794" i="4" s="1"/>
  <c r="Z819" i="4" s="1"/>
  <c r="Z629" i="4"/>
  <c r="Z630" i="4" s="1"/>
  <c r="Z655" i="4" s="1"/>
  <c r="Z473" i="4"/>
  <c r="Z474" i="4" s="1"/>
  <c r="Z499" i="4" s="1"/>
  <c r="Z399" i="4"/>
  <c r="Z400" i="4" s="1"/>
  <c r="AA396" i="4" s="1"/>
  <c r="AA382" i="4"/>
  <c r="AC314" i="4"/>
  <c r="AD312" i="4" s="1"/>
  <c r="V273" i="2"/>
  <c r="V129" i="2"/>
  <c r="V146" i="2"/>
  <c r="U122" i="2"/>
  <c r="U124" i="2" s="1"/>
  <c r="U118" i="2"/>
  <c r="AA350" i="2"/>
  <c r="U295" i="2"/>
  <c r="U253" i="2"/>
  <c r="K46" i="2"/>
  <c r="I46" i="2" s="1"/>
  <c r="AC393" i="4"/>
  <c r="AC397" i="4" s="1"/>
  <c r="Z703" i="4"/>
  <c r="U695" i="4"/>
  <c r="U692" i="4"/>
  <c r="AA334" i="4"/>
  <c r="AA286" i="4"/>
  <c r="T1219" i="4" l="1"/>
  <c r="T1223" i="4" s="1"/>
  <c r="Z549" i="4"/>
  <c r="AB23" i="2" s="1"/>
  <c r="Z869" i="4"/>
  <c r="AB53" i="2" s="1"/>
  <c r="T567" i="4"/>
  <c r="T568" i="4" s="1"/>
  <c r="Z663" i="4"/>
  <c r="Z688" i="4" s="1"/>
  <c r="AA398" i="4"/>
  <c r="AB51" i="2"/>
  <c r="AA366" i="4"/>
  <c r="U140" i="2"/>
  <c r="U131" i="2"/>
  <c r="V355" i="2"/>
  <c r="K31" i="2"/>
  <c r="I31" i="2" s="1"/>
  <c r="V851" i="4"/>
  <c r="U879" i="4"/>
  <c r="W60" i="2" s="1"/>
  <c r="AG329" i="4"/>
  <c r="AG333" i="4" s="1"/>
  <c r="Y270" i="4"/>
  <c r="U864" i="4"/>
  <c r="U860" i="4" s="1"/>
  <c r="U861" i="4" s="1"/>
  <c r="V367" i="2"/>
  <c r="AE362" i="4"/>
  <c r="AF360" i="4" s="1"/>
  <c r="AB36" i="2"/>
  <c r="AF346" i="4"/>
  <c r="AG344" i="4" s="1"/>
  <c r="K29" i="2"/>
  <c r="I29" i="2" s="1"/>
  <c r="T181" i="2"/>
  <c r="T262" i="2"/>
  <c r="AD313" i="4"/>
  <c r="AD317" i="4" s="1"/>
  <c r="AA605" i="4"/>
  <c r="AA650" i="4" s="1"/>
  <c r="AA704" i="4" s="1"/>
  <c r="AC37" i="2" s="1"/>
  <c r="AA769" i="4"/>
  <c r="AA814" i="4" s="1"/>
  <c r="AA868" i="4" s="1"/>
  <c r="AC52" i="2" s="1"/>
  <c r="AA449" i="4"/>
  <c r="AA494" i="4" s="1"/>
  <c r="AA548" i="4" s="1"/>
  <c r="AC22" i="2" s="1"/>
  <c r="AA319" i="4"/>
  <c r="AA320" i="4" s="1"/>
  <c r="AB316" i="4" s="1"/>
  <c r="V337" i="2"/>
  <c r="V64" i="2"/>
  <c r="AF298" i="4"/>
  <c r="AG296" i="4" s="1"/>
  <c r="AB377" i="4"/>
  <c r="AB381" i="4" s="1"/>
  <c r="X511" i="4"/>
  <c r="X532" i="4"/>
  <c r="X1197" i="4"/>
  <c r="U565" i="4"/>
  <c r="U556" i="4"/>
  <c r="AF282" i="4"/>
  <c r="AG280" i="4" s="1"/>
  <c r="U539" i="4"/>
  <c r="U536" i="4"/>
  <c r="AC525" i="4"/>
  <c r="AE971" i="4"/>
  <c r="AE1098" i="4"/>
  <c r="V687" i="4"/>
  <c r="U715" i="4"/>
  <c r="W45" i="2" s="1"/>
  <c r="Y266" i="4"/>
  <c r="U700" i="4"/>
  <c r="U696" i="4" s="1"/>
  <c r="U697" i="4" s="1"/>
  <c r="AB614" i="4"/>
  <c r="AB615" i="4" s="1"/>
  <c r="AB652" i="4" s="1"/>
  <c r="AB778" i="4"/>
  <c r="AB779" i="4" s="1"/>
  <c r="AB816" i="4" s="1"/>
  <c r="AB458" i="4"/>
  <c r="AB459" i="4" s="1"/>
  <c r="AB496" i="4" s="1"/>
  <c r="AB351" i="4"/>
  <c r="AB352" i="4" s="1"/>
  <c r="AC348" i="4" s="1"/>
  <c r="Z705" i="4"/>
  <c r="AB38" i="2" s="1"/>
  <c r="AA763" i="4"/>
  <c r="AA764" i="4" s="1"/>
  <c r="AA813" i="4" s="1"/>
  <c r="AA599" i="4"/>
  <c r="AA600" i="4" s="1"/>
  <c r="AA649" i="4" s="1"/>
  <c r="AA443" i="4"/>
  <c r="AA444" i="4" s="1"/>
  <c r="AA493" i="4" s="1"/>
  <c r="AA547" i="4" s="1"/>
  <c r="AC21" i="2" s="1"/>
  <c r="AA303" i="4"/>
  <c r="AA304" i="4" s="1"/>
  <c r="AB300" i="4" s="1"/>
  <c r="AA436" i="4"/>
  <c r="AA437" i="4" s="1"/>
  <c r="AA287" i="4"/>
  <c r="AA288" i="4" s="1"/>
  <c r="AB284" i="4" s="1"/>
  <c r="AC394" i="4"/>
  <c r="AD392" i="4" s="1"/>
  <c r="AB1195" i="4"/>
  <c r="AC518" i="4"/>
  <c r="AA773" i="4"/>
  <c r="AA774" i="4" s="1"/>
  <c r="AA815" i="4" s="1"/>
  <c r="AA609" i="4"/>
  <c r="AA610" i="4" s="1"/>
  <c r="AA651" i="4" s="1"/>
  <c r="AA453" i="4"/>
  <c r="AA454" i="4" s="1"/>
  <c r="AA495" i="4" s="1"/>
  <c r="AA335" i="4"/>
  <c r="AA336" i="4" s="1"/>
  <c r="AB332" i="4" s="1"/>
  <c r="AA788" i="4"/>
  <c r="AA789" i="4" s="1"/>
  <c r="AA818" i="4" s="1"/>
  <c r="AA468" i="4"/>
  <c r="AA469" i="4" s="1"/>
  <c r="AA498" i="4" s="1"/>
  <c r="AA624" i="4"/>
  <c r="AA625" i="4" s="1"/>
  <c r="AA654" i="4" s="1"/>
  <c r="AA383" i="4"/>
  <c r="AA384" i="4" s="1"/>
  <c r="AB380" i="4" s="1"/>
  <c r="Z827" i="4"/>
  <c r="X553" i="4"/>
  <c r="X251" i="4"/>
  <c r="Z20" i="2"/>
  <c r="T1220" i="4" l="1"/>
  <c r="Z873" i="4"/>
  <c r="Z667" i="4"/>
  <c r="V858" i="4"/>
  <c r="U882" i="4"/>
  <c r="V694" i="4"/>
  <c r="U718" i="4"/>
  <c r="W47" i="2" s="1"/>
  <c r="W194" i="2"/>
  <c r="V531" i="4"/>
  <c r="U559" i="4"/>
  <c r="U1193" i="4"/>
  <c r="V342" i="2"/>
  <c r="AF361" i="4"/>
  <c r="AF365" i="4" s="1"/>
  <c r="AB286" i="4"/>
  <c r="X252" i="4"/>
  <c r="Z83" i="2" s="1"/>
  <c r="Z66" i="2"/>
  <c r="U158" i="2"/>
  <c r="U161" i="2" s="1"/>
  <c r="AB302" i="4"/>
  <c r="AB378" i="4"/>
  <c r="AC376" i="4" s="1"/>
  <c r="AB382" i="4"/>
  <c r="AA703" i="4"/>
  <c r="AF968" i="4"/>
  <c r="AE1101" i="4"/>
  <c r="AA867" i="4"/>
  <c r="AG297" i="4"/>
  <c r="AG301" i="4" s="1"/>
  <c r="AD393" i="4"/>
  <c r="AD397" i="4" s="1"/>
  <c r="Z338" i="2"/>
  <c r="Y403" i="4"/>
  <c r="Z264" i="4"/>
  <c r="AD314" i="4"/>
  <c r="AE312" i="4" s="1"/>
  <c r="K45" i="2"/>
  <c r="I45" i="2" s="1"/>
  <c r="W351" i="2"/>
  <c r="K351" i="2" s="1"/>
  <c r="V714" i="4"/>
  <c r="X44" i="2" s="1"/>
  <c r="V699" i="4"/>
  <c r="U120" i="2"/>
  <c r="Z852" i="4"/>
  <c r="Z831" i="4"/>
  <c r="AC528" i="4"/>
  <c r="V141" i="2"/>
  <c r="V229" i="2"/>
  <c r="V89" i="2"/>
  <c r="V383" i="2"/>
  <c r="V88" i="2"/>
  <c r="T184" i="2"/>
  <c r="T209" i="2" s="1"/>
  <c r="U180" i="2"/>
  <c r="T265" i="2"/>
  <c r="Y430" i="4"/>
  <c r="Y431" i="4" s="1"/>
  <c r="Y492" i="4" s="1"/>
  <c r="Y271" i="4"/>
  <c r="Y272" i="4" s="1"/>
  <c r="AA463" i="4"/>
  <c r="AA464" i="4" s="1"/>
  <c r="AA497" i="4" s="1"/>
  <c r="AA619" i="4"/>
  <c r="AA620" i="4" s="1"/>
  <c r="AA653" i="4" s="1"/>
  <c r="AA783" i="4"/>
  <c r="AA784" i="4" s="1"/>
  <c r="AA817" i="4" s="1"/>
  <c r="AA367" i="4"/>
  <c r="AA368" i="4" s="1"/>
  <c r="AB364" i="4" s="1"/>
  <c r="V878" i="4"/>
  <c r="X59" i="2" s="1"/>
  <c r="V863" i="4"/>
  <c r="AB334" i="4"/>
  <c r="AC350" i="4"/>
  <c r="AB318" i="4"/>
  <c r="AG330" i="4"/>
  <c r="U544" i="4"/>
  <c r="U540" i="4" s="1"/>
  <c r="U541" i="4" s="1"/>
  <c r="AB362" i="2"/>
  <c r="AG281" i="4"/>
  <c r="AG285" i="4" s="1"/>
  <c r="AG345" i="4"/>
  <c r="AG349" i="4" s="1"/>
  <c r="K60" i="2"/>
  <c r="I60" i="2" s="1"/>
  <c r="W363" i="2"/>
  <c r="K363" i="2" s="1"/>
  <c r="AA793" i="4"/>
  <c r="AA794" i="4" s="1"/>
  <c r="AA819" i="4" s="1"/>
  <c r="AA473" i="4"/>
  <c r="AA474" i="4" s="1"/>
  <c r="AA499" i="4" s="1"/>
  <c r="AA629" i="4"/>
  <c r="AA630" i="4" s="1"/>
  <c r="AA655" i="4" s="1"/>
  <c r="AA399" i="4"/>
  <c r="AA400" i="4" s="1"/>
  <c r="AB396" i="4" s="1"/>
  <c r="AC523" i="4"/>
  <c r="Z709" i="4"/>
  <c r="AB350" i="2"/>
  <c r="AA869" i="4" l="1"/>
  <c r="AC53" i="2" s="1"/>
  <c r="AA663" i="4"/>
  <c r="AA667" i="4" s="1"/>
  <c r="AA549" i="4"/>
  <c r="AC23" i="2" s="1"/>
  <c r="U179" i="2"/>
  <c r="U562" i="4"/>
  <c r="W32" i="2" s="1"/>
  <c r="V538" i="4"/>
  <c r="U1194" i="4"/>
  <c r="W195" i="2"/>
  <c r="K195" i="2" s="1"/>
  <c r="V343" i="2"/>
  <c r="AC377" i="4"/>
  <c r="AC381" i="4" s="1"/>
  <c r="U258" i="2"/>
  <c r="W30" i="2"/>
  <c r="AB605" i="4"/>
  <c r="AB650" i="4" s="1"/>
  <c r="AB704" i="4" s="1"/>
  <c r="AD37" i="2" s="1"/>
  <c r="AB769" i="4"/>
  <c r="AB814" i="4" s="1"/>
  <c r="AB868" i="4" s="1"/>
  <c r="AD52" i="2" s="1"/>
  <c r="AB449" i="4"/>
  <c r="AB494" i="4" s="1"/>
  <c r="AB548" i="4" s="1"/>
  <c r="AD22" i="2" s="1"/>
  <c r="AB319" i="4"/>
  <c r="AB320" i="4" s="1"/>
  <c r="AC316" i="4" s="1"/>
  <c r="V689" i="4"/>
  <c r="V691" i="4"/>
  <c r="V558" i="4"/>
  <c r="V543" i="4"/>
  <c r="K194" i="2"/>
  <c r="AC458" i="4"/>
  <c r="AC459" i="4" s="1"/>
  <c r="AC496" i="4" s="1"/>
  <c r="AC614" i="4"/>
  <c r="AC615" i="4" s="1"/>
  <c r="AC652" i="4" s="1"/>
  <c r="AC778" i="4"/>
  <c r="AC779" i="4" s="1"/>
  <c r="AC816" i="4" s="1"/>
  <c r="AC351" i="4"/>
  <c r="AC352" i="4" s="1"/>
  <c r="AD348" i="4" s="1"/>
  <c r="K47" i="2"/>
  <c r="I47" i="2" s="1"/>
  <c r="W352" i="2"/>
  <c r="K352" i="2" s="1"/>
  <c r="V717" i="4"/>
  <c r="X46" i="2" s="1"/>
  <c r="AG346" i="4"/>
  <c r="W62" i="2"/>
  <c r="U884" i="4"/>
  <c r="U886" i="4" s="1"/>
  <c r="U887" i="4" s="1"/>
  <c r="U888" i="4" s="1"/>
  <c r="V853" i="4"/>
  <c r="V855" i="4"/>
  <c r="AE313" i="4"/>
  <c r="AE317" i="4" s="1"/>
  <c r="AC1195" i="4"/>
  <c r="AD518" i="4"/>
  <c r="Z265" i="4"/>
  <c r="Z269" i="4" s="1"/>
  <c r="AA705" i="4"/>
  <c r="AC38" i="2" s="1"/>
  <c r="AD525" i="4"/>
  <c r="AF1098" i="4"/>
  <c r="AF971" i="4"/>
  <c r="AB366" i="4"/>
  <c r="AB468" i="4"/>
  <c r="AB469" i="4" s="1"/>
  <c r="AB498" i="4" s="1"/>
  <c r="AB788" i="4"/>
  <c r="AB789" i="4" s="1"/>
  <c r="AB818" i="4" s="1"/>
  <c r="AB624" i="4"/>
  <c r="AB625" i="4" s="1"/>
  <c r="AB654" i="4" s="1"/>
  <c r="AB383" i="4"/>
  <c r="AB384" i="4" s="1"/>
  <c r="AC380" i="4" s="1"/>
  <c r="Y404" i="4"/>
  <c r="Y407" i="4" s="1"/>
  <c r="AA193" i="2" s="1"/>
  <c r="Y402" i="4"/>
  <c r="Z268" i="4"/>
  <c r="AD394" i="4"/>
  <c r="AE392" i="4" s="1"/>
  <c r="AB763" i="4"/>
  <c r="AB764" i="4" s="1"/>
  <c r="AB813" i="4" s="1"/>
  <c r="AB443" i="4"/>
  <c r="AB444" i="4" s="1"/>
  <c r="AB493" i="4" s="1"/>
  <c r="AB547" i="4" s="1"/>
  <c r="AD21" i="2" s="1"/>
  <c r="AB599" i="4"/>
  <c r="AB600" i="4" s="1"/>
  <c r="AB649" i="4" s="1"/>
  <c r="AB303" i="4"/>
  <c r="AB304" i="4" s="1"/>
  <c r="AC300" i="4" s="1"/>
  <c r="Y507" i="4"/>
  <c r="Y546" i="4"/>
  <c r="T294" i="2"/>
  <c r="T296" i="2" s="1"/>
  <c r="T297" i="2" s="1"/>
  <c r="T226" i="2"/>
  <c r="T254" i="2" s="1"/>
  <c r="T263" i="2" s="1"/>
  <c r="T266" i="2" s="1"/>
  <c r="AB773" i="4"/>
  <c r="AB774" i="4" s="1"/>
  <c r="AB815" i="4" s="1"/>
  <c r="AB453" i="4"/>
  <c r="AB454" i="4" s="1"/>
  <c r="AB495" i="4" s="1"/>
  <c r="AB609" i="4"/>
  <c r="AB610" i="4" s="1"/>
  <c r="AB651" i="4" s="1"/>
  <c r="AB335" i="4"/>
  <c r="AB336" i="4" s="1"/>
  <c r="AC332" i="4" s="1"/>
  <c r="W33" i="2"/>
  <c r="W92" i="2" s="1"/>
  <c r="AG298" i="4"/>
  <c r="AB436" i="4"/>
  <c r="AB437" i="4" s="1"/>
  <c r="AB287" i="4"/>
  <c r="AB288" i="4" s="1"/>
  <c r="AC284" i="4" s="1"/>
  <c r="V112" i="2"/>
  <c r="V90" i="2"/>
  <c r="V93" i="2" s="1"/>
  <c r="AG282" i="4"/>
  <c r="V228" i="2"/>
  <c r="V250" i="2"/>
  <c r="AA827" i="4"/>
  <c r="AC51" i="2"/>
  <c r="AF362" i="4"/>
  <c r="AG360" i="4" s="1"/>
  <c r="AB398" i="4"/>
  <c r="U720" i="4"/>
  <c r="U722" i="4" s="1"/>
  <c r="U723" i="4" s="1"/>
  <c r="U724" i="4" s="1"/>
  <c r="AC36" i="2"/>
  <c r="V881" i="4"/>
  <c r="X61" i="2" s="1"/>
  <c r="AA873" i="4" l="1"/>
  <c r="AA688" i="4"/>
  <c r="Z270" i="4"/>
  <c r="Z430" i="4" s="1"/>
  <c r="Z431" i="4" s="1"/>
  <c r="Z492" i="4" s="1"/>
  <c r="Z266" i="4"/>
  <c r="Z403" i="4" s="1"/>
  <c r="AA709" i="4"/>
  <c r="AA852" i="4"/>
  <c r="AA831" i="4"/>
  <c r="AD523" i="4"/>
  <c r="V712" i="4"/>
  <c r="V721" i="4"/>
  <c r="V295" i="2"/>
  <c r="V253" i="2"/>
  <c r="V148" i="2"/>
  <c r="V128" i="2"/>
  <c r="V130" i="2" s="1"/>
  <c r="K32" i="2"/>
  <c r="I32" i="2" s="1"/>
  <c r="W340" i="2"/>
  <c r="K340" i="2" s="1"/>
  <c r="AB783" i="4"/>
  <c r="AB784" i="4" s="1"/>
  <c r="AB817" i="4" s="1"/>
  <c r="AB619" i="4"/>
  <c r="AB620" i="4" s="1"/>
  <c r="AB653" i="4" s="1"/>
  <c r="AB463" i="4"/>
  <c r="AB464" i="4" s="1"/>
  <c r="AB497" i="4" s="1"/>
  <c r="AB367" i="4"/>
  <c r="AB368" i="4" s="1"/>
  <c r="AC364" i="4" s="1"/>
  <c r="Y251" i="4"/>
  <c r="Y553" i="4"/>
  <c r="AA20" i="2"/>
  <c r="AD350" i="4"/>
  <c r="U181" i="2"/>
  <c r="AB793" i="4"/>
  <c r="AB794" i="4" s="1"/>
  <c r="AB819" i="4" s="1"/>
  <c r="AB629" i="4"/>
  <c r="AB630" i="4" s="1"/>
  <c r="AB655" i="4" s="1"/>
  <c r="AB473" i="4"/>
  <c r="AB474" i="4" s="1"/>
  <c r="AB499" i="4" s="1"/>
  <c r="AB399" i="4"/>
  <c r="AB400" i="4" s="1"/>
  <c r="AC396" i="4" s="1"/>
  <c r="Y511" i="4"/>
  <c r="Y532" i="4"/>
  <c r="Y1197" i="4"/>
  <c r="AG968" i="4"/>
  <c r="AF1101" i="4"/>
  <c r="AC302" i="4"/>
  <c r="AG361" i="4"/>
  <c r="AG365" i="4" s="1"/>
  <c r="AD528" i="4"/>
  <c r="V885" i="4"/>
  <c r="V876" i="4"/>
  <c r="U262" i="2"/>
  <c r="W349" i="2"/>
  <c r="K33" i="2"/>
  <c r="I33" i="2" s="1"/>
  <c r="V859" i="4"/>
  <c r="V856" i="4"/>
  <c r="AE393" i="4"/>
  <c r="AE397" i="4" s="1"/>
  <c r="V533" i="4"/>
  <c r="V535" i="4"/>
  <c r="AC378" i="4"/>
  <c r="AD376" i="4" s="1"/>
  <c r="K62" i="2"/>
  <c r="I62" i="2" s="1"/>
  <c r="W364" i="2"/>
  <c r="K364" i="2" s="1"/>
  <c r="W48" i="2"/>
  <c r="AC382" i="4"/>
  <c r="AC318" i="4"/>
  <c r="AC350" i="2"/>
  <c r="V122" i="2"/>
  <c r="V124" i="2" s="1"/>
  <c r="V118" i="2"/>
  <c r="AE314" i="4"/>
  <c r="AF312" i="4" s="1"/>
  <c r="W85" i="2"/>
  <c r="W87" i="2" s="1"/>
  <c r="AC286" i="4"/>
  <c r="K30" i="2"/>
  <c r="I30" i="2" s="1"/>
  <c r="W339" i="2"/>
  <c r="K339" i="2" s="1"/>
  <c r="W18" i="2"/>
  <c r="W91" i="2" s="1"/>
  <c r="AB703" i="4"/>
  <c r="W192" i="2"/>
  <c r="AC362" i="2"/>
  <c r="AC334" i="4"/>
  <c r="AB867" i="4"/>
  <c r="X29" i="2"/>
  <c r="V695" i="4"/>
  <c r="V692" i="4"/>
  <c r="V561" i="4"/>
  <c r="X31" i="2" s="1"/>
  <c r="U564" i="4"/>
  <c r="U566" i="4" s="1"/>
  <c r="AB663" i="4" l="1"/>
  <c r="AB688" i="4" s="1"/>
  <c r="AA264" i="4"/>
  <c r="AA265" i="4" s="1"/>
  <c r="AA269" i="4" s="1"/>
  <c r="Z271" i="4"/>
  <c r="Z272" i="4" s="1"/>
  <c r="AA268" i="4" s="1"/>
  <c r="AB549" i="4"/>
  <c r="AD23" i="2" s="1"/>
  <c r="AB705" i="4"/>
  <c r="AD38" i="2" s="1"/>
  <c r="AB869" i="4"/>
  <c r="AD53" i="2" s="1"/>
  <c r="K87" i="2"/>
  <c r="I87" i="2" s="1"/>
  <c r="AB827" i="4"/>
  <c r="AE525" i="4"/>
  <c r="U184" i="2"/>
  <c r="U209" i="2" s="1"/>
  <c r="V180" i="2"/>
  <c r="V539" i="4"/>
  <c r="V536" i="4"/>
  <c r="AD614" i="4"/>
  <c r="AD615" i="4" s="1"/>
  <c r="AD652" i="4" s="1"/>
  <c r="AD458" i="4"/>
  <c r="AD459" i="4" s="1"/>
  <c r="AD496" i="4" s="1"/>
  <c r="AD778" i="4"/>
  <c r="AD779" i="4" s="1"/>
  <c r="AD816" i="4" s="1"/>
  <c r="AD351" i="4"/>
  <c r="AD352" i="4" s="1"/>
  <c r="AE348" i="4" s="1"/>
  <c r="V120" i="2"/>
  <c r="AG362" i="4"/>
  <c r="AA338" i="2"/>
  <c r="AC366" i="4"/>
  <c r="AD36" i="2"/>
  <c r="W337" i="2"/>
  <c r="W64" i="2"/>
  <c r="K18" i="2"/>
  <c r="W354" i="2"/>
  <c r="K349" i="2"/>
  <c r="V140" i="2"/>
  <c r="AD377" i="4"/>
  <c r="AD381" i="4" s="1"/>
  <c r="AF313" i="4"/>
  <c r="AF317" i="4" s="1"/>
  <c r="V556" i="4"/>
  <c r="V565" i="4"/>
  <c r="AD51" i="2"/>
  <c r="AC773" i="4"/>
  <c r="AC774" i="4" s="1"/>
  <c r="AC815" i="4" s="1"/>
  <c r="AC609" i="4"/>
  <c r="AC610" i="4" s="1"/>
  <c r="AC651" i="4" s="1"/>
  <c r="AC453" i="4"/>
  <c r="AC454" i="4" s="1"/>
  <c r="AC495" i="4" s="1"/>
  <c r="AC335" i="4"/>
  <c r="AC336" i="4" s="1"/>
  <c r="AD332" i="4" s="1"/>
  <c r="U567" i="4"/>
  <c r="U568" i="4" s="1"/>
  <c r="U1219" i="4"/>
  <c r="AE394" i="4"/>
  <c r="AF392" i="4" s="1"/>
  <c r="AC599" i="4"/>
  <c r="AC600" i="4" s="1"/>
  <c r="AC649" i="4" s="1"/>
  <c r="AC763" i="4"/>
  <c r="AC764" i="4" s="1"/>
  <c r="AC813" i="4" s="1"/>
  <c r="AC443" i="4"/>
  <c r="AC444" i="4" s="1"/>
  <c r="AC493" i="4" s="1"/>
  <c r="AC547" i="4" s="1"/>
  <c r="AE21" i="2" s="1"/>
  <c r="AC303" i="4"/>
  <c r="AC304" i="4" s="1"/>
  <c r="AD300" i="4" s="1"/>
  <c r="Y252" i="4"/>
  <c r="AA83" i="2" s="1"/>
  <c r="AA66" i="2"/>
  <c r="AD1195" i="4"/>
  <c r="AE518" i="4"/>
  <c r="W273" i="2"/>
  <c r="K192" i="2"/>
  <c r="W129" i="2"/>
  <c r="K129" i="2" s="1"/>
  <c r="W146" i="2"/>
  <c r="K146" i="2" s="1"/>
  <c r="W687" i="4"/>
  <c r="V715" i="4"/>
  <c r="X45" i="2" s="1"/>
  <c r="AC605" i="4"/>
  <c r="AC650" i="4" s="1"/>
  <c r="AC704" i="4" s="1"/>
  <c r="AE37" i="2" s="1"/>
  <c r="AC769" i="4"/>
  <c r="AC814" i="4" s="1"/>
  <c r="AC868" i="4" s="1"/>
  <c r="AE52" i="2" s="1"/>
  <c r="AC449" i="4"/>
  <c r="AC494" i="4" s="1"/>
  <c r="AC548" i="4" s="1"/>
  <c r="AE22" i="2" s="1"/>
  <c r="AC319" i="4"/>
  <c r="AC320" i="4" s="1"/>
  <c r="AD316" i="4" s="1"/>
  <c r="W851" i="4"/>
  <c r="V879" i="4"/>
  <c r="X60" i="2" s="1"/>
  <c r="AG971" i="4"/>
  <c r="AG1101" i="4" s="1"/>
  <c r="AG1098" i="4"/>
  <c r="Z546" i="4"/>
  <c r="Z507" i="4"/>
  <c r="V700" i="4"/>
  <c r="V696" i="4" s="1"/>
  <c r="V697" i="4" s="1"/>
  <c r="V864" i="4"/>
  <c r="V860" i="4" s="1"/>
  <c r="V861" i="4" s="1"/>
  <c r="AC468" i="4"/>
  <c r="AC469" i="4" s="1"/>
  <c r="AC498" i="4" s="1"/>
  <c r="AC788" i="4"/>
  <c r="AC789" i="4" s="1"/>
  <c r="AC818" i="4" s="1"/>
  <c r="AC624" i="4"/>
  <c r="AC625" i="4" s="1"/>
  <c r="AC654" i="4" s="1"/>
  <c r="AC383" i="4"/>
  <c r="AC384" i="4" s="1"/>
  <c r="AD380" i="4" s="1"/>
  <c r="W361" i="2"/>
  <c r="K48" i="2"/>
  <c r="I48" i="2" s="1"/>
  <c r="AC398" i="4"/>
  <c r="AC436" i="4"/>
  <c r="AC437" i="4" s="1"/>
  <c r="AC287" i="4"/>
  <c r="AC288" i="4" s="1"/>
  <c r="AD284" i="4" s="1"/>
  <c r="V131" i="2"/>
  <c r="AB873" i="4" l="1"/>
  <c r="U265" i="2"/>
  <c r="AB667" i="4"/>
  <c r="Z402" i="4"/>
  <c r="Z404" i="4"/>
  <c r="Z407" i="4" s="1"/>
  <c r="AB193" i="2" s="1"/>
  <c r="AB709" i="4"/>
  <c r="W858" i="4"/>
  <c r="V882" i="4"/>
  <c r="W694" i="4"/>
  <c r="V718" i="4"/>
  <c r="V258" i="2"/>
  <c r="W878" i="4"/>
  <c r="Y59" i="2" s="1"/>
  <c r="W863" i="4"/>
  <c r="K64" i="2"/>
  <c r="I64" i="2" s="1"/>
  <c r="I18" i="2"/>
  <c r="AB852" i="4"/>
  <c r="AB831" i="4"/>
  <c r="W366" i="2"/>
  <c r="K361" i="2"/>
  <c r="AD302" i="4"/>
  <c r="AD362" i="2"/>
  <c r="AE350" i="4"/>
  <c r="AC867" i="4"/>
  <c r="X351" i="2"/>
  <c r="AA270" i="4"/>
  <c r="Z532" i="4"/>
  <c r="Z511" i="4"/>
  <c r="Z1197" i="4"/>
  <c r="AD378" i="4"/>
  <c r="AE376" i="4" s="1"/>
  <c r="AA266" i="4"/>
  <c r="Z553" i="4"/>
  <c r="Z251" i="4"/>
  <c r="AB20" i="2"/>
  <c r="U1220" i="4"/>
  <c r="U1223" i="4"/>
  <c r="AE528" i="4"/>
  <c r="AD334" i="4"/>
  <c r="AD318" i="4"/>
  <c r="W141" i="2"/>
  <c r="W229" i="2"/>
  <c r="W89" i="2"/>
  <c r="W383" i="2"/>
  <c r="V158" i="2"/>
  <c r="V161" i="2" s="1"/>
  <c r="W342" i="2"/>
  <c r="K337" i="2"/>
  <c r="W88" i="2"/>
  <c r="AD350" i="2"/>
  <c r="AC703" i="4"/>
  <c r="W714" i="4"/>
  <c r="Y44" i="2" s="1"/>
  <c r="W699" i="4"/>
  <c r="AF393" i="4"/>
  <c r="AF397" i="4" s="1"/>
  <c r="AC463" i="4"/>
  <c r="AC464" i="4" s="1"/>
  <c r="AC497" i="4" s="1"/>
  <c r="AC619" i="4"/>
  <c r="AC620" i="4" s="1"/>
  <c r="AC653" i="4" s="1"/>
  <c r="AC783" i="4"/>
  <c r="AC784" i="4" s="1"/>
  <c r="AC817" i="4" s="1"/>
  <c r="AC367" i="4"/>
  <c r="AC368" i="4" s="1"/>
  <c r="AD364" i="4" s="1"/>
  <c r="X194" i="2"/>
  <c r="W531" i="4"/>
  <c r="V559" i="4"/>
  <c r="V1193" i="4"/>
  <c r="AD286" i="4"/>
  <c r="AF314" i="4"/>
  <c r="AG312" i="4" s="1"/>
  <c r="V544" i="4"/>
  <c r="V540" i="4" s="1"/>
  <c r="V541" i="4" s="1"/>
  <c r="AD382" i="4"/>
  <c r="AE523" i="4"/>
  <c r="U226" i="2"/>
  <c r="U254" i="2" s="1"/>
  <c r="U263" i="2" s="1"/>
  <c r="U266" i="2" s="1"/>
  <c r="U294" i="2"/>
  <c r="U296" i="2" s="1"/>
  <c r="U297" i="2" s="1"/>
  <c r="AC793" i="4"/>
  <c r="AC794" i="4" s="1"/>
  <c r="AC819" i="4" s="1"/>
  <c r="AC629" i="4"/>
  <c r="AC630" i="4" s="1"/>
  <c r="AC655" i="4" s="1"/>
  <c r="AC473" i="4"/>
  <c r="AC474" i="4" s="1"/>
  <c r="AC499" i="4" s="1"/>
  <c r="AC399" i="4"/>
  <c r="AC400" i="4" s="1"/>
  <c r="AD396" i="4" s="1"/>
  <c r="X363" i="2"/>
  <c r="W355" i="2"/>
  <c r="K354" i="2"/>
  <c r="K355" i="2" s="1"/>
  <c r="AC663" i="4" l="1"/>
  <c r="AC667" i="4" s="1"/>
  <c r="AF394" i="4"/>
  <c r="AG392" i="4" s="1"/>
  <c r="AG393" i="4" s="1"/>
  <c r="AG397" i="4" s="1"/>
  <c r="AC827" i="4"/>
  <c r="AC852" i="4" s="1"/>
  <c r="AC705" i="4"/>
  <c r="AE38" i="2" s="1"/>
  <c r="AC549" i="4"/>
  <c r="AE23" i="2" s="1"/>
  <c r="AC869" i="4"/>
  <c r="AE53" i="2" s="1"/>
  <c r="W538" i="4"/>
  <c r="X195" i="2"/>
  <c r="X192" i="2" s="1"/>
  <c r="V562" i="4"/>
  <c r="V1194" i="4"/>
  <c r="W112" i="2"/>
  <c r="W90" i="2"/>
  <c r="W93" i="2" s="1"/>
  <c r="K89" i="2"/>
  <c r="AE614" i="4"/>
  <c r="AE615" i="4" s="1"/>
  <c r="AE652" i="4" s="1"/>
  <c r="AE458" i="4"/>
  <c r="AE459" i="4" s="1"/>
  <c r="AE496" i="4" s="1"/>
  <c r="AE778" i="4"/>
  <c r="AE779" i="4" s="1"/>
  <c r="AE816" i="4" s="1"/>
  <c r="AE351" i="4"/>
  <c r="AE352" i="4" s="1"/>
  <c r="AF348" i="4" s="1"/>
  <c r="K229" i="2"/>
  <c r="K250" i="2" s="1"/>
  <c r="K253" i="2" s="1"/>
  <c r="W228" i="2"/>
  <c r="W250" i="2"/>
  <c r="AD398" i="4"/>
  <c r="W881" i="4"/>
  <c r="Y61" i="2" s="1"/>
  <c r="AA430" i="4"/>
  <c r="AA431" i="4" s="1"/>
  <c r="AA492" i="4" s="1"/>
  <c r="AA271" i="4"/>
  <c r="AA272" i="4" s="1"/>
  <c r="AF525" i="4"/>
  <c r="AE1195" i="4"/>
  <c r="AF518" i="4"/>
  <c r="W343" i="2"/>
  <c r="K342" i="2"/>
  <c r="K343" i="2" s="1"/>
  <c r="V179" i="2"/>
  <c r="AD788" i="4"/>
  <c r="AD789" i="4" s="1"/>
  <c r="AD818" i="4" s="1"/>
  <c r="AD468" i="4"/>
  <c r="AD469" i="4" s="1"/>
  <c r="AD498" i="4" s="1"/>
  <c r="AD624" i="4"/>
  <c r="AD625" i="4" s="1"/>
  <c r="AD654" i="4" s="1"/>
  <c r="AD383" i="4"/>
  <c r="AD384" i="4" s="1"/>
  <c r="AE380" i="4" s="1"/>
  <c r="AB338" i="2"/>
  <c r="AB66" i="2"/>
  <c r="Z252" i="4"/>
  <c r="AB83" i="2" s="1"/>
  <c r="V262" i="2"/>
  <c r="W558" i="4"/>
  <c r="W543" i="4"/>
  <c r="AD773" i="4"/>
  <c r="AD774" i="4" s="1"/>
  <c r="AD815" i="4" s="1"/>
  <c r="AD609" i="4"/>
  <c r="AD610" i="4" s="1"/>
  <c r="AD651" i="4" s="1"/>
  <c r="AD453" i="4"/>
  <c r="AD454" i="4" s="1"/>
  <c r="AD495" i="4" s="1"/>
  <c r="AD335" i="4"/>
  <c r="AD336" i="4" s="1"/>
  <c r="AE332" i="4" s="1"/>
  <c r="AD366" i="4"/>
  <c r="W367" i="2"/>
  <c r="K366" i="2"/>
  <c r="K367" i="2" s="1"/>
  <c r="AE51" i="2"/>
  <c r="W853" i="4"/>
  <c r="W855" i="4"/>
  <c r="AG313" i="4"/>
  <c r="AG317" i="4" s="1"/>
  <c r="W689" i="4"/>
  <c r="W691" i="4"/>
  <c r="AD436" i="4"/>
  <c r="AD437" i="4" s="1"/>
  <c r="AD287" i="4"/>
  <c r="AD288" i="4" s="1"/>
  <c r="AE284" i="4" s="1"/>
  <c r="K141" i="2"/>
  <c r="AB264" i="4"/>
  <c r="AA403" i="4"/>
  <c r="AD605" i="4"/>
  <c r="AD650" i="4" s="1"/>
  <c r="AD704" i="4" s="1"/>
  <c r="AF37" i="2" s="1"/>
  <c r="AD769" i="4"/>
  <c r="AD814" i="4" s="1"/>
  <c r="AD868" i="4" s="1"/>
  <c r="AF52" i="2" s="1"/>
  <c r="AD449" i="4"/>
  <c r="AD494" i="4" s="1"/>
  <c r="AD548" i="4" s="1"/>
  <c r="AF22" i="2" s="1"/>
  <c r="AD319" i="4"/>
  <c r="AD320" i="4" s="1"/>
  <c r="AE316" i="4" s="1"/>
  <c r="AE377" i="4"/>
  <c r="AE381" i="4" s="1"/>
  <c r="X47" i="2"/>
  <c r="V720" i="4"/>
  <c r="V722" i="4" s="1"/>
  <c r="V723" i="4" s="1"/>
  <c r="V724" i="4" s="1"/>
  <c r="W717" i="4"/>
  <c r="Y46" i="2" s="1"/>
  <c r="X30" i="2"/>
  <c r="AE36" i="2"/>
  <c r="AD763" i="4"/>
  <c r="AD764" i="4" s="1"/>
  <c r="AD813" i="4" s="1"/>
  <c r="AD599" i="4"/>
  <c r="AD600" i="4" s="1"/>
  <c r="AD649" i="4" s="1"/>
  <c r="AD443" i="4"/>
  <c r="AD444" i="4" s="1"/>
  <c r="AD493" i="4" s="1"/>
  <c r="AD547" i="4" s="1"/>
  <c r="AF21" i="2" s="1"/>
  <c r="AD303" i="4"/>
  <c r="AD304" i="4" s="1"/>
  <c r="AE300" i="4" s="1"/>
  <c r="X62" i="2"/>
  <c r="V884" i="4"/>
  <c r="V886" i="4" s="1"/>
  <c r="V887" i="4" s="1"/>
  <c r="V888" i="4" s="1"/>
  <c r="AC709" i="4" l="1"/>
  <c r="AC688" i="4"/>
  <c r="AC873" i="4"/>
  <c r="AC831" i="4"/>
  <c r="AB265" i="4"/>
  <c r="AB269" i="4" s="1"/>
  <c r="W295" i="2"/>
  <c r="W253" i="2"/>
  <c r="X339" i="2"/>
  <c r="AE362" i="2"/>
  <c r="AF523" i="4"/>
  <c r="AD783" i="4"/>
  <c r="AD784" i="4" s="1"/>
  <c r="AD817" i="4" s="1"/>
  <c r="AD619" i="4"/>
  <c r="AD620" i="4" s="1"/>
  <c r="AD653" i="4" s="1"/>
  <c r="AD463" i="4"/>
  <c r="AD464" i="4" s="1"/>
  <c r="AD497" i="4" s="1"/>
  <c r="AD367" i="4"/>
  <c r="AD368" i="4" s="1"/>
  <c r="AE364" i="4" s="1"/>
  <c r="K228" i="2"/>
  <c r="W128" i="2"/>
  <c r="W148" i="2"/>
  <c r="AE286" i="4"/>
  <c r="AE334" i="4"/>
  <c r="AF528" i="4"/>
  <c r="AF350" i="4"/>
  <c r="W712" i="4"/>
  <c r="W721" i="4"/>
  <c r="X352" i="2"/>
  <c r="X33" i="2"/>
  <c r="W695" i="4"/>
  <c r="W692" i="4"/>
  <c r="AG394" i="4"/>
  <c r="X364" i="2"/>
  <c r="X48" i="2"/>
  <c r="X361" i="2" s="1"/>
  <c r="AA404" i="4"/>
  <c r="AA407" i="4" s="1"/>
  <c r="AC193" i="2" s="1"/>
  <c r="AA402" i="4"/>
  <c r="AB268" i="4"/>
  <c r="AE302" i="4"/>
  <c r="AE378" i="4"/>
  <c r="AF376" i="4" s="1"/>
  <c r="AA507" i="4"/>
  <c r="AA546" i="4"/>
  <c r="I89" i="2"/>
  <c r="K90" i="2"/>
  <c r="AE382" i="4"/>
  <c r="AG314" i="4"/>
  <c r="W533" i="4"/>
  <c r="W535" i="4"/>
  <c r="X129" i="2"/>
  <c r="X273" i="2"/>
  <c r="X146" i="2"/>
  <c r="AD703" i="4"/>
  <c r="AE318" i="4"/>
  <c r="W118" i="2"/>
  <c r="W122" i="2"/>
  <c r="W124" i="2" s="1"/>
  <c r="K124" i="2" s="1"/>
  <c r="K125" i="2" s="1"/>
  <c r="K112" i="2"/>
  <c r="AD867" i="4"/>
  <c r="Y29" i="2"/>
  <c r="W885" i="4"/>
  <c r="W876" i="4"/>
  <c r="X32" i="2"/>
  <c r="X18" i="2" s="1"/>
  <c r="X91" i="2" s="1"/>
  <c r="V564" i="4"/>
  <c r="V566" i="4" s="1"/>
  <c r="AE350" i="2"/>
  <c r="W859" i="4"/>
  <c r="W856" i="4"/>
  <c r="V181" i="2"/>
  <c r="AD793" i="4"/>
  <c r="AD794" i="4" s="1"/>
  <c r="AD819" i="4" s="1"/>
  <c r="AD629" i="4"/>
  <c r="AD630" i="4" s="1"/>
  <c r="AD655" i="4" s="1"/>
  <c r="AD473" i="4"/>
  <c r="AD474" i="4" s="1"/>
  <c r="AD499" i="4" s="1"/>
  <c r="AD399" i="4"/>
  <c r="AD400" i="4" s="1"/>
  <c r="AE396" i="4" s="1"/>
  <c r="X85" i="2"/>
  <c r="X87" i="2" s="1"/>
  <c r="W561" i="4"/>
  <c r="Y31" i="2" s="1"/>
  <c r="X349" i="2" l="1"/>
  <c r="X92" i="2"/>
  <c r="I90" i="2"/>
  <c r="K91" i="2"/>
  <c r="AD663" i="4"/>
  <c r="AD688" i="4" s="1"/>
  <c r="AD705" i="4"/>
  <c r="AF38" i="2" s="1"/>
  <c r="AD549" i="4"/>
  <c r="AF23" i="2" s="1"/>
  <c r="AD827" i="4"/>
  <c r="AD852" i="4" s="1"/>
  <c r="X337" i="2"/>
  <c r="X64" i="2"/>
  <c r="X88" i="2" s="1"/>
  <c r="V567" i="4"/>
  <c r="V568" i="4" s="1"/>
  <c r="V1219" i="4"/>
  <c r="AF377" i="4"/>
  <c r="AF381" i="4" s="1"/>
  <c r="AF36" i="2"/>
  <c r="AB266" i="4"/>
  <c r="AB270" i="4"/>
  <c r="AF778" i="4"/>
  <c r="AF779" i="4" s="1"/>
  <c r="AF816" i="4" s="1"/>
  <c r="AF614" i="4"/>
  <c r="AF615" i="4" s="1"/>
  <c r="AF652" i="4" s="1"/>
  <c r="AF458" i="4"/>
  <c r="AF459" i="4" s="1"/>
  <c r="AF496" i="4" s="1"/>
  <c r="AF351" i="4"/>
  <c r="AF352" i="4" s="1"/>
  <c r="AG348" i="4" s="1"/>
  <c r="AD869" i="4"/>
  <c r="AF53" i="2" s="1"/>
  <c r="AF1195" i="4"/>
  <c r="AG518" i="4"/>
  <c r="X366" i="2"/>
  <c r="AE468" i="4"/>
  <c r="AE469" i="4" s="1"/>
  <c r="AE498" i="4" s="1"/>
  <c r="AE788" i="4"/>
  <c r="AE789" i="4" s="1"/>
  <c r="AE818" i="4" s="1"/>
  <c r="AE624" i="4"/>
  <c r="AE625" i="4" s="1"/>
  <c r="AE654" i="4" s="1"/>
  <c r="AE383" i="4"/>
  <c r="AE384" i="4" s="1"/>
  <c r="AF380" i="4" s="1"/>
  <c r="AG525" i="4"/>
  <c r="W180" i="2"/>
  <c r="V184" i="2"/>
  <c r="V209" i="2" s="1"/>
  <c r="AA251" i="4"/>
  <c r="AA553" i="4"/>
  <c r="AC20" i="2"/>
  <c r="AE436" i="4"/>
  <c r="AE437" i="4" s="1"/>
  <c r="AE287" i="4"/>
  <c r="AE288" i="4" s="1"/>
  <c r="AF284" i="4" s="1"/>
  <c r="K118" i="2"/>
  <c r="W700" i="4"/>
  <c r="W696" i="4" s="1"/>
  <c r="W697" i="4" s="1"/>
  <c r="K148" i="2"/>
  <c r="W140" i="2"/>
  <c r="X340" i="2"/>
  <c r="AE599" i="4"/>
  <c r="AE600" i="4" s="1"/>
  <c r="AE649" i="4" s="1"/>
  <c r="AE443" i="4"/>
  <c r="AE444" i="4" s="1"/>
  <c r="AE493" i="4" s="1"/>
  <c r="AE547" i="4" s="1"/>
  <c r="AG21" i="2" s="1"/>
  <c r="AE763" i="4"/>
  <c r="AE764" i="4" s="1"/>
  <c r="AE813" i="4" s="1"/>
  <c r="AE303" i="4"/>
  <c r="AE304" i="4" s="1"/>
  <c r="AF300" i="4" s="1"/>
  <c r="AE366" i="4"/>
  <c r="AE398" i="4"/>
  <c r="W556" i="4"/>
  <c r="W565" i="4"/>
  <c r="W539" i="4"/>
  <c r="W536" i="4"/>
  <c r="AF51" i="2"/>
  <c r="AE773" i="4"/>
  <c r="AE774" i="4" s="1"/>
  <c r="AE815" i="4" s="1"/>
  <c r="AE609" i="4"/>
  <c r="AE610" i="4" s="1"/>
  <c r="AE651" i="4" s="1"/>
  <c r="AE453" i="4"/>
  <c r="AE454" i="4" s="1"/>
  <c r="AE495" i="4" s="1"/>
  <c r="AE335" i="4"/>
  <c r="AE336" i="4" s="1"/>
  <c r="AF332" i="4" s="1"/>
  <c r="K122" i="2"/>
  <c r="I112" i="2"/>
  <c r="X851" i="4"/>
  <c r="W879" i="4"/>
  <c r="Y60" i="2" s="1"/>
  <c r="W864" i="4"/>
  <c r="W860" i="4" s="1"/>
  <c r="W861" i="4" s="1"/>
  <c r="AA511" i="4"/>
  <c r="AA532" i="4"/>
  <c r="AA1197" i="4"/>
  <c r="X687" i="4"/>
  <c r="W715" i="4"/>
  <c r="Y45" i="2" s="1"/>
  <c r="AE605" i="4"/>
  <c r="AE650" i="4" s="1"/>
  <c r="AE704" i="4" s="1"/>
  <c r="AG37" i="2" s="1"/>
  <c r="AE769" i="4"/>
  <c r="AE814" i="4" s="1"/>
  <c r="AE868" i="4" s="1"/>
  <c r="AG52" i="2" s="1"/>
  <c r="AE449" i="4"/>
  <c r="AE494" i="4" s="1"/>
  <c r="AE548" i="4" s="1"/>
  <c r="AG22" i="2" s="1"/>
  <c r="AE319" i="4"/>
  <c r="AE320" i="4" s="1"/>
  <c r="AF316" i="4" s="1"/>
  <c r="X354" i="2"/>
  <c r="K128" i="2"/>
  <c r="W130" i="2"/>
  <c r="K92" i="2" l="1"/>
  <c r="I91" i="2"/>
  <c r="AD667" i="4"/>
  <c r="AD873" i="4"/>
  <c r="AD709" i="4"/>
  <c r="AD831" i="4"/>
  <c r="V265" i="2"/>
  <c r="X858" i="4"/>
  <c r="W882" i="4"/>
  <c r="W718" i="4"/>
  <c r="X694" i="4"/>
  <c r="X355" i="2"/>
  <c r="AE793" i="4"/>
  <c r="AE794" i="4" s="1"/>
  <c r="AE819" i="4" s="1"/>
  <c r="AE629" i="4"/>
  <c r="AE630" i="4" s="1"/>
  <c r="AE655" i="4" s="1"/>
  <c r="AE663" i="4" s="1"/>
  <c r="AE473" i="4"/>
  <c r="AE474" i="4" s="1"/>
  <c r="AE499" i="4" s="1"/>
  <c r="AE399" i="4"/>
  <c r="AE400" i="4" s="1"/>
  <c r="AF396" i="4" s="1"/>
  <c r="X229" i="2"/>
  <c r="X141" i="2"/>
  <c r="X89" i="2"/>
  <c r="X383" i="2"/>
  <c r="Y351" i="2"/>
  <c r="AE867" i="4"/>
  <c r="AG523" i="4"/>
  <c r="AC338" i="2"/>
  <c r="AF382" i="4"/>
  <c r="Y194" i="2"/>
  <c r="X531" i="4"/>
  <c r="W559" i="4"/>
  <c r="W1193" i="4"/>
  <c r="AE703" i="4"/>
  <c r="AF378" i="4"/>
  <c r="AG376" i="4" s="1"/>
  <c r="AC66" i="2"/>
  <c r="AA252" i="4"/>
  <c r="AC83" i="2" s="1"/>
  <c r="W544" i="4"/>
  <c r="W540" i="4" s="1"/>
  <c r="W541" i="4" s="1"/>
  <c r="V226" i="2"/>
  <c r="V254" i="2" s="1"/>
  <c r="V263" i="2" s="1"/>
  <c r="V266" i="2" s="1"/>
  <c r="V294" i="2"/>
  <c r="V296" i="2" s="1"/>
  <c r="V297" i="2" s="1"/>
  <c r="AG350" i="4"/>
  <c r="K140" i="2"/>
  <c r="AF318" i="4"/>
  <c r="AB430" i="4"/>
  <c r="AB431" i="4" s="1"/>
  <c r="AB492" i="4" s="1"/>
  <c r="AB271" i="4"/>
  <c r="AB272" i="4" s="1"/>
  <c r="AC264" i="4"/>
  <c r="AB403" i="4"/>
  <c r="AE783" i="4"/>
  <c r="AE784" i="4" s="1"/>
  <c r="AE817" i="4" s="1"/>
  <c r="AE619" i="4"/>
  <c r="AE620" i="4" s="1"/>
  <c r="AE653" i="4" s="1"/>
  <c r="AE463" i="4"/>
  <c r="AE464" i="4" s="1"/>
  <c r="AE497" i="4" s="1"/>
  <c r="AE367" i="4"/>
  <c r="AE368" i="4" s="1"/>
  <c r="AF364" i="4" s="1"/>
  <c r="W158" i="2"/>
  <c r="K158" i="2" s="1"/>
  <c r="K119" i="2"/>
  <c r="AF362" i="2"/>
  <c r="W120" i="2"/>
  <c r="X367" i="2"/>
  <c r="X714" i="4"/>
  <c r="Z44" i="2" s="1"/>
  <c r="X699" i="4"/>
  <c r="AF302" i="4"/>
  <c r="AF286" i="4"/>
  <c r="AF350" i="2"/>
  <c r="K130" i="2"/>
  <c r="W131" i="2"/>
  <c r="K131" i="2" s="1"/>
  <c r="Y363" i="2"/>
  <c r="AG528" i="4"/>
  <c r="AF334" i="4"/>
  <c r="X878" i="4"/>
  <c r="Z59" i="2" s="1"/>
  <c r="X863" i="4"/>
  <c r="V1220" i="4"/>
  <c r="V1223" i="4"/>
  <c r="X342" i="2"/>
  <c r="I92" i="2" l="1"/>
  <c r="K93" i="2"/>
  <c r="I93" i="2" s="1"/>
  <c r="AE549" i="4"/>
  <c r="AG23" i="2" s="1"/>
  <c r="AE827" i="4"/>
  <c r="AE852" i="4" s="1"/>
  <c r="AE705" i="4"/>
  <c r="AG38" i="2" s="1"/>
  <c r="AE869" i="4"/>
  <c r="AG53" i="2" s="1"/>
  <c r="W161" i="2"/>
  <c r="W179" i="2" s="1"/>
  <c r="Y195" i="2"/>
  <c r="Y192" i="2" s="1"/>
  <c r="W1194" i="4"/>
  <c r="X538" i="4"/>
  <c r="W562" i="4"/>
  <c r="Y32" i="2" s="1"/>
  <c r="AE688" i="4"/>
  <c r="AE667" i="4"/>
  <c r="AB546" i="4"/>
  <c r="AB507" i="4"/>
  <c r="AF605" i="4"/>
  <c r="AF650" i="4" s="1"/>
  <c r="AF704" i="4" s="1"/>
  <c r="AH37" i="2" s="1"/>
  <c r="AF769" i="4"/>
  <c r="AF814" i="4" s="1"/>
  <c r="AF868" i="4" s="1"/>
  <c r="AH52" i="2" s="1"/>
  <c r="AF449" i="4"/>
  <c r="AF494" i="4" s="1"/>
  <c r="AF548" i="4" s="1"/>
  <c r="AH22" i="2" s="1"/>
  <c r="AF319" i="4"/>
  <c r="AF320" i="4" s="1"/>
  <c r="AG316" i="4" s="1"/>
  <c r="X717" i="4"/>
  <c r="Z46" i="2" s="1"/>
  <c r="X228" i="2"/>
  <c r="X250" i="2"/>
  <c r="AF366" i="4"/>
  <c r="AF436" i="4"/>
  <c r="AF437" i="4" s="1"/>
  <c r="AF287" i="4"/>
  <c r="AF288" i="4" s="1"/>
  <c r="AG284" i="4" s="1"/>
  <c r="AF398" i="4"/>
  <c r="AF763" i="4"/>
  <c r="AF764" i="4" s="1"/>
  <c r="AF813" i="4" s="1"/>
  <c r="AF443" i="4"/>
  <c r="AF444" i="4" s="1"/>
  <c r="AF493" i="4" s="1"/>
  <c r="AF547" i="4" s="1"/>
  <c r="AH21" i="2" s="1"/>
  <c r="AF599" i="4"/>
  <c r="AF600" i="4" s="1"/>
  <c r="AF649" i="4" s="1"/>
  <c r="AF303" i="4"/>
  <c r="AF304" i="4" s="1"/>
  <c r="AG300" i="4" s="1"/>
  <c r="AG51" i="2"/>
  <c r="AB404" i="4"/>
  <c r="AB407" i="4" s="1"/>
  <c r="AD193" i="2" s="1"/>
  <c r="AC268" i="4"/>
  <c r="AB402" i="4"/>
  <c r="X343" i="2"/>
  <c r="AF788" i="4"/>
  <c r="AF789" i="4" s="1"/>
  <c r="AF818" i="4" s="1"/>
  <c r="AF468" i="4"/>
  <c r="AF469" i="4" s="1"/>
  <c r="AF498" i="4" s="1"/>
  <c r="AF624" i="4"/>
  <c r="AF625" i="4" s="1"/>
  <c r="AF654" i="4" s="1"/>
  <c r="AF383" i="4"/>
  <c r="AF384" i="4" s="1"/>
  <c r="AG380" i="4" s="1"/>
  <c r="X853" i="4"/>
  <c r="X855" i="4"/>
  <c r="AG1195" i="4"/>
  <c r="AF773" i="4"/>
  <c r="AF774" i="4" s="1"/>
  <c r="AF815" i="4" s="1"/>
  <c r="AF609" i="4"/>
  <c r="AF610" i="4" s="1"/>
  <c r="AF651" i="4" s="1"/>
  <c r="AF453" i="4"/>
  <c r="AF454" i="4" s="1"/>
  <c r="AF495" i="4" s="1"/>
  <c r="AF335" i="4"/>
  <c r="AF336" i="4" s="1"/>
  <c r="AG332" i="4" s="1"/>
  <c r="AC265" i="4"/>
  <c r="AC269" i="4" s="1"/>
  <c r="AG377" i="4"/>
  <c r="AG381" i="4" s="1"/>
  <c r="X691" i="4"/>
  <c r="X689" i="4"/>
  <c r="AG36" i="2"/>
  <c r="Y30" i="2"/>
  <c r="Y47" i="2"/>
  <c r="W720" i="4"/>
  <c r="W722" i="4" s="1"/>
  <c r="W723" i="4" s="1"/>
  <c r="W724" i="4" s="1"/>
  <c r="K120" i="2"/>
  <c r="W258" i="2"/>
  <c r="X558" i="4"/>
  <c r="X543" i="4"/>
  <c r="Y62" i="2"/>
  <c r="W884" i="4"/>
  <c r="W886" i="4" s="1"/>
  <c r="W887" i="4" s="1"/>
  <c r="W888" i="4" s="1"/>
  <c r="AG458" i="4"/>
  <c r="AG459" i="4" s="1"/>
  <c r="AG496" i="4" s="1"/>
  <c r="AG614" i="4"/>
  <c r="AG615" i="4" s="1"/>
  <c r="AG652" i="4" s="1"/>
  <c r="AG778" i="4"/>
  <c r="AG779" i="4" s="1"/>
  <c r="AG816" i="4" s="1"/>
  <c r="AG351" i="4"/>
  <c r="AG352" i="4" s="1"/>
  <c r="X112" i="2"/>
  <c r="X90" i="2"/>
  <c r="X93" i="2" s="1"/>
  <c r="X881" i="4"/>
  <c r="Z61" i="2" s="1"/>
  <c r="AE831" i="4" l="1"/>
  <c r="AE709" i="4"/>
  <c r="W564" i="4"/>
  <c r="W566" i="4" s="1"/>
  <c r="Y85" i="2"/>
  <c r="Y87" i="2" s="1"/>
  <c r="AE873" i="4"/>
  <c r="K161" i="2"/>
  <c r="Y273" i="2"/>
  <c r="Y129" i="2"/>
  <c r="Y146" i="2"/>
  <c r="AG378" i="4"/>
  <c r="Z29" i="2"/>
  <c r="AF867" i="4"/>
  <c r="AC266" i="4"/>
  <c r="AC270" i="4"/>
  <c r="AG286" i="4"/>
  <c r="AD20" i="2"/>
  <c r="AB553" i="4"/>
  <c r="AB251" i="4"/>
  <c r="Y352" i="2"/>
  <c r="Y33" i="2"/>
  <c r="AF703" i="4"/>
  <c r="AG382" i="4"/>
  <c r="AG318" i="4"/>
  <c r="AF629" i="4"/>
  <c r="AF630" i="4" s="1"/>
  <c r="AF655" i="4" s="1"/>
  <c r="AF473" i="4"/>
  <c r="AF474" i="4" s="1"/>
  <c r="AF499" i="4" s="1"/>
  <c r="AF793" i="4"/>
  <c r="AF794" i="4" s="1"/>
  <c r="AF819" i="4" s="1"/>
  <c r="AF399" i="4"/>
  <c r="AF400" i="4" s="1"/>
  <c r="AG396" i="4" s="1"/>
  <c r="W181" i="2"/>
  <c r="K179" i="2"/>
  <c r="K258" i="2"/>
  <c r="K262" i="2" s="1"/>
  <c r="W262" i="2"/>
  <c r="AG334" i="4"/>
  <c r="AB532" i="4"/>
  <c r="AB511" i="4"/>
  <c r="AB1197" i="4"/>
  <c r="X118" i="2"/>
  <c r="X122" i="2"/>
  <c r="X124" i="2" s="1"/>
  <c r="AF783" i="4"/>
  <c r="AF784" i="4" s="1"/>
  <c r="AF817" i="4" s="1"/>
  <c r="AF619" i="4"/>
  <c r="AF620" i="4" s="1"/>
  <c r="AF653" i="4" s="1"/>
  <c r="AF463" i="4"/>
  <c r="AF464" i="4" s="1"/>
  <c r="AF497" i="4" s="1"/>
  <c r="AF367" i="4"/>
  <c r="AF368" i="4" s="1"/>
  <c r="AG364" i="4" s="1"/>
  <c r="Y340" i="2"/>
  <c r="Y339" i="2"/>
  <c r="Y18" i="2"/>
  <c r="Y91" i="2" s="1"/>
  <c r="X295" i="2"/>
  <c r="X253" i="2"/>
  <c r="X128" i="2"/>
  <c r="X130" i="2" s="1"/>
  <c r="X148" i="2"/>
  <c r="AG350" i="2"/>
  <c r="AG362" i="2"/>
  <c r="Y364" i="2"/>
  <c r="Y48" i="2"/>
  <c r="Y361" i="2" s="1"/>
  <c r="X695" i="4"/>
  <c r="X692" i="4"/>
  <c r="X885" i="4"/>
  <c r="X876" i="4"/>
  <c r="X533" i="4"/>
  <c r="X535" i="4"/>
  <c r="X712" i="4"/>
  <c r="X721" i="4"/>
  <c r="X859" i="4"/>
  <c r="X856" i="4"/>
  <c r="AG302" i="4"/>
  <c r="X561" i="4"/>
  <c r="Z31" i="2" s="1"/>
  <c r="Y349" i="2" l="1"/>
  <c r="Y354" i="2" s="1"/>
  <c r="Y92" i="2"/>
  <c r="W567" i="4"/>
  <c r="W568" i="4" s="1"/>
  <c r="W1219" i="4"/>
  <c r="W1220" i="4" s="1"/>
  <c r="AF827" i="4"/>
  <c r="AF852" i="4" s="1"/>
  <c r="AF663" i="4"/>
  <c r="AF688" i="4" s="1"/>
  <c r="AF705" i="4"/>
  <c r="AH38" i="2" s="1"/>
  <c r="AF869" i="4"/>
  <c r="AH53" i="2" s="1"/>
  <c r="AF549" i="4"/>
  <c r="AH23" i="2" s="1"/>
  <c r="Y851" i="4"/>
  <c r="X879" i="4"/>
  <c r="Z60" i="2" s="1"/>
  <c r="X700" i="4"/>
  <c r="X696" i="4" s="1"/>
  <c r="X697" i="4" s="1"/>
  <c r="AD264" i="4"/>
  <c r="AC403" i="4"/>
  <c r="X119" i="2"/>
  <c r="AG763" i="4"/>
  <c r="AG764" i="4" s="1"/>
  <c r="AG813" i="4" s="1"/>
  <c r="AG443" i="4"/>
  <c r="AG444" i="4" s="1"/>
  <c r="AG493" i="4" s="1"/>
  <c r="AG547" i="4" s="1"/>
  <c r="AI21" i="2" s="1"/>
  <c r="AG599" i="4"/>
  <c r="AG600" i="4" s="1"/>
  <c r="AG649" i="4" s="1"/>
  <c r="AG303" i="4"/>
  <c r="AG304" i="4" s="1"/>
  <c r="Y337" i="2"/>
  <c r="Y64" i="2"/>
  <c r="AH36" i="2"/>
  <c r="AH51" i="2"/>
  <c r="X140" i="2"/>
  <c r="AC430" i="4"/>
  <c r="AC431" i="4" s="1"/>
  <c r="AC492" i="4" s="1"/>
  <c r="AC271" i="4"/>
  <c r="AC272" i="4" s="1"/>
  <c r="Y366" i="2"/>
  <c r="AG605" i="4"/>
  <c r="AG650" i="4" s="1"/>
  <c r="AG704" i="4" s="1"/>
  <c r="AI37" i="2" s="1"/>
  <c r="AJ37" i="2" s="1"/>
  <c r="AG769" i="4"/>
  <c r="AG814" i="4" s="1"/>
  <c r="AG868" i="4" s="1"/>
  <c r="AI52" i="2" s="1"/>
  <c r="AJ52" i="2" s="1"/>
  <c r="AG449" i="4"/>
  <c r="AG494" i="4" s="1"/>
  <c r="AG548" i="4" s="1"/>
  <c r="AI22" i="2" s="1"/>
  <c r="AJ22" i="2" s="1"/>
  <c r="AG319" i="4"/>
  <c r="AG320" i="4" s="1"/>
  <c r="AG468" i="4"/>
  <c r="AG469" i="4" s="1"/>
  <c r="AG498" i="4" s="1"/>
  <c r="AG624" i="4"/>
  <c r="AG625" i="4" s="1"/>
  <c r="AG654" i="4" s="1"/>
  <c r="AG788" i="4"/>
  <c r="AG789" i="4" s="1"/>
  <c r="AG818" i="4" s="1"/>
  <c r="AG383" i="4"/>
  <c r="AG384" i="4" s="1"/>
  <c r="AG773" i="4"/>
  <c r="AG774" i="4" s="1"/>
  <c r="AG815" i="4" s="1"/>
  <c r="AG609" i="4"/>
  <c r="AG610" i="4" s="1"/>
  <c r="AG651" i="4" s="1"/>
  <c r="AG453" i="4"/>
  <c r="AG454" i="4" s="1"/>
  <c r="AG495" i="4" s="1"/>
  <c r="AG335" i="4"/>
  <c r="AG336" i="4" s="1"/>
  <c r="AG366" i="4"/>
  <c r="X864" i="4"/>
  <c r="X860" i="4" s="1"/>
  <c r="X861" i="4" s="1"/>
  <c r="X131" i="2"/>
  <c r="AD66" i="2"/>
  <c r="AB252" i="4"/>
  <c r="AD83" i="2" s="1"/>
  <c r="X556" i="4"/>
  <c r="X565" i="4"/>
  <c r="X539" i="4"/>
  <c r="X536" i="4"/>
  <c r="X180" i="2"/>
  <c r="AJ180" i="2" s="1"/>
  <c r="K181" i="2"/>
  <c r="W184" i="2"/>
  <c r="W265" i="2" s="1"/>
  <c r="AD338" i="2"/>
  <c r="AG398" i="4"/>
  <c r="AG436" i="4"/>
  <c r="AG437" i="4" s="1"/>
  <c r="AG287" i="4"/>
  <c r="AG288" i="4" s="1"/>
  <c r="X715" i="4"/>
  <c r="Z45" i="2" s="1"/>
  <c r="Y687" i="4"/>
  <c r="W1223" i="4" l="1"/>
  <c r="AF831" i="4"/>
  <c r="AF667" i="4"/>
  <c r="AF873" i="4"/>
  <c r="AF709" i="4"/>
  <c r="Y858" i="4"/>
  <c r="X882" i="4"/>
  <c r="AC404" i="4"/>
  <c r="AC407" i="4" s="1"/>
  <c r="AE193" i="2" s="1"/>
  <c r="AC402" i="4"/>
  <c r="AD268" i="4"/>
  <c r="X158" i="2"/>
  <c r="X161" i="2" s="1"/>
  <c r="X120" i="2"/>
  <c r="AD265" i="4"/>
  <c r="AD269" i="4" s="1"/>
  <c r="AH350" i="2"/>
  <c r="AC507" i="4"/>
  <c r="AC546" i="4"/>
  <c r="Z363" i="2"/>
  <c r="AH362" i="2"/>
  <c r="AG783" i="4"/>
  <c r="AG784" i="4" s="1"/>
  <c r="AG817" i="4" s="1"/>
  <c r="AG619" i="4"/>
  <c r="AG620" i="4" s="1"/>
  <c r="AG653" i="4" s="1"/>
  <c r="AG463" i="4"/>
  <c r="AG464" i="4" s="1"/>
  <c r="AG497" i="4" s="1"/>
  <c r="AG367" i="4"/>
  <c r="AG368" i="4" s="1"/>
  <c r="Z194" i="2"/>
  <c r="Y531" i="4"/>
  <c r="X559" i="4"/>
  <c r="X1193" i="4"/>
  <c r="Y229" i="2"/>
  <c r="Y141" i="2"/>
  <c r="Y89" i="2"/>
  <c r="Y383" i="2"/>
  <c r="Y88" i="2"/>
  <c r="Y878" i="4"/>
  <c r="AA59" i="2" s="1"/>
  <c r="Y863" i="4"/>
  <c r="Y367" i="2"/>
  <c r="AG867" i="4"/>
  <c r="AG473" i="4"/>
  <c r="AG474" i="4" s="1"/>
  <c r="AG499" i="4" s="1"/>
  <c r="AG629" i="4"/>
  <c r="AG630" i="4" s="1"/>
  <c r="AG655" i="4" s="1"/>
  <c r="AG793" i="4"/>
  <c r="AG794" i="4" s="1"/>
  <c r="AG819" i="4" s="1"/>
  <c r="AG399" i="4"/>
  <c r="AG400" i="4" s="1"/>
  <c r="Y355" i="2"/>
  <c r="K184" i="2"/>
  <c r="K209" i="2" s="1"/>
  <c r="K226" i="2" s="1"/>
  <c r="K254" i="2" s="1"/>
  <c r="K263" i="2" s="1"/>
  <c r="W209" i="2"/>
  <c r="Y694" i="4"/>
  <c r="X718" i="4"/>
  <c r="Y342" i="2"/>
  <c r="Y714" i="4"/>
  <c r="AA44" i="2" s="1"/>
  <c r="Y699" i="4"/>
  <c r="X544" i="4"/>
  <c r="X540" i="4" s="1"/>
  <c r="X541" i="4" s="1"/>
  <c r="Z351" i="2"/>
  <c r="AG703" i="4"/>
  <c r="AG827" i="4" l="1"/>
  <c r="AG831" i="4" s="1"/>
  <c r="AG869" i="4"/>
  <c r="AI53" i="2" s="1"/>
  <c r="AJ53" i="2" s="1"/>
  <c r="AG663" i="4"/>
  <c r="AG667" i="4" s="1"/>
  <c r="AG549" i="4"/>
  <c r="AI23" i="2" s="1"/>
  <c r="AJ23" i="2" s="1"/>
  <c r="AG705" i="4"/>
  <c r="AI38" i="2" s="1"/>
  <c r="AJ38" i="2" s="1"/>
  <c r="Y343" i="2"/>
  <c r="Y558" i="4"/>
  <c r="Y543" i="4"/>
  <c r="W226" i="2"/>
  <c r="W254" i="2" s="1"/>
  <c r="W263" i="2" s="1"/>
  <c r="W266" i="2" s="1"/>
  <c r="W294" i="2"/>
  <c r="W296" i="2" s="1"/>
  <c r="W297" i="2" s="1"/>
  <c r="AI51" i="2"/>
  <c r="Y717" i="4"/>
  <c r="AA46" i="2" s="1"/>
  <c r="AD270" i="4"/>
  <c r="AD266" i="4"/>
  <c r="AI36" i="2"/>
  <c r="Y853" i="4"/>
  <c r="Y855" i="4"/>
  <c r="X258" i="2"/>
  <c r="X179" i="2"/>
  <c r="Z30" i="2"/>
  <c r="Z47" i="2"/>
  <c r="X720" i="4"/>
  <c r="X722" i="4" s="1"/>
  <c r="X723" i="4" s="1"/>
  <c r="X724" i="4" s="1"/>
  <c r="X562" i="4"/>
  <c r="Z32" i="2" s="1"/>
  <c r="Y538" i="4"/>
  <c r="Z195" i="2"/>
  <c r="Z192" i="2" s="1"/>
  <c r="X1194" i="4"/>
  <c r="Y689" i="4"/>
  <c r="Y691" i="4"/>
  <c r="Y112" i="2"/>
  <c r="Y90" i="2"/>
  <c r="Y93" i="2" s="1"/>
  <c r="Y228" i="2"/>
  <c r="Y250" i="2"/>
  <c r="AC553" i="4"/>
  <c r="AC251" i="4"/>
  <c r="AE20" i="2"/>
  <c r="Z62" i="2"/>
  <c r="X884" i="4"/>
  <c r="X886" i="4" s="1"/>
  <c r="X887" i="4" s="1"/>
  <c r="X888" i="4" s="1"/>
  <c r="AC511" i="4"/>
  <c r="AC532" i="4"/>
  <c r="AC1197" i="4"/>
  <c r="Y881" i="4"/>
  <c r="AA61" i="2" s="1"/>
  <c r="AG873" i="4" l="1"/>
  <c r="AG852" i="4"/>
  <c r="AG688" i="4"/>
  <c r="AG709" i="4"/>
  <c r="Z85" i="2"/>
  <c r="Z87" i="2" s="1"/>
  <c r="Z129" i="2"/>
  <c r="Z273" i="2"/>
  <c r="Z146" i="2"/>
  <c r="Y695" i="4"/>
  <c r="Y692" i="4"/>
  <c r="Z364" i="2"/>
  <c r="Z48" i="2"/>
  <c r="Z361" i="2" s="1"/>
  <c r="AE66" i="2"/>
  <c r="AC252" i="4"/>
  <c r="AE83" i="2" s="1"/>
  <c r="Y859" i="4"/>
  <c r="Y856" i="4"/>
  <c r="Z340" i="2"/>
  <c r="Y118" i="2"/>
  <c r="Y122" i="2"/>
  <c r="Y124" i="2" s="1"/>
  <c r="Y257" i="2"/>
  <c r="X262" i="2"/>
  <c r="AI362" i="2"/>
  <c r="AJ362" i="2" s="1"/>
  <c r="Y721" i="4"/>
  <c r="Y712" i="4"/>
  <c r="AE338" i="2"/>
  <c r="Y885" i="4"/>
  <c r="Y876" i="4"/>
  <c r="Y561" i="4"/>
  <c r="AA31" i="2" s="1"/>
  <c r="Y295" i="2"/>
  <c r="Y253" i="2"/>
  <c r="AI350" i="2"/>
  <c r="AJ350" i="2" s="1"/>
  <c r="Y533" i="4"/>
  <c r="Y535" i="4"/>
  <c r="AD403" i="4"/>
  <c r="AE264" i="4"/>
  <c r="Y128" i="2"/>
  <c r="Y130" i="2" s="1"/>
  <c r="Y148" i="2"/>
  <c r="Z352" i="2"/>
  <c r="Z33" i="2"/>
  <c r="AA29" i="2"/>
  <c r="Z339" i="2"/>
  <c r="Z18" i="2"/>
  <c r="Z91" i="2" s="1"/>
  <c r="AD430" i="4"/>
  <c r="AD431" i="4" s="1"/>
  <c r="AD492" i="4" s="1"/>
  <c r="AD271" i="4"/>
  <c r="AD272" i="4" s="1"/>
  <c r="X181" i="2"/>
  <c r="X564" i="4"/>
  <c r="X566" i="4" s="1"/>
  <c r="Z349" i="2" l="1"/>
  <c r="Z92" i="2"/>
  <c r="Z354" i="2"/>
  <c r="Z851" i="4"/>
  <c r="Y879" i="4"/>
  <c r="AA60" i="2" s="1"/>
  <c r="Y131" i="2"/>
  <c r="X567" i="4"/>
  <c r="X568" i="4" s="1"/>
  <c r="X1219" i="4"/>
  <c r="Y140" i="2"/>
  <c r="Y864" i="4"/>
  <c r="Y860" i="4" s="1"/>
  <c r="Y861" i="4" s="1"/>
  <c r="Y180" i="2"/>
  <c r="X184" i="2"/>
  <c r="X209" i="2" s="1"/>
  <c r="AE265" i="4"/>
  <c r="AE269" i="4" s="1"/>
  <c r="Z366" i="2"/>
  <c r="Y565" i="4"/>
  <c r="Y556" i="4"/>
  <c r="AE268" i="4"/>
  <c r="AD404" i="4"/>
  <c r="AD407" i="4" s="1"/>
  <c r="AF193" i="2" s="1"/>
  <c r="AD402" i="4"/>
  <c r="Y539" i="4"/>
  <c r="Y536" i="4"/>
  <c r="AD546" i="4"/>
  <c r="AD507" i="4"/>
  <c r="Z257" i="2"/>
  <c r="Y715" i="4"/>
  <c r="AA45" i="2" s="1"/>
  <c r="Z687" i="4"/>
  <c r="Z337" i="2"/>
  <c r="Z64" i="2"/>
  <c r="Y700" i="4"/>
  <c r="Y696" i="4" s="1"/>
  <c r="Y697" i="4" s="1"/>
  <c r="Y119" i="2"/>
  <c r="Y120" i="2" s="1"/>
  <c r="Y718" i="4" l="1"/>
  <c r="Z694" i="4"/>
  <c r="Z858" i="4"/>
  <c r="Y882" i="4"/>
  <c r="Y158" i="2"/>
  <c r="Y161" i="2" s="1"/>
  <c r="Z342" i="2"/>
  <c r="Z714" i="4"/>
  <c r="AB44" i="2" s="1"/>
  <c r="Z699" i="4"/>
  <c r="AA351" i="2"/>
  <c r="AA257" i="2"/>
  <c r="AE270" i="4"/>
  <c r="Y544" i="4"/>
  <c r="Y540" i="4" s="1"/>
  <c r="Y541" i="4" s="1"/>
  <c r="Z367" i="2"/>
  <c r="X1220" i="4"/>
  <c r="X1223" i="4"/>
  <c r="AD532" i="4"/>
  <c r="AD511" i="4"/>
  <c r="AD1197" i="4"/>
  <c r="AE266" i="4"/>
  <c r="AF20" i="2"/>
  <c r="AD251" i="4"/>
  <c r="AD553" i="4"/>
  <c r="Z878" i="4"/>
  <c r="AB59" i="2" s="1"/>
  <c r="Z863" i="4"/>
  <c r="X226" i="2"/>
  <c r="X254" i="2" s="1"/>
  <c r="X263" i="2" s="1"/>
  <c r="X266" i="2" s="1"/>
  <c r="X294" i="2"/>
  <c r="X296" i="2" s="1"/>
  <c r="X297" i="2" s="1"/>
  <c r="X265" i="2"/>
  <c r="Y258" i="2"/>
  <c r="AA363" i="2"/>
  <c r="Z355" i="2"/>
  <c r="AA194" i="2"/>
  <c r="Y1193" i="4"/>
  <c r="Z531" i="4"/>
  <c r="Y559" i="4"/>
  <c r="Z229" i="2"/>
  <c r="Z141" i="2"/>
  <c r="Z89" i="2"/>
  <c r="Z383" i="2"/>
  <c r="Z88" i="2"/>
  <c r="AA195" i="2" l="1"/>
  <c r="AA192" i="2" s="1"/>
  <c r="Z538" i="4"/>
  <c r="Y1194" i="4"/>
  <c r="Y562" i="4"/>
  <c r="AA32" i="2" s="1"/>
  <c r="AB257" i="2"/>
  <c r="AF338" i="2"/>
  <c r="AF264" i="4"/>
  <c r="AE403" i="4"/>
  <c r="Z689" i="4"/>
  <c r="Z691" i="4"/>
  <c r="AF66" i="2"/>
  <c r="AD252" i="4"/>
  <c r="AF83" i="2" s="1"/>
  <c r="Z112" i="2"/>
  <c r="Z90" i="2"/>
  <c r="Z93" i="2" s="1"/>
  <c r="Y179" i="2"/>
  <c r="Z228" i="2"/>
  <c r="Z250" i="2"/>
  <c r="Z343" i="2"/>
  <c r="AA30" i="2"/>
  <c r="AA62" i="2"/>
  <c r="Y884" i="4"/>
  <c r="Y886" i="4" s="1"/>
  <c r="Y887" i="4" s="1"/>
  <c r="Y888" i="4" s="1"/>
  <c r="Y262" i="2"/>
  <c r="Z558" i="4"/>
  <c r="Z543" i="4"/>
  <c r="Z881" i="4"/>
  <c r="AB61" i="2" s="1"/>
  <c r="Z853" i="4"/>
  <c r="Z855" i="4"/>
  <c r="AE430" i="4"/>
  <c r="AE431" i="4" s="1"/>
  <c r="AE492" i="4" s="1"/>
  <c r="AE271" i="4"/>
  <c r="AE272" i="4" s="1"/>
  <c r="Z717" i="4"/>
  <c r="AB46" i="2" s="1"/>
  <c r="AA47" i="2"/>
  <c r="Y720" i="4"/>
  <c r="Y722" i="4" s="1"/>
  <c r="Y723" i="4" s="1"/>
  <c r="Y724" i="4" s="1"/>
  <c r="AA85" i="2" l="1"/>
  <c r="AA87" i="2" s="1"/>
  <c r="Y564" i="4"/>
  <c r="Y566" i="4" s="1"/>
  <c r="AA129" i="2"/>
  <c r="AA273" i="2"/>
  <c r="AA146" i="2"/>
  <c r="Z712" i="4"/>
  <c r="Z721" i="4"/>
  <c r="Z695" i="4"/>
  <c r="Z692" i="4"/>
  <c r="Z295" i="2"/>
  <c r="Z253" i="2"/>
  <c r="AA364" i="2"/>
  <c r="AA48" i="2"/>
  <c r="AA361" i="2" s="1"/>
  <c r="AE546" i="4"/>
  <c r="AE507" i="4"/>
  <c r="AA352" i="2"/>
  <c r="AA33" i="2"/>
  <c r="AB29" i="2"/>
  <c r="Y181" i="2"/>
  <c r="AC257" i="2"/>
  <c r="Z533" i="4"/>
  <c r="Z535" i="4"/>
  <c r="Z561" i="4"/>
  <c r="AB31" i="2" s="1"/>
  <c r="AF268" i="4"/>
  <c r="AE404" i="4"/>
  <c r="AE407" i="4" s="1"/>
  <c r="AG193" i="2" s="1"/>
  <c r="AE402" i="4"/>
  <c r="Z885" i="4"/>
  <c r="Z876" i="4"/>
  <c r="Z859" i="4"/>
  <c r="Z856" i="4"/>
  <c r="AF265" i="4"/>
  <c r="AF269" i="4" s="1"/>
  <c r="Z128" i="2"/>
  <c r="Z130" i="2" s="1"/>
  <c r="Z148" i="2"/>
  <c r="AA340" i="2"/>
  <c r="AA339" i="2"/>
  <c r="AA18" i="2"/>
  <c r="AA91" i="2" s="1"/>
  <c r="Z118" i="2"/>
  <c r="Z122" i="2"/>
  <c r="Z124" i="2" s="1"/>
  <c r="AA349" i="2" l="1"/>
  <c r="AA354" i="2" s="1"/>
  <c r="AA92" i="2"/>
  <c r="Y1219" i="4"/>
  <c r="Y1220" i="4" s="1"/>
  <c r="Y567" i="4"/>
  <c r="Y568" i="4" s="1"/>
  <c r="Y184" i="2"/>
  <c r="Y209" i="2" s="1"/>
  <c r="Z180" i="2"/>
  <c r="AA366" i="2"/>
  <c r="Z119" i="2"/>
  <c r="AF266" i="4"/>
  <c r="AE532" i="4"/>
  <c r="AE511" i="4"/>
  <c r="AE1197" i="4"/>
  <c r="Z539" i="4"/>
  <c r="Z536" i="4"/>
  <c r="AF270" i="4"/>
  <c r="AA851" i="4"/>
  <c r="Z879" i="4"/>
  <c r="AB60" i="2" s="1"/>
  <c r="Z864" i="4"/>
  <c r="Z860" i="4" s="1"/>
  <c r="Z861" i="4" s="1"/>
  <c r="AD257" i="2"/>
  <c r="AA687" i="4"/>
  <c r="Z715" i="4"/>
  <c r="AB45" i="2" s="1"/>
  <c r="Z565" i="4"/>
  <c r="Z556" i="4"/>
  <c r="AG20" i="2"/>
  <c r="AE553" i="4"/>
  <c r="AE251" i="4"/>
  <c r="Z140" i="2"/>
  <c r="Z131" i="2"/>
  <c r="AA337" i="2"/>
  <c r="AA64" i="2"/>
  <c r="Z700" i="4"/>
  <c r="Z696" i="4" s="1"/>
  <c r="Z697" i="4" s="1"/>
  <c r="Y1223" i="4" l="1"/>
  <c r="Y265" i="2"/>
  <c r="AA858" i="4"/>
  <c r="Z882" i="4"/>
  <c r="AG264" i="4"/>
  <c r="AF403" i="4"/>
  <c r="AB351" i="2"/>
  <c r="AA714" i="4"/>
  <c r="AC44" i="2" s="1"/>
  <c r="AA699" i="4"/>
  <c r="Z158" i="2"/>
  <c r="AE252" i="4"/>
  <c r="AG83" i="2" s="1"/>
  <c r="AG66" i="2"/>
  <c r="AA355" i="2"/>
  <c r="AG338" i="2"/>
  <c r="Z544" i="4"/>
  <c r="Z540" i="4" s="1"/>
  <c r="Z541" i="4" s="1"/>
  <c r="Z718" i="4"/>
  <c r="AA694" i="4"/>
  <c r="Z120" i="2"/>
  <c r="AA229" i="2"/>
  <c r="AA141" i="2"/>
  <c r="AA89" i="2"/>
  <c r="AA383" i="2"/>
  <c r="AA88" i="2"/>
  <c r="AE257" i="2"/>
  <c r="AA342" i="2"/>
  <c r="AA367" i="2"/>
  <c r="AB363" i="2"/>
  <c r="AF271" i="4"/>
  <c r="AF272" i="4" s="1"/>
  <c r="AF430" i="4"/>
  <c r="AF431" i="4" s="1"/>
  <c r="AF492" i="4" s="1"/>
  <c r="Z1193" i="4"/>
  <c r="AA531" i="4"/>
  <c r="Z559" i="4"/>
  <c r="AB194" i="2"/>
  <c r="AA878" i="4"/>
  <c r="AC59" i="2" s="1"/>
  <c r="AA863" i="4"/>
  <c r="Y226" i="2"/>
  <c r="Y254" i="2" s="1"/>
  <c r="Y263" i="2" s="1"/>
  <c r="Y266" i="2" s="1"/>
  <c r="Y294" i="2"/>
  <c r="Y296" i="2" s="1"/>
  <c r="Y297" i="2" s="1"/>
  <c r="AG268" i="4" l="1"/>
  <c r="AF402" i="4"/>
  <c r="AF404" i="4"/>
  <c r="AF407" i="4" s="1"/>
  <c r="AH193" i="2" s="1"/>
  <c r="AF546" i="4"/>
  <c r="AF507" i="4"/>
  <c r="AB30" i="2"/>
  <c r="AA558" i="4"/>
  <c r="AA543" i="4"/>
  <c r="AA689" i="4"/>
  <c r="AA691" i="4"/>
  <c r="AA112" i="2"/>
  <c r="AA90" i="2"/>
  <c r="AA93" i="2" s="1"/>
  <c r="AA228" i="2"/>
  <c r="AA250" i="2"/>
  <c r="Z258" i="2"/>
  <c r="AA717" i="4"/>
  <c r="AC46" i="2" s="1"/>
  <c r="AB47" i="2"/>
  <c r="Z720" i="4"/>
  <c r="Z722" i="4" s="1"/>
  <c r="Z723" i="4" s="1"/>
  <c r="Z724" i="4" s="1"/>
  <c r="AA853" i="4"/>
  <c r="AA855" i="4"/>
  <c r="AB195" i="2"/>
  <c r="AB192" i="2" s="1"/>
  <c r="Z1194" i="4"/>
  <c r="AA538" i="4"/>
  <c r="Z562" i="4"/>
  <c r="AB32" i="2" s="1"/>
  <c r="AG265" i="4"/>
  <c r="AG269" i="4" s="1"/>
  <c r="AA343" i="2"/>
  <c r="Z161" i="2"/>
  <c r="AB62" i="2"/>
  <c r="Z884" i="4"/>
  <c r="Z886" i="4" s="1"/>
  <c r="Z887" i="4" s="1"/>
  <c r="Z888" i="4" s="1"/>
  <c r="AF257" i="2"/>
  <c r="AA881" i="4"/>
  <c r="AC61" i="2" s="1"/>
  <c r="AB273" i="2" l="1"/>
  <c r="AB129" i="2"/>
  <c r="AB146" i="2"/>
  <c r="AB364" i="2"/>
  <c r="AB48" i="2"/>
  <c r="AB361" i="2" s="1"/>
  <c r="AB352" i="2"/>
  <c r="AB33" i="2"/>
  <c r="Z564" i="4"/>
  <c r="Z566" i="4" s="1"/>
  <c r="AA533" i="4"/>
  <c r="AA535" i="4"/>
  <c r="Z262" i="2"/>
  <c r="AG266" i="4"/>
  <c r="AG403" i="4" s="1"/>
  <c r="AC29" i="2"/>
  <c r="AA721" i="4"/>
  <c r="AA712" i="4"/>
  <c r="AA695" i="4"/>
  <c r="AA692" i="4"/>
  <c r="AG270" i="4"/>
  <c r="AB85" i="2"/>
  <c r="AB87" i="2" s="1"/>
  <c r="Z179" i="2"/>
  <c r="AB339" i="2"/>
  <c r="AB18" i="2"/>
  <c r="AB91" i="2" s="1"/>
  <c r="AA295" i="2"/>
  <c r="AA253" i="2"/>
  <c r="AB340" i="2"/>
  <c r="AA128" i="2"/>
  <c r="AA130" i="2" s="1"/>
  <c r="AA148" i="2"/>
  <c r="AA561" i="4"/>
  <c r="AC31" i="2" s="1"/>
  <c r="AF532" i="4"/>
  <c r="AF511" i="4"/>
  <c r="AF1197" i="4"/>
  <c r="AH20" i="2"/>
  <c r="AF251" i="4"/>
  <c r="AF553" i="4"/>
  <c r="AG257" i="2"/>
  <c r="AA885" i="4"/>
  <c r="AA876" i="4"/>
  <c r="AA118" i="2"/>
  <c r="AA122" i="2"/>
  <c r="AA124" i="2" s="1"/>
  <c r="AA859" i="4"/>
  <c r="AA856" i="4"/>
  <c r="AB349" i="2" l="1"/>
  <c r="AB354" i="2" s="1"/>
  <c r="AB92" i="2"/>
  <c r="AA565" i="4"/>
  <c r="AA556" i="4"/>
  <c r="AB337" i="2"/>
  <c r="AB64" i="2"/>
  <c r="AB88" i="2" s="1"/>
  <c r="AF252" i="4"/>
  <c r="AH83" i="2" s="1"/>
  <c r="AH66" i="2"/>
  <c r="AH338" i="2"/>
  <c r="AA539" i="4"/>
  <c r="AA536" i="4"/>
  <c r="Z567" i="4"/>
  <c r="Z568" i="4" s="1"/>
  <c r="Z1219" i="4"/>
  <c r="Z181" i="2"/>
  <c r="AB851" i="4"/>
  <c r="AA879" i="4"/>
  <c r="AC60" i="2" s="1"/>
  <c r="AG430" i="4"/>
  <c r="AG431" i="4" s="1"/>
  <c r="AG492" i="4" s="1"/>
  <c r="AG271" i="4"/>
  <c r="AG272" i="4" s="1"/>
  <c r="AB366" i="2"/>
  <c r="AA119" i="2"/>
  <c r="AA120" i="2" s="1"/>
  <c r="AA131" i="2"/>
  <c r="AH257" i="2"/>
  <c r="AA864" i="4"/>
  <c r="AA860" i="4" s="1"/>
  <c r="AA861" i="4" s="1"/>
  <c r="AA715" i="4"/>
  <c r="AC45" i="2" s="1"/>
  <c r="AB687" i="4"/>
  <c r="AA700" i="4"/>
  <c r="AA696" i="4" s="1"/>
  <c r="AA697" i="4" s="1"/>
  <c r="AA140" i="2"/>
  <c r="AA718" i="4" l="1"/>
  <c r="AB694" i="4"/>
  <c r="AB858" i="4"/>
  <c r="AA882" i="4"/>
  <c r="Z1220" i="4"/>
  <c r="Z1223" i="4"/>
  <c r="AA158" i="2"/>
  <c r="AA161" i="2" s="1"/>
  <c r="AA1193" i="4"/>
  <c r="AA559" i="4"/>
  <c r="AB531" i="4"/>
  <c r="AC194" i="2"/>
  <c r="AA258" i="2"/>
  <c r="AG404" i="4"/>
  <c r="AG407" i="4" s="1"/>
  <c r="AI193" i="2" s="1"/>
  <c r="AG402" i="4"/>
  <c r="AC363" i="2"/>
  <c r="AB229" i="2"/>
  <c r="AB141" i="2"/>
  <c r="AB89" i="2"/>
  <c r="AB383" i="2"/>
  <c r="AA544" i="4"/>
  <c r="AA540" i="4" s="1"/>
  <c r="AA541" i="4" s="1"/>
  <c r="AB367" i="2"/>
  <c r="AB714" i="4"/>
  <c r="AD44" i="2" s="1"/>
  <c r="AB699" i="4"/>
  <c r="AC351" i="2"/>
  <c r="AG546" i="4"/>
  <c r="AG507" i="4"/>
  <c r="AB878" i="4"/>
  <c r="AD59" i="2" s="1"/>
  <c r="AB863" i="4"/>
  <c r="AB342" i="2"/>
  <c r="AB355" i="2"/>
  <c r="Z184" i="2"/>
  <c r="Z209" i="2" s="1"/>
  <c r="AA180" i="2"/>
  <c r="AI257" i="2"/>
  <c r="AA179" i="2" l="1"/>
  <c r="AC195" i="2"/>
  <c r="AC192" i="2" s="1"/>
  <c r="AA562" i="4"/>
  <c r="AC32" i="2" s="1"/>
  <c r="AC340" i="2" s="1"/>
  <c r="AA1194" i="4"/>
  <c r="AB538" i="4"/>
  <c r="AB343" i="2"/>
  <c r="AB853" i="4"/>
  <c r="AB855" i="4"/>
  <c r="AC30" i="2"/>
  <c r="AB558" i="4"/>
  <c r="AB543" i="4"/>
  <c r="AB112" i="2"/>
  <c r="AB90" i="2"/>
  <c r="AB93" i="2" s="1"/>
  <c r="AG511" i="4"/>
  <c r="AG532" i="4"/>
  <c r="AG1197" i="4"/>
  <c r="AI20" i="2"/>
  <c r="AG251" i="4"/>
  <c r="AG553" i="4"/>
  <c r="AA262" i="2"/>
  <c r="AB717" i="4"/>
  <c r="AD46" i="2" s="1"/>
  <c r="AB228" i="2"/>
  <c r="AB250" i="2"/>
  <c r="AC62" i="2"/>
  <c r="AA884" i="4"/>
  <c r="AA886" i="4" s="1"/>
  <c r="AA887" i="4" s="1"/>
  <c r="AA888" i="4" s="1"/>
  <c r="AB689" i="4"/>
  <c r="AB691" i="4"/>
  <c r="AB881" i="4"/>
  <c r="AD61" i="2" s="1"/>
  <c r="Z226" i="2"/>
  <c r="Z254" i="2" s="1"/>
  <c r="Z263" i="2" s="1"/>
  <c r="Z266" i="2" s="1"/>
  <c r="Z294" i="2"/>
  <c r="Z296" i="2" s="1"/>
  <c r="Z297" i="2" s="1"/>
  <c r="Z265" i="2"/>
  <c r="AC47" i="2"/>
  <c r="AA720" i="4"/>
  <c r="AA722" i="4" s="1"/>
  <c r="AA723" i="4" s="1"/>
  <c r="AA724" i="4" s="1"/>
  <c r="AC85" i="2" l="1"/>
  <c r="AC87" i="2" s="1"/>
  <c r="AC339" i="2"/>
  <c r="AC18" i="2"/>
  <c r="AC91" i="2" s="1"/>
  <c r="AG252" i="4"/>
  <c r="AI83" i="2" s="1"/>
  <c r="AI66" i="2"/>
  <c r="AB885" i="4"/>
  <c r="AB876" i="4"/>
  <c r="AD29" i="2"/>
  <c r="AB118" i="2"/>
  <c r="AB122" i="2"/>
  <c r="AB124" i="2" s="1"/>
  <c r="AB533" i="4"/>
  <c r="AB535" i="4"/>
  <c r="AC129" i="2"/>
  <c r="AC273" i="2"/>
  <c r="AC146" i="2"/>
  <c r="AB721" i="4"/>
  <c r="AB712" i="4"/>
  <c r="AI338" i="2"/>
  <c r="AJ338" i="2" s="1"/>
  <c r="AJ20" i="2"/>
  <c r="AB695" i="4"/>
  <c r="AB692" i="4"/>
  <c r="AC364" i="2"/>
  <c r="AC48" i="2"/>
  <c r="AC361" i="2" s="1"/>
  <c r="AC366" i="2" s="1"/>
  <c r="AC367" i="2" s="1"/>
  <c r="AB859" i="4"/>
  <c r="AB856" i="4"/>
  <c r="AB295" i="2"/>
  <c r="AB253" i="2"/>
  <c r="AB148" i="2"/>
  <c r="AB128" i="2"/>
  <c r="AB130" i="2" s="1"/>
  <c r="AC352" i="2"/>
  <c r="AC33" i="2"/>
  <c r="AB561" i="4"/>
  <c r="AD31" i="2" s="1"/>
  <c r="AA564" i="4"/>
  <c r="AA566" i="4" s="1"/>
  <c r="AA181" i="2"/>
  <c r="AC349" i="2" l="1"/>
  <c r="AC354" i="2" s="1"/>
  <c r="AC355" i="2" s="1"/>
  <c r="AC92" i="2"/>
  <c r="AB879" i="4"/>
  <c r="AD60" i="2" s="1"/>
  <c r="AC851" i="4"/>
  <c r="AB864" i="4"/>
  <c r="AB860" i="4" s="1"/>
  <c r="AB861" i="4" s="1"/>
  <c r="AA567" i="4"/>
  <c r="AA568" i="4" s="1"/>
  <c r="AA1219" i="4"/>
  <c r="AB715" i="4"/>
  <c r="AD45" i="2" s="1"/>
  <c r="AC687" i="4"/>
  <c r="AA184" i="2"/>
  <c r="AA209" i="2" s="1"/>
  <c r="AB180" i="2"/>
  <c r="AB119" i="2"/>
  <c r="AB120" i="2" s="1"/>
  <c r="AB565" i="4"/>
  <c r="AB556" i="4"/>
  <c r="AB539" i="4"/>
  <c r="AB536" i="4"/>
  <c r="AB700" i="4"/>
  <c r="AB696" i="4" s="1"/>
  <c r="AB697" i="4" s="1"/>
  <c r="AB131" i="2"/>
  <c r="AB140" i="2"/>
  <c r="AC337" i="2"/>
  <c r="AC342" i="2" s="1"/>
  <c r="AC343" i="2" s="1"/>
  <c r="AC64" i="2"/>
  <c r="AB882" i="4" l="1"/>
  <c r="AC858" i="4"/>
  <c r="AA226" i="2"/>
  <c r="AA254" i="2" s="1"/>
  <c r="AA263" i="2" s="1"/>
  <c r="AA266" i="2" s="1"/>
  <c r="AA294" i="2"/>
  <c r="AA296" i="2" s="1"/>
  <c r="AA297" i="2" s="1"/>
  <c r="AA265" i="2"/>
  <c r="AB158" i="2"/>
  <c r="AB161" i="2" s="1"/>
  <c r="AC714" i="4"/>
  <c r="AE44" i="2" s="1"/>
  <c r="AC699" i="4"/>
  <c r="AD351" i="2"/>
  <c r="AB559" i="4"/>
  <c r="AC531" i="4"/>
  <c r="AD194" i="2"/>
  <c r="AB1193" i="4"/>
  <c r="AC229" i="2"/>
  <c r="AC141" i="2"/>
  <c r="AC89" i="2"/>
  <c r="AC383" i="2"/>
  <c r="AC88" i="2"/>
  <c r="AA1220" i="4"/>
  <c r="AA1223" i="4"/>
  <c r="AB544" i="4"/>
  <c r="AB540" i="4" s="1"/>
  <c r="AB541" i="4" s="1"/>
  <c r="AB258" i="2"/>
  <c r="AB718" i="4"/>
  <c r="AD47" i="2" s="1"/>
  <c r="AD352" i="2" s="1"/>
  <c r="AC694" i="4"/>
  <c r="AC878" i="4"/>
  <c r="AE59" i="2" s="1"/>
  <c r="AC863" i="4"/>
  <c r="AD363" i="2"/>
  <c r="AD33" i="2" l="1"/>
  <c r="AB720" i="4"/>
  <c r="AB722" i="4" s="1"/>
  <c r="AB723" i="4" s="1"/>
  <c r="AB724" i="4" s="1"/>
  <c r="AD195" i="2"/>
  <c r="AD192" i="2" s="1"/>
  <c r="AB1194" i="4"/>
  <c r="AC538" i="4"/>
  <c r="AB562" i="4"/>
  <c r="AD32" i="2" s="1"/>
  <c r="AD340" i="2" s="1"/>
  <c r="AB179" i="2"/>
  <c r="AB262" i="2"/>
  <c r="AC558" i="4"/>
  <c r="AC543" i="4"/>
  <c r="AC691" i="4"/>
  <c r="AC689" i="4"/>
  <c r="AC90" i="2"/>
  <c r="AC93" i="2" s="1"/>
  <c r="AC112" i="2"/>
  <c r="AC717" i="4"/>
  <c r="AE46" i="2" s="1"/>
  <c r="AC881" i="4"/>
  <c r="AE61" i="2" s="1"/>
  <c r="AD30" i="2"/>
  <c r="AC853" i="4"/>
  <c r="AC855" i="4"/>
  <c r="AC228" i="2"/>
  <c r="AC250" i="2"/>
  <c r="AD62" i="2"/>
  <c r="AB884" i="4"/>
  <c r="AB886" i="4" s="1"/>
  <c r="AB887" i="4" s="1"/>
  <c r="AB888" i="4" s="1"/>
  <c r="AD349" i="2" l="1"/>
  <c r="AD354" i="2" s="1"/>
  <c r="AD355" i="2" s="1"/>
  <c r="AD92" i="2"/>
  <c r="AD85" i="2"/>
  <c r="AD87" i="2" s="1"/>
  <c r="AC721" i="4"/>
  <c r="AC712" i="4"/>
  <c r="AD339" i="2"/>
  <c r="AD18" i="2"/>
  <c r="AD91" i="2" s="1"/>
  <c r="AB181" i="2"/>
  <c r="AC295" i="2"/>
  <c r="AC253" i="2"/>
  <c r="AC148" i="2"/>
  <c r="AC140" i="2" s="1"/>
  <c r="AC128" i="2"/>
  <c r="AC130" i="2" s="1"/>
  <c r="AC859" i="4"/>
  <c r="AC856" i="4"/>
  <c r="AC695" i="4"/>
  <c r="AC692" i="4"/>
  <c r="AC533" i="4"/>
  <c r="AC535" i="4"/>
  <c r="AE29" i="2"/>
  <c r="AD364" i="2"/>
  <c r="AD48" i="2"/>
  <c r="AD361" i="2" s="1"/>
  <c r="AD366" i="2" s="1"/>
  <c r="AD367" i="2" s="1"/>
  <c r="AC122" i="2"/>
  <c r="AC124" i="2" s="1"/>
  <c r="AC118" i="2"/>
  <c r="AD129" i="2"/>
  <c r="AD273" i="2"/>
  <c r="AD146" i="2"/>
  <c r="AC561" i="4"/>
  <c r="AE31" i="2" s="1"/>
  <c r="AC876" i="4"/>
  <c r="AC885" i="4"/>
  <c r="AB564" i="4"/>
  <c r="AB566" i="4" s="1"/>
  <c r="AC715" i="4" l="1"/>
  <c r="AE45" i="2" s="1"/>
  <c r="AD687" i="4"/>
  <c r="AC700" i="4"/>
  <c r="AC696" i="4" s="1"/>
  <c r="AC697" i="4" s="1"/>
  <c r="AC864" i="4"/>
  <c r="AC860" i="4" s="1"/>
  <c r="AC861" i="4" s="1"/>
  <c r="AC131" i="2"/>
  <c r="AD851" i="4"/>
  <c r="AC879" i="4"/>
  <c r="AE60" i="2" s="1"/>
  <c r="AC119" i="2"/>
  <c r="AC158" i="2" s="1"/>
  <c r="AC161" i="2" s="1"/>
  <c r="AC179" i="2" s="1"/>
  <c r="AB567" i="4"/>
  <c r="AB568" i="4" s="1"/>
  <c r="AB1219" i="4"/>
  <c r="AC565" i="4"/>
  <c r="AC556" i="4"/>
  <c r="AB184" i="2"/>
  <c r="AB209" i="2" s="1"/>
  <c r="AC180" i="2"/>
  <c r="AD337" i="2"/>
  <c r="AD342" i="2" s="1"/>
  <c r="AD343" i="2" s="1"/>
  <c r="AD64" i="2"/>
  <c r="AC539" i="4"/>
  <c r="AC536" i="4"/>
  <c r="AC181" i="2" l="1"/>
  <c r="AC184" i="2" s="1"/>
  <c r="AC209" i="2" s="1"/>
  <c r="AC294" i="2" s="1"/>
  <c r="AC296" i="2" s="1"/>
  <c r="AC297" i="2" s="1"/>
  <c r="AC120" i="2"/>
  <c r="AC258" i="2" s="1"/>
  <c r="AC262" i="2" s="1"/>
  <c r="AC882" i="4"/>
  <c r="AD858" i="4"/>
  <c r="AC718" i="4"/>
  <c r="AD694" i="4"/>
  <c r="AC544" i="4"/>
  <c r="AC540" i="4" s="1"/>
  <c r="AC541" i="4" s="1"/>
  <c r="AD229" i="2"/>
  <c r="AD141" i="2"/>
  <c r="AD89" i="2"/>
  <c r="AD383" i="2"/>
  <c r="AD88" i="2"/>
  <c r="AD878" i="4"/>
  <c r="AF59" i="2" s="1"/>
  <c r="AD863" i="4"/>
  <c r="AD714" i="4"/>
  <c r="AF44" i="2" s="1"/>
  <c r="AD699" i="4"/>
  <c r="AB1220" i="4"/>
  <c r="AB1223" i="4"/>
  <c r="AE363" i="2"/>
  <c r="AB226" i="2"/>
  <c r="AB254" i="2" s="1"/>
  <c r="AB263" i="2" s="1"/>
  <c r="AB266" i="2" s="1"/>
  <c r="AB294" i="2"/>
  <c r="AB296" i="2" s="1"/>
  <c r="AB297" i="2" s="1"/>
  <c r="AB265" i="2"/>
  <c r="AC1193" i="4"/>
  <c r="AC559" i="4"/>
  <c r="AE194" i="2"/>
  <c r="AD531" i="4"/>
  <c r="AE351" i="2"/>
  <c r="AD180" i="2" l="1"/>
  <c r="AE195" i="2"/>
  <c r="AE192" i="2" s="1"/>
  <c r="AC1194" i="4"/>
  <c r="AC562" i="4"/>
  <c r="AE85" i="2" s="1"/>
  <c r="AE87" i="2" s="1"/>
  <c r="AD538" i="4"/>
  <c r="AD90" i="2"/>
  <c r="AD93" i="2" s="1"/>
  <c r="AD112" i="2"/>
  <c r="AD228" i="2"/>
  <c r="AD250" i="2"/>
  <c r="AD717" i="4"/>
  <c r="AF46" i="2" s="1"/>
  <c r="AD881" i="4"/>
  <c r="AF61" i="2" s="1"/>
  <c r="AE62" i="2"/>
  <c r="AC884" i="4"/>
  <c r="AC886" i="4" s="1"/>
  <c r="AC887" i="4" s="1"/>
  <c r="AC888" i="4" s="1"/>
  <c r="AE30" i="2"/>
  <c r="AD853" i="4"/>
  <c r="AD855" i="4"/>
  <c r="AC226" i="2"/>
  <c r="AC254" i="2" s="1"/>
  <c r="AC263" i="2" s="1"/>
  <c r="AC266" i="2" s="1"/>
  <c r="AE47" i="2"/>
  <c r="AC720" i="4"/>
  <c r="AC722" i="4" s="1"/>
  <c r="AC723" i="4" s="1"/>
  <c r="AC724" i="4" s="1"/>
  <c r="AD691" i="4"/>
  <c r="AD689" i="4"/>
  <c r="AD558" i="4"/>
  <c r="AD543" i="4"/>
  <c r="AC265" i="2"/>
  <c r="AD695" i="4" l="1"/>
  <c r="AD692" i="4"/>
  <c r="AD721" i="4"/>
  <c r="AD712" i="4"/>
  <c r="AD885" i="4"/>
  <c r="AD876" i="4"/>
  <c r="AD859" i="4"/>
  <c r="AD856" i="4"/>
  <c r="AE273" i="2"/>
  <c r="AE129" i="2"/>
  <c r="AE146" i="2"/>
  <c r="AE339" i="2"/>
  <c r="AD561" i="4"/>
  <c r="AF31" i="2" s="1"/>
  <c r="AE352" i="2"/>
  <c r="AE33" i="2"/>
  <c r="AD295" i="2"/>
  <c r="AD253" i="2"/>
  <c r="AD122" i="2"/>
  <c r="AD124" i="2" s="1"/>
  <c r="AD118" i="2"/>
  <c r="AD533" i="4"/>
  <c r="AD535" i="4"/>
  <c r="AE32" i="2"/>
  <c r="AE340" i="2" s="1"/>
  <c r="AC564" i="4"/>
  <c r="AC566" i="4" s="1"/>
  <c r="AF29" i="2"/>
  <c r="AE364" i="2"/>
  <c r="AE48" i="2"/>
  <c r="AE361" i="2" s="1"/>
  <c r="AE366" i="2" s="1"/>
  <c r="AE367" i="2" s="1"/>
  <c r="AD148" i="2"/>
  <c r="AD140" i="2" s="1"/>
  <c r="AD128" i="2"/>
  <c r="AD130" i="2" s="1"/>
  <c r="AE349" i="2" l="1"/>
  <c r="AE354" i="2" s="1"/>
  <c r="AE355" i="2" s="1"/>
  <c r="AE92" i="2"/>
  <c r="AE18" i="2"/>
  <c r="AD556" i="4"/>
  <c r="AD565" i="4"/>
  <c r="AD539" i="4"/>
  <c r="AD536" i="4"/>
  <c r="AD119" i="2"/>
  <c r="AD158" i="2" s="1"/>
  <c r="AD161" i="2" s="1"/>
  <c r="AD179" i="2" s="1"/>
  <c r="AD181" i="2" s="1"/>
  <c r="AC567" i="4"/>
  <c r="AC568" i="4" s="1"/>
  <c r="AC1219" i="4"/>
  <c r="AD879" i="4"/>
  <c r="AF60" i="2" s="1"/>
  <c r="AE851" i="4"/>
  <c r="AD864" i="4"/>
  <c r="AD860" i="4" s="1"/>
  <c r="AD861" i="4" s="1"/>
  <c r="AD131" i="2"/>
  <c r="AD715" i="4"/>
  <c r="AF45" i="2" s="1"/>
  <c r="AE687" i="4"/>
  <c r="AD700" i="4"/>
  <c r="AD696" i="4" s="1"/>
  <c r="AD697" i="4" s="1"/>
  <c r="AE337" i="2" l="1"/>
  <c r="AE342" i="2" s="1"/>
  <c r="AE343" i="2" s="1"/>
  <c r="AE91" i="2"/>
  <c r="AE64" i="2"/>
  <c r="AE229" i="2" s="1"/>
  <c r="AD120" i="2"/>
  <c r="AD258" i="2" s="1"/>
  <c r="AD262" i="2" s="1"/>
  <c r="AD718" i="4"/>
  <c r="AE694" i="4"/>
  <c r="AD882" i="4"/>
  <c r="AE858" i="4"/>
  <c r="AC1220" i="4"/>
  <c r="AC1223" i="4"/>
  <c r="AE714" i="4"/>
  <c r="AG44" i="2" s="1"/>
  <c r="AE699" i="4"/>
  <c r="AE180" i="2"/>
  <c r="AD184" i="2"/>
  <c r="AD209" i="2" s="1"/>
  <c r="AF351" i="2"/>
  <c r="AD1193" i="4"/>
  <c r="AF194" i="2"/>
  <c r="AD559" i="4"/>
  <c r="AE531" i="4"/>
  <c r="AD544" i="4"/>
  <c r="AD540" i="4" s="1"/>
  <c r="AD541" i="4" s="1"/>
  <c r="AE878" i="4"/>
  <c r="AG59" i="2" s="1"/>
  <c r="AE863" i="4"/>
  <c r="AF363" i="2"/>
  <c r="AE383" i="2" l="1"/>
  <c r="AE88" i="2"/>
  <c r="AE89" i="2"/>
  <c r="AE112" i="2" s="1"/>
  <c r="AE141" i="2"/>
  <c r="AF195" i="2"/>
  <c r="AF192" i="2" s="1"/>
  <c r="AD1194" i="4"/>
  <c r="AE538" i="4"/>
  <c r="AD562" i="4"/>
  <c r="AD226" i="2"/>
  <c r="AD254" i="2" s="1"/>
  <c r="AD263" i="2" s="1"/>
  <c r="AD266" i="2" s="1"/>
  <c r="AD294" i="2"/>
  <c r="AD296" i="2" s="1"/>
  <c r="AD297" i="2" s="1"/>
  <c r="AE691" i="4"/>
  <c r="AE689" i="4"/>
  <c r="AE881" i="4"/>
  <c r="AG61" i="2" s="1"/>
  <c r="AF30" i="2"/>
  <c r="AE717" i="4"/>
  <c r="AG46" i="2" s="1"/>
  <c r="AE228" i="2"/>
  <c r="AE250" i="2"/>
  <c r="AE853" i="4"/>
  <c r="AE855" i="4"/>
  <c r="AD265" i="2"/>
  <c r="AE558" i="4"/>
  <c r="AE543" i="4"/>
  <c r="AF62" i="2"/>
  <c r="AD884" i="4"/>
  <c r="AD886" i="4" s="1"/>
  <c r="AD887" i="4" s="1"/>
  <c r="AD888" i="4" s="1"/>
  <c r="AF47" i="2"/>
  <c r="AD720" i="4"/>
  <c r="AD722" i="4" s="1"/>
  <c r="AD723" i="4" s="1"/>
  <c r="AD724" i="4" s="1"/>
  <c r="AE90" i="2" l="1"/>
  <c r="AE93" i="2" s="1"/>
  <c r="AE695" i="4"/>
  <c r="AE692" i="4"/>
  <c r="AE721" i="4"/>
  <c r="AE712" i="4"/>
  <c r="AG29" i="2"/>
  <c r="AE148" i="2"/>
  <c r="AE140" i="2" s="1"/>
  <c r="AE128" i="2"/>
  <c r="AE130" i="2" s="1"/>
  <c r="AF352" i="2"/>
  <c r="AF33" i="2"/>
  <c r="AF32" i="2"/>
  <c r="AF340" i="2" s="1"/>
  <c r="AD564" i="4"/>
  <c r="AD566" i="4" s="1"/>
  <c r="AE859" i="4"/>
  <c r="AE856" i="4"/>
  <c r="AF364" i="2"/>
  <c r="AF48" i="2"/>
  <c r="AF361" i="2" s="1"/>
  <c r="AF366" i="2" s="1"/>
  <c r="AF367" i="2" s="1"/>
  <c r="AF85" i="2"/>
  <c r="AF87" i="2" s="1"/>
  <c r="AE885" i="4"/>
  <c r="AE876" i="4"/>
  <c r="AE295" i="2"/>
  <c r="AE253" i="2"/>
  <c r="AE118" i="2"/>
  <c r="AE122" i="2"/>
  <c r="AE124" i="2" s="1"/>
  <c r="AF273" i="2"/>
  <c r="AF129" i="2"/>
  <c r="AF146" i="2"/>
  <c r="AE561" i="4"/>
  <c r="AG31" i="2" s="1"/>
  <c r="AE533" i="4"/>
  <c r="AE535" i="4"/>
  <c r="AF339" i="2"/>
  <c r="AF349" i="2" l="1"/>
  <c r="AF354" i="2" s="1"/>
  <c r="AF355" i="2" s="1"/>
  <c r="AF92" i="2"/>
  <c r="AE879" i="4"/>
  <c r="AG60" i="2" s="1"/>
  <c r="AF851" i="4"/>
  <c r="AD567" i="4"/>
  <c r="AD568" i="4" s="1"/>
  <c r="AD1219" i="4"/>
  <c r="AE715" i="4"/>
  <c r="AG45" i="2" s="1"/>
  <c r="AF687" i="4"/>
  <c r="AE864" i="4"/>
  <c r="AE860" i="4" s="1"/>
  <c r="AE861" i="4" s="1"/>
  <c r="AE119" i="2"/>
  <c r="AE158" i="2" s="1"/>
  <c r="AE161" i="2" s="1"/>
  <c r="AE179" i="2" s="1"/>
  <c r="AE181" i="2" s="1"/>
  <c r="AE131" i="2"/>
  <c r="AF18" i="2"/>
  <c r="AF91" i="2" s="1"/>
  <c r="AE565" i="4"/>
  <c r="AE556" i="4"/>
  <c r="AE539" i="4"/>
  <c r="AE536" i="4"/>
  <c r="AE700" i="4"/>
  <c r="AE696" i="4" s="1"/>
  <c r="AE697" i="4" s="1"/>
  <c r="AE120" i="2" l="1"/>
  <c r="AE258" i="2" s="1"/>
  <c r="AE262" i="2" s="1"/>
  <c r="AE882" i="4"/>
  <c r="AF858" i="4"/>
  <c r="AE718" i="4"/>
  <c r="AG47" i="2" s="1"/>
  <c r="AG352" i="2" s="1"/>
  <c r="AF694" i="4"/>
  <c r="AF714" i="4"/>
  <c r="AH44" i="2" s="1"/>
  <c r="AF699" i="4"/>
  <c r="AE1193" i="4"/>
  <c r="AE559" i="4"/>
  <c r="AG194" i="2"/>
  <c r="AF531" i="4"/>
  <c r="AG351" i="2"/>
  <c r="AF878" i="4"/>
  <c r="AH59" i="2" s="1"/>
  <c r="AF863" i="4"/>
  <c r="AE544" i="4"/>
  <c r="AE540" i="4" s="1"/>
  <c r="AE541" i="4" s="1"/>
  <c r="AE184" i="2"/>
  <c r="AE209" i="2" s="1"/>
  <c r="AF180" i="2"/>
  <c r="AF337" i="2"/>
  <c r="AF342" i="2" s="1"/>
  <c r="AF343" i="2" s="1"/>
  <c r="AF64" i="2"/>
  <c r="AD1220" i="4"/>
  <c r="AD1223" i="4"/>
  <c r="AG363" i="2"/>
  <c r="AG33" i="2" l="1"/>
  <c r="AE720" i="4"/>
  <c r="AE722" i="4" s="1"/>
  <c r="AE723" i="4" s="1"/>
  <c r="AE724" i="4" s="1"/>
  <c r="AE265" i="2"/>
  <c r="AG195" i="2"/>
  <c r="AG192" i="2" s="1"/>
  <c r="AE1194" i="4"/>
  <c r="AE562" i="4"/>
  <c r="AG32" i="2" s="1"/>
  <c r="AG340" i="2" s="1"/>
  <c r="AF538" i="4"/>
  <c r="AF558" i="4"/>
  <c r="AF543" i="4"/>
  <c r="AE226" i="2"/>
  <c r="AE254" i="2" s="1"/>
  <c r="AE263" i="2" s="1"/>
  <c r="AE266" i="2" s="1"/>
  <c r="AE294" i="2"/>
  <c r="AE296" i="2" s="1"/>
  <c r="AE297" i="2" s="1"/>
  <c r="AF881" i="4"/>
  <c r="AH61" i="2" s="1"/>
  <c r="AF229" i="2"/>
  <c r="AF141" i="2"/>
  <c r="AF89" i="2"/>
  <c r="AF383" i="2"/>
  <c r="AF88" i="2"/>
  <c r="AG30" i="2"/>
  <c r="AF689" i="4"/>
  <c r="AF691" i="4"/>
  <c r="AF717" i="4"/>
  <c r="AH46" i="2" s="1"/>
  <c r="AF853" i="4"/>
  <c r="AF855" i="4"/>
  <c r="AG62" i="2"/>
  <c r="AE884" i="4"/>
  <c r="AE886" i="4" s="1"/>
  <c r="AE887" i="4" s="1"/>
  <c r="AE888" i="4" s="1"/>
  <c r="AG349" i="2" l="1"/>
  <c r="AG354" i="2" s="1"/>
  <c r="AG355" i="2" s="1"/>
  <c r="AG92" i="2"/>
  <c r="AG85" i="2"/>
  <c r="AG87" i="2" s="1"/>
  <c r="AE564" i="4"/>
  <c r="AE566" i="4" s="1"/>
  <c r="AF859" i="4"/>
  <c r="AF856" i="4"/>
  <c r="AF712" i="4"/>
  <c r="AF721" i="4"/>
  <c r="AF533" i="4"/>
  <c r="AF535" i="4"/>
  <c r="AG339" i="2"/>
  <c r="AG18" i="2"/>
  <c r="AG91" i="2" s="1"/>
  <c r="AH29" i="2"/>
  <c r="AF90" i="2"/>
  <c r="AF93" i="2" s="1"/>
  <c r="AF112" i="2"/>
  <c r="AG364" i="2"/>
  <c r="AG48" i="2"/>
  <c r="AG361" i="2" s="1"/>
  <c r="AG366" i="2" s="1"/>
  <c r="AG367" i="2" s="1"/>
  <c r="AF695" i="4"/>
  <c r="AF692" i="4"/>
  <c r="AG273" i="2"/>
  <c r="AG129" i="2"/>
  <c r="AG146" i="2"/>
  <c r="AF561" i="4"/>
  <c r="AH31" i="2" s="1"/>
  <c r="AF228" i="2"/>
  <c r="AF250" i="2"/>
  <c r="AF885" i="4"/>
  <c r="AF876" i="4"/>
  <c r="AE567" i="4" l="1"/>
  <c r="AE568" i="4" s="1"/>
  <c r="AE1219" i="4"/>
  <c r="AE1220" i="4" s="1"/>
  <c r="AF539" i="4"/>
  <c r="AF536" i="4"/>
  <c r="AG337" i="2"/>
  <c r="AG342" i="2" s="1"/>
  <c r="AG343" i="2" s="1"/>
  <c r="AG64" i="2"/>
  <c r="AF565" i="4"/>
  <c r="AF556" i="4"/>
  <c r="AF295" i="2"/>
  <c r="AF253" i="2"/>
  <c r="AF879" i="4"/>
  <c r="AH60" i="2" s="1"/>
  <c r="AG851" i="4"/>
  <c r="AF715" i="4"/>
  <c r="AH45" i="2" s="1"/>
  <c r="AG687" i="4"/>
  <c r="AF700" i="4"/>
  <c r="AF696" i="4" s="1"/>
  <c r="AF697" i="4" s="1"/>
  <c r="AF118" i="2"/>
  <c r="AF122" i="2"/>
  <c r="AF124" i="2" s="1"/>
  <c r="AF148" i="2"/>
  <c r="AF140" i="2" s="1"/>
  <c r="AF128" i="2"/>
  <c r="AF130" i="2" s="1"/>
  <c r="AF864" i="4"/>
  <c r="AF860" i="4" s="1"/>
  <c r="AF861" i="4" s="1"/>
  <c r="AE1223" i="4" l="1"/>
  <c r="AG694" i="4"/>
  <c r="AF718" i="4"/>
  <c r="AF882" i="4"/>
  <c r="AH62" i="2" s="1"/>
  <c r="AH364" i="2" s="1"/>
  <c r="AG858" i="4"/>
  <c r="AG878" i="4"/>
  <c r="AI59" i="2" s="1"/>
  <c r="AG863" i="4"/>
  <c r="AH363" i="2"/>
  <c r="AF131" i="2"/>
  <c r="AG229" i="2"/>
  <c r="AG141" i="2"/>
  <c r="AG89" i="2"/>
  <c r="AG383" i="2"/>
  <c r="AG88" i="2"/>
  <c r="AF119" i="2"/>
  <c r="AF158" i="2" s="1"/>
  <c r="AF161" i="2" s="1"/>
  <c r="AF179" i="2" s="1"/>
  <c r="AF181" i="2" s="1"/>
  <c r="AG714" i="4"/>
  <c r="AI44" i="2" s="1"/>
  <c r="AG699" i="4"/>
  <c r="AF1193" i="4"/>
  <c r="AF559" i="4"/>
  <c r="AH194" i="2"/>
  <c r="AG531" i="4"/>
  <c r="AH351" i="2"/>
  <c r="AF544" i="4"/>
  <c r="AF540" i="4" s="1"/>
  <c r="AF541" i="4" s="1"/>
  <c r="AH48" i="2" l="1"/>
  <c r="AH361" i="2" s="1"/>
  <c r="AH366" i="2" s="1"/>
  <c r="AH367" i="2" s="1"/>
  <c r="AF884" i="4"/>
  <c r="AF886" i="4" s="1"/>
  <c r="AF887" i="4" s="1"/>
  <c r="AF888" i="4" s="1"/>
  <c r="AF120" i="2"/>
  <c r="AF258" i="2" s="1"/>
  <c r="AF262" i="2" s="1"/>
  <c r="AH195" i="2"/>
  <c r="AH192" i="2" s="1"/>
  <c r="AF1194" i="4"/>
  <c r="AG538" i="4"/>
  <c r="AF562" i="4"/>
  <c r="AH85" i="2" s="1"/>
  <c r="AH87" i="2" s="1"/>
  <c r="AG558" i="4"/>
  <c r="AG543" i="4"/>
  <c r="AG853" i="4"/>
  <c r="AG855" i="4"/>
  <c r="AG881" i="4"/>
  <c r="AI61" i="2" s="1"/>
  <c r="AG90" i="2"/>
  <c r="AG93" i="2" s="1"/>
  <c r="AG112" i="2"/>
  <c r="AH47" i="2"/>
  <c r="AF720" i="4"/>
  <c r="AF722" i="4" s="1"/>
  <c r="AF723" i="4" s="1"/>
  <c r="AF724" i="4" s="1"/>
  <c r="AG228" i="2"/>
  <c r="AG250" i="2"/>
  <c r="AH30" i="2"/>
  <c r="AG689" i="4"/>
  <c r="AG691" i="4"/>
  <c r="AG180" i="2"/>
  <c r="AF184" i="2"/>
  <c r="AF209" i="2" s="1"/>
  <c r="AG717" i="4"/>
  <c r="AI46" i="2" s="1"/>
  <c r="AF265" i="2" l="1"/>
  <c r="AF226" i="2"/>
  <c r="AF254" i="2" s="1"/>
  <c r="AF263" i="2" s="1"/>
  <c r="AF266" i="2" s="1"/>
  <c r="AF294" i="2"/>
  <c r="AF296" i="2" s="1"/>
  <c r="AF297" i="2" s="1"/>
  <c r="AG885" i="4"/>
  <c r="AG876" i="4"/>
  <c r="AG859" i="4"/>
  <c r="AG856" i="4"/>
  <c r="AG879" i="4" s="1"/>
  <c r="AI60" i="2" s="1"/>
  <c r="AG721" i="4"/>
  <c r="AG712" i="4"/>
  <c r="AG695" i="4"/>
  <c r="AG692" i="4"/>
  <c r="AG715" i="4" s="1"/>
  <c r="AI45" i="2" s="1"/>
  <c r="AI29" i="2"/>
  <c r="AG295" i="2"/>
  <c r="AG253" i="2"/>
  <c r="AG148" i="2"/>
  <c r="AG140" i="2" s="1"/>
  <c r="AG128" i="2"/>
  <c r="AG130" i="2" s="1"/>
  <c r="AG118" i="2"/>
  <c r="AG122" i="2"/>
  <c r="AG124" i="2" s="1"/>
  <c r="AJ61" i="2"/>
  <c r="AG533" i="4"/>
  <c r="AG535" i="4"/>
  <c r="AH339" i="2"/>
  <c r="AH273" i="2"/>
  <c r="AH129" i="2"/>
  <c r="AH146" i="2"/>
  <c r="AJ46" i="2"/>
  <c r="AH32" i="2"/>
  <c r="AH340" i="2" s="1"/>
  <c r="AF564" i="4"/>
  <c r="AF566" i="4" s="1"/>
  <c r="AH352" i="2"/>
  <c r="AH33" i="2"/>
  <c r="AG561" i="4"/>
  <c r="AI31" i="2" s="1"/>
  <c r="AH349" i="2" l="1"/>
  <c r="AH354" i="2" s="1"/>
  <c r="AH355" i="2" s="1"/>
  <c r="AH92" i="2"/>
  <c r="AH18" i="2"/>
  <c r="AG565" i="4"/>
  <c r="AG556" i="4"/>
  <c r="AG539" i="4"/>
  <c r="AG536" i="4"/>
  <c r="AJ31" i="2"/>
  <c r="AG119" i="2"/>
  <c r="AG158" i="2" s="1"/>
  <c r="AG161" i="2" s="1"/>
  <c r="AG179" i="2" s="1"/>
  <c r="AG181" i="2" s="1"/>
  <c r="AJ45" i="2"/>
  <c r="AI351" i="2"/>
  <c r="AJ351" i="2" s="1"/>
  <c r="AG700" i="4"/>
  <c r="AG696" i="4" s="1"/>
  <c r="AG697" i="4" s="1"/>
  <c r="AG718" i="4" s="1"/>
  <c r="AJ60" i="2"/>
  <c r="AI363" i="2"/>
  <c r="AJ363" i="2" s="1"/>
  <c r="AG864" i="4"/>
  <c r="AG860" i="4" s="1"/>
  <c r="AG861" i="4" s="1"/>
  <c r="AG882" i="4" s="1"/>
  <c r="AF567" i="4"/>
  <c r="AF568" i="4" s="1"/>
  <c r="AF1219" i="4"/>
  <c r="AG131" i="2"/>
  <c r="AH337" i="2" l="1"/>
  <c r="AH342" i="2" s="1"/>
  <c r="AH343" i="2" s="1"/>
  <c r="AH91" i="2"/>
  <c r="AH64" i="2"/>
  <c r="AH229" i="2" s="1"/>
  <c r="AI47" i="2"/>
  <c r="AI352" i="2" s="1"/>
  <c r="AJ352" i="2" s="1"/>
  <c r="AG720" i="4"/>
  <c r="AG722" i="4" s="1"/>
  <c r="AG723" i="4" s="1"/>
  <c r="AG724" i="4" s="1"/>
  <c r="AG120" i="2"/>
  <c r="AG258" i="2" s="1"/>
  <c r="AG262" i="2" s="1"/>
  <c r="AG184" i="2"/>
  <c r="AG209" i="2" s="1"/>
  <c r="AH180" i="2"/>
  <c r="AI62" i="2"/>
  <c r="AG884" i="4"/>
  <c r="AG886" i="4" s="1"/>
  <c r="AG887" i="4" s="1"/>
  <c r="AG888" i="4" s="1"/>
  <c r="AG1193" i="4"/>
  <c r="AG559" i="4"/>
  <c r="AI194" i="2"/>
  <c r="AF1220" i="4"/>
  <c r="AF1223" i="4"/>
  <c r="AG544" i="4"/>
  <c r="AG540" i="4" s="1"/>
  <c r="AG541" i="4" s="1"/>
  <c r="AI33" i="2" l="1"/>
  <c r="AJ47" i="2"/>
  <c r="AH141" i="2"/>
  <c r="AH89" i="2"/>
  <c r="AH90" i="2" s="1"/>
  <c r="AH93" i="2" s="1"/>
  <c r="AH88" i="2"/>
  <c r="AH383" i="2"/>
  <c r="AG265" i="2"/>
  <c r="AG1194" i="4"/>
  <c r="AI195" i="2"/>
  <c r="AI192" i="2" s="1"/>
  <c r="AG562" i="4"/>
  <c r="AI85" i="2" s="1"/>
  <c r="AI87" i="2" s="1"/>
  <c r="AI30" i="2"/>
  <c r="AJ62" i="2"/>
  <c r="AI364" i="2"/>
  <c r="AJ364" i="2" s="1"/>
  <c r="AI48" i="2"/>
  <c r="AI361" i="2" s="1"/>
  <c r="AH228" i="2"/>
  <c r="AH250" i="2"/>
  <c r="AG226" i="2"/>
  <c r="AG254" i="2" s="1"/>
  <c r="AG263" i="2" s="1"/>
  <c r="AG266" i="2" s="1"/>
  <c r="AG294" i="2"/>
  <c r="AG296" i="2" s="1"/>
  <c r="AG297" i="2" s="1"/>
  <c r="AI349" i="2" l="1"/>
  <c r="AI354" i="2" s="1"/>
  <c r="AI355" i="2" s="1"/>
  <c r="AI92" i="2"/>
  <c r="AJ349" i="2"/>
  <c r="AH112" i="2"/>
  <c r="AH122" i="2" s="1"/>
  <c r="AH124" i="2" s="1"/>
  <c r="AH295" i="2"/>
  <c r="AH253" i="2"/>
  <c r="AH128" i="2"/>
  <c r="AH130" i="2" s="1"/>
  <c r="AH148" i="2"/>
  <c r="AH140" i="2" s="1"/>
  <c r="AI366" i="2"/>
  <c r="AJ361" i="2"/>
  <c r="AJ30" i="2"/>
  <c r="AI339" i="2"/>
  <c r="AJ339" i="2" s="1"/>
  <c r="AI273" i="2"/>
  <c r="AI129" i="2"/>
  <c r="AJ129" i="2" s="1"/>
  <c r="AI146" i="2"/>
  <c r="AJ146" i="2" s="1"/>
  <c r="AI32" i="2"/>
  <c r="AI18" i="2" s="1"/>
  <c r="AI91" i="2" s="1"/>
  <c r="AG564" i="4"/>
  <c r="AG566" i="4" s="1"/>
  <c r="AJ354" i="2" l="1"/>
  <c r="AJ355" i="2" s="1"/>
  <c r="AH118" i="2"/>
  <c r="AH119" i="2" s="1"/>
  <c r="AH158" i="2" s="1"/>
  <c r="AH161" i="2" s="1"/>
  <c r="AH179" i="2" s="1"/>
  <c r="AH181" i="2" s="1"/>
  <c r="AI337" i="2"/>
  <c r="AI64" i="2"/>
  <c r="AI367" i="2"/>
  <c r="AJ366" i="2"/>
  <c r="AJ367" i="2" s="1"/>
  <c r="AG567" i="4"/>
  <c r="AG568" i="4" s="1"/>
  <c r="AG1219" i="4"/>
  <c r="AJ32" i="2"/>
  <c r="AI340" i="2"/>
  <c r="AJ340" i="2" s="1"/>
  <c r="AH131" i="2"/>
  <c r="AH184" i="2" l="1"/>
  <c r="AH209" i="2" s="1"/>
  <c r="AI180" i="2"/>
  <c r="AH120" i="2"/>
  <c r="AH258" i="2" s="1"/>
  <c r="AG1220" i="4"/>
  <c r="AG1223" i="4"/>
  <c r="AI342" i="2"/>
  <c r="AJ337" i="2"/>
  <c r="AI141" i="2"/>
  <c r="AI229" i="2"/>
  <c r="AI89" i="2"/>
  <c r="AJ64" i="2"/>
  <c r="AI383" i="2"/>
  <c r="AI88" i="2"/>
  <c r="AH265" i="2" l="1"/>
  <c r="AI90" i="2"/>
  <c r="AI93" i="2" s="1"/>
  <c r="AI112" i="2"/>
  <c r="AJ89" i="2"/>
  <c r="AJ90" i="2" s="1"/>
  <c r="AI343" i="2"/>
  <c r="AJ342" i="2"/>
  <c r="AJ343" i="2" s="1"/>
  <c r="AI228" i="2"/>
  <c r="AI250" i="2"/>
  <c r="AJ141" i="2"/>
  <c r="AH262" i="2"/>
  <c r="AH226" i="2"/>
  <c r="AH254" i="2" s="1"/>
  <c r="AH294" i="2"/>
  <c r="AH296" i="2" s="1"/>
  <c r="AH297" i="2" s="1"/>
  <c r="AH263" i="2" l="1"/>
  <c r="AH266" i="2" s="1"/>
  <c r="AI122" i="2"/>
  <c r="AI124" i="2" s="1"/>
  <c r="AJ124" i="2" s="1"/>
  <c r="AI118" i="2"/>
  <c r="AJ112" i="2"/>
  <c r="AJ122" i="2" s="1"/>
  <c r="AI295" i="2"/>
  <c r="AI253" i="2"/>
  <c r="AI128" i="2"/>
  <c r="AI148" i="2"/>
  <c r="AJ148" i="2" l="1"/>
  <c r="AI140" i="2"/>
  <c r="AJ128" i="2"/>
  <c r="AI130" i="2"/>
  <c r="AI119" i="2"/>
  <c r="AJ118" i="2"/>
  <c r="AI158" i="2" l="1"/>
  <c r="AJ158" i="2" s="1"/>
  <c r="AJ119" i="2"/>
  <c r="AI120" i="2"/>
  <c r="AJ130" i="2"/>
  <c r="AI131" i="2"/>
  <c r="AJ131" i="2" s="1"/>
  <c r="AJ140" i="2"/>
  <c r="AI161" i="2" l="1"/>
  <c r="AI179" i="2" s="1"/>
  <c r="AJ120" i="2"/>
  <c r="AI258" i="2"/>
  <c r="AI262" i="2" s="1"/>
  <c r="AJ161" i="2" l="1"/>
  <c r="AI181" i="2"/>
  <c r="AJ179" i="2"/>
  <c r="AI184" i="2" l="1"/>
  <c r="AI209" i="2" s="1"/>
  <c r="AJ181" i="2"/>
  <c r="AI265" i="2" l="1"/>
  <c r="AI226" i="2"/>
  <c r="AI254" i="2" s="1"/>
  <c r="AI263" i="2" s="1"/>
  <c r="AI266" i="2" s="1"/>
  <c r="AI294" i="2"/>
  <c r="AI296" i="2" s="1"/>
  <c r="AI29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56" authorId="0" shapeId="0" xr:uid="{00000000-0006-0000-0500-000002000000}">
      <text>
        <r>
          <rPr>
            <sz val="10"/>
            <rFont val="Arial"/>
            <family val="2"/>
          </rPr>
          <t>user:
tidak ada lagi reimbursan uang jln dari MMS</t>
        </r>
      </text>
    </comment>
    <comment ref="F70" authorId="0" shapeId="0" xr:uid="{00000000-0006-0000-0500-000001000000}">
      <text>
        <r>
          <rPr>
            <sz val="10"/>
            <rFont val="Arial"/>
            <family val="2"/>
          </rPr>
          <t>user:
Uang Ketupat</t>
        </r>
      </text>
    </comment>
  </commentList>
</comments>
</file>

<file path=xl/sharedStrings.xml><?xml version="1.0" encoding="utf-8"?>
<sst xmlns="http://schemas.openxmlformats.org/spreadsheetml/2006/main" count="21692" uniqueCount="5583">
  <si>
    <t>-</t>
  </si>
  <si>
    <t>Kontrol</t>
  </si>
  <si>
    <t>Kas</t>
  </si>
  <si>
    <t>Net assets</t>
  </si>
  <si>
    <t>No</t>
  </si>
  <si>
    <t>Fixed Assets List</t>
  </si>
  <si>
    <t>Delta</t>
  </si>
  <si>
    <t>YTD</t>
  </si>
  <si>
    <t>Actual</t>
  </si>
  <si>
    <t>BP</t>
  </si>
  <si>
    <t>Total</t>
  </si>
  <si>
    <t>Names</t>
  </si>
  <si>
    <t>Unit</t>
  </si>
  <si>
    <t>%</t>
  </si>
  <si>
    <t>Bud 2026</t>
  </si>
  <si>
    <t>Bud 2027</t>
  </si>
  <si>
    <t>Financial statements</t>
  </si>
  <si>
    <t>Income statement</t>
  </si>
  <si>
    <t>Revenue - Gross</t>
  </si>
  <si>
    <t>Rp m</t>
  </si>
  <si>
    <t>FCC</t>
  </si>
  <si>
    <t>Ubi Ungu</t>
  </si>
  <si>
    <t>Ubi Orange</t>
  </si>
  <si>
    <t>Others (actual: retail &amp; maklon per invoice; projection: model total operating revenue less the three products)</t>
  </si>
  <si>
    <t>Others (MBS, Nutrifood, Koperasi, Lembutan, maklon &amp; merek)</t>
  </si>
  <si>
    <t>Sales Discount and Return</t>
  </si>
  <si>
    <t>Sales Discount</t>
  </si>
  <si>
    <t>Sales Return</t>
  </si>
  <si>
    <t>Revenue</t>
  </si>
  <si>
    <t>Manufacturing Cost</t>
  </si>
  <si>
    <t>Raw Materials</t>
  </si>
  <si>
    <t>OIL</t>
  </si>
  <si>
    <t>CNG</t>
  </si>
  <si>
    <t>Material - Others</t>
  </si>
  <si>
    <t>Upah Kupas</t>
  </si>
  <si>
    <t>Direct Labour</t>
  </si>
  <si>
    <t>Factory overhead</t>
  </si>
  <si>
    <t>Inventory Movement</t>
  </si>
  <si>
    <t>KW 2</t>
  </si>
  <si>
    <t>WIP - Beginnig Balance</t>
  </si>
  <si>
    <t>WIP - Ending Balance</t>
  </si>
  <si>
    <t>FG - Beginnig Balance</t>
  </si>
  <si>
    <t>FG - Ending Balance</t>
  </si>
  <si>
    <t>COGS - Others</t>
  </si>
  <si>
    <t>Cost of revenue - Product Level</t>
  </si>
  <si>
    <t>Direct Materials</t>
  </si>
  <si>
    <t>COGM Bahan Jadi</t>
  </si>
  <si>
    <t>DL - Basic Salary (termasuk upah harian pabrik)</t>
  </si>
  <si>
    <t>DL - Basic Salary</t>
  </si>
  <si>
    <t>DL - THR And Bonus</t>
  </si>
  <si>
    <t>DL - BPJS</t>
  </si>
  <si>
    <t>DL - Others</t>
  </si>
  <si>
    <t xml:space="preserve">FOH </t>
  </si>
  <si>
    <t>IDL - Basic Salary (bulanan)</t>
  </si>
  <si>
    <t>IDL - Basic Salary</t>
  </si>
  <si>
    <t>IDL - THR and Bonus</t>
  </si>
  <si>
    <t>IDL - BPJS</t>
  </si>
  <si>
    <t>Electricity</t>
  </si>
  <si>
    <t>Water</t>
  </si>
  <si>
    <t>Biaya Rumah Tangga Pabrik</t>
  </si>
  <si>
    <t>Maintenance - Machinery</t>
  </si>
  <si>
    <t>Maintenance - Factory</t>
  </si>
  <si>
    <t>Maintenance - Factory Equipments</t>
  </si>
  <si>
    <t>Depreciation - Machinery</t>
  </si>
  <si>
    <t>projection = model plant-cost pool, which reads Register FA (machinery + factory equipment)</t>
  </si>
  <si>
    <t>Selisih kartu CoGM vs GL (variance produksi)</t>
  </si>
  <si>
    <t>Vairance Productions</t>
  </si>
  <si>
    <t>Variance Produksi (5101-015) - nihil di GL Jan-Agu; masuk matriks bila muncul</t>
  </si>
  <si>
    <t>Delivery Expenses</t>
  </si>
  <si>
    <t>Inventory Reconciliation to COGM</t>
  </si>
  <si>
    <t>Inventory Reconciliation to COGM (KW 2, mutasi WIP &amp; FG, penyesuaian ke GL)</t>
  </si>
  <si>
    <t>COGS - Others (sudah termasuk di baris jenis biaya di atas)</t>
  </si>
  <si>
    <t>Cost of revenue - blended</t>
  </si>
  <si>
    <t>Cek: cost of revenue blended - product level (harus nol)</t>
  </si>
  <si>
    <t>Gross profit</t>
  </si>
  <si>
    <t>GP Margin</t>
  </si>
  <si>
    <t>Selling Expense</t>
  </si>
  <si>
    <t>Delivery Expenses - SE</t>
  </si>
  <si>
    <t>Commission Expenses</t>
  </si>
  <si>
    <t>Other selling Expense</t>
  </si>
  <si>
    <t>General and Administrative Expenses</t>
  </si>
  <si>
    <t>Salaries and allowance</t>
  </si>
  <si>
    <t>Maintenance Expenses</t>
  </si>
  <si>
    <t>Communication Expenses</t>
  </si>
  <si>
    <t>Office Transportation expenses</t>
  </si>
  <si>
    <t>Insurance Expenses</t>
  </si>
  <si>
    <t>Rent Expenses</t>
  </si>
  <si>
    <t>Office Supplies Expenses</t>
  </si>
  <si>
    <t>Representation and Donations</t>
  </si>
  <si>
    <t>Professional Expenses</t>
  </si>
  <si>
    <t>Depreciation Expenses</t>
  </si>
  <si>
    <t>Tax &amp; Permit</t>
  </si>
  <si>
    <t>OPEX</t>
  </si>
  <si>
    <t>Operating Profit</t>
  </si>
  <si>
    <t>Finance Income</t>
  </si>
  <si>
    <t>Finance Expenses</t>
  </si>
  <si>
    <t>Other income</t>
  </si>
  <si>
    <t>Other Expense</t>
  </si>
  <si>
    <t>Gain (loss) from sell of fixed assets</t>
  </si>
  <si>
    <t>EBT</t>
  </si>
  <si>
    <t>Income tax (actual: GL 8300/8100; projection: rate in row 236 x positive EBT)</t>
  </si>
  <si>
    <t>Net profit</t>
  </si>
  <si>
    <t>EBIT</t>
  </si>
  <si>
    <t>Depreciation</t>
  </si>
  <si>
    <t>EBITDA</t>
  </si>
  <si>
    <t>Working capital</t>
  </si>
  <si>
    <t>Trade receivables, net</t>
  </si>
  <si>
    <t>Trade payables (negative)</t>
  </si>
  <si>
    <t>Inventories</t>
  </si>
  <si>
    <t>Net working capital</t>
  </si>
  <si>
    <t>Decrease (increase) in net working capital - cash effect (Jan-26: opening not available)</t>
  </si>
  <si>
    <t>Cashflow statement (indirect, derived from balance sheet movements; Jan-26 movements set to zero because the Dec-25 balance sheet is not in this workbook)</t>
  </si>
  <si>
    <t>Cash receipts from customers</t>
  </si>
  <si>
    <t>(Increase) decrease in trade receivables</t>
  </si>
  <si>
    <t>(Increase) decrease in prepaid taxes</t>
  </si>
  <si>
    <t>(Increase) decrease in shareholders receivables</t>
  </si>
  <si>
    <t>Increase (decrease) in customer deposits</t>
  </si>
  <si>
    <t>Cash paid for cost of revenue</t>
  </si>
  <si>
    <t>Cost of revenue</t>
  </si>
  <si>
    <t>Add back: direct labour (paid in row 102)</t>
  </si>
  <si>
    <t>Add back: depreciation and amortisation (movement in accumulated depreciation, all classes)</t>
  </si>
  <si>
    <t>(Increase) decrease in deferred tax and other non-current assets</t>
  </si>
  <si>
    <t>(Increase) decrease in other receivables</t>
  </si>
  <si>
    <t>(Increase) decrease in inventories</t>
  </si>
  <si>
    <t>(Increase) decrease in advance payments</t>
  </si>
  <si>
    <t>Increase (decrease) in trade payables</t>
  </si>
  <si>
    <t>Increase (decrease) in other payables</t>
  </si>
  <si>
    <t>Cash paid for operating expenses</t>
  </si>
  <si>
    <t>Operating expenses</t>
  </si>
  <si>
    <t>Add back: G&amp;A salaries and allowances (paid in row 102)</t>
  </si>
  <si>
    <t>Add back: depreciation in operating expenses (already included in row 88)</t>
  </si>
  <si>
    <t>Increase (decrease) in employee benefit liabilities</t>
  </si>
  <si>
    <t>Increase (decrease) in accrued expenses</t>
  </si>
  <si>
    <t>(Increase) decrease in prepaid expenses</t>
  </si>
  <si>
    <t>Salaries and benefits paid (direct labour + G&amp;A)</t>
  </si>
  <si>
    <t>Income tax paid (tax expense adjusted for change in tax payables)</t>
  </si>
  <si>
    <t>Finance income and other income (expenses), net</t>
  </si>
  <si>
    <t>Cash flow from operating activities</t>
  </si>
  <si>
    <t>Additions of machinery and factory equipment</t>
  </si>
  <si>
    <t>Additions of vehicles</t>
  </si>
  <si>
    <t>Additions of buildings</t>
  </si>
  <si>
    <t>Additions of office furniture and equipment</t>
  </si>
  <si>
    <t>Cash flow from investing activities</t>
  </si>
  <si>
    <t>Lease liability payments (actual: change in lease liability)</t>
  </si>
  <si>
    <t>Working capital loan drawdown (repayment)</t>
  </si>
  <si>
    <t>Related party loan (no balance sheet account - not used)</t>
  </si>
  <si>
    <t>Shareholder loan (no balance sheet account - not used)</t>
  </si>
  <si>
    <t>Repayment of bank loan</t>
  </si>
  <si>
    <t>Interest paid</t>
  </si>
  <si>
    <t>Capital injection and other equity movements (APIC, capital reserve, OCI)</t>
  </si>
  <si>
    <t>Dividends paid</t>
  </si>
  <si>
    <t>Cash flow from financing activities</t>
  </si>
  <si>
    <t>Net cash flow</t>
  </si>
  <si>
    <t>Cash at beginning of period</t>
  </si>
  <si>
    <t>Cash at end of period</t>
  </si>
  <si>
    <t>Balance sheet</t>
  </si>
  <si>
    <t>Cash and cash equivalents</t>
  </si>
  <si>
    <t>Trade Receivables, net</t>
  </si>
  <si>
    <t>Trade Receivables - Third Parties</t>
  </si>
  <si>
    <t>Trade Receivables - Related Parties</t>
  </si>
  <si>
    <t>Other receivables</t>
  </si>
  <si>
    <t>Other Receivables - third parties</t>
  </si>
  <si>
    <t>Other Receivables - Related Parties</t>
  </si>
  <si>
    <t>Shareholders Receivables</t>
  </si>
  <si>
    <t>Work in Progress</t>
  </si>
  <si>
    <t>Finished Goods</t>
  </si>
  <si>
    <t>Tekhnik Supplies</t>
  </si>
  <si>
    <t>Prepaid expenses</t>
  </si>
  <si>
    <t>Prepaid Rent</t>
  </si>
  <si>
    <t>Prepaid Insurance</t>
  </si>
  <si>
    <t>Prepaid THR</t>
  </si>
  <si>
    <t>Prepaid Others</t>
  </si>
  <si>
    <t>Prepaid tax</t>
  </si>
  <si>
    <t>Value Added Tax - In</t>
  </si>
  <si>
    <t>Prepaid Art 21</t>
  </si>
  <si>
    <t>Prepaid Art 22</t>
  </si>
  <si>
    <t>Prepaid Art 23</t>
  </si>
  <si>
    <t>Prepaid Art 25</t>
  </si>
  <si>
    <t>Advance Payment</t>
  </si>
  <si>
    <t>Current asset</t>
  </si>
  <si>
    <t>Fixed assets</t>
  </si>
  <si>
    <t>Acquisition Cost</t>
  </si>
  <si>
    <t>Buildings</t>
  </si>
  <si>
    <t>Vehicles</t>
  </si>
  <si>
    <t>Office Furniture and Equipment</t>
  </si>
  <si>
    <t>Factory Equipment</t>
  </si>
  <si>
    <t>Machinery</t>
  </si>
  <si>
    <t>Acc. Depreciation - Buildings</t>
  </si>
  <si>
    <t>Acc. Depreciation - Vehicles</t>
  </si>
  <si>
    <t>Acc. Depreciation - Office Furniture and Equipment</t>
  </si>
  <si>
    <t>Acc. Depreciation - Factory Equipment</t>
  </si>
  <si>
    <t>Acc. Depreciation - Machinery</t>
  </si>
  <si>
    <t>Deferred Tax Asset</t>
  </si>
  <si>
    <t>Other assets</t>
  </si>
  <si>
    <t>Non-current asset</t>
  </si>
  <si>
    <t>Assets</t>
  </si>
  <si>
    <t>Short-term bank loans</t>
  </si>
  <si>
    <t>Trade Payables</t>
  </si>
  <si>
    <t>Trade Payables - Third Parties</t>
  </si>
  <si>
    <t>Trade Payables - Related Parties</t>
  </si>
  <si>
    <t>Other payables</t>
  </si>
  <si>
    <t>Other Payable - Third Parties</t>
  </si>
  <si>
    <t>Other Payable - Related Parties</t>
  </si>
  <si>
    <t>Tax payables</t>
  </si>
  <si>
    <t>Tax Payable - Art 21</t>
  </si>
  <si>
    <t>Tax Payable - Art 22</t>
  </si>
  <si>
    <t>Tax Payable - Art 23</t>
  </si>
  <si>
    <t>Tax Payable - Art 25</t>
  </si>
  <si>
    <t>Value added Tax - Out</t>
  </si>
  <si>
    <t>Final Tax Payable</t>
  </si>
  <si>
    <t>Deposit Payable</t>
  </si>
  <si>
    <t>Accrued expenses</t>
  </si>
  <si>
    <t>Accrued BPJS</t>
  </si>
  <si>
    <t>Accrued THR &amp; Bonus</t>
  </si>
  <si>
    <t>Accrued Bonus</t>
  </si>
  <si>
    <t>Accrued Utility</t>
  </si>
  <si>
    <t>Accrued Others</t>
  </si>
  <si>
    <t xml:space="preserve">Current portion </t>
  </si>
  <si>
    <t>Current Maturities of Lease Liability</t>
  </si>
  <si>
    <t>Current liabilities</t>
  </si>
  <si>
    <t>Employee Benefit Liabilities</t>
  </si>
  <si>
    <t>Non-current liabilities</t>
  </si>
  <si>
    <t>Liabilities</t>
  </si>
  <si>
    <t>Share Capital</t>
  </si>
  <si>
    <t>Additional paid-in capital (TA)</t>
  </si>
  <si>
    <t>R/E</t>
  </si>
  <si>
    <t>Current profit/loss</t>
  </si>
  <si>
    <t>Capital Reserve</t>
  </si>
  <si>
    <t>Dividend</t>
  </si>
  <si>
    <t>OCI</t>
  </si>
  <si>
    <t>Shareholders' equity</t>
  </si>
  <si>
    <t>Check: cash at end of period (cash flow) - cash and cash equivalents (balance sheet), must be 0 (actual months: unexplained GL movements)</t>
  </si>
  <si>
    <t>Check: net assets - shareholders' equity, must be 0 (actual months: GL accounts mapped to 0 and GL vs BP profit)</t>
  </si>
  <si>
    <t>Working Capital Drivers and Assumption</t>
  </si>
  <si>
    <t>Days sales outstanding</t>
  </si>
  <si>
    <t>DSO - trade receivables (days of revenue incl. 11% VAT)</t>
  </si>
  <si>
    <t>DSO - unbilled (not used: no unbilled receivable account)</t>
  </si>
  <si>
    <t>PRI</t>
  </si>
  <si>
    <t>Trade receivables - related parties, other receivables, prepaid expenses, advances, other payables, accrued expenses: held flat at Aug-26 balance</t>
  </si>
  <si>
    <t>DIO - inventories (days of cost of revenue)</t>
  </si>
  <si>
    <t>Inventories implied (Rp m) - memo</t>
  </si>
  <si>
    <t>Prepaid tax days</t>
  </si>
  <si>
    <t>Prepaid Art 21 (days of revenue)</t>
  </si>
  <si>
    <t>Prepaid Art 22 (days of revenue)</t>
  </si>
  <si>
    <t>Prepaid Art 23 (days of revenue)</t>
  </si>
  <si>
    <t>Prepaid Art 25 (days of revenue)</t>
  </si>
  <si>
    <t>Value Added Tax - In (days of revenue)</t>
  </si>
  <si>
    <t>Days payables outstanding</t>
  </si>
  <si>
    <t>DPO - trade payables (days of cost of revenue)</t>
  </si>
  <si>
    <t>Other payables (Rp m) - memo</t>
  </si>
  <si>
    <t>Accrued expenses (Rp m) - memo</t>
  </si>
  <si>
    <t>Average TOP For Capex</t>
  </si>
  <si>
    <t>Average TOP for capex (days) - not used (no capex payable account)</t>
  </si>
  <si>
    <t>Tax payables days</t>
  </si>
  <si>
    <t>Tax Payable - Art 21 (days of revenue)</t>
  </si>
  <si>
    <t>Tax Payable - Art 22 (days of revenue)</t>
  </si>
  <si>
    <t>Tax Payable - Art 23 (days of revenue)</t>
  </si>
  <si>
    <t>Tax Payable - Art 25 (days of revenue)</t>
  </si>
  <si>
    <t>Value Added Tax - Out (days of revenue)</t>
  </si>
  <si>
    <t>Income tax rate (assumption, applied to positive EBT)</t>
  </si>
  <si>
    <t>Cash flow Check</t>
  </si>
  <si>
    <t>a)</t>
  </si>
  <si>
    <t>Working Capital Changes</t>
  </si>
  <si>
    <t>Current assets excl. cash: (increase) decrease</t>
  </si>
  <si>
    <t>Current liabilities excl. loans and lease: increase (decrease)</t>
  </si>
  <si>
    <t>Impact to cash flow</t>
  </si>
  <si>
    <t>CTRL vs working-capital lines in cash flow statement (must be 0)</t>
  </si>
  <si>
    <t>b)</t>
  </si>
  <si>
    <t>Fixed Assets Movement</t>
  </si>
  <si>
    <t>1)</t>
  </si>
  <si>
    <t>Capex  Control</t>
  </si>
  <si>
    <t>Beginning acquisition cost (all classes)</t>
  </si>
  <si>
    <t>Beginning Balance Cost</t>
  </si>
  <si>
    <t>Ending acquisition cost</t>
  </si>
  <si>
    <t>Ending Balance Acquisition Cost</t>
  </si>
  <si>
    <t>Capex per balance sheet movement</t>
  </si>
  <si>
    <t xml:space="preserve">Capex </t>
  </si>
  <si>
    <t>Capex per cash flow (investing activities)</t>
  </si>
  <si>
    <t>Direct Payment</t>
  </si>
  <si>
    <t>Capex payable (no account - 0)</t>
  </si>
  <si>
    <t>Payable Capex</t>
  </si>
  <si>
    <t>New lease (non-cash addition, row 270)</t>
  </si>
  <si>
    <t>Lease</t>
  </si>
  <si>
    <t>CTRL (must be 0)</t>
  </si>
  <si>
    <t>CTRL</t>
  </si>
  <si>
    <t>2)</t>
  </si>
  <si>
    <t>Depre Control</t>
  </si>
  <si>
    <t>All asset classes</t>
  </si>
  <si>
    <t>Beginning accumulated depreciation</t>
  </si>
  <si>
    <t>Beginning Acc Dep Movement - Buliding and Infrastructrue</t>
  </si>
  <si>
    <t>Ending accumulated depreciation</t>
  </si>
  <si>
    <t>Ending Acc Dep Movement -Buliding and Infrastructrue</t>
  </si>
  <si>
    <t>Depreciation per balance sheet movement</t>
  </si>
  <si>
    <t>Depre Should Be</t>
  </si>
  <si>
    <t>CTRL vs P&amp;L depreciation rows 32 + 54 (must be 0; actual months: disposals / GL differences)</t>
  </si>
  <si>
    <t>CTRL vs penyusutan P&amp;L (baris 82 COGS + 106 opex) - harus nol</t>
  </si>
  <si>
    <t>Allocation by class no longer used - accumulated depreciation now moves with the Register FA schedule (R6)</t>
  </si>
  <si>
    <t>c)</t>
  </si>
  <si>
    <t>Leasing</t>
  </si>
  <si>
    <t>Beginning lease liability</t>
  </si>
  <si>
    <t>New lease (input, non-cash; adds to machinery and to lease liability)</t>
  </si>
  <si>
    <t>Ending lease liability</t>
  </si>
  <si>
    <t>Principal payment should be</t>
  </si>
  <si>
    <t>CTRL vs cash flow row 114 (must be 0)</t>
  </si>
  <si>
    <t>d)</t>
  </si>
  <si>
    <t>Bank Loan</t>
  </si>
  <si>
    <t>Beginning short-term bank loans</t>
  </si>
  <si>
    <t>Drawdown during the month (row 115)</t>
  </si>
  <si>
    <t>Ending short-term bank loans</t>
  </si>
  <si>
    <t>Repayment should be</t>
  </si>
  <si>
    <t>CTRL vs cash flow row 118 (must be 0)</t>
  </si>
  <si>
    <t>COGS penuh</t>
  </si>
  <si>
    <t xml:space="preserve">   Bahan baku (alokasi)</t>
  </si>
  <si>
    <t xml:space="preserve">   Mutasi WIP</t>
  </si>
  <si>
    <t xml:space="preserve">   Mutasi barang jadi</t>
  </si>
  <si>
    <t xml:space="preserve">   Biaya pabrik dialokasikan (5.6)</t>
  </si>
  <si>
    <t>Laba kotor</t>
  </si>
  <si>
    <t>Marjin kotor</t>
  </si>
  <si>
    <t>Volume produksi</t>
  </si>
  <si>
    <t>kg</t>
  </si>
  <si>
    <t>Volume penjualan Premium</t>
  </si>
  <si>
    <t>Lain-lain</t>
  </si>
  <si>
    <t>Jumlah pendapatan 4 produk - Revenue Gross model (harus nol)</t>
  </si>
  <si>
    <t>Jumlah COGS 4 produk + variance - Cost of revenue BP baris 64 (harus nol)</t>
  </si>
  <si>
    <t>PT Boga Makmur Gracia</t>
  </si>
  <si>
    <t>Sheet sumber</t>
  </si>
  <si>
    <t>Baris sumber</t>
  </si>
  <si>
    <t>Kelas (mapping BS)</t>
  </si>
  <si>
    <t>Golongan</t>
  </si>
  <si>
    <t>Akun GL aset</t>
  </si>
  <si>
    <t>Akun GL akum. penyusutan</t>
  </si>
  <si>
    <t>Akun GL beban penyusutan</t>
  </si>
  <si>
    <t>Baris P&amp;L Business Plan</t>
  </si>
  <si>
    <t>Kode</t>
  </si>
  <si>
    <t>Kode Accurate</t>
  </si>
  <si>
    <t>Tanggal perolehan</t>
  </si>
  <si>
    <t>Nama aset</t>
  </si>
  <si>
    <t>Keterangan</t>
  </si>
  <si>
    <t>Status</t>
  </si>
  <si>
    <t>Qty</t>
  </si>
  <si>
    <t>Nilai perolehan (Rp)</t>
  </si>
  <si>
    <t>Umur (bulan)</t>
  </si>
  <si>
    <t>Depr/bulan register (Rp)</t>
  </si>
  <si>
    <t>Akum. penyusutan 31 Des 2025 (Rp)</t>
  </si>
  <si>
    <t>Aktual Jan-26</t>
  </si>
  <si>
    <t>Aktual Feb-26</t>
  </si>
  <si>
    <t>Aktual Mar-26</t>
  </si>
  <si>
    <t>Aktual Apr-26</t>
  </si>
  <si>
    <t>Aktual May-26</t>
  </si>
  <si>
    <t>Aktual Jun-26</t>
  </si>
  <si>
    <t>Aktual Jul-26</t>
  </si>
  <si>
    <t>Aktual Aug-26</t>
  </si>
  <si>
    <t>Akum. penyusutan 31 Agu 2026</t>
  </si>
  <si>
    <t>Nilai buku 31 Agu 2026</t>
  </si>
  <si>
    <t>Depr/bulan berjalan (= Agu-26)</t>
  </si>
  <si>
    <t>Sisa umur (bulan)</t>
  </si>
  <si>
    <t>Proyeksi Sep-26</t>
  </si>
  <si>
    <t>Proyeksi Oct-26</t>
  </si>
  <si>
    <t>Proyeksi Nov-26</t>
  </si>
  <si>
    <t>Proyeksi Dec-26</t>
  </si>
  <si>
    <t>Proyeksi Jan-27</t>
  </si>
  <si>
    <t>Proyeksi Feb-27</t>
  </si>
  <si>
    <t>Proyeksi Mar-27</t>
  </si>
  <si>
    <t>Proyeksi Apr-27</t>
  </si>
  <si>
    <t>Proyeksi May-27</t>
  </si>
  <si>
    <t>Proyeksi Jun-27</t>
  </si>
  <si>
    <t>Proyeksi Jul-27</t>
  </si>
  <si>
    <t>Proyeksi Aug-27</t>
  </si>
  <si>
    <t>Proyeksi Sep-27</t>
  </si>
  <si>
    <t>Proyeksi Oct-27</t>
  </si>
  <si>
    <t>Proyeksi Nov-27</t>
  </si>
  <si>
    <t>Proyeksi Dec-27</t>
  </si>
  <si>
    <t>Total proyeksi Sep-26 s/d Des-27</t>
  </si>
  <si>
    <t>Nilai buku 31 Des 2027</t>
  </si>
  <si>
    <t>FA Bangunan</t>
  </si>
  <si>
    <t>Bangunan</t>
  </si>
  <si>
    <t>1201-001</t>
  </si>
  <si>
    <t>1202-001</t>
  </si>
  <si>
    <t>6500-001</t>
  </si>
  <si>
    <t>BP.01/12</t>
  </si>
  <si>
    <t>GD.0001</t>
  </si>
  <si>
    <t>Pembangunan Parik Boja</t>
  </si>
  <si>
    <t>Bangun pabrik di Boja, Semarang</t>
  </si>
  <si>
    <t>Aktif</t>
  </si>
  <si>
    <t>BP.01/14</t>
  </si>
  <si>
    <t>GD.0002</t>
  </si>
  <si>
    <t>Pembangunan Gedung Pabrik Semarang</t>
  </si>
  <si>
    <t>Pembangunan gedung pabrik SMG (termasuk pagar dan jalan baru)</t>
  </si>
  <si>
    <t>BP.01/16</t>
  </si>
  <si>
    <t>GD.0003</t>
  </si>
  <si>
    <t>Pembangunan Gudang Boja Tahap 3</t>
  </si>
  <si>
    <t>Pembangunan Perluasan Gudang Boja Tahap III</t>
  </si>
  <si>
    <t>BP.01/18</t>
  </si>
  <si>
    <t>GD.0004</t>
  </si>
  <si>
    <t>Instalansi Gas, Minyak, Dan Air</t>
  </si>
  <si>
    <t>Instalansi gas, minyak, dan air,menunjang produksi Singkong serut di unit 4</t>
  </si>
  <si>
    <t>BP.02/18</t>
  </si>
  <si>
    <t>GD.0005</t>
  </si>
  <si>
    <t>Atap Area Hois &amp; Area Rendam</t>
  </si>
  <si>
    <t>Atap area Hois &amp; area rendam</t>
  </si>
  <si>
    <t>BP.03/18</t>
  </si>
  <si>
    <t>GD.0006</t>
  </si>
  <si>
    <t>Pekerjaan Atap Dan Pagar Area Kupas</t>
  </si>
  <si>
    <t>Pekerjaan Atap dan pagar area kupas</t>
  </si>
  <si>
    <t>BP.04/18</t>
  </si>
  <si>
    <t>GD.0007</t>
  </si>
  <si>
    <t>Pekerjaan Perbaikan Lantai</t>
  </si>
  <si>
    <t>pekerjaan pengecoran lantai unit 1 goreng ( bongkar lantai cor u.1,beton cor k 300 6,dl),29/12/17</t>
  </si>
  <si>
    <t>BP.05/18</t>
  </si>
  <si>
    <t>GD.0008</t>
  </si>
  <si>
    <t>Pekerjaan Instalasi Listrik R. Angin, R. Bumbu</t>
  </si>
  <si>
    <t>pekerjaan listrik ( instalansi ), R.aging, R. Bumbu,dll di karya mandiri (pph 23)</t>
  </si>
  <si>
    <t>BP.06/18</t>
  </si>
  <si>
    <t>GD.0009</t>
  </si>
  <si>
    <t>Pemasangan Pintu Emergency R. Angin &amp; Perbaikan Pipa Aur</t>
  </si>
  <si>
    <t>pemasangan pintu emergency,R. Anging, Pindah Pipa Aur bersih,dll di karya mandiri (pph 23)</t>
  </si>
  <si>
    <t>BP.07/18</t>
  </si>
  <si>
    <t>GD.0010</t>
  </si>
  <si>
    <t>Pekerjaan Ruang &amp; Rak Bumbu</t>
  </si>
  <si>
    <t>Pekerjaan ruang dan rak bumbu baru unit 1 (gudang bumbu ) di karya mandiri, 19/2/18 ( pph 23 4%)</t>
  </si>
  <si>
    <t>BP.08/18</t>
  </si>
  <si>
    <t>GD.0011</t>
  </si>
  <si>
    <t>Radiator, Pipa Steam Gas, Steam Floatin</t>
  </si>
  <si>
    <t>PT Beta Pramesti Radiator,pipa steam gas,steam floatin,dll(dipotong pph 23)</t>
  </si>
  <si>
    <t>BP.09/18</t>
  </si>
  <si>
    <t>GD.0012</t>
  </si>
  <si>
    <t>Pekerjaan Ruangan QC &amp; Mushola</t>
  </si>
  <si>
    <t>Pekerjaan ruang qc dan mushola (pph 23 4%)di karya mandiri, 12/3/18</t>
  </si>
  <si>
    <t>BP.10/18</t>
  </si>
  <si>
    <t>GD.0013</t>
  </si>
  <si>
    <t>R. Training. R. Arsip, R. Loker Wanita</t>
  </si>
  <si>
    <t>R.Training, R.arsip dan R.loker Wanita, lantai 2 unit1,pratama alumunium</t>
  </si>
  <si>
    <t>BP.11/18</t>
  </si>
  <si>
    <t>GD.0014</t>
  </si>
  <si>
    <t>Pekerjaan Pembuatan Ruang Aging, Jelantah, Angin</t>
  </si>
  <si>
    <t>Pekerjaan pembuatan ruang aging,jlntah dan GA</t>
  </si>
  <si>
    <t>BP.12/18</t>
  </si>
  <si>
    <t>GD.0015</t>
  </si>
  <si>
    <t>Pembangunan Area Kupas</t>
  </si>
  <si>
    <t>Pembuatan Area Kupas Baru</t>
  </si>
  <si>
    <t>BP.13/18</t>
  </si>
  <si>
    <t>GD.0016</t>
  </si>
  <si>
    <t>Perbaikan Bangunan</t>
  </si>
  <si>
    <t>Karya mandiri,pekerjaan peninggian lantai cuci ubi ungu &amp; cassava unit 1( pph 23 4%), 31/7/18</t>
  </si>
  <si>
    <t>BP.14/18</t>
  </si>
  <si>
    <t>GD.0017</t>
  </si>
  <si>
    <t>Karya Mandiri, peninggian bak WWTP dan cor lantai depan tempat sampah, -PPH 23 4%</t>
  </si>
  <si>
    <t>BP.15/18</t>
  </si>
  <si>
    <t>GD.0018</t>
  </si>
  <si>
    <t xml:space="preserve">Karya Mandiri, Pekerjaan Pengecoran lantai R N D Bangunan Unit 4, 4/10/17 </t>
  </si>
  <si>
    <t>GD.0019</t>
  </si>
  <si>
    <t>Material Time line 1 dan 3</t>
  </si>
  <si>
    <t>Reimbursement pembelian material time line 1 dan 3 utk area kompressor project Nabati</t>
  </si>
  <si>
    <t>GD.0020</t>
  </si>
  <si>
    <t>Pembangunan Ruangan Panel</t>
  </si>
  <si>
    <t>CV Koronka Nusantara, Pembuatan Ruang Panel Project Nabati 23/11/20</t>
  </si>
  <si>
    <t>GD.0021</t>
  </si>
  <si>
    <t>Pekerjaan pembuatan ruang Decanter</t>
  </si>
  <si>
    <t>Karya Mandiri, Pekerjaan pembuatan ruang Decanter, 21/2/22 Material</t>
  </si>
  <si>
    <t>GD.0022</t>
  </si>
  <si>
    <t>Ducting Line CF 1</t>
  </si>
  <si>
    <t>Cipta Mandiri,Pembuatan Ducting Line CF 1, -PPh 21 2,5%, 03/03/22 - Material</t>
  </si>
  <si>
    <t>GD.0023</t>
  </si>
  <si>
    <t>Tempat Kerja &amp; Ducting</t>
  </si>
  <si>
    <t>Karya Mandiri, Pembuatan Tempat Kerja dan Ducting, -PPh 21 3%, 19/01/22 Jasa</t>
  </si>
  <si>
    <t>GD.0024</t>
  </si>
  <si>
    <t>Pekerjaan Pembangunan Pabrik Kendal-Semarang</t>
  </si>
  <si>
    <t>PT Adidi Citra Estetika, Pekerjaan Pembangunan Pabrik Kendal-Semarang, +PPN 11%, 09/03/23</t>
  </si>
  <si>
    <t>GD.0025</t>
  </si>
  <si>
    <t>Material Cor</t>
  </si>
  <si>
    <t>CV Mandiri Jaya Sejahtera, Material Cor Rp 42.500.000+ PPn 11% 17/10/23</t>
  </si>
  <si>
    <t>GD.0026</t>
  </si>
  <si>
    <t>15 Jun 2024</t>
  </si>
  <si>
    <t>Material Cor 227M</t>
  </si>
  <si>
    <t>GD.0027</t>
  </si>
  <si>
    <t>Material Ducting dan Hood Mesin BF Spiral</t>
  </si>
  <si>
    <t>GD.0028</t>
  </si>
  <si>
    <t>Ducting dan Hood Unit 1B</t>
  </si>
  <si>
    <t>FA Kendaraan</t>
  </si>
  <si>
    <t>Gol 1</t>
  </si>
  <si>
    <t>1201-003</t>
  </si>
  <si>
    <t>1202-003</t>
  </si>
  <si>
    <t>6500-003</t>
  </si>
  <si>
    <t>09-11-2010</t>
  </si>
  <si>
    <t>Honda Supra Fit Thn 2003 H 3642 Ja</t>
  </si>
  <si>
    <t>Honda Supra Fit Thn 2003 H 3642 JA</t>
  </si>
  <si>
    <t>Penjualan Motor Inventaris H 3642 JA 04 Desember 2014</t>
  </si>
  <si>
    <t>Dijual</t>
  </si>
  <si>
    <t>26-03-2010</t>
  </si>
  <si>
    <t>Daihatsu Xenia B 1213 TKB</t>
  </si>
  <si>
    <t>Daihatsu Xenia B1213TKB</t>
  </si>
  <si>
    <t>Penjualan Inventaris  Mobil Xenia B 1213 TKB Dijual Maret 2015 Rp 80 Jt</t>
  </si>
  <si>
    <t>Kijang Innova G/Manual</t>
  </si>
  <si>
    <t>Pembelian 1 unit Kijang Innova G/manual</t>
  </si>
  <si>
    <t>Penjualan mobil Kijang Innova G/manual B1907TZZ</t>
  </si>
  <si>
    <t>KND.01/09</t>
  </si>
  <si>
    <t>02-01-2009</t>
  </si>
  <si>
    <t>Truk 9822 Ar - 9729 Aq- 9199 Ai</t>
  </si>
  <si>
    <t>Truk 9822AR - 9729AQ- 9199 AI</t>
  </si>
  <si>
    <t>KND.01/10</t>
  </si>
  <si>
    <t>29-03-2010</t>
  </si>
  <si>
    <t>Daihatsu Granmax B 1450 TKB</t>
  </si>
  <si>
    <t>Daihatsu Granmax B1450TKB</t>
  </si>
  <si>
    <t>KND.01/11</t>
  </si>
  <si>
    <t>Daihatsu Granmax Pick-Up B 9862 TAA</t>
  </si>
  <si>
    <t>Daihatsu Granmax pick-up B9862TAA</t>
  </si>
  <si>
    <t>KND.01/13</t>
  </si>
  <si>
    <t>Mitsubshi Colt L300 Diesel E-2 Pu Std 2012</t>
  </si>
  <si>
    <t>Pembelian Mitsubshi Colt L300 Diesel E-2 PU STD 2012</t>
  </si>
  <si>
    <t>KND.02/13</t>
  </si>
  <si>
    <t>Bak Terbuka Utk Mitsubishi L300</t>
  </si>
  <si>
    <t>Bak terbuka utk Mitsubishi L300 (angkut ibu kupas), H 1761 NM</t>
  </si>
  <si>
    <t>KND.03/13</t>
  </si>
  <si>
    <t>Mobil B 9861 JH</t>
  </si>
  <si>
    <t>Mobil B9861JH (mobil 292jt + box 42,5jt)</t>
  </si>
  <si>
    <t>Penjualan Mobil B9861JH (mobil 292jt + box 42,5jt)</t>
  </si>
  <si>
    <t>KND.01/15</t>
  </si>
  <si>
    <t>Honda Blade B 6420 TXR</t>
  </si>
  <si>
    <t>Pembelian Motor Honda Blade No Pol B 6420 TXR</t>
  </si>
  <si>
    <t>KND.01/16</t>
  </si>
  <si>
    <t>Granmax B 9174 UXT</t>
  </si>
  <si>
    <t>PEMBELIAN MOBIL  GRANMAX NOPOL B 9174 UXT</t>
  </si>
  <si>
    <t>Daihatsu Xenia B 8791 KP</t>
  </si>
  <si>
    <t>Daihatsu Xenia B8791KP</t>
  </si>
  <si>
    <t>KND.01/17</t>
  </si>
  <si>
    <t>Mitsubishi Fuso B 9328 PRU</t>
  </si>
  <si>
    <t>Pembelian mobil mitsubishi Fuso B 9328 PRU</t>
  </si>
  <si>
    <t>KND.02/17</t>
  </si>
  <si>
    <t>Fortuner G/Manual B 1875 TJM</t>
  </si>
  <si>
    <t>1 unit Fortuner G/manual</t>
  </si>
  <si>
    <t>MJ21060007</t>
  </si>
  <si>
    <t>Penjualan 1 unit Fortuner G/manual B 1875 TJM</t>
  </si>
  <si>
    <t>KND.03/17</t>
  </si>
  <si>
    <t>BMW 740 LI</t>
  </si>
  <si>
    <t>1 unit BMW 740 Li</t>
  </si>
  <si>
    <t>Christopher Brian H Toha, Inv 979 BMW 74OLI 7E22 AT, Hitam Metalik Tahun 2016 1 Unit 25/05/22</t>
  </si>
  <si>
    <t>KND.01/18</t>
  </si>
  <si>
    <t>Mitsubishi Pajero Sport B 1841 BJJ</t>
  </si>
  <si>
    <t>Pembelian mobil Pajero</t>
  </si>
  <si>
    <t>Penjualan Mitsubishi Pajero Sport B 1841 BJJ 08/04/21 - PPN</t>
  </si>
  <si>
    <t>Gol 2</t>
  </si>
  <si>
    <t>KD2.0001</t>
  </si>
  <si>
    <t>31/03/2021</t>
  </si>
  <si>
    <t>Wuling Confero 1.5 Db Black B 2336 TRH</t>
  </si>
  <si>
    <t>PT Arista Jaya Lestari, Mobil Wuling Confero 1.5 DB BLACK 31/03/21 + Bea Balik Nama + Admin B 2336 TRH</t>
  </si>
  <si>
    <t>Wuling Cortez 1.5S Starry Black B 2330 TRH</t>
  </si>
  <si>
    <t>PT Arista Jaya Lestari, Mobil Wuling Cortez 1.5S Starry Black Inv 0103 31/03/21 + Bea Balik Nama + Admin B 2330 TRH</t>
  </si>
  <si>
    <t>Mobil Wuling B 2330 TRH</t>
  </si>
  <si>
    <t>PT Niaga Makmur Globalindo, Penjualan Mobil Wuling B 2330 TRH 01/12/22</t>
  </si>
  <si>
    <t>KD2.0002</t>
  </si>
  <si>
    <t>Wuling Cortez 1.5S Starry Black B 2619 TRH</t>
  </si>
  <si>
    <t>PT Arista Jaya Lestari, Mobil Wuling Cortez 1.5S Starry Black Inv 0103 31/03/21 + Bea Balik Nama + Admin B 2619 TRH</t>
  </si>
  <si>
    <t>17/12/2024</t>
  </si>
  <si>
    <t>KD2.0003</t>
  </si>
  <si>
    <t>23/06/2021</t>
  </si>
  <si>
    <t>Kijang Innova 2.4 G A/T</t>
  </si>
  <si>
    <t>PT Tunas Ridean Tbk, Kijang Innova 2.4 G A/T 1 Unit 23/06/21+Accesoris B 2483 TRL</t>
  </si>
  <si>
    <t>KD1.0009</t>
  </si>
  <si>
    <t>Sepeda Motor Beat Sporty CBSSPION Plus H 6692 OD</t>
  </si>
  <si>
    <t>CV Cendana Sukorejo, Sepeda Motor Beat Sporty CBSSPION Plus 1unit x Rp 16.700.000/unit 25/10/21 BBN</t>
  </si>
  <si>
    <t>BMW X5 xDrive 40i xLine - G05 Alpine White</t>
  </si>
  <si>
    <t>PT Artha Motor Lestari, BMW X5 xDrive 40i xLine - G05 Alpine White 1 Unit, +PPn 10% 01/03/22</t>
  </si>
  <si>
    <t>MATRIX AUTO, Inv 816 BMW X5 XDRIVE 40l, Jeep Putih Metalik Tahun 2022 1 Unit 23/04/2022</t>
  </si>
  <si>
    <t>KD2.0004</t>
  </si>
  <si>
    <t>31/08/2022</t>
  </si>
  <si>
    <t>Mits. Fuso Fighter FN61FL (6x2) M/T</t>
  </si>
  <si>
    <t>PT Bumen Redja Abadi, Mits. Fuso Fighter FN61FL M/T 1unit 25/08/22 + karoseri + BBN + Admin H 8595 SM</t>
  </si>
  <si>
    <t>Mobil Mercedez Benz V260 AVG-XLAX B 800 ZNC</t>
  </si>
  <si>
    <t>Matrix Auto, Mobil Mercedez Benz V260 AVG-XLAX Thn 2020, B 800 ZNC</t>
  </si>
  <si>
    <t>Mobil Mercedez Benz V260 AVG-XLAX Thn 2020, B 800 ZNC</t>
  </si>
  <si>
    <t>Dihapus</t>
  </si>
  <si>
    <t>Kendaraan Roda Tiga</t>
  </si>
  <si>
    <t>PT Kencana Laju Mandiri, Kendaraan Roda Tiga utk Kirim Daging Singkong, +PPN 11%, 20/02/23</t>
  </si>
  <si>
    <t>KD1.0010</t>
  </si>
  <si>
    <t>Daihatsu Terios B 2328 UKM</t>
  </si>
  <si>
    <t>KD2.0006</t>
  </si>
  <si>
    <t>Stargazer Essential IVT 6 Seat Midnight Black Pearl, B1710 RZX</t>
  </si>
  <si>
    <t>KD2.0007</t>
  </si>
  <si>
    <t>Mobil Daihatsu Luxio, B 1935 RYE</t>
  </si>
  <si>
    <t>KD2.0008</t>
  </si>
  <si>
    <t>Daihatsu Grand Max Bv 1.3 AC FH E4</t>
  </si>
  <si>
    <t>Daihatsu Grand Max Bv 1.3 AC FH E4, B 9925 TCT</t>
  </si>
  <si>
    <t>KD2.0009</t>
  </si>
  <si>
    <t>Sepeda Motor Roda Tiga VIAR</t>
  </si>
  <si>
    <t>KD2.0011</t>
  </si>
  <si>
    <t>Tesla Model Y A/T B 1125 SNR</t>
  </si>
  <si>
    <t>FA Inventaris Kantor</t>
  </si>
  <si>
    <t>Value Gol 1</t>
  </si>
  <si>
    <t>1201-011</t>
  </si>
  <si>
    <t>1202-011</t>
  </si>
  <si>
    <t>6500-009</t>
  </si>
  <si>
    <t>Asset Cost Value 1</t>
  </si>
  <si>
    <t>2007</t>
  </si>
  <si>
    <t>Software</t>
  </si>
  <si>
    <t>Pembelian Software</t>
  </si>
  <si>
    <t>03-01-2008</t>
  </si>
  <si>
    <t>Walkie Talkie</t>
  </si>
  <si>
    <t>3 BH Walkie Talkie</t>
  </si>
  <si>
    <t>28-01-2008</t>
  </si>
  <si>
    <t>Komputer + Monitor</t>
  </si>
  <si>
    <t>2 Unit Komputer + Monitor</t>
  </si>
  <si>
    <t>Notebook</t>
  </si>
  <si>
    <t>1 Unit Notebook</t>
  </si>
  <si>
    <t>02-02-2008</t>
  </si>
  <si>
    <t>Fax Panasonic</t>
  </si>
  <si>
    <t>Beli Fax Panasonic</t>
  </si>
  <si>
    <t>17-04-2008</t>
  </si>
  <si>
    <t>Hp Nokia 1325</t>
  </si>
  <si>
    <t>1 BH HP Nokia 1325 ( Cunho )</t>
  </si>
  <si>
    <t>30-07-2008</t>
  </si>
  <si>
    <t>Hp Cdma 6275</t>
  </si>
  <si>
    <t>1 BH HP CDMA 6275</t>
  </si>
  <si>
    <t>18-09-2008</t>
  </si>
  <si>
    <t>Hp N1265</t>
  </si>
  <si>
    <t>1 BH HP N1265</t>
  </si>
  <si>
    <t>06-10-2009</t>
  </si>
  <si>
    <t>Kamera Spectra 938</t>
  </si>
  <si>
    <t>Beli Kamera Merk Spectra 938</t>
  </si>
  <si>
    <t>29-12-09</t>
  </si>
  <si>
    <t xml:space="preserve">Genset Cummins </t>
  </si>
  <si>
    <t xml:space="preserve">Beli 1 Unit Genset Mek Cummins </t>
  </si>
  <si>
    <t>08-1-2010</t>
  </si>
  <si>
    <t>Printer Hp Laserjet 1005</t>
  </si>
  <si>
    <t>1 Unit Printer HP laserJet 1005</t>
  </si>
  <si>
    <t>Komputer</t>
  </si>
  <si>
    <t>2 Unit Komputer</t>
  </si>
  <si>
    <t>1 Set Telepon Capasitas 6 Line</t>
  </si>
  <si>
    <t>1 Set Telp Capasitas 6 line</t>
  </si>
  <si>
    <t>02-07-2010</t>
  </si>
  <si>
    <t>Sofa, Pintu Lemari</t>
  </si>
  <si>
    <t>Sofa Kantor Dan 2 Pintu Lemari u/ File</t>
  </si>
  <si>
    <t>Brangkas Ichiban Hs-802A</t>
  </si>
  <si>
    <t>Brangkas Ichiban HS-802A (DIAL&amp;ALARM SAFE)</t>
  </si>
  <si>
    <t>Lcd Proyektor Benq &amp; Ups</t>
  </si>
  <si>
    <t>1 LCD Proyektor BENQ + 1 UPS</t>
  </si>
  <si>
    <t>Hp</t>
  </si>
  <si>
    <t>Pembelian HP Buat Bu Yohana Jakarta</t>
  </si>
  <si>
    <t>Kamera Digital</t>
  </si>
  <si>
    <t>Pembelian kamera digital untuk QC</t>
  </si>
  <si>
    <t>Pengembalian Uang Kamera Qc</t>
  </si>
  <si>
    <t>Pengembalian uang kamera QC</t>
  </si>
  <si>
    <t>Sisa Aset Ruang Tunggu</t>
  </si>
  <si>
    <t>Sisa aset ruang tunggu</t>
  </si>
  <si>
    <t>Sisa Pembelian Kamera Digital Untuk Qc</t>
  </si>
  <si>
    <t>Sisa pembelian kamera digital untuk QC</t>
  </si>
  <si>
    <t>INVK.01/12</t>
  </si>
  <si>
    <t>Printer Hp K110 2060</t>
  </si>
  <si>
    <t>Pembelian Printer HP K110 2060</t>
  </si>
  <si>
    <t>INVK.02/12</t>
  </si>
  <si>
    <t>1 Set PC Komputer</t>
  </si>
  <si>
    <t>Pembelian 1 PC Komputer ( Intel Processor I3-2100, Motherboard P8H61-MLX, Memory 4GB DDR 3, HDD 500 GB, Samsung DVD-RW, Casing Simbadda S-2652, Logite</t>
  </si>
  <si>
    <t>INVK.03/12</t>
  </si>
  <si>
    <t>Printer Laser Jet Pro P1102</t>
  </si>
  <si>
    <t>Pembelian 1 Unit Printer Laser jet Pro P1102 (Agnes)</t>
  </si>
  <si>
    <t>INVK.04/12</t>
  </si>
  <si>
    <t>Kursi Biru</t>
  </si>
  <si>
    <t xml:space="preserve">6 kursi biru u/ meeting </t>
  </si>
  <si>
    <t>INVK.05/12</t>
  </si>
  <si>
    <t>CCTV</t>
  </si>
  <si>
    <t>Pembayaran CCTV 1 set Paket + Peralatan dan Tambahan Kabel CCTV Anggrek</t>
  </si>
  <si>
    <t>INVK.06/12</t>
  </si>
  <si>
    <t>Pembayaran Absen Magic Ssf + Pemasangan + Material Cv Mitra Tekhnik</t>
  </si>
  <si>
    <t>Pembayaran Absen Magic SSF + Pemasangan + Material CV Mitra Tekhnik</t>
  </si>
  <si>
    <t>INVK.07/12</t>
  </si>
  <si>
    <t>Saddle Bag</t>
  </si>
  <si>
    <t>Saddle bag u/ sales motoris</t>
  </si>
  <si>
    <t>INVK.08/12</t>
  </si>
  <si>
    <t>Meja, Lemari, Kursi</t>
  </si>
  <si>
    <t>Meja, Lemari, Kursi 8/12/2012 (B. Kantor)</t>
  </si>
  <si>
    <t>INVK.01/13</t>
  </si>
  <si>
    <t>Kamera Digital Benq Ae 200</t>
  </si>
  <si>
    <t>Pembelian Kamera digital BenQ AE 200</t>
  </si>
  <si>
    <t>INVK.02/13</t>
  </si>
  <si>
    <t>1 Set Komputer (Monitor+Cpu+ Printer Canon)</t>
  </si>
  <si>
    <t>1 Set Komputer (Monitor+CPU+ Printer Canon) Untuk di Ruang Accounting, Enginering dan GA</t>
  </si>
  <si>
    <t>INVK.03/13</t>
  </si>
  <si>
    <t>Samsung Np 535U3C - A03/04</t>
  </si>
  <si>
    <t>Laptop Samsung NP 535U3C - A03/04 untuk di ruang ( PPIC )</t>
  </si>
  <si>
    <t>INVK.04/13</t>
  </si>
  <si>
    <t>Komputer (Monitor+Cpu)</t>
  </si>
  <si>
    <t>Permintaan 1 unit komputer (Monitor+CPU) untuk di ruang GA</t>
  </si>
  <si>
    <t>INVK.01/14</t>
  </si>
  <si>
    <t>Printer Canon Mp-237</t>
  </si>
  <si>
    <t>Beli Printer Canon MP-237 17/01/14</t>
  </si>
  <si>
    <t>INVK.02/14</t>
  </si>
  <si>
    <t>Meja Kerja</t>
  </si>
  <si>
    <t>3 unit Meja Kerja</t>
  </si>
  <si>
    <t>INVK.03/14</t>
  </si>
  <si>
    <t>Ac Split Merck Daikin</t>
  </si>
  <si>
    <t>Pengadaan 2 unit AC Split Merck Daikin Beserta Jasa Pemasanganny dan Material</t>
  </si>
  <si>
    <t>INVK.04/14</t>
  </si>
  <si>
    <t>Ac Merck Daikin</t>
  </si>
  <si>
    <t>Pembelian 5 unit AC Merck Daikin u/ Semarang (PT Gunung Bintang Semesta)</t>
  </si>
  <si>
    <t>INVK.05/14</t>
  </si>
  <si>
    <t>Tabung Apar</t>
  </si>
  <si>
    <t>Pembelian Tabung Apar u/ Semarang (PT Jaya Makmur Sejahtera)</t>
  </si>
  <si>
    <t>INVK.06/14</t>
  </si>
  <si>
    <t>Ups Kapasitor 1200W &amp; Ups Kapasitas 900W</t>
  </si>
  <si>
    <t>Pembelian 2 unit Ups Kapasitor 1200W &amp; 1 unit Ups Kapasitas 900W</t>
  </si>
  <si>
    <t>INVK.07/14</t>
  </si>
  <si>
    <t>Meja Dan Kursi</t>
  </si>
  <si>
    <t>Pembelian Meja dan Kursi BMG Jakarta</t>
  </si>
  <si>
    <t>INVK.01/15</t>
  </si>
  <si>
    <t>Komputer,Cpu,Keyboard,Mouse</t>
  </si>
  <si>
    <t>Pembelian Peralatan Inventaris Kantor Komputer,CPU,Keyboard,Mouse Jakarta</t>
  </si>
  <si>
    <t>INVK.02/15</t>
  </si>
  <si>
    <t>Led Samsung 19"</t>
  </si>
  <si>
    <t>1 unit LED Samsung 19" (bagian GA)</t>
  </si>
  <si>
    <t>INVK.03/15</t>
  </si>
  <si>
    <t>1 Set Komputer</t>
  </si>
  <si>
    <t>Pembelian 1 set komputer utk GA</t>
  </si>
  <si>
    <t>INVK.04/15</t>
  </si>
  <si>
    <t>Finger Print</t>
  </si>
  <si>
    <t>Pengadaan finger print</t>
  </si>
  <si>
    <t>INVK.05/15</t>
  </si>
  <si>
    <t>Loker</t>
  </si>
  <si>
    <t>Pembelian 5 unit loker untuk unit II</t>
  </si>
  <si>
    <t>Mesin Fax Sharp F-O-57</t>
  </si>
  <si>
    <t>Mesin fax Sharp F-O-57</t>
  </si>
  <si>
    <t>Bor Makita Golo B</t>
  </si>
  <si>
    <t>Inventaris Kantor (Pembelian Mesin Krupuk)</t>
  </si>
  <si>
    <t>Inventaris Kantor (pembelian mesin krupuk)</t>
  </si>
  <si>
    <t>Pesawat Telp Panasonic</t>
  </si>
  <si>
    <t>Pesawat telp Panasonic</t>
  </si>
  <si>
    <t>Handphone New Zte C 300</t>
  </si>
  <si>
    <t>Handphone New ZTE C 300</t>
  </si>
  <si>
    <t>Hp N2865 (Tukar Tambah N1325)</t>
  </si>
  <si>
    <t>HP N2865 (tukar tambah N1325)</t>
  </si>
  <si>
    <t>Printer Hp Deskjet 2466</t>
  </si>
  <si>
    <t>Printer HP Deskjet 2466</t>
  </si>
  <si>
    <t>Temperatur E5Cz-R2 Ac100-240</t>
  </si>
  <si>
    <t>Temperatur E5CZ-R2 AC100-240</t>
  </si>
  <si>
    <t>Pc (Cpu Dan Monitor)</t>
  </si>
  <si>
    <t>PC (CPU dan monitor)</t>
  </si>
  <si>
    <t>Notebook Compaq Cq40-108Tu</t>
  </si>
  <si>
    <t>Notebook Compaq CQ40-108TU</t>
  </si>
  <si>
    <t>Notebook Hp Evo 520</t>
  </si>
  <si>
    <t>Notebook HP evo 520</t>
  </si>
  <si>
    <t>Printer Hp Deskjet 2566</t>
  </si>
  <si>
    <t>Printer HP Deskjet 2566</t>
  </si>
  <si>
    <t>Scanner Canon Mp145</t>
  </si>
  <si>
    <t>Scanner Canon MP145</t>
  </si>
  <si>
    <t>1 Printer Hp 1050</t>
  </si>
  <si>
    <t>1 printer HP 1050</t>
  </si>
  <si>
    <t>INVK.01/16</t>
  </si>
  <si>
    <t>Monitor Led Samsung 19"</t>
  </si>
  <si>
    <t>Pembelian 1 unit monitor LED Samsung 19" untuk QC</t>
  </si>
  <si>
    <t>INVK.02/16</t>
  </si>
  <si>
    <t>Monitor Led 19" Samsung</t>
  </si>
  <si>
    <t>Pembelian 1 unit monitor LED 19" Samsung</t>
  </si>
  <si>
    <t>INVK.03/16</t>
  </si>
  <si>
    <t>Ac</t>
  </si>
  <si>
    <t>1 unit AC R.meeting</t>
  </si>
  <si>
    <t>INVK.04/16</t>
  </si>
  <si>
    <t>Meja Meeting</t>
  </si>
  <si>
    <t>1 unit meja meeting</t>
  </si>
  <si>
    <t>INVK.05/16</t>
  </si>
  <si>
    <t>Ac Rqc &amp; Formulasi</t>
  </si>
  <si>
    <t>2 unit AC RQC &amp; Formulasi @ Rp 3.800.000</t>
  </si>
  <si>
    <t>INVK.06/16</t>
  </si>
  <si>
    <t>Capasitor Bank</t>
  </si>
  <si>
    <t>Capasitor bank</t>
  </si>
  <si>
    <t>INVK.07/16</t>
  </si>
  <si>
    <t>Sofa &amp; Meja</t>
  </si>
  <si>
    <t>Pembelian sofa + meja untuk ruangan Direktur</t>
  </si>
  <si>
    <t>INVK.08/16</t>
  </si>
  <si>
    <t>Meja Kursi Kantor</t>
  </si>
  <si>
    <t>Pembelian meja kursi kantor untuk Departemen Sales &amp; Departemen ACC</t>
  </si>
  <si>
    <t>INVK.09/16</t>
  </si>
  <si>
    <t>Pemasangan Unit Baru &amp; Instalasi 2M, Braket Untuk Ac</t>
  </si>
  <si>
    <t>Pemasangan unit baru &amp; instalasi 2m, braket untuk AC</t>
  </si>
  <si>
    <t>INVK.10/16</t>
  </si>
  <si>
    <t>Lemari Display</t>
  </si>
  <si>
    <t>Pembelian 1 unit lemari display product untuk ruang Direktur Operasional</t>
  </si>
  <si>
    <t>INVK.11/16</t>
  </si>
  <si>
    <t>Pembelian aset komputer untuk ACC &amp; GA</t>
  </si>
  <si>
    <t>INVK.12/16</t>
  </si>
  <si>
    <t>Meja Qc</t>
  </si>
  <si>
    <t>Pembelian meja QC</t>
  </si>
  <si>
    <t>INVK.13/16</t>
  </si>
  <si>
    <t>Pembelian Aset Ruang Tunggu (Ada Pengembalian Uang)</t>
  </si>
  <si>
    <t>Pembelian aset ruang Tunggu (Ada Pengembalian Uang)</t>
  </si>
  <si>
    <t>INVK.14/16</t>
  </si>
  <si>
    <t xml:space="preserve">Kamera Digital </t>
  </si>
  <si>
    <t>Pembelian camera digital u/ QC</t>
  </si>
  <si>
    <t>INVK.15/16</t>
  </si>
  <si>
    <t xml:space="preserve">Ac Daikin 2 Pk </t>
  </si>
  <si>
    <t>Pemasangan paket standart AC Daikin 2 PK dari harga Rp 6.450.000 ,tambahan material</t>
  </si>
  <si>
    <t>INVK.01/17</t>
  </si>
  <si>
    <t>Printer Canon Mp 287</t>
  </si>
  <si>
    <t>Pembelian printer canon MP 287 sebanyak 1 unit untuk ruang accounting Rp 1.050.000</t>
  </si>
  <si>
    <t>INVK.02/17</t>
  </si>
  <si>
    <t xml:space="preserve">Pc Rakitan + Led 16" Merk Lg </t>
  </si>
  <si>
    <t>Pembelian PC Rakitan + LED 16" merk LG 1 set untuk ruangan purchasing</t>
  </si>
  <si>
    <t>INVK.03/17</t>
  </si>
  <si>
    <t>Timbangan</t>
  </si>
  <si>
    <t>Pengadaan aset R&amp;D-FRM timbangan 2 unit</t>
  </si>
  <si>
    <t>INVK.04/17</t>
  </si>
  <si>
    <t>Pengadaan aset R&amp;D-FRM kamera digital 1 unit</t>
  </si>
  <si>
    <t>INVK.05/17</t>
  </si>
  <si>
    <t>Thickness Digital</t>
  </si>
  <si>
    <t>Pengadaan aset R&amp;D-FRM thickness digital 1 unit</t>
  </si>
  <si>
    <t>INVK.06/17</t>
  </si>
  <si>
    <t xml:space="preserve">Printer Canon 287 </t>
  </si>
  <si>
    <t>Printer canon 287 sebanyak 1 unit utk accounting SMG</t>
  </si>
  <si>
    <t>INVK.07/17</t>
  </si>
  <si>
    <t>Desktop Pc I3 + Monitor Samsung 19</t>
  </si>
  <si>
    <t>pembelian 2 set desktop PC i3 + monitor samsung 19" untuk accounting dan QC</t>
  </si>
  <si>
    <t>INVK.08/17</t>
  </si>
  <si>
    <t>Meja</t>
  </si>
  <si>
    <t>Pembelian 1 unit meja front office untuk receptionist</t>
  </si>
  <si>
    <t>INVK.09/17</t>
  </si>
  <si>
    <t>Pc</t>
  </si>
  <si>
    <t>Pembelian PC untuk Kezia accounting PT. BMG</t>
  </si>
  <si>
    <t>INVK.10/17</t>
  </si>
  <si>
    <t>Ac Daikin 2Pk &amp; Ac Daikin 1Pk</t>
  </si>
  <si>
    <t>AC Daikin 2PK &amp; AC Daikin 1PK dari harga Rp 11.900.000 untuk ruang HRGA &amp; ruang purchasing</t>
  </si>
  <si>
    <t>INVK.11/17</t>
  </si>
  <si>
    <t>Lemari Locker</t>
  </si>
  <si>
    <t>Lemari locker 12 pintu, Rp 4.074.840 untuk inventory. +PPN 10%24/7/17</t>
  </si>
  <si>
    <t>INVK.12/17</t>
  </si>
  <si>
    <t>Printer</t>
  </si>
  <si>
    <t>Pembelian 1 unit printer untuk HRD Payroll</t>
  </si>
  <si>
    <t>INVK.13/17</t>
  </si>
  <si>
    <t>Meja Ss</t>
  </si>
  <si>
    <t>CV Queen Jaya Tehnik, 3 unit meja SS @ 2.131.500+ppn 10% meja u/ penimbangan formulasi,11/9/17</t>
  </si>
  <si>
    <t>INVK.14/17</t>
  </si>
  <si>
    <t>Ac Daikin Sto Thailand 0.5 Pk</t>
  </si>
  <si>
    <t>CV Mitra Jasa AC, AC daikin STO Thailand 0.5 pk &amp; perlengkapan</t>
  </si>
  <si>
    <t>INVK.15/17</t>
  </si>
  <si>
    <t>Pc Dekstop, Monitor, Key &amp; Mouse Logitech Usb</t>
  </si>
  <si>
    <t>CV Sugondo, 2 unit pc Dekstop, 2 unit monitor, key &amp; mouse logitech usb, 21/10/17</t>
  </si>
  <si>
    <t>INVK.16/17</t>
  </si>
  <si>
    <t>Meja Komputer</t>
  </si>
  <si>
    <t>meja komputer u/ directur 18/10 325.000 di meubel 99 A</t>
  </si>
  <si>
    <t>INVK.17/17</t>
  </si>
  <si>
    <t>Nokia 105New</t>
  </si>
  <si>
    <t>ijo cell 21/10 HP nokia 105new 210.000 u/ purchasing B</t>
  </si>
  <si>
    <t>INVK.18/17</t>
  </si>
  <si>
    <t>Telepon Kx-T7730X</t>
  </si>
  <si>
    <t>sukses makmur 28/10/17 pesawat telepon receptionist KX-T7730X Rp. 825.000</t>
  </si>
  <si>
    <t>INVK.19/17</t>
  </si>
  <si>
    <t xml:space="preserve">Ac Split Sharp 0.5 Pk </t>
  </si>
  <si>
    <t>Sah Tehnik, 1 unit AC Split sharp 0.5 pk untuk kelurahan lebdosari semarang, 2/10/17</t>
  </si>
  <si>
    <t>INVK.20/17</t>
  </si>
  <si>
    <t>Ups Apc Smt22001</t>
  </si>
  <si>
    <t>pembelian ups apc smt22001, 1 unit Rp 10.909.091 + ppn 10%, 9/11/17</t>
  </si>
  <si>
    <t>INVK.21/17</t>
  </si>
  <si>
    <t>Server 2017 Sngl Olp Nl</t>
  </si>
  <si>
    <t>ms. sql server 2017 sngl olp nl (1pcs @Rp 10.740.000) + ppn 10%</t>
  </si>
  <si>
    <t>INVK.22/17</t>
  </si>
  <si>
    <t>Microsoft Windows Pro10 Sngl Olp</t>
  </si>
  <si>
    <t>PT Perkom Indah Murni, Pembelian microsoft windows pro10 sngl olp ( 5pcs @Rp 2.266.000)</t>
  </si>
  <si>
    <t>INVK.23/17</t>
  </si>
  <si>
    <t xml:space="preserve"> Ms Office Std 2016 Sngl Olp Nl</t>
  </si>
  <si>
    <t xml:space="preserve"> MS Office std 2016 sngl olp nl (5pcs @Rp 4.684.500)</t>
  </si>
  <si>
    <t>INVK.24/17</t>
  </si>
  <si>
    <t>Win Svr Std Core 2016 Sngl Olp 2L Ic Nl Core Lic</t>
  </si>
  <si>
    <t>Win svr std core 2016 sngl olp 2l ic nl core lic ( 8pcs @ Rp 1.320.500)</t>
  </si>
  <si>
    <t>INVK.25/17</t>
  </si>
  <si>
    <t>Win svr std core 2016 sngl olp 2l ic nl core lic ( 12pcs @ Rp 1.320.500)</t>
  </si>
  <si>
    <t>INVK.26/17</t>
  </si>
  <si>
    <t>Inkjet Printer</t>
  </si>
  <si>
    <t>INVK.27/17</t>
  </si>
  <si>
    <t>Meja Kursi Sofa</t>
  </si>
  <si>
    <t>UD Ikkhlas,pembelian 1set meja kursi sofa u/ office lt 2</t>
  </si>
  <si>
    <t>INVK.28/17</t>
  </si>
  <si>
    <t>Blender Philips</t>
  </si>
  <si>
    <t>pasific retail 30/11 blender philips 1x565.000 u/ Qc</t>
  </si>
  <si>
    <t>INVK.29/17</t>
  </si>
  <si>
    <t>Brankas Type Bg 55M</t>
  </si>
  <si>
    <t>Brankas type BG 55M,2 unit</t>
  </si>
  <si>
    <t>1201-005</t>
  </si>
  <si>
    <t>1202-005</t>
  </si>
  <si>
    <t>6500-005</t>
  </si>
  <si>
    <t>INVK.01/18</t>
  </si>
  <si>
    <t>IK2.0001</t>
  </si>
  <si>
    <t xml:space="preserve"> Laptop</t>
  </si>
  <si>
    <t>Pembelian 1unit laptop NB HP 240 GS intel core i3 u/ dept R N D di cv sugondo, 29/12/17</t>
  </si>
  <si>
    <t>INVK.02/18</t>
  </si>
  <si>
    <t>1Set Meja Dan Kursi</t>
  </si>
  <si>
    <t>1set meja dan kursi material kayu jati untuk kantin,30/1/18 di cv limbah berkah abadi Rp 2.000.000</t>
  </si>
  <si>
    <t>INVK.03/18</t>
  </si>
  <si>
    <t>IK2.0002</t>
  </si>
  <si>
    <t>1unit komputer (intel G4400,mainboard gigabyle,h110m,hardisk500gb,dll)cv sugondo,14/3/18</t>
  </si>
  <si>
    <t>INVK.04/18</t>
  </si>
  <si>
    <t>IK2.0003</t>
  </si>
  <si>
    <t>Pemasangan dan penambahan camera cctv Maret 2018</t>
  </si>
  <si>
    <t>INVK.05/18</t>
  </si>
  <si>
    <t>IK2.0004-IK2.0005</t>
  </si>
  <si>
    <t>SERVER</t>
  </si>
  <si>
    <t>Server HP 1TB 6G SATA 7.2K 2.5IN SC MDL HDD ( 2 UNIT )</t>
  </si>
  <si>
    <t>INVK.06/18</t>
  </si>
  <si>
    <t>IK2.0006</t>
  </si>
  <si>
    <t>Projek Jaringan</t>
  </si>
  <si>
    <t>Projek jaringan (konfigurasi mikrotik)</t>
  </si>
  <si>
    <t>INVK.07/18</t>
  </si>
  <si>
    <t xml:space="preserve">Telpon Type Kx - T7730 X </t>
  </si>
  <si>
    <t>Estimasi satu unit pesawat telpon type kx - T7730 X di IT.com sukses makmur</t>
  </si>
  <si>
    <t>31-08-21</t>
  </si>
  <si>
    <t>Telpon Type Kx - T7730 X</t>
  </si>
  <si>
    <t>Dispos Estimasi satu unit pesawat telpon type kx - T7730 X di IT.com sukses makmur</t>
  </si>
  <si>
    <t>INVK.08/18</t>
  </si>
  <si>
    <t>Printer Epson L120</t>
  </si>
  <si>
    <t>CV Sugondo 1 unit printer epson L120 Rp 1.500.000+ppn 10%, untuk  hrd perol ,20/7/18</t>
  </si>
  <si>
    <t>INVK.09/18</t>
  </si>
  <si>
    <t>Dispenser Hot &amp; Cool</t>
  </si>
  <si>
    <t>Dispenser hot &amp; cool u/ unit 2</t>
  </si>
  <si>
    <t>Dispos Dispenser hot &amp; cool u/ unit 2</t>
  </si>
  <si>
    <t>INVK.10/18</t>
  </si>
  <si>
    <t>Telepon 200Rb 21/7/18</t>
  </si>
  <si>
    <t>Pesawat tlpon 200rb 21/7/18</t>
  </si>
  <si>
    <t>Dispos Pesawat tlpon 200rb 21/7/18</t>
  </si>
  <si>
    <t>INVK.11/18</t>
  </si>
  <si>
    <t>Meja meeting u/ R. Meeting unit 1 lantai 2</t>
  </si>
  <si>
    <t>INVK.12/18</t>
  </si>
  <si>
    <t>bahagia jaya LPG 25/8 dispenser hot &amp; cool u/ R. leader 350rb</t>
  </si>
  <si>
    <t>Dispos bahagia jaya LPG 25/8 dispenser hot &amp; cool u/ R. leader 350rb</t>
  </si>
  <si>
    <t>INVK.13/18</t>
  </si>
  <si>
    <t>Monitor Samsung 19Inc 2X, Key &amp; Mouse Logtch Usb</t>
  </si>
  <si>
    <t>CV Sugondo, Monitor Smsung 19inc 2x Rp 1.022.727,Key&amp;Mouse Logtch USB 1xRp 159.091,+PPN 10%,29/8/18</t>
  </si>
  <si>
    <t>INVK.01/19</t>
  </si>
  <si>
    <t>Telpon</t>
  </si>
  <si>
    <t>sinar jaya kartika 19/1 pesawat telpon u/ ga 200rb</t>
  </si>
  <si>
    <t>Telepon</t>
  </si>
  <si>
    <t>Dispos sinar jaya kartika 19/1 pesawat telpon u/ ga 200rb</t>
  </si>
  <si>
    <t>INVK.02/19</t>
  </si>
  <si>
    <t>License Microsoft</t>
  </si>
  <si>
    <t>PT Perkom Indah Murni, License microsoft semarang, +PPN 10%</t>
  </si>
  <si>
    <t>INVK.03/19</t>
  </si>
  <si>
    <t xml:space="preserve">Printer Canon Mp 287 </t>
  </si>
  <si>
    <t>CV Sugondo, Pembelian 1 unit printer canon MP 287 untuk Dept. Inventory, 5/3/19</t>
  </si>
  <si>
    <t>INVK.04/19</t>
  </si>
  <si>
    <t>kursi kantor u/ directur di mebel 99 10/5/19</t>
  </si>
  <si>
    <t>INVK.05/19</t>
  </si>
  <si>
    <t>Asus Notebook A409FJ</t>
  </si>
  <si>
    <t>Dapindo Computer, Asus Notebook A409FJ, 2pc utk bu yohana dan bpk irianto, 26/11/19</t>
  </si>
  <si>
    <t>Biaya meja utk penunjang kerja bu Yohana, 4/1/2020</t>
  </si>
  <si>
    <t>Dispos Biaya meja utk penunjang kerja bu Yohana, 4/1/2020</t>
  </si>
  <si>
    <t>Website Dan Email</t>
  </si>
  <si>
    <t>PT Intermedia Lintas Nusa, Pembuatan website dan email PT Boga Makmur Gracia, +PPN 10%, 17/10/19</t>
  </si>
  <si>
    <t>Kalkulator</t>
  </si>
  <si>
    <t>Bahana, Kalkulator utk Finance(Susi), 25/02/2020</t>
  </si>
  <si>
    <t>Dispos Bahana, Kalkulator utk Finance(Susi), 25/02/2020</t>
  </si>
  <si>
    <t>Dispenser Miyako</t>
  </si>
  <si>
    <t>Bahagia jaya LPG dispenser miyako 1 x 350,000, 11/03/2020</t>
  </si>
  <si>
    <t>Dispos Bahagia jaya LPG dispenser miyako 1 x 350,000, 11/03/2020</t>
  </si>
  <si>
    <t>1201-004</t>
  </si>
  <si>
    <t>1202-004</t>
  </si>
  <si>
    <t>6500-004</t>
  </si>
  <si>
    <t>Sisa NBV dibawah 1 thn</t>
  </si>
  <si>
    <t>Thermogun</t>
  </si>
  <si>
    <t>Pembelian Thermogun utk penanggulangan covid 19</t>
  </si>
  <si>
    <t>Asus Vivobook 14 Core I5</t>
  </si>
  <si>
    <t>Laptop Asus Vivobook 14 core i5 (user : Irene) +PPN 10%, 05/06/20</t>
  </si>
  <si>
    <t>Ac Daikin</t>
  </si>
  <si>
    <t>Mitra Jasa AC, AC Daikin 1 unit untuk ruang meeting</t>
  </si>
  <si>
    <t>Ac Gree Low Watt</t>
  </si>
  <si>
    <t>CV Atlanta Electronic, AC Gree Low Watt 2unit x Rp 3.075.000/unit, 02/10/20</t>
  </si>
  <si>
    <t>, Laptop Asus M409Da</t>
  </si>
  <si>
    <t>PT Infratech Daya Mandiri, Laptop ASUS M409DA 1 Unit + PPN 10% 22/10/20</t>
  </si>
  <si>
    <t>Cpu Inter Core I5-9400 2.9Ghz Simbada</t>
  </si>
  <si>
    <t>PT Rakitan Niaga Nusantara, CPU Inter Core i5-9400 2.9Ghz Simbada 20/10/20</t>
  </si>
  <si>
    <t>PT Rakitan Niaga Nusantara, CPU Inter Core i5-9400 2.9Ghz Simbada Inv 11457 20/10/20</t>
  </si>
  <si>
    <t>Acer Aspire Black</t>
  </si>
  <si>
    <t>PT Ritel Bersama Nasional, Pembelian Laptop Acer Aspire Black BMG Semarang 2/11/20</t>
  </si>
  <si>
    <t>Projector Epson</t>
  </si>
  <si>
    <t>Raja Ink, Projector Epson 1 Unit 24/11/20</t>
  </si>
  <si>
    <t>IK1.0179 - IK1.0181</t>
  </si>
  <si>
    <t>Komputer Intel Core I5-9400</t>
  </si>
  <si>
    <t>PT Rakitan Niaga Nusantara, Pembelian 3 Pcs Komputer Intel Core i5-9400 27/03/21</t>
  </si>
  <si>
    <t>IK1.0182</t>
  </si>
  <si>
    <t xml:space="preserve">Komputer Intel Core I5-9400 </t>
  </si>
  <si>
    <t>PT Rakitan Niaga Nusantara, Pembelian 1 Pcs Komputer Intel Core i5-9400 27/03/21</t>
  </si>
  <si>
    <t>IK1.0183</t>
  </si>
  <si>
    <t>Hp 14 Fq0022 Athlon Gold</t>
  </si>
  <si>
    <t>Tokopedia, Laptop HP 14 FQ0022 Athlon Gold 1 Pcs 31/03/21</t>
  </si>
  <si>
    <t>IK1.0184 - IK1.0185</t>
  </si>
  <si>
    <t>PT Rakitan Niaga Nusantara, Pembelian 2 Set PC untuk Bu Ana &amp; Pak Rukiyat 28/04/21</t>
  </si>
  <si>
    <t>IK1.0186</t>
  </si>
  <si>
    <t xml:space="preserve"> Laptop HP 14S 512GB</t>
  </si>
  <si>
    <t>PT Distributor Gadget Indonesia, Laptop HP 14S 512GB 30/04/21 Pak Muslim</t>
  </si>
  <si>
    <t>IK1.0187 - IK1.0188</t>
  </si>
  <si>
    <t>Printer Canon</t>
  </si>
  <si>
    <t>Toko Komputer Semarang, Printer Canon 2 Unit + Kabel 20/01/21</t>
  </si>
  <si>
    <t>IK1.0189</t>
  </si>
  <si>
    <t>Cpu Intel I5 Simbaadda</t>
  </si>
  <si>
    <t>PT Rakitan Niaga Nusantara, CPU Intel i5 Simbaadda u/ Finance Jakarta 31/05/21</t>
  </si>
  <si>
    <t>IK1.0190</t>
  </si>
  <si>
    <t xml:space="preserve">Cpu Intel Core 12Mg Simbadda </t>
  </si>
  <si>
    <t>PT Rakitan Niaga Nusantara, CPU Intel Core 12MG Simbadda 12/08/21</t>
  </si>
  <si>
    <t>IK1.0191</t>
  </si>
  <si>
    <t>Kulkas</t>
  </si>
  <si>
    <t>CV Atlanta, Kulkas 2 Pintu 1 Unit x 3.000.000/Unit 02/09/21</t>
  </si>
  <si>
    <t>IK1.0192</t>
  </si>
  <si>
    <t>Finger Print  Solution X 100 C</t>
  </si>
  <si>
    <t>Jaba Store TP, Finger Print  Solution X 100 C 1Unit Untik Absensi 03/09/21</t>
  </si>
  <si>
    <t>IK1.0193 - IK1.0194</t>
  </si>
  <si>
    <t>CPU</t>
  </si>
  <si>
    <t>Zona Computer, CPU untuk Purcashing dan Acc 2set x Rp 3.000.000/set, +PPN 10%, 21/10/21</t>
  </si>
  <si>
    <t>IK1.0195</t>
  </si>
  <si>
    <t>Guard Patrol Sistem</t>
  </si>
  <si>
    <t>CV Mekar Kreasindo, PELUNASAN 60% Pengadaan Guard Patrol Sistem, +PPN 10%, -PPh 23 2%, 29/10/21</t>
  </si>
  <si>
    <t>IK1.0196</t>
  </si>
  <si>
    <t>Laptop HP 14 Ryzen 3</t>
  </si>
  <si>
    <t>Tokopedia, Laptop HP 14 Ryzen 3 untuk Purchasing a/n Erwin Susanto 17/11/21</t>
  </si>
  <si>
    <t>IK1.0197 - IK1.0198</t>
  </si>
  <si>
    <t xml:space="preserve"> Printer Epson L3210</t>
  </si>
  <si>
    <t>CV Budi Matrix Solution, Printer Epson L3210 2 Pcs x 2.431.818 27/01/22</t>
  </si>
  <si>
    <t>IK1.0199</t>
  </si>
  <si>
    <t>AC New 2pk Mide</t>
  </si>
  <si>
    <t>Anugerah Wijaya Teknik, AC New 2pk Midea 1 Unit + Sparepart 27/01/22</t>
  </si>
  <si>
    <t>IK1.0200 - IK1.0201</t>
  </si>
  <si>
    <t>UPS ICA CP 1400</t>
  </si>
  <si>
    <t>CV Budi Matrix Solution, UPS ICA CP 1400 2unit x Tp 1.100.000/unit, +PPN 10%</t>
  </si>
  <si>
    <t>IK1.0202</t>
  </si>
  <si>
    <t>Projector</t>
  </si>
  <si>
    <t>PT SAMB, Reimbursement Pembelian 1unit Projector, 07/03/22 Inv No. 01/SAMB/03/2022</t>
  </si>
  <si>
    <t>IK1.0203</t>
  </si>
  <si>
    <t>Spary Fan</t>
  </si>
  <si>
    <t>PT Industrial Multi Fan, Spary Fan 1 Pcs x 4.523.965/Pcs 24/03/22</t>
  </si>
  <si>
    <t>IK1.0204</t>
  </si>
  <si>
    <t>Bor Sipel ( mesin bobok tembok ) Merk Bosch</t>
  </si>
  <si>
    <t>Nikola Official, Bor Sipel ( mesin bobok tembok ) Merk Bosch 1Set 28/03/22</t>
  </si>
  <si>
    <t>IK1.0205</t>
  </si>
  <si>
    <t>Printer Epson L3210</t>
  </si>
  <si>
    <t>Tokopedia, Printer Epson L3210 1 Unit u/ Dept QA/QC 21/05/22</t>
  </si>
  <si>
    <t>IK1.0206</t>
  </si>
  <si>
    <t>Mesin Pemotong Rumput  4 Tak</t>
  </si>
  <si>
    <t xml:space="preserve">Setia Makmur Semarang, Mesin Pemotong Rumput  4 Tak, 1Unit 21/06/22 </t>
  </si>
  <si>
    <t>IK1.0207</t>
  </si>
  <si>
    <t>Komputer &amp; CPU 1</t>
  </si>
  <si>
    <t>CV Gilang Mulya Pratama, Komputer &amp; CPU 1 set u/ Yenny 29/06/22</t>
  </si>
  <si>
    <t>IK1.0208 - IK1.0209</t>
  </si>
  <si>
    <t>CPU 2 Set x 2.900.000/Set</t>
  </si>
  <si>
    <t>CV Gilang Mulya Pratama, CPU 2 Set x 2.900.000/Set 20/07/22 u/ Admin Inventory</t>
  </si>
  <si>
    <t>IK1.0210</t>
  </si>
  <si>
    <t>Finger Print 1unit</t>
  </si>
  <si>
    <t>Online Kios(Tokopedia), Finger Print 1unit, 01/08/22</t>
  </si>
  <si>
    <t>IK1.0211</t>
  </si>
  <si>
    <t>Laptop Lenovo V15 AMD Ryzen(QA)</t>
  </si>
  <si>
    <t>ROGS Store (Tokopedia), Laptop Lenovo V15 AMD Ryzen(QA) 22/08/22</t>
  </si>
  <si>
    <t>IK1.0212</t>
  </si>
  <si>
    <t>AC Midea 2 PK New</t>
  </si>
  <si>
    <t>Anugerah Wijaya Teknik, AC Midea 2 PK New, 1 unit x Rp 5,700,000/unit 10/10/22</t>
  </si>
  <si>
    <t>IK1.0213</t>
  </si>
  <si>
    <t>Lemari Arsip</t>
  </si>
  <si>
    <t xml:space="preserve">CV Garuda Manunggal, Lemari Arsip  1Unit U/ Ruang Dir. Ops 29/12/22 </t>
  </si>
  <si>
    <t>IK1.0214</t>
  </si>
  <si>
    <t>Dispenser  Hot &amp; Cool</t>
  </si>
  <si>
    <t>CV. Garuda Manunggal Perkasa,  Dispenser  Hot &amp; Cool 1Unit U/ dispenser yang rusak 19/01/23</t>
  </si>
  <si>
    <t>IK1.0215</t>
  </si>
  <si>
    <t>Tangga Lipat Aluminium</t>
  </si>
  <si>
    <t>PT Denko Wahana Sakti, Tangga Lipat Aluminium Single Ladder 1unit x Rp 2.027.027,03/unit, 30/01/23</t>
  </si>
  <si>
    <t>IK1.0216 - IK1.0219</t>
  </si>
  <si>
    <t>White Board Standing , Roda 90 x 120 cm</t>
  </si>
  <si>
    <t>Toko Bahana,  White Board Standing , Roda 90 x 120 cm 4Unit U/ bangunan baru U1, U2, U3</t>
  </si>
  <si>
    <t>IK1.0220</t>
  </si>
  <si>
    <t>Budi Matrix Solution, Printer Epson L3210 1 Unit x 2.145.000/Unit Dept Engineering 24/03/23</t>
  </si>
  <si>
    <t>IK1.0221 - IK1.0222</t>
  </si>
  <si>
    <t>HT  ( Handy  Talkie ) Min 1 Km</t>
  </si>
  <si>
    <t>Pusat HT, HT  ( Handy  Talkie ) Min 1 Km ( 1 set isi 2 unit ) 2Set U/ Pos Security</t>
  </si>
  <si>
    <t>IK1.0223</t>
  </si>
  <si>
    <t>LCD Proyektor X500 &amp; Braket LCD Proyektor</t>
  </si>
  <si>
    <t>CV Budi Matrix Solution, LCD Proyektor X500 1unit x Rp 5.540.000/unit, Braket LCD Proyektor 31/03/23</t>
  </si>
  <si>
    <t>IK1.0224 - IK1.0227</t>
  </si>
  <si>
    <t>AC Midea 2PK</t>
  </si>
  <si>
    <t>Anugerah Wijaya Teknik, AC Midea 2PK x 7.740.000/Unit 03/04/23</t>
  </si>
  <si>
    <t>IK1.0228</t>
  </si>
  <si>
    <t>Thermogun Fluke 59 - E</t>
  </si>
  <si>
    <t>Akhi Shop, Thermogun Fluke 59 - E 1Pcs U/ Cek Suhu 05/04/23</t>
  </si>
  <si>
    <t>IK1.0229</t>
  </si>
  <si>
    <t>Mesin Finger X - 100 C</t>
  </si>
  <si>
    <t>Solution, Mesin Finger X - 100 C 1Unit Untuk Mengganti Yang Rusak</t>
  </si>
  <si>
    <t>IK1.0230 - IK1.0239</t>
  </si>
  <si>
    <t>Apar CO2 6kg</t>
  </si>
  <si>
    <t xml:space="preserve">PT Aman Multi Indonesia, Apar CO2 6kg 10 tbg x Rp 1.000.000/tbg, 12/07/23 </t>
  </si>
  <si>
    <t>IK1.0240</t>
  </si>
  <si>
    <t>High Pressure Cleaner Frhpe35</t>
  </si>
  <si>
    <t>PT Krisbow Indonesia, High Pressure Cleaner Frhpe35 1ea x Rp 1.592.934/ea, +PPN 11, 07/07/23</t>
  </si>
  <si>
    <t>IK1.0241</t>
  </si>
  <si>
    <t>CV Budi Matrix Solution, Printer Epson L3210 1unit x Rp 2.100.000/unit, +PPN 11%, 16/08/23</t>
  </si>
  <si>
    <t>IK1.0242</t>
  </si>
  <si>
    <t>Tangga Sanitasi</t>
  </si>
  <si>
    <t>BETAH, Tangga Sanitasi unit 3 1set x Rp 5.500.000/set, 11/09/23</t>
  </si>
  <si>
    <t>IK1.0243</t>
  </si>
  <si>
    <t>Laptop MSI GF63 i7 16GB</t>
  </si>
  <si>
    <t>Sinarmulia Sukses Makmur, Laptop MSI GF63 i7 16GB 1unit x Rp 12.584.200/unit Enginering, 19/09/23</t>
  </si>
  <si>
    <t>IK1.0244 - IK1.0245</t>
  </si>
  <si>
    <t>AC Midea 5PK</t>
  </si>
  <si>
    <t>CV Atlanta Electronic, AC Midea 5PK 2Unit x 15.765.766/Unit, CBD</t>
  </si>
  <si>
    <t>IK1.0246</t>
  </si>
  <si>
    <t>Gea Chest Freezer</t>
  </si>
  <si>
    <t>PT Royal Sutan Agung, Gea Chest Freezer 1Unit x 10.585.000/Unit, 20/10/23</t>
  </si>
  <si>
    <t>IK1.0247</t>
  </si>
  <si>
    <t>Printer Epson L1300 A3 New</t>
  </si>
  <si>
    <t>CV Printer Indonesia, Printer Epson L1300 A3 New 1Pcs x 6.171.17, +PPn 11% 25/10/23</t>
  </si>
  <si>
    <t>IK1.0248</t>
  </si>
  <si>
    <t>Printer Epson L3250</t>
  </si>
  <si>
    <t>CV Printer Indonesia, Printer Epson L3250 1unit x Rp 2.481.981.98/unit, +PPN 11%, 14/11/23</t>
  </si>
  <si>
    <t>IK1.0249</t>
  </si>
  <si>
    <t>AC Midea 0.5PK</t>
  </si>
  <si>
    <t>CV Atlanta, AC Midea 0.5PK 1Unit x 2.117/Unit, +PPn 11% 10/11/23</t>
  </si>
  <si>
    <t>IK1.0251</t>
  </si>
  <si>
    <t>Alat Penghancur Kertas (Paper Shredder Office BLK S333)</t>
  </si>
  <si>
    <t>IK1.0250</t>
  </si>
  <si>
    <t>UPS ICA 1200</t>
  </si>
  <si>
    <t>IK1.0252</t>
  </si>
  <si>
    <t>01 Feb 2024</t>
  </si>
  <si>
    <t>Tangga Lipat (Dalton Aluminium Ladder 5)</t>
  </si>
  <si>
    <t>IK1.0253</t>
  </si>
  <si>
    <t>15 Feb 2024</t>
  </si>
  <si>
    <t>Vacum Cleaner Bosh Gas 15PS</t>
  </si>
  <si>
    <t>IK1.0254</t>
  </si>
  <si>
    <t>UPS ICA CE 1200</t>
  </si>
  <si>
    <t>IK1.0255</t>
  </si>
  <si>
    <t>15 Mar 2024</t>
  </si>
  <si>
    <t>Mesin Polisher 175 Rpm</t>
  </si>
  <si>
    <t>IK1.0256</t>
  </si>
  <si>
    <t xml:space="preserve">Logitech ConferenceCam Connect </t>
  </si>
  <si>
    <t>IK1.0257</t>
  </si>
  <si>
    <t>01 Jun 2024</t>
  </si>
  <si>
    <t xml:space="preserve"> CPU Infinity Vesta V2</t>
  </si>
  <si>
    <t>IK1.0258</t>
  </si>
  <si>
    <t>08 Jul 2024</t>
  </si>
  <si>
    <t>Printer Epson L3210 Unit 1</t>
  </si>
  <si>
    <t>IK1.0259</t>
  </si>
  <si>
    <t>Printer Epson L3210 Unit 2</t>
  </si>
  <si>
    <t>IK1.0260</t>
  </si>
  <si>
    <t>05 Aug 2024</t>
  </si>
  <si>
    <t>Printer Epson LX310</t>
  </si>
  <si>
    <t>IK1.0261</t>
  </si>
  <si>
    <t>15 Aug 2024</t>
  </si>
  <si>
    <t>IK1.0266</t>
  </si>
  <si>
    <t>Water Boiler 20L (Dispenser)</t>
  </si>
  <si>
    <t>IK1.0264</t>
  </si>
  <si>
    <t>Hard Disk Drive 1 TB</t>
  </si>
  <si>
    <t>IK1.0263</t>
  </si>
  <si>
    <t xml:space="preserve">Loker Besi </t>
  </si>
  <si>
    <t>IK1.0262</t>
  </si>
  <si>
    <t xml:space="preserve">SSD Samsung 870 EVO </t>
  </si>
  <si>
    <t>IK1.0265</t>
  </si>
  <si>
    <t>HP Scanjet Pro 2000</t>
  </si>
  <si>
    <t>IK1.0267</t>
  </si>
  <si>
    <t>Loker Besi 1</t>
  </si>
  <si>
    <t>IK1.0268</t>
  </si>
  <si>
    <t>Loker Besi 2</t>
  </si>
  <si>
    <t>IK1.0269</t>
  </si>
  <si>
    <t>Loker Besi 3</t>
  </si>
  <si>
    <t>IK1.0270</t>
  </si>
  <si>
    <t>Loker Besi 4</t>
  </si>
  <si>
    <t>IK1.0271</t>
  </si>
  <si>
    <t>Loker Besi 5</t>
  </si>
  <si>
    <t>IK1.0272</t>
  </si>
  <si>
    <t>Loker Besi 6</t>
  </si>
  <si>
    <t>IK1.0273</t>
  </si>
  <si>
    <t>Loker Besi 7</t>
  </si>
  <si>
    <t>IK1.0274</t>
  </si>
  <si>
    <t>Loker Besi 8</t>
  </si>
  <si>
    <t>IK1.0275</t>
  </si>
  <si>
    <t>Almari Alat Sanitasi</t>
  </si>
  <si>
    <t>IK1.0276</t>
  </si>
  <si>
    <t>Mesin Bor Impact M-65</t>
  </si>
  <si>
    <t>IK1.0277</t>
  </si>
  <si>
    <t>AC 1PK MSAF-09CRN2/X</t>
  </si>
  <si>
    <t>IK1.0278</t>
  </si>
  <si>
    <t>IK1.0279</t>
  </si>
  <si>
    <t>Almari tempat Alat Sanitasi 1</t>
  </si>
  <si>
    <t>IK1.0280</t>
  </si>
  <si>
    <t>Almari tempat Alat Sanitasi 2</t>
  </si>
  <si>
    <t>IK1.0281</t>
  </si>
  <si>
    <t xml:space="preserve">AC Sharp AH-A12ZCY </t>
  </si>
  <si>
    <t>IK1.0282</t>
  </si>
  <si>
    <t>Fingerprint X100C</t>
  </si>
  <si>
    <t>IK1.0283</t>
  </si>
  <si>
    <t xml:space="preserve">PC Lenovo Neo </t>
  </si>
  <si>
    <t>IK1.0288</t>
  </si>
  <si>
    <t>Printer Epson L4260</t>
  </si>
  <si>
    <t>IK1.0289</t>
  </si>
  <si>
    <t>UPS 1</t>
  </si>
  <si>
    <t>IK1.0290</t>
  </si>
  <si>
    <t>UPS 2</t>
  </si>
  <si>
    <t>IK2.0007</t>
  </si>
  <si>
    <t>Rak Gantung 1</t>
  </si>
  <si>
    <t>IK2.0008</t>
  </si>
  <si>
    <t>Lemari Gantung 2</t>
  </si>
  <si>
    <t>IK1.0284</t>
  </si>
  <si>
    <t>Meja Dispenser uk 135x45x60Cm</t>
  </si>
  <si>
    <t>IK1.0285</t>
  </si>
  <si>
    <t>Meja Dispenser uk 100x45x60Cm 1</t>
  </si>
  <si>
    <t>IK1.0286</t>
  </si>
  <si>
    <t>Meja Dispenser uk 100x45x60Cm 2</t>
  </si>
  <si>
    <t>IK1.0287</t>
  </si>
  <si>
    <t>Komputer Rakit Core 15</t>
  </si>
  <si>
    <t>IK1.0291</t>
  </si>
  <si>
    <t>Rak Sepatu 1</t>
  </si>
  <si>
    <t>IK1.0292</t>
  </si>
  <si>
    <t>Rak Sepatu 2</t>
  </si>
  <si>
    <t>IK1.0293</t>
  </si>
  <si>
    <t>IK1.0294</t>
  </si>
  <si>
    <t>Almari Apron</t>
  </si>
  <si>
    <t>IK1.0295</t>
  </si>
  <si>
    <t>Lemari Rak Sepatu 1</t>
  </si>
  <si>
    <t>IK1.0296</t>
  </si>
  <si>
    <t>Lemari Rak Sepatu 2</t>
  </si>
  <si>
    <t>IK1.0297</t>
  </si>
  <si>
    <t>Hand Driyer 1</t>
  </si>
  <si>
    <t>IK1.0298</t>
  </si>
  <si>
    <t>Hand Driyer 2</t>
  </si>
  <si>
    <t>IK1.0299</t>
  </si>
  <si>
    <t>Mesin Penghitung Uang</t>
  </si>
  <si>
    <t>IK1.0300</t>
  </si>
  <si>
    <t>AC Sharp AH-A18ZCY</t>
  </si>
  <si>
    <t>IK1.0301</t>
  </si>
  <si>
    <t>Rak Sepatu Boots Loker Pria</t>
  </si>
  <si>
    <t>IK1.0302</t>
  </si>
  <si>
    <t>Rak Sepatu Boots Loker Wanita</t>
  </si>
  <si>
    <t>IK1.0303</t>
  </si>
  <si>
    <t>IK1.0304</t>
  </si>
  <si>
    <t>Monitor PC XIomi A24I</t>
  </si>
  <si>
    <t>IK1.0305</t>
  </si>
  <si>
    <t>AC Midea 1.5PK</t>
  </si>
  <si>
    <t>IK1.0306</t>
  </si>
  <si>
    <t>AC Midea MSAFE-05CRN2X 1</t>
  </si>
  <si>
    <t>IK1.0307</t>
  </si>
  <si>
    <t>AC Midea MSAFE-05CRN2X 2</t>
  </si>
  <si>
    <t>IK1.0308</t>
  </si>
  <si>
    <t>Printer Epson L5290</t>
  </si>
  <si>
    <t>IK1.0309</t>
  </si>
  <si>
    <t>AC MSAF-12 CRN2/X</t>
  </si>
  <si>
    <t>IK1.0400</t>
  </si>
  <si>
    <t>Laptop Asus Vivobook GO 14 RS 16/512 Black</t>
  </si>
  <si>
    <t>IK1.0401</t>
  </si>
  <si>
    <t>Rak Sepatu Unit 2 (1)</t>
  </si>
  <si>
    <t>IK1.0402</t>
  </si>
  <si>
    <t>Rak Sepatu Unit 2 (2)</t>
  </si>
  <si>
    <t>IK1.0403</t>
  </si>
  <si>
    <t>Rak Sepatu Unit 2 (3)</t>
  </si>
  <si>
    <t>IK1.0404</t>
  </si>
  <si>
    <t xml:space="preserve">Komputer Lenovo </t>
  </si>
  <si>
    <t>IK1.0405</t>
  </si>
  <si>
    <t>Printer Canon G4770</t>
  </si>
  <si>
    <t>IK1.0406</t>
  </si>
  <si>
    <t>Mesin Scanner HP Scanjet Pro 2000 S2</t>
  </si>
  <si>
    <t>IK1.0407</t>
  </si>
  <si>
    <t>SSD Samsung EVO 990 Plus M.2</t>
  </si>
  <si>
    <t>IK1.0408</t>
  </si>
  <si>
    <t>AC Midea 2 PK</t>
  </si>
  <si>
    <t>IK1.0409</t>
  </si>
  <si>
    <t>Almari Besi Kaca Pintu 2</t>
  </si>
  <si>
    <t>IK1.0410</t>
  </si>
  <si>
    <t>Laptop Asus Vivobook Go 14 R5</t>
  </si>
  <si>
    <t>IK1.0411</t>
  </si>
  <si>
    <t>HDD External 2 TB</t>
  </si>
  <si>
    <t>IK1.0412</t>
  </si>
  <si>
    <t>IK1.0413</t>
  </si>
  <si>
    <t>Cleaning Wardrobe Inf-CC-1y</t>
  </si>
  <si>
    <t>IK1.0414</t>
  </si>
  <si>
    <t>Mesin Cuci Samsung</t>
  </si>
  <si>
    <t>IK1.0415</t>
  </si>
  <si>
    <t>Epson Projector EB X52</t>
  </si>
  <si>
    <t>IK1.0416</t>
  </si>
  <si>
    <t>Hand Dryer 1</t>
  </si>
  <si>
    <t>IK1.0417</t>
  </si>
  <si>
    <t>Hand Dryer 2</t>
  </si>
  <si>
    <t>IK1.0418</t>
  </si>
  <si>
    <t>Vacum Cleaner</t>
  </si>
  <si>
    <t>IK1.0419</t>
  </si>
  <si>
    <t>15 May 2026</t>
  </si>
  <si>
    <t>Cleaning Wardrobe INF-CC-1Y</t>
  </si>
  <si>
    <t>IK1.0420</t>
  </si>
  <si>
    <t>Lemari APD</t>
  </si>
  <si>
    <t>IK1.0421</t>
  </si>
  <si>
    <t>Jack Hammer PH 80 HD NRT</t>
  </si>
  <si>
    <t>IK1.0422</t>
  </si>
  <si>
    <t>AC Midea 2PK &amp; Material AC U/ Ruang RnD</t>
  </si>
  <si>
    <t>IK1.0423</t>
  </si>
  <si>
    <t>03 Jul 2026</t>
  </si>
  <si>
    <t>PC Rakitan Core i15</t>
  </si>
  <si>
    <t>IK1.0424</t>
  </si>
  <si>
    <t>13 Jul 2026</t>
  </si>
  <si>
    <t>Misty Fan 26 inc 60L 305 W</t>
  </si>
  <si>
    <t>IK1.0425</t>
  </si>
  <si>
    <t>AC Midea MSFQ-09CRNB 1PK</t>
  </si>
  <si>
    <t>IK1.0426</t>
  </si>
  <si>
    <t xml:space="preserve">AC Midea MSFQ-18CRNB </t>
  </si>
  <si>
    <t>IK1.0427</t>
  </si>
  <si>
    <t>Laptop Lenovo V14-I5 16GB 512GB</t>
  </si>
  <si>
    <t>IK1.0428</t>
  </si>
  <si>
    <t>Rak Alumunium Serbaguna 3 Susun Tanpa Pintu Uk. 50X80X1.5</t>
  </si>
  <si>
    <t>IK1.0429</t>
  </si>
  <si>
    <t>Printer Canon G2010</t>
  </si>
  <si>
    <t>IK1.0430</t>
  </si>
  <si>
    <t>Lemari Papan Infomasi Uk 100 x 80 Cm</t>
  </si>
  <si>
    <t>IK1.0431</t>
  </si>
  <si>
    <t>Lemari Papan Infomasi Uk 125 x 100 Cm</t>
  </si>
  <si>
    <t>IK1.0432</t>
  </si>
  <si>
    <t>Air Curtain 1</t>
  </si>
  <si>
    <t>IK1.0433</t>
  </si>
  <si>
    <t>Air Curtain 2</t>
  </si>
  <si>
    <t>IK1.0434</t>
  </si>
  <si>
    <t>Air Curtain 3</t>
  </si>
  <si>
    <t>IK1.0435</t>
  </si>
  <si>
    <t>Air Curtain 4</t>
  </si>
  <si>
    <t>IK1.0436</t>
  </si>
  <si>
    <t>Air Curtain</t>
  </si>
  <si>
    <t>IK1.0437</t>
  </si>
  <si>
    <t>Mesin Las 900 W</t>
  </si>
  <si>
    <t>IK1.0438</t>
  </si>
  <si>
    <t>PC Intel Core I5-12400 Tray</t>
  </si>
  <si>
    <t>IK1.0439</t>
  </si>
  <si>
    <t>Lemari Alat Kebersihan</t>
  </si>
  <si>
    <t>IK1.0440</t>
  </si>
  <si>
    <t>AC Midea 1/2 PK</t>
  </si>
  <si>
    <t>FA Inventaris Kantor - AC</t>
  </si>
  <si>
    <t>16/11/20</t>
  </si>
  <si>
    <t>AC Panasonic 2PK</t>
  </si>
  <si>
    <t>AC Panasonic 1PK</t>
  </si>
  <si>
    <t>AC Daikin 2PK</t>
  </si>
  <si>
    <t>AC Daikin 1PK</t>
  </si>
  <si>
    <t>1201-010</t>
  </si>
  <si>
    <t>1202-010</t>
  </si>
  <si>
    <t>6500-008</t>
  </si>
  <si>
    <t>Microsoft 365</t>
  </si>
  <si>
    <t>PT XL Planet (Elevenia), Microsoft 365 25unit x Rp 204.800/unit, +PPN 10%, 15/07/20</t>
  </si>
  <si>
    <t xml:space="preserve">Software Era Soft </t>
  </si>
  <si>
    <t>FA Inventaris Pabrik</t>
  </si>
  <si>
    <t>1201-013</t>
  </si>
  <si>
    <t>1202-013</t>
  </si>
  <si>
    <t>6500-011</t>
  </si>
  <si>
    <t>30-01-09</t>
  </si>
  <si>
    <t>Timbangan Elektronik Hybrid Scale</t>
  </si>
  <si>
    <t>Beli Timbangan Elektronik Hybrid Scale</t>
  </si>
  <si>
    <t>01-09-09</t>
  </si>
  <si>
    <t>(Dijual ke MAM)</t>
  </si>
  <si>
    <t>31-03-09</t>
  </si>
  <si>
    <t>Wall Fan Type Df 500</t>
  </si>
  <si>
    <t>Beli 2 BH Wall Fan Type DF 500</t>
  </si>
  <si>
    <t>02-04-09</t>
  </si>
  <si>
    <t>Elektrik Hoist Rell Double</t>
  </si>
  <si>
    <t>Pembyrn Elektrik Hoist Rell Double</t>
  </si>
  <si>
    <t>01-06-09</t>
  </si>
  <si>
    <t>Jet Cleaner (Water Hp Cleaner)</t>
  </si>
  <si>
    <t>Beli Mesin Jet Cleaner (Water Hp Cleaner)</t>
  </si>
  <si>
    <t>03-07-09</t>
  </si>
  <si>
    <t xml:space="preserve">Foot Sealer 350 Dr </t>
  </si>
  <si>
    <t xml:space="preserve">Beli Foot Sealer 350 DR </t>
  </si>
  <si>
    <t>Rewinder</t>
  </si>
  <si>
    <t>Beli Mesin Rewinder</t>
  </si>
  <si>
    <t>10-07-09</t>
  </si>
  <si>
    <t>Inject Printer ($ 5000)</t>
  </si>
  <si>
    <t>Beli Mesin Inject Printer ($ 5000)</t>
  </si>
  <si>
    <t>Mesin Parut Kelapa</t>
  </si>
  <si>
    <t>Pembelian 1 Unit Mesin Parut Kelapa  08/08/14</t>
  </si>
  <si>
    <t>Pengembalian Sisa 1 Unit Mesin Parut Kelapa</t>
  </si>
  <si>
    <t>Pengembalian Sisa 1 unit Mesin Parut Kelapa</t>
  </si>
  <si>
    <t>Pengadaan Aset Laboratorium</t>
  </si>
  <si>
    <t>Pengembalian Sisa Pengadaan Aset Lab</t>
  </si>
  <si>
    <t xml:space="preserve">Hand Klip / Hand Stacken Tonase 3 Ton </t>
  </si>
  <si>
    <t>Hand Klip / hand stacken Tonase 3 ton 1 buah</t>
  </si>
  <si>
    <t xml:space="preserve">Hand Pallet Tonase 3 Ton </t>
  </si>
  <si>
    <t>Hand Pallet Tonase 3 ton 1 buah</t>
  </si>
  <si>
    <t>Pompa Air Untuk Blenzer</t>
  </si>
  <si>
    <t>Pembelian pompa air untuk blenzer (area cuci &amp; potong singkong)</t>
  </si>
  <si>
    <t>Sisa Pembelian Pompa</t>
  </si>
  <si>
    <t>Sisa pembelian pompa</t>
  </si>
  <si>
    <t>Pompa Minyak</t>
  </si>
  <si>
    <t>Pembelian pompa minyak untuk mesin continous friyer</t>
  </si>
  <si>
    <t>Pompa Minyak + Motor Continous Frying</t>
  </si>
  <si>
    <t>Pembelian pompa minyak + motor penggerak untuk continous frying</t>
  </si>
  <si>
    <t>Pengembalian Uang Pompa Minyak</t>
  </si>
  <si>
    <t>Pengembalian uang pompa minyak</t>
  </si>
  <si>
    <t>Pengembalian Uang Pompa Minyak + Motor</t>
  </si>
  <si>
    <t>Pengembalian uang pompa minyak + motor</t>
  </si>
  <si>
    <t>INVP.01/08</t>
  </si>
  <si>
    <t>15-01-2008</t>
  </si>
  <si>
    <t>Pisau Polos</t>
  </si>
  <si>
    <t>Beli 4 BH Pisau polos</t>
  </si>
  <si>
    <t>INVP.02/08</t>
  </si>
  <si>
    <t>Kapasitor Mesin Steam</t>
  </si>
  <si>
    <t>1 BH Kapasitor Mesin Steam</t>
  </si>
  <si>
    <t>INVP.03/08</t>
  </si>
  <si>
    <t>Stainles Anyam Steam</t>
  </si>
  <si>
    <t>16 BH Stainles Anyam Steam</t>
  </si>
  <si>
    <t>INVP.04/08</t>
  </si>
  <si>
    <t>24-03-2008</t>
  </si>
  <si>
    <t>Ranwag (Alat Ukur Kadar Air)</t>
  </si>
  <si>
    <t>Beli 1 BH Ranwag (Alat ukur kadar air)</t>
  </si>
  <si>
    <t>INVP.05/08</t>
  </si>
  <si>
    <t>Machine Las Tigmma</t>
  </si>
  <si>
    <t>Beli Machine Las Tigmma</t>
  </si>
  <si>
    <t>INVP.06/08</t>
  </si>
  <si>
    <t>08-04-2008</t>
  </si>
  <si>
    <t>Elektro Motor 3 Pk</t>
  </si>
  <si>
    <t>Beli Elektro Motor 3 PK</t>
  </si>
  <si>
    <t>INVP.07/08</t>
  </si>
  <si>
    <t>25-04-2008</t>
  </si>
  <si>
    <t>Project Oil Elimite &amp; Inverter Toshiba</t>
  </si>
  <si>
    <t>Beli Project Oil Elimite &amp; Inverter Toshiba</t>
  </si>
  <si>
    <t>INVP.08/08</t>
  </si>
  <si>
    <t>01-05-2008</t>
  </si>
  <si>
    <t>Kekurangan Ffa</t>
  </si>
  <si>
    <t>Kekurangan FFA tgl 28/04/08</t>
  </si>
  <si>
    <t>INVP.09/08</t>
  </si>
  <si>
    <t>13-05-2008</t>
  </si>
  <si>
    <t>Kompor Gas</t>
  </si>
  <si>
    <t>Beli Kompor Gas</t>
  </si>
  <si>
    <t>INVP.10/08</t>
  </si>
  <si>
    <t>15-05-2008</t>
  </si>
  <si>
    <t>Bak Stainless Steel</t>
  </si>
  <si>
    <t>Pemb BAK Stainless Steel</t>
  </si>
  <si>
    <t>INVP.11/08</t>
  </si>
  <si>
    <t>02-07-2008</t>
  </si>
  <si>
    <t>Rehab Piringan</t>
  </si>
  <si>
    <t>2 BH Rehab Piringan @ 600.000</t>
  </si>
  <si>
    <t>INVP.12/08</t>
  </si>
  <si>
    <t>25-07-2008</t>
  </si>
  <si>
    <t>Burner Weishaupt</t>
  </si>
  <si>
    <t>Beli Burner Merk Weishaupt (Jerman)</t>
  </si>
  <si>
    <t>INVP.13/08</t>
  </si>
  <si>
    <t>Genset</t>
  </si>
  <si>
    <t>Pemb Genset</t>
  </si>
  <si>
    <t>INVP.14/08</t>
  </si>
  <si>
    <t>27-08-2008</t>
  </si>
  <si>
    <t>Dandang</t>
  </si>
  <si>
    <t>Beli Dandang u/kukus krupuk</t>
  </si>
  <si>
    <t>INVP.15/08</t>
  </si>
  <si>
    <t>Tabung Gas Elpiji</t>
  </si>
  <si>
    <t>Beli Tabung Gas Elpiji Kosong</t>
  </si>
  <si>
    <t>INVP.16/08</t>
  </si>
  <si>
    <t>Beli Tabung Gas &amp; Isinya</t>
  </si>
  <si>
    <t>INVP.17/08</t>
  </si>
  <si>
    <t>02-09-2008</t>
  </si>
  <si>
    <t>Bak Tampungan Minyak</t>
  </si>
  <si>
    <t>1 Unit BAK Tampungan Minyak</t>
  </si>
  <si>
    <t>INVP.18/08</t>
  </si>
  <si>
    <t>01-11-2008</t>
  </si>
  <si>
    <t xml:space="preserve">Wakul Cengkeh </t>
  </si>
  <si>
    <t xml:space="preserve">25 BH Wakul Cengkeh </t>
  </si>
  <si>
    <t>INVP.19/08</t>
  </si>
  <si>
    <t>04-11-2008</t>
  </si>
  <si>
    <t>Dsl Tank</t>
  </si>
  <si>
    <t>Beli DSL Tank</t>
  </si>
  <si>
    <t>INVP.20/08</t>
  </si>
  <si>
    <t>06-11-2008</t>
  </si>
  <si>
    <t>200 Bh U/Minyak Jelantah</t>
  </si>
  <si>
    <t>200 BH U/Minyak Jelantah</t>
  </si>
  <si>
    <t>INVP.21/08</t>
  </si>
  <si>
    <t>01-12-2008</t>
  </si>
  <si>
    <t>Elektrik Hoist Krisbow</t>
  </si>
  <si>
    <t>Beli Elektrik Hoist Krisbow</t>
  </si>
  <si>
    <t>INVP.22/08</t>
  </si>
  <si>
    <t>02-12-2008</t>
  </si>
  <si>
    <t>Pompa Fresh Oil</t>
  </si>
  <si>
    <t>Beli Pompa Fresh Oil</t>
  </si>
  <si>
    <t>INVP.23/08</t>
  </si>
  <si>
    <t>Suntec Oil Pump At2-45 C95414</t>
  </si>
  <si>
    <t>Beli SUNTEC Oil Pump AT2-45 C95414</t>
  </si>
  <si>
    <t>INVP.24/08</t>
  </si>
  <si>
    <t>Suntec Oil Pump Ale 30 C9336</t>
  </si>
  <si>
    <t>Beli SUNTEC Oil Pump ALE 30 C9336</t>
  </si>
  <si>
    <t>INVP.25/08</t>
  </si>
  <si>
    <t>04-12-2008</t>
  </si>
  <si>
    <t>Beli TEMPERATUR E5CZ-R2 AC100-240</t>
  </si>
  <si>
    <t>INVP.26/08</t>
  </si>
  <si>
    <t>Piringan Rajangan &amp; Pisau</t>
  </si>
  <si>
    <t>Beli Piringan Rajangan &amp; 1 Set Pisau</t>
  </si>
  <si>
    <t>INVP.27/08</t>
  </si>
  <si>
    <t>11-08-2008</t>
  </si>
  <si>
    <t>Mesin Penggorengan</t>
  </si>
  <si>
    <t>INVP.28/08</t>
  </si>
  <si>
    <t>28-11-2008</t>
  </si>
  <si>
    <t>Slicer,Kacip,Modifikasi</t>
  </si>
  <si>
    <t>Beli Slicer,Kacip,Modifikasi</t>
  </si>
  <si>
    <t>INVP.02/09</t>
  </si>
  <si>
    <t>23-01-09</t>
  </si>
  <si>
    <t>Self Priming (Pedrollo Pump)</t>
  </si>
  <si>
    <t>Pembyrn Self Priming (Pedrollo Pump)</t>
  </si>
  <si>
    <t>INVP.01/09</t>
  </si>
  <si>
    <t>21-01-09</t>
  </si>
  <si>
    <t>Thickness Babe Alat Ukur Ketebalan</t>
  </si>
  <si>
    <t>Beli Thickness Babe Alat Ukur Ketebalan</t>
  </si>
  <si>
    <t>INVP.03/09</t>
  </si>
  <si>
    <t>Timbangan Elektronik Bench Scale</t>
  </si>
  <si>
    <t>Beli Timbangan Elektronik Bench Scale</t>
  </si>
  <si>
    <t>INVP.04/09</t>
  </si>
  <si>
    <t>05-02-09</t>
  </si>
  <si>
    <t>Thermometer Hanna Hi9044</t>
  </si>
  <si>
    <t>Beli Digital Thermometer Hanna HI9044</t>
  </si>
  <si>
    <t>INVP.05/09</t>
  </si>
  <si>
    <t>17-04-09</t>
  </si>
  <si>
    <t>Air Dryer Scr 22</t>
  </si>
  <si>
    <t>Beli Air Dryer SCR 22</t>
  </si>
  <si>
    <t>INVP.06/09</t>
  </si>
  <si>
    <t>21-08-09</t>
  </si>
  <si>
    <t>Thick Gage</t>
  </si>
  <si>
    <t>Beli Thick Gage</t>
  </si>
  <si>
    <t>INVP.07/09</t>
  </si>
  <si>
    <t>17-09-09</t>
  </si>
  <si>
    <t>Pompa Air Honda</t>
  </si>
  <si>
    <t>Beli 1 Unit Pompa Air Honda</t>
  </si>
  <si>
    <t>INVP.08/09</t>
  </si>
  <si>
    <t>02-10-09</t>
  </si>
  <si>
    <t>Hand Pallet Big Kapasitas 2 Ton</t>
  </si>
  <si>
    <t>Beli Hand Pallet Big Kapasitas 2 ton</t>
  </si>
  <si>
    <t>INVP.09/09</t>
  </si>
  <si>
    <t>Axial Direct Blower</t>
  </si>
  <si>
    <t>Beli Axial Direct Blower U/Project</t>
  </si>
  <si>
    <t>INVP.10/09</t>
  </si>
  <si>
    <t>01-12-09</t>
  </si>
  <si>
    <t>Jet Pump Grund Fos</t>
  </si>
  <si>
    <t>Beli Jet Pump Grund FOS</t>
  </si>
  <si>
    <t>INVP.11/09</t>
  </si>
  <si>
    <t>Locker 6 Pintu</t>
  </si>
  <si>
    <t>Beli Locker 6 Pintu 2 Unit</t>
  </si>
  <si>
    <t>INVP.12/09</t>
  </si>
  <si>
    <t>23-12-09</t>
  </si>
  <si>
    <t>Water Treatment</t>
  </si>
  <si>
    <t>Beli &amp; Pasang Water Treatment</t>
  </si>
  <si>
    <t>INVP.13/09</t>
  </si>
  <si>
    <t>Jet Pump Grund Fos 500W</t>
  </si>
  <si>
    <t>Beli Jet Pump Grund FOS 500W</t>
  </si>
  <si>
    <t>INVP.01/10</t>
  </si>
  <si>
    <t>24-08-10</t>
  </si>
  <si>
    <t>Tabung Gas Lpg</t>
  </si>
  <si>
    <t>Beli 25 BH Tabung Gas LPG</t>
  </si>
  <si>
    <t>INVP.02/10</t>
  </si>
  <si>
    <t>15-10-10</t>
  </si>
  <si>
    <t>Burner Gas,Filter Gas</t>
  </si>
  <si>
    <t>Beli Burner Gas,Filter Gas</t>
  </si>
  <si>
    <t>INVP.03/10</t>
  </si>
  <si>
    <t>10-10-10</t>
  </si>
  <si>
    <t>Gas Burner</t>
  </si>
  <si>
    <t>Beli Gas Burner</t>
  </si>
  <si>
    <t>INVP.04/10</t>
  </si>
  <si>
    <t>Regulator &amp; Filter Gas</t>
  </si>
  <si>
    <t>Beli Regulator &amp; Filter Gas</t>
  </si>
  <si>
    <t>INVP.01/11</t>
  </si>
  <si>
    <t>Dial Thickness</t>
  </si>
  <si>
    <t>1 Buah Dial Thickness 13/8</t>
  </si>
  <si>
    <t>INVP.02/11</t>
  </si>
  <si>
    <t>Pompa Air Shimizu</t>
  </si>
  <si>
    <t>1 buah pompa air shimizu 10/11</t>
  </si>
  <si>
    <t>INVP.03/11</t>
  </si>
  <si>
    <t>Electro Motor, Pully, Kacamata Karet</t>
  </si>
  <si>
    <t>1 buah electro motor + 1 buah pully + 1 buah kacamata  karet 16/12</t>
  </si>
  <si>
    <t>INVP.01/12</t>
  </si>
  <si>
    <t>Burner Control Weisthaupt Type Wfm-05</t>
  </si>
  <si>
    <t>1 Buah Burner Control Weisthaupt Type WFM-05</t>
  </si>
  <si>
    <t>INVP.02/12</t>
  </si>
  <si>
    <t>Rak Dan Loyang Trolly Stainless Steel  10 Ea</t>
  </si>
  <si>
    <t>Pembelian Rak dan Loyang Trolly Stainless Steel  10 ea</t>
  </si>
  <si>
    <t>Penjualan Rak dan Loyang Trolly Stainless Steel  10 ea</t>
  </si>
  <si>
    <t>INVP.03/12</t>
  </si>
  <si>
    <t>Saringan Minyak Stainless + Modifikasinya</t>
  </si>
  <si>
    <t>Pembelian 3 Unit Saringan Minyak Stainless + Modifikasinya</t>
  </si>
  <si>
    <t>INVP.04/12</t>
  </si>
  <si>
    <t>Kursi, Meja Kantor Dan Kursi Kantin</t>
  </si>
  <si>
    <t>Pembelian Kursi (3) Meja Kantor (2) dan Kursi Kantin (2)</t>
  </si>
  <si>
    <t>INVP.05/12</t>
  </si>
  <si>
    <t>Meja Dan Rak Cuci Stainless Steel</t>
  </si>
  <si>
    <t>Pembuatan Meja dan Rak Cuci Stainless Steel</t>
  </si>
  <si>
    <t>INVP.21/12</t>
  </si>
  <si>
    <t xml:space="preserve">Rak Kereta &amp; Nampan </t>
  </si>
  <si>
    <t>Pembelian Rak Kereta 1 unit dan Nampan 20 Unit PT Jala Prima</t>
  </si>
  <si>
    <t>INVP.22/12</t>
  </si>
  <si>
    <t>Trolly Roda Stainless</t>
  </si>
  <si>
    <t>Pembayaran Trolly Roda Stainless 2 Unit 201 Siku u/ Trolly Kupas dan Goreng</t>
  </si>
  <si>
    <t>INVP.23/12</t>
  </si>
  <si>
    <t>Cerobong + Jasa Pemasangan 4 Line, Pengecetan &amp; Elbow</t>
  </si>
  <si>
    <t>Pembelian Cerobong + Jasa Pemasangan 4 Line Dan Pengecetan Sebanyak 23.9 M dan Elbow (Baehaqi)</t>
  </si>
  <si>
    <t>INVP.26/12</t>
  </si>
  <si>
    <t>Meja Proses Stainless</t>
  </si>
  <si>
    <t>Pembelian meja proses stainless (u/ trial Umbiis 20gr)</t>
  </si>
  <si>
    <t>INVP.27/12</t>
  </si>
  <si>
    <t>Exhaust Fan 3 Phase 1Pk</t>
  </si>
  <si>
    <t>2 unit exhaust fan 3 phase 1PK</t>
  </si>
  <si>
    <t>INVP.28/12</t>
  </si>
  <si>
    <t xml:space="preserve">Pallet Plastik Buntu Bekas </t>
  </si>
  <si>
    <t>Pembelian Pallet Plastik Buntu (tdk berlubang) Bekas 30 unit</t>
  </si>
  <si>
    <t>INVP.01/13</t>
  </si>
  <si>
    <t xml:space="preserve">Ac Samsung 2 Pk </t>
  </si>
  <si>
    <t>AC Samsung 2 PK utk ruang sortir 2</t>
  </si>
  <si>
    <t>INVP.02/13</t>
  </si>
  <si>
    <t>Waste Water Treatment Plant</t>
  </si>
  <si>
    <t>Waste Water Treatment Plant (WWTP)</t>
  </si>
  <si>
    <t>INVP.04/13</t>
  </si>
  <si>
    <t>Meja Conveyor</t>
  </si>
  <si>
    <t>PembelianMeja conveyor</t>
  </si>
  <si>
    <t>INVP.03/13</t>
  </si>
  <si>
    <t>Meja Sortir</t>
  </si>
  <si>
    <t>Pembelian Meja sortir</t>
  </si>
  <si>
    <t>INVP.05/13</t>
  </si>
  <si>
    <t>Jembatan Timbang Kap.60 Ton</t>
  </si>
  <si>
    <t>Jembatan timbang kap.60 ton (CV Global Digital Scale)</t>
  </si>
  <si>
    <t>INVP.06/13</t>
  </si>
  <si>
    <t>Pompa Air, Electro 1/2 Hp</t>
  </si>
  <si>
    <t>Pompa Air, Electro 1/2 HP 05/12/2013</t>
  </si>
  <si>
    <t>INVP.07/13</t>
  </si>
  <si>
    <t>Timbangan Digital</t>
  </si>
  <si>
    <t>CV Global Digital Scale ( Timbangan Digital 2 unit ) 27/11/2013</t>
  </si>
  <si>
    <t>INVP.08/13</t>
  </si>
  <si>
    <t>Pembelian Komputer untuk Produksi Shiff Leader</t>
  </si>
  <si>
    <t>INVP.01/14</t>
  </si>
  <si>
    <t>Meja Seluncur Adjust Table</t>
  </si>
  <si>
    <t>Pembelian 1 unit Meja Seluncur Adjust Table ''ubi ungu''</t>
  </si>
  <si>
    <t>INVP.02/14</t>
  </si>
  <si>
    <t>1 unit Meja Sortir</t>
  </si>
  <si>
    <t>INVP.03/14</t>
  </si>
  <si>
    <t>Conveyor Belt</t>
  </si>
  <si>
    <t>1 unit Conveyor Belt</t>
  </si>
  <si>
    <t>INVP.04/14</t>
  </si>
  <si>
    <t>2 unit Meja Sortir (Todda Perkasa)</t>
  </si>
  <si>
    <t>INVP.05/14</t>
  </si>
  <si>
    <t xml:space="preserve">Meja Sortir Qc </t>
  </si>
  <si>
    <t>1 unit Meja Sortir QC (Todda Perkasa)</t>
  </si>
  <si>
    <t>INVP.06/14</t>
  </si>
  <si>
    <t>Pengadaan Agitator Line 2 1 Unit</t>
  </si>
  <si>
    <t>Pengadaan Agitator Line 2 1 unit</t>
  </si>
  <si>
    <t>INVP.07/14</t>
  </si>
  <si>
    <t>Laptop Merk Hp, Mouse, &amp; Tas Untuk Factory Manager</t>
  </si>
  <si>
    <t>Laptop MerK HP ,Mouse, dan Tas untuk Factory Manager</t>
  </si>
  <si>
    <t>INVP.08/14</t>
  </si>
  <si>
    <t>Piringan Rajangan Full Stainles</t>
  </si>
  <si>
    <t>Pembelian 2 unit piringan rajangan Full Stainles ( Reka Tehnik</t>
  </si>
  <si>
    <t>INVP.09/14</t>
  </si>
  <si>
    <t>Container Kecil, Sedang Dan Wakul Ss Office Semarang</t>
  </si>
  <si>
    <t>Pembelian Container Kecil, Sedang dan Wakul SS Office Semarang</t>
  </si>
  <si>
    <t>INVP.10/14</t>
  </si>
  <si>
    <t xml:space="preserve">Oven Un 55 Merck Memmer </t>
  </si>
  <si>
    <t>Pembelian 1 unit Oven UN 55 Merck Memmer di PT Indolab Karya Sehati</t>
  </si>
  <si>
    <t>INVP.11/14</t>
  </si>
  <si>
    <t xml:space="preserve">Desicator Duran Vol 18.05 </t>
  </si>
  <si>
    <t>Pembelian Desicator Duran Vol 18.05  1 unit di PT Indolab Karya Sehati</t>
  </si>
  <si>
    <t>INVP.12/14</t>
  </si>
  <si>
    <t xml:space="preserve">Agitator </t>
  </si>
  <si>
    <t>Pembelian 1unit Agitator Line 3</t>
  </si>
  <si>
    <t>INVP.13/14</t>
  </si>
  <si>
    <t xml:space="preserve">Timbangan Hybrid </t>
  </si>
  <si>
    <t>Pembelian 2 unit Timbangan Hybrid di CV Global Digital Scale</t>
  </si>
  <si>
    <t>INVP.14/14</t>
  </si>
  <si>
    <t>Container Minyak</t>
  </si>
  <si>
    <t>2 unit Container Minyak</t>
  </si>
  <si>
    <t>INVP.15/14</t>
  </si>
  <si>
    <t xml:space="preserve">Neraca Analitic Type Htr Series </t>
  </si>
  <si>
    <t>Pembelian Neraca Analitic Type HTR Series (CV Global Digital Scale)</t>
  </si>
  <si>
    <t>INVP.16/14</t>
  </si>
  <si>
    <t>Neraca Analitic Aj - Series</t>
  </si>
  <si>
    <t>Pembelian 1 unit Neraca Analitic AJ - Series</t>
  </si>
  <si>
    <t>INVP.17/14</t>
  </si>
  <si>
    <t>Hand Pallet Big 3T</t>
  </si>
  <si>
    <t>Pembelian 1 unit Hand Pallet Big 3T</t>
  </si>
  <si>
    <t>INVP.18/14</t>
  </si>
  <si>
    <t>2 unit container Minyak</t>
  </si>
  <si>
    <t>INVP.19/14</t>
  </si>
  <si>
    <t>2 unit Meja Sortir</t>
  </si>
  <si>
    <t>INVP.20/14</t>
  </si>
  <si>
    <t>Lood</t>
  </si>
  <si>
    <t xml:space="preserve"> 4 unit Lood</t>
  </si>
  <si>
    <t>INVP.21/14</t>
  </si>
  <si>
    <t>Panggung Container</t>
  </si>
  <si>
    <t>2 unit Panggung Container</t>
  </si>
  <si>
    <t>INVP.22/14</t>
  </si>
  <si>
    <t>Container Minyak (Tandon Minyak)</t>
  </si>
  <si>
    <t>2 unit Container Minyak (Tandon Minyak)</t>
  </si>
  <si>
    <t>INVP.23/14</t>
  </si>
  <si>
    <t xml:space="preserve">Mettler Toledo </t>
  </si>
  <si>
    <t>Pembelian 1 unit Mettler Toledo (PT Almega Sejahtera) Pembayaran ulang</t>
  </si>
  <si>
    <t>INVP.24/14</t>
  </si>
  <si>
    <t xml:space="preserve">Cctv </t>
  </si>
  <si>
    <t>Pengadaan CCTV Unit 2 Sebanyak 8 Titik 08/08/14</t>
  </si>
  <si>
    <t>INVP.25/14</t>
  </si>
  <si>
    <t>Timbangan Hybrid Merek Sonic</t>
  </si>
  <si>
    <t>CV Global Digital Scale (Timbangan Hybrid Merek Sonic)14/07/14</t>
  </si>
  <si>
    <t>INVP.26/14</t>
  </si>
  <si>
    <t>Meja Komputer, Meja Proyektor,Kursi,Papan Tulis</t>
  </si>
  <si>
    <t>Pembelian Aset Ruang Training : Meja Komputer, Meja Proyektor,kursi,Papan Tulis</t>
  </si>
  <si>
    <t>INVP.27/14</t>
  </si>
  <si>
    <t>Meja Staff,Papan Tulis,Kursi Staff,Kursi Meeting,Meja Meeting</t>
  </si>
  <si>
    <t>Pembelian Aset unit 2 : Meja Staff,Papan tulis,Kursi staff,Kursi meeting,Meja meeting</t>
  </si>
  <si>
    <t>INVP.28/14</t>
  </si>
  <si>
    <t>Cpu</t>
  </si>
  <si>
    <t>Pembelian 1 unit CPU</t>
  </si>
  <si>
    <t>INVP.29/14</t>
  </si>
  <si>
    <t>Pembelian 1 unit Genset</t>
  </si>
  <si>
    <t>INVP.30/14</t>
  </si>
  <si>
    <t>Pembelian 1 unit AC Daikin 2 Pk untuk Ruang R &amp; D</t>
  </si>
  <si>
    <t>INVP.31/14</t>
  </si>
  <si>
    <t>Rak Sparepart Enginering</t>
  </si>
  <si>
    <t>Pembelian Rak Sparepart Enginering</t>
  </si>
  <si>
    <t>INVP.32/14</t>
  </si>
  <si>
    <t>Rak Steam Krupuk</t>
  </si>
  <si>
    <t>Pembelian 2 Unit XRp 1.600.000 Rak Steam untuk Krupuk</t>
  </si>
  <si>
    <t>INVP.33/14</t>
  </si>
  <si>
    <t>Ac 1 Pk Merek National &amp; Outdoor Ac 1.5 Pk Merek Panasonik</t>
  </si>
  <si>
    <t>Pembelian Outdoor AC 1 PK Merck National &amp; Outdoor AC 1.5 PK Merck Panasonik</t>
  </si>
  <si>
    <t>INVP.34/14</t>
  </si>
  <si>
    <t>Flow Meter Sumur</t>
  </si>
  <si>
    <t>Pembelian 1 unit Flow Meter Sumur</t>
  </si>
  <si>
    <t>INVP.35/14</t>
  </si>
  <si>
    <t>Gas Butter Fly Valve + Mixing Head Extented</t>
  </si>
  <si>
    <t>Pembelian 4 unit Gas Butter Fly Valve + Mixing Head Extented</t>
  </si>
  <si>
    <t>INVP.36/14</t>
  </si>
  <si>
    <t>Ac Daikin 2 Pk + Pemasangan</t>
  </si>
  <si>
    <t>Pembelian AC Daikin 2 PK + Pemasangan</t>
  </si>
  <si>
    <t>INVP.37/14</t>
  </si>
  <si>
    <t>Aset R &amp; D Dan Formulasi</t>
  </si>
  <si>
    <t>Pembelian Aset R &amp; D dan Formulasi</t>
  </si>
  <si>
    <t>INVP.38/14</t>
  </si>
  <si>
    <t>Rak Material Bagging</t>
  </si>
  <si>
    <t>Pembelian Rak Material Bagging</t>
  </si>
  <si>
    <t>INVP.39/14</t>
  </si>
  <si>
    <t xml:space="preserve">Air Cyclone </t>
  </si>
  <si>
    <t>Pembelian dan Pemasangan Air Cyclone unit 2</t>
  </si>
  <si>
    <t>INVP.40/14</t>
  </si>
  <si>
    <t>Corong Steam Cooker</t>
  </si>
  <si>
    <t>Pembelian 1 unit Corong Steam Cooker</t>
  </si>
  <si>
    <t>INVP.41/14</t>
  </si>
  <si>
    <t>Rak Kripik</t>
  </si>
  <si>
    <t>Pembayaran 2 unit rak kripik</t>
  </si>
  <si>
    <t>INVP.43/14</t>
  </si>
  <si>
    <t>Mesin Blender</t>
  </si>
  <si>
    <t>1 unit mesin blender</t>
  </si>
  <si>
    <t>INVP.42/14</t>
  </si>
  <si>
    <t>Lift Barang Kapasitas 500 Kg</t>
  </si>
  <si>
    <t>1 unit lift barang kapasitas 500 kg</t>
  </si>
  <si>
    <t>INVP.44/14</t>
  </si>
  <si>
    <t>4 unit meja u/ lab QC</t>
  </si>
  <si>
    <t>INVP.45/14</t>
  </si>
  <si>
    <t>Pembayaran Mebel + 8 Kursi</t>
  </si>
  <si>
    <t>Pembayaran Mebel + 8 kursi</t>
  </si>
  <si>
    <t>INVP.46/14</t>
  </si>
  <si>
    <t xml:space="preserve">Halogen Radiator Pn </t>
  </si>
  <si>
    <t>Pembelian Halogen Radiator PN u/ Mesin Mettle Toledo HB43</t>
  </si>
  <si>
    <t>INVP.47/14</t>
  </si>
  <si>
    <t>Stabitex Instan 12624</t>
  </si>
  <si>
    <t>Pembelian Stabitex Instan 12624</t>
  </si>
  <si>
    <t>INVP.48/14</t>
  </si>
  <si>
    <t>Module Smarigen 610</t>
  </si>
  <si>
    <t>Pembelian Module Smarigen 610 untuk genset</t>
  </si>
  <si>
    <t>INVP.49/14</t>
  </si>
  <si>
    <t>Rol Belah Potong Ukuran 13 Mm</t>
  </si>
  <si>
    <t>Pembelian 1 unit rol belah potong ukuran 13 MM</t>
  </si>
  <si>
    <t>INVP.50/14</t>
  </si>
  <si>
    <t>Rol Belah Potong Ukuran 30 Mm</t>
  </si>
  <si>
    <t>Pembelian 1 unit rol belah potong ukuran 30 MM</t>
  </si>
  <si>
    <t>INVP.51/14</t>
  </si>
  <si>
    <t>Compresor 5 Hp Shark</t>
  </si>
  <si>
    <t>1 unit Compresor 5 Hp Shark</t>
  </si>
  <si>
    <t>INVP.01/15</t>
  </si>
  <si>
    <t>Ups, Monitor, Cpu, Keyboard, Mouse</t>
  </si>
  <si>
    <t>Pengajuan Aset QC dan R&amp;D (UPS,Monitor,CPU,Keyboard,Mouse)</t>
  </si>
  <si>
    <t>INVP.02/15</t>
  </si>
  <si>
    <t>Timbangan Digital Load 25Kg &amp; Timbangan Digital Load 150Kg</t>
  </si>
  <si>
    <t>Pembelian 1unit Timbangan digital Load 25kg &amp; Timbangan digital Load 150kg</t>
  </si>
  <si>
    <t>INVP.03/15</t>
  </si>
  <si>
    <t>Motor Agitator Penggorengan</t>
  </si>
  <si>
    <t>Pembelian 3unit Motor u/ Agitator Penggorengan</t>
  </si>
  <si>
    <t>INVP.04/15</t>
  </si>
  <si>
    <t>Monitor Samsung 19</t>
  </si>
  <si>
    <t>Pembelian 1 unit Monitor Samsung 19</t>
  </si>
  <si>
    <t>INVP.06/15</t>
  </si>
  <si>
    <t>Tanki Minyak</t>
  </si>
  <si>
    <t>1 unit Tanki Minyak</t>
  </si>
  <si>
    <t>INVP.05/15</t>
  </si>
  <si>
    <t>Tandon Air</t>
  </si>
  <si>
    <t xml:space="preserve"> 1 unit Tandon Air</t>
  </si>
  <si>
    <t>INVP.07/15</t>
  </si>
  <si>
    <t>Pc Komputer + Stabilizer Kemika 1000 Va</t>
  </si>
  <si>
    <t>Pembelian Aset PC Komputer + Stabilizer Kemika 1000 VA</t>
  </si>
  <si>
    <t>INVP.08/15</t>
  </si>
  <si>
    <t>Brankas Bossini Bg-55 Manual</t>
  </si>
  <si>
    <t>Pembelian Brankas Bossini BG-55 Manual</t>
  </si>
  <si>
    <t>INVP.09/15</t>
  </si>
  <si>
    <t>Rak Almari Kayu</t>
  </si>
  <si>
    <t>Pembelian Rak Almari Kayu</t>
  </si>
  <si>
    <t>INVP.10/15</t>
  </si>
  <si>
    <t>Drum Fan (Portable Vent Support)</t>
  </si>
  <si>
    <t>Pembelian 3 unit Drum Fan (Portable Vent Support)</t>
  </si>
  <si>
    <t>INVP.11/15</t>
  </si>
  <si>
    <t>Ups Metal Detector + Stabilizer</t>
  </si>
  <si>
    <t>1 unit UPS metal detector + stabilizer</t>
  </si>
  <si>
    <t>INVP.12/15</t>
  </si>
  <si>
    <t>Kompresor 3.7 Hp</t>
  </si>
  <si>
    <t>Pembelian 1 unit kompresor 3.7 HP</t>
  </si>
  <si>
    <t>INVP.13/15</t>
  </si>
  <si>
    <t xml:space="preserve">Ac Daikin 1Pk </t>
  </si>
  <si>
    <t>Pembelian 1 unit AC Daikin 1PK untuk ruang bumbu</t>
  </si>
  <si>
    <t>INVP.14/15</t>
  </si>
  <si>
    <t>Pallet</t>
  </si>
  <si>
    <t>Pembelian 80 unit pallet x Rp 340.000</t>
  </si>
  <si>
    <t>INVP.15/15</t>
  </si>
  <si>
    <t>Mesin Diesel Cuci Motor</t>
  </si>
  <si>
    <t>Pembelian mesin diesel cuci motor</t>
  </si>
  <si>
    <t>INVP.16/15</t>
  </si>
  <si>
    <t>Pembelian 6 unit meja sortir</t>
  </si>
  <si>
    <t>INVP.17/15</t>
  </si>
  <si>
    <t>Meja Bogging Packing</t>
  </si>
  <si>
    <t>Pembelian 1 unit meja bogging untuk packing</t>
  </si>
  <si>
    <t>INVP.18/15</t>
  </si>
  <si>
    <t>Container Minyak + Tandon Minyak</t>
  </si>
  <si>
    <t>Container minyak + Tandon minyak</t>
  </si>
  <si>
    <t>INVP.19/15</t>
  </si>
  <si>
    <t>Pintu Dorong Pagar Pembatas</t>
  </si>
  <si>
    <t>Pembelian 1 unit pintu dorong pagar pembatas unit 2 dan area limbah basah</t>
  </si>
  <si>
    <t>INVP.20/15</t>
  </si>
  <si>
    <t>Panel Mdp 400A Semianto Pln / Genset</t>
  </si>
  <si>
    <t>Pembayaran pemasangan panel MDP 400A semianto PLN/Genset</t>
  </si>
  <si>
    <t>INVP.21/15</t>
  </si>
  <si>
    <t>Pembelian 1 unit meja sortir</t>
  </si>
  <si>
    <t>INVP.22/15</t>
  </si>
  <si>
    <t>Trolley Transfer Tepung</t>
  </si>
  <si>
    <t>Pembelian 2 unit trolley transfer tepung</t>
  </si>
  <si>
    <t>Alat Peredam Suara Genset (Casing Diesel)</t>
  </si>
  <si>
    <t>Alat peredam suara genset (casing diesel)</t>
  </si>
  <si>
    <t>Mesin Compresor</t>
  </si>
  <si>
    <t>Mesin compresor</t>
  </si>
  <si>
    <t>Tany Ampere Digital</t>
  </si>
  <si>
    <t>Tany ampere digital u/ cek ampere mesin</t>
  </si>
  <si>
    <t>Thickness + Per</t>
  </si>
  <si>
    <t>Thickness+per u/ cek ketebalan mesin potong</t>
  </si>
  <si>
    <t>Pompa Air Shimitzu Ps 135</t>
  </si>
  <si>
    <t>Pompa air Shimitzu PS 135</t>
  </si>
  <si>
    <t>Tangki Air (Plate Sus, Holo, Seng Talang)</t>
  </si>
  <si>
    <t>2 unit tangki air (beserta plate SUS, holo, seng talang)</t>
  </si>
  <si>
    <t>Ac Split Duct Type Model Mac 100 + Yvc 100</t>
  </si>
  <si>
    <t>AC split duct type model MAC 100 + YVC 100</t>
  </si>
  <si>
    <t>Digital Thermo Hygrometer</t>
  </si>
  <si>
    <t>Digital thermo hygrometer</t>
  </si>
  <si>
    <t xml:space="preserve">Pallet Plastik </t>
  </si>
  <si>
    <t>Pallet plastik 15 pcs</t>
  </si>
  <si>
    <t xml:space="preserve">Pompa Air Motor 1½ Hp </t>
  </si>
  <si>
    <t xml:space="preserve">Pompa air motor 1½ HP </t>
  </si>
  <si>
    <t>Kipas Angin</t>
  </si>
  <si>
    <t>2 unit kipas angin u/ produksi</t>
  </si>
  <si>
    <t>Diesel Genset Cummins Ex.China 250 Kva</t>
  </si>
  <si>
    <t>Diesel genset Cummins ex.China 250 KVA</t>
  </si>
  <si>
    <t>Pompa Air Pressure Tank Cyber/Luso Frp 1665</t>
  </si>
  <si>
    <t>Pompa air pressure tank Cyber/Luso FRP 1665</t>
  </si>
  <si>
    <t xml:space="preserve">Pallet Plastic </t>
  </si>
  <si>
    <t>Pallet Plastic 30 Pcs</t>
  </si>
  <si>
    <t>Thickness Gauge</t>
  </si>
  <si>
    <t>Thickness gauge u/ cek ketebalan mesin potong</t>
  </si>
  <si>
    <t>Gas Elpiji 12Kg</t>
  </si>
  <si>
    <t>Gas elpiji 12kg 25 tabung</t>
  </si>
  <si>
    <t>1 Pompa Shimizu Ph 125</t>
  </si>
  <si>
    <t>1 Pompa Shimizu PH 125</t>
  </si>
  <si>
    <t>INVP.01/16</t>
  </si>
  <si>
    <t>Rak Bumbu</t>
  </si>
  <si>
    <t>Pembelian 1 unit rak bumbu</t>
  </si>
  <si>
    <t>INVP.06/12</t>
  </si>
  <si>
    <t>Proyek Pemipaan Minyak Olein Untuk Pabrik Boja</t>
  </si>
  <si>
    <t>Proyek Pemipaan Minyak Olein untuk Pabrik BOJA</t>
  </si>
  <si>
    <t>INVP.07/12</t>
  </si>
  <si>
    <t>Proyek Pemipaan Air Panas Untuk Pabrik Boja</t>
  </si>
  <si>
    <t>Proyek Pemipaan Air Panas untuk Pabrik BOJA</t>
  </si>
  <si>
    <t>INVP.08/12</t>
  </si>
  <si>
    <t>Proyek Pemipaan Line Potong Untuk Pabrik Boja</t>
  </si>
  <si>
    <t>Proyek Pemipaan Line Potong untuk Pabrik BOJA</t>
  </si>
  <si>
    <t>INVP.09/12</t>
  </si>
  <si>
    <t>Proyek Pemipaan Minyak Jelantah Untuk Pabrik Boja</t>
  </si>
  <si>
    <t>Proyek Pemipaan Minyak Jelantah untuk Pabrik BOJA</t>
  </si>
  <si>
    <t>INVP.10/12</t>
  </si>
  <si>
    <t>Proyek Pemipaan Pemindahan Ac Untuk Pabrik Boja</t>
  </si>
  <si>
    <t>Proyek Pemipaan Pemindahan AC untuk Pabrik BOJA</t>
  </si>
  <si>
    <t>INVP.11/12</t>
  </si>
  <si>
    <t>Pembayaran Proyek Pabrik Baru Pt Bmg ( Area Potong )</t>
  </si>
  <si>
    <t>Pembayaran Proyek Pabrik Baru PT BMG ( Area Potong )</t>
  </si>
  <si>
    <t>INVP.12/12</t>
  </si>
  <si>
    <t xml:space="preserve">Pembayaran Proyek Instalasi Angin Pabrik Baru Pt Bmg </t>
  </si>
  <si>
    <t xml:space="preserve">Pembayaran Proyek Instalasi Angin Pabrik Baru PT BMG </t>
  </si>
  <si>
    <t>INVP.13/12</t>
  </si>
  <si>
    <t>Pembayaran Proyek Pabrik Baru Pt Bmg ( Area Goreng )</t>
  </si>
  <si>
    <t>Pembayaran Proyek Pabrik Baru PT BMG ( Area Goreng )</t>
  </si>
  <si>
    <t>INVP.14/12</t>
  </si>
  <si>
    <t>Pembayaran Proyek Pabrik Baru Pt Bmg ( Area Kupas )</t>
  </si>
  <si>
    <t>Pembayaran Proyek Pabrik Baru PT BMG ( Area Kupas )</t>
  </si>
  <si>
    <t>INVP.15/12</t>
  </si>
  <si>
    <t>Pembayaran Proyek Pabrik Baru Pt Bmg ( Area Lain )</t>
  </si>
  <si>
    <t>Pembayaran Proyek Pabrik Baru PT BMG ( Area Lain )</t>
  </si>
  <si>
    <t>INVP.16/12</t>
  </si>
  <si>
    <t>Pembayaran Proyek Pabrik Baru Pt Bmg ( Pipa Olein )</t>
  </si>
  <si>
    <t>Pembayaran Proyek Pabrik Baru PT BMG ( Pipa Olein )</t>
  </si>
  <si>
    <t>INVP.17/12</t>
  </si>
  <si>
    <t>Pembayaran Proyek Pabrik Baru Pt Bmg ( Area Lain/Hand Pallet )</t>
  </si>
  <si>
    <t>Pembayaran Proyek Pabrik Baru PT BMG ( Area Lain/Hand Pallet )</t>
  </si>
  <si>
    <t>INVP.18/12</t>
  </si>
  <si>
    <t>Pembayaran Proyek Pabrik Baru Pt Bmg ( Warning Light And Sirene )</t>
  </si>
  <si>
    <t>Pembayaran Proyek Pabrik Baru PT BMG ( Warning Light and Sirene )</t>
  </si>
  <si>
    <t>INVP.19/12</t>
  </si>
  <si>
    <t>Pembayaran Proyek Pabrik Baru Pt Bmg ( Area Lain Such As : Lampu Darurat, Fly Catcher, Hand Dryer, And Spur )</t>
  </si>
  <si>
    <t>Pembayaran Proyek Pabrik Baru PT BMG ( Area Lain such as : Lampu Darurat, Fly Catcher, Hand Dryer, and Spur )</t>
  </si>
  <si>
    <t>INVP.20/12</t>
  </si>
  <si>
    <t>Pemasangan Instalasi Lpg Oleh Pt Aneka Gas Industri (Dp)</t>
  </si>
  <si>
    <t>Pemasangan Instalasi LPG oleh PT Aneka Gas Industri (DP)</t>
  </si>
  <si>
    <t>INVP.24/12</t>
  </si>
  <si>
    <t>Rak Trolly Dan Loyang Stainless</t>
  </si>
  <si>
    <t>DP Pembuatan Rak Trolly dan Loyang Stainless</t>
  </si>
  <si>
    <t>INVP.25/12</t>
  </si>
  <si>
    <t>Burner Gas</t>
  </si>
  <si>
    <t>DP Pembelian Burner Gas ke PT Arianto Darmawan Sejumlah 2 Unit</t>
  </si>
  <si>
    <t>INVP.29/12</t>
  </si>
  <si>
    <t>Pemasangan Instalasi Lpg (Pelunasan)</t>
  </si>
  <si>
    <t>Pemasangan Instalasi LPG oleh PT Aneka Gas Industri (Pelunasan)</t>
  </si>
  <si>
    <t>INVP.02/16</t>
  </si>
  <si>
    <t>Pallet Plastik</t>
  </si>
  <si>
    <t>Pembelian pallet plastik 100buah</t>
  </si>
  <si>
    <t>INVP.03/16</t>
  </si>
  <si>
    <t>Hitachi Electric Chain Hoist Kapasitas 2 Ton</t>
  </si>
  <si>
    <t>Pembelian 1 unit hitachi electric chain hoist kapasitas 2 ton</t>
  </si>
  <si>
    <t>INVP.06/16</t>
  </si>
  <si>
    <t>Rak Aging / Adonan</t>
  </si>
  <si>
    <t>Pembelian rak aging/rak adonan sebanyak 3 unit @Rp 2.850.000</t>
  </si>
  <si>
    <t>INVP.04/16</t>
  </si>
  <si>
    <t>Exhaust Fan</t>
  </si>
  <si>
    <t>Pembelian exhaust fan untuk sirkulasi udara &amp; uap di unit 3 90x90cm</t>
  </si>
  <si>
    <t>INVP.05/16</t>
  </si>
  <si>
    <t xml:space="preserve">Exhaust Fan </t>
  </si>
  <si>
    <t>Pembelian exhaust fan untuk sirkulasi udara &amp; uap di unit 3 60x60cm (2unit)</t>
  </si>
  <si>
    <t>INVP.07/16</t>
  </si>
  <si>
    <t xml:space="preserve">Hitachi Electric Chain Hoist Kapasitas 2 Ton </t>
  </si>
  <si>
    <t>Pembelian 1 unit hitachi electric chain hoist kapasitas 2 ton untuk lift unit 3</t>
  </si>
  <si>
    <t>INVP.08/16</t>
  </si>
  <si>
    <t xml:space="preserve">Ups Prolink 1200Va </t>
  </si>
  <si>
    <t>Pembelian UPS Prolink 1200va untuk metal detector</t>
  </si>
  <si>
    <t>INVP.09/16</t>
  </si>
  <si>
    <t xml:space="preserve">Ac Daikin 1,5Pk </t>
  </si>
  <si>
    <t>Pembelian AC Daikin 1,5PK beserta pemasangan di ruang kantor produksi</t>
  </si>
  <si>
    <t>INVP.10/16</t>
  </si>
  <si>
    <t xml:space="preserve">Panel Lift </t>
  </si>
  <si>
    <t>Panel untuk lift unit 3</t>
  </si>
  <si>
    <t>INVP.11/16</t>
  </si>
  <si>
    <t xml:space="preserve">Rangka Lift </t>
  </si>
  <si>
    <t>Rangka lift unit 3</t>
  </si>
  <si>
    <t>INVP.12/16</t>
  </si>
  <si>
    <t>Pekerjaan Tambah Daya Listrik Pln Dari 105Kva Menjadi 197Kva</t>
  </si>
  <si>
    <t>Pekerjaan tambah daya listrik PLN dari 105kva menjadi 197kva</t>
  </si>
  <si>
    <t>INVP.13/16</t>
  </si>
  <si>
    <t>Pengadaan Pipa Dan Pemasangan Instalasi Boiler Unit 3</t>
  </si>
  <si>
    <t>Pengadaan pipa dan pemasangan instalasi boiler unit 3</t>
  </si>
  <si>
    <t>INVP.14/16</t>
  </si>
  <si>
    <t>Pengajuan Kebutuhan Unit 3 (Rak Aging) 3 Unit</t>
  </si>
  <si>
    <t>Pengajuan kebutuhan unit 3 (Rak Aging) 3 unit</t>
  </si>
  <si>
    <t>INVP.15/16</t>
  </si>
  <si>
    <t xml:space="preserve">Pallet </t>
  </si>
  <si>
    <t>Pembelian pallet untuk inventory sebanyak 100 x Rp 330.000</t>
  </si>
  <si>
    <t>INVP.16/16</t>
  </si>
  <si>
    <t xml:space="preserve">Ac Daikin 2Pk </t>
  </si>
  <si>
    <t>Pembelian AC Daikin 2PK &amp; pemasangan untuk ruang sortir unit 3</t>
  </si>
  <si>
    <t>INVP.18/16</t>
  </si>
  <si>
    <t>Roll Coating 325X600Mm Pipa Stainless</t>
  </si>
  <si>
    <t>Pembelian 1 unit roll coating 325x600mm pipa stainless dari harga Rp 38.000.000</t>
  </si>
  <si>
    <t>INVP.17/16</t>
  </si>
  <si>
    <t xml:space="preserve">Oven Meja 9M Double Blower </t>
  </si>
  <si>
    <t>Pembelian oven meja 9m double blower dari harga Rp 73.000.000</t>
  </si>
  <si>
    <t>Penjualan oven meja 9m double blower dari harga Rp 73.000.000</t>
  </si>
  <si>
    <t>INVP.19/16</t>
  </si>
  <si>
    <t xml:space="preserve">Container Plastik </t>
  </si>
  <si>
    <t>Pembelian container plastik sebanyak 485 x Rp 40.000</t>
  </si>
  <si>
    <t>INVP.20/16</t>
  </si>
  <si>
    <t>Biaya Jasa Pembuatan Tangki Storage Kapasitas 2000Kg Untuk Mesin Continous Frying</t>
  </si>
  <si>
    <t>Biaya jasa pembuatan tangki storage kapasitas 2000kg untuk mesin continous frying</t>
  </si>
  <si>
    <t>INVP.21/16</t>
  </si>
  <si>
    <t>Exhause Fan 60X60Cm 24"</t>
  </si>
  <si>
    <t>Pembelian 2 unit exhause fan 60x60cm 24"</t>
  </si>
  <si>
    <t>INVP.22/16</t>
  </si>
  <si>
    <t>Rak Retain</t>
  </si>
  <si>
    <t>Pembelian aset ruang QC (Rak retain)</t>
  </si>
  <si>
    <t>INVP.23/16</t>
  </si>
  <si>
    <t xml:space="preserve">Cylinder 5 Warna Etiket Kriko Keripik Singkong </t>
  </si>
  <si>
    <t>Pembuatan cylinder 5 warna etiket kriko keripik singkong @Rp 2.145.000</t>
  </si>
  <si>
    <t>INVP.24/16</t>
  </si>
  <si>
    <t xml:space="preserve">Cylinder 5 Warna Etiket Kriko Netz </t>
  </si>
  <si>
    <t>Pembuatan cylinder 5 warna etiket kriko netz @Rp 2.145.000</t>
  </si>
  <si>
    <t>INVP.26/16</t>
  </si>
  <si>
    <t xml:space="preserve">Cylinder Etiket Umbiis Barbeque </t>
  </si>
  <si>
    <t>Pembuatan cylinder etiket umbiis barbeque sebanyak 5 warna</t>
  </si>
  <si>
    <t>INVP.25/16</t>
  </si>
  <si>
    <t xml:space="preserve">Cylinder Etiket Umbiis Original </t>
  </si>
  <si>
    <t>Pembuatan cylinder etiket umbiis original sebanyak 6 warna</t>
  </si>
  <si>
    <t>INVP.27/16</t>
  </si>
  <si>
    <t>Monitor Display Timbang Merk Gsc 9800</t>
  </si>
  <si>
    <t>Pembelian monitor display timbang merk GSC 9800 dengan max beban timbang 30.000kg</t>
  </si>
  <si>
    <t>INVP.28/16</t>
  </si>
  <si>
    <t>Inverter Toshiba Untuk Mesin Dough Sheeter</t>
  </si>
  <si>
    <t>Pembelian 2 unit inverter toshiba untuk mesin dough sheeter dari Pasuruan</t>
  </si>
  <si>
    <t>INVP.29/16</t>
  </si>
  <si>
    <t>Mesin Las Argon Type Tig Hyl 200 Ampere</t>
  </si>
  <si>
    <t>Pembelian mesin las argon type TIG HYL 200 ampere</t>
  </si>
  <si>
    <t>INVP.30/16</t>
  </si>
  <si>
    <t xml:space="preserve">Control Burner Wfm-05 230V Single Stage </t>
  </si>
  <si>
    <t>Pembelian 2 unit control burner WFM-05 230V single stage @Rp 2.079.000</t>
  </si>
  <si>
    <t>INVP.31/16</t>
  </si>
  <si>
    <t>Ac Daikin 2Pk &amp; Perbaikan Ac 2 Unit</t>
  </si>
  <si>
    <t>Pemasangan AC Daikin 2PK di ruang bagging &amp; perbaikan AC 2 unit</t>
  </si>
  <si>
    <t>INVP.32/16</t>
  </si>
  <si>
    <t xml:space="preserve">Las Plastik 60 Cm / Sealer 1 Pc </t>
  </si>
  <si>
    <t>Sumber makmur 4/11/16 las plastik 60 cm / sealer 1 pc x  Rp. 1.250.000</t>
  </si>
  <si>
    <t>INVP.33/16</t>
  </si>
  <si>
    <t xml:space="preserve">Rak Roll Untuk Tempat Roll </t>
  </si>
  <si>
    <t>Pembelian 1 unit rak roll untuk tempat roll dari Pasuruan</t>
  </si>
  <si>
    <t>INVP.34/16</t>
  </si>
  <si>
    <t>Pemasangan Lampu Gmp Ruang Bagging</t>
  </si>
  <si>
    <t>Pemasangan lampu GMP ruang bagging</t>
  </si>
  <si>
    <t>INVP.35/16</t>
  </si>
  <si>
    <t xml:space="preserve">Weighing System Packaging Machine </t>
  </si>
  <si>
    <t>Pembelian 1 unit Weighing System Packaging Machine dari harga Rp 118.500.000</t>
  </si>
  <si>
    <t>2020</t>
  </si>
  <si>
    <t>Penjualan Pembelian 1 unit Weighing System Packaging Machine dari harga Rp 118.500.000</t>
  </si>
  <si>
    <t>INVP.36/16</t>
  </si>
  <si>
    <t>Drum Fan Axial 16"</t>
  </si>
  <si>
    <t>2 unit drum Fan Axial 16"</t>
  </si>
  <si>
    <t>INVP.01/17</t>
  </si>
  <si>
    <t xml:space="preserve">Heater Horizontal 2 Set, Corong Ukuran 260Mm, Motor Wiper &amp; Pully </t>
  </si>
  <si>
    <t>Pembelian heater horizontal 2 set, corong ukuran 260mm, motor wiper &amp; pully 1 set</t>
  </si>
  <si>
    <t>INVP.02/17</t>
  </si>
  <si>
    <t>Accu 12V-120Ah 2 Unit</t>
  </si>
  <si>
    <t>Pembelian ACCU 12V-120Ah 2 unit untuk genset Rp 3.200.000</t>
  </si>
  <si>
    <t>INVP.03/17</t>
  </si>
  <si>
    <t>JM putera 9/2 blender philips 1 pc x585.000:585.000 u/ Qc</t>
  </si>
  <si>
    <t>INVP.04/17</t>
  </si>
  <si>
    <t>Pekerjaan Pembuatan Sumur Di Bpk. Herman Dari Harga Rp 65.000.000</t>
  </si>
  <si>
    <t>Pekerjaan pembuatan sumur di Bpk. Herman dari harga Rp 65.000.000</t>
  </si>
  <si>
    <t>INVP.05/17</t>
  </si>
  <si>
    <t>Ac Daikin 1,5Pk</t>
  </si>
  <si>
    <t>AC Daikin 1,5PK dari harga Rp 5.150.000 + material</t>
  </si>
  <si>
    <t>INVP.06/17</t>
  </si>
  <si>
    <t>Tranz Worm Gear</t>
  </si>
  <si>
    <t>Pembelian 1 unit tranz worm gear</t>
  </si>
  <si>
    <t>INVP.07/17</t>
  </si>
  <si>
    <t>Cylinder Kriko Opak Balado</t>
  </si>
  <si>
    <t>Cylinder Kriko Opak Balado 5 buah x @Rp 2.520.000</t>
  </si>
  <si>
    <t>INVP.08/17</t>
  </si>
  <si>
    <t xml:space="preserve">Mesin Vacum Sealer Merk Powerpack Dz-500 N/B 1 </t>
  </si>
  <si>
    <t>Pembelian mesin vacum sealer merk powerpack DZ-500 N/B 1 unit untuk bagian produksi</t>
  </si>
  <si>
    <t>INVP.09/17</t>
  </si>
  <si>
    <t xml:space="preserve">Cylinder Etiket Umbiis Pisang Coklat </t>
  </si>
  <si>
    <t>cylinder etiket umbiis pisang coklat 6 buah</t>
  </si>
  <si>
    <t>INVP.10/17</t>
  </si>
  <si>
    <t>Cylinder Etiket Umbiis Talas Seaweed</t>
  </si>
  <si>
    <t>cylinder etiket umbiis talas seaweed 6 buah</t>
  </si>
  <si>
    <t>INVP.11/17</t>
  </si>
  <si>
    <t xml:space="preserve">Pemasangan Lampu Rotary </t>
  </si>
  <si>
    <t>Pemasangan lampu rotary unit 1</t>
  </si>
  <si>
    <t>INVP.12/17</t>
  </si>
  <si>
    <t xml:space="preserve">Cylinder Etiket Umbiis Talas 50Gr Original </t>
  </si>
  <si>
    <t>cylinder etiket umbiis talas 50gr original 5 buah x @Rp 2.307.272,73</t>
  </si>
  <si>
    <t>INVP.13/17</t>
  </si>
  <si>
    <t xml:space="preserve">Cylinder Etiket Umbiis Pisang 70Gr Original </t>
  </si>
  <si>
    <t>Cylinder etiket umbiis pisang 70gr original 5 buah x @Rp 2.307.272,73</t>
  </si>
  <si>
    <t>INVP.14/17</t>
  </si>
  <si>
    <t xml:space="preserve">Chest Freezer Md-20A </t>
  </si>
  <si>
    <t>chest freezer MD-20A untuk produksi kerupuk tempe</t>
  </si>
  <si>
    <t>INVP.15/17</t>
  </si>
  <si>
    <t xml:space="preserve">Timbangan Acis Kapasitas 5Kg </t>
  </si>
  <si>
    <t>pembelian timbangan acis kapasitas 5kg sebanyak 4 unit x @Rp 575.000 untuk ekspor</t>
  </si>
  <si>
    <t>INVP.16/17</t>
  </si>
  <si>
    <t xml:space="preserve">Digital Thickness </t>
  </si>
  <si>
    <t>Digital thickness 1 unit Rp 4.402.000 PT. Kawan Lama Sejahtera</t>
  </si>
  <si>
    <t>INVP.17/17</t>
  </si>
  <si>
    <t>Mesin Vacum Yobeli</t>
  </si>
  <si>
    <t>Pembayaran mesin vacum Yobeli Rp 13.000.000</t>
  </si>
  <si>
    <t>INVP.18/17</t>
  </si>
  <si>
    <t xml:space="preserve">Cylinder Etiket Umbiis Balado </t>
  </si>
  <si>
    <t>Cylinder etiket umbiis balado 6 buah x @Rp 2.307.272,73</t>
  </si>
  <si>
    <t>INVP.19/17</t>
  </si>
  <si>
    <t>Boiler 10 Ton</t>
  </si>
  <si>
    <t>Boiler 10 ton</t>
  </si>
  <si>
    <t xml:space="preserve">Boiler 10 Ton </t>
  </si>
  <si>
    <t>Johan Syaiful, Penjualan Boiler 10 Ton 02/08/21</t>
  </si>
  <si>
    <t>INVP.20/17</t>
  </si>
  <si>
    <t xml:space="preserve">Pagar Partisi Dan Penutup Tangga Gudang </t>
  </si>
  <si>
    <t>Pagar partisi dan penutup tangga gudang di unit 1</t>
  </si>
  <si>
    <t>INVP.21/17</t>
  </si>
  <si>
    <t xml:space="preserve">Ac Samsung 1/2Pk </t>
  </si>
  <si>
    <t>Pembelian 1 unit AC Samsung 1/2PK beserta paket pemasangan</t>
  </si>
  <si>
    <t>INVP.22/17</t>
  </si>
  <si>
    <t xml:space="preserve">Inverter Toshiba 10Hp </t>
  </si>
  <si>
    <t>Pembelian inverter toshiba 10HP 2 unit x @Rp 10.636.364 untuk  unit 3</t>
  </si>
  <si>
    <t>INVP.23/17</t>
  </si>
  <si>
    <t xml:space="preserve">Roll Mild Steel 42Cmx7,5Cm </t>
  </si>
  <si>
    <t>Pembelian roll mild steel 42cmx7,5cm sebanyak 2 buah</t>
  </si>
  <si>
    <t>INVP.24/17</t>
  </si>
  <si>
    <t xml:space="preserve">Inverter Toshiba </t>
  </si>
  <si>
    <t>Inverter toshiba 2 unit x @Rp 4.545.455 untuk mesin cutting kerupuk tempe di unit 3</t>
  </si>
  <si>
    <t>INVP.25/17</t>
  </si>
  <si>
    <t>Pembelian AC Daikin 1,5PK &amp; pemasangan di ruang sortir unit 3</t>
  </si>
  <si>
    <t>INVP.27/17</t>
  </si>
  <si>
    <t xml:space="preserve">Palet Bekas </t>
  </si>
  <si>
    <t>Pembelian palet bekas 40 unit x @Rp 35.000 untuk gudang lebdosari (palet kayu)</t>
  </si>
  <si>
    <t>INVP.26/17</t>
  </si>
  <si>
    <t xml:space="preserve">Madas Gas Regulator Frg/2 Mcs Dn 25 </t>
  </si>
  <si>
    <t>Madas gas regulator FRG/2 MCS DN 25 sejumlah 1 unit untuk mesin continous frying</t>
  </si>
  <si>
    <t>INVP.28/17</t>
  </si>
  <si>
    <t>Timbangan Acis Ap-15X</t>
  </si>
  <si>
    <t>Timbangan acis AP-15X, Cap. 15kg,</t>
  </si>
  <si>
    <t>INVP.29/17</t>
  </si>
  <si>
    <t xml:space="preserve">Palet </t>
  </si>
  <si>
    <t>Pembelian palet 40 unit x @Rp 35.000 untuk gudang lebdosari</t>
  </si>
  <si>
    <t>INVP.30/17</t>
  </si>
  <si>
    <t>Keranjang Industri</t>
  </si>
  <si>
    <t>Pembelian keranjang industri</t>
  </si>
  <si>
    <t>INVP.31/17</t>
  </si>
  <si>
    <t xml:space="preserve">Exhaust Fan 100X100Cm </t>
  </si>
  <si>
    <t>Pembelian exhaust fan 100x100cm sebanyak 3 unit x @Rp 6.432.264</t>
  </si>
  <si>
    <t>INVP.32/17</t>
  </si>
  <si>
    <t>Trolly Siku 30X30X3, Ukuran 70X45X82</t>
  </si>
  <si>
    <t>Pembelian trolly siku 30x30x3, ukuran 70x45x82 sebanyak 4 unit x @Rp 925.000</t>
  </si>
  <si>
    <t>INVP.33/17</t>
  </si>
  <si>
    <t xml:space="preserve">Panel Kipas </t>
  </si>
  <si>
    <t>Pembelian &amp; pemasangan panel kipas unit 3 sebanyak 2 unit x @Rp 3.500.000</t>
  </si>
  <si>
    <t>INVP.34/17</t>
  </si>
  <si>
    <t>Jet Cleaner</t>
  </si>
  <si>
    <t>Pembelian jet cleaner sebanyak 1 set untuk area potong di unit 1</t>
  </si>
  <si>
    <t>INVP.35/17</t>
  </si>
  <si>
    <t xml:space="preserve">Hitachi Dh (Mesin Bor Tangan) </t>
  </si>
  <si>
    <t>Pembelian hitachi DH 2PC rotary hammer (mesin bor tangan) untuk bor besi dan bor tembok</t>
  </si>
  <si>
    <t>INVP.36/17</t>
  </si>
  <si>
    <t>Tumbler Pencucian Singkong</t>
  </si>
  <si>
    <t>Pembelian tumbler pencucian singkong Rp 85.000.000</t>
  </si>
  <si>
    <t>INVP.37/17</t>
  </si>
  <si>
    <t>Crane 2 Ton (Moveble) Second</t>
  </si>
  <si>
    <t>Pembelian crane 2 ton (moveble) second</t>
  </si>
  <si>
    <t>INVP.38/17</t>
  </si>
  <si>
    <t>Pembelian exhaust fan 100x100cm sebanyak 3 unit untuk sirkulasi udara</t>
  </si>
  <si>
    <t>INVP.39/17</t>
  </si>
  <si>
    <t xml:space="preserve">Panel Utama Power </t>
  </si>
  <si>
    <t>Perbaikan dan penggantian panel utama power di unit 3</t>
  </si>
  <si>
    <t>INVP.40/17</t>
  </si>
  <si>
    <t>Baskom Diameter 50Cm</t>
  </si>
  <si>
    <t>Pembelian Baskom diameter 50cm sebanyak 36 pcs x @Rp 87.000 u/ unit 1</t>
  </si>
  <si>
    <t>INVP.41/17</t>
  </si>
  <si>
    <t xml:space="preserve">Cover Flat Heater + Penutup Atap Type A Cover Glass Wall 1 Cover </t>
  </si>
  <si>
    <t>Cover flat heater + penutup atap type A cover glass wall 1 cover untuk unit 2</t>
  </si>
  <si>
    <t>INVP.42/17</t>
  </si>
  <si>
    <t>Instalasi Minyak Jelantah Unit 1</t>
  </si>
  <si>
    <t>Pengadaan instalasi Minyak jelantah unit 1</t>
  </si>
  <si>
    <t>INVP.43/17</t>
  </si>
  <si>
    <t>Instalasi Minyak Fresh</t>
  </si>
  <si>
    <t>Pengadaan instalasi minyak fresh</t>
  </si>
  <si>
    <t>INVP.44/17</t>
  </si>
  <si>
    <t>Palet Plastik</t>
  </si>
  <si>
    <t>Palet plastik 80 unit x Rp 350.000/unit Rp.28.000.000</t>
  </si>
  <si>
    <t>INVP.45/17</t>
  </si>
  <si>
    <t xml:space="preserve">Timbangan Henherr 40X50 Cm Kapasitas 150 Kg. </t>
  </si>
  <si>
    <t>Timbangan Henherr 40x50 cm kapasitas 150 kg. 3 unit x Rp 2.000.000</t>
  </si>
  <si>
    <t>INVP.46/17</t>
  </si>
  <si>
    <t>Pisau Potong</t>
  </si>
  <si>
    <t>Pembelian pisau potong 40 unit x @Rp 400.000</t>
  </si>
  <si>
    <t>INVP.47/17</t>
  </si>
  <si>
    <t>Pembelian pallet plastik 50 unit x Rp 350.000/unit di Bp. Mukim Surabaya, 30/7/17</t>
  </si>
  <si>
    <t>INVP.48/17</t>
  </si>
  <si>
    <t>Blower Axial Pully</t>
  </si>
  <si>
    <t>CV Multi Mitra Perkasa, Blower axial pully 2 unit x@ Rp 8.719.200 + ppn 10% , 14/08/17</t>
  </si>
  <si>
    <t>INVP.49/17</t>
  </si>
  <si>
    <t xml:space="preserve">Dig Thickness Gage </t>
  </si>
  <si>
    <t>PT Kawan Lama Sejahtera, Dig Thickness gage 10/10,01 mm 547 - 301, 2 x 3.741.700 + ppn 10%, 25/7/17</t>
  </si>
  <si>
    <t>INVP.50/17</t>
  </si>
  <si>
    <t>Tlg 200 Mjb Tlg Welding Machines / Mesin Tig Las</t>
  </si>
  <si>
    <t>PT Graha Multisarana Mesindo, TLG 200 mjb tlg welding machines / mesin tig las, 23/8/17</t>
  </si>
  <si>
    <t>INVP.51/17</t>
  </si>
  <si>
    <t xml:space="preserve">Chenta Worm Gear Speed Reducer Ass - 80 Ratio 1;30 </t>
  </si>
  <si>
    <t>T Mitra Tehnik Surya Persada, Chenta Worm gear speed reducer ass - 80 ratio 1;30 2unit ,28/8/17</t>
  </si>
  <si>
    <t>INVP.52/17</t>
  </si>
  <si>
    <t xml:space="preserve">Instalansi Input Minyak Fresh Cf </t>
  </si>
  <si>
    <t>Pengadaaan instalansi input minyak fresh CF Line 2 Unit 1</t>
  </si>
  <si>
    <t>INVP.53/17</t>
  </si>
  <si>
    <t xml:space="preserve">Trolly Rak Bahan </t>
  </si>
  <si>
    <t>CV Queen Jaya Teknik, Trolly rak bahan 1 unit x @Rp 3.538.000 + ppn 10%, 26/8/17</t>
  </si>
  <si>
    <t>INVP.54/17</t>
  </si>
  <si>
    <t xml:space="preserve">Panel Dan Lampu Led Area Sortir Dan Cf </t>
  </si>
  <si>
    <t>Agus Setyawan, Pekerjaan pengadaan panel dan lampu led area sortir dan cf unit 1, 27/8/17</t>
  </si>
  <si>
    <t>INVP.55/17</t>
  </si>
  <si>
    <t>Waskom Stainless 3 Lusin, &amp; Cheese Stick , Diameter 50Cm</t>
  </si>
  <si>
    <t>Waskom stainless 3 lusin, untuk produksi unit 1 dan cheese stick , diameter 50cm</t>
  </si>
  <si>
    <t>INVP.56/17</t>
  </si>
  <si>
    <t xml:space="preserve">High Speed Hand Driyer Ak2630-K 1X1399.000 </t>
  </si>
  <si>
    <t>High speed hand driyer AK2630-K 1x1399.000 u/ unit 1</t>
  </si>
  <si>
    <t>INVP.57/17</t>
  </si>
  <si>
    <t xml:space="preserve">Rak Roll </t>
  </si>
  <si>
    <t>Bengkel Las Enggal karya, Pembuatan Rak Roll unit 1 sudah dipotong relesi 5%, 19/9/17</t>
  </si>
  <si>
    <t>INVP.58/17</t>
  </si>
  <si>
    <t>Ac Daikin 2 Pk</t>
  </si>
  <si>
    <t>Pembelian AC Daikin 2 pk dan kelengkapannya untuk lorong unit 1 di Mitra Jasa Semarang , 28/9/17</t>
  </si>
  <si>
    <t>INVP.59/17</t>
  </si>
  <si>
    <t xml:space="preserve">Timbangan Digital </t>
  </si>
  <si>
    <t>Estimasi pembelian timbangan digital 2 unit kapasitas 150 kg dan 50 kg untuk produk pangsit</t>
  </si>
  <si>
    <t>INVP.60/17</t>
  </si>
  <si>
    <t>Rak Roll unit 1 ke 2</t>
  </si>
  <si>
    <t>INVP.61/17</t>
  </si>
  <si>
    <t>Pompa Food Water Boiler Kapasitas 10 M</t>
  </si>
  <si>
    <t>PT Beta Pramesi, 1 unit pompa food water boiler kapasitas 10 m/hr, 30/9/17</t>
  </si>
  <si>
    <t>INVP.62/17</t>
  </si>
  <si>
    <t>Radiator Kecil</t>
  </si>
  <si>
    <t>PT Beta Pramesi, 2 unit radiator kecil 6 lajur , 21/10/17</t>
  </si>
  <si>
    <t>INVP.63/17</t>
  </si>
  <si>
    <t>Blower Al Dan Motor 2 Pk</t>
  </si>
  <si>
    <t>PT Beta Pramesifitting 2unit blower al dan motor 2 pk 21/10/17</t>
  </si>
  <si>
    <t>INVP.64/17</t>
  </si>
  <si>
    <t xml:space="preserve">Radiator </t>
  </si>
  <si>
    <t>PT Beta Pramesti, 1 unit radiator 6 jalur , terpasang di heater box line 5 di unit 3 / 10/8/17</t>
  </si>
  <si>
    <t>INVP.65/17</t>
  </si>
  <si>
    <t>Blower Axial Pully,Typevap</t>
  </si>
  <si>
    <t>CV Multi Mitra Perkasa, 2 unit blower axial pully,typeVAP /2-500/10/20,dll + ppn 10%, 27/10/17</t>
  </si>
  <si>
    <t>INVP.66/17</t>
  </si>
  <si>
    <t>Weishaupt Value W - Mf Se 507 S22</t>
  </si>
  <si>
    <t>PT Trimitra wisesa abadi, 1 unit weishaupt value w - mf SE 507 S22+ PPN 10%, 12/10/17</t>
  </si>
  <si>
    <t>INVP.67/17</t>
  </si>
  <si>
    <t xml:space="preserve">Pemasanga Panel Utama,Tarik Kabel </t>
  </si>
  <si>
    <t>Toko putra langgeng elektrik pemasanga panel utama,tarik kabel unit 4 , 5/11/17 (pph pasal 23 2%)</t>
  </si>
  <si>
    <t>INVP.68/17</t>
  </si>
  <si>
    <t>Roll Belah 5Mm X 570Mm</t>
  </si>
  <si>
    <t>Jaya Mandiri, 1 set roll belah 5mm x 570mm digunakan untuk proses cutting produk short net, 20/9/17</t>
  </si>
  <si>
    <t>INVP.69/17</t>
  </si>
  <si>
    <t xml:space="preserve">Box Container </t>
  </si>
  <si>
    <t>Toko pasifik, 100 unit box container x Rp 98.000 untuk produksi unit 3</t>
  </si>
  <si>
    <t>INVP.70/17</t>
  </si>
  <si>
    <t>Corong Mp 10 Uk 340 Mm,Corong Mp 10 Uk 370 Mm</t>
  </si>
  <si>
    <t>Visan Engineering, Pembelian corong mp 10 uk 340 mm,corong mp 10 uk 370 mm 5/9/17 - 24/10/17</t>
  </si>
  <si>
    <t>INVP.71/17</t>
  </si>
  <si>
    <t>Burner Untuk Fryer</t>
  </si>
  <si>
    <t>Burner untuk Fryer</t>
  </si>
  <si>
    <t>INVP.72/17</t>
  </si>
  <si>
    <t xml:space="preserve">Nampan Steam 700X700 </t>
  </si>
  <si>
    <t>CV Queen jaya tehnik, nampan steam 700x700 u/ produksi balung kwuk 20unit+ppn 10%, 25/11/17</t>
  </si>
  <si>
    <t>INVP.73/17</t>
  </si>
  <si>
    <t>Asah Pisau Potong</t>
  </si>
  <si>
    <t>Bengkel Mandiri, Asah Pisau potong sebanyak 40 ocs x Harga Rp 125.000/pcs, 4/12/17</t>
  </si>
  <si>
    <t>INVP.74/17</t>
  </si>
  <si>
    <t>As Pisau Pangkon, 6 Pisau</t>
  </si>
  <si>
    <t>Pembuatan as pisau pangkon, 6 pisau Rp 75.000/unit,dll  di GG Bengkel, 12/12/17 u/ mesin cutting pos</t>
  </si>
  <si>
    <t>INVP.75/17</t>
  </si>
  <si>
    <t>Pisau potong Rp 16.000.000 40unit x @Rp 400.000</t>
  </si>
  <si>
    <t>INVP.76/17</t>
  </si>
  <si>
    <t>Instalansi Gas, Minyak, &amp; Air</t>
  </si>
  <si>
    <t>Instalansi gas, minyak, dan air,menunjang produksi singkong serut di unit 4</t>
  </si>
  <si>
    <t>INVP.77/17</t>
  </si>
  <si>
    <t>Rak Steam Uk 1790X760X760</t>
  </si>
  <si>
    <t>Rak steam uk 1790x760x760</t>
  </si>
  <si>
    <t>INVP.01/18</t>
  </si>
  <si>
    <t xml:space="preserve">Radiator Oven Meja Kecil </t>
  </si>
  <si>
    <t xml:space="preserve"> pemasangan 1 set radiator oven meja kecil u/ unit 3, 26/12/17, umar shodiq</t>
  </si>
  <si>
    <t>INVP.02/18</t>
  </si>
  <si>
    <t xml:space="preserve">Pisau Blitz Uk 670X70Mm </t>
  </si>
  <si>
    <t>4 pcs pisau blitz uk 670x70mm x Rp 875.000 di Agung jaya makmur, 27/12/17</t>
  </si>
  <si>
    <t>INVP.03/18</t>
  </si>
  <si>
    <t>Blitz Uk 410X70Mm</t>
  </si>
  <si>
    <t>4 pisau blitz uk 410x70mm 4pcs x Rp 875.000, di Agung jaya makmur, 27/12/17</t>
  </si>
  <si>
    <t>INVP.04/18</t>
  </si>
  <si>
    <t>Basket Besar,Merk Rabbit Uk 62X43X26</t>
  </si>
  <si>
    <t>Pembelian Basket Besar,merk rabbit uk 62x43x26, 20pcs x Rp 115.00/pcs u/ kupas</t>
  </si>
  <si>
    <t>INVP.05/18</t>
  </si>
  <si>
    <t>Waskom Stainlesh 50Cm</t>
  </si>
  <si>
    <t>Pembelian Waskom stainlesh 50cm sebanyak 3 lusin</t>
  </si>
  <si>
    <t>INVP.06/18</t>
  </si>
  <si>
    <t>Timbangan Kapasitas 150Kg &amp; 50Kg</t>
  </si>
  <si>
    <t>Timbangan kapasitas 150kg dan 50kg</t>
  </si>
  <si>
    <t>INVP.07/18</t>
  </si>
  <si>
    <t>Corong Mp - 10 Mmi Uk 290 Mm</t>
  </si>
  <si>
    <t>Corong MP - 10 MMI  uk 290 mm</t>
  </si>
  <si>
    <t>INVP.08/18</t>
  </si>
  <si>
    <t>Corong Mp 10 Uk. 280 Mm X 320 Mm</t>
  </si>
  <si>
    <t>Corong mp 10 uk. 280 mm x 320 mm</t>
  </si>
  <si>
    <t>INVP.09/18</t>
  </si>
  <si>
    <t xml:space="preserve">Roll Belah 22Mm </t>
  </si>
  <si>
    <t>Jaya Mandiri,1 set roll belah 22mm u/ mesin cutting krum tempe unit 3, 30/1/18</t>
  </si>
  <si>
    <t>INVP.10/18</t>
  </si>
  <si>
    <t>Rak Ss Ukuran 200X175X55 Cm</t>
  </si>
  <si>
    <t>1 unit Rak ss ukuran 200x175x55 cm untuk tempat raw material,3/3/18</t>
  </si>
  <si>
    <t>INVP.11/18</t>
  </si>
  <si>
    <t>Sikat Roll Polyser Uk. As 31Mm, Uk. Nylon 100Mm</t>
  </si>
  <si>
    <t>Pembuatan sikat roll polyser uk. As 31mm, uk. Nylon 100mm, u/ mesin brushing</t>
  </si>
  <si>
    <t>INVP.12/18</t>
  </si>
  <si>
    <t>Perlengkapan Untuk Area Pangsit Baru</t>
  </si>
  <si>
    <t>perlengkapan untuk area pangsit baru</t>
  </si>
  <si>
    <t>INVP.13/18</t>
  </si>
  <si>
    <t>Kerangjang Industri Merk Rabbit St</t>
  </si>
  <si>
    <t xml:space="preserve">pembelian kerangjang industri merk rabbit st 32pcs x Rp 160.000/pcs untuk produksi unit 1 </t>
  </si>
  <si>
    <t>INVP.14/18</t>
  </si>
  <si>
    <t xml:space="preserve">Digital Burete, Titrette </t>
  </si>
  <si>
    <t>PT Prima Mas Scientific, Digital burete, titrette 1 unitxRp 14.000.000, +PPN 10%, 12/11/18</t>
  </si>
  <si>
    <t>INVP.15/18</t>
  </si>
  <si>
    <t>AC Daikin 2PK (B216110004)</t>
  </si>
  <si>
    <t>1201-007</t>
  </si>
  <si>
    <t>1202-007</t>
  </si>
  <si>
    <t>6500-007</t>
  </si>
  <si>
    <t>INVP.16/18</t>
  </si>
  <si>
    <t>IP2.0019</t>
  </si>
  <si>
    <t>Corong Ukuran 340 Mm &amp; 370 Mm</t>
  </si>
  <si>
    <t>corong ukuran 340 mm &amp; 370 mm</t>
  </si>
  <si>
    <t>INVP.17/18</t>
  </si>
  <si>
    <t>Rak Roll</t>
  </si>
  <si>
    <t>Pembuatan rak roll</t>
  </si>
  <si>
    <t>INVP.01/19</t>
  </si>
  <si>
    <t xml:space="preserve">Printer Dk-802 Hot Ink </t>
  </si>
  <si>
    <t>Mahameru Machines Industry, pembelian printer DK-802 Hot Ink dikarenakan printer tersebut rusak</t>
  </si>
  <si>
    <t>INVP.02/19</t>
  </si>
  <si>
    <t>Mark Compresor Model Mss15</t>
  </si>
  <si>
    <t>Mark Compresor Model MSS15</t>
  </si>
  <si>
    <t>INVP.03/19</t>
  </si>
  <si>
    <t xml:space="preserve">Rak Store Roll Packing </t>
  </si>
  <si>
    <t>Rak Store Roll Packing Rp 44.426.750</t>
  </si>
  <si>
    <t>INVP.04/19</t>
  </si>
  <si>
    <t xml:space="preserve">Regulator Merk Rego Type Iv4403Ta </t>
  </si>
  <si>
    <t>Mandiri Tehnik, Regulator merk rego type Iv4403ta 1 unit, brg diterima tgl 2/2/19</t>
  </si>
  <si>
    <t>INVP.05/19</t>
  </si>
  <si>
    <t>Koronka Panel Insulation</t>
  </si>
  <si>
    <t>INVP.06/19</t>
  </si>
  <si>
    <t xml:space="preserve">Mesin Asah Pisau </t>
  </si>
  <si>
    <t>Mesin Asah Pisau Dharma Tekhnik</t>
  </si>
  <si>
    <t>INVP.07/19</t>
  </si>
  <si>
    <t xml:space="preserve">Rak Bumbu </t>
  </si>
  <si>
    <t>Rak Bumbu Unit 2 Karya Mandiri</t>
  </si>
  <si>
    <t>INVP.08/19</t>
  </si>
  <si>
    <t xml:space="preserve">Alumunium Sample Pans </t>
  </si>
  <si>
    <t>CV Setya Jaya Abadi, Alumunium sample pans 1 pak x Rp 1.600.000/pak, +PPN 10%</t>
  </si>
  <si>
    <t>INVP.09/19</t>
  </si>
  <si>
    <t>Blok End Seal</t>
  </si>
  <si>
    <t>CV Visan Engineering, Blok end seal 1unit x Rp 4.000.000/unit</t>
  </si>
  <si>
    <t>INVP.10/19</t>
  </si>
  <si>
    <t>Blok Seal</t>
  </si>
  <si>
    <t>Visan Engineering, Blok seal untuk unit 1 1set x Rp 4.500.000, Pisau 1pc x Rp 950.000, 19/4/19</t>
  </si>
  <si>
    <t>INVP.11/19</t>
  </si>
  <si>
    <t>Corong Mp-10</t>
  </si>
  <si>
    <t>Mahameru Machines Industry, Pembelian corong MP-10 1 unit x Rp 29.000.000 (50 BMG, 50 RSL)</t>
  </si>
  <si>
    <t>INVP.12/19</t>
  </si>
  <si>
    <t>Dhumidifier</t>
  </si>
  <si>
    <t>PT Mandiri Triadi Selwet Indonesia, Dhumidifier1 unit x Rp 12.825.000, +PPN 10%, -PPh 23 2%</t>
  </si>
  <si>
    <t>INVP.13/19</t>
  </si>
  <si>
    <t>Motor Pompa 3Hp Merk Omrog</t>
  </si>
  <si>
    <t>Bapak Herman, Pembelian motor pompa 3Hp merk Omrog Rp 7.500.000</t>
  </si>
  <si>
    <t>CV Sugondo, Printer utk Dept, Engineering 1unit x Rp 1.000.000, +PPN 10%, 21/1/20</t>
  </si>
  <si>
    <t>1201-006</t>
  </si>
  <si>
    <t>1202-006</t>
  </si>
  <si>
    <t>6500-006</t>
  </si>
  <si>
    <t>Pompa</t>
  </si>
  <si>
    <t>PT Mckarlen Asia Pasific, Pompa utk produksi unit 1 1pc x Rp 3.554.545,45/pc, +PPN 10%, 15/2/20</t>
  </si>
  <si>
    <t xml:space="preserve">Corong </t>
  </si>
  <si>
    <t>Mahameru Machines Industry, Corong utk bagging uk 440MP 1set, +By kirim 163.620, 14/1/20</t>
  </si>
  <si>
    <t xml:space="preserve">Pisau Potong Cassava </t>
  </si>
  <si>
    <t>Pisau potong cassava 20pc x Rp 500.000=Rp 10.000.000, sdh DP 50% tgl 3/3/20</t>
  </si>
  <si>
    <t>PT SAMB, Pallet Plastik 100pc x Rp 30.000/pc, +PPN 10%, 28/03/20 (FP bln Apr)</t>
  </si>
  <si>
    <t xml:space="preserve">Bag Former Uk 420Mp </t>
  </si>
  <si>
    <t>Mahameru Machines Industry, Bag former uk 420MP utk produk JANS, 17/03/20</t>
  </si>
  <si>
    <t>Heater</t>
  </si>
  <si>
    <t>Mahameru Machines Industry, Heater utk mesin packaging mahameru 2pc , 14/04/20</t>
  </si>
  <si>
    <t xml:space="preserve">Baskom Stainlees </t>
  </si>
  <si>
    <t>Baskom stainlees 12 pc x Rp 105.000 u/ produksi , 19/05/2020</t>
  </si>
  <si>
    <t xml:space="preserve">Motor Pompa Wwtp </t>
  </si>
  <si>
    <t>McKarlen, Motor pompa utk WWTP 1unit x Rp 5.378.182/unit, 30/07/20, +PPN 10%</t>
  </si>
  <si>
    <t>Timbangan Aw-30X</t>
  </si>
  <si>
    <t>Timbangan AW-30X 1 unit</t>
  </si>
  <si>
    <t xml:space="preserve">Timbangan Digital Aw-15X </t>
  </si>
  <si>
    <t>Timbangan Digital AW-15X 1unit</t>
  </si>
  <si>
    <t xml:space="preserve">Travo Las Titan </t>
  </si>
  <si>
    <t>CV Sumber teknik Travo las titan 1 Unit 8/10/20</t>
  </si>
  <si>
    <t xml:space="preserve">Motor Pompa Southern </t>
  </si>
  <si>
    <t>CV Rahayu Teknik, Pelunasan Motor pompa Southern 1unit utk project Nabati, +PPN 10%</t>
  </si>
  <si>
    <t xml:space="preserve">Waskon Stenles Lubang </t>
  </si>
  <si>
    <t>CV Mandiri Jaya Sejahtera, Waskon Stenles Lubang 36 Pcs 19/10/20</t>
  </si>
  <si>
    <t>Corong Bagformer</t>
  </si>
  <si>
    <t>Mahameru Machines Industry, Corong Bagformer untuk Mesin Mahameru 1 Unit 20/10/20</t>
  </si>
  <si>
    <t xml:space="preserve">Timbangan Model Aw-15X </t>
  </si>
  <si>
    <t>TP Libra Emas Permata, Timbangan Model AW-15X 1 Unit 22/10/20</t>
  </si>
  <si>
    <t>Motor Pompa Bekas Merk Cnp</t>
  </si>
  <si>
    <t>Aneka Guna Teknik, Motor Pompa Bekas 2 Unit Merk CNP 28/10/20</t>
  </si>
  <si>
    <t>Motor Pompa Bekas Merk Loara</t>
  </si>
  <si>
    <t>Aneka Guna Teknik, Motor Pompa Bekas 2 Unit Merk Loara 28/10/20</t>
  </si>
  <si>
    <t xml:space="preserve">Sparepart Time Line 1 &amp; 3 </t>
  </si>
  <si>
    <t>Sparepart Time Line 1 &amp; 3 untuk Friyer &amp; String Machine Project Nabati 16/10/20</t>
  </si>
  <si>
    <t>Power Supply "Omron"</t>
  </si>
  <si>
    <t>CV Teras Kurnia Teknik, Power Supply "Omron" 1pc x Rp 1.100.000/pc, 03/11/20 utk metal detector</t>
  </si>
  <si>
    <t>Stand Fan Almn Evaprotive</t>
  </si>
  <si>
    <t>PT Industrial Multi Fan, Stand Fan Almn Evaprotive 2 Pcs 5/11/20</t>
  </si>
  <si>
    <t xml:space="preserve">Filter Gas Lpg "Madas" &amp; Fihser </t>
  </si>
  <si>
    <t>Filter Gas LPG "Madas" 1pc &amp; Fihser 1/pc, 11/11/20 utk Nabati</t>
  </si>
  <si>
    <t xml:space="preserve">Gear Modul </t>
  </si>
  <si>
    <t>Bengkel Harto, Pelunasan gear modul utk project Nabati 4pcs, sdh DP 50% tgl 23/10/20</t>
  </si>
  <si>
    <t xml:space="preserve">Indicator Merk Sony Type Sp 320 </t>
  </si>
  <si>
    <t>CV Aji Bangkit Sejahtera, Indicator Merk Sony Type SP 320 25/11/20</t>
  </si>
  <si>
    <t xml:space="preserve">Tranz Gear Speed Reducer </t>
  </si>
  <si>
    <t>PT Mitra Teknik Surya, Tranz Gear Speed Reducer 3 unit 27/11/20</t>
  </si>
  <si>
    <t xml:space="preserve">Aki Gs </t>
  </si>
  <si>
    <t>PT Aki &amp; Oli, Aki GS 2 Pcs 26/11/20</t>
  </si>
  <si>
    <t xml:space="preserve">Boiler + Packing Set Klinger  </t>
  </si>
  <si>
    <t>CV Mandiri Jaya Sejahtera, Boiler + Packing Set Klinger  22/12/20</t>
  </si>
  <si>
    <t xml:space="preserve">Alat Kontrol Level Minyak </t>
  </si>
  <si>
    <t>Adi Santoso, Alat Kontrol Level Minyak 2 Unit 15/12/20 Project Nabati</t>
  </si>
  <si>
    <t xml:space="preserve"> Modifikasi Renceng Mesin Mp-10 </t>
  </si>
  <si>
    <t>Mahameru, Modifikasi renceng mesin MP-10 (Pisau T, Cylinder, Selenoid Velve</t>
  </si>
  <si>
    <t xml:space="preserve">Hand Sealer </t>
  </si>
  <si>
    <t xml:space="preserve">Toko Mesin Maksindo, Hand Sealer 1 Unit x Rp 1.270.000/unit </t>
  </si>
  <si>
    <t>Inventaris Pabrik Project He</t>
  </si>
  <si>
    <t>Pembelian Inventaris Pabrik Project HE</t>
  </si>
  <si>
    <t>IP1.1719 - IP1.1720</t>
  </si>
  <si>
    <t>Tangki Baru Kapasitas 14.000-15.000 Kg</t>
  </si>
  <si>
    <t>Adi Santoso, Pembelian 2 Unit Tangki baru Kapasitas 14.000-15.000 Kg 2/2/21</t>
  </si>
  <si>
    <t>IP1.1721</t>
  </si>
  <si>
    <t xml:space="preserve">Piping Minyak Goreng </t>
  </si>
  <si>
    <t>Adi Santoso, Pembuatan Piping Minyak Goreng Project Nabati 3/3/21</t>
  </si>
  <si>
    <t>IP1.1722</t>
  </si>
  <si>
    <t>Timbangan Hybrid A12 Kapasitas 300Kg</t>
  </si>
  <si>
    <t>CV Mitra Teknik Precision, Timbangan Hybrid A12 Kapasitas 300Kg 27/03/21</t>
  </si>
  <si>
    <t>IP1.1723</t>
  </si>
  <si>
    <t xml:space="preserve">Motor Jet Cleaner Karcher K 3 </t>
  </si>
  <si>
    <t>Tokopedia, Motor Jet Cleaner Karcher K 3 1 Pcs 01/04/21</t>
  </si>
  <si>
    <t>IP1.1724</t>
  </si>
  <si>
    <t xml:space="preserve">Tangki Penguin Stenlis 1000Liter </t>
  </si>
  <si>
    <t>Rejo Makmur, Pembelian Tangki Penguin Stenlis 1000Liter 22/04/21</t>
  </si>
  <si>
    <t>IP1.1725</t>
  </si>
  <si>
    <t xml:space="preserve">Meja Conveyor Area S2 Fcc U.I </t>
  </si>
  <si>
    <t>Adi Santoso, Meja Conveyor Area S2 FCC U.I 18/05/21</t>
  </si>
  <si>
    <t>IP1.1726</t>
  </si>
  <si>
    <t xml:space="preserve">Timbangan Hybrid Dan Sistem </t>
  </si>
  <si>
    <t>PT Intitek Presisi Integrasi, Timbangan Hybrid dan Sistem 1unit x Rp 22.320.000/unit</t>
  </si>
  <si>
    <t>IP1.1727</t>
  </si>
  <si>
    <t>Filter Minyak &amp; Instalasi Modif Continous Frying</t>
  </si>
  <si>
    <t>Adi Santoso, Pembuatan Filter Minyak dan Instalasi Modif Continous Frying</t>
  </si>
  <si>
    <t>IP1.1728</t>
  </si>
  <si>
    <t xml:space="preserve">Thermometer Testo </t>
  </si>
  <si>
    <t>PT Summa Prosperi, Thermometer testo 1 unit x Rp 4.260.000/unit, +PPN 10%, 20/09/21</t>
  </si>
  <si>
    <t>IP1.1729 - IP1.1730</t>
  </si>
  <si>
    <t>Motor Pompa Centrifugal SYT 50-200 2set</t>
  </si>
  <si>
    <t>PT Elang Gemilang Jaya, Motor Pompa Centrifugal SYT 50-200 2set, +PPN 10%, CBD</t>
  </si>
  <si>
    <t>IP1.1731</t>
  </si>
  <si>
    <t xml:space="preserve">Mesin Las Titan TIG 200HD 1unit </t>
  </si>
  <si>
    <t>CV Sumber Teknik, Mesin Las Titan TIG 200HD 1unit x Rp 3.400.000/unit 25/10/21</t>
  </si>
  <si>
    <t>IP1.1732</t>
  </si>
  <si>
    <t>Pompa Jet Cleaner</t>
  </si>
  <si>
    <t>Pusat Pompa, Pembelian Pompa Jet Cleaner 1unit x Rp 6.050.000/unit, 06/10/21, Biaya Admin</t>
  </si>
  <si>
    <t>IP1.1733</t>
  </si>
  <si>
    <t>Steamer 20rak 1set</t>
  </si>
  <si>
    <t>CV Revon Teknologi, PELUNASAN Steamer 20rak 1set x Rp 22.000.000/set 30/11/21</t>
  </si>
  <si>
    <t>IP1.1734</t>
  </si>
  <si>
    <t>Blancer Cuci Singkong &amp; Incline Conveyor</t>
  </si>
  <si>
    <t>Adi Santoso, Pembelian Blancer Cuci Singkong &amp; Incline Conveyor 02/02/22 ( 100Jt - 7.370.000 Motor Yumna )</t>
  </si>
  <si>
    <t>IP1.1735</t>
  </si>
  <si>
    <t>Multi Function Digital Scale</t>
  </si>
  <si>
    <t>PT Libra Emas Permata, Multi Function Digital Scale 1 Unit x 1.300.000/Unit 05/02/22</t>
  </si>
  <si>
    <t>IP1.1736</t>
  </si>
  <si>
    <t>Tangki Air Bersih 6.000Ltr</t>
  </si>
  <si>
    <t>Adi Santoso, Pembelian Tangki Air Bersih 6.000Ltr, Rp 35.000.000, 14/02/2022</t>
  </si>
  <si>
    <t>IP1.1737</t>
  </si>
  <si>
    <t>Tangki Air 10.000 Liter SUS 304 utk area boiler</t>
  </si>
  <si>
    <t>Adi Santoso, Tangki Air 10.000 Liter SUS 304 utk area boiler, 22/02/2022</t>
  </si>
  <si>
    <t>IP1.1738</t>
  </si>
  <si>
    <t>Tangki Minyak Fresh 14.500ltr</t>
  </si>
  <si>
    <t>Adi Santoso, Pembelian Tangki Minyak Fresh 14.500ltr, 22/02/22</t>
  </si>
  <si>
    <t>IP1.1739</t>
  </si>
  <si>
    <t>Vision Sensor IV2-G300CA</t>
  </si>
  <si>
    <t>PT Keyence Indonesia, Vision Sensor IV2-G300CA 1set x Rp 40.000.000/set 23/03/2022</t>
  </si>
  <si>
    <t>IP1.1740</t>
  </si>
  <si>
    <t>Vision Sensor Display IV2-CP50</t>
  </si>
  <si>
    <t>PT Keyence Indonesia, Vision Sensor Display IV2-CP50 1set x 10.000.000/Set 23/03/2022</t>
  </si>
  <si>
    <t>IP1.1741</t>
  </si>
  <si>
    <t>Conveyor inclane CF2</t>
  </si>
  <si>
    <t>CV Mandiri Jaya Sejahtera, Conveyor inclane CF2 1 Set x 70.0000 16/02/2022</t>
  </si>
  <si>
    <t>IP1.1742</t>
  </si>
  <si>
    <t>Meja Conveyor 8m</t>
  </si>
  <si>
    <t>CV Mandiri Jaya Sejahtera, Meja Conveyor 8m 1set 29/03/22</t>
  </si>
  <si>
    <t>IP1.1743</t>
  </si>
  <si>
    <t>Meja Conveyor 5m 1set</t>
  </si>
  <si>
    <t>CV Mandiri Jaya Sejahtera, Meja Conveyor 5m 1set 29/03/22</t>
  </si>
  <si>
    <t>IP1.1744</t>
  </si>
  <si>
    <t>Conveyor Take Out CF1</t>
  </si>
  <si>
    <t>Adi Santoso, Instalasi Conveyor Take Out CF1, -PPh 3%, 08/04/22 Material</t>
  </si>
  <si>
    <t>IP1.1745</t>
  </si>
  <si>
    <t>Panel Control</t>
  </si>
  <si>
    <t xml:space="preserve">CV Teras Kurnia Teknik, Panel Control Dewatering System 1set x Rp 11.500.000/set, 12/04/22 </t>
  </si>
  <si>
    <t>IP1.1746</t>
  </si>
  <si>
    <t>Control Genset</t>
  </si>
  <si>
    <t>CV Teras Karunia Teknik, Control Genset 1 Set x 8.500.000/Set 10/05/22</t>
  </si>
  <si>
    <t>IP1.1747</t>
  </si>
  <si>
    <t>Hotplate Magnetic Stirrer 1unit</t>
  </si>
  <si>
    <t>Digilifeweb.com, Hotplate Magnetic Stirrer 1unit x Rp 1.844.000/unit 04/06/22</t>
  </si>
  <si>
    <t>IP1.1748</t>
  </si>
  <si>
    <t>Rak Sedimentation Cone</t>
  </si>
  <si>
    <t>CV Cahaya Lab Cemerlang, Rak Sedimentation Cone 1Pcs x 1.776.577/Pcs 13/06/22</t>
  </si>
  <si>
    <t>IP1.1749</t>
  </si>
  <si>
    <t>Krischef Teko Listrik</t>
  </si>
  <si>
    <t xml:space="preserve">Borolo Store (Tokopedia), Krischef Teko Listrik 20ltr 1unit, 28/07/22 </t>
  </si>
  <si>
    <t>IP1.1750</t>
  </si>
  <si>
    <t>Treker Bearing 30-150 mm 1Pcs</t>
  </si>
  <si>
    <t>Sinar Jaya Teknik, Treker Bearing 30-150 mm 1Pcs 01/08/22</t>
  </si>
  <si>
    <t>IP1.1751</t>
  </si>
  <si>
    <t xml:space="preserve">Spray Fan </t>
  </si>
  <si>
    <t>PT Industrial Multi Fan, Spray Fan 1bh x Rp 4.387.072/bh, 18/08/22</t>
  </si>
  <si>
    <t>IP1.1752</t>
  </si>
  <si>
    <t>Jangka Sorong Max 300 mm</t>
  </si>
  <si>
    <t>Teknik Loak, Jangka Sorong  Max 300 mm, Mitutoyo 1Pcs 20/08/22</t>
  </si>
  <si>
    <t>IP1.1753</t>
  </si>
  <si>
    <t>Tachometer alat Pengukur Arus Listrik</t>
  </si>
  <si>
    <t>Cable_man (Tokopedia), Tachometer alat Pengukur Arus Listrik 1unit 02/09/22</t>
  </si>
  <si>
    <t>IP1.1754</t>
  </si>
  <si>
    <t>Gun Chemical Hilti 500 DM</t>
  </si>
  <si>
    <t>Toko Barang Bagus, Gun Chemical Hilti 500 DM 1Pcs 07/09/22</t>
  </si>
  <si>
    <t>IP1.1755</t>
  </si>
  <si>
    <t xml:space="preserve">Battery Charger Aki 1 </t>
  </si>
  <si>
    <t xml:space="preserve">PT Kawan Lama Sejahtera, Battery Charger Aki 1 unit x Rp 8,080,100/unit 26/09/22 </t>
  </si>
  <si>
    <t>IP1.1756</t>
  </si>
  <si>
    <t>Akhi - Shop, Thermogun Gagang 1Pcs 07/10/22</t>
  </si>
  <si>
    <t>IP1.1757</t>
  </si>
  <si>
    <t>Temperatur Sensor</t>
  </si>
  <si>
    <t>PT Almega Sejahtera, Temperatur Sensor 1 pcs x Rp 1,700,000  14/10/22</t>
  </si>
  <si>
    <t>IP1.1758</t>
  </si>
  <si>
    <t>Conveyor Rejector</t>
  </si>
  <si>
    <t xml:space="preserve">PT Performa Mahardika Indonesia, Conveyor Rejector 1pc x Rp 68.500.000/pc, +PPN 10%, 10/11/22 </t>
  </si>
  <si>
    <t>IP1.1759</t>
  </si>
  <si>
    <t>Indikator Sonic</t>
  </si>
  <si>
    <t>CV Mitra Teknik Precision, Indikator Sonic SP320 1pcs x 1.600.000/Pcs 28/11/22</t>
  </si>
  <si>
    <t>IP1.1760</t>
  </si>
  <si>
    <t>CV Mandiri Jaya Sejahtera, Agitator utk mesin goreng BF 1unit x Rp 10.750.000/unit 16/12/22</t>
  </si>
  <si>
    <t>IP1.1761</t>
  </si>
  <si>
    <t>Burner WG</t>
  </si>
  <si>
    <t>PT Arianto Darmawan, Burner WG 1un x Rp 50.000.000/un, +PPN 11%, 16/01/23</t>
  </si>
  <si>
    <t>IP1.1762</t>
  </si>
  <si>
    <t>Timbangan Waterproff 60kg</t>
  </si>
  <si>
    <t>CV Mitra Teknik Precision, Timbangan Waterproff 60kg 1unit x Rp 5.800.000/unit, +PPN 11%, 06/02</t>
  </si>
  <si>
    <t>IP1.1763</t>
  </si>
  <si>
    <t>Universal Fritter Cooper</t>
  </si>
  <si>
    <t>PT Royal Sutan Agung, Universal Fritter Cooper 1Pcs x 9.672.500/Pcs 20/02/23</t>
  </si>
  <si>
    <t>IP1.1764</t>
  </si>
  <si>
    <t>Mesin Bor Portable Merk Bosch , Type GDS 18 V</t>
  </si>
  <si>
    <t>Terang Jaya Teknik, Mesin Bor Portable Merk Bosch , Type GDS 18 V - 400 1Unit Untuk membuka baut</t>
  </si>
  <si>
    <t>IP1.1765</t>
  </si>
  <si>
    <t>Mesin Jet Cleaner HD 7/11-4</t>
  </si>
  <si>
    <t>PT Sinergi Solusi Sampurna, Mesin Jet Cleaner HD 7/11-4 1 Unit x 13.378.378/Unit 10/03/23</t>
  </si>
  <si>
    <t>IP1.1766</t>
  </si>
  <si>
    <t>Mesin Jet Cleaner HD 5/11</t>
  </si>
  <si>
    <t>PT Sinergi Solusi Sampurna, Mesin Jet Cleaner HD 5/11 1Unit x 5.855.857/Unit 10/03/23</t>
  </si>
  <si>
    <t>IP1.1767 - IP1.1768</t>
  </si>
  <si>
    <t>Troli Stainless</t>
  </si>
  <si>
    <t>Adi Santoso, Troli Stainless 2unit x Rp 1.100.000/unit, 20/03/23</t>
  </si>
  <si>
    <t>IP1.1769</t>
  </si>
  <si>
    <t>Mesin Kunci Impact Kunci Max : 22 mm, Bosch</t>
  </si>
  <si>
    <t>Terang Jaya Teknik, Mesin Kunci Impact Kunci Max : 22 mm, Bosch 1Pcs Untuk Mekanisme Kerja</t>
  </si>
  <si>
    <t>IP1.1770</t>
  </si>
  <si>
    <t>Pompa Grundfos SP</t>
  </si>
  <si>
    <t xml:space="preserve">PT Bangun Griya Kencana, Pompa Grundfos SP 9-11 Full Set 1 unit x Rp. 27.904.328/unit, 26/05/23 </t>
  </si>
  <si>
    <t>IP2.0020</t>
  </si>
  <si>
    <t>Piping &amp; tangki kap 1200 ltr</t>
  </si>
  <si>
    <t>CV Mandiri Jaya Sejahtera, Piping &amp; tangki kap 1200 ltr , +PPN 11%, 21/06/23</t>
  </si>
  <si>
    <t>IP1.1771</t>
  </si>
  <si>
    <t>Pipa Air Tekanan Tinggi</t>
  </si>
  <si>
    <t>CV Mandiri Jaya Sejahtera, Pipa Air Tekanan Tinggi 17.042.000/Set, 22/06/23</t>
  </si>
  <si>
    <t>IP1.1772</t>
  </si>
  <si>
    <t>Drum Roaster</t>
  </si>
  <si>
    <t>Adi Santoso, Drum Roaster 1unit x Rp 30.000.000/unit, 11/08/23</t>
  </si>
  <si>
    <t>IP1.1773</t>
  </si>
  <si>
    <t>Rak SS</t>
  </si>
  <si>
    <t>CV Mandiri Jaya Sejahtera, Rak SS 1set x Rp 2.500.000/set, 21/09/23</t>
  </si>
  <si>
    <t>IP1.1774</t>
  </si>
  <si>
    <t>Pintu Plat SS</t>
  </si>
  <si>
    <t>CV Mandiri Jaya Sejahtera, Pintu Plat SS 1set x Rp 4.000.000/set, 21/09/23</t>
  </si>
  <si>
    <t>IP1.1775 - IP1.1779</t>
  </si>
  <si>
    <t>Bak Uap Cerobong</t>
  </si>
  <si>
    <t>Adi Santoso, Bak Uap Cerobong 5unit x Rp 6.400.000/unit, 03/10/23 GR 31/09/23</t>
  </si>
  <si>
    <t>IP2.0021</t>
  </si>
  <si>
    <t>Platform Urschel</t>
  </si>
  <si>
    <t>Adi Santoso, Platform Urschel 03/10/23 GR 31/08/23</t>
  </si>
  <si>
    <t>IP2.0022</t>
  </si>
  <si>
    <t>Table Roll</t>
  </si>
  <si>
    <t>CV Mandiri Jaya Sejahtera, Table Roll 1 Set x 60.000.000/Set, +PPn 11% 13/10/23</t>
  </si>
  <si>
    <t>IP1.1780 - IP1.1783</t>
  </si>
  <si>
    <t>Hopper Konveyor Goreng</t>
  </si>
  <si>
    <t>CV Mandiri Jaya Sejahtera, Hopper Konveyor Goreng 4Pcs x 1.200.000/Pcs, 03/11/23</t>
  </si>
  <si>
    <t>IP2.0023 - IP2.0025</t>
  </si>
  <si>
    <t>Penggerak Wajan Peniris</t>
  </si>
  <si>
    <t>CV Mandiri Jaya Sejahtera, Pelunasan 50% Penggerak Wajan Peniris 3set x Rp. 16.500.000/set 29/11/23</t>
  </si>
  <si>
    <t>IP2.0026 - IP2.0028</t>
  </si>
  <si>
    <t>Komponen Batch Fryer</t>
  </si>
  <si>
    <t>CV Mandiri Jaya Sejahtera, Komponen Batch Fryer 3set x Rp 60.000.000/set, +PPN 11%,</t>
  </si>
  <si>
    <t>IP1.1784</t>
  </si>
  <si>
    <t>Industrial Portable &amp; Mobile Fans</t>
  </si>
  <si>
    <t>PT Winspeed Engineering Works, Industrial Portable &amp; Mobile Fans 1 unit x 15.750.000/unit 1/12/23</t>
  </si>
  <si>
    <t>IP1.1785</t>
  </si>
  <si>
    <t>Pompa Air Diesel Portable Kapasitas 600 L / menit</t>
  </si>
  <si>
    <t>Aneka Jaya Teknik, Pompa Air Diesel Portable Kapasitas 600 L / menit 1Unit Untuk WWTP 07/12/23</t>
  </si>
  <si>
    <t>IP2.0029</t>
  </si>
  <si>
    <t>Bak Kapasitas 200Liter</t>
  </si>
  <si>
    <t>CV Mandiri Jaya Sejahtera, Bak Kapasitas 200Liter u/ Limbah Cucian 1Unit x 5.000.000/Unit, 20/12/23</t>
  </si>
  <si>
    <t>IP2.0030</t>
  </si>
  <si>
    <t>Conveyor Table Top Chain</t>
  </si>
  <si>
    <t>Adi Santoso, Conveyor Table Top Chain 1 Unit x 45.000.000/Pcs, 14/12/23</t>
  </si>
  <si>
    <t>IP1.1786</t>
  </si>
  <si>
    <t>Hand Pallet 5Ton</t>
  </si>
  <si>
    <t>PT Denko Wahana Sakti, Hand Pallet 5Ton 1Unit x 8.200.000/Unit, 22/12/23</t>
  </si>
  <si>
    <t>IP1.1787</t>
  </si>
  <si>
    <t>13 Jan 2024</t>
  </si>
  <si>
    <t>Agitator Motor Gearbox 0,3 KW</t>
  </si>
  <si>
    <t>IP2.0031</t>
  </si>
  <si>
    <t>15 Jan 2024</t>
  </si>
  <si>
    <t>Platform Mesin Goreng Unit 1</t>
  </si>
  <si>
    <t>IP2.0032</t>
  </si>
  <si>
    <t>Platform Mesin Goreng Unit 2</t>
  </si>
  <si>
    <t>IP2.0033</t>
  </si>
  <si>
    <t>Platform Mesin Goreng Unit 3</t>
  </si>
  <si>
    <t>IP1.1788</t>
  </si>
  <si>
    <t>Pompa KSB SYT 50-200</t>
  </si>
  <si>
    <t>IP1.1789</t>
  </si>
  <si>
    <t>KSB Plain Bearing SYT 50-200</t>
  </si>
  <si>
    <t>IP1.1790</t>
  </si>
  <si>
    <t>06 Feb 2024</t>
  </si>
  <si>
    <t>Mesin Las TIG 200 A-SA Merek Multipro</t>
  </si>
  <si>
    <t>IP1.1791</t>
  </si>
  <si>
    <t>Agitator Unit 1</t>
  </si>
  <si>
    <t>IP1.1792</t>
  </si>
  <si>
    <t>Agitator Unit 2</t>
  </si>
  <si>
    <t>IP1.1793</t>
  </si>
  <si>
    <t>Agitator Unit 3</t>
  </si>
  <si>
    <t>IP1.1794</t>
  </si>
  <si>
    <t>Mesin Las</t>
  </si>
  <si>
    <t>IP1.1795</t>
  </si>
  <si>
    <t>Kobelco Screw Compressor</t>
  </si>
  <si>
    <t>IP1.1796</t>
  </si>
  <si>
    <t>Mesin Bor Tangan</t>
  </si>
  <si>
    <t>IP1.1797</t>
  </si>
  <si>
    <t>Drump Pump</t>
  </si>
  <si>
    <t>IP1.1798</t>
  </si>
  <si>
    <t>Mesin Pelumat (Merk Getra) Universal Fritter LFC -18V1</t>
  </si>
  <si>
    <t>IP1.1801</t>
  </si>
  <si>
    <t>13 Jun 2024</t>
  </si>
  <si>
    <t>Armhood Extractor</t>
  </si>
  <si>
    <t>IP1.1799</t>
  </si>
  <si>
    <t>Microscope Binocular Model  XSZ-107 BN-B</t>
  </si>
  <si>
    <t>IP1.1800</t>
  </si>
  <si>
    <t>Aksesoris Microscope</t>
  </si>
  <si>
    <t>IP1.1802</t>
  </si>
  <si>
    <t>IP1.1803</t>
  </si>
  <si>
    <t>IP1.1804</t>
  </si>
  <si>
    <t>IP1.1806</t>
  </si>
  <si>
    <t>Cyclone Ventilator Tahap 2 Unit 1</t>
  </si>
  <si>
    <t>IP1.1807</t>
  </si>
  <si>
    <t>Cyclone Ventilator Tahap 2 Unit 2</t>
  </si>
  <si>
    <t>IP1.1808</t>
  </si>
  <si>
    <t>Cyclone Ventilator Tahap 2 Unit 3</t>
  </si>
  <si>
    <t>IP1.1809</t>
  </si>
  <si>
    <t>Cyclone Ventilator Tahap 2 Unit 4</t>
  </si>
  <si>
    <t>IP1.1810</t>
  </si>
  <si>
    <t>Cyclone Ventilator Tahap 2 Unit 5</t>
  </si>
  <si>
    <t>IP1.1811</t>
  </si>
  <si>
    <t>Cyclone Ventilator Tahap 2 Unit 6</t>
  </si>
  <si>
    <t>IP1.1812</t>
  </si>
  <si>
    <t>Cyclone Ventilator Tahap 2 Unit 7</t>
  </si>
  <si>
    <t>IP1.1813</t>
  </si>
  <si>
    <t>Cyclone Ventilator Tahap 2 Unit 8</t>
  </si>
  <si>
    <t>IP1.1814</t>
  </si>
  <si>
    <t>Cyclone Ventilator Tahap 2 Unit 9</t>
  </si>
  <si>
    <t>IP1.1815</t>
  </si>
  <si>
    <t>Cyclone Ventilator Tahap 2 Unit 10</t>
  </si>
  <si>
    <t>IP1.1816</t>
  </si>
  <si>
    <t>Cyclone Ventilator Tahap 2 Unit 11</t>
  </si>
  <si>
    <t>IP1.1817</t>
  </si>
  <si>
    <t>Cyclone Ventilator Tahap 2 Unit 12</t>
  </si>
  <si>
    <t>IP1.1818</t>
  </si>
  <si>
    <t>Cyclone Ventilator Tahap 2 Unit 13</t>
  </si>
  <si>
    <t>IP1.1819</t>
  </si>
  <si>
    <t>Cyclone Ventilator Tahap 2 Unit 14</t>
  </si>
  <si>
    <t>IP1.1820</t>
  </si>
  <si>
    <t>Cyclone Ventilator Tahap 2 Unit 15</t>
  </si>
  <si>
    <t>IP1.1821</t>
  </si>
  <si>
    <t>Cyclone Ventilator Tahap 2 Unit 16</t>
  </si>
  <si>
    <t>IP1.1822</t>
  </si>
  <si>
    <t>Cyclone Ventilator Tahap 2 Unit 17</t>
  </si>
  <si>
    <t>IP1.1823</t>
  </si>
  <si>
    <t>Cyclone Ventilator Tahap 2 Unit 18</t>
  </si>
  <si>
    <t>IP1.1824</t>
  </si>
  <si>
    <t>Cyclone Ventilator Tahap 2 Unit 19</t>
  </si>
  <si>
    <t>IP1.1825</t>
  </si>
  <si>
    <t>Cyclone Ventilator Tahap 3 Unit 1</t>
  </si>
  <si>
    <t>IP1.1826</t>
  </si>
  <si>
    <t>Cyclone Ventilator Tahap 3 Unit 2</t>
  </si>
  <si>
    <t>IP1.1827</t>
  </si>
  <si>
    <t>Cyclone Ventilator Tahap 3 Unit 3</t>
  </si>
  <si>
    <t>IP1.1828</t>
  </si>
  <si>
    <t>Cyclone Ventilator Tahap 3 Unit 4</t>
  </si>
  <si>
    <t>IP1.1829</t>
  </si>
  <si>
    <t>Cyclone Ventilator Tahap 3 Unit 5</t>
  </si>
  <si>
    <t>IP1.1830</t>
  </si>
  <si>
    <t>Cyclone Ventilator Tahap 3 Unit 6</t>
  </si>
  <si>
    <t>IP1.1831</t>
  </si>
  <si>
    <t>Cyclone Ventilator Tahap 3 Unit 7</t>
  </si>
  <si>
    <t>IP1.1832</t>
  </si>
  <si>
    <t>Cyclone Ventilator Tahap 3 Unit 8</t>
  </si>
  <si>
    <t>IP1.1833</t>
  </si>
  <si>
    <t>Cyclone Ventilator Tahap 3 Unit 9</t>
  </si>
  <si>
    <t>IP1.1834</t>
  </si>
  <si>
    <t>Cyclone Ventilator Tahap 3 Unit 10</t>
  </si>
  <si>
    <t>IP1.1835</t>
  </si>
  <si>
    <t>Cyclone Ventilator Tahap 3 Unit 11</t>
  </si>
  <si>
    <t>IP1.1836</t>
  </si>
  <si>
    <t>Cyclone Ventilator Tahap 3 Unit 12</t>
  </si>
  <si>
    <t>IP1.1805</t>
  </si>
  <si>
    <t>Heat Gun</t>
  </si>
  <si>
    <t>IP1.1840</t>
  </si>
  <si>
    <t>Seluncuran Daging Mesin Blencer U.1</t>
  </si>
  <si>
    <t>IP1.1837</t>
  </si>
  <si>
    <t>Plat Hooper Set 1</t>
  </si>
  <si>
    <t>IP1.1838</t>
  </si>
  <si>
    <t>Plat Hooper Set 2</t>
  </si>
  <si>
    <t>IP1.1839</t>
  </si>
  <si>
    <t>Plat Hooper Set 3</t>
  </si>
  <si>
    <t>IP1.1846</t>
  </si>
  <si>
    <t xml:space="preserve">1 Set Test Piece MD FE 2.0mm </t>
  </si>
  <si>
    <t>IP1.1845</t>
  </si>
  <si>
    <t xml:space="preserve">1 Set Test Piece MD SUS 2.5mm </t>
  </si>
  <si>
    <t>IP1.1843</t>
  </si>
  <si>
    <t>Orion Pre Filter LSF 250 AL</t>
  </si>
  <si>
    <t>IP1.1841</t>
  </si>
  <si>
    <t>Mesin Las Argon TIG 200 Pulse Daiden</t>
  </si>
  <si>
    <t>IP1.1842</t>
  </si>
  <si>
    <t>Air Dryer ARX 20 HJ</t>
  </si>
  <si>
    <t>IP1.1847</t>
  </si>
  <si>
    <t>Piping Minyak Fresh, Jelantah</t>
  </si>
  <si>
    <t>IP1.1844</t>
  </si>
  <si>
    <t>Orion After Filter MSF 250 AL</t>
  </si>
  <si>
    <t>IP1.1848</t>
  </si>
  <si>
    <t>Thermohygrometer Testo 605-H1</t>
  </si>
  <si>
    <t>IP1.1849</t>
  </si>
  <si>
    <t xml:space="preserve">Water Treatment Plant (WTP) </t>
  </si>
  <si>
    <t>IP2.0034</t>
  </si>
  <si>
    <t>Tangki Minyak Depan U.3</t>
  </si>
  <si>
    <t>Mesin Pendingin Cold Room Chiller Part 1</t>
  </si>
  <si>
    <t>Cold Room Chiller Part 1</t>
  </si>
  <si>
    <t xml:space="preserve">Housing Filter Bag </t>
  </si>
  <si>
    <t>Hand Pallet Dalton 3 Ton Unit1</t>
  </si>
  <si>
    <t>Hand Pallet Dalton 3 Ton Unit2</t>
  </si>
  <si>
    <t>Mesin Pendingin Cold Room Chiller Part 2</t>
  </si>
  <si>
    <t>Cold Room Chiller Part 2</t>
  </si>
  <si>
    <t>Mesin Gerinda</t>
  </si>
  <si>
    <t>Nampan Remahan</t>
  </si>
  <si>
    <t>Mesin Pendingin Cold Room Chiller Part 3</t>
  </si>
  <si>
    <t>Cold Room Chiller Part 3</t>
  </si>
  <si>
    <t>Cyclone Ventilator 1</t>
  </si>
  <si>
    <t>Cyclone Ventilator 2</t>
  </si>
  <si>
    <t>Cyclone Ventilator 3</t>
  </si>
  <si>
    <t>Vacum Cleaner Extractor Gas 15</t>
  </si>
  <si>
    <t>Rak Waste</t>
  </si>
  <si>
    <t>Cyclone Ventilator 4</t>
  </si>
  <si>
    <t>Cyclone Ventilator 5</t>
  </si>
  <si>
    <t>Ducting Compressor 1</t>
  </si>
  <si>
    <t>Ducting Compressor 2</t>
  </si>
  <si>
    <t>Ducting Compressor 3</t>
  </si>
  <si>
    <t xml:space="preserve">Piringan Pisau </t>
  </si>
  <si>
    <t>Radiator Inter Cooler Cummins</t>
  </si>
  <si>
    <t>Forklift 3 Ton Merk Toyota</t>
  </si>
  <si>
    <t>Corong / Former Mahameru</t>
  </si>
  <si>
    <t>Mesin Potato Cutter</t>
  </si>
  <si>
    <t>Rak Bawah Meja (Stainless Steel)</t>
  </si>
  <si>
    <t>Rak Waste 1</t>
  </si>
  <si>
    <t>Rak Waste 2</t>
  </si>
  <si>
    <t>Timbangan Digital 1</t>
  </si>
  <si>
    <t>Timbangan Digital Scale 2</t>
  </si>
  <si>
    <t>Hand Dryer 3</t>
  </si>
  <si>
    <t>Hand Dryer 4</t>
  </si>
  <si>
    <t>Hand Dryer 5</t>
  </si>
  <si>
    <t>Pallet Container 1</t>
  </si>
  <si>
    <t>Pallet Container 2</t>
  </si>
  <si>
    <t>Nampan Seluncuran Keping</t>
  </si>
  <si>
    <t>Nampan Exhasue</t>
  </si>
  <si>
    <t>Plat Pervorate Wajan Peniris 1</t>
  </si>
  <si>
    <t>Plat Pervorate Wajan Peniris 2</t>
  </si>
  <si>
    <t>Plat Pervorate Wajan Peniris 3</t>
  </si>
  <si>
    <t>Mesin Las Argon</t>
  </si>
  <si>
    <t>Mesin Filter 1</t>
  </si>
  <si>
    <t>Mesin Filter 2</t>
  </si>
  <si>
    <t>Mesin Filter 3</t>
  </si>
  <si>
    <t>Mesin Filter 4</t>
  </si>
  <si>
    <t>Mesin Filter 5</t>
  </si>
  <si>
    <t>Piringan Urschel 1</t>
  </si>
  <si>
    <t>Piringan Urschel 2</t>
  </si>
  <si>
    <t>Piringan Urschel</t>
  </si>
  <si>
    <t>Gearbox Agitator 1</t>
  </si>
  <si>
    <t>Gearbox Agitator 2</t>
  </si>
  <si>
    <t>Gearbox Agitator 3</t>
  </si>
  <si>
    <t>Meja Transfer Karton FCC Unit 1</t>
  </si>
  <si>
    <t>Meja Transfer Karton FCC Unit 2</t>
  </si>
  <si>
    <t>Thermometer IR Fluke 59Max+</t>
  </si>
  <si>
    <t>Halogen Moisture Analyzer HC103</t>
  </si>
  <si>
    <t>Hand Lift Table</t>
  </si>
  <si>
    <t>Tangki Minyak Fresh Kapasitas 3000 L</t>
  </si>
  <si>
    <t>Hand Dryer</t>
  </si>
  <si>
    <t>Reject Board NMD 530</t>
  </si>
  <si>
    <t>SMPS NMD 530</t>
  </si>
  <si>
    <t>Mesin Crusher Type N-250</t>
  </si>
  <si>
    <t>Wajan BF 1</t>
  </si>
  <si>
    <t>Wajan BF 2</t>
  </si>
  <si>
    <t>Mesin Coding Rynan</t>
  </si>
  <si>
    <t>Mesin Bor Impact Drill</t>
  </si>
  <si>
    <t>Gearbox Agitator 4</t>
  </si>
  <si>
    <t>Food Dehydrator 8 Layer</t>
  </si>
  <si>
    <t>Rak Retain Sample QC Uk 250x50x187</t>
  </si>
  <si>
    <t>Rak Retain Sample QC Uk 450x50x187</t>
  </si>
  <si>
    <t>Industrial Portable dan Mobile Fans 1</t>
  </si>
  <si>
    <t>Industrial Portable dan Mobile Fans 2</t>
  </si>
  <si>
    <t>Mesin Las Palcon 12OE Lakoni 900 Watt</t>
  </si>
  <si>
    <t>Metal Detector Anritsu KDS4515ABW 1</t>
  </si>
  <si>
    <t>Metal Detector Anritsu KDS4515ABW 2</t>
  </si>
  <si>
    <t>Mesin Air Dryer N2 Generator</t>
  </si>
  <si>
    <t>Kobelco Oil Injected Screw Com Type SG 15 A IV-H</t>
  </si>
  <si>
    <t>PH Meter Digital Testo 206</t>
  </si>
  <si>
    <t>Jet Cleaner Merk Karcher</t>
  </si>
  <si>
    <t>Dehumidifier OL90-903E Merk GEA</t>
  </si>
  <si>
    <t xml:space="preserve">Piping minyak fresh </t>
  </si>
  <si>
    <t>Thermometer Digital Testo 925</t>
  </si>
  <si>
    <t>Digital Crane Scale - CR-GSE-K150</t>
  </si>
  <si>
    <t>PH Meter / Temperature Tester</t>
  </si>
  <si>
    <t>15 Jul 2026</t>
  </si>
  <si>
    <t>Mesin Penepung Listrik(Fomag)</t>
  </si>
  <si>
    <t>IP1.1928</t>
  </si>
  <si>
    <t>Seluncuran Keping Ubi SS304</t>
  </si>
  <si>
    <t>IP1.1929</t>
  </si>
  <si>
    <t>Manometer</t>
  </si>
  <si>
    <t>IP1.1930</t>
  </si>
  <si>
    <t>Bentone Gas Burner</t>
  </si>
  <si>
    <t>FA Mesin Kripik</t>
  </si>
  <si>
    <t>1201-015</t>
  </si>
  <si>
    <t>1202-015</t>
  </si>
  <si>
    <t>6500-013</t>
  </si>
  <si>
    <t>Mesin Tiris Basah</t>
  </si>
  <si>
    <t>Mesin Rajangan</t>
  </si>
  <si>
    <t>19-09-2008</t>
  </si>
  <si>
    <t>Mesin Tiris Double Blower</t>
  </si>
  <si>
    <t>Mesin Platform Cutting &amp; Supply</t>
  </si>
  <si>
    <t>11-11-2008</t>
  </si>
  <si>
    <t>Mesin Cuci Singkong (Washer)</t>
  </si>
  <si>
    <t>09-03-09</t>
  </si>
  <si>
    <t xml:space="preserve">Control Burner </t>
  </si>
  <si>
    <t>Beli Control Burner 1 Unit</t>
  </si>
  <si>
    <t>01-05-09</t>
  </si>
  <si>
    <t>Mesin Emura Slicer Type Eca-202</t>
  </si>
  <si>
    <t>Beli Mesin Emura Slicer Type ECA-202</t>
  </si>
  <si>
    <t>15-05-09</t>
  </si>
  <si>
    <t>Incline Belt Conveyor</t>
  </si>
  <si>
    <t>Beli Incline Belt Conveyor</t>
  </si>
  <si>
    <t>Sortir Conveyor</t>
  </si>
  <si>
    <t>Beli Sortir Conveyor</t>
  </si>
  <si>
    <t>30-03-09</t>
  </si>
  <si>
    <t>Mesin Rajang Polos</t>
  </si>
  <si>
    <t>Beli Mesin Rajang Polos</t>
  </si>
  <si>
    <t>29-05-09</t>
  </si>
  <si>
    <t>Mesin Carton Coder &amp; Carton Sealer</t>
  </si>
  <si>
    <t>Beli Mesin Carton Coder &amp; Carton Sealer</t>
  </si>
  <si>
    <t>12-06-09</t>
  </si>
  <si>
    <t xml:space="preserve">Timbangan Hybrid Scale Kap </t>
  </si>
  <si>
    <t xml:space="preserve">Beli Timbangan Hybrid Scale KAP </t>
  </si>
  <si>
    <t>Mesin Rajang</t>
  </si>
  <si>
    <t>1 Unit Mesin Rajang</t>
  </si>
  <si>
    <t>Mesin Packaging</t>
  </si>
  <si>
    <t>Penjualan mesin packaging</t>
  </si>
  <si>
    <t xml:space="preserve">Mechanical Seal 50X32-25 1 Set </t>
  </si>
  <si>
    <t>Pembelian mechanical seal 50x32-25 1 set untuk pompa sirkulasi minyak panas mesin continous frying</t>
  </si>
  <si>
    <t>Cancel Pembelian mechanical seal 50x32-25 1 set untuk pompa sirkulasi minyak panas mcf</t>
  </si>
  <si>
    <t>Batal</t>
  </si>
  <si>
    <t>MKRI.17/09</t>
  </si>
  <si>
    <t>14-08-09</t>
  </si>
  <si>
    <t xml:space="preserve">Batch Friyer </t>
  </si>
  <si>
    <t xml:space="preserve">Beli Batch Friyer </t>
  </si>
  <si>
    <t>Batch Fryer (Mj09080034)</t>
  </si>
  <si>
    <t>Penjualan mesin goreng batch fryer (MJ09080034)</t>
  </si>
  <si>
    <t>MKRI.01/07</t>
  </si>
  <si>
    <t>Mesin Goreng 1</t>
  </si>
  <si>
    <t>MKRI.02/07</t>
  </si>
  <si>
    <t>Mesin Goreng 2</t>
  </si>
  <si>
    <t>MKRI.03/07</t>
  </si>
  <si>
    <t>Mesin Goreng 3</t>
  </si>
  <si>
    <t>MKRI.04/07</t>
  </si>
  <si>
    <t>Mesin Tiris</t>
  </si>
  <si>
    <t>MKRI.05/07</t>
  </si>
  <si>
    <t>Mesin Mixer Bumbu</t>
  </si>
  <si>
    <t>MKRI.06/07</t>
  </si>
  <si>
    <t>Mesin Slicer</t>
  </si>
  <si>
    <t>MKRI.07/07</t>
  </si>
  <si>
    <t>Mesin Mixer Adonan</t>
  </si>
  <si>
    <t>MKRI.08/07</t>
  </si>
  <si>
    <t>Mesin Extruder</t>
  </si>
  <si>
    <t>MKRI.09/07</t>
  </si>
  <si>
    <t>Mesin Steam Boiler</t>
  </si>
  <si>
    <t>MKRI.10/07</t>
  </si>
  <si>
    <t>Mesin Potong Automatic</t>
  </si>
  <si>
    <t>MKRI.11/07</t>
  </si>
  <si>
    <t>Mesin Potong</t>
  </si>
  <si>
    <t>MKRI.12/07</t>
  </si>
  <si>
    <t>Mesin Kompresor</t>
  </si>
  <si>
    <t>MKRI.13/07</t>
  </si>
  <si>
    <t>Mesin Oven Conveyor</t>
  </si>
  <si>
    <t>MKRI.14/07</t>
  </si>
  <si>
    <t>Mesin Flor Mill</t>
  </si>
  <si>
    <t>MKRI.15/07</t>
  </si>
  <si>
    <t>Mesin Bucket Elevator Kawashima</t>
  </si>
  <si>
    <t>MKRI.16/07</t>
  </si>
  <si>
    <t>Mesin Cooling Conveyor Solich</t>
  </si>
  <si>
    <t>MKRI.17/07</t>
  </si>
  <si>
    <t>Mesin Kawashima Bagging Mc</t>
  </si>
  <si>
    <t>Mesin Kawashima Bagging MC</t>
  </si>
  <si>
    <t>MKRI.18/07</t>
  </si>
  <si>
    <t>Mesin Bucket Elevator Ishida</t>
  </si>
  <si>
    <t>MKRI.19/07</t>
  </si>
  <si>
    <t>Mesin Automatic Weighing Ishida</t>
  </si>
  <si>
    <t>MKRI.20/07</t>
  </si>
  <si>
    <t>Mesin Drying Oven</t>
  </si>
  <si>
    <t>MKRI.21/07</t>
  </si>
  <si>
    <t>Mesin Snack Extruder</t>
  </si>
  <si>
    <t>MKRI.22/07</t>
  </si>
  <si>
    <t>Mesin Coating Drum</t>
  </si>
  <si>
    <t>MKRI.23/07</t>
  </si>
  <si>
    <t>Mesin Chiller</t>
  </si>
  <si>
    <t>MKRI.24/07</t>
  </si>
  <si>
    <t>Mesin Coating Pan</t>
  </si>
  <si>
    <t>MKRI.25/07</t>
  </si>
  <si>
    <t>Mesin Conche M/C</t>
  </si>
  <si>
    <t>MKRI.26/07</t>
  </si>
  <si>
    <t>Mesin Cooling Conveyor Alval Laval</t>
  </si>
  <si>
    <t>MKRI.01/08</t>
  </si>
  <si>
    <t>08-02-2008</t>
  </si>
  <si>
    <t>MKRI.02/08</t>
  </si>
  <si>
    <t>18-02-2008</t>
  </si>
  <si>
    <t>Pembelian Mesin Tiris</t>
  </si>
  <si>
    <t>MKRI.03/08</t>
  </si>
  <si>
    <t>21-04-2008</t>
  </si>
  <si>
    <t>Mesin Penggoreng</t>
  </si>
  <si>
    <t>MKRI.04/08</t>
  </si>
  <si>
    <t>23-05-2008</t>
  </si>
  <si>
    <t>Mesin Bor Panas</t>
  </si>
  <si>
    <t>MKRI.05/08</t>
  </si>
  <si>
    <t>27-05-2008</t>
  </si>
  <si>
    <t>Mesin Potong/Rajangan</t>
  </si>
  <si>
    <t>1 Unit Mesin Potong/Rajangan</t>
  </si>
  <si>
    <t>MKRI.01/09</t>
  </si>
  <si>
    <t>Mettler Toledo $ 2.1715,07</t>
  </si>
  <si>
    <t>Beli Mettler Toledo $ 2.1715,07</t>
  </si>
  <si>
    <t>MKRI.02/09</t>
  </si>
  <si>
    <t>Bear Pump</t>
  </si>
  <si>
    <t xml:space="preserve">Beli Bear Pump $ 1.000 </t>
  </si>
  <si>
    <t>MKRI.03/09</t>
  </si>
  <si>
    <t>Mesin Platform Cutting</t>
  </si>
  <si>
    <t>Beli Mesin Platform Cutting</t>
  </si>
  <si>
    <t>MKRI.04/09</t>
  </si>
  <si>
    <t>27-01-09</t>
  </si>
  <si>
    <t>Suntec Oil Pump At2 45C 9563</t>
  </si>
  <si>
    <t>Beli Suntec Oil Pump AT2 45C 9563</t>
  </si>
  <si>
    <t>MKRI.05/09</t>
  </si>
  <si>
    <t>Suntec Oil Pump Ate 30C 9336</t>
  </si>
  <si>
    <t>Beli Suntec Oil Pump ATE 30C 9336</t>
  </si>
  <si>
    <t>MKRI.06/09</t>
  </si>
  <si>
    <t>26-02-09</t>
  </si>
  <si>
    <t xml:space="preserve">Mesin Bacth Friying </t>
  </si>
  <si>
    <t xml:space="preserve">Beli Mesin Bacth Friying </t>
  </si>
  <si>
    <t>MKRI.07/09</t>
  </si>
  <si>
    <t>28-02-09</t>
  </si>
  <si>
    <t>Mesin Tumbler Plastik</t>
  </si>
  <si>
    <t>Beli Mesin Tumbler Plastik</t>
  </si>
  <si>
    <t>MKRI.08/09</t>
  </si>
  <si>
    <t>MKRI.09/09</t>
  </si>
  <si>
    <t xml:space="preserve">Timbangan Elektronik </t>
  </si>
  <si>
    <t xml:space="preserve">Beli Timbangan Elektronik </t>
  </si>
  <si>
    <t>MKRI.10/09</t>
  </si>
  <si>
    <t>19-05-09</t>
  </si>
  <si>
    <t>Tangki Minyak Goreng</t>
  </si>
  <si>
    <t>Beli Tangki Minyak Goreng</t>
  </si>
  <si>
    <t>MKRI.11/09</t>
  </si>
  <si>
    <t>Air Receiver Tank</t>
  </si>
  <si>
    <t>Beli Air Receiver Tank</t>
  </si>
  <si>
    <t>MKRI.12/09</t>
  </si>
  <si>
    <t xml:space="preserve">Timbangan Bench Scale Kap </t>
  </si>
  <si>
    <t xml:space="preserve">Beli Timbangan Bench Scale KAP </t>
  </si>
  <si>
    <t>MKRI.13/09</t>
  </si>
  <si>
    <t>Timbangan Elekronik Shinko $862.5</t>
  </si>
  <si>
    <t>Beli Timbangan Elekronik Shinko $862.5</t>
  </si>
  <si>
    <t>MKRI.14/09</t>
  </si>
  <si>
    <t>Mesin Washer Singkong</t>
  </si>
  <si>
    <t>Beli Mesin Washer Singkong</t>
  </si>
  <si>
    <t>MKRI.15/09</t>
  </si>
  <si>
    <t>Mesin Slicer,Kacip,</t>
  </si>
  <si>
    <t>Beli Mesin Slicer,Kacip,</t>
  </si>
  <si>
    <t>MKRI.16/09</t>
  </si>
  <si>
    <t>Mesin Conveyor Tiris Double</t>
  </si>
  <si>
    <t>Beli Mesin Conveyor Tiris Double</t>
  </si>
  <si>
    <t>MKRI.18/09</t>
  </si>
  <si>
    <t>28-08-09</t>
  </si>
  <si>
    <t>Beli Burner Gas</t>
  </si>
  <si>
    <t>MKRI.19/09</t>
  </si>
  <si>
    <t>31-08-09</t>
  </si>
  <si>
    <t>Mesin Blower U/ Conveyor</t>
  </si>
  <si>
    <t>Beli Mesin Blower u/ Conveyor</t>
  </si>
  <si>
    <t>MKRI.20/09</t>
  </si>
  <si>
    <t>10-10-09</t>
  </si>
  <si>
    <t>Mesin Date Coding &amp; Install</t>
  </si>
  <si>
    <t>Beli Mesin Date Coding &amp; Install</t>
  </si>
  <si>
    <t>MKRI.21/09</t>
  </si>
  <si>
    <t>Vibrator,Material Sus 304</t>
  </si>
  <si>
    <t>Beli Vibrator,Material SUS 304</t>
  </si>
  <si>
    <t>MKRI.01/10</t>
  </si>
  <si>
    <t>19-02-10</t>
  </si>
  <si>
    <t>Mesin Vertical Dj-V 209 Cs</t>
  </si>
  <si>
    <t>Beli Mesin Vertical DJ-V 209 CS</t>
  </si>
  <si>
    <t>MKRI.02/10</t>
  </si>
  <si>
    <t>Conveyor 3 M</t>
  </si>
  <si>
    <t>Beli Conveyor 3 M</t>
  </si>
  <si>
    <t>MKRI.03/10</t>
  </si>
  <si>
    <t>05-05-10</t>
  </si>
  <si>
    <t>Inverter Toshiba Vfnc 3-2015</t>
  </si>
  <si>
    <t>1 BH Inverter Toshiba VFNC 3-2015</t>
  </si>
  <si>
    <t>MKRI.04/10</t>
  </si>
  <si>
    <t>27-07-10</t>
  </si>
  <si>
    <t xml:space="preserve">Oven + Trolley </t>
  </si>
  <si>
    <t>1 Buah Oven + Trolley 20/07</t>
  </si>
  <si>
    <t>MKRI.01/12</t>
  </si>
  <si>
    <t>Moisture Analyzer Mettler Toledo Type Hb 43-S</t>
  </si>
  <si>
    <t>Pembelian Moisture Analyzer Mettler Toledo Type HB 43-S</t>
  </si>
  <si>
    <t>MKRI.02/12</t>
  </si>
  <si>
    <t>High Precission Balance ( Timbangan Digital ) Merk Sonic Type Ss-A</t>
  </si>
  <si>
    <t>Pembelian 1 High Precission Balance ( Timbangan Digital ) Merk Sonic Type SS-A</t>
  </si>
  <si>
    <t>MKRI.04/12</t>
  </si>
  <si>
    <t>Pisau Potong 20 Pcs, Tutup Pisau Potong Dan Pisau Cut Chips 1Ea</t>
  </si>
  <si>
    <t>Pembelian Pisau Potong 20 Pcs, Tutup pisau potong @20Pcs dan pisau cut chips 1ea</t>
  </si>
  <si>
    <t>MKRI.03/12</t>
  </si>
  <si>
    <t xml:space="preserve">Mesin Goreng, Potong Dan Mesin Tiris </t>
  </si>
  <si>
    <t>Pembelian Mesin Goreng, Potong dan Mesin Tiris Bekas @1 Dari Solo Untuk Pabrik BMG Semarang</t>
  </si>
  <si>
    <t>MKRI.05/12</t>
  </si>
  <si>
    <t>Burner Gas Pt Arianto Darmawan 2 Unit @24.5 Juta + Ppn</t>
  </si>
  <si>
    <t>Pembelian Burner Gas PT Arianto Darmawan 2 Unit @24.5 Juta + PPn</t>
  </si>
  <si>
    <t>MKRI.06/12</t>
  </si>
  <si>
    <t>Conveyor "Habasit" U/ Sortir End Product</t>
  </si>
  <si>
    <t>Belt Conveyor "HABASIT" u/ Sortir End Product</t>
  </si>
  <si>
    <t>MKRI.07/12</t>
  </si>
  <si>
    <t>Burner Control W-Fm 2 Agt'12</t>
  </si>
  <si>
    <t>Pembelian Burner Control W-FM 2 Agt'12</t>
  </si>
  <si>
    <t>MKRI.08/12</t>
  </si>
  <si>
    <t>Mesin Potong 15 Ca + Tutup Pisau</t>
  </si>
  <si>
    <t>Pisau Mesin potong 15 Ca + Tutup pisau</t>
  </si>
  <si>
    <t>MKRI.09/12</t>
  </si>
  <si>
    <t xml:space="preserve">Pisau Cut Chip &amp; Tatakan </t>
  </si>
  <si>
    <t>Pisau Cut Chip dengan tatakan 2 Ca</t>
  </si>
  <si>
    <t>MKRI.10/12</t>
  </si>
  <si>
    <t>Timbangan Digital Merk Ohaus Tipe Nvt1600</t>
  </si>
  <si>
    <t>Timbangan digital merk Ohaus tipe NVT1600</t>
  </si>
  <si>
    <t>MKRI.11/12</t>
  </si>
  <si>
    <t>Mesin Deoiling Vibrator</t>
  </si>
  <si>
    <t>MKRI.01/13</t>
  </si>
  <si>
    <t>Mesin Penggoreng Batch Fryer</t>
  </si>
  <si>
    <t>Mesin penggoreng Batch fryer</t>
  </si>
  <si>
    <t>MKRI.02/13</t>
  </si>
  <si>
    <t>Burner Merk Weishaupt Wg 20F/1-C</t>
  </si>
  <si>
    <t>Pembelian 1 unit burner merk Weishaupt WG 20F/1-C</t>
  </si>
  <si>
    <t>MKRI.03/13</t>
  </si>
  <si>
    <t>Mesin Metal Detector Safeline (Second)</t>
  </si>
  <si>
    <t>Mesin metal detector safeline (second)</t>
  </si>
  <si>
    <t>MKRI.04/13</t>
  </si>
  <si>
    <t>Mesin Goreng (Second)</t>
  </si>
  <si>
    <t>Mesin goreng (second) u/ persiapan IFL Tangerang</t>
  </si>
  <si>
    <t>MKRI.05/13</t>
  </si>
  <si>
    <t>Arianto Darmawan (burner weishaupt)</t>
  </si>
  <si>
    <t>MKRI.06/13</t>
  </si>
  <si>
    <t>Mesin Metal Detector</t>
  </si>
  <si>
    <t>PT EKA MITRA KURNIA JAYA ( Beli Mesin metal detector)</t>
  </si>
  <si>
    <t>MKRI.07/13</t>
  </si>
  <si>
    <t>Ups Untuk Metal Detector</t>
  </si>
  <si>
    <t>PEMBELIAN 2 UNIT UPS UNTUK METAL DETECTOR</t>
  </si>
  <si>
    <t>MKRI.08/13</t>
  </si>
  <si>
    <t>Monitor Lcd 15,6"</t>
  </si>
  <si>
    <t>Pembelian MONITOR LCD 15,6"</t>
  </si>
  <si>
    <t>MKRI.09/13</t>
  </si>
  <si>
    <t>Mesin Potong Stainless</t>
  </si>
  <si>
    <t>Mesin potong stainless</t>
  </si>
  <si>
    <t>MKRI.10/13</t>
  </si>
  <si>
    <t>Mesin Stainer Vibrator</t>
  </si>
  <si>
    <t>MKRI.01/14</t>
  </si>
  <si>
    <t>2 unit burner gas</t>
  </si>
  <si>
    <t>MKRI.02/14</t>
  </si>
  <si>
    <t>Burner Wg Merck Weishaupt</t>
  </si>
  <si>
    <t>Pembelian 1 unit Burner WG Merck Weishaupt</t>
  </si>
  <si>
    <t>MKRI.03/14</t>
  </si>
  <si>
    <t>MKRI.04/14</t>
  </si>
  <si>
    <t>Conveyor Perendaman</t>
  </si>
  <si>
    <t>1 unit conveyor perendaman</t>
  </si>
  <si>
    <t>MKRI.05/14</t>
  </si>
  <si>
    <t>Metal Detector Type Ndc</t>
  </si>
  <si>
    <t>Metal Detector Type NDC</t>
  </si>
  <si>
    <t>MKRI.01/15</t>
  </si>
  <si>
    <t>Agitator Penggorengan</t>
  </si>
  <si>
    <t>3 unit Agitator Penggorengan</t>
  </si>
  <si>
    <t>MKRI.02/15</t>
  </si>
  <si>
    <t>2 unit Agitator Penggorengan</t>
  </si>
  <si>
    <t>MKRI.03/15</t>
  </si>
  <si>
    <t>Mesin Potong Satinles (Kripik Singkong)</t>
  </si>
  <si>
    <t>2unit Mesin Potong Satinles (Kripik Singkong)</t>
  </si>
  <si>
    <t>MKRI.04/15</t>
  </si>
  <si>
    <t>1 unit Agitator Penggorengan</t>
  </si>
  <si>
    <t>MKRI.05/15</t>
  </si>
  <si>
    <t xml:space="preserve">Oven Merck Sharp Electro </t>
  </si>
  <si>
    <t>Aset R&amp;D 1 unit Oven Merck Sharp electro tgl 20/06/15</t>
  </si>
  <si>
    <t>MKRI.06/15</t>
  </si>
  <si>
    <t>Mesin Conveyor (Singkong)</t>
  </si>
  <si>
    <t xml:space="preserve"> 1 unit Mesin Conveyor (Singkong)</t>
  </si>
  <si>
    <t>Mesin Goreng Ex Pabrik Tangerang</t>
  </si>
  <si>
    <t>MESIN GORENG EX PABRIK TANGERANG-PAK HENDRA</t>
  </si>
  <si>
    <t>MKRI.07/15</t>
  </si>
  <si>
    <t>Carton Sealer</t>
  </si>
  <si>
    <t>Pembelian 2 unit Carton Sealer</t>
  </si>
  <si>
    <t>Penjualan Pembelian 1 unit Carton Sealer</t>
  </si>
  <si>
    <t>MKRI.01/16</t>
  </si>
  <si>
    <t xml:space="preserve">Mesin Metal Detector Safeline </t>
  </si>
  <si>
    <t>Pembelian mesin metal detector safeline sebanyak 2 unit € 7.000 (euro) x Rp 14.628</t>
  </si>
  <si>
    <t>MKRI.02/16</t>
  </si>
  <si>
    <t xml:space="preserve">Mesin Continous Friyer </t>
  </si>
  <si>
    <t xml:space="preserve"> 50% biaya kirim mesin continous friyer dari Padang ke Semarang via ekspedisi</t>
  </si>
  <si>
    <t>MKRI.03/16</t>
  </si>
  <si>
    <t>Biaya Kirim Mesin Continous Friyer</t>
  </si>
  <si>
    <t>Biaya kirim mesin continous friyer dari Padang ke Semarang via ekspedisi</t>
  </si>
  <si>
    <t>MKRI.04/16</t>
  </si>
  <si>
    <t>Biaya Bongkar Pasang Mesin Continous Friyer</t>
  </si>
  <si>
    <t>Biaya bongkar pasang mesin sampai di BMG (mesin continous friyer)</t>
  </si>
  <si>
    <t>MKRI.05/16</t>
  </si>
  <si>
    <t>Continous Friyer Cassava Second</t>
  </si>
  <si>
    <t>Pembelian 1 line continous friyer cassava second dari harga Rp 650.000.000</t>
  </si>
  <si>
    <t>1201-008</t>
  </si>
  <si>
    <t>1202-008</t>
  </si>
  <si>
    <t>5101-013</t>
  </si>
  <si>
    <t>MKRI.06/16</t>
  </si>
  <si>
    <t xml:space="preserve">Roll Belah 4X4Cm &amp; Roll Belah 3X3Cm </t>
  </si>
  <si>
    <t>Pembelian roll belah 4x4cm &amp; roll belah 3x3cm dari harga Rp 15.300.000</t>
  </si>
  <si>
    <t>MKRI.07/16</t>
  </si>
  <si>
    <t>Mesin Bubut Dari Pasuruan</t>
  </si>
  <si>
    <t>Pembelian mesin bubut dari Pasuruan</t>
  </si>
  <si>
    <t>MKRI.08/16</t>
  </si>
  <si>
    <t>Submerger Untuk Modified Mesin Continous Friyer</t>
  </si>
  <si>
    <t>Pembelian submerger untuk modified mesin continous friyer dari harga Rp 32.500.000</t>
  </si>
  <si>
    <t>MKRI.09/16</t>
  </si>
  <si>
    <t>Biaya Bongkar Pasang &amp; Fee Trader Mesin Continous Friyer</t>
  </si>
  <si>
    <t>Biaya bongkar pasang &amp; fee trader mesin continous friyer</t>
  </si>
  <si>
    <t>MKRI.10/16</t>
  </si>
  <si>
    <t>Pengecoran Pondasi Mesin Frying (Lantai Mesin Continous Frying) Unit I</t>
  </si>
  <si>
    <t>Pengecoran pondasi mesin frying (lantai mesin continous frying) unit I</t>
  </si>
  <si>
    <t>MKRI.11/16</t>
  </si>
  <si>
    <t>Control Burner Mesin Continous Frying</t>
  </si>
  <si>
    <t>Pembelian control burner untuk mesin continous frying + ongkos kirim</t>
  </si>
  <si>
    <t>MKRI.01/17</t>
  </si>
  <si>
    <t>Pemasangan No Fuse Breaker (Nfb) 2 Unit Untuk Mesin Continous Frying</t>
  </si>
  <si>
    <t>Pemasangan No Fuse Breaker (NFB) 2 unit untuk mesin continous frying</t>
  </si>
  <si>
    <t>MKRI.02/17</t>
  </si>
  <si>
    <t>Mechanical Seal Pompa Southern Cross2 Mesin Continous Frying</t>
  </si>
  <si>
    <t>Mechanical seal pompa southern cross2 unit @Rp 2.000.000 untuk mesin continous frying</t>
  </si>
  <si>
    <t>MKRI.03/17</t>
  </si>
  <si>
    <t xml:space="preserve">Mesin Continous Sealer </t>
  </si>
  <si>
    <t>Pembelian mesin continous sealer sebanyak unit 1 unit seharga Rp 5.130.000</t>
  </si>
  <si>
    <t>MKRI.04/17</t>
  </si>
  <si>
    <t>Control W-Fm 05 &amp; 10 230V + Plug Part</t>
  </si>
  <si>
    <t>Pembelian 1 buah control W-FM 05 &amp; 10 230V + plug part</t>
  </si>
  <si>
    <t>MKRI.05/17</t>
  </si>
  <si>
    <t xml:space="preserve">Tranz Worm Gear Speed Reducer </t>
  </si>
  <si>
    <t>Tranz worm gear speed reducer 3 unit x @Rp 1.200.000</t>
  </si>
  <si>
    <t>MKRI.06/17</t>
  </si>
  <si>
    <t>Regulator Gas Fisher 3/4"</t>
  </si>
  <si>
    <t>Pembelian regulator gas fisher 3/4" untuk instalasi gas mesin goreng di unit 1</t>
  </si>
  <si>
    <t>MKRI.07/17</t>
  </si>
  <si>
    <t>Pembelian control burner untuk mesin continous frying</t>
  </si>
  <si>
    <t>MKRI.08/17</t>
  </si>
  <si>
    <t xml:space="preserve">Mesin Potong </t>
  </si>
  <si>
    <t>mesin potong 2 unit dari harga Rp 70.000.000 untuk keripik talas di unit 1</t>
  </si>
  <si>
    <t>MKRI.09/17</t>
  </si>
  <si>
    <t>Continous Fryer Casssava Chips Type Bf-81000</t>
  </si>
  <si>
    <t>Mesin continous fryer casssava chips type BF-81000</t>
  </si>
  <si>
    <t>MS1.0170</t>
  </si>
  <si>
    <t>MKRI.10/17</t>
  </si>
  <si>
    <t>Boiler 2 Ton, Dust Collector</t>
  </si>
  <si>
    <t>Pembelian boiler 2 ton, dust collector tambah 3 juta untuk cerobong</t>
  </si>
  <si>
    <t xml:space="preserve">Boiler 2 Ton, Dust Collector </t>
  </si>
  <si>
    <t>Johan Syaiful, Penjualan boiler 2 ton, dust collector tambah 3 juta untuk cerobong 02/08/21</t>
  </si>
  <si>
    <t>MKRI.11/17</t>
  </si>
  <si>
    <t>Mesin Automatic Wiegher &amp; Vertical Packaging</t>
  </si>
  <si>
    <t>1 unit mesin Automatic wiegher &amp; vertical packaging</t>
  </si>
  <si>
    <t>1201-009</t>
  </si>
  <si>
    <t>1202-009</t>
  </si>
  <si>
    <t>5101-014</t>
  </si>
  <si>
    <t>MKRI.01/18</t>
  </si>
  <si>
    <t>MS2.0001</t>
  </si>
  <si>
    <t>Conveyor Mesin Driyer</t>
  </si>
  <si>
    <t>seperangkat conveyor untuk mesin driyer</t>
  </si>
  <si>
    <t>MKRI.02/18</t>
  </si>
  <si>
    <t>MS2.0002 - MS2.0004</t>
  </si>
  <si>
    <t xml:space="preserve">Mesin Potong Singkong Serut </t>
  </si>
  <si>
    <t>mesin potong singkong serut 3 unit</t>
  </si>
  <si>
    <t xml:space="preserve">Mesin Ducting </t>
  </si>
  <si>
    <t>CV Mandiri Jaya Sejahtera, Pelunasan Mesin ducting utk project Nabati 08/11/20</t>
  </si>
  <si>
    <t xml:space="preserve">Gas Burner 20 Kg </t>
  </si>
  <si>
    <t>Perdana Jaya Teknik, Gas Burner 20 Kg LPG Project Nabati</t>
  </si>
  <si>
    <t>Mesin He</t>
  </si>
  <si>
    <t xml:space="preserve">Pembuatan Mesin HE PT BMG </t>
  </si>
  <si>
    <t>MS1.0175</t>
  </si>
  <si>
    <t>Mesin Md Apex 300 175W S/N 20283484A</t>
  </si>
  <si>
    <t>PT Mitra Pack, Mesin MD Apex 300 175W s/n 20283484A 8/01/21</t>
  </si>
  <si>
    <t>MS2.0005</t>
  </si>
  <si>
    <t>Boiler 3ton</t>
  </si>
  <si>
    <t>CV Mandiri Jaya Sejahtera, Retensi (10%) / Pelunasan Boiler 3ton 1lot x Rp 450.000.000/lot, 11/10/21</t>
  </si>
  <si>
    <t>MS2.0006</t>
  </si>
  <si>
    <t>Self Automatic Fryer 1unit</t>
  </si>
  <si>
    <t>Jinan Keysong Machinery, Self Automatic Fryer 1unit x $14.331/unit + Mesin Belt$135 02/11/21</t>
  </si>
  <si>
    <t>MS1.0176</t>
  </si>
  <si>
    <t>Mesin Continuous Frying 2 - Rekondisi</t>
  </si>
  <si>
    <t xml:space="preserve">Adi Santoso, Rekondisi Mesin Continuous Frying 2, -PPh 3%, 08/04/22 Jasa </t>
  </si>
  <si>
    <t>MS2.0007</t>
  </si>
  <si>
    <t>Mesin Decanter Centrifuge 1unit</t>
  </si>
  <si>
    <t>Zhangjiagang Peony Machinery Co.,Ltd, Mesin Decanter Centrifuge 1unit x $ 25.650/unit</t>
  </si>
  <si>
    <t>MS1.0177</t>
  </si>
  <si>
    <t>Blancer Cuci Keping</t>
  </si>
  <si>
    <t>Adi Santoso, Blancer Cuci Keping utk Unit baru, 07/12/22</t>
  </si>
  <si>
    <t>MS2.0008</t>
  </si>
  <si>
    <t>Mesin Pneumatic Sealer</t>
  </si>
  <si>
    <t>PT Panca Nusa Perkasa, Mesin Pneumatic Sealer  1unit x 17.567.567/Unit, 20/02/23</t>
  </si>
  <si>
    <t>MS2.0009</t>
  </si>
  <si>
    <t>Mesin Automatic Inflating Film Sealler</t>
  </si>
  <si>
    <t>PT Panca Nusa Perkasa, Mesin Automatic Inflating Film Sealler 1Unit x 5.777.027, 20/02/23 + Vertikal Part 1Set x 1.297.297</t>
  </si>
  <si>
    <t>MS1.0178</t>
  </si>
  <si>
    <t>Modular Belt</t>
  </si>
  <si>
    <t>CV Surya Makmur Jaya Sentosa, Modular Belt 1 Roll u/ Conveyor area unit baru 13/04/23 (Bahan Nilon)</t>
  </si>
  <si>
    <t>MS2.0010</t>
  </si>
  <si>
    <t>Hopper Conveyor Daging</t>
  </si>
  <si>
    <t>Adi Santoso, Hopper Conveyor Daging, 06/04/23</t>
  </si>
  <si>
    <t>MS2.0011</t>
  </si>
  <si>
    <t>Burner Weishaupt WG</t>
  </si>
  <si>
    <t>PT Burnerindo Teknik Utama, Burner Weishaupt WG 20 N/1-C 1unit x Rp 51.975.000/unit, +PPN 1</t>
  </si>
  <si>
    <t>MS2.0012</t>
  </si>
  <si>
    <t>Metal Detector</t>
  </si>
  <si>
    <t>PT Global Putra Kusuma, Mesin Metal Detector 1 Unit x 175.000.000/Unit, 10/05/23</t>
  </si>
  <si>
    <t>MS2.0013</t>
  </si>
  <si>
    <t>Mesin Goreng 60kg</t>
  </si>
  <si>
    <t>Adi Santoso, Mesin Goreng 60kg 1unit x Rp 130.000.000/unit. 15/05/23</t>
  </si>
  <si>
    <t>MS2.0014</t>
  </si>
  <si>
    <t>Conveyor Belt Horizontal &amp; Vertical</t>
  </si>
  <si>
    <t>Habib Stainless, Conveyor Belt Horizontal &amp; Vertical 1 Set x 112.200.000/set, 24/05/23</t>
  </si>
  <si>
    <t>MS2.0015</t>
  </si>
  <si>
    <t>Conveyor Belt Horizontal</t>
  </si>
  <si>
    <t>Habib Stainless, Conveyor Belt Horizontal 1 Set x 77.900/set, 24/05/23</t>
  </si>
  <si>
    <t>MS2.0016</t>
  </si>
  <si>
    <t>Mesin Potong Urschel E - Translicer</t>
  </si>
  <si>
    <t>Urschel Asia Pasific Pte, Ltd., Mesin Potong Urschel E - Translicer 1Set, 25/05/23</t>
  </si>
  <si>
    <t>MS2.0017</t>
  </si>
  <si>
    <t>Mesin Pellet 3D</t>
  </si>
  <si>
    <t>Zhangjiagang Peony Machinery, Mesin Pellet 3D 1Set, 26/05/23</t>
  </si>
  <si>
    <t>MS2.0018</t>
  </si>
  <si>
    <t>Mesin Tapioka Peeling</t>
  </si>
  <si>
    <t>Zhangjiagang Peony Machinery, Mesin Tapioka Peeling, 26/05/23</t>
  </si>
  <si>
    <t>MS2.0019</t>
  </si>
  <si>
    <t>Mesin De Oiling</t>
  </si>
  <si>
    <t>Zhangjiagang Peony Machinery, Mesin De Oiling 1set, 26/05/23</t>
  </si>
  <si>
    <t>MS2.0020</t>
  </si>
  <si>
    <t>Filter Minyak &amp; Kertas Minyak</t>
  </si>
  <si>
    <t>Zhangjiagang Peony Machinery, Filter Minyak &amp; Kertas Minyak 1Set, 26/05/23</t>
  </si>
  <si>
    <t>MS2.0021</t>
  </si>
  <si>
    <t xml:space="preserve">Mesin Bagging VFFS, 20 Head Sparepart </t>
  </si>
  <si>
    <t xml:space="preserve">Zhongsan Newecan Enterprise,  Mesin Bagging VFFS, 20 Head Sparepart FPB 11/11/2022 </t>
  </si>
  <si>
    <t>MS2.0022</t>
  </si>
  <si>
    <t>Cerobong driyer U3</t>
  </si>
  <si>
    <t>CV Mandiri Jaya Sejahtera, Cerobong driyer U3 04/07/23</t>
  </si>
  <si>
    <t>MS1.0179 - MS1.0183</t>
  </si>
  <si>
    <t>Platform Spinner</t>
  </si>
  <si>
    <t>Adi Santoso, Platform Spinner 5 pcs x Rp 1.700.000/pcs, 12/07/23</t>
  </si>
  <si>
    <t>MS2.0023</t>
  </si>
  <si>
    <t>Bak Rendam TI</t>
  </si>
  <si>
    <t>Adi Santoso, Bak Rendam TI 1unit x Rp 156.907.500/unit, 11/08/23</t>
  </si>
  <si>
    <t>MS2.0024 - MS2.0025</t>
  </si>
  <si>
    <t>Rangka Conveyor Modular uk 600x7500</t>
  </si>
  <si>
    <t xml:space="preserve">Adi Santoso, Rangka Conveyor Modular uk 600x7500 2unit x Rp 39.000.000/unit, 11/08/23 </t>
  </si>
  <si>
    <t>MS2.0026</t>
  </si>
  <si>
    <t>Rangka Conveyor Modular uk 600x8000</t>
  </si>
  <si>
    <t xml:space="preserve">Adi Santoso, Rangka Conveyor Modular uk 600x8000 1unit x Rp 39.000.000/unit, 11/08/23 </t>
  </si>
  <si>
    <t>MS2.0027</t>
  </si>
  <si>
    <t xml:space="preserve">Inline Conveyor </t>
  </si>
  <si>
    <t>CV Mandiri Jaya Sejahtera, Inline Conveyor Set, +PPN 11%, 18/08/23</t>
  </si>
  <si>
    <t>MS1.0184</t>
  </si>
  <si>
    <t>Belt Conveyor PU</t>
  </si>
  <si>
    <t>CV Mandiri Jaya Sejahtera, Belt Conveyor PU, +PPN 11%, 18/08/23</t>
  </si>
  <si>
    <t>MS2.0032</t>
  </si>
  <si>
    <t xml:space="preserve"> Mesin Bak Rebus Singkong</t>
  </si>
  <si>
    <t>Adi Santoso, Mesin Bak Rebus Singkong 1unit x 49.200.000, BA 005/PURCH/BMG/12/2023 14/12/23</t>
  </si>
  <si>
    <t>MS2.0033</t>
  </si>
  <si>
    <t>Mesin Peniris</t>
  </si>
  <si>
    <t>Adi Santoso, Mesin Peniris 1unit x 20.000.000, BA 005/PURCH/BMG/12/2023 14/12/23</t>
  </si>
  <si>
    <t>MS2.0034</t>
  </si>
  <si>
    <t xml:space="preserve">Steam Dryer 5 Layer </t>
  </si>
  <si>
    <t>Zhangjiagang Peony Machinery Co.,Ltd, Steam Dryer 5 Layer ( 1set x $71.115/set</t>
  </si>
  <si>
    <t>MS2.0035</t>
  </si>
  <si>
    <t>De-Oiling Machine</t>
  </si>
  <si>
    <t>Zhangjiagang Peony Machinery Co.,Ltd, De-Oiling Machine 2set x $4.840/set, 20/12/23</t>
  </si>
  <si>
    <t>MS2.0036</t>
  </si>
  <si>
    <t>Deoiling Machine Voltage 3Phase</t>
  </si>
  <si>
    <t>Zhangjiagang Peony Machinery Co, Deoiling Machine Voltage 3Phase 3 Set x 73,742,240/Set 20/12/23</t>
  </si>
  <si>
    <t>MS2.0037</t>
  </si>
  <si>
    <t>Flat Long Conveyor</t>
  </si>
  <si>
    <t>Zhangjiagang Peony Machinery Co, Flat Long Conveyor 1Set x 122.725.980/set 20/12/23</t>
  </si>
  <si>
    <t>MS2.0038</t>
  </si>
  <si>
    <t>Multi-Fuction Color Sorter Inc Air Compressor</t>
  </si>
  <si>
    <t>PT Wesort Technology Internasional, Multi-Fuction Color Sorter Inc Air Compressor, 14/12/23</t>
  </si>
  <si>
    <t>MS2.0042</t>
  </si>
  <si>
    <t>Mesin Burner WG 20F Unit 1</t>
  </si>
  <si>
    <t>MS2.0043</t>
  </si>
  <si>
    <t>Mesin Burner WG 20F Unit 2</t>
  </si>
  <si>
    <t>MS1.0368</t>
  </si>
  <si>
    <t>Hold Down Assembly</t>
  </si>
  <si>
    <t>MS1.0369</t>
  </si>
  <si>
    <t>Mesin Goreng BF 1 Lot</t>
  </si>
  <si>
    <t>MS1.0370</t>
  </si>
  <si>
    <t xml:space="preserve">Mesin Hydraulic Presser </t>
  </si>
  <si>
    <t>MS2.0044</t>
  </si>
  <si>
    <t>Mesin Bak Rebus Singkong</t>
  </si>
  <si>
    <t>MS2.0045</t>
  </si>
  <si>
    <t xml:space="preserve">Mesin Peniris </t>
  </si>
  <si>
    <t>MS2.0046</t>
  </si>
  <si>
    <t>Hygienically Designed Inclane Conveyor</t>
  </si>
  <si>
    <t>MS2.0047</t>
  </si>
  <si>
    <t>Mesin Continuous Fryer</t>
  </si>
  <si>
    <t>MS2.0048</t>
  </si>
  <si>
    <t>Mesin Jonwai 180SD 1</t>
  </si>
  <si>
    <t>MS2.0049</t>
  </si>
  <si>
    <t>Mesin Jonwai 180SD 2</t>
  </si>
  <si>
    <t>MS2.0050</t>
  </si>
  <si>
    <t>Mesin Jonwai 180SD 3</t>
  </si>
  <si>
    <t>MS2.0051</t>
  </si>
  <si>
    <t>Mesin Bak Rebus</t>
  </si>
  <si>
    <t>MS2.0052</t>
  </si>
  <si>
    <t>Frying Equipment</t>
  </si>
  <si>
    <t>MS2.0053</t>
  </si>
  <si>
    <t>Mesin Press</t>
  </si>
  <si>
    <t>MS2.0054</t>
  </si>
  <si>
    <t>Gas Burner Merk Bentone 1</t>
  </si>
  <si>
    <t>MS2.0055</t>
  </si>
  <si>
    <t>Gas Burner Merk Bentone 2</t>
  </si>
  <si>
    <t>MS1.0371</t>
  </si>
  <si>
    <t>Mesin Batch Fryer Second</t>
  </si>
  <si>
    <t>MS2.0056</t>
  </si>
  <si>
    <t>Mesin Jonwai 300 TW</t>
  </si>
  <si>
    <t>MS1.0372</t>
  </si>
  <si>
    <t>Cassava Grating Machine</t>
  </si>
  <si>
    <t>MS1.0373</t>
  </si>
  <si>
    <t>De Oiling Machine</t>
  </si>
  <si>
    <t>MS1.0374</t>
  </si>
  <si>
    <t>Flat Conveyor</t>
  </si>
  <si>
    <t>MS1.0375</t>
  </si>
  <si>
    <t>Conveyor Belt 1</t>
  </si>
  <si>
    <t>MS1.0376</t>
  </si>
  <si>
    <t>Conveyor Belt 2</t>
  </si>
  <si>
    <t>MS1.0377</t>
  </si>
  <si>
    <t>FA Mesin Krupuk</t>
  </si>
  <si>
    <t>Mesin Giling Opak &amp; Kelengkapannya</t>
  </si>
  <si>
    <t>Pembelian mesin giling opak &amp; kelengkapannya</t>
  </si>
  <si>
    <t>Pengembalian Uang Mesin Giling</t>
  </si>
  <si>
    <t>Pengembalian uang mesin giling</t>
  </si>
  <si>
    <t>Inverter Toshiba Untuk Mesin Dough Sheeter Dari Pasuruan</t>
  </si>
  <si>
    <t>Pengembalian pembelian 2 unit inverter toshiba untuk mesin dough sheeter dari Pasuruan</t>
  </si>
  <si>
    <t>Mesin Giling Ffc 45 + Motor Opak Flake</t>
  </si>
  <si>
    <t>Pembelian mesin giling FFC 45 + motor untuk opak flake</t>
  </si>
  <si>
    <t>Sisa Pembelian Mesin Giling</t>
  </si>
  <si>
    <t>Sisa pembelian mesin giling</t>
  </si>
  <si>
    <t>Oven Pengering Kerupuk</t>
  </si>
  <si>
    <t>1 unit oven pengering kerupuk</t>
  </si>
  <si>
    <t>Meja Oven</t>
  </si>
  <si>
    <t>Penjualan Meja Oven</t>
  </si>
  <si>
    <t>Mesin Goreng</t>
  </si>
  <si>
    <t>Penjualan Mesin Goreng</t>
  </si>
  <si>
    <t>Mesin Goreng Untuk Makaroni</t>
  </si>
  <si>
    <t>Pembelian 1 unit mesin goreng untuk makaroni</t>
  </si>
  <si>
    <t>Mesin Krupuk Mawar</t>
  </si>
  <si>
    <t>Pembelian mesin krupuk Mawar</t>
  </si>
  <si>
    <t>Penjualan Pembelian mesin krupuk Mawar</t>
  </si>
  <si>
    <t>MKRU.01/14</t>
  </si>
  <si>
    <t>Cetakan Krupuk 4 Lubang Dan 1 Unit Cetakan Krupuk 5 Lubang</t>
  </si>
  <si>
    <t>Pembelian 1 unit cetakan krupuk 4 lubang dan 1 unit cetakan krupuk 5 lubang</t>
  </si>
  <si>
    <t>MKRU.01/15</t>
  </si>
  <si>
    <t>Mesin Ayakan Tepung</t>
  </si>
  <si>
    <t>1 Unit Mesin Ayakan Tepung</t>
  </si>
  <si>
    <t>MKRU.02/15</t>
  </si>
  <si>
    <t>Mesin Aging+Rak Kerupuk Ss</t>
  </si>
  <si>
    <t>1 Unit Mesin Aging+Rak Kerupuk SS</t>
  </si>
  <si>
    <t>MKRU.03/15</t>
  </si>
  <si>
    <t>Radiator Pemanas</t>
  </si>
  <si>
    <t>Pembelian Radiator Pemanas</t>
  </si>
  <si>
    <t>MKRU.04/15</t>
  </si>
  <si>
    <t>Roll Pl (Pellet Krupuk)</t>
  </si>
  <si>
    <t>1 Set roll PL (Pellet Krupuk)</t>
  </si>
  <si>
    <t>MKRU.05/15</t>
  </si>
  <si>
    <t>Mesin Doughter Sitter (Pellet Krupuk)</t>
  </si>
  <si>
    <t>1 Line Mesin Doughter Sitter (Pellet Krupuk)</t>
  </si>
  <si>
    <t>MKRU.06/15</t>
  </si>
  <si>
    <t>Mesin Cheese Stick Electric</t>
  </si>
  <si>
    <t>Pembelian 1 unit Mesin Cheese Stick Electric</t>
  </si>
  <si>
    <t>MKRU.01/16</t>
  </si>
  <si>
    <t>Cutting Pellet</t>
  </si>
  <si>
    <t>Pembelian 1 unit cutting pellet</t>
  </si>
  <si>
    <t>MKRU.02/16</t>
  </si>
  <si>
    <t>Mesin Roll Press Segitiga</t>
  </si>
  <si>
    <t>Pembelian 1 unit mesin roll press segitiga</t>
  </si>
  <si>
    <t>MKRU.03/16</t>
  </si>
  <si>
    <t>Roll Teflon 130X400 Mesin Press Segitiga</t>
  </si>
  <si>
    <t>Pembelian 1 unit roll teflon 130x400 untuk mesin press segitiga</t>
  </si>
  <si>
    <t>MKRU.04/16</t>
  </si>
  <si>
    <t>Oven Meja</t>
  </si>
  <si>
    <t>Pembuatan 1 unit oven meja dari harga Rp 73.000.000</t>
  </si>
  <si>
    <t>MKRU.05/16</t>
  </si>
  <si>
    <t xml:space="preserve">Mesin Press Segitiga </t>
  </si>
  <si>
    <t>Pembelian 1 unit mesin press segitiga dari harga Rp 34.125.000 (opak)</t>
  </si>
  <si>
    <t>MKRU.06/16</t>
  </si>
  <si>
    <t>Roll Belah Cutting Pellet</t>
  </si>
  <si>
    <t>Pembuatan roll belah cutting pellet</t>
  </si>
  <si>
    <t>MKRU.07/16</t>
  </si>
  <si>
    <t>Oven Meja (Pellet Net)</t>
  </si>
  <si>
    <t>Pembelian 1 unit oven meja dari harga Rp 73.000.000 (Pellet Net)</t>
  </si>
  <si>
    <t>MKRU.08/16</t>
  </si>
  <si>
    <t>Mesin Pellet Net</t>
  </si>
  <si>
    <t>Pembelian 1 line mesin pellet net</t>
  </si>
  <si>
    <t>MKRU.09/16</t>
  </si>
  <si>
    <t>Mesin Press Segienam (Pellet)</t>
  </si>
  <si>
    <t>Pembelian 1 unit mesin press segienam (Pellet)</t>
  </si>
  <si>
    <t>MKRU.10/16</t>
  </si>
  <si>
    <t>Mesin Giling Singkong Opak</t>
  </si>
  <si>
    <t>Pembelian mesin giling singkong opak</t>
  </si>
  <si>
    <t>MKRU.11/16</t>
  </si>
  <si>
    <t xml:space="preserve">Mesin Second 1 Set Line Pellet </t>
  </si>
  <si>
    <t>Pembelian mesin second 1 set line pellet dari harga Rp 975.000.000</t>
  </si>
  <si>
    <t>Mesin Second 1 Set Line Pellet</t>
  </si>
  <si>
    <t>Penjualan mesin second 1 set line pellet dari harga Rp 975.000.000</t>
  </si>
  <si>
    <t>MKRU.12/16</t>
  </si>
  <si>
    <t xml:space="preserve">Biaya Kirim Mesin 1 Line Pellet </t>
  </si>
  <si>
    <t>Biaya kirim mesin 1 line pellet dari Pasuruan ke Semarang sebanyak 9 truk x Rp 2.700.000</t>
  </si>
  <si>
    <t>MKRU.13/16</t>
  </si>
  <si>
    <t xml:space="preserve">Mesin Pellet Net Tanpa Cutting </t>
  </si>
  <si>
    <t>Pembelian 1 line mesin pellet net tanpa cutting dari harga Rp 477.500.000</t>
  </si>
  <si>
    <t>Mesin Pellet Mkru.</t>
  </si>
  <si>
    <t>Inv 1206, Penjualan Asset ke cassanatama, Mesin Pellet mkru.13/16, 05/10/20</t>
  </si>
  <si>
    <t>MKRU.14/16</t>
  </si>
  <si>
    <t xml:space="preserve">Mesin Kerupuk </t>
  </si>
  <si>
    <t>Pembelian 1 line mesin kerupuk untuk bornel dari harga Rp 125.000.000 (diskon Rp 5juta)</t>
  </si>
  <si>
    <t>Penjualan 1 line mesin kerupuk untuk bornel dari harga Rp 125.000.000 (diskon Rp 5juta)</t>
  </si>
  <si>
    <t>MKRU.15/16</t>
  </si>
  <si>
    <t>Mesin Pemotong Opak</t>
  </si>
  <si>
    <t>Pembelian mesin pemotong opak dari harga Rp 34.100.000</t>
  </si>
  <si>
    <t>MKRU.16/16</t>
  </si>
  <si>
    <t xml:space="preserve">Mesin Penunjang Produksi </t>
  </si>
  <si>
    <t>Mesin penunjang produksi dari harga Rp 150.000.000 unit III</t>
  </si>
  <si>
    <t>MKRU.17/16</t>
  </si>
  <si>
    <t>MKRU.18/16</t>
  </si>
  <si>
    <t>MKRU.19/16</t>
  </si>
  <si>
    <t>Perbaikan Roller + Penggantian Nylon6'' Untuk Mesin Press Segitiga</t>
  </si>
  <si>
    <t>Perbaikan roller + penggantian nylon6'' untuk mesin press segitiga</t>
  </si>
  <si>
    <t>MKRU.20/16</t>
  </si>
  <si>
    <t xml:space="preserve">Pangkon (Kerangka Mesin Belah) Pisau 2 Mata </t>
  </si>
  <si>
    <t>Pembelian pangkon (kerangka mesin belah) pisau 2 mata untuk opak 6x9</t>
  </si>
  <si>
    <t>MKRU.21/16</t>
  </si>
  <si>
    <t>Pisau Belah Adonan Cn (Dough Sheeter)</t>
  </si>
  <si>
    <t>Pembelian pisau belah adonan CN (dough sheeter unit 3)</t>
  </si>
  <si>
    <t>MKRU.22/16</t>
  </si>
  <si>
    <t>Mesin Parut Ss</t>
  </si>
  <si>
    <t>Pembelian mesin parut SS dari harga Rp 18.500.000</t>
  </si>
  <si>
    <t>MKRU.23/16</t>
  </si>
  <si>
    <t xml:space="preserve">Gear D128-20/Dudukan Bearing/Gigi Modul </t>
  </si>
  <si>
    <t>Pembelian gear D128-20/dudukan bearing/gigi modul sebanyak 1 set</t>
  </si>
  <si>
    <t>MKRU.24/16</t>
  </si>
  <si>
    <t>Pisau Wajik Untuk Opak 1 Unit P : 57Cm</t>
  </si>
  <si>
    <t>Pembelian pisau wajik untuk opak 1 unit P : 57cm</t>
  </si>
  <si>
    <t>MKRU.25/16</t>
  </si>
  <si>
    <t xml:space="preserve">Mesin Pemotong Heavy Duty Type B </t>
  </si>
  <si>
    <t>Pembelian mesin pemotong heavy duty type B seharga Rp 29.309.596 (unit 2)</t>
  </si>
  <si>
    <t>MKRU.01/17</t>
  </si>
  <si>
    <t xml:space="preserve">Pintu Doghsetter </t>
  </si>
  <si>
    <t>Pembelian pintu doghsetter sebanyak 1 unit</t>
  </si>
  <si>
    <t>MKRU.02/17</t>
  </si>
  <si>
    <t>Roll Belah 4Cm X 4Cm</t>
  </si>
  <si>
    <t>Pembelian roll belah 4cm x 4cm untuk opak 1 unit</t>
  </si>
  <si>
    <t>MKRU.03/17</t>
  </si>
  <si>
    <t>Roll Wajik</t>
  </si>
  <si>
    <t>Pembelian roll wajik untuk opak 1 unit</t>
  </si>
  <si>
    <t>MKRU.04/17</t>
  </si>
  <si>
    <t xml:space="preserve">Kerangka Mesin Giling </t>
  </si>
  <si>
    <t>Pembelian kerangka mesin giling sebanyak 1 unit</t>
  </si>
  <si>
    <t>MKRU.05/17</t>
  </si>
  <si>
    <t xml:space="preserve">Coil Pemanas + Blower Mesin </t>
  </si>
  <si>
    <t>Pelunasan Coil pemanas + blower untuk memanaskan mesin Pasuruan sebanyak 1 set</t>
  </si>
  <si>
    <t>MKRU.06/17</t>
  </si>
  <si>
    <t>DP Coil pemanas + blower untuk memanaskan mesin Pasuruan sebanyak 1 set</t>
  </si>
  <si>
    <t>MKRU.07/17</t>
  </si>
  <si>
    <t>Rold Mild Steel U Mesin Dought Sheeter</t>
  </si>
  <si>
    <t>Rold mild steel u mesin dought sheeter  3 buah @ Rp 700.000</t>
  </si>
  <si>
    <t>MKRU.08/17</t>
  </si>
  <si>
    <t xml:space="preserve">Gear 133 Pola 18 </t>
  </si>
  <si>
    <t>Pembelian gear 133 pola 18 sebanyak 4pcs untuk engineering Rp 6.061.000</t>
  </si>
  <si>
    <t>MKRU.09/17</t>
  </si>
  <si>
    <t xml:space="preserve">Pintu Dough Sheteer </t>
  </si>
  <si>
    <t>Pembelian pintu dough sheteer sebanyak 1 set Rp 5.720.000</t>
  </si>
  <si>
    <t>MKRU.12/17</t>
  </si>
  <si>
    <t xml:space="preserve">Roll Motif Cn 180X600Mm </t>
  </si>
  <si>
    <t>Pembelian 1 unit roll motif CN 180x600mm dengan material bronz dari harga Rp 33.000.000</t>
  </si>
  <si>
    <t>MKRU.11/17</t>
  </si>
  <si>
    <t xml:space="preserve">Radiator Pemanas + Blower </t>
  </si>
  <si>
    <t>Pembelian radiator pemanas + blower 1 set untuk heater box mesin Pasuruan</t>
  </si>
  <si>
    <t>MKRU.10/17</t>
  </si>
  <si>
    <t>Pembelian roll belah 22mm 1 set untuk kerupuk tempe</t>
  </si>
  <si>
    <t>MKRU.13/17</t>
  </si>
  <si>
    <t>Mesin Giling</t>
  </si>
  <si>
    <t>Pembelian mesin giling untuk kerupuk tempe di unit 3</t>
  </si>
  <si>
    <t>MKRU.15/17</t>
  </si>
  <si>
    <t xml:space="preserve">Mesin Giling Type 52 </t>
  </si>
  <si>
    <t>Pembelian mesin giling type 52 1 unit x @Rp 1.750.000</t>
  </si>
  <si>
    <t>MKRU.14/17</t>
  </si>
  <si>
    <t xml:space="preserve">Roller Pisau Potong Miring </t>
  </si>
  <si>
    <t>Roller pisau potong miring 1 unit x @Rp 5.700.000 untuk produk potato stik</t>
  </si>
  <si>
    <t>MKRU.16/17</t>
  </si>
  <si>
    <t>Mesin Cutting Segitiga Opak</t>
  </si>
  <si>
    <t>MKRU.17/17</t>
  </si>
  <si>
    <t>Radiator</t>
  </si>
  <si>
    <t>Pembelian radiator di unit 3</t>
  </si>
  <si>
    <t>MKRU.18/17</t>
  </si>
  <si>
    <t xml:space="preserve">Mesin Potong Roll Belah / Rangka Mesin Roll Wajik </t>
  </si>
  <si>
    <t>Pembelian mesin potong roll belah / rangka mesin roll wajik di unit 2</t>
  </si>
  <si>
    <t>MKRU.19/17</t>
  </si>
  <si>
    <t>Roll Piping 4" 11D As 840 Dan Roll Piping 4" Unit 3</t>
  </si>
  <si>
    <t>Pembelian roll piping 4" 11D as 840 dan roll piping 4" unit 3</t>
  </si>
  <si>
    <t>MKRU.20/17</t>
  </si>
  <si>
    <t xml:space="preserve">Inverter Toshiba Vfs15-4015 </t>
  </si>
  <si>
    <t>Pembelian Inverter toshiba VFS15-4015 sejumlah 1 unit untuk mesin cutting potato stick</t>
  </si>
  <si>
    <t>MKRU.21/17</t>
  </si>
  <si>
    <t xml:space="preserve">Mesin Abrasive Potato Peeler </t>
  </si>
  <si>
    <t>Pembelian mesin abrasive potato peeler dari harga Rp 120.175.000</t>
  </si>
  <si>
    <t>MKRU.22/17</t>
  </si>
  <si>
    <t xml:space="preserve">Roll Piping D-125,5/5" As 850 </t>
  </si>
  <si>
    <t>Roll piping D-125,5/5" AS 850 2pcs x @Rp 1.730.000</t>
  </si>
  <si>
    <t>MKRU.23/17</t>
  </si>
  <si>
    <t xml:space="preserve">Roll Piping D-125,5/5" As 900 </t>
  </si>
  <si>
    <t>roll piping D-125,5/5" AS 900 2pcs x @Rp 1.810.000</t>
  </si>
  <si>
    <t>MKRU.24/17</t>
  </si>
  <si>
    <t xml:space="preserve">Roll Press Segienam </t>
  </si>
  <si>
    <t>Roll press segienam 1 unit x @Rp 3.000.000 untuk mesin cutting segienam di unit 3</t>
  </si>
  <si>
    <t>MKRU.25/17</t>
  </si>
  <si>
    <t>Radiator Pemanas Dryer Mesin Oven</t>
  </si>
  <si>
    <t>Pembelian radiator pemanas untuk dryer mesin oven 3 tingkat untuk di unit 3</t>
  </si>
  <si>
    <t>MKRU.26/17</t>
  </si>
  <si>
    <t>Roll Nylon Keras 6</t>
  </si>
  <si>
    <t>Roll nylon keras 6" untuk mesin cutting segienam unit 3</t>
  </si>
  <si>
    <t>MKRU.27/17</t>
  </si>
  <si>
    <t>Mesin Giling Daging Type 62 S</t>
  </si>
  <si>
    <t>Pembelian mesin giling daging type 62 sebanyak 1 unit untuk krumpe</t>
  </si>
  <si>
    <t>MKRU.28/17</t>
  </si>
  <si>
    <t>Roll Pisau/Cutting Segienam</t>
  </si>
  <si>
    <t>Pembelian 1 set roll pisau/cutting segienam</t>
  </si>
  <si>
    <t>MKRU.30/17</t>
  </si>
  <si>
    <t>Mesin Potong Roll Belah Segienam</t>
  </si>
  <si>
    <t>Pembelian mesin potong roll belah segienam 1 set untuk mesin di unit 3</t>
  </si>
  <si>
    <t>MKRU.29/17</t>
  </si>
  <si>
    <t xml:space="preserve">Roll Mild Steel 46X36X11.2Cm </t>
  </si>
  <si>
    <t>Pembelian roll mild steel 46x36x11.2cm untuk mesin di unit 3</t>
  </si>
  <si>
    <t>MKRU.31/17</t>
  </si>
  <si>
    <t xml:space="preserve">Roll Piping 4" </t>
  </si>
  <si>
    <t>Pembelian roll piping 4" untuk mesin dough sheeter</t>
  </si>
  <si>
    <t>MKRU.32/17</t>
  </si>
  <si>
    <t xml:space="preserve">Mesin Pellet </t>
  </si>
  <si>
    <t>Pembelian mesin pellet dari harga Rp 510.000.000</t>
  </si>
  <si>
    <t>Mesin Pellet</t>
  </si>
  <si>
    <t>Penjualan mesin pellet dari harga Rp 510.000.000</t>
  </si>
  <si>
    <t>MKRU.33/17</t>
  </si>
  <si>
    <t>Oven 3 Layer, 5 Layer Second</t>
  </si>
  <si>
    <t>Pembelian oven 3 layer, 5 layer second</t>
  </si>
  <si>
    <t>MKRU.36/17</t>
  </si>
  <si>
    <t xml:space="preserve">Blower Axial Pully Merk Vanco </t>
  </si>
  <si>
    <t>Pembelian blower axial pully merk vanco 2 unit untuk heater box (blower)</t>
  </si>
  <si>
    <t>MKRU.39/17</t>
  </si>
  <si>
    <t>Chenta Worm Gear Speed Reducer Ass-120 Ratio 1:50</t>
  </si>
  <si>
    <t>Pembelian chenta worm gear speed reducer ASS-120 Ratio 1:50</t>
  </si>
  <si>
    <t>MKRU.34/17</t>
  </si>
  <si>
    <t>Chenta Worm Gear Speed Reducer Ass-135 Ratio 1:50</t>
  </si>
  <si>
    <t>Pembelian chenta worm gear speed reducer ASS-135 Ratio 1:50</t>
  </si>
  <si>
    <t>MKRU.38/17</t>
  </si>
  <si>
    <t>Motology Three Phase Induction Motor (B3) 4P-10Hp</t>
  </si>
  <si>
    <t>Pembelian motology three phase induction motor (B3) 4P-10HP</t>
  </si>
  <si>
    <t>MKRU.35/17</t>
  </si>
  <si>
    <t>Motology Three Phase Induction Motor (B3) 4P-15Hp</t>
  </si>
  <si>
    <t>Pembelian motology three phase induction motor (B3) 4P-15HP</t>
  </si>
  <si>
    <t>MKRU.40/17</t>
  </si>
  <si>
    <t>Motology Three Phase Induction Motor (B3) 4P-5,5Hp</t>
  </si>
  <si>
    <t>Pembelian motology three phase induction motor (B3) 4P-5,5HP</t>
  </si>
  <si>
    <t>MKRU.37/17</t>
  </si>
  <si>
    <t xml:space="preserve">Roll Mild Steel 46X13Cm </t>
  </si>
  <si>
    <t>Pembelian roll mild steel 46x13cm sebanyak 4 buah untuk dough sheeter heater box di unit 3</t>
  </si>
  <si>
    <t>MKRU.41/17</t>
  </si>
  <si>
    <t xml:space="preserve">Roll Nylon 6" </t>
  </si>
  <si>
    <t>Pembelian roll nylon 6" untuk mesin cutting roll press segitiga dan segi enam</t>
  </si>
  <si>
    <t>MKRU.42/17</t>
  </si>
  <si>
    <t xml:space="preserve">Mesin Japan Made E Series Machines </t>
  </si>
  <si>
    <t>Mesin japan made E series machines dari harga Rp 375.000.000</t>
  </si>
  <si>
    <t>Penjualan Mesin japan made E series machines dari harga Rp 375.000.000</t>
  </si>
  <si>
    <t>MKRU.43/17</t>
  </si>
  <si>
    <t>set mesin pellet</t>
  </si>
  <si>
    <t>Pembelian 1 set mesin pellet dari harga Rp 510.000.000 untuk unit 2 ( Steam Cooker 80Jt, Dought Seeter 150jt, Cooling Konveyor 280Jt)</t>
  </si>
  <si>
    <t xml:space="preserve">Steam Cooker </t>
  </si>
  <si>
    <t xml:space="preserve">Penjualan Steam Cooker </t>
  </si>
  <si>
    <t>MKRU.47/17</t>
  </si>
  <si>
    <t xml:space="preserve">Roll Belah 4 Mm X 570 Mm </t>
  </si>
  <si>
    <t>Jaya Mandiri, 1 set roll belah 4 mm x 570 mm digunakan untuk proses cutting POS , 20/10/17</t>
  </si>
  <si>
    <t>MKRU.44/17</t>
  </si>
  <si>
    <t xml:space="preserve">Roll Belah 22 M X 420 Mm </t>
  </si>
  <si>
    <t>Jaya Mandiri, Roll belah 22 m x 420 mm 1set untuk proses cutting kerupuk tempe unit 3, 20/9/17</t>
  </si>
  <si>
    <t>MKRU.45/17</t>
  </si>
  <si>
    <t xml:space="preserve">Roll Pres Cutting Segi 6 + Rumah Bearing 128 X 570 </t>
  </si>
  <si>
    <t>Jaya Mandiri, Roll pres cutting segi 6 + rumah bearing 128 x 570 produksi POC di unit 2, 3/4/17</t>
  </si>
  <si>
    <t>MKRU.46/17</t>
  </si>
  <si>
    <t>Roll Belah 10 Mm Dan 1 Set Roll Belimbing 15 Mm</t>
  </si>
  <si>
    <t>Umar Shodiq, 1 set roll belah 10 mm dan 1 set roll belimbing 15 mm, produksi pangsit, 20/10/17</t>
  </si>
  <si>
    <t>MKRU.50/17</t>
  </si>
  <si>
    <t>Mesin Dough Sheeter Dadap</t>
  </si>
  <si>
    <t>Mesin dough sheeter  dadap</t>
  </si>
  <si>
    <t>Penjualan Mesin dough sheeter  dadap</t>
  </si>
  <si>
    <t>MKRU.48/17</t>
  </si>
  <si>
    <t>Mesin Pellet Ke-3</t>
  </si>
  <si>
    <t>Mesin Pellet ke-3</t>
  </si>
  <si>
    <t>MKRU.49/17</t>
  </si>
  <si>
    <t>Mesin Pellet Ke-4</t>
  </si>
  <si>
    <t>Mesin Pellet ke-4</t>
  </si>
  <si>
    <t>MKRU.01/18</t>
  </si>
  <si>
    <t>Mesin Strainer Vibrator Uk. 91X400X125 Cm</t>
  </si>
  <si>
    <t>mesin strainer vibrator uk. 91x400x125 cm</t>
  </si>
  <si>
    <t>MKRU.02/18</t>
  </si>
  <si>
    <t xml:space="preserve">Mesin Three Layer Oven Driyer </t>
  </si>
  <si>
    <t>Mesin three layer oven driyer u/ konveyor</t>
  </si>
  <si>
    <t>MKRU.03/18</t>
  </si>
  <si>
    <t xml:space="preserve">Chenta Worm Gear Speed Reducer Type : Ass - 155 Ratio 1 ; 50 </t>
  </si>
  <si>
    <t>1 unit " chenta " worm gear speed reducer type : ass - 155 ratio 1 ; 50 +ppn 10%,12/2/18</t>
  </si>
  <si>
    <t>MKRU.06/18</t>
  </si>
  <si>
    <t xml:space="preserve">Install Mesin Dryer 5 Layer </t>
  </si>
  <si>
    <t>Install mesin dryer 5 layer line 4 unit 3,10/01/18 ( pph 23 2% = 900.000)</t>
  </si>
  <si>
    <t>MKRU.04/18</t>
  </si>
  <si>
    <t xml:space="preserve">Radiator Uk 120Cm X 140Cm </t>
  </si>
  <si>
    <t>Radiator uk 120cm x 140cm 1bh,10/1/18 (radiator pada mesin oven 5 layer unit 3)</t>
  </si>
  <si>
    <t>MKRU.05/18</t>
  </si>
  <si>
    <t>Radiator Uk 190Cm X 80Cm 1Bh</t>
  </si>
  <si>
    <t>Radiator uk 190cm x 80cm 1bh,10/1/18,( radiator pada mesin oven 3 layer unit 3)</t>
  </si>
  <si>
    <t>MKRU.07/18</t>
  </si>
  <si>
    <t>Conveyor Penghubung Cutting Ke Mesin Driyer</t>
  </si>
  <si>
    <t>Conveyor untuk penghubung cutting ke mesin driyer</t>
  </si>
  <si>
    <t>MKRU.01/19</t>
  </si>
  <si>
    <t>Mesin Mp-10P-500</t>
  </si>
  <si>
    <t>Mesin MP-10P-500, Mahameru Machines Industry</t>
  </si>
  <si>
    <t>MKRU.02/19</t>
  </si>
  <si>
    <t>Mesin Extrude Lontong Krupuk</t>
  </si>
  <si>
    <t>Pembelian mesin extrude lontong krupuk u/ produksi di pabrik Jatikalangan(Filling di BCA8877 Jun)</t>
  </si>
  <si>
    <t>Center Seal 380Mm</t>
  </si>
  <si>
    <t>Mahameru Machines Industry, Center seal 380mm 2set x Rp 20.000.000/set, 14/08/20</t>
  </si>
  <si>
    <t>Mesin Giling Singkong</t>
  </si>
  <si>
    <t>PT Putra Chandra Sentosa, Mesin Giling Singkong 1unit x Rp 22.107.727'/unit, +PPN 11% 1/11/22</t>
  </si>
  <si>
    <t>Mesin Press Ampas dan Parutan Motor 15Hp</t>
  </si>
  <si>
    <t>CV Anugrah Budi Lancar, Mesin Press Ampas dan Parutan Motor 15Hp 23/11/22</t>
  </si>
  <si>
    <t>FA Mesin Ubi</t>
  </si>
  <si>
    <t>MU.01/13</t>
  </si>
  <si>
    <t>Almari Stemer</t>
  </si>
  <si>
    <t>MU.02/13</t>
  </si>
  <si>
    <t>Nampan</t>
  </si>
  <si>
    <t>30 unit nampan</t>
  </si>
  <si>
    <t>MU.04/13</t>
  </si>
  <si>
    <t>40 unit Nampan (PT Todda Perkasa)</t>
  </si>
  <si>
    <t>MU.05/13</t>
  </si>
  <si>
    <t>Bak Cuci Alternatif</t>
  </si>
  <si>
    <t>Bak Cuci alternatif</t>
  </si>
  <si>
    <t>MU.06/13</t>
  </si>
  <si>
    <t>Rak Ss Dimensi 760 X 760 X 200</t>
  </si>
  <si>
    <t>Rak SS dimensi 760 X 760 X 200</t>
  </si>
  <si>
    <t>MU.03/13</t>
  </si>
  <si>
    <t>Rak Ss Tbcr</t>
  </si>
  <si>
    <t>Rak SS TBCR</t>
  </si>
  <si>
    <t>MU.01/14</t>
  </si>
  <si>
    <t>1 unit Mesin Goreng (Reka tekhik)</t>
  </si>
  <si>
    <t>MU.03/14</t>
  </si>
  <si>
    <t>Almari Steamer</t>
  </si>
  <si>
    <t>1 unit Almari Steamer</t>
  </si>
  <si>
    <t>Penjualan 1 unit Almari Steamer</t>
  </si>
  <si>
    <t>MU.02/14</t>
  </si>
  <si>
    <t>Mesin Potong Stainles</t>
  </si>
  <si>
    <t>2 unit Mesin Potong Stainles</t>
  </si>
  <si>
    <t>MU.04/14</t>
  </si>
  <si>
    <t xml:space="preserve">Pengadaan Mesin Tepung </t>
  </si>
  <si>
    <t>Pengadaan Mesin Tepung untuk Produksi unit 2</t>
  </si>
  <si>
    <t>MU.05/14</t>
  </si>
  <si>
    <t>Mesin Drum Blancher</t>
  </si>
  <si>
    <t>1 unit Mesin drum blancher</t>
  </si>
  <si>
    <t>MU.06/14</t>
  </si>
  <si>
    <t>2 unit Mesin Goreng</t>
  </si>
  <si>
    <t>MU.07/14</t>
  </si>
  <si>
    <t>Boiler Kapasitas 500Kg</t>
  </si>
  <si>
    <t>1 unit Boiler Kapasitas 500kg</t>
  </si>
  <si>
    <t>Penjualan 1 unit Boiler Kapasitas 500kg</t>
  </si>
  <si>
    <t>MU.08/14</t>
  </si>
  <si>
    <t>Mesin Potong Stainles Ubi Ungu</t>
  </si>
  <si>
    <t>2 unit mesin potong stainles ubi ungu</t>
  </si>
  <si>
    <t>MU.09/14</t>
  </si>
  <si>
    <t>Almari Steam</t>
  </si>
  <si>
    <t>1 unit Almari Steam</t>
  </si>
  <si>
    <t>MU.10/14</t>
  </si>
  <si>
    <t>MU.11/14</t>
  </si>
  <si>
    <t>1 unit almari steamer</t>
  </si>
  <si>
    <t>MU.12/14</t>
  </si>
  <si>
    <t>1 unit mesin stainer vibrator</t>
  </si>
  <si>
    <t>MU.14/14</t>
  </si>
  <si>
    <t>Mesin Oven 5 Layer</t>
  </si>
  <si>
    <t xml:space="preserve"> Mesin Oven 5 Layer</t>
  </si>
  <si>
    <t>MU.13/14</t>
  </si>
  <si>
    <t>Mesin Spiner</t>
  </si>
  <si>
    <t>1 unit Mesin Spiner</t>
  </si>
  <si>
    <t>MU.15/14</t>
  </si>
  <si>
    <t>Steam Header + Water Softener</t>
  </si>
  <si>
    <t>I unit Steam Header + I unit  Water Softener</t>
  </si>
  <si>
    <t>MU.01/15</t>
  </si>
  <si>
    <t>Mesin Potong Stainles (Ubi Ungu)</t>
  </si>
  <si>
    <t>4 unit Mesin Potong Stainles (Ubi Ungu)</t>
  </si>
  <si>
    <t>MU.02/15</t>
  </si>
  <si>
    <t>Mesin Brushing (Ubi Ungu)</t>
  </si>
  <si>
    <t xml:space="preserve"> 1 unit Mesin Brushing (Ubi Ungu)</t>
  </si>
  <si>
    <t>MU.01/18</t>
  </si>
  <si>
    <t>Mesin Cuci Ubi Ungu Full Stainles</t>
  </si>
  <si>
    <t>FA Mesin Proyek Nusantara</t>
  </si>
  <si>
    <t>Pembelian 1 unit mesin cheese stick electric</t>
  </si>
  <si>
    <t>Cancel Pembelian Mesin Cheese Stick</t>
  </si>
  <si>
    <t>Cancel pembelian mesin cheese stick</t>
  </si>
  <si>
    <t>Penjualan Mesin Packaging Inv 1232</t>
  </si>
  <si>
    <t>Pembelian 2 unit mesin packaging @ Rp 9.000.000</t>
  </si>
  <si>
    <t>Conveyor, De Coding, Bath Former</t>
  </si>
  <si>
    <t>Penambahan conveyor, de coding, bath former pada mesin packaging dari harga Rp 15.560.000</t>
  </si>
  <si>
    <t>Sisa Deep Fryer</t>
  </si>
  <si>
    <t>Sisa deep fryer</t>
  </si>
  <si>
    <t>MPN.02/15</t>
  </si>
  <si>
    <t>Mesin Vacuum Frying Kapasitas 10 Kg</t>
  </si>
  <si>
    <t>1 unit mesin vacuum frying kapasitas 10 kg</t>
  </si>
  <si>
    <t>MPN.01/15</t>
  </si>
  <si>
    <t>Oven 3 Layer + Extruder</t>
  </si>
  <si>
    <t>1 unit oven 3 layer + extruder</t>
  </si>
  <si>
    <t>MPN.03/15</t>
  </si>
  <si>
    <t>Mesin Blender Dan Mesin Mixer Adonan</t>
  </si>
  <si>
    <t>Pembelian mesin blender dan mesin mixer adonan</t>
  </si>
  <si>
    <t>Penjualan mesin blender dan mesin mixer adonan</t>
  </si>
  <si>
    <t>MPN.04/15</t>
  </si>
  <si>
    <t>Deep Fat Fryer</t>
  </si>
  <si>
    <t>Deep Fat Fryer (R&amp;D) PT Todda Perkasa</t>
  </si>
  <si>
    <t>MPN.05/15</t>
  </si>
  <si>
    <t>Mesin Potong Cakwe Material Stainless</t>
  </si>
  <si>
    <t>Pembelian 1 unit mesin potong cakwe material stainless</t>
  </si>
  <si>
    <t>MPN.08/15</t>
  </si>
  <si>
    <t xml:space="preserve">Deep Fat Fryer </t>
  </si>
  <si>
    <t>Deep Fat Fryer PT Todda Perkasa</t>
  </si>
  <si>
    <t>MPN.06/15</t>
  </si>
  <si>
    <t>Boiler 2 Ton &amp; Pemasangan</t>
  </si>
  <si>
    <t>Pembelian 1 unit Boiler 2 ton &amp; Pemasangan (Ubi Ungu , Unit II &amp; Nusantara)</t>
  </si>
  <si>
    <t>1 unit Boiler 2 ton &amp; Pemasangan (Ubi Ungu , Unit II &amp; Nusantara)</t>
  </si>
  <si>
    <t>MPN.07/15</t>
  </si>
  <si>
    <t>Mesin Potong Gelombang</t>
  </si>
  <si>
    <t>Pembelian 1 unit Mesin Potong gelombang</t>
  </si>
  <si>
    <t>MPN.09/15</t>
  </si>
  <si>
    <t>Burner Mesin Oven 3 Layer</t>
  </si>
  <si>
    <t>Pembelian burner untuk mesin oven 3 layer</t>
  </si>
  <si>
    <t>MPN.10/15</t>
  </si>
  <si>
    <t xml:space="preserve">Roll Ss 4" X 900Mm Sproket Rs50 X Z17 </t>
  </si>
  <si>
    <t>Pembelian roll SS 4" x 900mm sproket RS50 x Z17 sebanyak 2 unit</t>
  </si>
  <si>
    <t>MPN.11/15</t>
  </si>
  <si>
    <t>Mesin Roll Untuk Mesin Dought Sitter</t>
  </si>
  <si>
    <t>Pembelian mesin roll untuk mesin dought sitter</t>
  </si>
  <si>
    <t>MPN.12/15</t>
  </si>
  <si>
    <t>Coating Roll Ss 60 Cm X 10 Cm</t>
  </si>
  <si>
    <t>Coating roll SS 60 cm x 10 cm sebanyak 2 unit</t>
  </si>
  <si>
    <t>MPN.16/15</t>
  </si>
  <si>
    <t>Meja Untuk Deep Fryer</t>
  </si>
  <si>
    <t>Meja untuk deep fryer</t>
  </si>
  <si>
    <t>MPN.15/15</t>
  </si>
  <si>
    <t>Conveyor 690X30 Dan 1 Unit Conveyor 490X30</t>
  </si>
  <si>
    <t>Pembelian 1 unit conveyor 690x30 dan 1 unit conveyor 490x30</t>
  </si>
  <si>
    <t>MPN.14/15</t>
  </si>
  <si>
    <t>Roll Belah Cheese Stick &amp; Roll Belah Pangsit</t>
  </si>
  <si>
    <t>Pembelian 1 unit roll belah cheese stick dan 1 unit roll belah pangsit</t>
  </si>
  <si>
    <t>MPN.13/15</t>
  </si>
  <si>
    <t>Rak Material Ss</t>
  </si>
  <si>
    <t>Rak material SS</t>
  </si>
  <si>
    <t>MPN.17/15</t>
  </si>
  <si>
    <t>Roll Ss Untuk Mesin Roll 3 Tingkat</t>
  </si>
  <si>
    <t>Roll SS untuk mesin roll 3 tingkat</t>
  </si>
  <si>
    <t>MPN.18/15</t>
  </si>
  <si>
    <t>Tranz Worm Gear Speed Reducer Nmrv-075 Ratio 1:20</t>
  </si>
  <si>
    <t>Pembelian 2 unit tranz worm gear speed reducer NMRV-075 ratio 1:20</t>
  </si>
  <si>
    <t>MPN.19/15</t>
  </si>
  <si>
    <t>Mesin Macaroni Second</t>
  </si>
  <si>
    <t>Pembelian 1 unit mesin macaroni second dari harga Rp 88.000.000</t>
  </si>
  <si>
    <t>MPN.20/15</t>
  </si>
  <si>
    <t xml:space="preserve">Piringan + Pisau Gelombang Full Stainless </t>
  </si>
  <si>
    <t>Piringan + pisau gelombang full stainless dari harga Rp 15.000.000</t>
  </si>
  <si>
    <t>MPN.01/16</t>
  </si>
  <si>
    <t>Gearbox Type 70 R 1:20 + Pully Untuk Mesin Roll 4 Tingkat</t>
  </si>
  <si>
    <t>Pembelian gearbox type 70 R 1:20 + pully untuk mesin roll 4 tingkat</t>
  </si>
  <si>
    <t>MPN.02/16</t>
  </si>
  <si>
    <t>Roll Belah 18Mm</t>
  </si>
  <si>
    <t>Pembelian 1 set roll belah 18mm</t>
  </si>
  <si>
    <t>MPN.03/16</t>
  </si>
  <si>
    <t xml:space="preserve">Mesin Roll 4 Tingkat Untuk Cheese Crumb </t>
  </si>
  <si>
    <t>Pembelian 1 unit mesin roll 4 tingkat untuk cheese crumb dari harga Rp 80.000.000</t>
  </si>
  <si>
    <t>MPN.04/16</t>
  </si>
  <si>
    <t>Mesin Dought Sitter Untuk Noodle Stick</t>
  </si>
  <si>
    <t>Pembelian 1 unit mesin dought sitter untuk noodle stick</t>
  </si>
  <si>
    <t>MPN.05/16</t>
  </si>
  <si>
    <t>Deep Fryer Merk Roller Grill Kapasitas 5 Liter</t>
  </si>
  <si>
    <t>Pembelian 1 unit deep fryer merk roller grill kapasitas 5 liter</t>
  </si>
  <si>
    <t>MPN.07/16</t>
  </si>
  <si>
    <t>Mixing Head Untuk Burner</t>
  </si>
  <si>
    <t>Pembelian 1 unit mixing head untuk burner</t>
  </si>
  <si>
    <t>MPN.06/16</t>
  </si>
  <si>
    <t>Press Switch</t>
  </si>
  <si>
    <t>Pembelian 1 unit press switch</t>
  </si>
  <si>
    <t>MPN.08/16</t>
  </si>
  <si>
    <t>Layer Heater Box (Pellet Net)</t>
  </si>
  <si>
    <t>penambahan layer pada heater box dari 7 layer menjadi 9 layer (Pellet Net)</t>
  </si>
  <si>
    <t>TOTAL SELURUH BARIS</t>
  </si>
  <si>
    <t>A. PENYUSUTAN PER AKUN GL - register (aktual Jan-Agu 2026 dan proyeksi) vs PL Actual MTM; selisih aktual harus nol</t>
  </si>
  <si>
    <t>Akun</t>
  </si>
  <si>
    <t>Baris</t>
  </si>
  <si>
    <t>Peny. Bangunan (opex)</t>
  </si>
  <si>
    <t>Register</t>
  </si>
  <si>
    <t>GL (PL Actual MTM)</t>
  </si>
  <si>
    <t>Selisih (harus 0)</t>
  </si>
  <si>
    <t>Peny. Kendaraan Gol 2 (opex; GL membukukan semua kendaraan di sini)</t>
  </si>
  <si>
    <t>Peny. Inventaris Kantor Gol 1 (opex)</t>
  </si>
  <si>
    <t>Peny. Inventaris Kantor Gol 2 (opex)</t>
  </si>
  <si>
    <t>Peny. Komputer Software (opex)</t>
  </si>
  <si>
    <t>Peny. Inventaris Kantor Gol 1 (Value) (opex)</t>
  </si>
  <si>
    <t>Peny. Inventaris Pabrik Gol 1 (COGS)</t>
  </si>
  <si>
    <t>Peny. Inventaris Pabrik Gol 2 (COGS)</t>
  </si>
  <si>
    <t>Peny. Inventaris Pabrik Gol 1 (Value) (COGS)</t>
  </si>
  <si>
    <t>Peny. Mesin Gol 1 (COGS)</t>
  </si>
  <si>
    <t>Peny. Mesin Gol 2 (COGS)</t>
  </si>
  <si>
    <t>Peny. Mesin Gol 1 (Value) (COGS)</t>
  </si>
  <si>
    <t>6500-014</t>
  </si>
  <si>
    <t>Peny. Mesin Gol 2 (Value) (COGS)</t>
  </si>
  <si>
    <t>TOTAL</t>
  </si>
  <si>
    <t>GL</t>
  </si>
  <si>
    <t>B. PENYUSUTAN PER KELAS NERACA dan PER BARIS P&amp;L BUSINESS PLAN (dibaca oleh Business Plan baris 54, 163-167 dan oleh pool biaya pabrik model)</t>
  </si>
  <si>
    <t>Kelas / baris</t>
  </si>
  <si>
    <t>Depreciation - Machinery (COGS: mesin + inventaris pabrik) -&gt; Business Plan baris 32 lewat pool biaya pabrik model</t>
  </si>
  <si>
    <t>Depreciation Expenses (opex: bangunan + kendaraan + inventaris kantor + software) -&gt; Business Plan baris 54</t>
  </si>
  <si>
    <t>Total penyusutan</t>
  </si>
  <si>
    <t>C. REKONSILIASI KE NERACA 31 AGUSTUS 2026 (BS Actual MTM kolom Agustus, per mapping kolom R)</t>
  </si>
  <si>
    <t>Kelas</t>
  </si>
  <si>
    <t>Harga perolehan - register</t>
  </si>
  <si>
    <t>Harga perolehan - neraca</t>
  </si>
  <si>
    <t>Selisih</t>
  </si>
  <si>
    <t>Akum. penyusutan - register</t>
  </si>
  <si>
    <t>Akum. penyusutan - neraca</t>
  </si>
  <si>
    <t>Nilai buku - register</t>
  </si>
  <si>
    <t>Catatan rekonsiliasi: (1) Kendaraan +Rp 72.179.250 di harga perolehan dan akumulasi = "Kendaraan Distribusi" yang sudah habis disusutkan, ada di register tetapi tidak lagi di GL (dipindahkan). (2) Mesin: harga perolehan +Rp 4,7 juta; akumulasi +Rp 633 juta karena baris penjualan di register membalik akumulasi sebesar harga perolehan penuh (bukan akumulasi aktual) - nilai buku aset yang dijual masuk rugi pelepasan di GL. Keduanya tidak mempengaruhi jadwal penyusutan ke depan (aset dijual = 0).</t>
  </si>
  <si>
    <t>Catatan penjadwalan: register menyusutkan penuh pada bulan perolehan (Ducting 15 Agu 2026 sudah menyusut satu bulan penuh di Agustus). Aset yang dijual dicatat sebagai pasangan baris positif/negatif; baris positifnya berhenti menyusut sejak bulan penjualan, sehingga run-rate Agu-26 = 0 dan proyeksinya 0.</t>
  </si>
  <si>
    <t>Business Plan</t>
  </si>
  <si>
    <t>Oct 2026 to Dec 2027</t>
  </si>
  <si>
    <t>General assumptions</t>
  </si>
  <si>
    <t>1.1</t>
  </si>
  <si>
    <t>Macroeconomics</t>
  </si>
  <si>
    <t>Inflation rate</t>
  </si>
  <si>
    <t>% yoy</t>
  </si>
  <si>
    <t>Index</t>
  </si>
  <si>
    <t>x</t>
  </si>
  <si>
    <t>Minimum Wage adjustment</t>
  </si>
  <si>
    <t>Combined wage adjustment</t>
  </si>
  <si>
    <t>Indeks upah (kumulatif dari Minimum Wage adjustment, basis Agu-26 = 1)</t>
  </si>
  <si>
    <t>IDR to USD</t>
  </si>
  <si>
    <t>IDR</t>
  </si>
  <si>
    <t>1.2</t>
  </si>
  <si>
    <t>Growth Assumption</t>
  </si>
  <si>
    <t>Revenue growth target</t>
  </si>
  <si>
    <t>Period x</t>
  </si>
  <si>
    <t>x year</t>
  </si>
  <si>
    <t>Period cashflow (half period)</t>
  </si>
  <si>
    <t>Month in period</t>
  </si>
  <si>
    <t>x month</t>
  </si>
  <si>
    <t>Operational assumptions</t>
  </si>
  <si>
    <t>2.1</t>
  </si>
  <si>
    <t>Operational Days</t>
  </si>
  <si>
    <t>Total Days</t>
  </si>
  <si>
    <t>Days</t>
  </si>
  <si>
    <t>Holidays</t>
  </si>
  <si>
    <t>Production Days</t>
  </si>
  <si>
    <t>2.2</t>
  </si>
  <si>
    <t>Production Capacity/Days</t>
  </si>
  <si>
    <t>Washing</t>
  </si>
  <si>
    <t>KG - Wet</t>
  </si>
  <si>
    <t>Slicing</t>
  </si>
  <si>
    <t>Fyring</t>
  </si>
  <si>
    <t>KG - Dry</t>
  </si>
  <si>
    <t>2.4</t>
  </si>
  <si>
    <t>Production Capacity/Month</t>
  </si>
  <si>
    <t>Ton - Wet</t>
  </si>
  <si>
    <t>Ton - Dry</t>
  </si>
  <si>
    <t>Personal</t>
  </si>
  <si>
    <t>People</t>
  </si>
  <si>
    <t>2.5</t>
  </si>
  <si>
    <t>Working Hours Mesin &amp; Kapasitas dari Jam Operasi</t>
  </si>
  <si>
    <t>Jam operasi - Washing</t>
  </si>
  <si>
    <t>jam</t>
  </si>
  <si>
    <t>Jam operasi - Slicing</t>
  </si>
  <si>
    <t>Jam operasi - Frying (tahap penentu)</t>
  </si>
  <si>
    <t>Kapasitas per jam - Frying (kapasitas/hari baris 31 / jam operasi per hari)</t>
  </si>
  <si>
    <t>KG - Dry/jam</t>
  </si>
  <si>
    <t>Kapasitas dari working hours - Frying (jam x kapasitas/jam)</t>
  </si>
  <si>
    <t>Total target volume produksi - 4 blok produk</t>
  </si>
  <si>
    <t>KG</t>
  </si>
  <si>
    <t>Utilisasi working hours (target / kapasitas dari jam)</t>
  </si>
  <si>
    <t>Cek kapasitas: kapasitas - target (negatif = target melebihi kapasitas jam)</t>
  </si>
  <si>
    <t>3.1  Volume Penjualan</t>
  </si>
  <si>
    <t>IFM - FCC</t>
  </si>
  <si>
    <t>IFM - Ubi Ungu</t>
  </si>
  <si>
    <t>IFM - Ubi Orange</t>
  </si>
  <si>
    <t>IFM - total</t>
  </si>
  <si>
    <t>Ekspor &amp; Singkong Fresh</t>
  </si>
  <si>
    <t>Other (MBS, Nutrifood, Koperasi, Lembutan)</t>
  </si>
  <si>
    <t>Total volume penjualan</t>
  </si>
  <si>
    <t>IFM Semarang - Volume Proportion</t>
  </si>
  <si>
    <t>IFM Tanggerang - Volume Proportion</t>
  </si>
  <si>
    <t>3.2  Harga Rata-rata</t>
  </si>
  <si>
    <t>IFM Semarang - FCC</t>
  </si>
  <si>
    <t>IDR/KG</t>
  </si>
  <si>
    <t>IFM Tanggerang - FCC</t>
  </si>
  <si>
    <t>IFM Blended - FCC</t>
  </si>
  <si>
    <t>IFM - rata-rata</t>
  </si>
  <si>
    <t>Other</t>
  </si>
  <si>
    <t>3.3  Revenue</t>
  </si>
  <si>
    <t>IDR Mil</t>
  </si>
  <si>
    <t>IFM - Others</t>
  </si>
  <si>
    <t>IFM - total per Laba Rugi</t>
  </si>
  <si>
    <t>KBF</t>
  </si>
  <si>
    <t>Total Operating Revenue - hitungan</t>
  </si>
  <si>
    <t>Total Operating Revenue per Laba Rugi (baris 12)</t>
  </si>
  <si>
    <t>ctrl</t>
  </si>
  <si>
    <t>3.4  Claim &amp; Discount</t>
  </si>
  <si>
    <t>Claim &amp; discount</t>
  </si>
  <si>
    <t>Revenue neto</t>
  </si>
  <si>
    <t>Pool Biaya Pabrik &amp; Alokasi</t>
  </si>
  <si>
    <t>4.1  Pool biaya pabrik per Laba Rugi - akun</t>
  </si>
  <si>
    <t>4.1.1</t>
  </si>
  <si>
    <t>Manpower Cost</t>
  </si>
  <si>
    <t>Basic Salary</t>
  </si>
  <si>
    <t>Grup A</t>
  </si>
  <si>
    <t>4.1.1.1 Direct Labour - Basic Salary</t>
  </si>
  <si>
    <t>Detail Headcount</t>
  </si>
  <si>
    <t>Departement</t>
  </si>
  <si>
    <t>Function</t>
  </si>
  <si>
    <t>Mapping Cost</t>
  </si>
  <si>
    <t>Production</t>
  </si>
  <si>
    <t>Unit 1</t>
  </si>
  <si>
    <t>Daily Worker</t>
  </si>
  <si>
    <t>Unit 2</t>
  </si>
  <si>
    <t>Unit 3</t>
  </si>
  <si>
    <t>Daily Rate</t>
  </si>
  <si>
    <t>Working Days</t>
  </si>
  <si>
    <t>Monthly - Coast</t>
  </si>
  <si>
    <t>4.1.1.2 FOH - Basic Salary - Daily Worker</t>
  </si>
  <si>
    <t>COGS - Manufacturing Overhead</t>
  </si>
  <si>
    <t>Engineering</t>
  </si>
  <si>
    <t>HSE</t>
  </si>
  <si>
    <t>PPIC</t>
  </si>
  <si>
    <t>(tidak diisi)</t>
  </si>
  <si>
    <t>Quality &amp; Product Development</t>
  </si>
  <si>
    <t>Quality Control</t>
  </si>
  <si>
    <t>Warehouse</t>
  </si>
  <si>
    <t>4.1.1.3 FOH - Basic Salary - Monthly</t>
  </si>
  <si>
    <t>Monthly</t>
  </si>
  <si>
    <t>Production Head</t>
  </si>
  <si>
    <t>Agro</t>
  </si>
  <si>
    <t>Procurement</t>
  </si>
  <si>
    <t>R &amp; D</t>
  </si>
  <si>
    <t>Quality Assurance</t>
  </si>
  <si>
    <t>4.1.1.2. THR &amp; Bonus Pabrik</t>
  </si>
  <si>
    <t>Bonuse Multiple to Basic Salary</t>
  </si>
  <si>
    <t>Indirect Labour</t>
  </si>
  <si>
    <t>4.1.1.3.  Biaya Jamsostek Pabrik</t>
  </si>
  <si>
    <t>Efective Rate</t>
  </si>
  <si>
    <t>Grup B</t>
  </si>
  <si>
    <t>4.1.2</t>
  </si>
  <si>
    <t>Biaya Listrik Pabrik</t>
  </si>
  <si>
    <t>Grup C</t>
  </si>
  <si>
    <t>Volume Output</t>
  </si>
  <si>
    <t>avrg KWH/kg</t>
  </si>
  <si>
    <t>KWH/KG</t>
  </si>
  <si>
    <t>Total KWH</t>
  </si>
  <si>
    <t>KWH</t>
  </si>
  <si>
    <t>Price/KWH</t>
  </si>
  <si>
    <t>Total Electricity Cost</t>
  </si>
  <si>
    <t xml:space="preserve">4.1.3  </t>
  </si>
  <si>
    <t>Utilities</t>
  </si>
  <si>
    <t>Biaya Air Pabrik</t>
  </si>
  <si>
    <t>Biaya Utilitas Pabrik</t>
  </si>
  <si>
    <t xml:space="preserve">4.1.4 </t>
  </si>
  <si>
    <t>Percentage to total Direct and Inderect Labour</t>
  </si>
  <si>
    <t>Grup E</t>
  </si>
  <si>
    <t>4.1.4 Repair and Maintenance</t>
  </si>
  <si>
    <t>Biaya Perbaikan &amp; Pemeliharaan Mesin</t>
  </si>
  <si>
    <t>Grup D</t>
  </si>
  <si>
    <t>Biaya Perbaikan &amp; Pemeliharaan Pabrik</t>
  </si>
  <si>
    <t>Biaya Perbaikan &amp; Pemeliharaan Inventaris Pabrik</t>
  </si>
  <si>
    <t>4.1.4</t>
  </si>
  <si>
    <t>Depreciation expenses</t>
  </si>
  <si>
    <t>Biaya Peny. Mesin Gol 1 - proyeksi dari Register FA (R6)</t>
  </si>
  <si>
    <t>Biaya Peny. Mesin Gol 2 - proyeksi dari Register FA (R6)</t>
  </si>
  <si>
    <t>Biaya Peny. Inventaris Pabrik Gol 1 - proyeksi dari Register FA (R6)</t>
  </si>
  <si>
    <t>Biaya Peny. Inventaris Pabrik Gol 2 - proyeksi dari Register FA (R6)</t>
  </si>
  <si>
    <t>Biaya Peny. Inventaris Pabrik Gol 1 (Value) - proyeksi dari Register FA (R6)</t>
  </si>
  <si>
    <t>Biaya Peny. Mesin Gol 1 (Value) - proyeksi dari Register FA (R6)</t>
  </si>
  <si>
    <t>Biaya Peny. Mesin Gol 2 (Value) - proyeksi dari Register FA (R6)</t>
  </si>
  <si>
    <t>Total Depreciations</t>
  </si>
  <si>
    <t>4.1.6</t>
  </si>
  <si>
    <t>Other Cost</t>
  </si>
  <si>
    <t>Biaya Pabrikasi &amp; Pengiriman</t>
  </si>
  <si>
    <t>Total pool biaya pabrik</t>
  </si>
  <si>
    <t>Cek vs 4.3 Biaya pabrik dibebankan langsung (harus nol)</t>
  </si>
  <si>
    <t>4.2  Sifat biaya - tetap vs variabel terhadap volume</t>
  </si>
  <si>
    <t>Biaya TETAP - tidak bergerak dengan volume</t>
  </si>
  <si>
    <t>Biaya SEMI-VARIABEL - bergerak sebagian dengan volume</t>
  </si>
  <si>
    <t>Biaya VARIABEL - bergerak penuh dengan volume</t>
  </si>
  <si>
    <t>Total - cek vs 4.1 (harus nol)</t>
  </si>
  <si>
    <t>Porsi biaya TETAP murni terhadap pool</t>
  </si>
  <si>
    <t>4.3  Pengelompokan pool per driver</t>
  </si>
  <si>
    <t>Grup A   Tenaga kerja langsung   [driver: upah langsung dibebankan di kartu]</t>
  </si>
  <si>
    <t>Grup B   Tenaga kerja tidak langsung, THR, pesangon &amp; jamsostek   [driver: alokasi Grup A]</t>
  </si>
  <si>
    <t>Grup C   Energi &amp; utilitas pabrik   [driver: volume produksi]</t>
  </si>
  <si>
    <t>Grup D   Pemeliharaan &amp; penyusutan mesin   [driver: biaya listrik &amp; air di kartu]</t>
  </si>
  <si>
    <t>Grup E   Pabrik umum &amp; penyusutan inventaris   [driver: pemakaian bahan baku]</t>
  </si>
  <si>
    <t>4.4  Basis alokasi (driver) per produk</t>
  </si>
  <si>
    <t>Driver A - upah langsung dibebankan di kartu</t>
  </si>
  <si>
    <t xml:space="preserve">      Flat Chip Cassava</t>
  </si>
  <si>
    <t xml:space="preserve">      Ubi Ungu</t>
  </si>
  <si>
    <t xml:space="preserve">      Ubi Orange</t>
  </si>
  <si>
    <t xml:space="preserve">      Lain-lain</t>
  </si>
  <si>
    <t>Driver B - alokasi Grup A per produk</t>
  </si>
  <si>
    <t>Driver C - volume produksi</t>
  </si>
  <si>
    <t>Driver D - biaya listrik &amp; air dibebankan di kartu</t>
  </si>
  <si>
    <t>Driver E - pemakaian bahan baku</t>
  </si>
  <si>
    <t>4.4  Alokasi pool ke produk per grup</t>
  </si>
  <si>
    <t>Grup A - tenaga kerja langsung</t>
  </si>
  <si>
    <t>Grup B - tenaga kerja tidak langsung &amp; benefit</t>
  </si>
  <si>
    <t>Grup C - energi &amp; utilitas pabrik</t>
  </si>
  <si>
    <t>Grup D - pemeliharaan &amp; penyusutan mesin</t>
  </si>
  <si>
    <t>Grup E - pabrik umum &amp; penyusutan inventaris</t>
  </si>
  <si>
    <t>4.6  Total alokasi biaya pabrik per produk</t>
  </si>
  <si>
    <t>Flat Chip Cassava</t>
  </si>
  <si>
    <t>Total alokasi</t>
  </si>
  <si>
    <t>4.7  Jembatan pemakaian bahan: kartu CoGM vs GL</t>
  </si>
  <si>
    <t>TOTAL BAHAN - terjangkar (aktual: GL pemakaian BB + COGM BB)</t>
  </si>
  <si>
    <t>Selisih kartu CoGM vs GL - dialokasikan lewat Variance Produksi BP 83</t>
  </si>
  <si>
    <t>Penyesuaian mutasi persediaan kartu -&gt; GL</t>
  </si>
  <si>
    <t>0</t>
  </si>
  <si>
    <t>ctrl to pool 4.1</t>
  </si>
  <si>
    <t>Inventory</t>
  </si>
  <si>
    <t>5.1</t>
  </si>
  <si>
    <t>Singkong Kulit Premium</t>
  </si>
  <si>
    <t>Pemakaian</t>
  </si>
  <si>
    <t>Pemakaian per hari</t>
  </si>
  <si>
    <t>Minimum stock</t>
  </si>
  <si>
    <t>Safety stock</t>
  </si>
  <si>
    <t>Lead time</t>
  </si>
  <si>
    <t>Hari</t>
  </si>
  <si>
    <t>Target saldo akhir</t>
  </si>
  <si>
    <t>Saldo awal</t>
  </si>
  <si>
    <t>Pembelian</t>
  </si>
  <si>
    <t>Saldo akhir</t>
  </si>
  <si>
    <t>Harga beli</t>
  </si>
  <si>
    <t>IDR Mio</t>
  </si>
  <si>
    <t>Avg Price</t>
  </si>
  <si>
    <t>5.2</t>
  </si>
  <si>
    <t>Singkong Daging Premium</t>
  </si>
  <si>
    <t>5.3</t>
  </si>
  <si>
    <t>Minyak Olein</t>
  </si>
  <si>
    <t>5.4</t>
  </si>
  <si>
    <t>MMBTU</t>
  </si>
  <si>
    <t>IDR/MMBTU</t>
  </si>
  <si>
    <t>5.5</t>
  </si>
  <si>
    <t>Ammonium Bicarbonate</t>
  </si>
  <si>
    <t>5.6</t>
  </si>
  <si>
    <t>HDPE 0,03</t>
  </si>
  <si>
    <t>5.7</t>
  </si>
  <si>
    <t>HDPE 0,05</t>
  </si>
  <si>
    <t>5.8</t>
  </si>
  <si>
    <t>HDPE 0,07</t>
  </si>
  <si>
    <t>5.9</t>
  </si>
  <si>
    <t>Karton Polos FCC</t>
  </si>
  <si>
    <t>PCS</t>
  </si>
  <si>
    <t>IDR/PCS</t>
  </si>
  <si>
    <t>Cek roll-forward: awal + beli - pakai - akhir (harus nol)</t>
  </si>
  <si>
    <t>Cek saldo akhir satuan tidak negatif (harus nol)</t>
  </si>
  <si>
    <t>Total nilai persediaan bahan baku</t>
  </si>
  <si>
    <t>Item lain di luar 9 item (85 item) - aktual dari kartu, proyeksi ditahan di level Agu-26</t>
  </si>
  <si>
    <t>Variance ke GL - selisih saldo pembukaan kartu vs neraca</t>
  </si>
  <si>
    <t>TOTAL persediaan bahan baku -&gt; neraca</t>
  </si>
  <si>
    <t>6.1</t>
  </si>
  <si>
    <t>Komposisi Output and Target Produksi</t>
  </si>
  <si>
    <t>6.1.1</t>
  </si>
  <si>
    <t>Komposisi output and WIP</t>
  </si>
  <si>
    <t>Premium / layak jual</t>
  </si>
  <si>
    <t>Keripik waste</t>
  </si>
  <si>
    <t>WIP from Premium/Layak Jual</t>
  </si>
  <si>
    <t>Cek komposisi (harus nol)</t>
  </si>
  <si>
    <t>6.1.2</t>
  </si>
  <si>
    <t>Target output produksi</t>
  </si>
  <si>
    <t>Target Volume Penjualan/Layak Jual</t>
  </si>
  <si>
    <t>WIP</t>
  </si>
  <si>
    <t>Target output Produksi</t>
  </si>
  <si>
    <t>6.2</t>
  </si>
  <si>
    <t>Cost of Production</t>
  </si>
  <si>
    <t>6.2.1</t>
  </si>
  <si>
    <t>Singkong</t>
  </si>
  <si>
    <t>Overall yield singkong to Output</t>
  </si>
  <si>
    <t>Total Kebutuhan equivalent to singkong kulit</t>
  </si>
  <si>
    <t>Portion</t>
  </si>
  <si>
    <t>Yield output</t>
  </si>
  <si>
    <t>Raw materials</t>
  </si>
  <si>
    <t>Total Singkong Kulit Premium Input</t>
  </si>
  <si>
    <t>Singkong Daging</t>
  </si>
  <si>
    <t>Portion - from overall singkong kulit</t>
  </si>
  <si>
    <t>Yield target</t>
  </si>
  <si>
    <t>Total Singkong daging</t>
  </si>
  <si>
    <t>Yield equivalent from singkong kulit to Daging</t>
  </si>
  <si>
    <t>Equivalent to Daging</t>
  </si>
  <si>
    <t>6.2.2</t>
  </si>
  <si>
    <t>Oil</t>
  </si>
  <si>
    <t>6.2.3</t>
  </si>
  <si>
    <t>USD/MMBTU</t>
  </si>
  <si>
    <t>6.2.4</t>
  </si>
  <si>
    <t>Amonium Bicarbonate</t>
  </si>
  <si>
    <t>6.2.5</t>
  </si>
  <si>
    <t>Portion to Ton</t>
  </si>
  <si>
    <t>6.2.6</t>
  </si>
  <si>
    <t>6.2.7</t>
  </si>
  <si>
    <t>6.2.8</t>
  </si>
  <si>
    <t>IFM Packaging</t>
  </si>
  <si>
    <t>pcs</t>
  </si>
  <si>
    <t>6.2.9</t>
  </si>
  <si>
    <t>Percentage to revenue</t>
  </si>
  <si>
    <t>Total Cost</t>
  </si>
  <si>
    <t>6.2.10</t>
  </si>
  <si>
    <t>Singkong Kulit</t>
  </si>
  <si>
    <t>Rendeman Kupas</t>
  </si>
  <si>
    <t>Dikupas</t>
  </si>
  <si>
    <t>Upah Kupas/KG</t>
  </si>
  <si>
    <t>Total Upah Kupas</t>
  </si>
  <si>
    <t>6.2.11</t>
  </si>
  <si>
    <t>Cost Pool</t>
  </si>
  <si>
    <t>6.3</t>
  </si>
  <si>
    <t>Unit Economics, COGS Rekon and WIP Movement</t>
  </si>
  <si>
    <t>6.3.1</t>
  </si>
  <si>
    <t>Unit Economics</t>
  </si>
  <si>
    <t>Total Production Cost</t>
  </si>
  <si>
    <t>Premium Grade</t>
  </si>
  <si>
    <t>Waste</t>
  </si>
  <si>
    <t>COGM per KG</t>
  </si>
  <si>
    <t>6.3.2</t>
  </si>
  <si>
    <t>Inventory Movement - Unit</t>
  </si>
  <si>
    <t>Total Unit Sold</t>
  </si>
  <si>
    <t>Tansfer KW 2</t>
  </si>
  <si>
    <t>Additional WIP from ccurnet Month</t>
  </si>
  <si>
    <t>Barang setengah jadi (WIP)</t>
  </si>
  <si>
    <t>Masuk - biaya produksi</t>
  </si>
  <si>
    <t>Keluar - ke barang jadi</t>
  </si>
  <si>
    <t>Keluar - ke kw 2</t>
  </si>
  <si>
    <t>Keluar - ke waste</t>
  </si>
  <si>
    <t>Saldo akhir - hitungan</t>
  </si>
  <si>
    <t>Barang jadi (FG)</t>
  </si>
  <si>
    <t>Masuk - dari barang setengah jadi</t>
  </si>
  <si>
    <t>Keluar - ke COGS</t>
  </si>
  <si>
    <t>6.3.3</t>
  </si>
  <si>
    <t xml:space="preserve">COGS and Inventory movement </t>
  </si>
  <si>
    <t>Keluar - KW 2</t>
  </si>
  <si>
    <t>Keluar - waste</t>
  </si>
  <si>
    <t>Penilaian weighted average</t>
  </si>
  <si>
    <t>Flat Chip Cassava - WA WIP (Rp/kg, setelah KW 2 di NRV)</t>
  </si>
  <si>
    <t>Flat Chip Cassava - WA FG (Rp/kg)</t>
  </si>
  <si>
    <t>Transfer to others</t>
  </si>
  <si>
    <t>Beginnig Balance</t>
  </si>
  <si>
    <t>Ending Balance</t>
  </si>
  <si>
    <t>FG</t>
  </si>
  <si>
    <t>COGS</t>
  </si>
  <si>
    <t>COGS - Delivered to customer</t>
  </si>
  <si>
    <t>COGS - Waste</t>
  </si>
  <si>
    <t>total COGS</t>
  </si>
  <si>
    <t>Unit/KG</t>
  </si>
  <si>
    <t>CTRL unit/kg</t>
  </si>
  <si>
    <t>7.1</t>
  </si>
  <si>
    <t>7.1.1</t>
  </si>
  <si>
    <t>Komposisi Output Produksi</t>
  </si>
  <si>
    <t>7.1.2</t>
  </si>
  <si>
    <t>7.2</t>
  </si>
  <si>
    <t>7.2.1</t>
  </si>
  <si>
    <t>Total Ubi Ungu</t>
  </si>
  <si>
    <t>Bahan baku lain (tepung, gula, garam)</t>
  </si>
  <si>
    <t>Total Bahan baku lain (tepung, gula, garam)</t>
  </si>
  <si>
    <t>7.2.2</t>
  </si>
  <si>
    <t>7.2.3</t>
  </si>
  <si>
    <t>7.2.4</t>
  </si>
  <si>
    <t>7.2.5</t>
  </si>
  <si>
    <t>7.2.6</t>
  </si>
  <si>
    <t>HDPE 0,06</t>
  </si>
  <si>
    <t>7.2.7</t>
  </si>
  <si>
    <t>7.2.8</t>
  </si>
  <si>
    <t>7.2.9</t>
  </si>
  <si>
    <t>Others</t>
  </si>
  <si>
    <t>7.2.10</t>
  </si>
  <si>
    <t>7.2.11</t>
  </si>
  <si>
    <t>7.3</t>
  </si>
  <si>
    <t>7.3.1</t>
  </si>
  <si>
    <t>7.3.2</t>
  </si>
  <si>
    <t>Saldo awal - kartu WIP-139 Keripik Ubi Ungu (QKSP) per 31 Agu 2026</t>
  </si>
  <si>
    <t>7.3.3</t>
  </si>
  <si>
    <t>Ubi Ungu - WA WIP (Rp/kg, setelah KW 2 di NRV)</t>
  </si>
  <si>
    <t>Ubi Ungu - WA FG (Rp/kg)</t>
  </si>
  <si>
    <t>Barang jadi (FG) - roll-forward kuantitas Premium</t>
  </si>
  <si>
    <t>Saldo awal (KG) - Sep-26 dari modul Accurate 31 Agu 2026 (FG kemasan), bulan berikut = saldo akhir bulan sebelumnya (R3)</t>
  </si>
  <si>
    <t>Masuk - transfer dari WIP ke barang jadi (KG) = Finished Goods Accounted For kartu (baris 314); produksi yang masuk WIP = transfer + perubahan WIP kg (R3)</t>
  </si>
  <si>
    <t>Keluar - penjualan Premium target (KG)</t>
  </si>
  <si>
    <t>Saldo akhir (KG)</t>
  </si>
  <si>
    <t>Cek saldo akhir tidak negatif (harus nol)</t>
  </si>
  <si>
    <t>Cover persediaan akhir terhadap penjualan bulan itu</t>
  </si>
  <si>
    <t>bulan</t>
  </si>
  <si>
    <t>8.1</t>
  </si>
  <si>
    <t>8.1.1</t>
  </si>
  <si>
    <t>Komposisi output</t>
  </si>
  <si>
    <t>8.1.2</t>
  </si>
  <si>
    <t>Target volume penjualan/Layak Jual</t>
  </si>
  <si>
    <t>8.2</t>
  </si>
  <si>
    <t>8.2.1</t>
  </si>
  <si>
    <t>Bahan Baku</t>
  </si>
  <si>
    <t>Total Ubi Orange</t>
  </si>
  <si>
    <t>Bahan baku lain</t>
  </si>
  <si>
    <t>Total Bahan baku lain</t>
  </si>
  <si>
    <t>8.2.2</t>
  </si>
  <si>
    <t>8.2.3</t>
  </si>
  <si>
    <t>8.2.4</t>
  </si>
  <si>
    <t>8.2.5</t>
  </si>
  <si>
    <t>8.2.6</t>
  </si>
  <si>
    <t>8.2.7</t>
  </si>
  <si>
    <t>8.2.8</t>
  </si>
  <si>
    <t>8.2.9</t>
  </si>
  <si>
    <t>8.4.10 Upah Kupas</t>
  </si>
  <si>
    <t>8.2.11</t>
  </si>
  <si>
    <t>8.3</t>
  </si>
  <si>
    <t>8.3.1</t>
  </si>
  <si>
    <t>8.3.2</t>
  </si>
  <si>
    <t>Saldo awal - tidak ada WIP keripik Ubi Orange di kartu stok</t>
  </si>
  <si>
    <t>8.3.3</t>
  </si>
  <si>
    <t>Ubi Orange - WA WIP (Rp/kg, setelah KW 2 di NRV)</t>
  </si>
  <si>
    <t>Ubi Orange - WA FG (Rp/kg)</t>
  </si>
  <si>
    <t>Rantai Volume, Rendemen &amp; Kebutuhan Bahan Baku</t>
  </si>
  <si>
    <t xml:space="preserve">      Premium / layak jual</t>
  </si>
  <si>
    <t xml:space="preserve">      KW 2</t>
  </si>
  <si>
    <t xml:space="preserve">      Keripik waste</t>
  </si>
  <si>
    <t xml:space="preserve">      Cek komposisi (harus nol)</t>
  </si>
  <si>
    <t>Volume Premium</t>
  </si>
  <si>
    <t>Volume KW 2</t>
  </si>
  <si>
    <t>Volume keripik waste</t>
  </si>
  <si>
    <t xml:space="preserve">      Cek total volume vs target output (harus nol)</t>
  </si>
  <si>
    <t>Harga jual per kg - Premium</t>
  </si>
  <si>
    <t>Harga jual per kg - KW 2</t>
  </si>
  <si>
    <t>Harga jual per kg - keripik waste</t>
  </si>
  <si>
    <t>Pendapatan - Premium</t>
  </si>
  <si>
    <t>Pendapatan - KW 2</t>
  </si>
  <si>
    <t>Pendapatan - keripik waste</t>
  </si>
  <si>
    <t>Total pendapatan dari rantai volume</t>
  </si>
  <si>
    <t>Rendemen tahap 2 - bahan siap olah ke output</t>
  </si>
  <si>
    <t>Kebutuhan bahan siap olah</t>
  </si>
  <si>
    <t xml:space="preserve">      dibeli sudah siap olah</t>
  </si>
  <si>
    <t xml:space="preserve">      diolah sendiri dari bahan baku</t>
  </si>
  <si>
    <t>Rendemen tahap 1 - bahan baku ke bahan siap olah</t>
  </si>
  <si>
    <t>Kebutuhan bahan baku</t>
  </si>
  <si>
    <t>Rasio bahan baku per kg Premium</t>
  </si>
  <si>
    <t>KG/KG</t>
  </si>
  <si>
    <t>Cek kebutuhan bahan baku vs Cost of Production (harus nol)</t>
  </si>
  <si>
    <t>Cek bahan siap olah dibeli vs Cost of Production (harus nol)</t>
  </si>
  <si>
    <t>Biaya bahan baku dari rantai</t>
  </si>
  <si>
    <t>Catatan: blok gabungan banyak produk, tidak punya satu rendemen. Baris asumsi sengaja dikosongkan - isi manual kalau blok ini dipakai untuk perencanaan. Kolom proyeksi Cost of Production masih kosong, jadi baris cek otomatis diam di nol sampai blok itu diisi.</t>
  </si>
  <si>
    <t>Sales</t>
  </si>
  <si>
    <t>Volume</t>
  </si>
  <si>
    <t>Cost of Manufacturing</t>
  </si>
  <si>
    <t>FOH - Direct Labour (kartu - tidak dibebankan, lihat Grup A)</t>
  </si>
  <si>
    <t>FOH - Indirect Labor (kartu - tidak dibebankan, lihat Grup B)</t>
  </si>
  <si>
    <t>FOH - Water (kartu - input Driver D baris 212)</t>
  </si>
  <si>
    <t>FOH - Electricity (kartu - input Driver D baris 212)</t>
  </si>
  <si>
    <t>Total Cost of Manufacturing</t>
  </si>
  <si>
    <t>WIP - Awal</t>
  </si>
  <si>
    <t>WIP - Akhir</t>
  </si>
  <si>
    <t>COGM - Barang Jadi Ditransfer</t>
  </si>
  <si>
    <t>FG - Awal</t>
  </si>
  <si>
    <t>FG - Akhir</t>
  </si>
  <si>
    <t>Rekonsiliasi ke Laba Rugi</t>
  </si>
  <si>
    <t>Material dibebankan ke kartu CoGM</t>
  </si>
  <si>
    <t>Selisih pemakaian bahan baku - alokasi per item</t>
  </si>
  <si>
    <t>Pemakaian bahan baku - alokasi</t>
  </si>
  <si>
    <t>Mutasi barang setengah jadi - alokasi</t>
  </si>
  <si>
    <t>Mutasi barang jadi - alokasi</t>
  </si>
  <si>
    <t>COGS akun 5101-001 - alokasi</t>
  </si>
  <si>
    <t>Biaya pabrik dibebankan langsung - alokasi (5.6)</t>
  </si>
  <si>
    <t>COGS per Laba Rugi - alokasi</t>
  </si>
  <si>
    <t>Movement persediaan per item - saldo awal, pembelian, pemakaian, saldo akhir</t>
  </si>
  <si>
    <t>Movement persediaan per item - saldo awal, pembelian, pemakaian, saldo akhir. Kolom Q-AF baris singkong/ubi/talas = MEMO alokasi dari 6.4 (bahan segar tidak disimpan &gt; 1 hari; pembelian = pemakaian); tetap dipakai untuk rekonsiliasi baris 520-524.</t>
  </si>
  <si>
    <t>Singkong Kulit Premium - Saldo awal</t>
  </si>
  <si>
    <t xml:space="preserve">      Pembelian</t>
  </si>
  <si>
    <t xml:space="preserve">      Pemakaian per kartu stok</t>
  </si>
  <si>
    <t xml:space="preserve">      Saldo akhir</t>
  </si>
  <si>
    <t xml:space="preserve">      Dibebankan ke production cost</t>
  </si>
  <si>
    <t>Singkong Daging Premium - Saldo awal</t>
  </si>
  <si>
    <t>Singkong Kulit KW 2 - Saldo awal</t>
  </si>
  <si>
    <t>Ubi Ungu - Saldo awal</t>
  </si>
  <si>
    <t>Ubi Orange Kulit Merah - Saldo awal</t>
  </si>
  <si>
    <t>Ubi Orange Premium - Saldo awal</t>
  </si>
  <si>
    <t>Ubi Putih - Saldo awal</t>
  </si>
  <si>
    <t>Talas Premium - Saldo awal</t>
  </si>
  <si>
    <t>Minyak Olein - Saldo awal</t>
  </si>
  <si>
    <t>CNG - Saldo awal</t>
  </si>
  <si>
    <t>Ammonium Bicarbonate - Saldo awal</t>
  </si>
  <si>
    <t>HDPE 0,03 - Saldo awal</t>
  </si>
  <si>
    <t>HDPE 0,05 - Saldo awal</t>
  </si>
  <si>
    <t>HDPE 0,07 - Saldo awal</t>
  </si>
  <si>
    <t>Karton Polos FCC - Saldo awal</t>
  </si>
  <si>
    <t>Label FCC - Saldo awal</t>
  </si>
  <si>
    <t>Plakban 100 &amp; 90 Yard - Saldo awal</t>
  </si>
  <si>
    <t>Tali Rafia - Saldo awal</t>
  </si>
  <si>
    <t>Plastik Singkong HD - Saldo awal</t>
  </si>
  <si>
    <t>Plastik PP &amp; Suka-suka - Saldo awal</t>
  </si>
  <si>
    <t>Bumbu - Saldo awal</t>
  </si>
  <si>
    <t>Bahan pellet (tepung, gula, garam, bawang) - Saldo awal</t>
  </si>
  <si>
    <t>Bahan boiler (kayu bakar, chemical) - Saldo awal</t>
  </si>
  <si>
    <t>Label WIP QKSP / QKSO - Saldo awal</t>
  </si>
  <si>
    <t>Kemasan Umbis / Siboli / Maicih - Saldo awal</t>
  </si>
  <si>
    <t>Lain-lain - Saldo awal</t>
  </si>
  <si>
    <t>Total saldo awal</t>
  </si>
  <si>
    <t>Total pembelian</t>
  </si>
  <si>
    <t>Total pemakaian per kartu stok</t>
  </si>
  <si>
    <t>Total saldo akhir</t>
  </si>
  <si>
    <t>Total dibebankan ke production cost</t>
  </si>
  <si>
    <t>Selisih pemakaian kartu stok vs production cost</t>
  </si>
  <si>
    <t>Cek total pemakaian vs Pemakaian bahan baku - alokasi (harus nol)</t>
  </si>
  <si>
    <t>Cek total dibebankan vs Material dibebankan ke kartu CoGM (harus nol)</t>
  </si>
  <si>
    <t>Saldo awal (KG)</t>
  </si>
  <si>
    <t>Masuk - produksi Premium (KG)</t>
  </si>
  <si>
    <t>Catatan: jembatan volume produksi - volume penjualan = mutasi barang jadi. Saldo awal Sep-26 = saldo akhir Agu-26 (nilai) / biaya per kg Premium Agu-26. Nilai mutasi FG di baris +59/+60 = saldo kuantitas x COGM per kg Premium bulan itu (rata-rata bergerak).</t>
  </si>
  <si>
    <t>9.1</t>
  </si>
  <si>
    <t>Volume Target</t>
  </si>
  <si>
    <t>Total Volume per Month</t>
  </si>
  <si>
    <t>Occupied Capacity</t>
  </si>
  <si>
    <t>9.2</t>
  </si>
  <si>
    <t>Sales Target</t>
  </si>
  <si>
    <t>Total Volume</t>
  </si>
  <si>
    <t xml:space="preserve">Semarang </t>
  </si>
  <si>
    <t>Tanggerang</t>
  </si>
  <si>
    <t>9.2.1 IFM Semarang</t>
  </si>
  <si>
    <t>In volume</t>
  </si>
  <si>
    <t>Price</t>
  </si>
  <si>
    <t>Total Sales</t>
  </si>
  <si>
    <t>9.2.2 IFM Tanggerang</t>
  </si>
  <si>
    <t>9.4</t>
  </si>
  <si>
    <t>9.4.1 Bahan Baku</t>
  </si>
  <si>
    <t>Bahan baku (campuran)</t>
  </si>
  <si>
    <t>Total Bahan baku (campuran)</t>
  </si>
  <si>
    <t>9.4.2 Oil</t>
  </si>
  <si>
    <t>9.4.4 CNG</t>
  </si>
  <si>
    <t>9.4.4 Amonium Bicarbonate</t>
  </si>
  <si>
    <t>9.4.5 HDPE 0,03</t>
  </si>
  <si>
    <t>9.4.6 HDPE 0,05</t>
  </si>
  <si>
    <t>9.4.7 HDPE 0,07</t>
  </si>
  <si>
    <t>9.4.8 IFM Packaging</t>
  </si>
  <si>
    <t>9.4.9 Others</t>
  </si>
  <si>
    <t>9.4.10 Upah Kupas</t>
  </si>
  <si>
    <t>Kontrol penilaian persediaan lintas produk</t>
  </si>
  <si>
    <t>Kontrol: saldo akhir WIP Rp - (qty akhir x WA)  [harus nol]</t>
  </si>
  <si>
    <t>Kontrol: saldo akhir FG Rp - (qty akhir x WA FG)  [harus nol]</t>
  </si>
  <si>
    <t>Kontrol: saldo akhir kuantitas negatif  [harus nol]</t>
  </si>
  <si>
    <t>Kredit KW 2 pada NRV (Rp) - semua produk</t>
  </si>
  <si>
    <t>Selisih vs KW 2 pada COGM penuh (beban tambahan ke produk utama)</t>
  </si>
  <si>
    <t>Unit Economics - FCC</t>
  </si>
  <si>
    <t>10.1  Struktur biaya pada volume aktual</t>
  </si>
  <si>
    <t xml:space="preserve">   Biaya pabrik per Laba Rugi - alokasi FCC</t>
  </si>
  <si>
    <t xml:space="preserve">   FOH kartu - tenaga tidak langsung, air, listrik</t>
  </si>
  <si>
    <t>Total biaya tetap</t>
  </si>
  <si>
    <t>Biaya VARIABEL - bergerak dengan volume</t>
  </si>
  <si>
    <t xml:space="preserve">   Bahan baku, minyak, CNG, amonium</t>
  </si>
  <si>
    <t xml:space="preserve">   Kemasan &amp; bahan penolong (HDPE, karton, label, lain)</t>
  </si>
  <si>
    <t xml:space="preserve">   Upah kupas</t>
  </si>
  <si>
    <t xml:space="preserve">   Tenaga kerja langsung</t>
  </si>
  <si>
    <t>Total biaya variabel</t>
  </si>
  <si>
    <t>Volume FCC (kg)</t>
  </si>
  <si>
    <t>Tetap per kg</t>
  </si>
  <si>
    <t>Variabel per kg</t>
  </si>
  <si>
    <t>Biaya per kg - PENUH</t>
  </si>
  <si>
    <t>Porsi biaya yang tetap</t>
  </si>
  <si>
    <t>10.2  Biaya marjinal vs biaya penuh</t>
  </si>
  <si>
    <t>Biaya MARJINAL per kg - hanya variabel</t>
  </si>
  <si>
    <t>COGS penuh per kg Premium TERJUAL (comparator)</t>
  </si>
  <si>
    <t>Rasio penuh : marjinal</t>
  </si>
  <si>
    <t>Harga jual implied per kg (Pendapatan IFM / volume FCC)</t>
  </si>
  <si>
    <t>Kontribusi MARJINAL per kg</t>
  </si>
  <si>
    <t>Kontribusi PENUH per kg</t>
  </si>
  <si>
    <t>Order tambahan hanya menambah biaya sebesar biaya marjinal - bukan biaya penuh</t>
  </si>
  <si>
    <t>10.3  Biaya per kg pada berbagai volume</t>
  </si>
  <si>
    <t xml:space="preserve">   200.000 kg / bulan</t>
  </si>
  <si>
    <t xml:space="preserve">   250.000 kg / bulan</t>
  </si>
  <si>
    <t xml:space="preserve">   300.000 kg / bulan</t>
  </si>
  <si>
    <t xml:space="preserve">   350.000 kg / bulan</t>
  </si>
  <si>
    <t xml:space="preserve">   400.000 kg / bulan</t>
  </si>
  <si>
    <t>10.4  Leverage operasi</t>
  </si>
  <si>
    <t>Penurunan biaya per kg dari 200.000 ke 300.000 kg/bln</t>
  </si>
  <si>
    <t>Penurunan biaya per kg dari 300.000 ke 400.000 kg/bln</t>
  </si>
  <si>
    <t>Volume impas LEGACY: jangan dipakai untuk harga atau keputusan volume</t>
  </si>
  <si>
    <t>Rasio impas LEGACY: belum divalidasi, tidak dipakai pada status kelayakan</t>
  </si>
  <si>
    <t>Volume aktual vs volume impas LEGACY - tidak dipakai pada status kelayakan</t>
  </si>
  <si>
    <t>INPUT Rate BPJS kantor (% gaji pokok)</t>
  </si>
  <si>
    <t>Gaji pokok kantor (G&amp;A + S&amp;M)</t>
  </si>
  <si>
    <t>THR &amp; bonus kantor - akrual 1/12</t>
  </si>
  <si>
    <t>BPJS kantor</t>
  </si>
  <si>
    <t>TOTAL gaji &amp; benefit kantor (BP baris 96)</t>
  </si>
  <si>
    <t>PT BOGA MAKMUR GRACIA</t>
  </si>
  <si>
    <t>Balance Sheet</t>
  </si>
  <si>
    <t>As of 31 August 2026</t>
  </si>
  <si>
    <t>GL Account No.</t>
  </si>
  <si>
    <t>Description</t>
  </si>
  <si>
    <t>Januari</t>
  </si>
  <si>
    <t>Februari</t>
  </si>
  <si>
    <t>Maret</t>
  </si>
  <si>
    <t>April</t>
  </si>
  <si>
    <t>Mei</t>
  </si>
  <si>
    <t>June</t>
  </si>
  <si>
    <t>Juli</t>
  </si>
  <si>
    <t>Agustus</t>
  </si>
  <si>
    <t>September</t>
  </si>
  <si>
    <t>Oktober</t>
  </si>
  <si>
    <t>November</t>
  </si>
  <si>
    <t>Desember</t>
  </si>
  <si>
    <t>Mapping</t>
  </si>
  <si>
    <t>ASSETS</t>
  </si>
  <si>
    <t>CURRENT ASSETS</t>
  </si>
  <si>
    <t>Cash and Bank</t>
  </si>
  <si>
    <t>1101-001</t>
  </si>
  <si>
    <t>Petty Cash</t>
  </si>
  <si>
    <t>BS 01</t>
  </si>
  <si>
    <t>Bank</t>
  </si>
  <si>
    <t>1102-001</t>
  </si>
  <si>
    <t>PT Bank Central Asia (IDR) a/c 484-0198-877</t>
  </si>
  <si>
    <t>BS 02</t>
  </si>
  <si>
    <t>1102-002</t>
  </si>
  <si>
    <t>PT Bank Central Asia (IDR) a/c 484-0198-001</t>
  </si>
  <si>
    <t>1102-003</t>
  </si>
  <si>
    <t>PT Bank Central Asia (USD) a/c 484-0278-111</t>
  </si>
  <si>
    <t>1102-004</t>
  </si>
  <si>
    <t>PT Bank Permata (IDR) a/c 007-01726-626</t>
  </si>
  <si>
    <t>1102-005</t>
  </si>
  <si>
    <t>PT Bank Permata (IDR) a/c 007-02591-201</t>
  </si>
  <si>
    <t>1102-006</t>
  </si>
  <si>
    <t>PT Bank KEB Hana Indonesia (IDR) a/c 140-66438-400</t>
  </si>
  <si>
    <t>1102-007</t>
  </si>
  <si>
    <t>PT Bank Negara Indonesia (IDR) a/c 888-7777-580</t>
  </si>
  <si>
    <t>1102-008</t>
  </si>
  <si>
    <t>PT Bank Negara Indonesia (IDR) a/c 888-7777-546</t>
  </si>
  <si>
    <t>1102-009</t>
  </si>
  <si>
    <t>PT Bank CTBC Indonesia (IDR) a/c 102-018101782-001</t>
  </si>
  <si>
    <t>1102-098</t>
  </si>
  <si>
    <t>Deposit Pajak</t>
  </si>
  <si>
    <t>BS 42</t>
  </si>
  <si>
    <t>1102-099</t>
  </si>
  <si>
    <t>Temporary Account (Bank)</t>
  </si>
  <si>
    <t>Ayat Silang</t>
  </si>
  <si>
    <t>1103-001</t>
  </si>
  <si>
    <t>Ayat Silang Bank - Bank</t>
  </si>
  <si>
    <t>Deposito</t>
  </si>
  <si>
    <t>1104-001</t>
  </si>
  <si>
    <t>BS 03</t>
  </si>
  <si>
    <t>1104-002</t>
  </si>
  <si>
    <t>Invesment</t>
  </si>
  <si>
    <t>BS 43</t>
  </si>
  <si>
    <t>Total Cash and Bank</t>
  </si>
  <si>
    <t>Account Receivable</t>
  </si>
  <si>
    <t>Piutang Usaha</t>
  </si>
  <si>
    <t>1105-001</t>
  </si>
  <si>
    <t>Piutang Dagang Pihak Ketiga</t>
  </si>
  <si>
    <t>BS 04</t>
  </si>
  <si>
    <t>1105-002</t>
  </si>
  <si>
    <t>Cadangan Kerugian Piutang</t>
  </si>
  <si>
    <t>1105-003</t>
  </si>
  <si>
    <t>Piutang Dagang Afiliasi</t>
  </si>
  <si>
    <t>BS 05</t>
  </si>
  <si>
    <t>1105-004</t>
  </si>
  <si>
    <t>Piutang Lain-lain Pihak Ketiga</t>
  </si>
  <si>
    <t>BS 06</t>
  </si>
  <si>
    <t>1105-005</t>
  </si>
  <si>
    <t>Piutang lain-lain Afiliasi</t>
  </si>
  <si>
    <t>BS 07</t>
  </si>
  <si>
    <t>1105-006</t>
  </si>
  <si>
    <t>Piutang Pemegang Saham</t>
  </si>
  <si>
    <t>BS 08</t>
  </si>
  <si>
    <t>1105-007</t>
  </si>
  <si>
    <t>Piutang Karyawan</t>
  </si>
  <si>
    <t>BS 09</t>
  </si>
  <si>
    <t>1105-008</t>
  </si>
  <si>
    <t>Piutang Dagang Pihak Ketiga (USD)</t>
  </si>
  <si>
    <t>BS 10</t>
  </si>
  <si>
    <t>1105-097</t>
  </si>
  <si>
    <t>Account Receivable IDR</t>
  </si>
  <si>
    <t>BS 11</t>
  </si>
  <si>
    <t>1105-099</t>
  </si>
  <si>
    <t>Temporary Account</t>
  </si>
  <si>
    <t>BS 12</t>
  </si>
  <si>
    <t>1105-1</t>
  </si>
  <si>
    <t>Advance Purchase (IDR)</t>
  </si>
  <si>
    <t>BS 13</t>
  </si>
  <si>
    <t>1105-2</t>
  </si>
  <si>
    <t>Advance Purchase (USD)</t>
  </si>
  <si>
    <t>Total Account Receivable</t>
  </si>
  <si>
    <t>Persediaan Barang Dagang</t>
  </si>
  <si>
    <t>1106-001</t>
  </si>
  <si>
    <t>Persediaan Bahan Baku Pabrik</t>
  </si>
  <si>
    <t>BS 14</t>
  </si>
  <si>
    <t>1106-002</t>
  </si>
  <si>
    <t>Persediaan Barang Setengah Jadi Pabrik</t>
  </si>
  <si>
    <t>BS 15</t>
  </si>
  <si>
    <t>1106-003</t>
  </si>
  <si>
    <t>Persediaan Barang Jadi Pabrik</t>
  </si>
  <si>
    <t>BS 16</t>
  </si>
  <si>
    <t>1106-004</t>
  </si>
  <si>
    <t>Persediaan Tekhnik GP</t>
  </si>
  <si>
    <t>BS 17</t>
  </si>
  <si>
    <t>1106-005</t>
  </si>
  <si>
    <t>Persediaan Tekhnik CP</t>
  </si>
  <si>
    <t>1110-001</t>
  </si>
  <si>
    <t>BS 18</t>
  </si>
  <si>
    <t>1110-002</t>
  </si>
  <si>
    <t>Inventory In Transit</t>
  </si>
  <si>
    <t>1110-003</t>
  </si>
  <si>
    <t>1110-004</t>
  </si>
  <si>
    <t>Inventory Transfer Adjustment</t>
  </si>
  <si>
    <t>Total Inventory</t>
  </si>
  <si>
    <t>Other Current Assets</t>
  </si>
  <si>
    <t>Biaya Dibayar Dimuka</t>
  </si>
  <si>
    <t>1107-001</t>
  </si>
  <si>
    <t>Sewa Dibayar Dimuka</t>
  </si>
  <si>
    <t>BS 19</t>
  </si>
  <si>
    <t>1107-002</t>
  </si>
  <si>
    <t>Asuransi Dibayar Dimuka</t>
  </si>
  <si>
    <t>1107-003</t>
  </si>
  <si>
    <t>Biaya Lain-lain Dibayar Dimuka</t>
  </si>
  <si>
    <t>1107-004</t>
  </si>
  <si>
    <t>THR Dibayar Dimuka</t>
  </si>
  <si>
    <t>Pajak Dibayar Dimuka</t>
  </si>
  <si>
    <t>1108-001</t>
  </si>
  <si>
    <t>PPh Pasal 22</t>
  </si>
  <si>
    <t>BS 20</t>
  </si>
  <si>
    <t>1108-002</t>
  </si>
  <si>
    <t>PPh Pasal 23</t>
  </si>
  <si>
    <t>1108-003</t>
  </si>
  <si>
    <t>PPh Pasal 25</t>
  </si>
  <si>
    <t>1108-004</t>
  </si>
  <si>
    <t>PPN Masukan</t>
  </si>
  <si>
    <t>1108-005</t>
  </si>
  <si>
    <t>PPh Pasal 21</t>
  </si>
  <si>
    <t>Uang Muka</t>
  </si>
  <si>
    <t>1109-001</t>
  </si>
  <si>
    <t>Uang Muka Barang Dagang</t>
  </si>
  <si>
    <t>BS 21</t>
  </si>
  <si>
    <t>1109-002</t>
  </si>
  <si>
    <t>Uang Muka - Project</t>
  </si>
  <si>
    <t>1109-003</t>
  </si>
  <si>
    <t>Cash Advance Besar</t>
  </si>
  <si>
    <t>1109-004</t>
  </si>
  <si>
    <t>Cash Advance Purchasing</t>
  </si>
  <si>
    <t>1109-005</t>
  </si>
  <si>
    <t>Cash Advance Operasional</t>
  </si>
  <si>
    <t>1109-006</t>
  </si>
  <si>
    <t>Cash Advance GA</t>
  </si>
  <si>
    <t>1109-007</t>
  </si>
  <si>
    <t>Cash Advance PPIC</t>
  </si>
  <si>
    <t>1109-008</t>
  </si>
  <si>
    <t>Cash Advance Gaji Harian</t>
  </si>
  <si>
    <t>1109-009</t>
  </si>
  <si>
    <t>Cash Advance BPJS</t>
  </si>
  <si>
    <t>1109-010</t>
  </si>
  <si>
    <t>Uang Muka Barang Non Dagang</t>
  </si>
  <si>
    <t>Aktiva Lain</t>
  </si>
  <si>
    <t>1203-001</t>
  </si>
  <si>
    <t>Asset Pajak Tangguhan</t>
  </si>
  <si>
    <t>BS 22</t>
  </si>
  <si>
    <t>1203-002</t>
  </si>
  <si>
    <t>Temporary Fixed Asset</t>
  </si>
  <si>
    <t>BS 23</t>
  </si>
  <si>
    <t>Total Other Current Assets</t>
  </si>
  <si>
    <t>Total CURRENT ASSETS</t>
  </si>
  <si>
    <t>FIXED ASSETS</t>
  </si>
  <si>
    <t>Historical Value</t>
  </si>
  <si>
    <t>Asset Tetap</t>
  </si>
  <si>
    <t>1201-002</t>
  </si>
  <si>
    <t>Kendaraan Gol 1</t>
  </si>
  <si>
    <t>Kendaraan Gol 2</t>
  </si>
  <si>
    <t>Inventaris Kantor Gol 1</t>
  </si>
  <si>
    <t>Inventaris Kantor Gol 2</t>
  </si>
  <si>
    <t>Inventaris Pabrik Gol 1</t>
  </si>
  <si>
    <t>Inventaris Pabrik Gol 2</t>
  </si>
  <si>
    <t>Mesin Gol 1</t>
  </si>
  <si>
    <t>Mesin Gol 2</t>
  </si>
  <si>
    <t>Komputer Software</t>
  </si>
  <si>
    <t>Inventaris Kantor Gol 1 (Value)</t>
  </si>
  <si>
    <t>1201-012</t>
  </si>
  <si>
    <t>Inventaris Kantor Gol 2 (Value)</t>
  </si>
  <si>
    <t>Inventaris Pabrik Gol 1 (Value)</t>
  </si>
  <si>
    <t>1201-014</t>
  </si>
  <si>
    <t>Inventaris Pabrik Gol 2 (Value)</t>
  </si>
  <si>
    <t>Mesin Gol 1 (Value)</t>
  </si>
  <si>
    <t>1201-016</t>
  </si>
  <si>
    <t>Mesin Gol 2 (Value)</t>
  </si>
  <si>
    <t>1201-017</t>
  </si>
  <si>
    <t>Komputer Software (Value)</t>
  </si>
  <si>
    <t>1201-018</t>
  </si>
  <si>
    <t>Kendaraan Gol 1 (Value)</t>
  </si>
  <si>
    <t>1201-019</t>
  </si>
  <si>
    <t>Kendaraan Gol 2 (Value)</t>
  </si>
  <si>
    <t>1201-020</t>
  </si>
  <si>
    <t>Bangunan Value</t>
  </si>
  <si>
    <t>Total Historical Value</t>
  </si>
  <si>
    <t>Accumulated Depreciation</t>
  </si>
  <si>
    <t>Akumulasi Penyusutan</t>
  </si>
  <si>
    <t>Akum. Peny. Bangunan</t>
  </si>
  <si>
    <t>BS 40</t>
  </si>
  <si>
    <t>1202-002</t>
  </si>
  <si>
    <t>Akum. Peny. Kendaraan Gol 1</t>
  </si>
  <si>
    <t>Akum. Peny. Kendaraan Gol 2</t>
  </si>
  <si>
    <t>Akum. Peny. Inventaris Kantor Gol 1</t>
  </si>
  <si>
    <t>Akum. Peny. Inventaris Kantor Gol 2</t>
  </si>
  <si>
    <t>Akum. Peny. Inventaris Pabrik Gol 1</t>
  </si>
  <si>
    <t>Akum. Peny. Inventaris Pabrik Gol 2</t>
  </si>
  <si>
    <t>Akum. Peny. Mesin Gol 1</t>
  </si>
  <si>
    <t>Akum. Peny. Mesin Gol 2</t>
  </si>
  <si>
    <t>Akum. Peny. Komputer Software</t>
  </si>
  <si>
    <t>Akum. Peny. Inventaris Kantor Gol 1 (Value)</t>
  </si>
  <si>
    <t>1202-012</t>
  </si>
  <si>
    <t>Akum. Peny. Inventaris Kantor Gol 2 (Value)</t>
  </si>
  <si>
    <t>Akum. Peny. Inventaris Pabrik Gol 1 (Value)</t>
  </si>
  <si>
    <t>1202-014</t>
  </si>
  <si>
    <t>Akum. Peny. Inventaris Pabrik Gol 2 (Value)</t>
  </si>
  <si>
    <t>Akum. Peny. Mesin Gol 1 (Value)</t>
  </si>
  <si>
    <t>1202-016</t>
  </si>
  <si>
    <t>Akum. Peny. Mesin Gol 2 (Value)</t>
  </si>
  <si>
    <t>1202-017</t>
  </si>
  <si>
    <t>Akum. Peny. Komputer Software (Value)</t>
  </si>
  <si>
    <t>1202-018</t>
  </si>
  <si>
    <t>Akum. Peny. Kendaraan Gol 1 (Value)</t>
  </si>
  <si>
    <t>1202-019</t>
  </si>
  <si>
    <t>Akum. Peny. Kendaraan Gol 2 (Value)</t>
  </si>
  <si>
    <t>1202-020</t>
  </si>
  <si>
    <t>Akum. Peny. Bangunan (Value)</t>
  </si>
  <si>
    <t>Total Accumulated Depreciation</t>
  </si>
  <si>
    <t>Total FIXED ASSETS</t>
  </si>
  <si>
    <t>OTHER ASSETS</t>
  </si>
  <si>
    <t>Total OTHER ASSETS</t>
  </si>
  <si>
    <t>Total ASSETS</t>
  </si>
  <si>
    <t>LIABILITIES and EQUITIES</t>
  </si>
  <si>
    <t>LIABILITIES</t>
  </si>
  <si>
    <t>Current Liabilities</t>
  </si>
  <si>
    <t>Account Payables</t>
  </si>
  <si>
    <t>Hutang Lancar</t>
  </si>
  <si>
    <t>2101-001</t>
  </si>
  <si>
    <t>Hutang Dagang Pihak Ketiga</t>
  </si>
  <si>
    <t>BS 24</t>
  </si>
  <si>
    <t>2101-002</t>
  </si>
  <si>
    <t>Hutang Dagang Afiliasi</t>
  </si>
  <si>
    <t>BS 25</t>
  </si>
  <si>
    <t>2101-003</t>
  </si>
  <si>
    <t>Hutang Lain-lain Pihak Ketiga</t>
  </si>
  <si>
    <t>BS 26</t>
  </si>
  <si>
    <t>2101-004</t>
  </si>
  <si>
    <t>Hutang Lain-lain Afiliasi</t>
  </si>
  <si>
    <t>BS 27</t>
  </si>
  <si>
    <t>2101-005</t>
  </si>
  <si>
    <t>Deposit Customer</t>
  </si>
  <si>
    <t>BS 28</t>
  </si>
  <si>
    <t>2101-006</t>
  </si>
  <si>
    <t>Cadangan Packaging</t>
  </si>
  <si>
    <t>2101-007</t>
  </si>
  <si>
    <t>Hutang Pemegang Saham</t>
  </si>
  <si>
    <t>BS 29</t>
  </si>
  <si>
    <t>2101-008</t>
  </si>
  <si>
    <t>Hutang Leasing Jangka Pendek</t>
  </si>
  <si>
    <t>BS 30</t>
  </si>
  <si>
    <t>2101-009</t>
  </si>
  <si>
    <t>BYMHD Listrik</t>
  </si>
  <si>
    <t>BS 31</t>
  </si>
  <si>
    <t>Accrued Expenses - Third Parties</t>
  </si>
  <si>
    <t>2101-010</t>
  </si>
  <si>
    <t>BYMHD Telepon, Internet, &amp; Fax</t>
  </si>
  <si>
    <t>2101-011</t>
  </si>
  <si>
    <t>BYMHD Gaji, THR, &amp; Bonus</t>
  </si>
  <si>
    <t>2101-012</t>
  </si>
  <si>
    <t>BYMHD BPJS</t>
  </si>
  <si>
    <t>2101-013</t>
  </si>
  <si>
    <t>Hutang Lain-lain Pihak Ketiga (USD)</t>
  </si>
  <si>
    <t>2101-014</t>
  </si>
  <si>
    <t>Hutang Bank Jangka Pendek</t>
  </si>
  <si>
    <t>BS 36</t>
  </si>
  <si>
    <t>2101-015</t>
  </si>
  <si>
    <t>Hutang Deviden</t>
  </si>
  <si>
    <t>2101-099</t>
  </si>
  <si>
    <t>BYMHD Lain-lain</t>
  </si>
  <si>
    <t>Account Payable IDR</t>
  </si>
  <si>
    <t>2102-1</t>
  </si>
  <si>
    <t>Advance Sales (IDR)</t>
  </si>
  <si>
    <t>2102-2</t>
  </si>
  <si>
    <t>Advance Sales (USD)</t>
  </si>
  <si>
    <t>2201-001</t>
  </si>
  <si>
    <t>Hutang Leasing Jangka Panjang</t>
  </si>
  <si>
    <t>BS 32</t>
  </si>
  <si>
    <t>Total Account Payables</t>
  </si>
  <si>
    <t>Other Current Liabilities</t>
  </si>
  <si>
    <t>Hutang Pajak</t>
  </si>
  <si>
    <t>2102-001</t>
  </si>
  <si>
    <t>Hutang PPh Pasal 21</t>
  </si>
  <si>
    <t>BS 33</t>
  </si>
  <si>
    <t>2102-002</t>
  </si>
  <si>
    <t>Hutang PPh Pasal 22</t>
  </si>
  <si>
    <t>2102-003</t>
  </si>
  <si>
    <t>Hutang PPh Pasal 23</t>
  </si>
  <si>
    <t>2102-004</t>
  </si>
  <si>
    <t>Hutang PPh Pasal 25</t>
  </si>
  <si>
    <t>2102-009</t>
  </si>
  <si>
    <t>Hutang PPh Pasal 26</t>
  </si>
  <si>
    <t>Taxes Payable</t>
  </si>
  <si>
    <t>2102-005</t>
  </si>
  <si>
    <t>Hutang PPN Keluaran</t>
  </si>
  <si>
    <t>2102-006</t>
  </si>
  <si>
    <t>Passiva Pajak Tangguhan</t>
  </si>
  <si>
    <t>2102-007</t>
  </si>
  <si>
    <t>Hutang PPh Final</t>
  </si>
  <si>
    <t>2102-008</t>
  </si>
  <si>
    <t>Hutang PPh Pasal 29</t>
  </si>
  <si>
    <t>2103-001</t>
  </si>
  <si>
    <t>Unbilled Vendor</t>
  </si>
  <si>
    <t>Accrued Payable</t>
  </si>
  <si>
    <t>2103-002</t>
  </si>
  <si>
    <t>BS 34</t>
  </si>
  <si>
    <t>2103-003</t>
  </si>
  <si>
    <t>BYMHD Telepon, Internet &amp; Fax</t>
  </si>
  <si>
    <t>2103-004</t>
  </si>
  <si>
    <t>2103-005</t>
  </si>
  <si>
    <t>2103-006</t>
  </si>
  <si>
    <t>2103-007</t>
  </si>
  <si>
    <t>Unbilled Vendor (Outstanding GR)</t>
  </si>
  <si>
    <t>Total Other Current Liabilities</t>
  </si>
  <si>
    <t>Total Current Liabilities</t>
  </si>
  <si>
    <t>Long Term Liabilities</t>
  </si>
  <si>
    <t>Hutang Jangka Panjang</t>
  </si>
  <si>
    <t>2201-002</t>
  </si>
  <si>
    <t>Hutang Imbalan Pasca Kerja Jk Panjang</t>
  </si>
  <si>
    <t>BS 35</t>
  </si>
  <si>
    <t>2201-003</t>
  </si>
  <si>
    <t>Hutang Bank Jangka Panjang</t>
  </si>
  <si>
    <t>Total Long Term Liabilities</t>
  </si>
  <si>
    <t>Total LIABILITIES</t>
  </si>
  <si>
    <t>EQUITIES</t>
  </si>
  <si>
    <t>Ekuitas</t>
  </si>
  <si>
    <t>3101-001</t>
  </si>
  <si>
    <t>Modal Disetor</t>
  </si>
  <si>
    <t>BS 37</t>
  </si>
  <si>
    <t>Shareholder Equity</t>
  </si>
  <si>
    <t>3101-002</t>
  </si>
  <si>
    <t>Laba Ditahan</t>
  </si>
  <si>
    <t>BS 38</t>
  </si>
  <si>
    <t>- Beginning retained earnings</t>
  </si>
  <si>
    <t>3101-003</t>
  </si>
  <si>
    <t>Laba Ditahan OCI (BS)</t>
  </si>
  <si>
    <t>- Beginning - OCI</t>
  </si>
  <si>
    <t>3101-004</t>
  </si>
  <si>
    <t>Laba (Rugi) Tahun Berjalan</t>
  </si>
  <si>
    <t>3101-005</t>
  </si>
  <si>
    <t>Openning Balance Equity</t>
  </si>
  <si>
    <t>3101-006</t>
  </si>
  <si>
    <t>Deviden</t>
  </si>
  <si>
    <t>BS 41</t>
  </si>
  <si>
    <t>3101-007</t>
  </si>
  <si>
    <t>Cadangan Modal</t>
  </si>
  <si>
    <t>BS 44</t>
  </si>
  <si>
    <t>Capital Reserves</t>
  </si>
  <si>
    <t>Current Earning of The Year</t>
  </si>
  <si>
    <t>BS 39</t>
  </si>
  <si>
    <t>Total EQUITIES</t>
  </si>
  <si>
    <t>Total LIABILITIES and EQUITIES</t>
  </si>
  <si>
    <t>INCOME STATEMENT</t>
  </si>
  <si>
    <t xml:space="preserve">Jan </t>
  </si>
  <si>
    <t>Feb</t>
  </si>
  <si>
    <t>Mar</t>
  </si>
  <si>
    <t>Apr</t>
  </si>
  <si>
    <t>May</t>
  </si>
  <si>
    <t>Jun</t>
  </si>
  <si>
    <t>Agt</t>
  </si>
  <si>
    <t>Sep</t>
  </si>
  <si>
    <t>Okt</t>
  </si>
  <si>
    <t>Nov</t>
  </si>
  <si>
    <t>Des</t>
  </si>
  <si>
    <t>YTD Aug 2025</t>
  </si>
  <si>
    <t>Mapping lvl 2</t>
  </si>
  <si>
    <t>OPERATING REVENUE</t>
  </si>
  <si>
    <t>Pendapatan</t>
  </si>
  <si>
    <t>4101-001</t>
  </si>
  <si>
    <t>Penjualan Barang Pabrik</t>
  </si>
  <si>
    <t>PL 01</t>
  </si>
  <si>
    <t>4101-002</t>
  </si>
  <si>
    <t>Penjualan Lain-lain</t>
  </si>
  <si>
    <t>4101-003</t>
  </si>
  <si>
    <t>Retur Penjualan Barang Pabrik</t>
  </si>
  <si>
    <t>PL 02</t>
  </si>
  <si>
    <t>4101-004</t>
  </si>
  <si>
    <t>Sales Returns</t>
  </si>
  <si>
    <t>4101-005</t>
  </si>
  <si>
    <t>PL 03</t>
  </si>
  <si>
    <t>4101-006</t>
  </si>
  <si>
    <t>Diskon Penjualan</t>
  </si>
  <si>
    <t>4101-007</t>
  </si>
  <si>
    <t>Penjualan</t>
  </si>
  <si>
    <t>Sales Term Discount</t>
  </si>
  <si>
    <t>Sales Term Discount (USD)</t>
  </si>
  <si>
    <t>Total OPERATING REVENUE</t>
  </si>
  <si>
    <t>Cost of Goods Sold</t>
  </si>
  <si>
    <t>Harga Pokok Penjualan</t>
  </si>
  <si>
    <t>5101-001</t>
  </si>
  <si>
    <t>COGM - Bahan Jadi</t>
  </si>
  <si>
    <t>PL 04</t>
  </si>
  <si>
    <t>Cost of Sales</t>
  </si>
  <si>
    <t>5101-002</t>
  </si>
  <si>
    <t>COGM - DL - Biaya Upah Langsung Pabrik</t>
  </si>
  <si>
    <t>PL 05</t>
  </si>
  <si>
    <t>5101-003</t>
  </si>
  <si>
    <t>COGM - DL - THR &amp; Bonus Pabrik</t>
  </si>
  <si>
    <t>5101-004</t>
  </si>
  <si>
    <t>COGM - DL - Pesangon Pabrik</t>
  </si>
  <si>
    <t>5101-005</t>
  </si>
  <si>
    <t>COGM - DL - Biaya Jamsostek Pabrik</t>
  </si>
  <si>
    <t>5101-006</t>
  </si>
  <si>
    <t>COGM - OHP - Biaya Listrik Pabrik</t>
  </si>
  <si>
    <t>PL 06</t>
  </si>
  <si>
    <t>5101-007</t>
  </si>
  <si>
    <t>COGM - OHP - Biaya Air Pabrik</t>
  </si>
  <si>
    <t>PL 07</t>
  </si>
  <si>
    <t>5101-008</t>
  </si>
  <si>
    <t>COGM - OHP - Biaya Utilitas Pabrik</t>
  </si>
  <si>
    <t>PL 08</t>
  </si>
  <si>
    <t>5101-009</t>
  </si>
  <si>
    <t>COGM - OHP - Biaya Rumah Tangga Pabrik</t>
  </si>
  <si>
    <t>PL 09</t>
  </si>
  <si>
    <t>5101-010</t>
  </si>
  <si>
    <t>COGM - OHP - Biaya Perbaikan &amp; Pemeliharaan Mesin</t>
  </si>
  <si>
    <t>PL 10</t>
  </si>
  <si>
    <t>5101-011</t>
  </si>
  <si>
    <t>COGM - OHP - Biaya Perbaikan &amp; Pemeliharaan Pabrik</t>
  </si>
  <si>
    <t>5101-012</t>
  </si>
  <si>
    <t>COGM - OHP - Biaya Perbaikan &amp; Pemeliharaan Inventaris Pabri</t>
  </si>
  <si>
    <t>COGM - OHP - Biaya Peny. Mesin Gol 1</t>
  </si>
  <si>
    <t>PL 11</t>
  </si>
  <si>
    <t>COGM - OHP - Biaya Peny. Mesin Gol 2</t>
  </si>
  <si>
    <t>5101-015</t>
  </si>
  <si>
    <t>Varian Produksi</t>
  </si>
  <si>
    <t>5101-016</t>
  </si>
  <si>
    <t>COGM - OHP - Biaya Pabrikasi &amp; Pengiriman</t>
  </si>
  <si>
    <t>PL 85</t>
  </si>
  <si>
    <t>5102-001</t>
  </si>
  <si>
    <t>5102-002</t>
  </si>
  <si>
    <t>COGS VALUE</t>
  </si>
  <si>
    <t>5102-003</t>
  </si>
  <si>
    <t>COGS WWTP</t>
  </si>
  <si>
    <t>Total Cost of Goods Sold</t>
  </si>
  <si>
    <t>GROSS PROFIT</t>
  </si>
  <si>
    <t>Operating Expenses</t>
  </si>
  <si>
    <t>Biaya Marketing &amp; Penjualan</t>
  </si>
  <si>
    <t>6100-001</t>
  </si>
  <si>
    <t>Biaya Penjualan / Pemasaran Lainnya</t>
  </si>
  <si>
    <t>PL 12</t>
  </si>
  <si>
    <t>6100-002</t>
  </si>
  <si>
    <t>Biaya Promosi Lainnya</t>
  </si>
  <si>
    <t>6100-003</t>
  </si>
  <si>
    <t>Biaya Komisi</t>
  </si>
  <si>
    <t>PL 65</t>
  </si>
  <si>
    <t>6100-004</t>
  </si>
  <si>
    <t>Biaya Ekspedisi</t>
  </si>
  <si>
    <t>PL 17</t>
  </si>
  <si>
    <t>Biaya Kompensasi &amp; Benefit</t>
  </si>
  <si>
    <t>6200-001</t>
  </si>
  <si>
    <t>Biaya Gaji</t>
  </si>
  <si>
    <t>PL 13</t>
  </si>
  <si>
    <t>6200-002</t>
  </si>
  <si>
    <t>Biaya THR Karyawan &amp; Bonus</t>
  </si>
  <si>
    <t>6200-003</t>
  </si>
  <si>
    <t>Biaya Jamsostek Office</t>
  </si>
  <si>
    <t>6200-004</t>
  </si>
  <si>
    <t>Biaya Incentive &amp; Benefit Karyawan</t>
  </si>
  <si>
    <t>6200-005</t>
  </si>
  <si>
    <t>Biaya Overtime Pabrik</t>
  </si>
  <si>
    <t>Biaya ADLinistrasi &amp; Umum</t>
  </si>
  <si>
    <t>6300-001</t>
  </si>
  <si>
    <t>Biaya Tol &amp; Parkir</t>
  </si>
  <si>
    <t>PL 14</t>
  </si>
  <si>
    <t>6300-002</t>
  </si>
  <si>
    <t>Biaya Bahan Bakar Pengiriman</t>
  </si>
  <si>
    <t>PL 15</t>
  </si>
  <si>
    <t>6300-003</t>
  </si>
  <si>
    <t>Biaya Kuli Angkut</t>
  </si>
  <si>
    <t>PL 16</t>
  </si>
  <si>
    <t>6300-004</t>
  </si>
  <si>
    <t>6300-005</t>
  </si>
  <si>
    <t>Biaya Transportasi Kantor</t>
  </si>
  <si>
    <t>PL 18</t>
  </si>
  <si>
    <t>6300-006</t>
  </si>
  <si>
    <t>Biaya Perbaikan &amp; Pemeliharaan Gedung Pabrik</t>
  </si>
  <si>
    <t>PL 19</t>
  </si>
  <si>
    <t>6300-007</t>
  </si>
  <si>
    <t>Biaya Perbaikan &amp; Pemeliharaan Inventaris Kantor</t>
  </si>
  <si>
    <t>PL 20</t>
  </si>
  <si>
    <t>6300-008</t>
  </si>
  <si>
    <t>Biaya Perbaikan &amp; Pemeliharaan Kendaraan</t>
  </si>
  <si>
    <t>PL 21</t>
  </si>
  <si>
    <t>6300-009</t>
  </si>
  <si>
    <t>Biaya Asuransi Gedung</t>
  </si>
  <si>
    <t>PL 22</t>
  </si>
  <si>
    <t>6300-010</t>
  </si>
  <si>
    <t>Biaya Asuransi Kendaraan</t>
  </si>
  <si>
    <t>PL 23</t>
  </si>
  <si>
    <t>6300-011</t>
  </si>
  <si>
    <t>Biaya Asuransi Lain-lain</t>
  </si>
  <si>
    <t>PL 24</t>
  </si>
  <si>
    <t>6300-012</t>
  </si>
  <si>
    <t>Biaya Alat Tulis Kantor</t>
  </si>
  <si>
    <t>PL 25</t>
  </si>
  <si>
    <t>6300-013</t>
  </si>
  <si>
    <t>Biaya Materai, Cetakan, &amp; Fotocopy</t>
  </si>
  <si>
    <t>PL 26</t>
  </si>
  <si>
    <t>6300-014</t>
  </si>
  <si>
    <t>Biaya Pos &amp; Pengiriman Dokumen</t>
  </si>
  <si>
    <t>PL 27</t>
  </si>
  <si>
    <t>6300-015</t>
  </si>
  <si>
    <t>Biaya Rumah Tangga</t>
  </si>
  <si>
    <t>PL 28</t>
  </si>
  <si>
    <t>6300-016</t>
  </si>
  <si>
    <t>Biaya Keperluan Kantor</t>
  </si>
  <si>
    <t>PL 29</t>
  </si>
  <si>
    <t>6300-017</t>
  </si>
  <si>
    <t>Biaya Keperluan Kantor Lainnya</t>
  </si>
  <si>
    <t>PL 30</t>
  </si>
  <si>
    <t>6300-018</t>
  </si>
  <si>
    <t>Biaya Telepon, Internet, &amp; Fax</t>
  </si>
  <si>
    <t>PL 31</t>
  </si>
  <si>
    <t>6300-019</t>
  </si>
  <si>
    <t>Biaya Telp / Pulsa Isi Ulang</t>
  </si>
  <si>
    <t>PL 32</t>
  </si>
  <si>
    <t>6300-020</t>
  </si>
  <si>
    <t>Biaya Sewa Gedung</t>
  </si>
  <si>
    <t>PL 33</t>
  </si>
  <si>
    <t>6300-021</t>
  </si>
  <si>
    <t>Biaya Sewa Tanah</t>
  </si>
  <si>
    <t>PL 34</t>
  </si>
  <si>
    <t>6300-022</t>
  </si>
  <si>
    <t>Biaya Sewa Lainnya</t>
  </si>
  <si>
    <t>PL 35</t>
  </si>
  <si>
    <t>6300-023</t>
  </si>
  <si>
    <t>Biaya Medical</t>
  </si>
  <si>
    <t>PL 36</t>
  </si>
  <si>
    <t>6300-024</t>
  </si>
  <si>
    <t>Biaya Representasi &amp; Entertain</t>
  </si>
  <si>
    <t>PL 37</t>
  </si>
  <si>
    <t>6300-025</t>
  </si>
  <si>
    <t>Biaya Sumbangan</t>
  </si>
  <si>
    <t>PL 38</t>
  </si>
  <si>
    <t>6300-026</t>
  </si>
  <si>
    <t>Biaya Perjalanan Dinas</t>
  </si>
  <si>
    <t>PL 39</t>
  </si>
  <si>
    <t>6300-027</t>
  </si>
  <si>
    <t>Biaya Keamanan &amp; Kebersihan</t>
  </si>
  <si>
    <t>PL 40</t>
  </si>
  <si>
    <t>6300-028</t>
  </si>
  <si>
    <t>Biaya Profesional Fee</t>
  </si>
  <si>
    <t>PL 41</t>
  </si>
  <si>
    <t>6300-029</t>
  </si>
  <si>
    <t>Biaya PBB &amp; Retribusi Daerah</t>
  </si>
  <si>
    <t>PL 42</t>
  </si>
  <si>
    <t>6300-030</t>
  </si>
  <si>
    <t>Biaya Perijinan Produk</t>
  </si>
  <si>
    <t>PL 43</t>
  </si>
  <si>
    <t>6300-031</t>
  </si>
  <si>
    <t>Biaya Snack &amp; Konsumsi</t>
  </si>
  <si>
    <t>PL 44</t>
  </si>
  <si>
    <t>6300-032</t>
  </si>
  <si>
    <t>Biaya Rekreasi &amp; Gathering</t>
  </si>
  <si>
    <t>PL 45</t>
  </si>
  <si>
    <t>6300-033</t>
  </si>
  <si>
    <t>Cancellation Fee</t>
  </si>
  <si>
    <t>PL 46</t>
  </si>
  <si>
    <t>6300-034</t>
  </si>
  <si>
    <t>Biaya ADLinistrasi Impor</t>
  </si>
  <si>
    <t>PL 47</t>
  </si>
  <si>
    <t>6300-035</t>
  </si>
  <si>
    <t>Biaya Management Fee</t>
  </si>
  <si>
    <t>PL 48</t>
  </si>
  <si>
    <t>6300-036</t>
  </si>
  <si>
    <t>Service Fee</t>
  </si>
  <si>
    <t>PL 49</t>
  </si>
  <si>
    <t>6300-037</t>
  </si>
  <si>
    <t>Outsourching</t>
  </si>
  <si>
    <t>PL 50</t>
  </si>
  <si>
    <t>6300-038</t>
  </si>
  <si>
    <t>Consultant Fee</t>
  </si>
  <si>
    <t>PL 51</t>
  </si>
  <si>
    <t>6300-039</t>
  </si>
  <si>
    <t>Uniform</t>
  </si>
  <si>
    <t>PL 52</t>
  </si>
  <si>
    <t>6300-040</t>
  </si>
  <si>
    <t>Biaya Perijinan Kendaraan</t>
  </si>
  <si>
    <t>PL 53</t>
  </si>
  <si>
    <t>6300-041</t>
  </si>
  <si>
    <t>Biaya Imbalan Pasca Kerja (Opex)</t>
  </si>
  <si>
    <t>PL 81</t>
  </si>
  <si>
    <t>Biaya Pajak</t>
  </si>
  <si>
    <t>PL 55</t>
  </si>
  <si>
    <t>Total Operating Expenses</t>
  </si>
  <si>
    <t>INCOME FROM OPERATION</t>
  </si>
  <si>
    <t>Other Income and Expenses</t>
  </si>
  <si>
    <t>Other Income</t>
  </si>
  <si>
    <t>Pendapatan Lain-lain</t>
  </si>
  <si>
    <t>PL 56</t>
  </si>
  <si>
    <t>7100-001</t>
  </si>
  <si>
    <t>Pendapatan Jasa Giro</t>
  </si>
  <si>
    <t>PL 57</t>
  </si>
  <si>
    <t>7100-002</t>
  </si>
  <si>
    <t>Pendapatan Bunga Deposito</t>
  </si>
  <si>
    <t>PL 58</t>
  </si>
  <si>
    <t>7100-003</t>
  </si>
  <si>
    <t>Pendapatan Bunga Reksadana</t>
  </si>
  <si>
    <t>PL 59</t>
  </si>
  <si>
    <t>7100-004</t>
  </si>
  <si>
    <t>Pendapatan Bunga Pinjaman ( Non Bank )</t>
  </si>
  <si>
    <t>PL 60</t>
  </si>
  <si>
    <t>7100-005</t>
  </si>
  <si>
    <t>Pendapatan Selisih Kurs</t>
  </si>
  <si>
    <t>PL 61</t>
  </si>
  <si>
    <t>7100-006</t>
  </si>
  <si>
    <t>Pendapatan Selisih Penjualan Aktiva</t>
  </si>
  <si>
    <t>PL 62</t>
  </si>
  <si>
    <t>7100-007</t>
  </si>
  <si>
    <t>Pendapatan Investasi Tanam Singkong</t>
  </si>
  <si>
    <t>PL 63</t>
  </si>
  <si>
    <t>7100-099</t>
  </si>
  <si>
    <t>PL 64</t>
  </si>
  <si>
    <t>Total Other Income</t>
  </si>
  <si>
    <t>Other Expenses</t>
  </si>
  <si>
    <t>Biaya Lain-lain</t>
  </si>
  <si>
    <t>6400-001</t>
  </si>
  <si>
    <t>Biaya ADLinistrasi Bank</t>
  </si>
  <si>
    <t>PL 66</t>
  </si>
  <si>
    <t>6400-004</t>
  </si>
  <si>
    <t>Biaya Denda &amp; Pinalty</t>
  </si>
  <si>
    <t>PL 69</t>
  </si>
  <si>
    <t>6400-005</t>
  </si>
  <si>
    <t>Biaya Selisih Stock</t>
  </si>
  <si>
    <t>PL 70</t>
  </si>
  <si>
    <t>6400-006</t>
  </si>
  <si>
    <t>Biaya Selisih Kurs</t>
  </si>
  <si>
    <t>PL 71</t>
  </si>
  <si>
    <t>6400-007</t>
  </si>
  <si>
    <t>Biaya Selisih Pembayaran</t>
  </si>
  <si>
    <t>PL 72</t>
  </si>
  <si>
    <t>6400-008</t>
  </si>
  <si>
    <t>Biaya Selish Penjualan Aktiva</t>
  </si>
  <si>
    <t>PL 73</t>
  </si>
  <si>
    <t>6400-009</t>
  </si>
  <si>
    <t>Biaya Penghapusn Piutang</t>
  </si>
  <si>
    <t>PL 74</t>
  </si>
  <si>
    <t>6400-010</t>
  </si>
  <si>
    <t>Biaya Pemusnahan Stock</t>
  </si>
  <si>
    <t>PL 75</t>
  </si>
  <si>
    <t>6400-011</t>
  </si>
  <si>
    <t>Biaya Investasi Tanam Singkong</t>
  </si>
  <si>
    <t>PL 76</t>
  </si>
  <si>
    <t>6400-012</t>
  </si>
  <si>
    <t>Realize Gain or Loss</t>
  </si>
  <si>
    <t>PL 77</t>
  </si>
  <si>
    <t>6400-014</t>
  </si>
  <si>
    <t>Unrealize Gain or Loss</t>
  </si>
  <si>
    <t>PL 78</t>
  </si>
  <si>
    <t>6400-015</t>
  </si>
  <si>
    <t>Biaya Rounding</t>
  </si>
  <si>
    <t>PL 79</t>
  </si>
  <si>
    <t>6400-016</t>
  </si>
  <si>
    <t>Realize Gain or Loss (USD)</t>
  </si>
  <si>
    <t>PL 80</t>
  </si>
  <si>
    <t>6400-017</t>
  </si>
  <si>
    <t>Temporary Account ( Biaya )</t>
  </si>
  <si>
    <t>Total Other Expenses</t>
  </si>
  <si>
    <t>Total Other Income and Expenses</t>
  </si>
  <si>
    <t>6400-002</t>
  </si>
  <si>
    <t>Biaya Bunga Bank</t>
  </si>
  <si>
    <t>PL 67</t>
  </si>
  <si>
    <t>6400-003</t>
  </si>
  <si>
    <t>Biaya Bunga Leasing</t>
  </si>
  <si>
    <t>PL 68</t>
  </si>
  <si>
    <t>Biaya Penyusutan</t>
  </si>
  <si>
    <t>Biaya Peny. Bangunan</t>
  </si>
  <si>
    <t>PL 54</t>
  </si>
  <si>
    <t>6500-002</t>
  </si>
  <si>
    <t>Biaya Peny. Kendaraan Gol 1</t>
  </si>
  <si>
    <t>Biaya Peny. Kendaraan Gol 2</t>
  </si>
  <si>
    <t>Biaya Peny. Inventaris Kantor Gol 1</t>
  </si>
  <si>
    <t>Biaya Peny. Inventaris Kantor Gol 2</t>
  </si>
  <si>
    <t>Biaya Peny. Inventaris Pabrik Gol 1</t>
  </si>
  <si>
    <t>Biaya Peny. Inventaris Pabrik Gol 2</t>
  </si>
  <si>
    <t>Biaya Peny. Komputer Software</t>
  </si>
  <si>
    <t>Biaya Peny. Inventaris Kantor Gol 1 (Value)</t>
  </si>
  <si>
    <t>Biaya Peny. Inventaris Pabrik Gol 1 (Value)</t>
  </si>
  <si>
    <t>Biaya Peny. Mesin Gol 1 (Value)</t>
  </si>
  <si>
    <t>Biaya Peny. Mesin Gol 2 (Value)</t>
  </si>
  <si>
    <t>6500-015</t>
  </si>
  <si>
    <t>Biaya Peny. Komputer Software (Value)</t>
  </si>
  <si>
    <t>NET PROFIT/LOSS (Before Tax)</t>
  </si>
  <si>
    <t>Corporate Income Tax</t>
  </si>
  <si>
    <t>8300-001</t>
  </si>
  <si>
    <t>PL 82</t>
  </si>
  <si>
    <t>Beban (Manfaat Pajak Tangguhan)</t>
  </si>
  <si>
    <t>8100-001</t>
  </si>
  <si>
    <t>PL 83</t>
  </si>
  <si>
    <t>NET PROFIT/LOSS (After Tax)</t>
  </si>
  <si>
    <t>Biaya Imbalan Pasca Kerja ( OCI PL )</t>
  </si>
  <si>
    <t>8200-001</t>
  </si>
  <si>
    <t>PL 84</t>
  </si>
  <si>
    <t>NET PROFIT/LOSS (After Tax &amp; OCI)</t>
  </si>
  <si>
    <t>Sistem</t>
  </si>
  <si>
    <t>PT Boga Makmur Gracia - Laba Rugi Bulanan Jan-Agu 2026</t>
  </si>
  <si>
    <t>Jan</t>
  </si>
  <si>
    <t>Jul</t>
  </si>
  <si>
    <t>Agu</t>
  </si>
  <si>
    <t>YTD Jan-Agu</t>
  </si>
  <si>
    <t>4101</t>
  </si>
  <si>
    <t>IFM</t>
  </si>
  <si>
    <t>Expor dan Singkong Fresh</t>
  </si>
  <si>
    <t>Other (MBS,Nutrifood,Koperasi,Lembutan)</t>
  </si>
  <si>
    <t>5101</t>
  </si>
  <si>
    <t>COGM - OHP - Biaya Perbaikan &amp; Pemeliharaan Inventaris Pabrik</t>
  </si>
  <si>
    <t>COGM - OHP - Biaya Peny. Inventaris Pabrik Gol 1</t>
  </si>
  <si>
    <t>COGM - OHP - Biaya Peny. Inventaris Pabrik Gol 2</t>
  </si>
  <si>
    <t>Saldo Bahan Baku - Awal</t>
  </si>
  <si>
    <t>Saldo Bahan Baku - In</t>
  </si>
  <si>
    <t>Saldo Bahan Baku - In Rounding</t>
  </si>
  <si>
    <t>Saldo Bahan Baku - Pemakaian</t>
  </si>
  <si>
    <t>Saldo Bahan Baku - Pemakaian BA Pemusnahan</t>
  </si>
  <si>
    <t>Saldo Bahan Baku - COGM Retur ( Impact Harga AVG )</t>
  </si>
  <si>
    <t>Saldo Bahan Baku - COGM WWTP</t>
  </si>
  <si>
    <t>Saldo Bahan Baku - Akhir</t>
  </si>
  <si>
    <t>Pemakaian Bahan Baku</t>
  </si>
  <si>
    <t>COGM Bahan Baku</t>
  </si>
  <si>
    <t>Pemakaian Bahan Baku tdk masuk COGS</t>
  </si>
  <si>
    <t>Saldo Barang Setengah Jadi - Awal</t>
  </si>
  <si>
    <t>Saldo Barang Setengah Jadi - in</t>
  </si>
  <si>
    <t>Saldo Barang Setengah Jadi - Pemakaian</t>
  </si>
  <si>
    <t>Saldo Barang Setengah Jadi - Akhir</t>
  </si>
  <si>
    <t>Pemakaian Bahan Setengah Jadi</t>
  </si>
  <si>
    <t>Saldo Barang  Jadi - Awal</t>
  </si>
  <si>
    <t>Saldo Barang  Jadi - in</t>
  </si>
  <si>
    <t>Saldo Barang  Jadi - in retur</t>
  </si>
  <si>
    <t>Saldo Barang  Jadi - Pemakaian</t>
  </si>
  <si>
    <t>Saldo Barang  Jadi - Pemakaian BA Pemusnahan</t>
  </si>
  <si>
    <t>Saldo Barang  Jadi - Pemakaian Retur</t>
  </si>
  <si>
    <t>Saldo Barang  Jadi - Akhir</t>
  </si>
  <si>
    <t>COGM - Barang  Jadi</t>
  </si>
  <si>
    <t>Pemakaian FG tdk masuk COGS</t>
  </si>
  <si>
    <t>Total COGM 2025</t>
  </si>
  <si>
    <t>COGM VALUE</t>
  </si>
  <si>
    <t>5102</t>
  </si>
  <si>
    <t>Non IFM</t>
  </si>
  <si>
    <t>6100</t>
  </si>
  <si>
    <t>6200</t>
  </si>
  <si>
    <t>6300</t>
  </si>
  <si>
    <t>Biaya Administrasi &amp; Umum</t>
  </si>
  <si>
    <t>Biaya Administrasi Impor</t>
  </si>
  <si>
    <t>Seragam</t>
  </si>
  <si>
    <t>Biaya Imbalan Pasca Kerja</t>
  </si>
  <si>
    <t>6600</t>
  </si>
  <si>
    <t>7100</t>
  </si>
  <si>
    <t>Minyak Jelantah</t>
  </si>
  <si>
    <t>Lain-Lain ( Karton, Rongsok, Tabung, Kulit Singkong, Cashback)</t>
  </si>
  <si>
    <t>6400</t>
  </si>
  <si>
    <t>Biaya Administrasi Bank</t>
  </si>
  <si>
    <t>Realisasi Selisih Kurs (USD)</t>
  </si>
  <si>
    <t>(Biaya) Lain-lain</t>
  </si>
  <si>
    <t>6500</t>
  </si>
  <si>
    <t>NIBT</t>
  </si>
  <si>
    <t>8300</t>
  </si>
  <si>
    <t>8100</t>
  </si>
  <si>
    <t>NIAT</t>
  </si>
  <si>
    <t>8200</t>
  </si>
  <si>
    <t>NIBT COMPREHENSIVE</t>
  </si>
  <si>
    <t>NORMALIZATION</t>
  </si>
  <si>
    <t>NIBT AFTER NORMALIZATION</t>
  </si>
  <si>
    <t>Gross profit margin</t>
  </si>
  <si>
    <t>Bulan</t>
  </si>
  <si>
    <t>Rata-rata 20 bln</t>
  </si>
  <si>
    <t>Rata-rata 2025</t>
  </si>
  <si>
    <t>Rata-rata 2026</t>
  </si>
  <si>
    <t>Min</t>
  </si>
  <si>
    <t>Bulan min</t>
  </si>
  <si>
    <t>Maks</t>
  </si>
  <si>
    <t>Bulan maks</t>
  </si>
  <si>
    <t>Kuartil bawah</t>
  </si>
  <si>
    <t>Kuartil atas</t>
  </si>
  <si>
    <t>Satuan</t>
  </si>
  <si>
    <t>A. Angka kartu (data sumber)</t>
  </si>
  <si>
    <t>Output total kartu = STHP total + KW 2 + keripik waste (KG)</t>
  </si>
  <si>
    <t>Premium / STHP total (KG)</t>
  </si>
  <si>
    <t>KW 2 (KG)</t>
  </si>
  <si>
    <t>Keripik waste (KG)</t>
  </si>
  <si>
    <t>Singkong kulit dipakai - tabel material (KG)</t>
  </si>
  <si>
    <t>Singkong daging dibeli sudah terkupas (KG)</t>
  </si>
  <si>
    <t>Daging hasil kupas dari kulit (KG)</t>
  </si>
  <si>
    <t>Daging dipakai ke penggorengan (KG)</t>
  </si>
  <si>
    <t>Minyak olein dipakai (KG)</t>
  </si>
  <si>
    <t>CNG dipakai (m3)</t>
  </si>
  <si>
    <t>m3</t>
  </si>
  <si>
    <t>Texture improver / amonium (KG)</t>
  </si>
  <si>
    <t>HDPE 0,03 (KG)</t>
  </si>
  <si>
    <t>HDPE 0,05 (KG)</t>
  </si>
  <si>
    <t>HDPE 0,07 (KG)</t>
  </si>
  <si>
    <t>Karton polos IFL (pcs)</t>
  </si>
  <si>
    <t>Jam mesin blancher daging (washing)</t>
  </si>
  <si>
    <t>Jam mesin potong (slicing)</t>
  </si>
  <si>
    <t>Jam mesin goreng - continuous + batch</t>
  </si>
  <si>
    <t>Man hours pabrik - kartu FCC (MH)</t>
  </si>
  <si>
    <t>MH</t>
  </si>
  <si>
    <t>Total shift kerja lini (shift)</t>
  </si>
  <si>
    <t>shift</t>
  </si>
  <si>
    <t>Man hours seluruh produksi - sheet Labor, denominator Produksi (MH)</t>
  </si>
  <si>
    <t>Tarif tenaga kerja produksi - sheet Labor (IDR/MH)</t>
  </si>
  <si>
    <t>IDR/MH</t>
  </si>
  <si>
    <t>Biaya tenaga kerja produksi - sheet Labor (IDR)</t>
  </si>
  <si>
    <t>Harga rata-rata singkong kulit premium - sheet Average Price (IDR/KG)</t>
  </si>
  <si>
    <t>Harga rata-rata singkong daging premium (IDR/KG)</t>
  </si>
  <si>
    <t>Harga rata-rata minyak olein (IDR/KG)</t>
  </si>
  <si>
    <t>Harga rata-rata CNG (IDR/m3)</t>
  </si>
  <si>
    <t>IDR/m3</t>
  </si>
  <si>
    <t>B. Turunan (rumus dari blok A)</t>
  </si>
  <si>
    <t>Rendemen kupas - (daging dipakai - daging dibeli) / kulit</t>
  </si>
  <si>
    <t>Rendemen goreng - output total / daging dipakai</t>
  </si>
  <si>
    <t>Porsi Premium terhadap output</t>
  </si>
  <si>
    <t>Porsi KW 2 terhadap output</t>
  </si>
  <si>
    <t>Porsi keripik waste terhadap output</t>
  </si>
  <si>
    <t>Minyak per kg output (KG/KG)</t>
  </si>
  <si>
    <t>CNG per kg output (m3/KG)</t>
  </si>
  <si>
    <t>m3/KG</t>
  </si>
  <si>
    <t>Jam kerja lini = shift x 8 jam</t>
  </si>
  <si>
    <t>Output total per jam kerja lini (KG/jam)</t>
  </si>
  <si>
    <t>KG/jam</t>
  </si>
  <si>
    <t>Man hours seluruh produksi per jam kerja lini (MH/jam)</t>
  </si>
  <si>
    <t>MH/jam</t>
  </si>
  <si>
    <t>Singkong kulit per kg output (KG/KG)</t>
  </si>
  <si>
    <t>PT Boga Makmur Gracia - DATA HARGA JUAL per kelompok item, Jan-Agu 2026</t>
  </si>
  <si>
    <t>Kelompok item</t>
  </si>
  <si>
    <t>Total Jan-Agu 2026</t>
  </si>
  <si>
    <t>A. Kuantitas terjual per kelompok (net retur)</t>
  </si>
  <si>
    <t>FCC Premium - Keripik Singkong Tanpa Bumbu (IFM)</t>
  </si>
  <si>
    <t>KGS</t>
  </si>
  <si>
    <t>kuantitas</t>
  </si>
  <si>
    <t>FCC KW2 tawar - 2nd Grade Tawar (KGS)</t>
  </si>
  <si>
    <t>FCC KW2 berbumbu, lima item singkong, KGS saja</t>
  </si>
  <si>
    <t>UU Premium - WIP-QKSP + FSPC Ungu Premium (IFM)</t>
  </si>
  <si>
    <t>UO Premium - WIP-QKSO + FSPC Orange Premium (IFM)</t>
  </si>
  <si>
    <t>Retail &amp; maklon - semua item produk lain termasuk Suka-suka dan Keripik Ubi Mix</t>
  </si>
  <si>
    <t>campuran</t>
  </si>
  <si>
    <t>Nonproduk - pinjaman, bunga, aset tetap, reimbursement, klaim, uang muka</t>
  </si>
  <si>
    <t>transaksi</t>
  </si>
  <si>
    <t>B. Nilai terjual per kelompok (Rp, net retur)</t>
  </si>
  <si>
    <t>Rp</t>
  </si>
  <si>
    <t>nilai</t>
  </si>
  <si>
    <t>C. Harga rata-rata tertimbang Jan-Agu 2026 (Rp/kg) - dipakai Input Operasional Q22:AF24 dan Q26 lewat Asumsi Historis 7b</t>
  </si>
  <si>
    <t>Harga Premium FCC tertimbang (Q16/Q7)</t>
  </si>
  <si>
    <t>Harga Premium UU tertimbang (Q19/Q10) - mencampur WIP-QKSP dan FSPC Ungu Premium</t>
  </si>
  <si>
    <t>Harga Premium UO tertimbang (Q20/Q11) - mencampur WIP-QKSO dan FSPC Orange Premium</t>
  </si>
  <si>
    <t>Harga KW2 sementara: KGS singkong, tidak mencakup BAL/PCS</t>
  </si>
  <si>
    <t>(Q17+Q18)/(Q8+Q9)</t>
  </si>
  <si>
    <t>D. KW2: kuantitas KGS terjual vs produksi KW2 kartu (memo)</t>
  </si>
  <si>
    <t>Produksi KW2 FCC Jan-Agu 2026 menurut kartu (Sheet2 baris 315, kg)</t>
  </si>
  <si>
    <t>Kuantitas KGS KW2 terjual (Q8+Q9, kg)</t>
  </si>
  <si>
    <t>Kuantitas KGS KW2 terjual / produksi KW2. Bukan sell-through batch yang sama.</t>
  </si>
  <si>
    <t>E. Rekonsiliasi ke Laba Rugi (Rp)</t>
  </si>
  <si>
    <t>IFM per Laba Rugi Jan-Agu 2026 (Sheet2 baris 81)</t>
  </si>
  <si>
    <t>Beda kelompok IFM per item (Q16+Q19+Q20) vs GL - bridge belum teralokasi, tetap di residual Other</t>
  </si>
  <si>
    <t>Total nilai seluruh item sumber (Q16:Q22) - harus Rp 75.887.919.476,02</t>
  </si>
  <si>
    <t>Other per Laba Rugi Jan-Agu 2026 (Sheet2 baris 83)</t>
  </si>
  <si>
    <t>Memo: Other GL = KW2 KGS (Q17+Q18) + retail (Q21) + bridge IFM (Q41) - cek harus nol</t>
  </si>
  <si>
    <t>Memo bridge IFM per bulan = Q41 / COUNT(Sheet2!I83:P83) (S3)</t>
  </si>
  <si>
    <t>SEMENTARA. Harga KW2 memakai enam item singkong bersatuan KGS. BAL/PCS tidak dikonversi. Ubi Mix dan Suka-suka berada di retail. Angka ini bukan harga seluruh keluaran KW2 dan bukan bukti sell-through 100%. Ganti basis hanya setelah konversi satuan dan mapping produk disahkan.</t>
  </si>
  <si>
    <t>F. Peta item -&gt; kelompok (65 item; data sumber)</t>
  </si>
  <si>
    <t>Item (Accurate)</t>
  </si>
  <si>
    <t>Kelompok</t>
  </si>
  <si>
    <t>Baris kelompok</t>
  </si>
  <si>
    <t>Kuantitas Jan-Agu</t>
  </si>
  <si>
    <t>Nilai Jan-Agu (Rp)</t>
  </si>
  <si>
    <t>Jumlah faktur</t>
  </si>
  <si>
    <t>2nd Bumbu Asin</t>
  </si>
  <si>
    <t>FCC KW2 berbumbu KGS</t>
  </si>
  <si>
    <t>9/18</t>
  </si>
  <si>
    <t>2nd Bumbu BBQ</t>
  </si>
  <si>
    <t>2nd Bumbu Balado</t>
  </si>
  <si>
    <t>2nd Bumbu Jagung Manis</t>
  </si>
  <si>
    <t>2nd Keripik Singkong Bumbu Garam</t>
  </si>
  <si>
    <t>Keripik Singkong Tanpa Bumbu</t>
  </si>
  <si>
    <t>FCC Premium</t>
  </si>
  <si>
    <t>7/16</t>
  </si>
  <si>
    <t>Fixed Asset</t>
  </si>
  <si>
    <t>Nonproduk</t>
  </si>
  <si>
    <t>Pcs</t>
  </si>
  <si>
    <t>13/22</t>
  </si>
  <si>
    <t>Klaim Karton FCC Basah</t>
  </si>
  <si>
    <t>Other Income (MKRU.11/16)</t>
  </si>
  <si>
    <t>UNT</t>
  </si>
  <si>
    <t>Pemegang Saham</t>
  </si>
  <si>
    <t>Pendapatan Bunga Pinjaman</t>
  </si>
  <si>
    <t>Pinjaman</t>
  </si>
  <si>
    <t>Reimbursement Biaya Bahan Bakar Pengiriman</t>
  </si>
  <si>
    <t>Reimbursement Biaya Inap Bongkar</t>
  </si>
  <si>
    <t>Reimbursement Biaya Kirim</t>
  </si>
  <si>
    <t>FCC Premium Tanpa Bumbu 1 Kg</t>
  </si>
  <si>
    <t>Retail &amp; maklon</t>
  </si>
  <si>
    <t>12/21</t>
  </si>
  <si>
    <t>FCC Premium Tanpa Bumbu 2 Kg</t>
  </si>
  <si>
    <t>Jasa Maklon WRP Every Day Delichips Salt &amp; Papper 40gr</t>
  </si>
  <si>
    <t>Jasa Maklon WRP Everyday Delichips Mix Fruit 24P x 40G</t>
  </si>
  <si>
    <t>Jasa Maklon WRP Everyday Delichips Mix Roots 24Px40Gr</t>
  </si>
  <si>
    <t>Jasa Maklon WRP Everyday Delichips Mix Roots 8P x 120G</t>
  </si>
  <si>
    <t>Kecimpring 70gr</t>
  </si>
  <si>
    <t>Keripik Singkong BBQ (Cem-Cem Cazva)</t>
  </si>
  <si>
    <t>Keripik Singkong Original (Cem-Cem Cazva)</t>
  </si>
  <si>
    <t>Keripik Ubi Mix 2nd Bumbu BBQ 1kg</t>
  </si>
  <si>
    <t>Keripik Ubi Mix 2nd Bumbu Balado 1kg</t>
  </si>
  <si>
    <t>Keripik Ubi Mix Kw 2 Bumbu Balado Jeruk 1kg</t>
  </si>
  <si>
    <t>Keripik Ubi Mix Premium Bumbu BBQ 1kg</t>
  </si>
  <si>
    <t>BAL</t>
  </si>
  <si>
    <t>Keripik Ubi Mix Premium Bumbu Balado 1kg</t>
  </si>
  <si>
    <t>Kerupuk NYE Rasa Original 15gr</t>
  </si>
  <si>
    <t>Kerupuk Ubi Ungu Rasa Original 15gr</t>
  </si>
  <si>
    <t>Kerupuk Ubi Ungu Rasa Ubi Bakar 15gr</t>
  </si>
  <si>
    <t>Maicih Basreng 80 Gr-Level 10</t>
  </si>
  <si>
    <t>Maicih Basreng 80GR Level.0</t>
  </si>
  <si>
    <t>Maicih Basreng 80GR Level.5</t>
  </si>
  <si>
    <t>Maicih Basreng 80gr Lv 0-Jepang</t>
  </si>
  <si>
    <t>Maicih Basreng 80gr Lv 10-Jepang</t>
  </si>
  <si>
    <t>Maicih Basreng 80gr Lv 5-Jepang</t>
  </si>
  <si>
    <t>Maicih Keripik Singkong 80gr-Level 10</t>
  </si>
  <si>
    <t>Maicih Keripik Singkong 80gr-Level 3</t>
  </si>
  <si>
    <t>Maicih Keripik Singkong 80gr-Level 5</t>
  </si>
  <si>
    <t>Pellet Kecimpring</t>
  </si>
  <si>
    <t>Pellet Opak Bika</t>
  </si>
  <si>
    <t>Pellet Ubi Orange - FG 15kg</t>
  </si>
  <si>
    <t>Pellet Ubi Ungu - FG 15kg</t>
  </si>
  <si>
    <t>Suka-suka 2nd Keripik Singkong Bumbu BBQ</t>
  </si>
  <si>
    <t>Suka-suka 2nd Keripik Singkong Bumbu Balado</t>
  </si>
  <si>
    <t>Suka-suka 2nd Keripik Singkong Bumbu Garam</t>
  </si>
  <si>
    <t>Suka-suka 2nd Keripik Singkong Bumbu Jagung  Manis</t>
  </si>
  <si>
    <t>Suka-suka 2nd Keripik Singkong Bumbu Original</t>
  </si>
  <si>
    <t>Suka-suka Keripik Singkong Bumbu BBQ</t>
  </si>
  <si>
    <t>Suka-suka Keripik Singkong Bumbu Balado</t>
  </si>
  <si>
    <t>Umbiis Kerupuk Ubi Ungu 55gr</t>
  </si>
  <si>
    <t>Umbiis Kerupuk Ubi Ungu Rasa Ubi Bakar 55gr</t>
  </si>
  <si>
    <t>Umbiis Singkong 60 gram Balado</t>
  </si>
  <si>
    <t>Whole Chips Purple Ube Gluten Free 15gr</t>
  </si>
  <si>
    <t>Whole Chips Purple Ube Gluten Free 90gr</t>
  </si>
  <si>
    <t>Whole Chips Rempah Cassava Gluten Free Maxi 15gr</t>
  </si>
  <si>
    <t>Whole Chips Rempah Cassava Gluten Free Maxi 90gr</t>
  </si>
  <si>
    <t>2nd Grade Tawar</t>
  </si>
  <si>
    <t>FCC KW2 tawar</t>
  </si>
  <si>
    <t>8/17</t>
  </si>
  <si>
    <t>FSPC Orange Premium</t>
  </si>
  <si>
    <t>UO Premium</t>
  </si>
  <si>
    <t>11/20</t>
  </si>
  <si>
    <t>WIP-QKSO</t>
  </si>
  <si>
    <t>FSPC Ungu Premium</t>
  </si>
  <si>
    <t>UU Premium</t>
  </si>
  <si>
    <t>10/19</t>
  </si>
  <si>
    <t>WIP-QKSP</t>
  </si>
  <si>
    <t>PT Boga Makmur Gracia - DATA PERSEDIAAN BARANG JADI &amp; WIP, Jan-Agu 2026 (R3)</t>
  </si>
  <si>
    <t>Saldo 1 Jan 2026</t>
  </si>
  <si>
    <t>Pos</t>
  </si>
  <si>
    <t>Sumber</t>
  </si>
  <si>
    <t>OB</t>
  </si>
  <si>
    <t>Total / rata-rata</t>
  </si>
  <si>
    <t>A. Kartu CoGM FCC 2026 - WIP (keripik jadi curah) dalam kg dan nilai</t>
  </si>
  <si>
    <t>Produksi Premium FCC (kartu = Finished Goods Accounted For)</t>
  </si>
  <si>
    <t>FCCmmyy B13 = Sheet2 I314</t>
  </si>
  <si>
    <t>Output total kartu (Finished Goods Transferred Out)</t>
  </si>
  <si>
    <t>FCCmmyy B10 = Data Kartu CoGM baris 7</t>
  </si>
  <si>
    <t>WIP akhir bulan - kuantitas (WIP Production tanggal akhir)</t>
  </si>
  <si>
    <t>FCCmmyy B9</t>
  </si>
  <si>
    <t>WIP akhir bulan - nilai (Cost of WIP Production)</t>
  </si>
  <si>
    <t>FCCmmyy B51 = -Sheet2 I360</t>
  </si>
  <si>
    <t>Unit cost proses kartu (Cost of FG Transferred Out / kg)</t>
  </si>
  <si>
    <t>Rp/kg</t>
  </si>
  <si>
    <t>FCCmmyy B50</t>
  </si>
  <si>
    <t>Produksi Premium yang masuk WIP (kg) = transfer (baris 7) + WIP akhir - WIP awal; selisih terhadap baris 7 adalah kg yang tidak muncul di kartu sebagai produksi</t>
  </si>
  <si>
    <t>rumus</t>
  </si>
  <si>
    <t>Catatan (R3-d): unit cost kartu = (CoM + WIP awal) / (FG accounted for + WIP akhir), jadi baris 7 adalah kg yang DITRANSFER keluar WIP (cocok dengan keluar WIP-067 modul: Mar/Mei/Jun identik), bukan produksi bulan itu. Produksi yang masuk WIP = baris 12; yield dan porsi grade kartu dihitung dari transfer, bukan produksi - perlu konfirmasi pembuat kartu.</t>
  </si>
  <si>
    <t>B. Modul persediaan Accurate - saldo akhir bulan per item (kg) dan nilai (Rp)</t>
  </si>
  <si>
    <t>WIP-067 Keripik Singkong FCC (WIP curah FCC) - saldo akhir kg</t>
  </si>
  <si>
    <t>Inventory Valuation Detail</t>
  </si>
  <si>
    <t>WIP-067 - saldo akhir nilai</t>
  </si>
  <si>
    <t>FG-001 Keripik Singkong Tanpa Bumbu (barang jadi FCC kemasan) - saldo akhir kg</t>
  </si>
  <si>
    <t>FG-001 - saldo akhir nilai</t>
  </si>
  <si>
    <t>WIP-139 Keripik Ubi Ungu (QKSP) - WIP curah UU - saldo akhir kg</t>
  </si>
  <si>
    <t>WIP-139 - saldo akhir nilai</t>
  </si>
  <si>
    <t>FG-101 FSPC Ungu Premium - saldo akhir kg</t>
  </si>
  <si>
    <t>FG-101 - saldo akhir nilai</t>
  </si>
  <si>
    <t>FG-164 WIP-QKSP (item jual, nilai nol di modul) - saldo akhir kg</t>
  </si>
  <si>
    <t>FG-164 - saldo akhir nilai</t>
  </si>
  <si>
    <t>WIP-138 Keripik Ubi Orange (QKSO) - WIP curah UO - saldo akhir kg</t>
  </si>
  <si>
    <t>WIP-138 - saldo akhir nilai</t>
  </si>
  <si>
    <t>FG-102 FSPC Orange Premium - saldo akhir kg</t>
  </si>
  <si>
    <t>FG-102 - saldo akhir nilai</t>
  </si>
  <si>
    <t>FG-163 WIP-QKSO (item jual, nilai nol di modul) - saldo akhir kg</t>
  </si>
  <si>
    <t>FG-163 - saldo akhir nilai</t>
  </si>
  <si>
    <t>FG-001 masuk (Inv. Adjustment / hasil kemas) kg</t>
  </si>
  <si>
    <t>modul</t>
  </si>
  <si>
    <t>FG-001 keluar Delivery Order (penjualan) kg</t>
  </si>
  <si>
    <t>modul - harus = Data Harga Jual baris 7</t>
  </si>
  <si>
    <t>FG-001 keluar lain (transfer ke item lain) kg</t>
  </si>
  <si>
    <t>WIP-067 masuk (produksi diposting ke WIP) kg</t>
  </si>
  <si>
    <t>WIP-067 keluar (transfer ke FG-001) kg</t>
  </si>
  <si>
    <t>C. Parameter WIP untuk proyeksi (realisasi 2026, rata-rata tertimbang) dan saldo awal BT</t>
  </si>
  <si>
    <t>FCC: WIP akhir kg / produksi Premium (kartu, tertimbang Jan-Agu 2026)</t>
  </si>
  <si>
    <t>UU: WIP-139 saldo akhir kg / produksi Premium UU (modul, tertimbang)</t>
  </si>
  <si>
    <t>UO: WIP-138 saldo akhir kg / produksi Premium UO (modul, tertimbang)</t>
  </si>
  <si>
    <t>FCC: WIP akhir setara hari produksi = rasio x 30 (memo)</t>
  </si>
  <si>
    <t>Saldo awal 1 Jan 2026 untuk BT Mesin (S5) - barang jadi KEMASAN saja; WIP curah ditangani baris 359/360/365 Sheet2 &amp; BT Mesin</t>
  </si>
  <si>
    <t>FCC - FG-001 Keripik Singkong Tanpa Bumbu</t>
  </si>
  <si>
    <t>UU - FG-101 FSPC Ungu Premium + FG-164 WIP-QKSP</t>
  </si>
  <si>
    <t>UO - FG-102 FSPC Orange Premium + FG-163 WIP-QKSO</t>
  </si>
  <si>
    <t>FCC - WIP curah 1 Jan 2026: kartu (H9/H10) vs modul WIP-067 (H16/H17); selisih nilai</t>
  </si>
  <si>
    <t>Saldo awal pool FCC (WIP kartu + FG-001) 1 Jan 2026 - memo</t>
  </si>
  <si>
    <t>PT Boga Makmur Gracia - PENDAPATAN AKTUAL PER KELOMPOK PRODUK, Jan 2025 - Agu 2026 (R4)</t>
  </si>
  <si>
    <t>Total 2025</t>
  </si>
  <si>
    <t>A. Nilai penjualan (Rp, net retur)</t>
  </si>
  <si>
    <t>FCC Premium - Keripik Singkong Tanpa Bumbu</t>
  </si>
  <si>
    <t>FCC KW2 - enam item singkong KGS</t>
  </si>
  <si>
    <t>Ubi Ungu - WIP-QKSP + FSPC Ungu Premium</t>
  </si>
  <si>
    <t>Ubi Orange - WIP-QKSO + FSPC Orange Premium</t>
  </si>
  <si>
    <t>Others - retail, maklon, ubi mix, suka-suka, talas, pellet</t>
  </si>
  <si>
    <t>B. Kuantitas (kg untuk kelompok bersatuan KGS; campuran untuk Others)</t>
  </si>
  <si>
    <t>Others - nonproduk (pinjaman, bunga, aset, reimbursement, klaim)</t>
  </si>
  <si>
    <t>C. Kontrol - Jan-Agu 2026 harus sama dengan Data Harga Jual (harus nol)</t>
  </si>
  <si>
    <t>FCC Premium - selisih vs Data Harga Jual</t>
  </si>
  <si>
    <t>FCC KW2 (tawar + berbumbu) - selisih vs Data Harga Jual</t>
  </si>
  <si>
    <t>Ubi Ungu - selisih vs Data Harga Jual</t>
  </si>
  <si>
    <t>Ubi Orange - selisih vs Data Harga Jual</t>
  </si>
  <si>
    <t>Others - retail - selisih vs Data Harga Jual</t>
  </si>
  <si>
    <t>Pabrik</t>
  </si>
  <si>
    <t>UU</t>
  </si>
  <si>
    <t>UO</t>
  </si>
  <si>
    <t>LL</t>
  </si>
  <si>
    <t>MMBTU/KG</t>
  </si>
  <si>
    <t>HDPE 0,03 per kg output</t>
  </si>
  <si>
    <t>HDPE 0,05 per kg output</t>
  </si>
  <si>
    <t>HDPE 0,07 per kg output</t>
  </si>
  <si>
    <t>pcs/KG</t>
  </si>
  <si>
    <t>PT Boga Makmur Gracia - INPUT OPERASIONAL Business Plan 2026-2027</t>
  </si>
  <si>
    <t>Realisasi (rumus) - baris 7-9 dari Data Harga Jual per faktur (S5)</t>
  </si>
  <si>
    <t>Target operasional (input)</t>
  </si>
  <si>
    <t>1. Target volume penjualan Premium ke pelanggan</t>
  </si>
  <si>
    <t>WD</t>
  </si>
  <si>
    <t>Jumlah Hari Kerja dalam Sebulan</t>
  </si>
  <si>
    <t>2. Target volume penjualan Premium ke pelanggan</t>
  </si>
  <si>
    <t>Volume Premium yang akan dikirim/terjual</t>
  </si>
  <si>
    <t>2b. Proporsi Semarang dan IFM Tanggerang</t>
  </si>
  <si>
    <t>IFM Semarang</t>
  </si>
  <si>
    <t>IFM Tanggerang</t>
  </si>
  <si>
    <t>IDR per KG - realisasi Premium = harga implied IFM blended (kolom I-P, memo); target = harga tertimbang per produk Data Harga Jual (Asumsi Historis 7b)</t>
  </si>
  <si>
    <t>Harga jual Premium</t>
  </si>
  <si>
    <t>Harga jual KW 2 - SEMENTARA: enam item singkong KGS, Data Harga Jual (S4)</t>
  </si>
  <si>
    <t>Harga jual KW 2 (dikunci 0 - kontrol Kontrol Mesin baris 21)</t>
  </si>
  <si>
    <t>Harga jual KW 2 (dikunci 0 - LL tanpa rantai kg)</t>
  </si>
  <si>
    <t>Harga jual keripik waste (0 - waste keluar tanpa nilai, kebijakan baris 89:92)</t>
  </si>
  <si>
    <t>Harga jual keripik waste (belum ada data - 0)</t>
  </si>
  <si>
    <t>3a. Komposisi Output</t>
  </si>
  <si>
    <t>KG output total per bulan = Premium + KW 2 + keripik waste (definisi sama dengan Target output produksi di blok produk)</t>
  </si>
  <si>
    <t>Premium/Layak Jual</t>
  </si>
  <si>
    <t>3b. Target volume produksi</t>
  </si>
  <si>
    <t>Volume output total produksi</t>
  </si>
  <si>
    <t>3c. Bahan siap olah yang dibeli sudah terkupas (singkong daging)</t>
  </si>
  <si>
    <t>KG per bulan - mengurangi kebutuhan kupas sendiri</t>
  </si>
  <si>
    <t>Bahan siap olah dibeli jadi</t>
  </si>
  <si>
    <t>3d. Target rata-rata harga per KG</t>
  </si>
  <si>
    <t>Singkong kulit premium</t>
  </si>
  <si>
    <t>Harga/kg</t>
  </si>
  <si>
    <t>Singkong Daging premium</t>
  </si>
  <si>
    <t>Nol di seluruh bulan aktual (sumber lama kosong, dibersihkan R7)</t>
  </si>
  <si>
    <t>Singkong: rendemen (%). Bahan penolong: pemakaian per kg output total (definisi sama dengan baris Yield target di Cost of Production)</t>
  </si>
  <si>
    <t>Overall equivalent singkong kulit to target</t>
  </si>
  <si>
    <t>Rendemen tahap 1 - bahan baku ke bahan siap olah (kupas)</t>
  </si>
  <si>
    <t>Rendemen tahap 2 - bahan siap olah ke output total (goreng)</t>
  </si>
  <si>
    <t>Minyak olein per kg output</t>
  </si>
  <si>
    <t>CNG per kg output</t>
  </si>
  <si>
    <t>Amonium bikarbonat per kg output</t>
  </si>
  <si>
    <t>Kemasan IFM per kg output</t>
  </si>
  <si>
    <t>6. Working hours mesin</t>
  </si>
  <si>
    <t>Jam operasi per bulan per tahap. Realisasi = total shift kerja lini x 8 jam (kartu CoGM FCC). Frying = tahap penentu kapasitas dan tenaga kerja.</t>
  </si>
  <si>
    <t>Seluruh lini</t>
  </si>
  <si>
    <t>Jam operasi Washing</t>
  </si>
  <si>
    <t>Jam operasi Slicing</t>
  </si>
  <si>
    <t>Jam operasi Frying</t>
  </si>
  <si>
    <t>7. Manpower</t>
  </si>
  <si>
    <t>Department</t>
  </si>
  <si>
    <t>Finance &amp; Accounting</t>
  </si>
  <si>
    <t>Accounting</t>
  </si>
  <si>
    <t>Opex - G&amp;A</t>
  </si>
  <si>
    <t>General Affair</t>
  </si>
  <si>
    <t>Human Resources</t>
  </si>
  <si>
    <t>Management</t>
  </si>
  <si>
    <t>Managerial</t>
  </si>
  <si>
    <t>Supervisory</t>
  </si>
  <si>
    <t>Sales &amp; Marketing</t>
  </si>
  <si>
    <t>Opex - Sales &amp; Marketing</t>
  </si>
  <si>
    <t>Kebijakan KW 2 terjual habis pada bulan produksi (1 = ya; hanya 1 yang valid dalam build ini)</t>
  </si>
  <si>
    <t>1/0</t>
  </si>
  <si>
    <t>Kebijakan keripik waste keluar tanpa persediaan dan tanpa nilai (1 = ya; hanya 1 yang valid)</t>
  </si>
  <si>
    <t>Makro</t>
  </si>
  <si>
    <t>IDR/USD</t>
  </si>
  <si>
    <t>Hari kerja</t>
  </si>
  <si>
    <t>hari</t>
  </si>
  <si>
    <t>Kapasitas</t>
  </si>
  <si>
    <t>KG basah/hari</t>
  </si>
  <si>
    <t>% kebutuhan</t>
  </si>
  <si>
    <t>realisasi Jan-Agu = 0.0% (0.0 hari cover)</t>
  </si>
  <si>
    <t>realisasi Jan-Agu = 11.7% (3.5 hari cover)</t>
  </si>
  <si>
    <t>realisasi Jan-Agu = 260.9% (78.3 hari cover)</t>
  </si>
  <si>
    <t>realisasi Jan-Agu = 215.7% (64.7 hari cover)</t>
  </si>
  <si>
    <t>realisasi Jan-Agu = 107.1% (32.1 hari cover)</t>
  </si>
  <si>
    <t>realisasi Jan-Agu = 81.8% (24.6 hari cover)</t>
  </si>
  <si>
    <t>Karton Polos FCC (kemasan IFM)</t>
  </si>
  <si>
    <t>realisasi Jan-Agu = 298.2% (89.5 hari cover)</t>
  </si>
  <si>
    <t>M3</t>
  </si>
  <si>
    <t>NRV KW 2 (Rp/kg) - sales by item Jan-Agu 2026, basis KGS</t>
  </si>
  <si>
    <t>Sales and Marketing Expenses</t>
  </si>
  <si>
    <t>11.1</t>
  </si>
  <si>
    <t>Total volume penjualan - FCC</t>
  </si>
  <si>
    <t>Proportion jual ke IFM Tanggerang</t>
  </si>
  <si>
    <t>Total Penjualan ke IFM Tangerang</t>
  </si>
  <si>
    <t>Kapasitas Maximal</t>
  </si>
  <si>
    <t>8. Delivery Expenses</t>
  </si>
  <si>
    <t>Kapasitas Max</t>
  </si>
  <si>
    <t>Kapasitas max per trip</t>
  </si>
  <si>
    <t>% Kapasitas</t>
  </si>
  <si>
    <t>Rata-rata kapasitas per trip</t>
  </si>
  <si>
    <t>Proporsi ke Tanggerang</t>
  </si>
  <si>
    <t>Total Trip - Build Up</t>
  </si>
  <si>
    <t>Kapasitas per trip</t>
  </si>
  <si>
    <t>Kapasitas max per trip - mobil</t>
  </si>
  <si>
    <t>Total Trip</t>
  </si>
  <si>
    <t>Trips</t>
  </si>
  <si>
    <t xml:space="preserve">Biaya Borongan </t>
  </si>
  <si>
    <t>IDR/Trip</t>
  </si>
  <si>
    <t>IFM - Semarang</t>
  </si>
  <si>
    <t>IFM - Tanggerang</t>
  </si>
  <si>
    <t>Biaya Borongan ke Tanggerang</t>
  </si>
  <si>
    <t>Biaya tol per trip</t>
  </si>
  <si>
    <t>% Tol</t>
  </si>
  <si>
    <t>Rata-rata trip yang melewati tol</t>
  </si>
  <si>
    <t>Total Delivery Expenses</t>
  </si>
  <si>
    <t>11.2</t>
  </si>
  <si>
    <t>Proporsi ke Semarang</t>
  </si>
  <si>
    <t>Proportion jual ke IFM Semarang</t>
  </si>
  <si>
    <t>Total Penjualan ke IFM Semarang</t>
  </si>
  <si>
    <t>Biaya Tol ke Tanggerang</t>
  </si>
  <si>
    <t>Biaya Borongan ke Semarang</t>
  </si>
  <si>
    <t>General and Administration Expenses</t>
  </si>
  <si>
    <t>Gaji kantor</t>
  </si>
  <si>
    <t>12.1</t>
  </si>
  <si>
    <t>Headcount bulanan G&amp;A</t>
  </si>
  <si>
    <t>Headcount harian G&amp;A</t>
  </si>
  <si>
    <t>Headcount bulanan Sales &amp; Marketing</t>
  </si>
  <si>
    <t>Gaji bulanan kantor (Rp/org/bln)</t>
  </si>
  <si>
    <t>9. Kebijakan grade dan persetujuan pemilik model (R2) - input KEBIJAKAN (oranye), bukan input operasional</t>
  </si>
  <si>
    <t>2c. Target rata-rata harga jual per grade</t>
  </si>
  <si>
    <t>4. Target yield tiap bahan baku</t>
  </si>
  <si>
    <t>5. Repair and maintenance</t>
  </si>
  <si>
    <t>Factory</t>
  </si>
  <si>
    <t>Terjadwal + buffer</t>
  </si>
  <si>
    <t>10. Macro economic assumptions</t>
  </si>
  <si>
    <t>11a. Minimum stock - % dari kebutuhan bahan untuk output bulan itu</t>
  </si>
  <si>
    <t>11b. Lead time pembelian (hari)</t>
  </si>
  <si>
    <t>GP Margin - FCC</t>
  </si>
  <si>
    <t>GP Margin - UbI Ungu</t>
  </si>
  <si>
    <t>Oct 26 to Dec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</si>
</sst>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1" formatCode="_-* #,##0_-;\-* #,##0_-;_-* &quot;-&quot;_-;_-@_-"/>
    <numFmt numFmtId="164" formatCode="_-* #,##0.00_-;\-* #,##0.00_-;_-* \-??_-;_-@_-"/>
    <numFmt numFmtId="165" formatCode="_-* #,##0_-;\-* #,##0_-;_-* \-_-;_-@_-"/>
    <numFmt numFmtId="166" formatCode="#,##0_);\(#,##0\);&quot; - &quot;_);@_)"/>
    <numFmt numFmtId="167" formatCode="#,##0_);[Red]\(#,##0\);\-_)"/>
    <numFmt numFmtId="168" formatCode="#,##0;\(#,##0\);\-"/>
    <numFmt numFmtId="169" formatCode="_(* #,##0_);_(* \(#,##0\);_(* \-??_);_(@_)"/>
    <numFmt numFmtId="170" formatCode="_(* #,##0,,_);_(* \(#,##0,,\);_(* \-??_);_(@_)"/>
    <numFmt numFmtId="171" formatCode="_(* #,##0.00_);_(* \(#,##0.00\);_(* \-??_);_(@_)"/>
    <numFmt numFmtId="172" formatCode="m/d/yyyy"/>
    <numFmt numFmtId="173" formatCode="0.0%"/>
    <numFmt numFmtId="174" formatCode="_(* #,##0.0_);_(* \(#,##0.0\);_(* \-??_);_(@_)"/>
    <numFmt numFmtId="175" formatCode="0.0"/>
    <numFmt numFmtId="176" formatCode="#,##0.0"/>
    <numFmt numFmtId="177" formatCode="d\-mmm\-yy"/>
    <numFmt numFmtId="178" formatCode="h:mm:ss"/>
    <numFmt numFmtId="179" formatCode="h:mm"/>
    <numFmt numFmtId="180" formatCode="_-* #,##0_-;\-* #,##0_-;_-* \-??_-;_-@_-"/>
    <numFmt numFmtId="181" formatCode="_(* #,##0.0,,_);_(* \(#,##0.0,,\);_(* \-??_);_(@_)"/>
    <numFmt numFmtId="182" formatCode="_-* #,##0.00_-;\-* #,##0.00_-;_-* \-_-;_-@_-"/>
    <numFmt numFmtId="183" formatCode="0.000%"/>
    <numFmt numFmtId="184" formatCode="_(* #,##0_);_(* \(#,##0.0\);_(* \-?_);_(@_)"/>
    <numFmt numFmtId="185" formatCode="_(* #,##0.000_);_(* \(#,##0.000\);_(* \-??_);_(@_)"/>
  </numFmts>
  <fonts count="70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0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0"/>
      <name val="Arial Narrow"/>
      <family val="2"/>
      <charset val="1"/>
    </font>
    <font>
      <i/>
      <sz val="10"/>
      <color rgb="FF000000"/>
      <name val="Arial"/>
      <family val="2"/>
      <charset val="1"/>
    </font>
    <font>
      <sz val="8"/>
      <color rgb="FF993366"/>
      <name val="Arial Narrow"/>
      <family val="2"/>
      <charset val="1"/>
    </font>
    <font>
      <u/>
      <sz val="12"/>
      <color theme="10"/>
      <name val="Calibri"/>
      <family val="2"/>
      <charset val="1"/>
    </font>
    <font>
      <sz val="10"/>
      <color theme="1"/>
      <name val="Arial Narrow"/>
      <family val="2"/>
      <charset val="1"/>
    </font>
    <font>
      <sz val="11"/>
      <name val="Arial"/>
      <family val="2"/>
      <charset val="1"/>
    </font>
    <font>
      <sz val="8"/>
      <color theme="1"/>
      <name val="Calibri"/>
      <family val="2"/>
      <charset val="1"/>
    </font>
    <font>
      <b/>
      <sz val="11"/>
      <color rgb="FF000000"/>
      <name val="Tahoma"/>
      <family val="2"/>
      <charset val="1"/>
    </font>
    <font>
      <b/>
      <sz val="16"/>
      <color rgb="FF800000"/>
      <name val="Arial"/>
      <family val="2"/>
      <charset val="1"/>
    </font>
    <font>
      <sz val="8"/>
      <color rgb="FFFF0000"/>
      <name val="Arial"/>
      <family val="2"/>
      <charset val="1"/>
    </font>
    <font>
      <b/>
      <sz val="10"/>
      <color rgb="FF000000"/>
      <name val="Tahoma"/>
      <family val="2"/>
      <charset val="1"/>
    </font>
    <font>
      <sz val="8"/>
      <color rgb="FF000000"/>
      <name val="Arial"/>
      <family val="2"/>
      <charset val="1"/>
    </font>
    <font>
      <b/>
      <sz val="9"/>
      <color rgb="FF000080"/>
      <name val="Arial"/>
      <family val="2"/>
      <charset val="1"/>
    </font>
    <font>
      <b/>
      <sz val="8"/>
      <color rgb="FF000000"/>
      <name val="Arial"/>
      <family val="2"/>
      <charset val="1"/>
    </font>
    <font>
      <b/>
      <sz val="12"/>
      <name val="Arial Narrow"/>
      <family val="2"/>
      <charset val="1"/>
    </font>
    <font>
      <i/>
      <sz val="10"/>
      <color rgb="FF595959"/>
      <name val="Arial Narrow"/>
      <family val="2"/>
      <charset val="1"/>
    </font>
    <font>
      <i/>
      <sz val="10"/>
      <color rgb="FFC00000"/>
      <name val="Arial Narrow"/>
      <family val="2"/>
      <charset val="1"/>
    </font>
    <font>
      <b/>
      <sz val="11"/>
      <color rgb="FFFFFFFF"/>
      <name val="Arial Narrow"/>
      <family val="2"/>
      <charset val="1"/>
    </font>
    <font>
      <sz val="10"/>
      <color rgb="FF0000FF"/>
      <name val="Arial Narrow"/>
      <family val="2"/>
      <charset val="1"/>
    </font>
    <font>
      <b/>
      <sz val="10"/>
      <name val="Arial Narrow"/>
      <family val="2"/>
      <charset val="1"/>
    </font>
    <font>
      <sz val="10"/>
      <color rgb="FF000000"/>
      <name val="Arial Narrow"/>
      <family val="2"/>
      <charset val="1"/>
    </font>
    <font>
      <sz val="10"/>
      <color rgb="FFC00000"/>
      <name val="Arial Narrow"/>
      <family val="2"/>
      <charset val="1"/>
    </font>
    <font>
      <sz val="10"/>
      <color rgb="FF808080"/>
      <name val="Arial Narrow"/>
      <family val="2"/>
      <charset val="1"/>
    </font>
    <font>
      <b/>
      <sz val="10"/>
      <color theme="1"/>
      <name val="Arial Narrow"/>
      <family val="2"/>
      <charset val="1"/>
    </font>
    <font>
      <i/>
      <sz val="10"/>
      <color theme="1"/>
      <name val="Arial Narrow"/>
      <family val="2"/>
      <charset val="1"/>
    </font>
    <font>
      <b/>
      <sz val="10"/>
      <color theme="0"/>
      <name val="Arial"/>
      <family val="2"/>
      <charset val="1"/>
    </font>
    <font>
      <sz val="10"/>
      <color theme="0"/>
      <name val="Arial Narrow"/>
      <family val="2"/>
      <charset val="1"/>
    </font>
    <font>
      <b/>
      <sz val="10"/>
      <color theme="0"/>
      <name val="Arial Narrow"/>
      <family val="2"/>
      <charset val="1"/>
    </font>
    <font>
      <i/>
      <sz val="8"/>
      <color rgb="FF595959"/>
      <name val="Arial"/>
      <family val="2"/>
      <charset val="1"/>
    </font>
    <font>
      <b/>
      <sz val="10"/>
      <color theme="2" tint="-9.9978637043366805E-2"/>
      <name val="Arial Narrow"/>
      <family val="2"/>
      <charset val="1"/>
    </font>
    <font>
      <b/>
      <u/>
      <sz val="10"/>
      <color theme="1"/>
      <name val="Arial Narrow"/>
      <family val="2"/>
      <charset val="1"/>
    </font>
    <font>
      <sz val="10"/>
      <color theme="1"/>
      <name val="Arial"/>
      <family val="2"/>
      <charset val="1"/>
    </font>
    <font>
      <sz val="10"/>
      <color rgb="FFFF0000"/>
      <name val="Arial Narrow"/>
      <family val="2"/>
      <charset val="1"/>
    </font>
    <font>
      <i/>
      <u/>
      <sz val="10"/>
      <color theme="1"/>
      <name val="Arial Narrow"/>
      <family val="2"/>
      <charset val="1"/>
    </font>
    <font>
      <sz val="11"/>
      <color rgb="FF0000FF"/>
      <name val="Calibri"/>
      <family val="2"/>
      <charset val="1"/>
    </font>
    <font>
      <i/>
      <sz val="11"/>
      <color theme="1"/>
      <name val="Calibri"/>
      <family val="2"/>
      <charset val="1"/>
    </font>
    <font>
      <i/>
      <u/>
      <sz val="11"/>
      <color theme="1"/>
      <name val="Calibri"/>
      <family val="2"/>
      <charset val="1"/>
    </font>
    <font>
      <i/>
      <sz val="9"/>
      <name val="Arial Narrow"/>
      <charset val="1"/>
    </font>
    <font>
      <i/>
      <sz val="10"/>
      <name val="Arial Narrow"/>
      <charset val="1"/>
    </font>
    <font>
      <sz val="9"/>
      <color rgb="FF000000"/>
      <name val="Arial Narrow"/>
      <family val="2"/>
      <charset val="1"/>
    </font>
    <font>
      <sz val="9"/>
      <color rgb="FF0000FF"/>
      <name val="Arial Narrow"/>
      <family val="2"/>
      <charset val="1"/>
    </font>
    <font>
      <b/>
      <sz val="9"/>
      <name val="Arial Narrow"/>
      <family val="2"/>
      <charset val="1"/>
    </font>
    <font>
      <sz val="10"/>
      <color theme="8" tint="-0.249977111117893"/>
      <name val="Arial Narrow"/>
      <family val="2"/>
      <charset val="1"/>
    </font>
    <font>
      <b/>
      <sz val="10"/>
      <color theme="8" tint="-0.249977111117893"/>
      <name val="Arial Narrow"/>
      <family val="2"/>
      <charset val="1"/>
    </font>
    <font>
      <b/>
      <sz val="11"/>
      <color theme="1"/>
      <name val="Calibri"/>
      <family val="2"/>
      <charset val="1"/>
    </font>
    <font>
      <b/>
      <i/>
      <sz val="10"/>
      <color theme="1"/>
      <name val="Arial Narrow"/>
      <family val="2"/>
      <charset val="1"/>
    </font>
    <font>
      <b/>
      <sz val="10"/>
      <name val="Arial Narrow"/>
      <charset val="1"/>
    </font>
    <font>
      <sz val="10"/>
      <name val="Arial Narrow"/>
      <charset val="1"/>
    </font>
    <font>
      <b/>
      <i/>
      <u/>
      <sz val="10"/>
      <color theme="1"/>
      <name val="Arial Narrow"/>
      <family val="2"/>
      <charset val="1"/>
    </font>
    <font>
      <sz val="11"/>
      <name val="Arial Narrow"/>
      <family val="2"/>
      <charset val="1"/>
    </font>
    <font>
      <sz val="8"/>
      <color theme="1"/>
      <name val="Arial"/>
      <family val="2"/>
      <charset val="1"/>
    </font>
    <font>
      <b/>
      <sz val="8"/>
      <color theme="1"/>
      <name val="Arial"/>
      <family val="2"/>
      <charset val="1"/>
    </font>
    <font>
      <b/>
      <sz val="12"/>
      <color theme="1"/>
      <name val="Arial"/>
      <family val="2"/>
      <charset val="1"/>
    </font>
    <font>
      <sz val="9"/>
      <color theme="1"/>
      <name val="Arial"/>
      <family val="2"/>
      <charset val="1"/>
    </font>
    <font>
      <sz val="10"/>
      <name val="Arial"/>
      <family val="2"/>
    </font>
    <font>
      <b/>
      <sz val="11"/>
      <name val="Arial Narrow"/>
      <family val="2"/>
      <charset val="1"/>
    </font>
    <font>
      <i/>
      <sz val="9"/>
      <color rgb="FF595959"/>
      <name val="Arial Narrow"/>
      <family val="2"/>
      <charset val="1"/>
    </font>
    <font>
      <b/>
      <sz val="10"/>
      <color rgb="FFC00000"/>
      <name val="Arial Narrow"/>
      <family val="2"/>
      <charset val="1"/>
    </font>
    <font>
      <b/>
      <sz val="10"/>
      <color rgb="FFFFFFFF"/>
      <name val="Arial Narrow"/>
      <family val="2"/>
      <charset val="1"/>
    </font>
    <font>
      <i/>
      <sz val="10"/>
      <name val="Arial Narrow"/>
      <family val="2"/>
      <charset val="1"/>
    </font>
    <font>
      <i/>
      <sz val="10"/>
      <color rgb="FF548235"/>
      <name val="Arial Narrow"/>
      <family val="2"/>
      <charset val="1"/>
    </font>
    <font>
      <i/>
      <sz val="10"/>
      <color rgb="FF7F6000"/>
      <name val="Arial Narrow"/>
      <family val="2"/>
      <charset val="1"/>
    </font>
    <font>
      <i/>
      <sz val="10"/>
      <color rgb="FFFFFFFF"/>
      <name val="Arial Narrow"/>
      <family val="2"/>
      <charset val="1"/>
    </font>
    <font>
      <sz val="11"/>
      <color theme="1"/>
      <name val="Calibri"/>
      <family val="2"/>
      <charset val="1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D9E2F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2F0D9"/>
      </patternFill>
    </fill>
    <fill>
      <patternFill patternType="solid">
        <fgColor theme="0" tint="-0.499984740745262"/>
        <bgColor rgb="FF7F7F7F"/>
      </patternFill>
    </fill>
    <fill>
      <patternFill patternType="solid">
        <fgColor rgb="FFD9D9D9"/>
        <bgColor rgb="FFD0CECE"/>
      </patternFill>
    </fill>
    <fill>
      <patternFill patternType="solid">
        <fgColor theme="0"/>
        <bgColor rgb="FFF2F2F2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theme="9" tint="0.79989013336588644"/>
        <bgColor rgb="FFE2EFDA"/>
      </patternFill>
    </fill>
    <fill>
      <patternFill patternType="solid">
        <fgColor theme="1" tint="0.49949644459364606"/>
        <bgColor rgb="FF808080"/>
      </patternFill>
    </fill>
    <fill>
      <patternFill patternType="solid">
        <fgColor theme="0" tint="-0.34998626667073579"/>
        <bgColor rgb="FFBFBFBF"/>
      </patternFill>
    </fill>
    <fill>
      <patternFill patternType="solid">
        <fgColor rgb="FFFFFF00"/>
        <bgColor rgb="FFFFF2CC"/>
      </patternFill>
    </fill>
    <fill>
      <patternFill patternType="solid">
        <fgColor theme="2"/>
        <bgColor rgb="FFEDEDED"/>
      </patternFill>
    </fill>
    <fill>
      <patternFill patternType="solid">
        <fgColor rgb="FFD9E2F3"/>
        <bgColor rgb="FFDDEBF7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2">
    <xf numFmtId="0" fontId="0" fillId="0" borderId="0"/>
    <xf numFmtId="164" fontId="1" fillId="0" borderId="0"/>
    <xf numFmtId="164" fontId="67" fillId="0" borderId="0"/>
    <xf numFmtId="164" fontId="2" fillId="0" borderId="0"/>
    <xf numFmtId="164" fontId="67" fillId="0" borderId="0"/>
    <xf numFmtId="164" fontId="67" fillId="0" borderId="0"/>
    <xf numFmtId="165" fontId="2" fillId="0" borderId="0"/>
    <xf numFmtId="165" fontId="1" fillId="0" borderId="0"/>
    <xf numFmtId="165" fontId="3" fillId="0" borderId="0"/>
    <xf numFmtId="166" fontId="4" fillId="0" borderId="0">
      <alignment horizontal="right" vertical="top"/>
    </xf>
    <xf numFmtId="167" fontId="5" fillId="0" borderId="0"/>
    <xf numFmtId="168" fontId="6" fillId="0" borderId="0">
      <alignment horizontal="left" vertical="top"/>
    </xf>
    <xf numFmtId="0" fontId="4" fillId="0" borderId="0">
      <alignment horizontal="left" vertical="top" wrapText="1"/>
    </xf>
    <xf numFmtId="0" fontId="7" fillId="0" borderId="0"/>
    <xf numFmtId="0" fontId="1" fillId="0" borderId="0"/>
    <xf numFmtId="0" fontId="67" fillId="0" borderId="0"/>
    <xf numFmtId="0" fontId="1" fillId="0" borderId="0"/>
    <xf numFmtId="0" fontId="67" fillId="0" borderId="0"/>
    <xf numFmtId="0" fontId="8" fillId="0" borderId="0"/>
    <xf numFmtId="0" fontId="67" fillId="0" borderId="0"/>
    <xf numFmtId="0" fontId="67" fillId="0" borderId="0"/>
    <xf numFmtId="0" fontId="67" fillId="0" borderId="0"/>
    <xf numFmtId="0" fontId="1" fillId="0" borderId="0"/>
    <xf numFmtId="0" fontId="9" fillId="0" borderId="0"/>
    <xf numFmtId="0" fontId="67" fillId="0" borderId="0"/>
    <xf numFmtId="9" fontId="67" fillId="0" borderId="0"/>
    <xf numFmtId="9" fontId="10" fillId="0" borderId="0"/>
    <xf numFmtId="9" fontId="67" fillId="0" borderId="0"/>
    <xf numFmtId="9" fontId="67" fillId="0" borderId="0"/>
    <xf numFmtId="9" fontId="2" fillId="0" borderId="0"/>
    <xf numFmtId="9" fontId="67" fillId="0" borderId="0"/>
    <xf numFmtId="4" fontId="11" fillId="0" borderId="0">
      <alignment horizontal="center" vertical="top"/>
    </xf>
    <xf numFmtId="4" fontId="12" fillId="0" borderId="0">
      <alignment horizontal="center" vertical="top"/>
    </xf>
    <xf numFmtId="4" fontId="13" fillId="0" borderId="0">
      <alignment horizontal="left" vertical="top"/>
    </xf>
    <xf numFmtId="4" fontId="14" fillId="0" borderId="0">
      <alignment horizontal="center" vertical="top"/>
    </xf>
    <xf numFmtId="4" fontId="15" fillId="0" borderId="0">
      <alignment horizontal="right" vertical="top"/>
    </xf>
    <xf numFmtId="4" fontId="16" fillId="0" borderId="0">
      <alignment horizontal="center" vertical="top"/>
    </xf>
    <xf numFmtId="4" fontId="15" fillId="0" borderId="0">
      <alignment horizontal="left" vertical="top"/>
    </xf>
    <xf numFmtId="4" fontId="17" fillId="0" borderId="0">
      <alignment horizontal="left" vertical="top"/>
    </xf>
    <xf numFmtId="4" fontId="17" fillId="0" borderId="0">
      <alignment horizontal="left" vertical="top"/>
    </xf>
    <xf numFmtId="4" fontId="15" fillId="0" borderId="0">
      <alignment horizontal="left" vertical="top"/>
    </xf>
    <xf numFmtId="4" fontId="17" fillId="0" borderId="0">
      <alignment horizontal="right" vertical="top"/>
    </xf>
  </cellStyleXfs>
  <cellXfs count="298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2" borderId="0" xfId="0" applyFont="1" applyFill="1"/>
    <xf numFmtId="0" fontId="23" fillId="3" borderId="0" xfId="0" applyFont="1" applyFill="1"/>
    <xf numFmtId="0" fontId="23" fillId="0" borderId="0" xfId="0" applyFont="1"/>
    <xf numFmtId="0" fontId="4" fillId="0" borderId="0" xfId="0" applyFont="1"/>
    <xf numFmtId="169" fontId="24" fillId="0" borderId="0" xfId="0" applyNumberFormat="1" applyFont="1"/>
    <xf numFmtId="171" fontId="26" fillId="0" borderId="0" xfId="0" applyNumberFormat="1" applyFont="1"/>
    <xf numFmtId="171" fontId="22" fillId="6" borderId="0" xfId="0" applyNumberFormat="1" applyFont="1" applyFill="1"/>
    <xf numFmtId="10" fontId="24" fillId="3" borderId="0" xfId="0" applyNumberFormat="1" applyFont="1" applyFill="1"/>
    <xf numFmtId="0" fontId="0" fillId="0" borderId="0" xfId="0" applyAlignment="1">
      <alignment wrapText="1"/>
    </xf>
    <xf numFmtId="0" fontId="0" fillId="2" borderId="0" xfId="0" applyFill="1"/>
    <xf numFmtId="0" fontId="29" fillId="7" borderId="0" xfId="0" applyFont="1" applyFill="1"/>
    <xf numFmtId="0" fontId="30" fillId="7" borderId="0" xfId="0" applyFont="1" applyFill="1"/>
    <xf numFmtId="0" fontId="30" fillId="7" borderId="0" xfId="0" applyFont="1" applyFill="1" applyAlignment="1">
      <alignment horizontal="center"/>
    </xf>
    <xf numFmtId="17" fontId="31" fillId="7" borderId="0" xfId="0" applyNumberFormat="1" applyFont="1" applyFill="1" applyAlignment="1">
      <alignment horizontal="center"/>
    </xf>
    <xf numFmtId="0" fontId="27" fillId="8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31" fillId="7" borderId="0" xfId="0" applyFont="1" applyFill="1" applyAlignment="1">
      <alignment horizontal="center"/>
    </xf>
    <xf numFmtId="0" fontId="8" fillId="9" borderId="0" xfId="0" applyFont="1" applyFill="1"/>
    <xf numFmtId="0" fontId="8" fillId="9" borderId="0" xfId="0" applyFont="1" applyFill="1" applyAlignment="1">
      <alignment horizontal="center"/>
    </xf>
    <xf numFmtId="172" fontId="30" fillId="9" borderId="0" xfId="0" applyNumberFormat="1" applyFont="1" applyFill="1"/>
    <xf numFmtId="0" fontId="27" fillId="10" borderId="1" xfId="0" applyFont="1" applyFill="1" applyBorder="1"/>
    <xf numFmtId="0" fontId="8" fillId="10" borderId="1" xfId="0" applyFont="1" applyFill="1" applyBorder="1" applyAlignment="1">
      <alignment horizontal="center"/>
    </xf>
    <xf numFmtId="0" fontId="27" fillId="10" borderId="1" xfId="0" applyFont="1" applyFill="1" applyBorder="1" applyAlignment="1">
      <alignment horizontal="center"/>
    </xf>
    <xf numFmtId="0" fontId="8" fillId="10" borderId="1" xfId="0" applyFont="1" applyFill="1" applyBorder="1"/>
    <xf numFmtId="0" fontId="27" fillId="9" borderId="0" xfId="0" applyFont="1" applyFill="1"/>
    <xf numFmtId="171" fontId="8" fillId="9" borderId="0" xfId="0" applyNumberFormat="1" applyFont="1" applyFill="1"/>
    <xf numFmtId="164" fontId="8" fillId="9" borderId="0" xfId="0" applyNumberFormat="1" applyFont="1" applyFill="1"/>
    <xf numFmtId="169" fontId="8" fillId="9" borderId="0" xfId="0" applyNumberFormat="1" applyFont="1" applyFill="1"/>
    <xf numFmtId="9" fontId="1" fillId="0" borderId="0" xfId="0" applyNumberFormat="1" applyFont="1"/>
    <xf numFmtId="0" fontId="8" fillId="9" borderId="0" xfId="0" applyFont="1" applyFill="1" applyAlignment="1">
      <alignment horizontal="left"/>
    </xf>
    <xf numFmtId="9" fontId="8" fillId="9" borderId="0" xfId="0" applyNumberFormat="1" applyFont="1" applyFill="1"/>
    <xf numFmtId="169" fontId="0" fillId="0" borderId="0" xfId="0" applyNumberFormat="1"/>
    <xf numFmtId="0" fontId="8" fillId="9" borderId="0" xfId="0" applyFont="1" applyFill="1" applyAlignment="1">
      <alignment horizontal="left" indent="1"/>
    </xf>
    <xf numFmtId="0" fontId="27" fillId="9" borderId="1" xfId="0" applyFont="1" applyFill="1" applyBorder="1"/>
    <xf numFmtId="0" fontId="27" fillId="9" borderId="1" xfId="0" applyFont="1" applyFill="1" applyBorder="1" applyAlignment="1">
      <alignment horizontal="center"/>
    </xf>
    <xf numFmtId="9" fontId="27" fillId="9" borderId="1" xfId="0" applyNumberFormat="1" applyFont="1" applyFill="1" applyBorder="1"/>
    <xf numFmtId="169" fontId="27" fillId="9" borderId="1" xfId="0" applyNumberFormat="1" applyFont="1" applyFill="1" applyBorder="1"/>
    <xf numFmtId="169" fontId="27" fillId="9" borderId="0" xfId="0" applyNumberFormat="1" applyFont="1" applyFill="1"/>
    <xf numFmtId="9" fontId="32" fillId="9" borderId="0" xfId="0" applyNumberFormat="1" applyFont="1" applyFill="1"/>
    <xf numFmtId="0" fontId="33" fillId="9" borderId="0" xfId="0" applyFont="1" applyFill="1"/>
    <xf numFmtId="0" fontId="33" fillId="9" borderId="0" xfId="0" applyFont="1" applyFill="1" applyAlignment="1">
      <alignment horizontal="center"/>
    </xf>
    <xf numFmtId="9" fontId="33" fillId="9" borderId="0" xfId="0" applyNumberFormat="1" applyFont="1" applyFill="1"/>
    <xf numFmtId="9" fontId="0" fillId="0" borderId="0" xfId="0" applyNumberFormat="1"/>
    <xf numFmtId="169" fontId="8" fillId="11" borderId="0" xfId="0" applyNumberFormat="1" applyFont="1" applyFill="1"/>
    <xf numFmtId="0" fontId="8" fillId="9" borderId="1" xfId="0" applyFont="1" applyFill="1" applyBorder="1"/>
    <xf numFmtId="9" fontId="8" fillId="9" borderId="1" xfId="0" applyNumberFormat="1" applyFont="1" applyFill="1" applyBorder="1"/>
    <xf numFmtId="169" fontId="8" fillId="9" borderId="1" xfId="0" applyNumberFormat="1" applyFont="1" applyFill="1" applyBorder="1"/>
    <xf numFmtId="0" fontId="27" fillId="9" borderId="2" xfId="0" applyFont="1" applyFill="1" applyBorder="1"/>
    <xf numFmtId="0" fontId="8" fillId="9" borderId="2" xfId="0" applyFont="1" applyFill="1" applyBorder="1"/>
    <xf numFmtId="9" fontId="27" fillId="9" borderId="2" xfId="0" applyNumberFormat="1" applyFont="1" applyFill="1" applyBorder="1"/>
    <xf numFmtId="169" fontId="27" fillId="9" borderId="2" xfId="0" applyNumberFormat="1" applyFont="1" applyFill="1" applyBorder="1"/>
    <xf numFmtId="169" fontId="8" fillId="9" borderId="3" xfId="0" applyNumberFormat="1" applyFont="1" applyFill="1" applyBorder="1"/>
    <xf numFmtId="0" fontId="27" fillId="9" borderId="0" xfId="0" applyFont="1" applyFill="1" applyAlignment="1">
      <alignment horizontal="center"/>
    </xf>
    <xf numFmtId="173" fontId="8" fillId="9" borderId="0" xfId="0" applyNumberFormat="1" applyFont="1" applyFill="1"/>
    <xf numFmtId="0" fontId="34" fillId="9" borderId="0" xfId="0" applyFont="1" applyFill="1"/>
    <xf numFmtId="0" fontId="19" fillId="9" borderId="0" xfId="0" applyFont="1" applyFill="1"/>
    <xf numFmtId="170" fontId="8" fillId="9" borderId="0" xfId="0" applyNumberFormat="1" applyFont="1" applyFill="1"/>
    <xf numFmtId="0" fontId="20" fillId="9" borderId="0" xfId="0" applyFont="1" applyFill="1"/>
    <xf numFmtId="0" fontId="35" fillId="9" borderId="0" xfId="0" applyFont="1" applyFill="1"/>
    <xf numFmtId="0" fontId="35" fillId="9" borderId="0" xfId="0" applyFont="1" applyFill="1" applyAlignment="1">
      <alignment horizontal="left" indent="2"/>
    </xf>
    <xf numFmtId="0" fontId="35" fillId="9" borderId="0" xfId="0" applyFont="1" applyFill="1" applyAlignment="1">
      <alignment horizontal="left" indent="1"/>
    </xf>
    <xf numFmtId="169" fontId="22" fillId="5" borderId="0" xfId="0" applyNumberFormat="1" applyFont="1" applyFill="1"/>
    <xf numFmtId="0" fontId="4" fillId="9" borderId="0" xfId="0" applyFont="1" applyFill="1"/>
    <xf numFmtId="0" fontId="4" fillId="9" borderId="0" xfId="0" applyFont="1" applyFill="1" applyAlignment="1">
      <alignment horizontal="center"/>
    </xf>
    <xf numFmtId="0" fontId="32" fillId="9" borderId="0" xfId="0" applyFont="1" applyFill="1"/>
    <xf numFmtId="169" fontId="4" fillId="9" borderId="0" xfId="0" applyNumberFormat="1" applyFont="1" applyFill="1"/>
    <xf numFmtId="0" fontId="4" fillId="9" borderId="0" xfId="0" applyFont="1" applyFill="1" applyAlignment="1">
      <alignment horizontal="left" indent="1"/>
    </xf>
    <xf numFmtId="0" fontId="23" fillId="9" borderId="0" xfId="0" applyFont="1" applyFill="1"/>
    <xf numFmtId="0" fontId="23" fillId="9" borderId="0" xfId="0" applyFont="1" applyFill="1" applyAlignment="1">
      <alignment horizontal="center"/>
    </xf>
    <xf numFmtId="169" fontId="23" fillId="9" borderId="0" xfId="0" applyNumberFormat="1" applyFont="1" applyFill="1"/>
    <xf numFmtId="0" fontId="4" fillId="9" borderId="0" xfId="0" applyFont="1" applyFill="1" applyAlignment="1">
      <alignment horizontal="left" indent="2"/>
    </xf>
    <xf numFmtId="0" fontId="36" fillId="9" borderId="0" xfId="0" applyFont="1" applyFill="1"/>
    <xf numFmtId="169" fontId="36" fillId="9" borderId="0" xfId="0" applyNumberFormat="1" applyFont="1" applyFill="1"/>
    <xf numFmtId="0" fontId="37" fillId="9" borderId="0" xfId="0" applyFont="1" applyFill="1"/>
    <xf numFmtId="174" fontId="8" fillId="9" borderId="0" xfId="0" applyNumberFormat="1" applyFont="1" applyFill="1"/>
    <xf numFmtId="0" fontId="0" fillId="9" borderId="0" xfId="0" applyFill="1"/>
    <xf numFmtId="175" fontId="8" fillId="9" borderId="0" xfId="0" applyNumberFormat="1" applyFont="1" applyFill="1" applyAlignment="1">
      <alignment horizontal="left" indent="1"/>
    </xf>
    <xf numFmtId="175" fontId="8" fillId="5" borderId="0" xfId="0" applyNumberFormat="1" applyFont="1" applyFill="1" applyAlignment="1">
      <alignment horizontal="left" indent="1"/>
    </xf>
    <xf numFmtId="175" fontId="0" fillId="9" borderId="0" xfId="0" applyNumberFormat="1" applyFill="1"/>
    <xf numFmtId="175" fontId="0" fillId="5" borderId="0" xfId="0" applyNumberFormat="1" applyFill="1"/>
    <xf numFmtId="169" fontId="0" fillId="9" borderId="0" xfId="0" applyNumberFormat="1" applyFill="1"/>
    <xf numFmtId="9" fontId="38" fillId="5" borderId="0" xfId="0" applyNumberFormat="1" applyFont="1" applyFill="1"/>
    <xf numFmtId="169" fontId="0" fillId="9" borderId="2" xfId="0" applyNumberFormat="1" applyFill="1" applyBorder="1"/>
    <xf numFmtId="174" fontId="0" fillId="9" borderId="0" xfId="0" applyNumberFormat="1" applyFill="1"/>
    <xf numFmtId="0" fontId="39" fillId="9" borderId="0" xfId="0" applyFont="1" applyFill="1"/>
    <xf numFmtId="173" fontId="0" fillId="9" borderId="0" xfId="0" applyNumberFormat="1" applyFill="1"/>
    <xf numFmtId="173" fontId="0" fillId="9" borderId="2" xfId="0" applyNumberFormat="1" applyFill="1" applyBorder="1"/>
    <xf numFmtId="0" fontId="40" fillId="9" borderId="0" xfId="0" applyFont="1" applyFill="1"/>
    <xf numFmtId="169" fontId="38" fillId="5" borderId="0" xfId="0" applyNumberFormat="1" applyFont="1" applyFill="1"/>
    <xf numFmtId="176" fontId="0" fillId="0" borderId="0" xfId="0" applyNumberFormat="1"/>
    <xf numFmtId="173" fontId="0" fillId="0" borderId="0" xfId="0" applyNumberFormat="1"/>
    <xf numFmtId="3" fontId="0" fillId="0" borderId="0" xfId="0" applyNumberFormat="1"/>
    <xf numFmtId="0" fontId="41" fillId="0" borderId="0" xfId="0" applyFont="1"/>
    <xf numFmtId="176" fontId="42" fillId="0" borderId="4" xfId="0" applyNumberFormat="1" applyFont="1" applyBorder="1"/>
    <xf numFmtId="4" fontId="0" fillId="0" borderId="0" xfId="0" applyNumberFormat="1"/>
    <xf numFmtId="17" fontId="23" fillId="6" borderId="0" xfId="0" applyNumberFormat="1" applyFont="1" applyFill="1" applyAlignment="1">
      <alignment horizontal="center"/>
    </xf>
    <xf numFmtId="17" fontId="23" fillId="3" borderId="0" xfId="0" applyNumberFormat="1" applyFont="1" applyFill="1" applyAlignment="1">
      <alignment horizontal="center"/>
    </xf>
    <xf numFmtId="0" fontId="23" fillId="6" borderId="0" xfId="0" applyFont="1" applyFill="1"/>
    <xf numFmtId="0" fontId="43" fillId="0" borderId="0" xfId="0" applyFont="1"/>
    <xf numFmtId="0" fontId="44" fillId="0" borderId="0" xfId="0" applyFont="1"/>
    <xf numFmtId="172" fontId="43" fillId="0" borderId="0" xfId="0" applyNumberFormat="1" applyFont="1"/>
    <xf numFmtId="169" fontId="44" fillId="6" borderId="0" xfId="0" applyNumberFormat="1" applyFont="1" applyFill="1"/>
    <xf numFmtId="175" fontId="24" fillId="0" borderId="0" xfId="0" applyNumberFormat="1" applyFont="1"/>
    <xf numFmtId="169" fontId="45" fillId="0" borderId="0" xfId="0" applyNumberFormat="1" applyFont="1"/>
    <xf numFmtId="17" fontId="23" fillId="3" borderId="0" xfId="0" applyNumberFormat="1" applyFont="1" applyFill="1"/>
    <xf numFmtId="169" fontId="24" fillId="3" borderId="0" xfId="0" applyNumberFormat="1" applyFont="1" applyFill="1"/>
    <xf numFmtId="169" fontId="23" fillId="0" borderId="0" xfId="0" applyNumberFormat="1" applyFont="1"/>
    <xf numFmtId="0" fontId="29" fillId="12" borderId="0" xfId="0" applyFont="1" applyFill="1"/>
    <xf numFmtId="0" fontId="30" fillId="12" borderId="0" xfId="0" applyFont="1" applyFill="1"/>
    <xf numFmtId="0" fontId="8" fillId="12" borderId="0" xfId="0" applyFont="1" applyFill="1"/>
    <xf numFmtId="0" fontId="30" fillId="12" borderId="0" xfId="0" applyFont="1" applyFill="1" applyAlignment="1">
      <alignment horizontal="center"/>
    </xf>
    <xf numFmtId="164" fontId="31" fillId="12" borderId="0" xfId="0" applyNumberFormat="1" applyFont="1" applyFill="1"/>
    <xf numFmtId="0" fontId="31" fillId="12" borderId="0" xfId="0" applyFont="1" applyFill="1" applyAlignment="1">
      <alignment horizontal="center"/>
    </xf>
    <xf numFmtId="177" fontId="27" fillId="8" borderId="0" xfId="0" applyNumberFormat="1" applyFont="1" applyFill="1"/>
    <xf numFmtId="177" fontId="31" fillId="12" borderId="0" xfId="0" applyNumberFormat="1" applyFont="1" applyFill="1"/>
    <xf numFmtId="0" fontId="27" fillId="13" borderId="1" xfId="0" applyFont="1" applyFill="1" applyBorder="1"/>
    <xf numFmtId="0" fontId="8" fillId="13" borderId="1" xfId="0" applyFont="1" applyFill="1" applyBorder="1" applyAlignment="1">
      <alignment horizontal="center"/>
    </xf>
    <xf numFmtId="0" fontId="8" fillId="13" borderId="1" xfId="0" applyFont="1" applyFill="1" applyBorder="1"/>
    <xf numFmtId="173" fontId="46" fillId="9" borderId="5" xfId="0" applyNumberFormat="1" applyFont="1" applyFill="1" applyBorder="1"/>
    <xf numFmtId="173" fontId="22" fillId="4" borderId="5" xfId="0" applyNumberFormat="1" applyFont="1" applyFill="1" applyBorder="1"/>
    <xf numFmtId="164" fontId="46" fillId="9" borderId="5" xfId="0" applyNumberFormat="1" applyFont="1" applyFill="1" applyBorder="1"/>
    <xf numFmtId="164" fontId="4" fillId="0" borderId="5" xfId="0" applyNumberFormat="1" applyFont="1" applyBorder="1"/>
    <xf numFmtId="173" fontId="4" fillId="0" borderId="5" xfId="0" applyNumberFormat="1" applyFont="1" applyBorder="1"/>
    <xf numFmtId="164" fontId="24" fillId="0" borderId="5" xfId="0" applyNumberFormat="1" applyFont="1" applyBorder="1"/>
    <xf numFmtId="178" fontId="8" fillId="9" borderId="0" xfId="0" applyNumberFormat="1" applyFont="1" applyFill="1"/>
    <xf numFmtId="0" fontId="46" fillId="9" borderId="0" xfId="0" applyFont="1" applyFill="1"/>
    <xf numFmtId="173" fontId="26" fillId="9" borderId="5" xfId="0" applyNumberFormat="1" applyFont="1" applyFill="1" applyBorder="1"/>
    <xf numFmtId="164" fontId="26" fillId="9" borderId="5" xfId="0" applyNumberFormat="1" applyFont="1" applyFill="1" applyBorder="1"/>
    <xf numFmtId="169" fontId="46" fillId="9" borderId="5" xfId="0" applyNumberFormat="1" applyFont="1" applyFill="1" applyBorder="1"/>
    <xf numFmtId="169" fontId="26" fillId="9" borderId="5" xfId="0" applyNumberFormat="1" applyFont="1" applyFill="1" applyBorder="1"/>
    <xf numFmtId="179" fontId="27" fillId="9" borderId="0" xfId="0" applyNumberFormat="1" applyFont="1" applyFill="1"/>
    <xf numFmtId="169" fontId="8" fillId="9" borderId="5" xfId="0" applyNumberFormat="1" applyFont="1" applyFill="1" applyBorder="1"/>
    <xf numFmtId="169" fontId="8" fillId="0" borderId="5" xfId="0" applyNumberFormat="1" applyFont="1" applyBorder="1"/>
    <xf numFmtId="169" fontId="8" fillId="14" borderId="5" xfId="0" applyNumberFormat="1" applyFont="1" applyFill="1" applyBorder="1"/>
    <xf numFmtId="169" fontId="27" fillId="9" borderId="5" xfId="0" applyNumberFormat="1" applyFont="1" applyFill="1" applyBorder="1"/>
    <xf numFmtId="169" fontId="8" fillId="6" borderId="5" xfId="0" applyNumberFormat="1" applyFont="1" applyFill="1" applyBorder="1"/>
    <xf numFmtId="169" fontId="4" fillId="0" borderId="5" xfId="0" applyNumberFormat="1" applyFont="1" applyBorder="1"/>
    <xf numFmtId="173" fontId="8" fillId="6" borderId="5" xfId="0" applyNumberFormat="1" applyFont="1" applyFill="1" applyBorder="1"/>
    <xf numFmtId="173" fontId="46" fillId="6" borderId="5" xfId="0" applyNumberFormat="1" applyFont="1" applyFill="1" applyBorder="1"/>
    <xf numFmtId="178" fontId="27" fillId="9" borderId="0" xfId="0" applyNumberFormat="1" applyFont="1" applyFill="1"/>
    <xf numFmtId="169" fontId="47" fillId="9" borderId="5" xfId="0" applyNumberFormat="1" applyFont="1" applyFill="1" applyBorder="1"/>
    <xf numFmtId="169" fontId="23" fillId="0" borderId="5" xfId="0" applyNumberFormat="1" applyFont="1" applyBorder="1"/>
    <xf numFmtId="0" fontId="48" fillId="0" borderId="0" xfId="0" applyFont="1"/>
    <xf numFmtId="169" fontId="4" fillId="0" borderId="0" xfId="0" applyNumberFormat="1" applyFont="1"/>
    <xf numFmtId="170" fontId="46" fillId="9" borderId="5" xfId="0" applyNumberFormat="1" applyFont="1" applyFill="1" applyBorder="1"/>
    <xf numFmtId="170" fontId="4" fillId="0" borderId="5" xfId="0" applyNumberFormat="1" applyFont="1" applyBorder="1"/>
    <xf numFmtId="170" fontId="24" fillId="9" borderId="5" xfId="0" applyNumberFormat="1" applyFont="1" applyFill="1" applyBorder="1"/>
    <xf numFmtId="170" fontId="46" fillId="9" borderId="6" xfId="0" applyNumberFormat="1" applyFont="1" applyFill="1" applyBorder="1"/>
    <xf numFmtId="170" fontId="4" fillId="0" borderId="6" xfId="0" applyNumberFormat="1" applyFont="1" applyBorder="1"/>
    <xf numFmtId="170" fontId="46" fillId="9" borderId="7" xfId="0" applyNumberFormat="1" applyFont="1" applyFill="1" applyBorder="1"/>
    <xf numFmtId="170" fontId="4" fillId="0" borderId="7" xfId="0" applyNumberFormat="1" applyFont="1" applyBorder="1"/>
    <xf numFmtId="0" fontId="49" fillId="9" borderId="0" xfId="0" applyFont="1" applyFill="1"/>
    <xf numFmtId="0" fontId="4" fillId="0" borderId="5" xfId="0" applyFont="1" applyBorder="1"/>
    <xf numFmtId="181" fontId="46" fillId="9" borderId="5" xfId="0" applyNumberFormat="1" applyFont="1" applyFill="1" applyBorder="1"/>
    <xf numFmtId="181" fontId="4" fillId="0" borderId="5" xfId="0" applyNumberFormat="1" applyFont="1" applyBorder="1"/>
    <xf numFmtId="9" fontId="1" fillId="0" borderId="5" xfId="0" applyNumberFormat="1" applyFont="1" applyBorder="1"/>
    <xf numFmtId="165" fontId="46" fillId="9" borderId="5" xfId="0" applyNumberFormat="1" applyFont="1" applyFill="1" applyBorder="1"/>
    <xf numFmtId="165" fontId="4" fillId="0" borderId="5" xfId="0" applyNumberFormat="1" applyFont="1" applyBorder="1"/>
    <xf numFmtId="182" fontId="46" fillId="9" borderId="5" xfId="0" applyNumberFormat="1" applyFont="1" applyFill="1" applyBorder="1"/>
    <xf numFmtId="182" fontId="4" fillId="0" borderId="5" xfId="0" applyNumberFormat="1" applyFont="1" applyBorder="1"/>
    <xf numFmtId="170" fontId="24" fillId="0" borderId="5" xfId="0" applyNumberFormat="1" applyFont="1" applyBorder="1"/>
    <xf numFmtId="49" fontId="4" fillId="0" borderId="5" xfId="0" applyNumberFormat="1" applyFont="1" applyBorder="1"/>
    <xf numFmtId="170" fontId="4" fillId="9" borderId="5" xfId="0" applyNumberFormat="1" applyFont="1" applyFill="1" applyBorder="1"/>
    <xf numFmtId="0" fontId="50" fillId="9" borderId="0" xfId="0" applyFont="1" applyFill="1"/>
    <xf numFmtId="0" fontId="51" fillId="9" borderId="0" xfId="0" applyFont="1" applyFill="1"/>
    <xf numFmtId="179" fontId="8" fillId="9" borderId="0" xfId="0" applyNumberFormat="1" applyFont="1" applyFill="1"/>
    <xf numFmtId="183" fontId="46" fillId="9" borderId="5" xfId="0" applyNumberFormat="1" applyFont="1" applyFill="1" applyBorder="1"/>
    <xf numFmtId="183" fontId="4" fillId="0" borderId="5" xfId="0" applyNumberFormat="1" applyFont="1" applyBorder="1"/>
    <xf numFmtId="169" fontId="46" fillId="6" borderId="5" xfId="0" applyNumberFormat="1" applyFont="1" applyFill="1" applyBorder="1"/>
    <xf numFmtId="9" fontId="46" fillId="9" borderId="5" xfId="0" applyNumberFormat="1" applyFont="1" applyFill="1" applyBorder="1"/>
    <xf numFmtId="9" fontId="4" fillId="0" borderId="5" xfId="0" applyNumberFormat="1" applyFont="1" applyBorder="1"/>
    <xf numFmtId="178" fontId="28" fillId="9" borderId="0" xfId="0" applyNumberFormat="1" applyFont="1" applyFill="1"/>
    <xf numFmtId="0" fontId="52" fillId="9" borderId="0" xfId="0" applyFont="1" applyFill="1"/>
    <xf numFmtId="171" fontId="46" fillId="9" borderId="5" xfId="0" applyNumberFormat="1" applyFont="1" applyFill="1" applyBorder="1"/>
    <xf numFmtId="171" fontId="4" fillId="0" borderId="5" xfId="0" applyNumberFormat="1" applyFont="1" applyBorder="1"/>
    <xf numFmtId="178" fontId="49" fillId="9" borderId="0" xfId="0" applyNumberFormat="1" applyFont="1" applyFill="1"/>
    <xf numFmtId="0" fontId="46" fillId="9" borderId="5" xfId="0" applyFont="1" applyFill="1" applyBorder="1"/>
    <xf numFmtId="170" fontId="47" fillId="9" borderId="5" xfId="0" applyNumberFormat="1" applyFont="1" applyFill="1" applyBorder="1"/>
    <xf numFmtId="170" fontId="23" fillId="0" borderId="5" xfId="0" applyNumberFormat="1" applyFont="1" applyBorder="1"/>
    <xf numFmtId="184" fontId="4" fillId="0" borderId="5" xfId="0" applyNumberFormat="1" applyFont="1" applyBorder="1"/>
    <xf numFmtId="170" fontId="46" fillId="9" borderId="8" xfId="0" applyNumberFormat="1" applyFont="1" applyFill="1" applyBorder="1"/>
    <xf numFmtId="170" fontId="4" fillId="0" borderId="8" xfId="0" applyNumberFormat="1" applyFont="1" applyBorder="1"/>
    <xf numFmtId="170" fontId="46" fillId="9" borderId="9" xfId="0" applyNumberFormat="1" applyFont="1" applyFill="1" applyBorder="1"/>
    <xf numFmtId="170" fontId="4" fillId="0" borderId="9" xfId="0" applyNumberFormat="1" applyFont="1" applyBorder="1"/>
    <xf numFmtId="184" fontId="4" fillId="0" borderId="0" xfId="0" applyNumberFormat="1" applyFont="1"/>
    <xf numFmtId="170" fontId="46" fillId="9" borderId="0" xfId="0" applyNumberFormat="1" applyFont="1" applyFill="1"/>
    <xf numFmtId="170" fontId="4" fillId="0" borderId="0" xfId="0" applyNumberFormat="1" applyFont="1"/>
    <xf numFmtId="169" fontId="46" fillId="0" borderId="5" xfId="0" applyNumberFormat="1" applyFont="1" applyBorder="1"/>
    <xf numFmtId="185" fontId="46" fillId="0" borderId="5" xfId="0" applyNumberFormat="1" applyFont="1" applyBorder="1"/>
    <xf numFmtId="185" fontId="4" fillId="0" borderId="5" xfId="0" applyNumberFormat="1" applyFont="1" applyBorder="1"/>
    <xf numFmtId="169" fontId="46" fillId="9" borderId="0" xfId="0" applyNumberFormat="1" applyFont="1" applyFill="1"/>
    <xf numFmtId="169" fontId="4" fillId="9" borderId="5" xfId="0" applyNumberFormat="1" applyFont="1" applyFill="1" applyBorder="1"/>
    <xf numFmtId="178" fontId="25" fillId="9" borderId="0" xfId="0" applyNumberFormat="1" applyFont="1" applyFill="1"/>
    <xf numFmtId="169" fontId="25" fillId="4" borderId="5" xfId="0" applyNumberFormat="1" applyFont="1" applyFill="1" applyBorder="1"/>
    <xf numFmtId="4" fontId="46" fillId="9" borderId="5" xfId="0" applyNumberFormat="1" applyFont="1" applyFill="1" applyBorder="1"/>
    <xf numFmtId="4" fontId="4" fillId="0" borderId="5" xfId="0" applyNumberFormat="1" applyFont="1" applyBorder="1"/>
    <xf numFmtId="0" fontId="28" fillId="9" borderId="0" xfId="0" applyFont="1" applyFill="1"/>
    <xf numFmtId="170" fontId="46" fillId="6" borderId="5" xfId="0" applyNumberFormat="1" applyFont="1" applyFill="1" applyBorder="1"/>
    <xf numFmtId="170" fontId="26" fillId="0" borderId="5" xfId="0" applyNumberFormat="1" applyFont="1" applyBorder="1"/>
    <xf numFmtId="9" fontId="0" fillId="0" borderId="5" xfId="0" applyNumberFormat="1" applyBorder="1"/>
    <xf numFmtId="9" fontId="53" fillId="0" borderId="5" xfId="0" applyNumberFormat="1" applyFont="1" applyBorder="1"/>
    <xf numFmtId="4" fontId="11" fillId="0" borderId="0" xfId="0" applyNumberFormat="1" applyFont="1" applyAlignment="1">
      <alignment horizontal="left" vertical="top"/>
    </xf>
    <xf numFmtId="4" fontId="11" fillId="0" borderId="0" xfId="0" applyNumberFormat="1" applyFont="1" applyAlignment="1">
      <alignment horizontal="center" vertical="top" wrapText="1"/>
    </xf>
    <xf numFmtId="4" fontId="12" fillId="0" borderId="0" xfId="0" applyNumberFormat="1" applyFont="1" applyAlignment="1">
      <alignment horizontal="left" vertical="top"/>
    </xf>
    <xf numFmtId="4" fontId="12" fillId="0" borderId="0" xfId="0" applyNumberFormat="1" applyFont="1" applyAlignment="1">
      <alignment horizontal="center" vertical="top" wrapText="1"/>
    </xf>
    <xf numFmtId="4" fontId="14" fillId="0" borderId="0" xfId="0" applyNumberFormat="1" applyFont="1" applyAlignment="1">
      <alignment horizontal="left" vertical="top"/>
    </xf>
    <xf numFmtId="4" fontId="14" fillId="0" borderId="0" xfId="0" applyNumberFormat="1" applyFont="1" applyAlignment="1">
      <alignment horizontal="center" vertical="top" wrapText="1"/>
    </xf>
    <xf numFmtId="4" fontId="15" fillId="0" borderId="0" xfId="0" applyNumberFormat="1" applyFont="1" applyAlignment="1">
      <alignment horizontal="right" vertical="top" wrapText="1"/>
    </xf>
    <xf numFmtId="4" fontId="15" fillId="0" borderId="0" xfId="0" applyNumberFormat="1" applyFont="1" applyAlignment="1">
      <alignment horizontal="center" vertical="top" wrapText="1"/>
    </xf>
    <xf numFmtId="4" fontId="16" fillId="0" borderId="2" xfId="0" applyNumberFormat="1" applyFont="1" applyBorder="1" applyAlignment="1">
      <alignment horizontal="center" vertical="top" wrapText="1"/>
    </xf>
    <xf numFmtId="4" fontId="15" fillId="0" borderId="0" xfId="0" applyNumberFormat="1" applyFont="1" applyAlignment="1">
      <alignment horizontal="left" vertical="top" wrapText="1"/>
    </xf>
    <xf numFmtId="4" fontId="17" fillId="0" borderId="0" xfId="0" applyNumberFormat="1" applyFont="1" applyAlignment="1">
      <alignment horizontal="left" vertical="top" wrapText="1"/>
    </xf>
    <xf numFmtId="4" fontId="17" fillId="0" borderId="0" xfId="0" applyNumberFormat="1" applyFont="1" applyAlignment="1">
      <alignment horizontal="right" vertical="top" wrapText="1"/>
    </xf>
    <xf numFmtId="4" fontId="54" fillId="0" borderId="0" xfId="0" applyNumberFormat="1" applyFont="1" applyAlignment="1">
      <alignment horizontal="right" vertical="top" wrapText="1"/>
    </xf>
    <xf numFmtId="4" fontId="17" fillId="0" borderId="3" xfId="0" applyNumberFormat="1" applyFont="1" applyBorder="1" applyAlignment="1">
      <alignment horizontal="right" vertical="top" wrapText="1"/>
    </xf>
    <xf numFmtId="4" fontId="13" fillId="0" borderId="0" xfId="0" applyNumberFormat="1" applyFont="1" applyAlignment="1">
      <alignment horizontal="right" vertical="top" wrapText="1"/>
    </xf>
    <xf numFmtId="4" fontId="17" fillId="14" borderId="3" xfId="0" applyNumberFormat="1" applyFont="1" applyFill="1" applyBorder="1" applyAlignment="1">
      <alignment horizontal="right" vertical="top" wrapText="1"/>
    </xf>
    <xf numFmtId="4" fontId="17" fillId="0" borderId="1" xfId="0" applyNumberFormat="1" applyFont="1" applyBorder="1" applyAlignment="1">
      <alignment horizontal="right" vertical="top" wrapText="1"/>
    </xf>
    <xf numFmtId="4" fontId="54" fillId="0" borderId="0" xfId="0" applyNumberFormat="1" applyFont="1" applyAlignment="1">
      <alignment horizontal="left" vertical="top" wrapText="1"/>
    </xf>
    <xf numFmtId="4" fontId="13" fillId="0" borderId="0" xfId="0" applyNumberFormat="1" applyFont="1" applyAlignment="1">
      <alignment horizontal="left" vertical="top" wrapText="1"/>
    </xf>
    <xf numFmtId="4" fontId="15" fillId="0" borderId="0" xfId="0" applyNumberFormat="1" applyFont="1" applyAlignment="1">
      <alignment horizontal="left" vertical="top"/>
    </xf>
    <xf numFmtId="0" fontId="0" fillId="10" borderId="0" xfId="0" applyFill="1" applyAlignment="1">
      <alignment wrapText="1"/>
    </xf>
    <xf numFmtId="4" fontId="0" fillId="10" borderId="0" xfId="0" applyNumberFormat="1" applyFill="1" applyAlignment="1">
      <alignment wrapText="1"/>
    </xf>
    <xf numFmtId="0" fontId="54" fillId="0" borderId="0" xfId="0" applyFont="1" applyAlignment="1">
      <alignment wrapText="1"/>
    </xf>
    <xf numFmtId="180" fontId="54" fillId="0" borderId="0" xfId="0" applyNumberFormat="1" applyFont="1" applyAlignment="1">
      <alignment wrapText="1"/>
    </xf>
    <xf numFmtId="4" fontId="55" fillId="0" borderId="0" xfId="0" applyNumberFormat="1" applyFont="1" applyAlignment="1">
      <alignment horizontal="center" vertical="top" wrapText="1"/>
    </xf>
    <xf numFmtId="4" fontId="56" fillId="0" borderId="0" xfId="0" applyNumberFormat="1" applyFont="1" applyAlignment="1">
      <alignment horizontal="left" vertical="top"/>
    </xf>
    <xf numFmtId="180" fontId="54" fillId="0" borderId="0" xfId="0" applyNumberFormat="1" applyFont="1" applyAlignment="1">
      <alignment horizontal="center" vertical="top" wrapText="1"/>
    </xf>
    <xf numFmtId="4" fontId="56" fillId="0" borderId="0" xfId="0" applyNumberFormat="1" applyFont="1" applyAlignment="1">
      <alignment horizontal="left" vertical="top" wrapText="1"/>
    </xf>
    <xf numFmtId="4" fontId="55" fillId="0" borderId="2" xfId="0" applyNumberFormat="1" applyFont="1" applyBorder="1" applyAlignment="1">
      <alignment horizontal="center" vertical="top" wrapText="1"/>
    </xf>
    <xf numFmtId="180" fontId="55" fillId="0" borderId="2" xfId="0" applyNumberFormat="1" applyFont="1" applyBorder="1" applyAlignment="1">
      <alignment horizontal="center" vertical="top" wrapText="1"/>
    </xf>
    <xf numFmtId="4" fontId="55" fillId="0" borderId="0" xfId="0" applyNumberFormat="1" applyFont="1" applyAlignment="1">
      <alignment horizontal="left" vertical="top" wrapText="1"/>
    </xf>
    <xf numFmtId="180" fontId="54" fillId="0" borderId="0" xfId="0" applyNumberFormat="1" applyFont="1" applyAlignment="1">
      <alignment horizontal="right" vertical="top" wrapText="1"/>
    </xf>
    <xf numFmtId="4" fontId="54" fillId="0" borderId="0" xfId="0" applyNumberFormat="1" applyFont="1" applyAlignment="1">
      <alignment wrapText="1"/>
    </xf>
    <xf numFmtId="0" fontId="54" fillId="0" borderId="0" xfId="0" applyFont="1"/>
    <xf numFmtId="180" fontId="55" fillId="0" borderId="0" xfId="0" applyNumberFormat="1" applyFont="1" applyAlignment="1">
      <alignment horizontal="right" vertical="top" wrapText="1"/>
    </xf>
    <xf numFmtId="0" fontId="55" fillId="0" borderId="0" xfId="0" applyFont="1" applyAlignment="1">
      <alignment wrapText="1"/>
    </xf>
    <xf numFmtId="4" fontId="57" fillId="0" borderId="10" xfId="0" applyNumberFormat="1" applyFont="1" applyBorder="1" applyAlignment="1">
      <alignment wrapText="1"/>
    </xf>
    <xf numFmtId="180" fontId="55" fillId="0" borderId="3" xfId="0" applyNumberFormat="1" applyFont="1" applyBorder="1" applyAlignment="1">
      <alignment horizontal="right" vertical="top" wrapText="1"/>
    </xf>
    <xf numFmtId="4" fontId="55" fillId="15" borderId="0" xfId="0" applyNumberFormat="1" applyFont="1" applyFill="1" applyAlignment="1">
      <alignment horizontal="left" vertical="top" wrapText="1"/>
    </xf>
    <xf numFmtId="180" fontId="55" fillId="15" borderId="0" xfId="0" applyNumberFormat="1" applyFont="1" applyFill="1" applyAlignment="1">
      <alignment horizontal="right" vertical="top" wrapText="1"/>
    </xf>
    <xf numFmtId="180" fontId="55" fillId="15" borderId="3" xfId="0" applyNumberFormat="1" applyFont="1" applyFill="1" applyBorder="1" applyAlignment="1">
      <alignment horizontal="right" vertical="top" wrapText="1"/>
    </xf>
    <xf numFmtId="180" fontId="55" fillId="0" borderId="1" xfId="0" applyNumberFormat="1" applyFont="1" applyBorder="1" applyAlignment="1">
      <alignment horizontal="right" vertical="top" wrapText="1"/>
    </xf>
    <xf numFmtId="180" fontId="55" fillId="0" borderId="0" xfId="0" applyNumberFormat="1" applyFont="1" applyAlignment="1">
      <alignment wrapText="1"/>
    </xf>
    <xf numFmtId="180" fontId="13" fillId="0" borderId="0" xfId="0" applyNumberFormat="1" applyFont="1" applyAlignment="1">
      <alignment horizontal="right" vertical="top" wrapText="1"/>
    </xf>
    <xf numFmtId="180" fontId="54" fillId="14" borderId="0" xfId="0" applyNumberFormat="1" applyFont="1" applyFill="1" applyAlignment="1">
      <alignment wrapText="1"/>
    </xf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2" borderId="11" xfId="0" applyFont="1" applyFill="1" applyBorder="1" applyAlignment="1">
      <alignment horizontal="center" vertical="center" wrapText="1"/>
    </xf>
    <xf numFmtId="0" fontId="0" fillId="16" borderId="11" xfId="0" applyFill="1" applyBorder="1"/>
    <xf numFmtId="0" fontId="23" fillId="16" borderId="11" xfId="0" applyFont="1" applyFill="1" applyBorder="1"/>
    <xf numFmtId="0" fontId="4" fillId="0" borderId="11" xfId="0" applyFont="1" applyBorder="1"/>
    <xf numFmtId="169" fontId="22" fillId="0" borderId="11" xfId="0" applyNumberFormat="1" applyFont="1" applyBorder="1"/>
    <xf numFmtId="169" fontId="4" fillId="0" borderId="11" xfId="0" applyNumberFormat="1" applyFont="1" applyBorder="1"/>
    <xf numFmtId="0" fontId="4" fillId="16" borderId="11" xfId="0" applyFont="1" applyFill="1" applyBorder="1"/>
    <xf numFmtId="169" fontId="23" fillId="16" borderId="11" xfId="0" applyNumberFormat="1" applyFont="1" applyFill="1" applyBorder="1"/>
    <xf numFmtId="0" fontId="0" fillId="6" borderId="11" xfId="0" applyFill="1" applyBorder="1"/>
    <xf numFmtId="0" fontId="23" fillId="6" borderId="11" xfId="0" applyFont="1" applyFill="1" applyBorder="1"/>
    <xf numFmtId="173" fontId="23" fillId="6" borderId="11" xfId="0" applyNumberFormat="1" applyFont="1" applyFill="1" applyBorder="1"/>
    <xf numFmtId="17" fontId="23" fillId="3" borderId="0" xfId="0" applyNumberFormat="1" applyFont="1" applyFill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169" fontId="22" fillId="6" borderId="0" xfId="0" applyNumberFormat="1" applyFont="1" applyFill="1"/>
    <xf numFmtId="17" fontId="4" fillId="0" borderId="0" xfId="0" applyNumberFormat="1" applyFont="1" applyAlignment="1">
      <alignment horizontal="center" vertical="center"/>
    </xf>
    <xf numFmtId="0" fontId="63" fillId="0" borderId="0" xfId="0" applyFont="1"/>
    <xf numFmtId="10" fontId="4" fillId="0" borderId="0" xfId="0" applyNumberFormat="1" applyFont="1"/>
    <xf numFmtId="185" fontId="4" fillId="0" borderId="0" xfId="0" applyNumberFormat="1" applyFont="1"/>
    <xf numFmtId="0" fontId="23" fillId="3" borderId="0" xfId="0" applyFont="1" applyFill="1" applyAlignment="1">
      <alignment horizontal="center"/>
    </xf>
    <xf numFmtId="171" fontId="23" fillId="0" borderId="0" xfId="0" applyNumberFormat="1" applyFont="1"/>
    <xf numFmtId="171" fontId="24" fillId="0" borderId="0" xfId="0" applyNumberFormat="1" applyFont="1"/>
    <xf numFmtId="10" fontId="26" fillId="0" borderId="0" xfId="0" applyNumberFormat="1" applyFont="1"/>
    <xf numFmtId="2" fontId="26" fillId="0" borderId="0" xfId="0" applyNumberFormat="1" applyFont="1"/>
    <xf numFmtId="171" fontId="24" fillId="3" borderId="0" xfId="0" applyNumberFormat="1" applyFont="1" applyFill="1"/>
    <xf numFmtId="0" fontId="64" fillId="0" borderId="0" xfId="0" applyFont="1"/>
    <xf numFmtId="0" fontId="65" fillId="0" borderId="0" xfId="0" applyFont="1"/>
    <xf numFmtId="17" fontId="23" fillId="6" borderId="0" xfId="0" applyNumberFormat="1" applyFont="1" applyFill="1" applyAlignment="1">
      <alignment horizontal="center" vertical="center"/>
    </xf>
    <xf numFmtId="17" fontId="23" fillId="4" borderId="0" xfId="0" applyNumberFormat="1" applyFont="1" applyFill="1" applyAlignment="1">
      <alignment horizontal="center" vertical="center"/>
    </xf>
    <xf numFmtId="0" fontId="66" fillId="2" borderId="0" xfId="0" applyFont="1" applyFill="1"/>
    <xf numFmtId="169" fontId="4" fillId="6" borderId="0" xfId="0" applyNumberFormat="1" applyFont="1" applyFill="1"/>
    <xf numFmtId="169" fontId="25" fillId="4" borderId="0" xfId="0" applyNumberFormat="1" applyFont="1" applyFill="1"/>
    <xf numFmtId="10" fontId="4" fillId="6" borderId="0" xfId="0" applyNumberFormat="1" applyFont="1" applyFill="1"/>
    <xf numFmtId="10" fontId="25" fillId="4" borderId="0" xfId="0" applyNumberFormat="1" applyFont="1" applyFill="1"/>
    <xf numFmtId="185" fontId="4" fillId="6" borderId="0" xfId="0" applyNumberFormat="1" applyFont="1" applyFill="1"/>
    <xf numFmtId="185" fontId="25" fillId="4" borderId="0" xfId="0" applyNumberFormat="1" applyFont="1" applyFill="1"/>
    <xf numFmtId="0" fontId="38" fillId="0" borderId="0" xfId="0" applyFont="1"/>
    <xf numFmtId="9" fontId="22" fillId="5" borderId="0" xfId="0" applyNumberFormat="1" applyFont="1" applyFill="1"/>
    <xf numFmtId="41" fontId="46" fillId="9" borderId="5" xfId="0" applyNumberFormat="1" applyFont="1" applyFill="1" applyBorder="1"/>
    <xf numFmtId="41" fontId="4" fillId="0" borderId="5" xfId="0" applyNumberFormat="1" applyFont="1" applyBorder="1"/>
    <xf numFmtId="0" fontId="68" fillId="9" borderId="0" xfId="0" quotePrefix="1" applyFont="1" applyFill="1"/>
    <xf numFmtId="0" fontId="68" fillId="9" borderId="0" xfId="0" applyFont="1" applyFill="1"/>
    <xf numFmtId="178" fontId="69" fillId="9" borderId="0" xfId="0" applyNumberFormat="1" applyFont="1" applyFill="1"/>
    <xf numFmtId="0" fontId="69" fillId="9" borderId="0" xfId="0" applyFont="1" applyFill="1"/>
    <xf numFmtId="169" fontId="33" fillId="9" borderId="0" xfId="0" applyNumberFormat="1" applyFont="1" applyFill="1"/>
    <xf numFmtId="0" fontId="29" fillId="7" borderId="0" xfId="0" quotePrefix="1" applyFont="1" applyFill="1"/>
  </cellXfs>
  <cellStyles count="42">
    <cellStyle name="Comma [0] 2" xfId="6" xr:uid="{00000000-0005-0000-0000-00000B000000}"/>
    <cellStyle name="Comma [0] 2 2" xfId="7" xr:uid="{00000000-0005-0000-0000-00000C000000}"/>
    <cellStyle name="Comma [0] 2 6" xfId="8" xr:uid="{00000000-0005-0000-0000-00000D000000}"/>
    <cellStyle name="Comma 10 2" xfId="1" xr:uid="{00000000-0005-0000-0000-000006000000}"/>
    <cellStyle name="Comma 2" xfId="2" xr:uid="{00000000-0005-0000-0000-000007000000}"/>
    <cellStyle name="Comma 3" xfId="3" xr:uid="{00000000-0005-0000-0000-000008000000}"/>
    <cellStyle name="Comma 44" xfId="4" xr:uid="{00000000-0005-0000-0000-000009000000}"/>
    <cellStyle name="Comma 6" xfId="5" xr:uid="{00000000-0005-0000-0000-00000A000000}"/>
    <cellStyle name="EY0dp" xfId="9" xr:uid="{00000000-0005-0000-0000-00000E000000}"/>
    <cellStyle name="EYHeader3" xfId="10" xr:uid="{00000000-0005-0000-0000-00000F000000}"/>
    <cellStyle name="EYSource" xfId="11" xr:uid="{00000000-0005-0000-0000-000010000000}"/>
    <cellStyle name="EYtext" xfId="12" xr:uid="{00000000-0005-0000-0000-000011000000}"/>
    <cellStyle name="Hyperlink 2" xfId="13" xr:uid="{00000000-0005-0000-0000-000012000000}"/>
    <cellStyle name="Normal" xfId="0" builtinId="0"/>
    <cellStyle name="Normal 10" xfId="14" xr:uid="{00000000-0005-0000-0000-000013000000}"/>
    <cellStyle name="Normal 102" xfId="15" xr:uid="{00000000-0005-0000-0000-000014000000}"/>
    <cellStyle name="Normal 2" xfId="16" xr:uid="{00000000-0005-0000-0000-000015000000}"/>
    <cellStyle name="Normal 2 2 2" xfId="17" xr:uid="{00000000-0005-0000-0000-000016000000}"/>
    <cellStyle name="Normal 20 3" xfId="18" xr:uid="{00000000-0005-0000-0000-000017000000}"/>
    <cellStyle name="Normal 3 2 2" xfId="19" xr:uid="{00000000-0005-0000-0000-000018000000}"/>
    <cellStyle name="Normal 3 2 2 3 2" xfId="20" xr:uid="{00000000-0005-0000-0000-000019000000}"/>
    <cellStyle name="Normal 338" xfId="21" xr:uid="{00000000-0005-0000-0000-00001A000000}"/>
    <cellStyle name="Normal 5" xfId="22" xr:uid="{00000000-0005-0000-0000-00001B000000}"/>
    <cellStyle name="Normal 6 6" xfId="23" xr:uid="{00000000-0005-0000-0000-00001C000000}"/>
    <cellStyle name="Normal 9" xfId="24" xr:uid="{00000000-0005-0000-0000-00001D000000}"/>
    <cellStyle name="Percent 12 2 2 2" xfId="25" xr:uid="{00000000-0005-0000-0000-00001E000000}"/>
    <cellStyle name="Percent 17" xfId="26" xr:uid="{00000000-0005-0000-0000-00001F000000}"/>
    <cellStyle name="Percent 2" xfId="27" xr:uid="{00000000-0005-0000-0000-000020000000}"/>
    <cellStyle name="Percent 2 6" xfId="28" xr:uid="{00000000-0005-0000-0000-000021000000}"/>
    <cellStyle name="Percent 3" xfId="29" xr:uid="{00000000-0005-0000-0000-000022000000}"/>
    <cellStyle name="Percent 4" xfId="30" xr:uid="{00000000-0005-0000-0000-000023000000}"/>
    <cellStyle name="S0" xfId="31" xr:uid="{00000000-0005-0000-0000-000024000000}"/>
    <cellStyle name="S1" xfId="32" xr:uid="{00000000-0005-0000-0000-000025000000}"/>
    <cellStyle name="S13" xfId="33" xr:uid="{00000000-0005-0000-0000-000026000000}"/>
    <cellStyle name="S2" xfId="34" xr:uid="{00000000-0005-0000-0000-000027000000}"/>
    <cellStyle name="S3" xfId="35" xr:uid="{00000000-0005-0000-0000-000028000000}"/>
    <cellStyle name="S4" xfId="36" xr:uid="{00000000-0005-0000-0000-000029000000}"/>
    <cellStyle name="S5" xfId="37" xr:uid="{00000000-0005-0000-0000-00002A000000}"/>
    <cellStyle name="S5 2" xfId="38" xr:uid="{00000000-0005-0000-0000-00002B000000}"/>
    <cellStyle name="S6 2" xfId="39" xr:uid="{00000000-0005-0000-0000-00002C000000}"/>
    <cellStyle name="S7" xfId="40" xr:uid="{00000000-0005-0000-0000-00002D000000}"/>
    <cellStyle name="S7 2" xfId="41" xr:uid="{00000000-0005-0000-0000-00002E000000}"/>
  </cellStyles>
  <dxfs count="78"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  <dxf>
      <numFmt numFmtId="186" formatCode="_(* #,##0_);_(* \(#,##0\);_(* \-_);_(@_)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7F7F7F"/>
      <rgbColor rgb="FF993366"/>
      <rgbColor rgb="FFFFF2CC"/>
      <rgbColor rgb="FFDDEBF7"/>
      <rgbColor rgb="FF660066"/>
      <rgbColor rgb="FFF2F2F2"/>
      <rgbColor rgb="FF0563C1"/>
      <rgbColor rgb="FFD0CECE"/>
      <rgbColor rgb="FF000080"/>
      <rgbColor rgb="FFFF00FF"/>
      <rgbColor rgb="FFE2EFDA"/>
      <rgbColor rgb="FF00FFFF"/>
      <rgbColor rgb="FF800080"/>
      <rgbColor rgb="FFC00000"/>
      <rgbColor rgb="FF008080"/>
      <rgbColor rgb="FF0000FF"/>
      <rgbColor rgb="FF00CCFF"/>
      <rgbColor rgb="FFE2F0D9"/>
      <rgbColor rgb="FFC6EFCE"/>
      <rgbColor rgb="FFFCE4D6"/>
      <rgbColor rgb="FFD9D9D9"/>
      <rgbColor rgb="FFE7E6E6"/>
      <rgbColor rgb="FFD9E2F3"/>
      <rgbColor rgb="FFFFC7CE"/>
      <rgbColor rgb="FF2E75B6"/>
      <rgbColor rgb="FF33CCCC"/>
      <rgbColor rgb="FF99CC00"/>
      <rgbColor rgb="FFEDEDED"/>
      <rgbColor rgb="FFFF9900"/>
      <rgbColor rgb="FFFF6600"/>
      <rgbColor rgb="FF595959"/>
      <rgbColor rgb="FFA6A6A6"/>
      <rgbColor rgb="FF1F3864"/>
      <rgbColor rgb="FF548235"/>
      <rgbColor rgb="FF003300"/>
      <rgbColor rgb="FF333300"/>
      <rgbColor rgb="FF993300"/>
      <rgbColor rgb="FF7030A0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384"/>
  <sheetViews>
    <sheetView zoomScale="97" zoomScaleNormal="75" workbookViewId="0">
      <pane xSplit="9" ySplit="6" topLeftCell="AF7" activePane="bottomRight" state="frozen"/>
      <selection pane="topRight" activeCell="R1" sqref="R1"/>
      <selection pane="bottomLeft" activeCell="A7" sqref="A7"/>
      <selection pane="bottomRight" activeCell="I89" sqref="I89"/>
    </sheetView>
  </sheetViews>
  <sheetFormatPr defaultColWidth="0" defaultRowHeight="14.5" outlineLevelRow="1" x14ac:dyDescent="0.35"/>
  <cols>
    <col min="1" max="2" width="1.54296875" customWidth="1"/>
    <col min="3" max="3" width="2.36328125" customWidth="1"/>
    <col min="4" max="6" width="2" customWidth="1"/>
    <col min="7" max="7" width="21.54296875" customWidth="1"/>
    <col min="8" max="8" width="8.1796875" customWidth="1"/>
    <col min="9" max="9" width="9.1796875" customWidth="1"/>
    <col min="10" max="11" width="9" customWidth="1"/>
    <col min="12" max="13" width="9.08984375" customWidth="1"/>
    <col min="14" max="15" width="9" customWidth="1"/>
    <col min="16" max="35" width="8.90625"/>
    <col min="36" max="39" width="12" hidden="1" customWidth="1"/>
    <col min="40" max="16384" width="8.90625" hidden="1"/>
  </cols>
  <sheetData>
    <row r="1" spans="1:36" ht="14.25" customHeight="1" x14ac:dyDescent="0.35">
      <c r="A1" s="14" t="s">
        <v>324</v>
      </c>
      <c r="B1" s="15"/>
      <c r="C1" s="15"/>
      <c r="D1" s="15"/>
      <c r="E1" s="15"/>
      <c r="F1" s="15"/>
      <c r="G1" s="16"/>
      <c r="H1" s="16"/>
      <c r="I1" s="16"/>
      <c r="J1" s="16"/>
      <c r="K1" s="16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</row>
    <row r="2" spans="1:36" ht="14.25" customHeight="1" x14ac:dyDescent="0.35">
      <c r="A2" s="14" t="s">
        <v>3848</v>
      </c>
      <c r="B2" s="15"/>
      <c r="C2" s="15"/>
      <c r="D2" s="15"/>
      <c r="E2" s="15"/>
      <c r="F2" s="15"/>
      <c r="G2" s="16"/>
      <c r="H2" s="16"/>
      <c r="I2" s="16"/>
      <c r="J2" s="16"/>
      <c r="K2" s="16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</row>
    <row r="3" spans="1:36" ht="14.25" customHeight="1" x14ac:dyDescent="0.35">
      <c r="A3" s="297" t="s">
        <v>5582</v>
      </c>
      <c r="B3" s="15"/>
      <c r="C3" s="15"/>
      <c r="D3" s="15"/>
      <c r="E3" s="15"/>
      <c r="F3" s="15"/>
      <c r="G3" s="16"/>
      <c r="H3" s="16"/>
      <c r="I3" s="16"/>
      <c r="J3" s="16"/>
      <c r="K3" s="15">
        <v>2026</v>
      </c>
      <c r="L3" s="15">
        <f t="shared" ref="L3:AI3" si="0">YEAR(L5)</f>
        <v>2026</v>
      </c>
      <c r="M3" s="15">
        <f t="shared" si="0"/>
        <v>2026</v>
      </c>
      <c r="N3" s="15">
        <f t="shared" si="0"/>
        <v>2026</v>
      </c>
      <c r="O3" s="15">
        <f t="shared" si="0"/>
        <v>2026</v>
      </c>
      <c r="P3" s="15">
        <f t="shared" si="0"/>
        <v>2026</v>
      </c>
      <c r="Q3" s="15">
        <f t="shared" si="0"/>
        <v>2026</v>
      </c>
      <c r="R3" s="15">
        <f t="shared" si="0"/>
        <v>2026</v>
      </c>
      <c r="S3" s="15">
        <f t="shared" si="0"/>
        <v>2026</v>
      </c>
      <c r="T3" s="15">
        <f t="shared" si="0"/>
        <v>2026</v>
      </c>
      <c r="U3" s="15">
        <f t="shared" si="0"/>
        <v>2026</v>
      </c>
      <c r="V3" s="15">
        <f t="shared" si="0"/>
        <v>2026</v>
      </c>
      <c r="W3" s="15">
        <f t="shared" si="0"/>
        <v>2026</v>
      </c>
      <c r="X3" s="15">
        <f t="shared" si="0"/>
        <v>2027</v>
      </c>
      <c r="Y3" s="15">
        <f t="shared" si="0"/>
        <v>2027</v>
      </c>
      <c r="Z3" s="15">
        <f t="shared" si="0"/>
        <v>2027</v>
      </c>
      <c r="AA3" s="15">
        <f t="shared" si="0"/>
        <v>2027</v>
      </c>
      <c r="AB3" s="15">
        <f t="shared" si="0"/>
        <v>2027</v>
      </c>
      <c r="AC3" s="15">
        <f t="shared" si="0"/>
        <v>2027</v>
      </c>
      <c r="AD3" s="15">
        <f t="shared" si="0"/>
        <v>2027</v>
      </c>
      <c r="AE3" s="15">
        <f t="shared" si="0"/>
        <v>2027</v>
      </c>
      <c r="AF3" s="15">
        <f t="shared" si="0"/>
        <v>2027</v>
      </c>
      <c r="AG3" s="15">
        <f t="shared" si="0"/>
        <v>2027</v>
      </c>
      <c r="AH3" s="15">
        <f t="shared" si="0"/>
        <v>2027</v>
      </c>
      <c r="AI3" s="15">
        <f t="shared" si="0"/>
        <v>2027</v>
      </c>
    </row>
    <row r="4" spans="1:36" ht="14.25" customHeight="1" x14ac:dyDescent="0.35">
      <c r="A4" s="15"/>
      <c r="B4" s="15"/>
      <c r="C4" s="15"/>
      <c r="D4" s="15"/>
      <c r="E4" s="15"/>
      <c r="F4" s="15"/>
      <c r="G4" s="16"/>
      <c r="H4" s="16"/>
      <c r="I4" s="16" t="s">
        <v>6</v>
      </c>
      <c r="J4" s="16"/>
      <c r="K4" s="16" t="s">
        <v>7</v>
      </c>
      <c r="L4" s="18" t="s">
        <v>8</v>
      </c>
      <c r="M4" s="18" t="s">
        <v>8</v>
      </c>
      <c r="N4" s="18" t="s">
        <v>8</v>
      </c>
      <c r="O4" s="18" t="s">
        <v>8</v>
      </c>
      <c r="P4" s="18" t="s">
        <v>8</v>
      </c>
      <c r="Q4" s="18" t="s">
        <v>8</v>
      </c>
      <c r="R4" s="18" t="s">
        <v>8</v>
      </c>
      <c r="S4" s="18" t="s">
        <v>8</v>
      </c>
      <c r="T4" s="16" t="s">
        <v>9</v>
      </c>
      <c r="U4" s="16" t="s">
        <v>9</v>
      </c>
      <c r="V4" s="16" t="s">
        <v>9</v>
      </c>
      <c r="W4" s="16" t="s">
        <v>9</v>
      </c>
      <c r="X4" s="16" t="s">
        <v>9</v>
      </c>
      <c r="Y4" s="16" t="s">
        <v>9</v>
      </c>
      <c r="Z4" s="16" t="s">
        <v>9</v>
      </c>
      <c r="AA4" s="16" t="s">
        <v>9</v>
      </c>
      <c r="AB4" s="16" t="s">
        <v>9</v>
      </c>
      <c r="AC4" s="16" t="s">
        <v>9</v>
      </c>
      <c r="AD4" s="16" t="s">
        <v>9</v>
      </c>
      <c r="AE4" s="16" t="s">
        <v>9</v>
      </c>
      <c r="AF4" s="16" t="s">
        <v>9</v>
      </c>
      <c r="AG4" s="16" t="s">
        <v>9</v>
      </c>
      <c r="AH4" s="16" t="s">
        <v>9</v>
      </c>
      <c r="AI4" s="16" t="s">
        <v>9</v>
      </c>
      <c r="AJ4" s="19" t="s">
        <v>10</v>
      </c>
    </row>
    <row r="5" spans="1:36" ht="14.25" customHeight="1" x14ac:dyDescent="0.35">
      <c r="A5" s="15"/>
      <c r="B5" s="15"/>
      <c r="C5" s="15"/>
      <c r="D5" s="15"/>
      <c r="E5" s="15"/>
      <c r="F5" s="15"/>
      <c r="G5" s="20" t="s">
        <v>11</v>
      </c>
      <c r="H5" s="20" t="s">
        <v>12</v>
      </c>
      <c r="I5" s="20" t="s">
        <v>13</v>
      </c>
      <c r="J5" s="17">
        <f>L5-31</f>
        <v>46022</v>
      </c>
      <c r="K5" s="20" t="s">
        <v>14</v>
      </c>
      <c r="L5" s="17">
        <v>46053</v>
      </c>
      <c r="M5" s="17">
        <f t="shared" ref="M5:AI5" si="1">EOMONTH(L5,1)</f>
        <v>46081</v>
      </c>
      <c r="N5" s="17">
        <f t="shared" si="1"/>
        <v>46112</v>
      </c>
      <c r="O5" s="17">
        <f t="shared" si="1"/>
        <v>46142</v>
      </c>
      <c r="P5" s="17">
        <f t="shared" si="1"/>
        <v>46173</v>
      </c>
      <c r="Q5" s="17">
        <f t="shared" si="1"/>
        <v>46203</v>
      </c>
      <c r="R5" s="17">
        <f t="shared" si="1"/>
        <v>46234</v>
      </c>
      <c r="S5" s="17">
        <f t="shared" si="1"/>
        <v>46265</v>
      </c>
      <c r="T5" s="17">
        <f t="shared" si="1"/>
        <v>46295</v>
      </c>
      <c r="U5" s="17">
        <f t="shared" si="1"/>
        <v>46326</v>
      </c>
      <c r="V5" s="17">
        <f t="shared" si="1"/>
        <v>46356</v>
      </c>
      <c r="W5" s="17">
        <f t="shared" si="1"/>
        <v>46387</v>
      </c>
      <c r="X5" s="17">
        <f t="shared" si="1"/>
        <v>46418</v>
      </c>
      <c r="Y5" s="17">
        <f t="shared" si="1"/>
        <v>46446</v>
      </c>
      <c r="Z5" s="17">
        <f t="shared" si="1"/>
        <v>46477</v>
      </c>
      <c r="AA5" s="17">
        <f t="shared" si="1"/>
        <v>46507</v>
      </c>
      <c r="AB5" s="17">
        <f t="shared" si="1"/>
        <v>46538</v>
      </c>
      <c r="AC5" s="17">
        <f t="shared" si="1"/>
        <v>46568</v>
      </c>
      <c r="AD5" s="17">
        <f t="shared" si="1"/>
        <v>46599</v>
      </c>
      <c r="AE5" s="17">
        <f t="shared" si="1"/>
        <v>46630</v>
      </c>
      <c r="AF5" s="17">
        <f t="shared" si="1"/>
        <v>46660</v>
      </c>
      <c r="AG5" s="17">
        <f t="shared" si="1"/>
        <v>46691</v>
      </c>
      <c r="AH5" s="17">
        <f t="shared" si="1"/>
        <v>46721</v>
      </c>
      <c r="AI5" s="17">
        <f t="shared" si="1"/>
        <v>46752</v>
      </c>
      <c r="AJ5" s="19" t="s">
        <v>15</v>
      </c>
    </row>
    <row r="6" spans="1:36" ht="14.25" customHeight="1" x14ac:dyDescent="0.35">
      <c r="A6" s="21"/>
      <c r="B6" s="21"/>
      <c r="C6" s="21"/>
      <c r="D6" s="21"/>
      <c r="E6" s="21"/>
      <c r="F6" s="21"/>
      <c r="G6" s="21"/>
      <c r="H6" s="22"/>
      <c r="I6" s="21"/>
      <c r="J6" s="21"/>
      <c r="K6" s="21"/>
      <c r="L6" s="23">
        <f t="shared" ref="L6:AI6" si="2">EOMONTH($L$5,11)</f>
        <v>46387</v>
      </c>
      <c r="M6" s="23">
        <f t="shared" si="2"/>
        <v>46387</v>
      </c>
      <c r="N6" s="23">
        <f t="shared" si="2"/>
        <v>46387</v>
      </c>
      <c r="O6" s="23">
        <f t="shared" si="2"/>
        <v>46387</v>
      </c>
      <c r="P6" s="23">
        <f t="shared" si="2"/>
        <v>46387</v>
      </c>
      <c r="Q6" s="23">
        <f t="shared" si="2"/>
        <v>46387</v>
      </c>
      <c r="R6" s="23">
        <f t="shared" si="2"/>
        <v>46387</v>
      </c>
      <c r="S6" s="23">
        <f t="shared" si="2"/>
        <v>46387</v>
      </c>
      <c r="T6" s="23">
        <f t="shared" si="2"/>
        <v>46387</v>
      </c>
      <c r="U6" s="23">
        <f t="shared" si="2"/>
        <v>46387</v>
      </c>
      <c r="V6" s="23">
        <f t="shared" si="2"/>
        <v>46387</v>
      </c>
      <c r="W6" s="23">
        <f t="shared" si="2"/>
        <v>46387</v>
      </c>
      <c r="X6" s="23">
        <f t="shared" si="2"/>
        <v>46387</v>
      </c>
      <c r="Y6" s="23">
        <f t="shared" si="2"/>
        <v>46387</v>
      </c>
      <c r="Z6" s="23">
        <f t="shared" si="2"/>
        <v>46387</v>
      </c>
      <c r="AA6" s="23">
        <f t="shared" si="2"/>
        <v>46387</v>
      </c>
      <c r="AB6" s="23">
        <f t="shared" si="2"/>
        <v>46387</v>
      </c>
      <c r="AC6" s="23">
        <f t="shared" si="2"/>
        <v>46387</v>
      </c>
      <c r="AD6" s="23">
        <f t="shared" si="2"/>
        <v>46387</v>
      </c>
      <c r="AE6" s="23">
        <f t="shared" si="2"/>
        <v>46387</v>
      </c>
      <c r="AF6" s="23">
        <f t="shared" si="2"/>
        <v>46387</v>
      </c>
      <c r="AG6" s="23">
        <f t="shared" si="2"/>
        <v>46387</v>
      </c>
      <c r="AH6" s="23">
        <f t="shared" si="2"/>
        <v>46387</v>
      </c>
      <c r="AI6" s="23">
        <f t="shared" si="2"/>
        <v>46387</v>
      </c>
    </row>
    <row r="7" spans="1:36" ht="14.25" customHeight="1" x14ac:dyDescent="0.35">
      <c r="A7" s="24"/>
      <c r="B7" s="24" t="s">
        <v>16</v>
      </c>
      <c r="C7" s="24"/>
      <c r="D7" s="24"/>
      <c r="E7" s="24"/>
      <c r="F7" s="24"/>
      <c r="G7" s="24"/>
      <c r="H7" s="25"/>
      <c r="I7" s="26"/>
      <c r="J7" s="25"/>
      <c r="K7" s="25"/>
      <c r="L7" s="25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</row>
    <row r="8" spans="1:36" ht="14.25" customHeight="1" x14ac:dyDescent="0.35">
      <c r="A8" s="21"/>
      <c r="B8" s="28">
        <v>1.1000000000000001</v>
      </c>
      <c r="C8" s="28" t="s">
        <v>17</v>
      </c>
      <c r="D8" s="28"/>
      <c r="E8" s="21"/>
      <c r="F8" s="21"/>
      <c r="G8" s="21"/>
      <c r="H8" s="22"/>
      <c r="I8" s="21"/>
      <c r="J8" s="29"/>
      <c r="K8" s="29"/>
      <c r="L8" s="30"/>
      <c r="M8" s="21"/>
      <c r="N8" s="21"/>
      <c r="O8" s="21"/>
      <c r="P8" s="21"/>
      <c r="Q8" s="21"/>
      <c r="R8" s="21"/>
      <c r="S8" s="21"/>
      <c r="T8" s="31"/>
      <c r="U8" s="32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</row>
    <row r="9" spans="1:36" ht="14.25" customHeight="1" x14ac:dyDescent="0.35">
      <c r="A9" s="21"/>
      <c r="B9" s="28"/>
      <c r="C9" s="33" t="s">
        <v>18</v>
      </c>
      <c r="D9" s="28"/>
      <c r="E9" s="21"/>
      <c r="F9" s="21"/>
      <c r="G9" s="21"/>
      <c r="H9" s="22" t="s">
        <v>19</v>
      </c>
      <c r="I9" s="34">
        <f>IFERROR((K9-J9)/J9,0)</f>
        <v>0</v>
      </c>
      <c r="J9" s="31"/>
      <c r="K9" s="31">
        <f t="shared" ref="K9:K16" si="3">SUM(L9:W9)</f>
        <v>101135.44592059606</v>
      </c>
      <c r="L9" s="31">
        <f>SUMIFS('PL Actual MTM - Aug 26'!D:D,'PL Actual MTM - Aug 26'!$R:$R,"Revenue")/10^6</f>
        <v>9369.4465608400005</v>
      </c>
      <c r="M9" s="31">
        <f>SUMIFS('PL Actual MTM - Aug 26'!E:E,'PL Actual MTM - Aug 26'!$R:$R,"Revenue")/10^6</f>
        <v>8659.5706651700093</v>
      </c>
      <c r="N9" s="31">
        <f>SUMIFS('PL Actual MTM - Aug 26'!F:F,'PL Actual MTM - Aug 26'!$R:$R,"Revenue")/10^6</f>
        <v>6547.2578810499999</v>
      </c>
      <c r="O9" s="31">
        <f>SUMIFS('PL Actual MTM - Aug 26'!G:G,'PL Actual MTM - Aug 26'!$R:$R,"Revenue")/10^6</f>
        <v>6850.5286967399998</v>
      </c>
      <c r="P9" s="31">
        <f>SUMIFS('PL Actual MTM - Aug 26'!H:H,'PL Actual MTM - Aug 26'!$R:$R,"Revenue")/10^6</f>
        <v>7705.4168631599996</v>
      </c>
      <c r="Q9" s="31">
        <f>SUMIFS('PL Actual MTM - Aug 26'!I:I,'PL Actual MTM - Aug 26'!$R:$R,"Revenue")/10^6</f>
        <v>8295.2877552200007</v>
      </c>
      <c r="R9" s="31">
        <f>SUMIFS('PL Actual MTM - Aug 26'!J:J,'PL Actual MTM - Aug 26'!$R:$R,"Revenue")/10^6</f>
        <v>8929.6805058299997</v>
      </c>
      <c r="S9" s="31">
        <f>SUMIFS('PL Actual MTM - Aug 26'!K:K,'PL Actual MTM - Aug 26'!$R:$R,"Revenue")/10^6</f>
        <v>9793.1254520599996</v>
      </c>
      <c r="T9" s="31">
        <f t="shared" ref="T9:AI9" si="4">SUM(T10:T13)</f>
        <v>8746.2828851315189</v>
      </c>
      <c r="U9" s="31">
        <f t="shared" si="4"/>
        <v>8746.2828851315189</v>
      </c>
      <c r="V9" s="31">
        <f t="shared" si="4"/>
        <v>8746.2828851315189</v>
      </c>
      <c r="W9" s="31">
        <f t="shared" si="4"/>
        <v>8746.2828851315189</v>
      </c>
      <c r="X9" s="31">
        <f t="shared" si="4"/>
        <v>8746.2828851315189</v>
      </c>
      <c r="Y9" s="31">
        <f t="shared" si="4"/>
        <v>8746.2828851315189</v>
      </c>
      <c r="Z9" s="31">
        <f t="shared" si="4"/>
        <v>8746.2828851315189</v>
      </c>
      <c r="AA9" s="31">
        <f t="shared" si="4"/>
        <v>8746.2828851315189</v>
      </c>
      <c r="AB9" s="31">
        <f t="shared" si="4"/>
        <v>8746.2828851315189</v>
      </c>
      <c r="AC9" s="31">
        <f t="shared" si="4"/>
        <v>8746.2828851315189</v>
      </c>
      <c r="AD9" s="31">
        <f t="shared" si="4"/>
        <v>8746.2828851315189</v>
      </c>
      <c r="AE9" s="31">
        <f t="shared" si="4"/>
        <v>8746.2828851315189</v>
      </c>
      <c r="AF9" s="31">
        <f t="shared" si="4"/>
        <v>8746.2828851315189</v>
      </c>
      <c r="AG9" s="31">
        <f t="shared" si="4"/>
        <v>8746.2828851315189</v>
      </c>
      <c r="AH9" s="31">
        <f t="shared" si="4"/>
        <v>8746.2828851315189</v>
      </c>
      <c r="AI9" s="31">
        <f t="shared" si="4"/>
        <v>8746.2828851315189</v>
      </c>
      <c r="AJ9" s="35">
        <f t="shared" ref="AJ9:AJ16" si="5">SUM(X9:AI9)</f>
        <v>104955.39462157821</v>
      </c>
    </row>
    <row r="10" spans="1:36" ht="14.25" customHeight="1" x14ac:dyDescent="0.35">
      <c r="A10" s="21"/>
      <c r="B10" s="21"/>
      <c r="C10" s="33"/>
      <c r="D10" s="33" t="s">
        <v>20</v>
      </c>
      <c r="E10" s="21"/>
      <c r="F10" s="21"/>
      <c r="G10" s="21"/>
      <c r="H10" s="22" t="s">
        <v>19</v>
      </c>
      <c r="I10" s="34">
        <f>IFERROR((K10-J10)/J10,0)</f>
        <v>0</v>
      </c>
      <c r="J10" s="31"/>
      <c r="K10" s="31">
        <f t="shared" si="3"/>
        <v>91932.685528556671</v>
      </c>
      <c r="L10" s="31">
        <f>SUM('Data Aktual'!Q241:Q242)/10^6</f>
        <v>8944.5075162099984</v>
      </c>
      <c r="M10" s="31">
        <f>SUM('Data Aktual'!R241:R242)/10^6</f>
        <v>8504.9933399900001</v>
      </c>
      <c r="N10" s="31">
        <f>SUM('Data Aktual'!S241:S242)/10^6</f>
        <v>6061.6471070899997</v>
      </c>
      <c r="O10" s="31">
        <f>SUM('Data Aktual'!T241:T242)/10^6</f>
        <v>6092.7877739200003</v>
      </c>
      <c r="P10" s="31">
        <f>SUM('Data Aktual'!U241:U242)/10^6</f>
        <v>7072.8378290000001</v>
      </c>
      <c r="Q10" s="31">
        <f>SUM('Data Aktual'!V241:V242)/10^6</f>
        <v>6880.5339861400007</v>
      </c>
      <c r="R10" s="31">
        <f>SUM('Data Aktual'!W241:W242)/10^6</f>
        <v>7823.6608143500007</v>
      </c>
      <c r="S10" s="31">
        <f>SUM('Data Aktual'!X241:X242)/10^6</f>
        <v>8705.7868579500009</v>
      </c>
      <c r="T10" s="31">
        <f>SUM('Business Plan - Model Details'!R76/10^6)</f>
        <v>7961.4825759766654</v>
      </c>
      <c r="U10" s="31">
        <f>SUM('Business Plan - Model Details'!S76/10^6)</f>
        <v>7961.4825759766654</v>
      </c>
      <c r="V10" s="31">
        <f>SUM('Business Plan - Model Details'!T76/10^6)</f>
        <v>7961.4825759766654</v>
      </c>
      <c r="W10" s="31">
        <f>SUM('Business Plan - Model Details'!U76/10^6)</f>
        <v>7961.4825759766654</v>
      </c>
      <c r="X10" s="31">
        <f>SUM('Business Plan - Model Details'!V76/10^6)</f>
        <v>7961.4825759766654</v>
      </c>
      <c r="Y10" s="31">
        <f>SUM('Business Plan - Model Details'!W76/10^6)</f>
        <v>7961.4825759766654</v>
      </c>
      <c r="Z10" s="31">
        <f>SUM('Business Plan - Model Details'!X76/10^6)</f>
        <v>7961.4825759766654</v>
      </c>
      <c r="AA10" s="31">
        <f>SUM('Business Plan - Model Details'!Y76/10^6)</f>
        <v>7961.4825759766654</v>
      </c>
      <c r="AB10" s="31">
        <f>SUM('Business Plan - Model Details'!Z76/10^6)</f>
        <v>7961.4825759766654</v>
      </c>
      <c r="AC10" s="31">
        <f>SUM('Business Plan - Model Details'!AA76/10^6)</f>
        <v>7961.4825759766654</v>
      </c>
      <c r="AD10" s="31">
        <f>SUM('Business Plan - Model Details'!AB76/10^6)</f>
        <v>7961.4825759766654</v>
      </c>
      <c r="AE10" s="31">
        <f>SUM('Business Plan - Model Details'!AC76/10^6)</f>
        <v>7961.4825759766654</v>
      </c>
      <c r="AF10" s="31">
        <f>SUM('Business Plan - Model Details'!AD76/10^6)</f>
        <v>7961.4825759766654</v>
      </c>
      <c r="AG10" s="31">
        <f>SUM('Business Plan - Model Details'!AE76/10^6)</f>
        <v>7961.4825759766654</v>
      </c>
      <c r="AH10" s="31">
        <f>SUM('Business Plan - Model Details'!AF76/10^6)</f>
        <v>7961.4825759766654</v>
      </c>
      <c r="AI10" s="31">
        <f>SUM('Business Plan - Model Details'!AG76/10^6)</f>
        <v>7961.4825759766654</v>
      </c>
      <c r="AJ10" s="35">
        <f t="shared" si="5"/>
        <v>95537.790911720003</v>
      </c>
    </row>
    <row r="11" spans="1:36" ht="14.25" customHeight="1" x14ac:dyDescent="0.35">
      <c r="A11" s="21"/>
      <c r="B11" s="21"/>
      <c r="C11" s="33"/>
      <c r="D11" s="33" t="s">
        <v>21</v>
      </c>
      <c r="E11" s="21"/>
      <c r="F11" s="21"/>
      <c r="G11" s="21"/>
      <c r="H11" s="22" t="s">
        <v>19</v>
      </c>
      <c r="I11" s="34">
        <f>IFERROR((K11-J11)/J11,0)</f>
        <v>0</v>
      </c>
      <c r="J11" s="31"/>
      <c r="K11" s="31">
        <f t="shared" si="3"/>
        <v>3399.4831675462842</v>
      </c>
      <c r="L11" s="31">
        <f>'Business Plan - Model Details'!J77/10^6</f>
        <v>30.560210999999999</v>
      </c>
      <c r="M11" s="31">
        <f>'Business Plan - Model Details'!K77/10^6</f>
        <v>0.26674999999999999</v>
      </c>
      <c r="N11" s="31">
        <f>'Business Plan - Model Details'!L77/10^6</f>
        <v>150.97565</v>
      </c>
      <c r="O11" s="31">
        <f>'Business Plan - Model Details'!M77/10^6</f>
        <v>273.68549999999999</v>
      </c>
      <c r="P11" s="31">
        <f>'Business Plan - Model Details'!N77/10^6</f>
        <v>241.821</v>
      </c>
      <c r="Q11" s="31">
        <f>'Business Plan - Model Details'!O77/10^6</f>
        <v>684.21375</v>
      </c>
      <c r="R11" s="31">
        <f>'Business Plan - Model Details'!P77/10^6</f>
        <v>430.26774999999998</v>
      </c>
      <c r="S11" s="31">
        <f>'Business Plan - Model Details'!Q77/10^6</f>
        <v>349.70925</v>
      </c>
      <c r="T11" s="31">
        <f>'Business Plan - Model Details'!R77/10^6</f>
        <v>309.49582663657105</v>
      </c>
      <c r="U11" s="31">
        <f>'Business Plan - Model Details'!S77/10^6</f>
        <v>309.49582663657105</v>
      </c>
      <c r="V11" s="31">
        <f>'Business Plan - Model Details'!T77/10^6</f>
        <v>309.49582663657105</v>
      </c>
      <c r="W11" s="31">
        <f>'Business Plan - Model Details'!U77/10^6</f>
        <v>309.49582663657105</v>
      </c>
      <c r="X11" s="31">
        <f>'Business Plan - Model Details'!V77/10^6</f>
        <v>309.49582663657105</v>
      </c>
      <c r="Y11" s="31">
        <f>'Business Plan - Model Details'!W77/10^6</f>
        <v>309.49582663657105</v>
      </c>
      <c r="Z11" s="31">
        <f>'Business Plan - Model Details'!X77/10^6</f>
        <v>309.49582663657105</v>
      </c>
      <c r="AA11" s="31">
        <f>'Business Plan - Model Details'!Y77/10^6</f>
        <v>309.49582663657105</v>
      </c>
      <c r="AB11" s="31">
        <f>'Business Plan - Model Details'!Z77/10^6</f>
        <v>309.49582663657105</v>
      </c>
      <c r="AC11" s="31">
        <f>'Business Plan - Model Details'!AA77/10^6</f>
        <v>309.49582663657105</v>
      </c>
      <c r="AD11" s="31">
        <f>'Business Plan - Model Details'!AB77/10^6</f>
        <v>309.49582663657105</v>
      </c>
      <c r="AE11" s="31">
        <f>'Business Plan - Model Details'!AC77/10^6</f>
        <v>309.49582663657105</v>
      </c>
      <c r="AF11" s="31">
        <f>'Business Plan - Model Details'!AD77/10^6</f>
        <v>309.49582663657105</v>
      </c>
      <c r="AG11" s="31">
        <f>'Business Plan - Model Details'!AE77/10^6</f>
        <v>309.49582663657105</v>
      </c>
      <c r="AH11" s="31">
        <f>'Business Plan - Model Details'!AF77/10^6</f>
        <v>309.49582663657105</v>
      </c>
      <c r="AI11" s="31">
        <f>'Business Plan - Model Details'!AG77/10^6</f>
        <v>309.49582663657105</v>
      </c>
      <c r="AJ11" s="35">
        <f t="shared" si="5"/>
        <v>3713.9499196388529</v>
      </c>
    </row>
    <row r="12" spans="1:36" ht="14.25" customHeight="1" x14ac:dyDescent="0.35">
      <c r="A12" s="21"/>
      <c r="B12" s="21"/>
      <c r="C12" s="33"/>
      <c r="D12" s="33" t="s">
        <v>22</v>
      </c>
      <c r="E12" s="21"/>
      <c r="F12" s="21"/>
      <c r="G12" s="21"/>
      <c r="H12" s="22" t="s">
        <v>19</v>
      </c>
      <c r="I12" s="34">
        <f>IFERROR((K12-J12)/J12,0)</f>
        <v>0</v>
      </c>
      <c r="J12" s="31"/>
      <c r="K12" s="31">
        <f t="shared" si="3"/>
        <v>3177.5583753081237</v>
      </c>
      <c r="L12" s="31">
        <f>'Business Plan - Model Details'!J78/10^6</f>
        <v>25.717483000000001</v>
      </c>
      <c r="M12" s="31">
        <f>'Business Plan - Model Details'!K78/10^6</f>
        <v>0.49815999999999999</v>
      </c>
      <c r="N12" s="31">
        <f>'Business Plan - Model Details'!L78/10^6</f>
        <v>150.95685</v>
      </c>
      <c r="O12" s="31">
        <f>'Business Plan - Model Details'!M78/10^6</f>
        <v>264.00085000000001</v>
      </c>
      <c r="P12" s="31">
        <f>'Business Plan - Model Details'!N78/10^6</f>
        <v>255.54650000000001</v>
      </c>
      <c r="Q12" s="31">
        <f>'Business Plan - Model Details'!O78/10^6</f>
        <v>653.88289999999995</v>
      </c>
      <c r="R12" s="31">
        <f>'Business Plan - Model Details'!P78/10^6</f>
        <v>404.6592</v>
      </c>
      <c r="S12" s="31">
        <f>'Business Plan - Model Details'!Q78/10^6</f>
        <v>354.6037</v>
      </c>
      <c r="T12" s="31">
        <f>'Business Plan - Model Details'!R78/10^6</f>
        <v>266.92318307703073</v>
      </c>
      <c r="U12" s="31">
        <f>'Business Plan - Model Details'!S78/10^6</f>
        <v>266.92318307703073</v>
      </c>
      <c r="V12" s="31">
        <f>'Business Plan - Model Details'!T78/10^6</f>
        <v>266.92318307703073</v>
      </c>
      <c r="W12" s="31">
        <f>'Business Plan - Model Details'!U78/10^6</f>
        <v>266.92318307703073</v>
      </c>
      <c r="X12" s="31">
        <f>'Business Plan - Model Details'!V78/10^6</f>
        <v>266.92318307703073</v>
      </c>
      <c r="Y12" s="31">
        <f>'Business Plan - Model Details'!W78/10^6</f>
        <v>266.92318307703073</v>
      </c>
      <c r="Z12" s="31">
        <f>'Business Plan - Model Details'!X78/10^6</f>
        <v>266.92318307703073</v>
      </c>
      <c r="AA12" s="31">
        <f>'Business Plan - Model Details'!Y78/10^6</f>
        <v>266.92318307703073</v>
      </c>
      <c r="AB12" s="31">
        <f>'Business Plan - Model Details'!Z78/10^6</f>
        <v>266.92318307703073</v>
      </c>
      <c r="AC12" s="31">
        <f>'Business Plan - Model Details'!AA78/10^6</f>
        <v>266.92318307703073</v>
      </c>
      <c r="AD12" s="31">
        <f>'Business Plan - Model Details'!AB78/10^6</f>
        <v>266.92318307703073</v>
      </c>
      <c r="AE12" s="31">
        <f>'Business Plan - Model Details'!AC78/10^6</f>
        <v>266.92318307703073</v>
      </c>
      <c r="AF12" s="31">
        <f>'Business Plan - Model Details'!AD78/10^6</f>
        <v>266.92318307703073</v>
      </c>
      <c r="AG12" s="31">
        <f>'Business Plan - Model Details'!AE78/10^6</f>
        <v>266.92318307703073</v>
      </c>
      <c r="AH12" s="31">
        <f>'Business Plan - Model Details'!AF78/10^6</f>
        <v>266.92318307703073</v>
      </c>
      <c r="AI12" s="31">
        <f>'Business Plan - Model Details'!AG78/10^6</f>
        <v>266.92318307703073</v>
      </c>
      <c r="AJ12" s="35">
        <f t="shared" si="5"/>
        <v>3203.0781969243694</v>
      </c>
    </row>
    <row r="13" spans="1:36" ht="14.25" customHeight="1" x14ac:dyDescent="0.35">
      <c r="A13" s="21"/>
      <c r="B13" s="21"/>
      <c r="C13" s="33"/>
      <c r="D13" s="33" t="s">
        <v>23</v>
      </c>
      <c r="E13" s="21"/>
      <c r="F13" s="21" t="s">
        <v>24</v>
      </c>
      <c r="G13" s="21"/>
      <c r="H13" s="22" t="s">
        <v>19</v>
      </c>
      <c r="I13" s="34">
        <f>IFERROR((K13-J13)/J13,0)</f>
        <v>0</v>
      </c>
      <c r="J13" s="31"/>
      <c r="K13" s="31">
        <f t="shared" si="3"/>
        <v>3073.3863138350134</v>
      </c>
      <c r="L13" s="31">
        <f>'Business Plan - Model Details'!J83/10^6</f>
        <v>429.98576683999801</v>
      </c>
      <c r="M13" s="31">
        <f>'Business Plan - Model Details'!K83/10^6</f>
        <v>216.98376517001</v>
      </c>
      <c r="N13" s="31">
        <f>'Business Plan - Model Details'!L83/10^6</f>
        <v>92.358781049998299</v>
      </c>
      <c r="O13" s="31">
        <f>'Business Plan - Model Details'!M83/10^6</f>
        <v>283.67812673999998</v>
      </c>
      <c r="P13" s="31">
        <f>'Business Plan - Model Details'!N83/10^6</f>
        <v>196.73241315999903</v>
      </c>
      <c r="Q13" s="31">
        <f>'Business Plan - Model Details'!O83/10^6</f>
        <v>175.60695522</v>
      </c>
      <c r="R13" s="31">
        <f>'Business Plan - Model Details'!P83/10^6</f>
        <v>353.60475583000397</v>
      </c>
      <c r="S13" s="31">
        <f>'Business Plan - Model Details'!Q83/10^6</f>
        <v>490.91055205999999</v>
      </c>
      <c r="T13" s="31">
        <f>'Business Plan - Model Details'!R83/10^6</f>
        <v>208.381299441251</v>
      </c>
      <c r="U13" s="31">
        <f>'Business Plan - Model Details'!S83/10^6</f>
        <v>208.381299441251</v>
      </c>
      <c r="V13" s="31">
        <f>'Business Plan - Model Details'!T83/10^6</f>
        <v>208.381299441251</v>
      </c>
      <c r="W13" s="31">
        <f>'Business Plan - Model Details'!U83/10^6</f>
        <v>208.381299441251</v>
      </c>
      <c r="X13" s="31">
        <f>'Business Plan - Model Details'!V83/10^6</f>
        <v>208.381299441251</v>
      </c>
      <c r="Y13" s="31">
        <f>'Business Plan - Model Details'!W83/10^6</f>
        <v>208.381299441251</v>
      </c>
      <c r="Z13" s="31">
        <f>'Business Plan - Model Details'!X83/10^6</f>
        <v>208.381299441251</v>
      </c>
      <c r="AA13" s="31">
        <f>'Business Plan - Model Details'!Y83/10^6</f>
        <v>208.381299441251</v>
      </c>
      <c r="AB13" s="31">
        <f>'Business Plan - Model Details'!Z83/10^6</f>
        <v>208.381299441251</v>
      </c>
      <c r="AC13" s="31">
        <f>'Business Plan - Model Details'!AA83/10^6</f>
        <v>208.381299441251</v>
      </c>
      <c r="AD13" s="31">
        <f>'Business Plan - Model Details'!AB83/10^6</f>
        <v>208.381299441251</v>
      </c>
      <c r="AE13" s="31">
        <f>'Business Plan - Model Details'!AC83/10^6</f>
        <v>208.381299441251</v>
      </c>
      <c r="AF13" s="31">
        <f>'Business Plan - Model Details'!AD83/10^6</f>
        <v>208.381299441251</v>
      </c>
      <c r="AG13" s="31">
        <f>'Business Plan - Model Details'!AE83/10^6</f>
        <v>208.381299441251</v>
      </c>
      <c r="AH13" s="31">
        <f>'Business Plan - Model Details'!AF83/10^6</f>
        <v>208.381299441251</v>
      </c>
      <c r="AI13" s="31">
        <f>'Business Plan - Model Details'!AG83/10^6</f>
        <v>208.381299441251</v>
      </c>
      <c r="AJ13" s="35">
        <f t="shared" si="5"/>
        <v>2500.5755932950119</v>
      </c>
    </row>
    <row r="14" spans="1:36" ht="14.25" customHeight="1" x14ac:dyDescent="0.35">
      <c r="A14" s="21"/>
      <c r="B14" s="21"/>
      <c r="C14" s="33" t="s">
        <v>25</v>
      </c>
      <c r="D14" s="36"/>
      <c r="E14" s="21"/>
      <c r="F14" s="21"/>
      <c r="G14" s="21"/>
      <c r="H14" s="22"/>
      <c r="I14" s="34"/>
      <c r="J14" s="31"/>
      <c r="K14" s="31">
        <f t="shared" si="3"/>
        <v>-78.300749999999994</v>
      </c>
      <c r="L14" s="31">
        <f t="shared" ref="L14:AI14" si="6">SUM(L15:L16)</f>
        <v>0</v>
      </c>
      <c r="M14" s="31">
        <f t="shared" si="6"/>
        <v>0</v>
      </c>
      <c r="N14" s="31">
        <f t="shared" si="6"/>
        <v>-62.701099999999997</v>
      </c>
      <c r="O14" s="31">
        <f t="shared" si="6"/>
        <v>0</v>
      </c>
      <c r="P14" s="31">
        <f t="shared" si="6"/>
        <v>0</v>
      </c>
      <c r="Q14" s="31">
        <f t="shared" si="6"/>
        <v>0</v>
      </c>
      <c r="R14" s="31">
        <f t="shared" si="6"/>
        <v>-15.59965</v>
      </c>
      <c r="S14" s="31">
        <f t="shared" si="6"/>
        <v>0</v>
      </c>
      <c r="T14" s="31">
        <f t="shared" si="6"/>
        <v>0</v>
      </c>
      <c r="U14" s="31">
        <f t="shared" si="6"/>
        <v>0</v>
      </c>
      <c r="V14" s="31">
        <f t="shared" si="6"/>
        <v>0</v>
      </c>
      <c r="W14" s="31">
        <f t="shared" si="6"/>
        <v>0</v>
      </c>
      <c r="X14" s="31">
        <f t="shared" si="6"/>
        <v>0</v>
      </c>
      <c r="Y14" s="31">
        <f t="shared" si="6"/>
        <v>0</v>
      </c>
      <c r="Z14" s="31">
        <f t="shared" si="6"/>
        <v>0</v>
      </c>
      <c r="AA14" s="31">
        <f t="shared" si="6"/>
        <v>0</v>
      </c>
      <c r="AB14" s="31">
        <f t="shared" si="6"/>
        <v>0</v>
      </c>
      <c r="AC14" s="31">
        <f t="shared" si="6"/>
        <v>0</v>
      </c>
      <c r="AD14" s="31">
        <f t="shared" si="6"/>
        <v>0</v>
      </c>
      <c r="AE14" s="31">
        <f t="shared" si="6"/>
        <v>0</v>
      </c>
      <c r="AF14" s="31">
        <f t="shared" si="6"/>
        <v>0</v>
      </c>
      <c r="AG14" s="31">
        <f t="shared" si="6"/>
        <v>0</v>
      </c>
      <c r="AH14" s="31">
        <f t="shared" si="6"/>
        <v>0</v>
      </c>
      <c r="AI14" s="31">
        <f t="shared" si="6"/>
        <v>0</v>
      </c>
      <c r="AJ14" s="35">
        <f t="shared" si="5"/>
        <v>0</v>
      </c>
    </row>
    <row r="15" spans="1:36" ht="14.25" customHeight="1" x14ac:dyDescent="0.35">
      <c r="A15" s="21"/>
      <c r="B15" s="21"/>
      <c r="C15" s="36"/>
      <c r="D15" s="33" t="s">
        <v>26</v>
      </c>
      <c r="E15" s="21"/>
      <c r="F15" s="21"/>
      <c r="G15" s="21"/>
      <c r="H15" s="22" t="s">
        <v>19</v>
      </c>
      <c r="I15" s="34">
        <f>IFERROR((K15-J15)/J15,0)</f>
        <v>0</v>
      </c>
      <c r="J15" s="31"/>
      <c r="K15" s="31">
        <f t="shared" si="3"/>
        <v>0</v>
      </c>
      <c r="L15" s="31">
        <f>SUMIFS('PL Actual MTM - Aug 26'!D:D,'PL Actual MTM - Aug 26'!$R:$R,"Sales Return")/10^6</f>
        <v>0</v>
      </c>
      <c r="M15" s="31">
        <f>SUMIFS('PL Actual MTM - Aug 26'!E:E,'PL Actual MTM - Aug 26'!$R:$R,"Sales Return")/10^6</f>
        <v>0</v>
      </c>
      <c r="N15" s="31">
        <v>0</v>
      </c>
      <c r="O15" s="31">
        <f>SUMIFS('PL Actual MTM - Aug 26'!G:G,'PL Actual MTM - Aug 26'!$R:$R,"Sales Return")/10^6</f>
        <v>0</v>
      </c>
      <c r="P15" s="31">
        <f>SUMIFS('PL Actual MTM - Aug 26'!H:H,'PL Actual MTM - Aug 26'!$R:$R,"Sales Return")/10^6</f>
        <v>0</v>
      </c>
      <c r="Q15" s="31">
        <f>SUMIFS('PL Actual MTM - Aug 26'!I:I,'PL Actual MTM - Aug 26'!$R:$R,"Sales Return")/10^6</f>
        <v>0</v>
      </c>
      <c r="R15" s="31">
        <v>0</v>
      </c>
      <c r="S15" s="31">
        <f>SUMIFS('PL Actual MTM - Aug 26'!K:K,'PL Actual MTM - Aug 26'!$R:$R,"Sales Return")/10^6</f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0</v>
      </c>
      <c r="AC15" s="31">
        <v>0</v>
      </c>
      <c r="AD15" s="31">
        <v>0</v>
      </c>
      <c r="AE15" s="31">
        <v>0</v>
      </c>
      <c r="AF15" s="31">
        <v>0</v>
      </c>
      <c r="AG15" s="31">
        <v>0</v>
      </c>
      <c r="AH15" s="31">
        <v>0</v>
      </c>
      <c r="AI15" s="31">
        <v>0</v>
      </c>
      <c r="AJ15" s="35">
        <f t="shared" si="5"/>
        <v>0</v>
      </c>
    </row>
    <row r="16" spans="1:36" ht="14.25" customHeight="1" x14ac:dyDescent="0.35">
      <c r="A16" s="21"/>
      <c r="B16" s="21"/>
      <c r="C16" s="36"/>
      <c r="D16" s="33" t="s">
        <v>27</v>
      </c>
      <c r="E16" s="21"/>
      <c r="F16" s="21"/>
      <c r="G16" s="21"/>
      <c r="H16" s="22" t="s">
        <v>19</v>
      </c>
      <c r="I16" s="34">
        <f>IFERROR((K16-J16)/J16,0)</f>
        <v>0</v>
      </c>
      <c r="J16" s="31"/>
      <c r="K16" s="31">
        <f t="shared" si="3"/>
        <v>-78.300749999999994</v>
      </c>
      <c r="L16" s="31">
        <f>SUMIFS('PL Actual MTM - Aug 26'!D:D,'PL Actual MTM - Aug 26'!$R:$R,"Sales Return")/10^6</f>
        <v>0</v>
      </c>
      <c r="M16" s="31">
        <f>SUMIFS('PL Actual MTM - Aug 26'!E:E,'PL Actual MTM - Aug 26'!$R:$R,"Sales Return")/10^6</f>
        <v>0</v>
      </c>
      <c r="N16" s="31">
        <f>SUMIFS('PL Actual MTM - Aug 26'!F:F,'PL Actual MTM - Aug 26'!$R:$R,"Sales Return")/10^6</f>
        <v>-62.701099999999997</v>
      </c>
      <c r="O16" s="31">
        <f>SUMIFS('PL Actual MTM - Aug 26'!G:G,'PL Actual MTM - Aug 26'!$R:$R,"Sales Return")/10^6</f>
        <v>0</v>
      </c>
      <c r="P16" s="31">
        <f>SUMIFS('PL Actual MTM - Aug 26'!H:H,'PL Actual MTM - Aug 26'!$R:$R,"Sales Return")/10^6</f>
        <v>0</v>
      </c>
      <c r="Q16" s="31">
        <f>SUMIFS('PL Actual MTM - Aug 26'!I:I,'PL Actual MTM - Aug 26'!$R:$R,"Sales Return")/10^6</f>
        <v>0</v>
      </c>
      <c r="R16" s="31">
        <f>SUMIFS('PL Actual MTM - Aug 26'!J:J,'PL Actual MTM - Aug 26'!$R:$R,"Sales Return")/10^6</f>
        <v>-15.59965</v>
      </c>
      <c r="S16" s="31">
        <f>SUMIFS('PL Actual MTM - Aug 26'!K:K,'PL Actual MTM - Aug 26'!$R:$R,"Sales Return")/10^6</f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1">
        <v>0</v>
      </c>
      <c r="AH16" s="31">
        <v>0</v>
      </c>
      <c r="AI16" s="31">
        <v>0</v>
      </c>
      <c r="AJ16" s="35">
        <f t="shared" si="5"/>
        <v>0</v>
      </c>
    </row>
    <row r="17" spans="1:36" ht="14.25" customHeight="1" x14ac:dyDescent="0.35">
      <c r="A17" s="21"/>
      <c r="B17" s="21"/>
      <c r="C17" s="37" t="s">
        <v>28</v>
      </c>
      <c r="D17" s="37"/>
      <c r="E17" s="37"/>
      <c r="F17" s="37"/>
      <c r="G17" s="37"/>
      <c r="H17" s="38" t="s">
        <v>19</v>
      </c>
      <c r="I17" s="39">
        <f>IFERROR((K17-J17)/J17,0)</f>
        <v>0</v>
      </c>
      <c r="J17" s="40">
        <f>SUM(J9,J16)</f>
        <v>0</v>
      </c>
      <c r="K17" s="40">
        <f>SUM(K9,K16)</f>
        <v>101057.14517059606</v>
      </c>
      <c r="L17" s="40">
        <f t="shared" ref="L17:AI17" si="7">SUM(L14,L9)</f>
        <v>9369.4465608400005</v>
      </c>
      <c r="M17" s="40">
        <f t="shared" si="7"/>
        <v>8659.5706651700093</v>
      </c>
      <c r="N17" s="40">
        <f t="shared" si="7"/>
        <v>6484.5567810499997</v>
      </c>
      <c r="O17" s="40">
        <f t="shared" si="7"/>
        <v>6850.5286967399998</v>
      </c>
      <c r="P17" s="40">
        <f t="shared" si="7"/>
        <v>7705.4168631599996</v>
      </c>
      <c r="Q17" s="40">
        <f t="shared" si="7"/>
        <v>8295.2877552200007</v>
      </c>
      <c r="R17" s="40">
        <f t="shared" si="7"/>
        <v>8914.0808558299996</v>
      </c>
      <c r="S17" s="40">
        <f t="shared" si="7"/>
        <v>9793.1254520599996</v>
      </c>
      <c r="T17" s="40">
        <f t="shared" si="7"/>
        <v>8746.2828851315189</v>
      </c>
      <c r="U17" s="40">
        <f t="shared" si="7"/>
        <v>8746.2828851315189</v>
      </c>
      <c r="V17" s="40">
        <f t="shared" si="7"/>
        <v>8746.2828851315189</v>
      </c>
      <c r="W17" s="40">
        <f t="shared" si="7"/>
        <v>8746.2828851315189</v>
      </c>
      <c r="X17" s="40">
        <f t="shared" si="7"/>
        <v>8746.2828851315189</v>
      </c>
      <c r="Y17" s="40">
        <f t="shared" si="7"/>
        <v>8746.2828851315189</v>
      </c>
      <c r="Z17" s="40">
        <f t="shared" si="7"/>
        <v>8746.2828851315189</v>
      </c>
      <c r="AA17" s="40">
        <f t="shared" si="7"/>
        <v>8746.2828851315189</v>
      </c>
      <c r="AB17" s="40">
        <f t="shared" si="7"/>
        <v>8746.2828851315189</v>
      </c>
      <c r="AC17" s="40">
        <f t="shared" si="7"/>
        <v>8746.2828851315189</v>
      </c>
      <c r="AD17" s="40">
        <f t="shared" si="7"/>
        <v>8746.2828851315189</v>
      </c>
      <c r="AE17" s="40">
        <f t="shared" si="7"/>
        <v>8746.2828851315189</v>
      </c>
      <c r="AF17" s="40">
        <f t="shared" si="7"/>
        <v>8746.2828851315189</v>
      </c>
      <c r="AG17" s="40">
        <f t="shared" si="7"/>
        <v>8746.2828851315189</v>
      </c>
      <c r="AH17" s="40">
        <f t="shared" si="7"/>
        <v>8746.2828851315189</v>
      </c>
      <c r="AI17" s="40">
        <f t="shared" si="7"/>
        <v>8746.2828851315189</v>
      </c>
      <c r="AJ17" s="35">
        <f>SUM(AJ9,AJ16)</f>
        <v>104955.39462157821</v>
      </c>
    </row>
    <row r="18" spans="1:36" ht="14.25" customHeight="1" x14ac:dyDescent="0.35">
      <c r="A18" s="21"/>
      <c r="B18" s="21"/>
      <c r="C18" s="21" t="s">
        <v>20</v>
      </c>
      <c r="D18" s="28"/>
      <c r="E18" s="28"/>
      <c r="F18" s="28"/>
      <c r="G18" s="28"/>
      <c r="H18" s="22" t="s">
        <v>19</v>
      </c>
      <c r="I18" s="34">
        <f>IFERROR((K18-J18)/J18,0)</f>
        <v>0</v>
      </c>
      <c r="J18" s="41"/>
      <c r="K18" s="31">
        <f>SUM(L18:W18)</f>
        <v>-79243.625098593388</v>
      </c>
      <c r="L18" s="31">
        <f t="shared" ref="L18:AI18" si="8">SUM(L20:L26,L28:L32)</f>
        <v>-6689.2956175673971</v>
      </c>
      <c r="M18" s="31">
        <f t="shared" si="8"/>
        <v>-6206.1888860333765</v>
      </c>
      <c r="N18" s="31">
        <f t="shared" si="8"/>
        <v>-5128.5947267418778</v>
      </c>
      <c r="O18" s="31">
        <f t="shared" si="8"/>
        <v>-5575.0518867549863</v>
      </c>
      <c r="P18" s="31">
        <f t="shared" si="8"/>
        <v>-6145.355499997996</v>
      </c>
      <c r="Q18" s="31">
        <f t="shared" si="8"/>
        <v>-6472.8107109728498</v>
      </c>
      <c r="R18" s="31">
        <f t="shared" si="8"/>
        <v>-6798.4327169768594</v>
      </c>
      <c r="S18" s="31">
        <f t="shared" si="8"/>
        <v>-7437.8718582666643</v>
      </c>
      <c r="T18" s="31">
        <f t="shared" si="8"/>
        <v>-7106.9300139296856</v>
      </c>
      <c r="U18" s="31">
        <f t="shared" si="8"/>
        <v>-7183.4280434316006</v>
      </c>
      <c r="V18" s="31">
        <f t="shared" si="8"/>
        <v>-7249.0645168545816</v>
      </c>
      <c r="W18" s="31">
        <f t="shared" si="8"/>
        <v>-7250.6006210655205</v>
      </c>
      <c r="X18" s="31">
        <f t="shared" si="8"/>
        <v>-7250.067610939187</v>
      </c>
      <c r="Y18" s="31">
        <f t="shared" si="8"/>
        <v>-7246.3027286627448</v>
      </c>
      <c r="Z18" s="31">
        <f t="shared" si="8"/>
        <v>-7247.0164379917587</v>
      </c>
      <c r="AA18" s="31">
        <f t="shared" si="8"/>
        <v>-7241.7170635321854</v>
      </c>
      <c r="AB18" s="31">
        <f t="shared" si="8"/>
        <v>-7241.2659413101264</v>
      </c>
      <c r="AC18" s="31">
        <f t="shared" si="8"/>
        <v>-7239.739155987636</v>
      </c>
      <c r="AD18" s="31">
        <f t="shared" si="8"/>
        <v>-7238.8709350655326</v>
      </c>
      <c r="AE18" s="31">
        <f t="shared" si="8"/>
        <v>-7237.6277883755083</v>
      </c>
      <c r="AF18" s="31">
        <f t="shared" si="8"/>
        <v>-7237.6628809771519</v>
      </c>
      <c r="AG18" s="31">
        <f t="shared" si="8"/>
        <v>-7237.1078288689459</v>
      </c>
      <c r="AH18" s="31">
        <f t="shared" si="8"/>
        <v>-7237.1321499117093</v>
      </c>
      <c r="AI18" s="31">
        <f t="shared" si="8"/>
        <v>-7236.8157722688438</v>
      </c>
      <c r="AJ18" s="35"/>
    </row>
    <row r="19" spans="1:36" ht="14.25" hidden="1" customHeight="1" outlineLevel="1" x14ac:dyDescent="0.35">
      <c r="A19" s="21"/>
      <c r="B19" s="21"/>
      <c r="C19" s="28"/>
      <c r="D19" s="33" t="s">
        <v>29</v>
      </c>
      <c r="E19" s="33"/>
      <c r="F19" s="21"/>
      <c r="G19" s="21"/>
      <c r="H19" s="22"/>
      <c r="I19" s="34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</row>
    <row r="20" spans="1:36" ht="14.25" hidden="1" customHeight="1" outlineLevel="1" x14ac:dyDescent="0.35">
      <c r="A20" s="21"/>
      <c r="B20" s="21"/>
      <c r="C20" s="28"/>
      <c r="D20" s="33"/>
      <c r="E20" s="33" t="s">
        <v>30</v>
      </c>
      <c r="F20" s="21"/>
      <c r="G20" s="21"/>
      <c r="H20" s="22" t="s">
        <v>19</v>
      </c>
      <c r="I20" s="34">
        <f t="shared" ref="I20:I26" si="9">IFERROR((K20-J20)/J20,0)</f>
        <v>0</v>
      </c>
      <c r="J20" s="31"/>
      <c r="K20" s="31">
        <f t="shared" ref="K20:K26" si="10">SUM(L20:W20)</f>
        <v>-29186.661341713734</v>
      </c>
      <c r="L20" s="31">
        <f>-'Business Plan - Model Details'!J546/10^6</f>
        <v>-2152.605712500002</v>
      </c>
      <c r="M20" s="31">
        <f>-'Business Plan - Model Details'!K546/10^6</f>
        <v>-1978.8553629069463</v>
      </c>
      <c r="N20" s="31">
        <f>-'Business Plan - Model Details'!L546/10^6</f>
        <v>-1593.9767360272867</v>
      </c>
      <c r="O20" s="31">
        <f>-'Business Plan - Model Details'!M546/10^6</f>
        <v>-1650.8016166240593</v>
      </c>
      <c r="P20" s="31">
        <f>-'Business Plan - Model Details'!N546/10^6</f>
        <v>-2023.7932438832047</v>
      </c>
      <c r="Q20" s="31">
        <f>-'Business Plan - Model Details'!O546/10^6</f>
        <v>-2337.9550276098703</v>
      </c>
      <c r="R20" s="31">
        <f>-'Business Plan - Model Details'!P546/10^6</f>
        <v>-2576.5355211791993</v>
      </c>
      <c r="S20" s="31">
        <f>-'Business Plan - Model Details'!Q546/10^6</f>
        <v>-3103.9859294686298</v>
      </c>
      <c r="T20" s="31">
        <f>-'Business Plan - Model Details'!R546/10^6</f>
        <v>-2859.0633649713577</v>
      </c>
      <c r="U20" s="31">
        <f>-'Business Plan - Model Details'!S546/10^6</f>
        <v>-2913.500119063584</v>
      </c>
      <c r="V20" s="31">
        <f>-'Business Plan - Model Details'!T546/10^6</f>
        <v>-2996.5733354912572</v>
      </c>
      <c r="W20" s="31">
        <f>-'Business Plan - Model Details'!U546/10^6</f>
        <v>-2999.0153719883388</v>
      </c>
      <c r="X20" s="31">
        <f>-'Business Plan - Model Details'!V546/10^6</f>
        <v>-2999.4464754558439</v>
      </c>
      <c r="Y20" s="31">
        <f>-'Business Plan - Model Details'!W546/10^6</f>
        <v>-2998.3445246700794</v>
      </c>
      <c r="Z20" s="31">
        <f>-'Business Plan - Model Details'!X546/10^6</f>
        <v>-2998.9353885143828</v>
      </c>
      <c r="AA20" s="31">
        <f>-'Business Plan - Model Details'!Y546/10^6</f>
        <v>-2998.9087283086701</v>
      </c>
      <c r="AB20" s="31">
        <f>-'Business Plan - Model Details'!Z546/10^6</f>
        <v>-2998.7295222956895</v>
      </c>
      <c r="AC20" s="31">
        <f>-'Business Plan - Model Details'!AA546/10^6</f>
        <v>-2998.8578769073165</v>
      </c>
      <c r="AD20" s="31">
        <f>-'Business Plan - Model Details'!AB546/10^6</f>
        <v>-2998.8320405993077</v>
      </c>
      <c r="AE20" s="31">
        <f>-'Business Plan - Model Details'!AC546/10^6</f>
        <v>-2998.8064789049663</v>
      </c>
      <c r="AF20" s="31">
        <f>-'Business Plan - Model Details'!AD546/10^6</f>
        <v>-2998.8321319897227</v>
      </c>
      <c r="AG20" s="31">
        <f>-'Business Plan - Model Details'!AE546/10^6</f>
        <v>-2998.8235504491918</v>
      </c>
      <c r="AH20" s="31">
        <f>-'Business Plan - Model Details'!AF546/10^6</f>
        <v>-2998.8207204098799</v>
      </c>
      <c r="AI20" s="31">
        <f>-'Business Plan - Model Details'!AG546/10^6</f>
        <v>-2998.8254676083775</v>
      </c>
      <c r="AJ20" s="35">
        <f>SUM(X20:AI20)</f>
        <v>-35986.16290611343</v>
      </c>
    </row>
    <row r="21" spans="1:36" ht="14.25" hidden="1" customHeight="1" outlineLevel="1" x14ac:dyDescent="0.35">
      <c r="A21" s="21"/>
      <c r="B21" s="21"/>
      <c r="C21" s="28"/>
      <c r="D21" s="33"/>
      <c r="E21" s="33" t="s">
        <v>31</v>
      </c>
      <c r="F21" s="21"/>
      <c r="G21" s="21"/>
      <c r="H21" s="22" t="s">
        <v>19</v>
      </c>
      <c r="I21" s="34">
        <f t="shared" si="9"/>
        <v>0</v>
      </c>
      <c r="J21" s="31"/>
      <c r="K21" s="31">
        <f t="shared" si="10"/>
        <v>-16008.371186543603</v>
      </c>
      <c r="L21" s="31">
        <f>-'Business Plan - Model Details'!J547/10^6</f>
        <v>-1501.8929976382353</v>
      </c>
      <c r="M21" s="31">
        <f>-'Business Plan - Model Details'!K547/10^6</f>
        <v>-1387.4365891721839</v>
      </c>
      <c r="N21" s="31">
        <f>-'Business Plan - Model Details'!L547/10^6</f>
        <v>-1076.0138149848308</v>
      </c>
      <c r="O21" s="31">
        <f>-'Business Plan - Model Details'!M547/10^6</f>
        <v>-1147.0870226582165</v>
      </c>
      <c r="P21" s="31">
        <f>-'Business Plan - Model Details'!N547/10^6</f>
        <v>-1270.1683764645331</v>
      </c>
      <c r="Q21" s="31">
        <f>-'Business Plan - Model Details'!O547/10^6</f>
        <v>-1259.1325635706344</v>
      </c>
      <c r="R21" s="31">
        <f>-'Business Plan - Model Details'!P547/10^6</f>
        <v>-1334.6781653892394</v>
      </c>
      <c r="S21" s="31">
        <f>-'Business Plan - Model Details'!Q547/10^6</f>
        <v>-1362.1392498630871</v>
      </c>
      <c r="T21" s="31">
        <f>-'Business Plan - Model Details'!R547/10^6</f>
        <v>-1418.321688671947</v>
      </c>
      <c r="U21" s="31">
        <f>-'Business Plan - Model Details'!S547/10^6</f>
        <v>-1418.8723276376443</v>
      </c>
      <c r="V21" s="31">
        <f>-'Business Plan - Model Details'!T547/10^6</f>
        <v>-1415.7448791192105</v>
      </c>
      <c r="W21" s="31">
        <f>-'Business Plan - Model Details'!U547/10^6</f>
        <v>-1416.8835113738401</v>
      </c>
      <c r="X21" s="31">
        <f>-'Business Plan - Model Details'!V547/10^6</f>
        <v>-1417.085968270397</v>
      </c>
      <c r="Y21" s="31">
        <f>-'Business Plan - Model Details'!W547/10^6</f>
        <v>-1416.5628158028399</v>
      </c>
      <c r="Z21" s="31">
        <f>-'Business Plan - Model Details'!X547/10^6</f>
        <v>-1416.8431863438523</v>
      </c>
      <c r="AA21" s="31">
        <f>-'Business Plan - Model Details'!Y547/10^6</f>
        <v>-1416.8305323160073</v>
      </c>
      <c r="AB21" s="31">
        <f>-'Business Plan - Model Details'!Z547/10^6</f>
        <v>-1416.7454900066755</v>
      </c>
      <c r="AC21" s="31">
        <f>-'Business Plan - Model Details'!AA547/10^6</f>
        <v>-1416.806400545124</v>
      </c>
      <c r="AD21" s="31">
        <f>-'Business Plan - Model Details'!AB547/10^6</f>
        <v>-1416.7941399455819</v>
      </c>
      <c r="AE21" s="31">
        <f>-'Business Plan - Model Details'!AC547/10^6</f>
        <v>-1416.7820096662406</v>
      </c>
      <c r="AF21" s="31">
        <f>-'Business Plan - Model Details'!AD547/10^6</f>
        <v>-1416.7941833144919</v>
      </c>
      <c r="AG21" s="31">
        <f>-'Business Plan - Model Details'!AE547/10^6</f>
        <v>-1416.7901109521531</v>
      </c>
      <c r="AH21" s="31">
        <f>-'Business Plan - Model Details'!AF547/10^6</f>
        <v>-1416.7887679595451</v>
      </c>
      <c r="AI21" s="31">
        <f>-'Business Plan - Model Details'!AG547/10^6</f>
        <v>-1416.79102073832</v>
      </c>
    </row>
    <row r="22" spans="1:36" ht="14.25" hidden="1" customHeight="1" outlineLevel="1" x14ac:dyDescent="0.35">
      <c r="A22" s="21"/>
      <c r="B22" s="21"/>
      <c r="C22" s="28"/>
      <c r="D22" s="33"/>
      <c r="E22" s="33" t="s">
        <v>32</v>
      </c>
      <c r="F22" s="21"/>
      <c r="G22" s="21"/>
      <c r="H22" s="22" t="s">
        <v>19</v>
      </c>
      <c r="I22" s="34">
        <f t="shared" si="9"/>
        <v>0</v>
      </c>
      <c r="J22" s="31"/>
      <c r="K22" s="31">
        <f t="shared" si="10"/>
        <v>-12201.973659684067</v>
      </c>
      <c r="L22" s="31">
        <f>-'Business Plan - Model Details'!J548/10^6</f>
        <v>-1107.9619324488599</v>
      </c>
      <c r="M22" s="31">
        <f>-'Business Plan - Model Details'!K548/10^6</f>
        <v>-1018.5149464510999</v>
      </c>
      <c r="N22" s="31">
        <f>-'Business Plan - Model Details'!L548/10^6</f>
        <v>-817.96910962157801</v>
      </c>
      <c r="O22" s="31">
        <f>-'Business Plan - Model Details'!M548/10^6</f>
        <v>-850.71281037520305</v>
      </c>
      <c r="P22" s="31">
        <f>-'Business Plan - Model Details'!N548/10^6</f>
        <v>-990.88117044089199</v>
      </c>
      <c r="Q22" s="31">
        <f>-'Business Plan - Model Details'!O548/10^6</f>
        <v>-1022.58935717267</v>
      </c>
      <c r="R22" s="31">
        <f>-'Business Plan - Model Details'!P548/10^6</f>
        <v>-1055.0997282328301</v>
      </c>
      <c r="S22" s="31">
        <f>-'Business Plan - Model Details'!Q548/10^6</f>
        <v>-1156.69902988593</v>
      </c>
      <c r="T22" s="31">
        <f>-'Business Plan - Model Details'!R548/10^6</f>
        <v>-1044.9331925160584</v>
      </c>
      <c r="U22" s="31">
        <f>-'Business Plan - Model Details'!S548/10^6</f>
        <v>-1046.6958784926278</v>
      </c>
      <c r="V22" s="31">
        <f>-'Business Plan - Model Details'!T548/10^6</f>
        <v>-1044.5307418338161</v>
      </c>
      <c r="W22" s="31">
        <f>-'Business Plan - Model Details'!U548/10^6</f>
        <v>-1045.385762212502</v>
      </c>
      <c r="X22" s="31">
        <f>-'Business Plan - Model Details'!V548/10^6</f>
        <v>-1045.536702728944</v>
      </c>
      <c r="Y22" s="31">
        <f>-'Business Plan - Model Details'!W548/10^6</f>
        <v>-1045.150881149593</v>
      </c>
      <c r="Z22" s="31">
        <f>-'Business Plan - Model Details'!X548/10^6</f>
        <v>-1045.357757921709</v>
      </c>
      <c r="AA22" s="31">
        <f>-'Business Plan - Model Details'!Y548/10^6</f>
        <v>-1045.3484234915272</v>
      </c>
      <c r="AB22" s="31">
        <f>-'Business Plan - Model Details'!Z548/10^6</f>
        <v>-1045.2856788137697</v>
      </c>
      <c r="AC22" s="31">
        <f>-'Business Plan - Model Details'!AA548/10^6</f>
        <v>-1045.3306190956903</v>
      </c>
      <c r="AD22" s="31">
        <f>-'Business Plan - Model Details'!AB548/10^6</f>
        <v>-1045.3215731334856</v>
      </c>
      <c r="AE22" s="31">
        <f>-'Business Plan - Model Details'!AC548/10^6</f>
        <v>-1045.3126233206542</v>
      </c>
      <c r="AF22" s="31">
        <f>-'Business Plan - Model Details'!AD548/10^6</f>
        <v>-1045.3216051316417</v>
      </c>
      <c r="AG22" s="31">
        <f>-'Business Plan - Model Details'!AE548/10^6</f>
        <v>-1045.3186005115044</v>
      </c>
      <c r="AH22" s="31">
        <f>-'Business Plan - Model Details'!AF548/10^6</f>
        <v>-1045.3176096412676</v>
      </c>
      <c r="AI22" s="31">
        <f>-'Business Plan - Model Details'!AG548/10^6</f>
        <v>-1045.3192717587101</v>
      </c>
      <c r="AJ22" s="35">
        <f>SUM(X22:AI22)</f>
        <v>-12543.921346698497</v>
      </c>
    </row>
    <row r="23" spans="1:36" ht="14.25" hidden="1" customHeight="1" outlineLevel="1" x14ac:dyDescent="0.35">
      <c r="A23" s="21"/>
      <c r="B23" s="21"/>
      <c r="C23" s="28"/>
      <c r="D23" s="33"/>
      <c r="E23" s="33" t="s">
        <v>33</v>
      </c>
      <c r="F23" s="21"/>
      <c r="G23" s="21"/>
      <c r="H23" s="22" t="s">
        <v>19</v>
      </c>
      <c r="I23" s="34">
        <f t="shared" si="9"/>
        <v>0</v>
      </c>
      <c r="J23" s="31"/>
      <c r="K23" s="31">
        <f t="shared" si="10"/>
        <v>-2748.1447015706758</v>
      </c>
      <c r="L23" s="31">
        <f>-'Business Plan - Model Details'!J549/10^6</f>
        <v>-245.82992618307492</v>
      </c>
      <c r="M23" s="31">
        <f>-'Business Plan - Model Details'!K549/10^6</f>
        <v>-186.81427319919581</v>
      </c>
      <c r="N23" s="31">
        <f>-'Business Plan - Model Details'!L549/10^6</f>
        <v>-143.26361570360888</v>
      </c>
      <c r="O23" s="31">
        <f>-'Business Plan - Model Details'!M549/10^6</f>
        <v>-169.81063854137031</v>
      </c>
      <c r="P23" s="31">
        <f>-'Business Plan - Model Details'!N549/10^6</f>
        <v>-250.94029873465902</v>
      </c>
      <c r="Q23" s="31">
        <f>-'Business Plan - Model Details'!O549/10^6</f>
        <v>-279.23551502021064</v>
      </c>
      <c r="R23" s="31">
        <f>-'Business Plan - Model Details'!P549/10^6</f>
        <v>-212.87493230036682</v>
      </c>
      <c r="S23" s="31">
        <f>-'Business Plan - Model Details'!Q549/10^6</f>
        <v>-286.68646474444569</v>
      </c>
      <c r="T23" s="31">
        <f>-'Business Plan - Model Details'!R549/10^6</f>
        <v>-247.74957923236698</v>
      </c>
      <c r="U23" s="31">
        <f>-'Business Plan - Model Details'!S549/10^6</f>
        <v>-244.20565350978114</v>
      </c>
      <c r="V23" s="31">
        <f>-'Business Plan - Model Details'!T549/10^6</f>
        <v>-241.01386263862028</v>
      </c>
      <c r="W23" s="31">
        <f>-'Business Plan - Model Details'!U549/10^6</f>
        <v>-239.71994176297602</v>
      </c>
      <c r="X23" s="31">
        <f>-'Business Plan - Model Details'!V549/10^6</f>
        <v>-238.90666720832087</v>
      </c>
      <c r="Y23" s="31">
        <f>-'Business Plan - Model Details'!W549/10^6</f>
        <v>-238.31847849963907</v>
      </c>
      <c r="Z23" s="31">
        <f>-'Business Plan - Model Details'!X549/10^6</f>
        <v>-238.05842736676786</v>
      </c>
      <c r="AA23" s="31">
        <f>-'Business Plan - Model Details'!Y549/10^6</f>
        <v>-237.86085703535585</v>
      </c>
      <c r="AB23" s="31">
        <f>-'Business Plan - Model Details'!Z549/10^6</f>
        <v>-237.71788782336679</v>
      </c>
      <c r="AC23" s="31">
        <f>-'Business Plan - Model Details'!AA549/10^6</f>
        <v>-237.64080092289859</v>
      </c>
      <c r="AD23" s="31">
        <f>-'Business Plan - Model Details'!AB549/10^6</f>
        <v>-237.57810540550506</v>
      </c>
      <c r="AE23" s="31">
        <f>-'Business Plan - Model Details'!AC549/10^6</f>
        <v>-237.53314426796544</v>
      </c>
      <c r="AF23" s="31">
        <f>-'Business Plan - Model Details'!AD549/10^6</f>
        <v>-237.50435538734175</v>
      </c>
      <c r="AG23" s="31">
        <f>-'Business Plan - Model Details'!AE549/10^6</f>
        <v>-237.48129584408008</v>
      </c>
      <c r="AH23" s="31">
        <f>-'Business Plan - Model Details'!AF549/10^6</f>
        <v>-237.46470100732017</v>
      </c>
      <c r="AI23" s="31">
        <f>-'Business Plan - Model Details'!AG549/10^6</f>
        <v>-237.45303524286876</v>
      </c>
      <c r="AJ23" s="35">
        <f>SUM(X23:AI23)</f>
        <v>-2853.5177560114303</v>
      </c>
    </row>
    <row r="24" spans="1:36" ht="14.25" hidden="1" customHeight="1" outlineLevel="1" x14ac:dyDescent="0.35">
      <c r="A24" s="21"/>
      <c r="B24" s="21"/>
      <c r="C24" s="28"/>
      <c r="D24" s="21"/>
      <c r="E24" s="21" t="s">
        <v>34</v>
      </c>
      <c r="F24" s="21"/>
      <c r="G24" s="21"/>
      <c r="H24" s="22" t="s">
        <v>19</v>
      </c>
      <c r="I24" s="34">
        <f t="shared" si="9"/>
        <v>0</v>
      </c>
      <c r="J24" s="31"/>
      <c r="K24" s="31">
        <f t="shared" si="10"/>
        <v>-1996.8394945365476</v>
      </c>
      <c r="L24" s="31">
        <f>-'Business Plan - Model Details'!J550/10^6</f>
        <v>-219.60533788781765</v>
      </c>
      <c r="M24" s="31">
        <f>-'Business Plan - Model Details'!K550/10^6</f>
        <v>-196.80334111317993</v>
      </c>
      <c r="N24" s="31">
        <f>-'Business Plan - Model Details'!L550/10^6</f>
        <v>-152.87412500000019</v>
      </c>
      <c r="O24" s="31">
        <f>-'Business Plan - Model Details'!M550/10^6</f>
        <v>-144.32887499999981</v>
      </c>
      <c r="P24" s="31">
        <f>-'Business Plan - Model Details'!N550/10^6</f>
        <v>-173.63912500000001</v>
      </c>
      <c r="Q24" s="31">
        <f>-'Business Plan - Model Details'!O550/10^6</f>
        <v>-174.78749999999988</v>
      </c>
      <c r="R24" s="31">
        <f>-'Business Plan - Model Details'!P550/10^6</f>
        <v>-155.36243754398615</v>
      </c>
      <c r="S24" s="31">
        <f>-'Business Plan - Model Details'!Q550/10^6</f>
        <v>-110.02162500000007</v>
      </c>
      <c r="T24" s="31">
        <f>-'Business Plan - Model Details'!R550/10^6</f>
        <v>-167.27588855449241</v>
      </c>
      <c r="U24" s="31">
        <f>-'Business Plan - Model Details'!S550/10^6</f>
        <v>-167.58079604366532</v>
      </c>
      <c r="V24" s="31">
        <f>-'Business Plan - Model Details'!T550/10^6</f>
        <v>-167.20627105297203</v>
      </c>
      <c r="W24" s="31">
        <f>-'Business Plan - Model Details'!U550/10^6</f>
        <v>-167.35417234043436</v>
      </c>
      <c r="X24" s="31">
        <f>-'Business Plan - Model Details'!V550/10^6</f>
        <v>-167.38028200666977</v>
      </c>
      <c r="Y24" s="31">
        <f>-'Business Plan - Model Details'!W550/10^6</f>
        <v>-167.31354265198382</v>
      </c>
      <c r="Z24" s="31">
        <f>-'Business Plan - Model Details'!X550/10^6</f>
        <v>-167.34932816272121</v>
      </c>
      <c r="AA24" s="31">
        <f>-'Business Plan - Model Details'!Y550/10^6</f>
        <v>-167.34771349449099</v>
      </c>
      <c r="AB24" s="31">
        <f>-'Business Plan - Model Details'!Z550/10^6</f>
        <v>-167.33685993023323</v>
      </c>
      <c r="AC24" s="31">
        <f>-'Business Plan - Model Details'!AA550/10^6</f>
        <v>-167.34463369296529</v>
      </c>
      <c r="AD24" s="31">
        <f>-'Business Plan - Model Details'!AB550/10^6</f>
        <v>-167.3430689238792</v>
      </c>
      <c r="AE24" s="31">
        <f>-'Business Plan - Model Details'!AC550/10^6</f>
        <v>-167.34152078669646</v>
      </c>
      <c r="AF24" s="31">
        <f>-'Business Plan - Model Details'!AD550/10^6</f>
        <v>-167.34307445891525</v>
      </c>
      <c r="AG24" s="31">
        <f>-'Business Plan - Model Details'!AE550/10^6</f>
        <v>-167.34255472020763</v>
      </c>
      <c r="AH24" s="31">
        <f>-'Business Plan - Model Details'!AF550/10^6</f>
        <v>-167.34238331963346</v>
      </c>
      <c r="AI24" s="31">
        <f>-'Business Plan - Model Details'!AG550/10^6</f>
        <v>-167.34267083244106</v>
      </c>
      <c r="AJ24" s="35">
        <f>SUM(X24:AI24)</f>
        <v>-2008.1276329808375</v>
      </c>
    </row>
    <row r="25" spans="1:36" ht="14.25" hidden="1" customHeight="1" outlineLevel="1" x14ac:dyDescent="0.35">
      <c r="A25" s="21"/>
      <c r="B25" s="21"/>
      <c r="C25" s="28"/>
      <c r="D25" s="33"/>
      <c r="E25" s="33" t="s">
        <v>35</v>
      </c>
      <c r="F25" s="21"/>
      <c r="G25" s="21"/>
      <c r="H25" s="22" t="s">
        <v>19</v>
      </c>
      <c r="I25" s="34">
        <f t="shared" si="9"/>
        <v>0</v>
      </c>
      <c r="J25" s="31"/>
      <c r="K25" s="31">
        <f t="shared" si="10"/>
        <v>-9371.5493737980505</v>
      </c>
      <c r="L25" s="31">
        <f>-'Business Plan - Model Details'!J551/10^6</f>
        <v>-763.22929463783896</v>
      </c>
      <c r="M25" s="31">
        <f>-'Business Plan - Model Details'!K551/10^6</f>
        <v>-659.60587321866285</v>
      </c>
      <c r="N25" s="31">
        <f>-'Business Plan - Model Details'!L551/10^6</f>
        <v>-511.70588402579131</v>
      </c>
      <c r="O25" s="31">
        <f>-'Business Plan - Model Details'!M551/10^6</f>
        <v>-783.73635016021569</v>
      </c>
      <c r="P25" s="31">
        <f>-'Business Plan - Model Details'!N551/10^6</f>
        <v>-816.78221628747542</v>
      </c>
      <c r="Q25" s="31">
        <f>-'Business Plan - Model Details'!O551/10^6</f>
        <v>-799.59032931506738</v>
      </c>
      <c r="R25" s="31">
        <f>-'Business Plan - Model Details'!P551/10^6</f>
        <v>-838.00403339459649</v>
      </c>
      <c r="S25" s="31">
        <f>-'Business Plan - Model Details'!Q551/10^6</f>
        <v>-837.03786802872128</v>
      </c>
      <c r="T25" s="31">
        <f>-'Business Plan - Model Details'!R551/10^6</f>
        <v>-840.60936003719621</v>
      </c>
      <c r="U25" s="31">
        <f>-'Business Plan - Model Details'!S551/10^6</f>
        <v>-840.32575640021173</v>
      </c>
      <c r="V25" s="31">
        <f>-'Business Plan - Model Details'!T551/10^6</f>
        <v>-840.45802487188178</v>
      </c>
      <c r="W25" s="31">
        <f>-'Business Plan - Model Details'!U551/10^6</f>
        <v>-840.46438342039175</v>
      </c>
      <c r="X25" s="31">
        <f>-'Business Plan - Model Details'!V551/10^6</f>
        <v>-840.41605680046814</v>
      </c>
      <c r="Y25" s="31">
        <f>-'Business Plan - Model Details'!W551/10^6</f>
        <v>-840.4461552124742</v>
      </c>
      <c r="Z25" s="31">
        <f>-'Business Plan - Model Details'!X551/10^6</f>
        <v>-840.44219853798938</v>
      </c>
      <c r="AA25" s="31">
        <f>-'Business Plan - Model Details'!Y551/10^6</f>
        <v>-840.43480358742022</v>
      </c>
      <c r="AB25" s="31">
        <f>-'Business Plan - Model Details'!Z551/10^6</f>
        <v>-840.4410524582828</v>
      </c>
      <c r="AC25" s="31">
        <f>-'Business Plan - Model Details'!AA551/10^6</f>
        <v>-840.43935152888753</v>
      </c>
      <c r="AD25" s="31">
        <f>-'Business Plan - Model Details'!AB551/10^6</f>
        <v>-840.43840252712607</v>
      </c>
      <c r="AE25" s="31">
        <f>-'Business Plan - Model Details'!AC551/10^6</f>
        <v>-840.43960217210315</v>
      </c>
      <c r="AF25" s="31">
        <f>-'Business Plan - Model Details'!AD551/10^6</f>
        <v>-840.43911874273317</v>
      </c>
      <c r="AG25" s="31">
        <f>-'Business Plan - Model Details'!AE551/10^6</f>
        <v>-840.43904114738268</v>
      </c>
      <c r="AH25" s="31">
        <f>-'Business Plan - Model Details'!AF551/10^6</f>
        <v>-840.43925402077048</v>
      </c>
      <c r="AI25" s="31">
        <f>-'Business Plan - Model Details'!AG551/10^6</f>
        <v>-840.43913797029768</v>
      </c>
      <c r="AJ25" s="35">
        <f>SUM(X25:AI25)</f>
        <v>-10085.254174705935</v>
      </c>
    </row>
    <row r="26" spans="1:36" ht="14.25" hidden="1" customHeight="1" outlineLevel="1" x14ac:dyDescent="0.35">
      <c r="A26" s="21"/>
      <c r="B26" s="21"/>
      <c r="C26" s="28"/>
      <c r="D26" s="33"/>
      <c r="E26" s="33" t="s">
        <v>36</v>
      </c>
      <c r="F26" s="21"/>
      <c r="G26" s="21"/>
      <c r="H26" s="22" t="s">
        <v>19</v>
      </c>
      <c r="I26" s="34">
        <f t="shared" si="9"/>
        <v>0</v>
      </c>
      <c r="J26" s="31"/>
      <c r="K26" s="31">
        <f t="shared" si="10"/>
        <v>-8196.9500862637542</v>
      </c>
      <c r="L26" s="31">
        <f>-'Business Plan - Model Details'!J552/10^6</f>
        <v>-698.17041627156755</v>
      </c>
      <c r="M26" s="31">
        <f>-'Business Plan - Model Details'!K552/10^6</f>
        <v>-778.15849997210807</v>
      </c>
      <c r="N26" s="31">
        <f>-'Business Plan - Model Details'!L552/10^6</f>
        <v>-832.79144137878211</v>
      </c>
      <c r="O26" s="31">
        <f>-'Business Plan - Model Details'!M552/10^6</f>
        <v>-828.57457339592236</v>
      </c>
      <c r="P26" s="31">
        <f>-'Business Plan - Model Details'!N552/10^6</f>
        <v>-619.15106918723188</v>
      </c>
      <c r="Q26" s="31">
        <f>-'Business Plan - Model Details'!O552/10^6</f>
        <v>-599.52041828439849</v>
      </c>
      <c r="R26" s="31">
        <f>-'Business Plan - Model Details'!P552/10^6</f>
        <v>-625.87789893664228</v>
      </c>
      <c r="S26" s="31">
        <f>-'Business Plan - Model Details'!Q552/10^6</f>
        <v>-581.30169127585032</v>
      </c>
      <c r="T26" s="31">
        <f>-'Business Plan - Model Details'!R552/10^6</f>
        <v>-660.30452315575428</v>
      </c>
      <c r="U26" s="31">
        <f>-'Business Plan - Model Details'!S552/10^6</f>
        <v>-661.43767685653586</v>
      </c>
      <c r="V26" s="31">
        <f>-'Business Plan - Model Details'!T552/10^6</f>
        <v>-656.2243805597185</v>
      </c>
      <c r="W26" s="31">
        <f>-'Business Plan - Model Details'!U552/10^6</f>
        <v>-655.43749698924159</v>
      </c>
      <c r="X26" s="31">
        <f>-'Business Plan - Model Details'!V552/10^6</f>
        <v>-654.39995545682234</v>
      </c>
      <c r="Y26" s="31">
        <f>-'Business Plan - Model Details'!W552/10^6</f>
        <v>-653.57480384000678</v>
      </c>
      <c r="Z26" s="31">
        <f>-'Business Plan - Model Details'!X552/10^6</f>
        <v>-653.49705085884375</v>
      </c>
      <c r="AA26" s="31">
        <f>-'Business Plan - Model Details'!Y552/10^6</f>
        <v>-646.2362276478998</v>
      </c>
      <c r="AB26" s="31">
        <f>-'Business Plan - Model Details'!Z552/10^6</f>
        <v>-645.62428151835695</v>
      </c>
      <c r="AC26" s="31">
        <f>-'Business Plan - Model Details'!AA552/10^6</f>
        <v>-645.0169750799962</v>
      </c>
      <c r="AD26" s="31">
        <f>-'Business Plan - Model Details'!AB552/10^6</f>
        <v>-644.82764596811887</v>
      </c>
      <c r="AE26" s="31">
        <f>-'Business Plan - Model Details'!AC552/10^6</f>
        <v>-643.86283891447329</v>
      </c>
      <c r="AF26" s="31">
        <f>-'Business Plan - Model Details'!AD552/10^6</f>
        <v>-643.74884253379821</v>
      </c>
      <c r="AG26" s="31">
        <f>-'Business Plan - Model Details'!AE552/10^6</f>
        <v>-643.11968432283595</v>
      </c>
      <c r="AH26" s="31">
        <f>-'Business Plan - Model Details'!AF552/10^6</f>
        <v>-643.0258916012034</v>
      </c>
      <c r="AI26" s="31">
        <f>-'Business Plan - Model Details'!AG552/10^6</f>
        <v>-642.52648182795519</v>
      </c>
      <c r="AJ26" s="35">
        <f>SUM(X26:AI26)</f>
        <v>-7759.4606795703112</v>
      </c>
    </row>
    <row r="27" spans="1:36" ht="14.25" hidden="1" customHeight="1" outlineLevel="1" x14ac:dyDescent="0.35">
      <c r="A27" s="21"/>
      <c r="B27" s="21"/>
      <c r="C27" s="28"/>
      <c r="D27" s="33" t="s">
        <v>37</v>
      </c>
      <c r="E27" s="33"/>
      <c r="F27" s="21"/>
      <c r="G27" s="21"/>
      <c r="H27" s="21"/>
      <c r="I27" s="34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</row>
    <row r="28" spans="1:36" ht="14.25" hidden="1" customHeight="1" outlineLevel="1" x14ac:dyDescent="0.35">
      <c r="A28" s="21"/>
      <c r="B28" s="21"/>
      <c r="C28" s="28"/>
      <c r="D28" s="33"/>
      <c r="E28" s="33" t="s">
        <v>38</v>
      </c>
      <c r="F28" s="21"/>
      <c r="G28" s="21"/>
      <c r="H28" s="22" t="s">
        <v>19</v>
      </c>
      <c r="I28" s="34">
        <f t="shared" ref="I28:I33" si="11">IFERROR((K28-J28)/J28,0)</f>
        <v>0</v>
      </c>
      <c r="J28" s="31"/>
      <c r="K28" s="31">
        <f t="shared" ref="K28:K33" si="12">SUM(L28:W28)</f>
        <v>433.84386233713246</v>
      </c>
      <c r="L28" s="31">
        <f>-'Business Plan - Model Details'!J555/10^6</f>
        <v>0</v>
      </c>
      <c r="M28" s="31">
        <f>-'Business Plan - Model Details'!K555/10^6</f>
        <v>0</v>
      </c>
      <c r="N28" s="31">
        <f>-'Business Plan - Model Details'!L555/10^6</f>
        <v>0</v>
      </c>
      <c r="O28" s="31">
        <f>-'Business Plan - Model Details'!M555/10^6</f>
        <v>0</v>
      </c>
      <c r="P28" s="31">
        <f>-'Business Plan - Model Details'!N555/10^6</f>
        <v>0</v>
      </c>
      <c r="Q28" s="31">
        <f>-'Business Plan - Model Details'!O555/10^6</f>
        <v>0</v>
      </c>
      <c r="R28" s="31">
        <f>-'Business Plan - Model Details'!P555/10^6</f>
        <v>0</v>
      </c>
      <c r="S28" s="31">
        <f>-'Business Plan - Model Details'!Q555/10^6</f>
        <v>0</v>
      </c>
      <c r="T28" s="31">
        <f>-'Business Plan - Model Details'!R555/10^6</f>
        <v>102.608629656792</v>
      </c>
      <c r="U28" s="31">
        <f>-'Business Plan - Model Details'!S555/10^6</f>
        <v>107.26133594716237</v>
      </c>
      <c r="V28" s="31">
        <f>-'Business Plan - Model Details'!T555/10^6</f>
        <v>110.40338051212844</v>
      </c>
      <c r="W28" s="31">
        <f>-'Business Plan - Model Details'!U555/10^6</f>
        <v>113.57051622104966</v>
      </c>
      <c r="X28" s="31">
        <f>-'Business Plan - Model Details'!V555/10^6</f>
        <v>113.17243515643057</v>
      </c>
      <c r="Y28" s="31">
        <f>-'Business Plan - Model Details'!W555/10^6</f>
        <v>113.41746182151014</v>
      </c>
      <c r="Z28" s="31">
        <f>-'Business Plan - Model Details'!X555/10^6</f>
        <v>113.48256881939507</v>
      </c>
      <c r="AA28" s="31">
        <f>-'Business Plan - Model Details'!Y555/10^6</f>
        <v>111.51426153553787</v>
      </c>
      <c r="AB28" s="31">
        <f>-'Business Plan - Model Details'!Z555/10^6</f>
        <v>110.67031864101237</v>
      </c>
      <c r="AC28" s="31">
        <f>-'Business Plan - Model Details'!AA555/10^6</f>
        <v>111.67850449346172</v>
      </c>
      <c r="AD28" s="31">
        <f>-'Business Plan - Model Details'!AB555/10^6</f>
        <v>112.24716751297507</v>
      </c>
      <c r="AE28" s="31">
        <f>-'Business Plan - Model Details'!AC555/10^6</f>
        <v>112.46622944325739</v>
      </c>
      <c r="AF28" s="31">
        <f>-'Business Plan - Model Details'!AD555/10^6</f>
        <v>112.33015200498041</v>
      </c>
      <c r="AG28" s="31">
        <f>-'Business Plan - Model Details'!AE555/10^6</f>
        <v>112.22745439073017</v>
      </c>
      <c r="AH28" s="31">
        <f>-'Business Plan - Model Details'!AF555/10^6</f>
        <v>112.0763221564994</v>
      </c>
      <c r="AI28" s="31">
        <f>-'Business Plan - Model Details'!AG555/10^6</f>
        <v>111.90126405816034</v>
      </c>
    </row>
    <row r="29" spans="1:36" ht="14.25" hidden="1" customHeight="1" outlineLevel="1" x14ac:dyDescent="0.35">
      <c r="A29" s="21"/>
      <c r="B29" s="21"/>
      <c r="C29" s="28"/>
      <c r="D29" s="33"/>
      <c r="E29" s="33" t="s">
        <v>39</v>
      </c>
      <c r="F29" s="21"/>
      <c r="G29" s="21"/>
      <c r="H29" s="22" t="s">
        <v>19</v>
      </c>
      <c r="I29" s="34">
        <f t="shared" si="11"/>
        <v>0</v>
      </c>
      <c r="J29" s="31"/>
      <c r="K29" s="31">
        <f t="shared" si="12"/>
        <v>-34.115453673207973</v>
      </c>
      <c r="L29" s="31">
        <f>-'Business Plan - Model Details'!J558/10^6</f>
        <v>0</v>
      </c>
      <c r="M29" s="31">
        <f>-'Business Plan - Model Details'!K558/10^6</f>
        <v>0</v>
      </c>
      <c r="N29" s="31">
        <f>-'Business Plan - Model Details'!L558/10^6</f>
        <v>0</v>
      </c>
      <c r="O29" s="31">
        <f>-'Business Plan - Model Details'!M558/10^6</f>
        <v>0</v>
      </c>
      <c r="P29" s="31">
        <f>-'Business Plan - Model Details'!N558/10^6</f>
        <v>0</v>
      </c>
      <c r="Q29" s="31">
        <f>-'Business Plan - Model Details'!O558/10^6</f>
        <v>0</v>
      </c>
      <c r="R29" s="31">
        <f>-'Business Plan - Model Details'!P558/10^6</f>
        <v>0</v>
      </c>
      <c r="S29" s="31">
        <f>-'Business Plan - Model Details'!Q558/10^6</f>
        <v>0</v>
      </c>
      <c r="T29" s="31">
        <f>-'Business Plan - Model Details'!R558/10^6</f>
        <v>-7.4025039934763095</v>
      </c>
      <c r="U29" s="31">
        <f>-'Business Plan - Model Details'!S558/10^6</f>
        <v>-8.8258324879885315</v>
      </c>
      <c r="V29" s="31">
        <f>-'Business Plan - Model Details'!T558/10^6</f>
        <v>-8.8881094693396392</v>
      </c>
      <c r="W29" s="31">
        <f>-'Business Plan - Model Details'!U558/10^6</f>
        <v>-8.9990077224034959</v>
      </c>
      <c r="X29" s="31">
        <f>-'Business Plan - Model Details'!V558/10^6</f>
        <v>-9.0007915448987781</v>
      </c>
      <c r="Y29" s="31">
        <f>-'Business Plan - Model Details'!W558/10^6</f>
        <v>-8.9973174170110823</v>
      </c>
      <c r="Z29" s="31">
        <f>-'Business Plan - Model Details'!X558/10^6</f>
        <v>-8.9969506181510095</v>
      </c>
      <c r="AA29" s="31">
        <f>-'Business Plan - Model Details'!Y558/10^6</f>
        <v>-8.9961845712875732</v>
      </c>
      <c r="AB29" s="31">
        <f>-'Business Plan - Model Details'!Z558/10^6</f>
        <v>-8.9831168139430577</v>
      </c>
      <c r="AC29" s="31">
        <f>-'Business Plan - Model Details'!AA558/10^6</f>
        <v>-8.9806731733172533</v>
      </c>
      <c r="AD29" s="31">
        <f>-'Business Plan - Model Details'!AB558/10^6</f>
        <v>-8.9816794357658321</v>
      </c>
      <c r="AE29" s="31">
        <f>-'Business Plan - Model Details'!AC558/10^6</f>
        <v>-8.9824937582564655</v>
      </c>
      <c r="AF29" s="31">
        <f>-'Business Plan - Model Details'!AD558/10^6</f>
        <v>-8.9816911086376301</v>
      </c>
      <c r="AG29" s="31">
        <f>-'Business Plan - Model Details'!AE558/10^6</f>
        <v>-8.9812276142519423</v>
      </c>
      <c r="AH29" s="31">
        <f>-'Business Plan - Model Details'!AF558/10^6</f>
        <v>-8.9802256319331519</v>
      </c>
      <c r="AI29" s="31">
        <f>-'Business Plan - Model Details'!AG558/10^6</f>
        <v>-8.9797961766514174</v>
      </c>
    </row>
    <row r="30" spans="1:36" ht="14.25" hidden="1" customHeight="1" outlineLevel="1" x14ac:dyDescent="0.35">
      <c r="A30" s="21"/>
      <c r="B30" s="21"/>
      <c r="C30" s="28"/>
      <c r="D30" s="33"/>
      <c r="E30" s="33" t="s">
        <v>40</v>
      </c>
      <c r="F30" s="21"/>
      <c r="G30" s="21"/>
      <c r="H30" s="22" t="s">
        <v>19</v>
      </c>
      <c r="I30" s="34">
        <f t="shared" si="11"/>
        <v>0</v>
      </c>
      <c r="J30" s="31"/>
      <c r="K30" s="31">
        <f t="shared" si="12"/>
        <v>35.713741224630439</v>
      </c>
      <c r="L30" s="31">
        <f>-'Business Plan - Model Details'!J559/10^6</f>
        <v>0</v>
      </c>
      <c r="M30" s="31">
        <f>-'Business Plan - Model Details'!K559/10^6</f>
        <v>0</v>
      </c>
      <c r="N30" s="31">
        <f>-'Business Plan - Model Details'!L559/10^6</f>
        <v>0</v>
      </c>
      <c r="O30" s="31">
        <f>-'Business Plan - Model Details'!M559/10^6</f>
        <v>0</v>
      </c>
      <c r="P30" s="31">
        <f>-'Business Plan - Model Details'!N559/10^6</f>
        <v>0</v>
      </c>
      <c r="Q30" s="31">
        <f>-'Business Plan - Model Details'!O559/10^6</f>
        <v>0</v>
      </c>
      <c r="R30" s="31">
        <f>-'Business Plan - Model Details'!P559/10^6</f>
        <v>0</v>
      </c>
      <c r="S30" s="31">
        <f>-'Business Plan - Model Details'!Q559/10^6</f>
        <v>0</v>
      </c>
      <c r="T30" s="31">
        <f>-'Business Plan - Model Details'!R559/10^6</f>
        <v>8.8258324879885315</v>
      </c>
      <c r="U30" s="31">
        <f>-'Business Plan - Model Details'!S559/10^6</f>
        <v>8.8881094693396392</v>
      </c>
      <c r="V30" s="31">
        <f>-'Business Plan - Model Details'!T559/10^6</f>
        <v>8.9990077224034959</v>
      </c>
      <c r="W30" s="31">
        <f>-'Business Plan - Model Details'!U559/10^6</f>
        <v>9.0007915448987781</v>
      </c>
      <c r="X30" s="31">
        <f>-'Business Plan - Model Details'!V559/10^6</f>
        <v>8.9973174170110823</v>
      </c>
      <c r="Y30" s="31">
        <f>-'Business Plan - Model Details'!W559/10^6</f>
        <v>8.9969506181510095</v>
      </c>
      <c r="Z30" s="31">
        <f>-'Business Plan - Model Details'!X559/10^6</f>
        <v>8.9961845712875732</v>
      </c>
      <c r="AA30" s="31">
        <f>-'Business Plan - Model Details'!Y559/10^6</f>
        <v>8.9831168139430577</v>
      </c>
      <c r="AB30" s="31">
        <f>-'Business Plan - Model Details'!Z559/10^6</f>
        <v>8.9806731733172533</v>
      </c>
      <c r="AC30" s="31">
        <f>-'Business Plan - Model Details'!AA559/10^6</f>
        <v>8.9816794357658321</v>
      </c>
      <c r="AD30" s="31">
        <f>-'Business Plan - Model Details'!AB559/10^6</f>
        <v>8.9824937582564655</v>
      </c>
      <c r="AE30" s="31">
        <f>-'Business Plan - Model Details'!AC559/10^6</f>
        <v>8.9816911086376301</v>
      </c>
      <c r="AF30" s="31">
        <f>-'Business Plan - Model Details'!AD559/10^6</f>
        <v>8.9812276142519423</v>
      </c>
      <c r="AG30" s="31">
        <f>-'Business Plan - Model Details'!AE559/10^6</f>
        <v>8.9802256319331519</v>
      </c>
      <c r="AH30" s="31">
        <f>-'Business Plan - Model Details'!AF559/10^6</f>
        <v>8.9797961766514174</v>
      </c>
      <c r="AI30" s="31">
        <f>-'Business Plan - Model Details'!AG559/10^6</f>
        <v>8.9788180619515785</v>
      </c>
      <c r="AJ30" s="35">
        <f>SUM(X30:AI30)</f>
        <v>107.82017438115801</v>
      </c>
    </row>
    <row r="31" spans="1:36" ht="14.25" hidden="1" customHeight="1" outlineLevel="1" x14ac:dyDescent="0.35">
      <c r="A31" s="21"/>
      <c r="B31" s="21"/>
      <c r="C31" s="28"/>
      <c r="D31" s="33"/>
      <c r="E31" s="33" t="s">
        <v>41</v>
      </c>
      <c r="F31" s="21"/>
      <c r="G31" s="21"/>
      <c r="H31" s="22" t="s">
        <v>19</v>
      </c>
      <c r="I31" s="34">
        <f t="shared" si="11"/>
        <v>0</v>
      </c>
      <c r="J31" s="31"/>
      <c r="K31" s="31">
        <f t="shared" si="12"/>
        <v>-669.97107277012049</v>
      </c>
      <c r="L31" s="31">
        <f>-'Business Plan - Model Details'!J561/10^6</f>
        <v>0</v>
      </c>
      <c r="M31" s="31">
        <f>-'Business Plan - Model Details'!K561/10^6</f>
        <v>0</v>
      </c>
      <c r="N31" s="31">
        <f>-'Business Plan - Model Details'!L561/10^6</f>
        <v>0</v>
      </c>
      <c r="O31" s="31">
        <f>-'Business Plan - Model Details'!M561/10^6</f>
        <v>0</v>
      </c>
      <c r="P31" s="31">
        <f>-'Business Plan - Model Details'!N561/10^6</f>
        <v>0</v>
      </c>
      <c r="Q31" s="31">
        <f>-'Business Plan - Model Details'!O561/10^6</f>
        <v>0</v>
      </c>
      <c r="R31" s="31">
        <f>-'Business Plan - Model Details'!P561/10^6</f>
        <v>0</v>
      </c>
      <c r="S31" s="31">
        <f>-'Business Plan - Model Details'!Q561/10^6</f>
        <v>0</v>
      </c>
      <c r="T31" s="31">
        <f>-'Business Plan - Model Details'!R561/10^6</f>
        <v>-145.54459858999999</v>
      </c>
      <c r="U31" s="31">
        <f>-'Business Plan - Model Details'!S561/10^6</f>
        <v>-172.84022364818287</v>
      </c>
      <c r="V31" s="31">
        <f>-'Business Plan - Model Details'!T561/10^6</f>
        <v>-174.70677529211713</v>
      </c>
      <c r="W31" s="31">
        <f>-'Business Plan - Model Details'!U561/10^6</f>
        <v>-176.87947523982049</v>
      </c>
      <c r="X31" s="31">
        <f>-'Business Plan - Model Details'!V561/10^6</f>
        <v>-176.96719421847916</v>
      </c>
      <c r="Y31" s="31">
        <f>-'Business Plan - Model Details'!W561/10^6</f>
        <v>-176.90273017821502</v>
      </c>
      <c r="Z31" s="31">
        <f>-'Business Plan - Model Details'!X561/10^6</f>
        <v>-176.89410831943607</v>
      </c>
      <c r="AA31" s="31">
        <f>-'Business Plan - Model Details'!Y561/10^6</f>
        <v>-176.87920526141357</v>
      </c>
      <c r="AB31" s="31">
        <f>-'Business Plan - Model Details'!Z561/10^6</f>
        <v>-176.62823383240604</v>
      </c>
      <c r="AC31" s="31">
        <f>-'Business Plan - Model Details'!AA561/10^6</f>
        <v>-176.57519036826801</v>
      </c>
      <c r="AD31" s="31">
        <f>-'Business Plan - Model Details'!AB561/10^6</f>
        <v>-176.59318139760018</v>
      </c>
      <c r="AE31" s="31">
        <f>-'Business Plan - Model Details'!AC561/10^6</f>
        <v>-176.6092409996071</v>
      </c>
      <c r="AF31" s="31">
        <f>-'Business Plan - Model Details'!AD561/10^6</f>
        <v>-176.59424386355971</v>
      </c>
      <c r="AG31" s="31">
        <f>-'Business Plan - Model Details'!AE561/10^6</f>
        <v>-176.58498593445586</v>
      </c>
      <c r="AH31" s="31">
        <f>-'Business Plan - Model Details'!AF561/10^6</f>
        <v>-176.5655426044531</v>
      </c>
      <c r="AI31" s="31">
        <f>-'Business Plan - Model Details'!AG561/10^6</f>
        <v>-176.55682795114612</v>
      </c>
      <c r="AJ31" s="35">
        <f>SUM(X31:AI31)</f>
        <v>-2120.3506849290402</v>
      </c>
    </row>
    <row r="32" spans="1:36" ht="14.25" hidden="1" customHeight="1" outlineLevel="1" x14ac:dyDescent="0.35">
      <c r="A32" s="21"/>
      <c r="B32" s="21"/>
      <c r="C32" s="28"/>
      <c r="D32" s="33"/>
      <c r="E32" s="33" t="s">
        <v>42</v>
      </c>
      <c r="F32" s="21"/>
      <c r="G32" s="21"/>
      <c r="H32" s="22" t="s">
        <v>19</v>
      </c>
      <c r="I32" s="34">
        <f t="shared" si="11"/>
        <v>0</v>
      </c>
      <c r="J32" s="31"/>
      <c r="K32" s="31">
        <f t="shared" si="12"/>
        <v>701.39366839859963</v>
      </c>
      <c r="L32" s="31">
        <f>-'Business Plan - Model Details'!J562/10^6</f>
        <v>0</v>
      </c>
      <c r="M32" s="31">
        <f>-'Business Plan - Model Details'!K562/10^6</f>
        <v>0</v>
      </c>
      <c r="N32" s="31">
        <f>-'Business Plan - Model Details'!L562/10^6</f>
        <v>0</v>
      </c>
      <c r="O32" s="31">
        <f>-'Business Plan - Model Details'!M562/10^6</f>
        <v>0</v>
      </c>
      <c r="P32" s="31">
        <f>-'Business Plan - Model Details'!N562/10^6</f>
        <v>0</v>
      </c>
      <c r="Q32" s="31">
        <f>-'Business Plan - Model Details'!O562/10^6</f>
        <v>0</v>
      </c>
      <c r="R32" s="31">
        <f>-'Business Plan - Model Details'!P562/10^6</f>
        <v>0</v>
      </c>
      <c r="S32" s="31">
        <f>-'Business Plan - Model Details'!Q562/10^6</f>
        <v>0</v>
      </c>
      <c r="T32" s="31">
        <f>-'Business Plan - Model Details'!R562/10^6</f>
        <v>172.84022364818287</v>
      </c>
      <c r="U32" s="31">
        <f>-'Business Plan - Model Details'!S562/10^6</f>
        <v>174.70677529211713</v>
      </c>
      <c r="V32" s="31">
        <f>-'Business Plan - Model Details'!T562/10^6</f>
        <v>176.87947523982049</v>
      </c>
      <c r="W32" s="31">
        <f>-'Business Plan - Model Details'!U562/10^6</f>
        <v>176.96719421847916</v>
      </c>
      <c r="X32" s="31">
        <f>-'Business Plan - Model Details'!V562/10^6</f>
        <v>176.90273017821502</v>
      </c>
      <c r="Y32" s="31">
        <f>-'Business Plan - Model Details'!W562/10^6</f>
        <v>176.89410831943607</v>
      </c>
      <c r="Z32" s="31">
        <f>-'Business Plan - Model Details'!X562/10^6</f>
        <v>176.87920526141357</v>
      </c>
      <c r="AA32" s="31">
        <f>-'Business Plan - Model Details'!Y562/10^6</f>
        <v>176.62823383240604</v>
      </c>
      <c r="AB32" s="31">
        <f>-'Business Plan - Model Details'!Z562/10^6</f>
        <v>176.57519036826801</v>
      </c>
      <c r="AC32" s="31">
        <f>-'Business Plan - Model Details'!AA562/10^6</f>
        <v>176.59318139760018</v>
      </c>
      <c r="AD32" s="31">
        <f>-'Business Plan - Model Details'!AB562/10^6</f>
        <v>176.6092409996071</v>
      </c>
      <c r="AE32" s="31">
        <f>-'Business Plan - Model Details'!AC562/10^6</f>
        <v>176.59424386355971</v>
      </c>
      <c r="AF32" s="31">
        <f>-'Business Plan - Model Details'!AD562/10^6</f>
        <v>176.58498593445586</v>
      </c>
      <c r="AG32" s="31">
        <f>-'Business Plan - Model Details'!AE562/10^6</f>
        <v>176.5655426044531</v>
      </c>
      <c r="AH32" s="31">
        <f>-'Business Plan - Model Details'!AF562/10^6</f>
        <v>176.55682795114612</v>
      </c>
      <c r="AI32" s="31">
        <f>-'Business Plan - Model Details'!AG562/10^6</f>
        <v>176.53785571781253</v>
      </c>
      <c r="AJ32" s="35">
        <f>SUM(X32:AI32)</f>
        <v>2119.9213464283735</v>
      </c>
    </row>
    <row r="33" spans="1:36" ht="14.25" customHeight="1" collapsed="1" x14ac:dyDescent="0.35">
      <c r="A33" s="21"/>
      <c r="B33" s="21"/>
      <c r="C33" s="21" t="s">
        <v>21</v>
      </c>
      <c r="D33" s="33"/>
      <c r="E33" s="33"/>
      <c r="F33" s="21"/>
      <c r="G33" s="21"/>
      <c r="H33" s="22" t="s">
        <v>19</v>
      </c>
      <c r="I33" s="34">
        <f t="shared" si="11"/>
        <v>0</v>
      </c>
      <c r="J33" s="31"/>
      <c r="K33" s="31">
        <f t="shared" si="12"/>
        <v>-2951.3292942708017</v>
      </c>
      <c r="L33" s="31">
        <f t="shared" ref="L33:AI33" si="13">SUM(L34:L41,L43:L47)</f>
        <v>-132.00801927789286</v>
      </c>
      <c r="M33" s="31">
        <f t="shared" si="13"/>
        <v>-88.083959867732716</v>
      </c>
      <c r="N33" s="31">
        <f t="shared" si="13"/>
        <v>-44.79594406487292</v>
      </c>
      <c r="O33" s="31">
        <f t="shared" si="13"/>
        <v>-253.58467592699026</v>
      </c>
      <c r="P33" s="31">
        <f t="shared" si="13"/>
        <v>-204.31367965678939</v>
      </c>
      <c r="Q33" s="31">
        <f t="shared" si="13"/>
        <v>-570.04226084642539</v>
      </c>
      <c r="R33" s="31">
        <f t="shared" si="13"/>
        <v>-325.14223156299249</v>
      </c>
      <c r="S33" s="31">
        <f t="shared" si="13"/>
        <v>-458.97133332558803</v>
      </c>
      <c r="T33" s="31">
        <f t="shared" si="13"/>
        <v>-212.60033428840023</v>
      </c>
      <c r="U33" s="31">
        <f t="shared" si="13"/>
        <v>-218.26534598600719</v>
      </c>
      <c r="V33" s="31">
        <f t="shared" si="13"/>
        <v>-221.12654609987356</v>
      </c>
      <c r="W33" s="31">
        <f t="shared" si="13"/>
        <v>-222.39496336723673</v>
      </c>
      <c r="X33" s="31">
        <f t="shared" si="13"/>
        <v>-222.90440569144576</v>
      </c>
      <c r="Y33" s="31">
        <f t="shared" si="13"/>
        <v>-223.09775101752842</v>
      </c>
      <c r="Z33" s="31">
        <f t="shared" si="13"/>
        <v>-223.16571081425411</v>
      </c>
      <c r="AA33" s="31">
        <f t="shared" si="13"/>
        <v>-223.18861872435315</v>
      </c>
      <c r="AB33" s="31">
        <f t="shared" si="13"/>
        <v>-223.18771882283738</v>
      </c>
      <c r="AC33" s="31">
        <f t="shared" si="13"/>
        <v>-223.17987326648984</v>
      </c>
      <c r="AD33" s="31">
        <f t="shared" si="13"/>
        <v>-223.17478837704047</v>
      </c>
      <c r="AE33" s="31">
        <f t="shared" si="13"/>
        <v>-223.16301829576855</v>
      </c>
      <c r="AF33" s="31">
        <f t="shared" si="13"/>
        <v>-223.15408032672673</v>
      </c>
      <c r="AG33" s="31">
        <f t="shared" si="13"/>
        <v>-223.13961316169733</v>
      </c>
      <c r="AH33" s="31">
        <f t="shared" si="13"/>
        <v>-223.12983755880535</v>
      </c>
      <c r="AI33" s="31">
        <f t="shared" si="13"/>
        <v>-223.11707357078046</v>
      </c>
      <c r="AJ33" s="35"/>
    </row>
    <row r="34" spans="1:36" ht="14.25" hidden="1" customHeight="1" outlineLevel="1" x14ac:dyDescent="0.35">
      <c r="A34" s="21"/>
      <c r="B34" s="21"/>
      <c r="C34" s="28"/>
      <c r="D34" s="33" t="s">
        <v>29</v>
      </c>
      <c r="E34" s="33"/>
      <c r="F34" s="21"/>
      <c r="G34" s="21"/>
      <c r="H34" s="2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</row>
    <row r="35" spans="1:36" ht="14.25" hidden="1" customHeight="1" outlineLevel="1" x14ac:dyDescent="0.35">
      <c r="A35" s="21"/>
      <c r="B35" s="21"/>
      <c r="C35" s="28"/>
      <c r="D35" s="33"/>
      <c r="E35" s="33" t="s">
        <v>30</v>
      </c>
      <c r="F35" s="21"/>
      <c r="G35" s="21"/>
      <c r="H35" s="22" t="s">
        <v>19</v>
      </c>
      <c r="I35" s="34">
        <f t="shared" ref="I35:I41" si="14">IFERROR((K35-J35)/J35,0)</f>
        <v>0</v>
      </c>
      <c r="J35" s="31"/>
      <c r="K35" s="31">
        <f t="shared" ref="K35:K41" si="15">SUM(L35:W35)</f>
        <v>-1525.4028213153197</v>
      </c>
      <c r="L35" s="31">
        <f>-'Business Plan - Model Details'!J702/10^6</f>
        <v>-79.040704584549886</v>
      </c>
      <c r="M35" s="31">
        <f>-'Business Plan - Model Details'!K702/10^6</f>
        <v>-37.301000000000002</v>
      </c>
      <c r="N35" s="31">
        <f>-'Business Plan - Model Details'!L702/10^6</f>
        <v>-23.688999999999993</v>
      </c>
      <c r="O35" s="31">
        <f>-'Business Plan - Model Details'!M702/10^6</f>
        <v>-113.00699999999959</v>
      </c>
      <c r="P35" s="31">
        <f>-'Business Plan - Model Details'!N702/10^6</f>
        <v>-102.14102729171501</v>
      </c>
      <c r="Q35" s="31">
        <f>-'Business Plan - Model Details'!O702/10^6</f>
        <v>-299.01619222896306</v>
      </c>
      <c r="R35" s="31">
        <f>-'Business Plan - Model Details'!P702/10^6</f>
        <v>-147.26589999999993</v>
      </c>
      <c r="S35" s="31">
        <f>-'Business Plan - Model Details'!Q702/10^6</f>
        <v>-246.34039999999993</v>
      </c>
      <c r="T35" s="31">
        <f>-'Business Plan - Model Details'!R702/10^6</f>
        <v>-119.400399302523</v>
      </c>
      <c r="U35" s="31">
        <f>-'Business Plan - Model Details'!S702/10^6</f>
        <v>-119.400399302523</v>
      </c>
      <c r="V35" s="31">
        <f>-'Business Plan - Model Details'!T702/10^6</f>
        <v>-119.400399302523</v>
      </c>
      <c r="W35" s="31">
        <f>-'Business Plan - Model Details'!U702/10^6</f>
        <v>-119.400399302523</v>
      </c>
      <c r="X35" s="31">
        <f>-'Business Plan - Model Details'!V702/10^6</f>
        <v>-119.400399302523</v>
      </c>
      <c r="Y35" s="31">
        <f>-'Business Plan - Model Details'!W702/10^6</f>
        <v>-119.400399302523</v>
      </c>
      <c r="Z35" s="31">
        <f>-'Business Plan - Model Details'!X702/10^6</f>
        <v>-119.400399302523</v>
      </c>
      <c r="AA35" s="31">
        <f>-'Business Plan - Model Details'!Y702/10^6</f>
        <v>-119.400399302523</v>
      </c>
      <c r="AB35" s="31">
        <f>-'Business Plan - Model Details'!Z702/10^6</f>
        <v>-119.400399302523</v>
      </c>
      <c r="AC35" s="31">
        <f>-'Business Plan - Model Details'!AA702/10^6</f>
        <v>-119.400399302523</v>
      </c>
      <c r="AD35" s="31">
        <f>-'Business Plan - Model Details'!AB702/10^6</f>
        <v>-119.400399302523</v>
      </c>
      <c r="AE35" s="31">
        <f>-'Business Plan - Model Details'!AC702/10^6</f>
        <v>-119.400399302523</v>
      </c>
      <c r="AF35" s="31">
        <f>-'Business Plan - Model Details'!AD702/10^6</f>
        <v>-119.400399302523</v>
      </c>
      <c r="AG35" s="31">
        <f>-'Business Plan - Model Details'!AE702/10^6</f>
        <v>-119.400399302523</v>
      </c>
      <c r="AH35" s="31">
        <f>-'Business Plan - Model Details'!AF702/10^6</f>
        <v>-119.400399302523</v>
      </c>
      <c r="AI35" s="31">
        <f>-'Business Plan - Model Details'!AG702/10^6</f>
        <v>-119.400399302523</v>
      </c>
      <c r="AJ35" s="35">
        <f>SUM(X35:AI35)</f>
        <v>-1432.8047916302764</v>
      </c>
    </row>
    <row r="36" spans="1:36" ht="14.25" hidden="1" customHeight="1" outlineLevel="1" x14ac:dyDescent="0.35">
      <c r="A36" s="21"/>
      <c r="B36" s="21"/>
      <c r="C36" s="28"/>
      <c r="D36" s="33"/>
      <c r="E36" s="33" t="s">
        <v>31</v>
      </c>
      <c r="F36" s="21"/>
      <c r="G36" s="21"/>
      <c r="H36" s="22" t="s">
        <v>19</v>
      </c>
      <c r="I36" s="34">
        <f t="shared" si="14"/>
        <v>0</v>
      </c>
      <c r="J36" s="31"/>
      <c r="K36" s="31">
        <f t="shared" si="15"/>
        <v>-521.24658494228493</v>
      </c>
      <c r="L36" s="31">
        <f>-'Business Plan - Model Details'!J703/10^6</f>
        <v>-5.9840709120619344</v>
      </c>
      <c r="M36" s="31">
        <f>-'Business Plan - Model Details'!K703/10^6</f>
        <v>-13.430525198054651</v>
      </c>
      <c r="N36" s="31">
        <f>-'Business Plan - Model Details'!L703/10^6</f>
        <v>-6.4167983685989372</v>
      </c>
      <c r="O36" s="31">
        <f>-'Business Plan - Model Details'!M703/10^6</f>
        <v>-46.750690333779559</v>
      </c>
      <c r="P36" s="31">
        <f>-'Business Plan - Model Details'!N703/10^6</f>
        <v>-35.684648332284461</v>
      </c>
      <c r="Q36" s="31">
        <f>-'Business Plan - Model Details'!O703/10^6</f>
        <v>-105.40289418619723</v>
      </c>
      <c r="R36" s="31">
        <f>-'Business Plan - Model Details'!P703/10^6</f>
        <v>-63.822502254283137</v>
      </c>
      <c r="S36" s="31">
        <f>-'Business Plan - Model Details'!Q703/10^6</f>
        <v>-71.810528819687633</v>
      </c>
      <c r="T36" s="31">
        <f>-'Business Plan - Model Details'!R703/10^6</f>
        <v>-43.030896551066569</v>
      </c>
      <c r="U36" s="31">
        <f>-'Business Plan - Model Details'!S703/10^6</f>
        <v>-42.975108723240865</v>
      </c>
      <c r="V36" s="31">
        <f>-'Business Plan - Model Details'!T703/10^6</f>
        <v>-42.969267721485139</v>
      </c>
      <c r="W36" s="31">
        <f>-'Business Plan - Model Details'!U703/10^6</f>
        <v>-42.968653541544732</v>
      </c>
      <c r="X36" s="31">
        <f>-'Business Plan - Model Details'!V703/10^6</f>
        <v>-42.968589162056745</v>
      </c>
      <c r="Y36" s="31">
        <f>-'Business Plan - Model Details'!W703/10^6</f>
        <v>-42.968582409262652</v>
      </c>
      <c r="Z36" s="31">
        <f>-'Business Plan - Model Details'!X703/10^6</f>
        <v>-42.968581700530613</v>
      </c>
      <c r="AA36" s="31">
        <f>-'Business Plan - Model Details'!Y703/10^6</f>
        <v>-42.968581626192609</v>
      </c>
      <c r="AB36" s="31">
        <f>-'Business Plan - Model Details'!Z703/10^6</f>
        <v>-42.968581618393735</v>
      </c>
      <c r="AC36" s="31">
        <f>-'Business Plan - Model Details'!AA703/10^6</f>
        <v>-42.968581617575495</v>
      </c>
      <c r="AD36" s="31">
        <f>-'Business Plan - Model Details'!AB703/10^6</f>
        <v>-42.968581617489647</v>
      </c>
      <c r="AE36" s="31">
        <f>-'Business Plan - Model Details'!AC703/10^6</f>
        <v>-42.968581617480652</v>
      </c>
      <c r="AF36" s="31">
        <f>-'Business Plan - Model Details'!AD703/10^6</f>
        <v>-42.968581617479707</v>
      </c>
      <c r="AG36" s="31">
        <f>-'Business Plan - Model Details'!AE703/10^6</f>
        <v>-42.968581617479607</v>
      </c>
      <c r="AH36" s="31">
        <f>-'Business Plan - Model Details'!AF703/10^6</f>
        <v>-42.968581617479593</v>
      </c>
      <c r="AI36" s="31">
        <f>-'Business Plan - Model Details'!AG703/10^6</f>
        <v>-42.968581617479593</v>
      </c>
    </row>
    <row r="37" spans="1:36" ht="14.25" hidden="1" customHeight="1" outlineLevel="1" x14ac:dyDescent="0.35">
      <c r="A37" s="21"/>
      <c r="B37" s="21"/>
      <c r="C37" s="28"/>
      <c r="D37" s="33"/>
      <c r="E37" s="33" t="s">
        <v>32</v>
      </c>
      <c r="F37" s="21"/>
      <c r="G37" s="21"/>
      <c r="H37" s="22" t="s">
        <v>19</v>
      </c>
      <c r="I37" s="34">
        <f t="shared" si="14"/>
        <v>0</v>
      </c>
      <c r="J37" s="31"/>
      <c r="K37" s="31">
        <f t="shared" si="15"/>
        <v>-333.76307163619475</v>
      </c>
      <c r="L37" s="31">
        <f>-'Business Plan - Model Details'!J704/10^6</f>
        <v>0</v>
      </c>
      <c r="M37" s="31">
        <f>-'Business Plan - Model Details'!K704/10^6</f>
        <v>-10.624044540667201</v>
      </c>
      <c r="N37" s="31">
        <f>-'Business Plan - Model Details'!L704/10^6</f>
        <v>-4.2868911423637508</v>
      </c>
      <c r="O37" s="31">
        <f>-'Business Plan - Model Details'!M704/10^6</f>
        <v>-29.8430517640451</v>
      </c>
      <c r="P37" s="31">
        <f>-'Business Plan - Model Details'!N704/10^6</f>
        <v>-20.710967668379197</v>
      </c>
      <c r="Q37" s="31">
        <f>-'Business Plan - Model Details'!O704/10^6</f>
        <v>-62.273750368871696</v>
      </c>
      <c r="R37" s="31">
        <f>-'Business Plan - Model Details'!P704/10^6</f>
        <v>-41.031714759460797</v>
      </c>
      <c r="S37" s="31">
        <f>-'Business Plan - Model Details'!Q704/10^6</f>
        <v>-51.763470956659695</v>
      </c>
      <c r="T37" s="31">
        <f>-'Business Plan - Model Details'!R704/10^6</f>
        <v>-28.307294915452172</v>
      </c>
      <c r="U37" s="31">
        <f>-'Business Plan - Model Details'!S704/10^6</f>
        <v>-28.307295173431729</v>
      </c>
      <c r="V37" s="31">
        <f>-'Business Plan - Model Details'!T704/10^6</f>
        <v>-28.307295173431733</v>
      </c>
      <c r="W37" s="31">
        <f>-'Business Plan - Model Details'!U704/10^6</f>
        <v>-28.307295173431726</v>
      </c>
      <c r="X37" s="31">
        <f>-'Business Plan - Model Details'!V704/10^6</f>
        <v>-28.307295173431726</v>
      </c>
      <c r="Y37" s="31">
        <f>-'Business Plan - Model Details'!W704/10^6</f>
        <v>-28.307295173431729</v>
      </c>
      <c r="Z37" s="31">
        <f>-'Business Plan - Model Details'!X704/10^6</f>
        <v>-28.307295173431729</v>
      </c>
      <c r="AA37" s="31">
        <f>-'Business Plan - Model Details'!Y704/10^6</f>
        <v>-28.307295173431729</v>
      </c>
      <c r="AB37" s="31">
        <f>-'Business Plan - Model Details'!Z704/10^6</f>
        <v>-28.307295173431729</v>
      </c>
      <c r="AC37" s="31">
        <f>-'Business Plan - Model Details'!AA704/10^6</f>
        <v>-28.307295173431726</v>
      </c>
      <c r="AD37" s="31">
        <f>-'Business Plan - Model Details'!AB704/10^6</f>
        <v>-28.307295173431733</v>
      </c>
      <c r="AE37" s="31">
        <f>-'Business Plan - Model Details'!AC704/10^6</f>
        <v>-28.307295173431733</v>
      </c>
      <c r="AF37" s="31">
        <f>-'Business Plan - Model Details'!AD704/10^6</f>
        <v>-28.307295173431729</v>
      </c>
      <c r="AG37" s="31">
        <f>-'Business Plan - Model Details'!AE704/10^6</f>
        <v>-28.307295173431726</v>
      </c>
      <c r="AH37" s="31">
        <f>-'Business Plan - Model Details'!AF704/10^6</f>
        <v>-28.307295173431729</v>
      </c>
      <c r="AI37" s="31">
        <f>-'Business Plan - Model Details'!AG704/10^6</f>
        <v>-28.307295173431729</v>
      </c>
      <c r="AJ37" s="35">
        <f>SUM(X37:AI37)</f>
        <v>-339.68754208118071</v>
      </c>
    </row>
    <row r="38" spans="1:36" ht="14.25" hidden="1" customHeight="1" outlineLevel="1" x14ac:dyDescent="0.35">
      <c r="A38" s="21"/>
      <c r="B38" s="21"/>
      <c r="C38" s="28"/>
      <c r="D38" s="33"/>
      <c r="E38" s="33" t="s">
        <v>33</v>
      </c>
      <c r="F38" s="21"/>
      <c r="G38" s="21"/>
      <c r="H38" s="22" t="s">
        <v>19</v>
      </c>
      <c r="I38" s="34">
        <f t="shared" si="14"/>
        <v>0</v>
      </c>
      <c r="J38" s="31"/>
      <c r="K38" s="31">
        <f t="shared" si="15"/>
        <v>-54.996533756832306</v>
      </c>
      <c r="L38" s="31">
        <f>-'Business Plan - Model Details'!J705/10^6</f>
        <v>-0.37099798543466678</v>
      </c>
      <c r="M38" s="31">
        <f>-'Business Plan - Model Details'!K705/10^6</f>
        <v>-1.3249985216768021</v>
      </c>
      <c r="N38" s="31">
        <f>-'Business Plan - Model Details'!L705/10^6</f>
        <v>-0.60949999708063529</v>
      </c>
      <c r="O38" s="31">
        <f>-'Business Plan - Model Details'!M705/10^6</f>
        <v>-3.0061594354944838</v>
      </c>
      <c r="P38" s="31">
        <f>-'Business Plan - Model Details'!N705/10^6</f>
        <v>-3.7565250963495309</v>
      </c>
      <c r="Q38" s="31">
        <f>-'Business Plan - Model Details'!O705/10^6</f>
        <v>-11.554203740502409</v>
      </c>
      <c r="R38" s="31">
        <f>-'Business Plan - Model Details'!P705/10^6</f>
        <v>-7.6002765661462091</v>
      </c>
      <c r="S38" s="31">
        <f>-'Business Plan - Model Details'!Q705/10^6</f>
        <v>-9.11480419012209</v>
      </c>
      <c r="T38" s="31">
        <f>-'Business Plan - Model Details'!R705/10^6</f>
        <v>-4.48141844904218</v>
      </c>
      <c r="U38" s="31">
        <f>-'Business Plan - Model Details'!S705/10^6</f>
        <v>-4.4168536171026744</v>
      </c>
      <c r="V38" s="31">
        <f>-'Business Plan - Model Details'!T705/10^6</f>
        <v>-4.3872955279665407</v>
      </c>
      <c r="W38" s="31">
        <f>-'Business Plan - Model Details'!U705/10^6</f>
        <v>-4.3735006299140728</v>
      </c>
      <c r="X38" s="31">
        <f>-'Business Plan - Model Details'!V705/10^6</f>
        <v>-4.3670039606087663</v>
      </c>
      <c r="Y38" s="31">
        <f>-'Business Plan - Model Details'!W705/10^6</f>
        <v>-4.3638796148977281</v>
      </c>
      <c r="Z38" s="31">
        <f>-'Business Plan - Model Details'!X705/10^6</f>
        <v>-4.3623338224577619</v>
      </c>
      <c r="AA38" s="31">
        <f>-'Business Plan - Model Details'!Y705/10^6</f>
        <v>-4.3615439332085248</v>
      </c>
      <c r="AB38" s="31">
        <f>-'Business Plan - Model Details'!Z705/10^6</f>
        <v>-4.3611239140062024</v>
      </c>
      <c r="AC38" s="31">
        <f>-'Business Plan - Model Details'!AA705/10^6</f>
        <v>-4.3608907346873833</v>
      </c>
      <c r="AD38" s="31">
        <f>-'Business Plan - Model Details'!AB705/10^6</f>
        <v>-4.3607556704991461</v>
      </c>
      <c r="AE38" s="31">
        <f>-'Business Plan - Model Details'!AC705/10^6</f>
        <v>-4.3606742954129878</v>
      </c>
      <c r="AF38" s="31">
        <f>-'Business Plan - Model Details'!AD705/10^6</f>
        <v>-4.3606236033139165</v>
      </c>
      <c r="AG38" s="31">
        <f>-'Business Plan - Model Details'!AE705/10^6</f>
        <v>-4.360591178538435</v>
      </c>
      <c r="AH38" s="31">
        <f>-'Business Plan - Model Details'!AF705/10^6</f>
        <v>-4.3605700186078122</v>
      </c>
      <c r="AI38" s="31">
        <f>-'Business Plan - Model Details'!AG705/10^6</f>
        <v>-4.3605560085481994</v>
      </c>
      <c r="AJ38" s="35">
        <f>SUM(X38:AI38)</f>
        <v>-52.340546754786864</v>
      </c>
    </row>
    <row r="39" spans="1:36" ht="14.25" hidden="1" customHeight="1" outlineLevel="1" x14ac:dyDescent="0.35">
      <c r="A39" s="21"/>
      <c r="B39" s="21"/>
      <c r="C39" s="28"/>
      <c r="D39" s="21"/>
      <c r="E39" s="21" t="s">
        <v>34</v>
      </c>
      <c r="F39" s="21"/>
      <c r="G39" s="21"/>
      <c r="H39" s="22" t="s">
        <v>19</v>
      </c>
      <c r="I39" s="34">
        <f t="shared" si="14"/>
        <v>0</v>
      </c>
      <c r="J39" s="31"/>
      <c r="K39" s="31">
        <f t="shared" si="15"/>
        <v>0</v>
      </c>
      <c r="L39" s="31">
        <f>-'Business Plan - Model Details'!J706/10^6</f>
        <v>0</v>
      </c>
      <c r="M39" s="31">
        <f>-'Business Plan - Model Details'!K706/10^6</f>
        <v>0</v>
      </c>
      <c r="N39" s="31">
        <f>-'Business Plan - Model Details'!L706/10^6</f>
        <v>0</v>
      </c>
      <c r="O39" s="31">
        <f>-'Business Plan - Model Details'!M706/10^6</f>
        <v>0</v>
      </c>
      <c r="P39" s="31">
        <f>-'Business Plan - Model Details'!N706/10^6</f>
        <v>0</v>
      </c>
      <c r="Q39" s="31">
        <f>-'Business Plan - Model Details'!O706/10^6</f>
        <v>0</v>
      </c>
      <c r="R39" s="31">
        <f>-'Business Plan - Model Details'!P706/10^6</f>
        <v>0</v>
      </c>
      <c r="S39" s="31">
        <f>-'Business Plan - Model Details'!Q706/10^6</f>
        <v>0</v>
      </c>
      <c r="T39" s="31">
        <f>-'Business Plan - Model Details'!R706/10^6</f>
        <v>0</v>
      </c>
      <c r="U39" s="31">
        <f>-'Business Plan - Model Details'!S706/10^6</f>
        <v>0</v>
      </c>
      <c r="V39" s="31">
        <f>-'Business Plan - Model Details'!T706/10^6</f>
        <v>0</v>
      </c>
      <c r="W39" s="31">
        <f>-'Business Plan - Model Details'!U706/10^6</f>
        <v>0</v>
      </c>
      <c r="X39" s="31">
        <f>-'Business Plan - Model Details'!V706/10^6</f>
        <v>0</v>
      </c>
      <c r="Y39" s="31">
        <f>-'Business Plan - Model Details'!W706/10^6</f>
        <v>0</v>
      </c>
      <c r="Z39" s="31">
        <f>-'Business Plan - Model Details'!X706/10^6</f>
        <v>0</v>
      </c>
      <c r="AA39" s="31">
        <f>-'Business Plan - Model Details'!Y706/10^6</f>
        <v>0</v>
      </c>
      <c r="AB39" s="31">
        <f>-'Business Plan - Model Details'!Z706/10^6</f>
        <v>0</v>
      </c>
      <c r="AC39" s="31">
        <f>-'Business Plan - Model Details'!AA706/10^6</f>
        <v>0</v>
      </c>
      <c r="AD39" s="31">
        <f>-'Business Plan - Model Details'!AB706/10^6</f>
        <v>0</v>
      </c>
      <c r="AE39" s="31">
        <f>-'Business Plan - Model Details'!AC706/10^6</f>
        <v>0</v>
      </c>
      <c r="AF39" s="31">
        <f>-'Business Plan - Model Details'!AD706/10^6</f>
        <v>0</v>
      </c>
      <c r="AG39" s="31">
        <f>-'Business Plan - Model Details'!AE706/10^6</f>
        <v>0</v>
      </c>
      <c r="AH39" s="31">
        <f>-'Business Plan - Model Details'!AF706/10^6</f>
        <v>0</v>
      </c>
      <c r="AI39" s="31">
        <f>-'Business Plan - Model Details'!AG706/10^6</f>
        <v>0</v>
      </c>
      <c r="AJ39" s="35">
        <f>SUM(X39:AI39)</f>
        <v>0</v>
      </c>
    </row>
    <row r="40" spans="1:36" ht="14.25" hidden="1" customHeight="1" outlineLevel="1" x14ac:dyDescent="0.35">
      <c r="A40" s="21"/>
      <c r="B40" s="21"/>
      <c r="C40" s="28"/>
      <c r="D40" s="33"/>
      <c r="E40" s="33" t="s">
        <v>35</v>
      </c>
      <c r="F40" s="21"/>
      <c r="G40" s="21"/>
      <c r="H40" s="22" t="s">
        <v>19</v>
      </c>
      <c r="I40" s="34">
        <f t="shared" si="14"/>
        <v>0</v>
      </c>
      <c r="J40" s="31"/>
      <c r="K40" s="31">
        <f t="shared" si="15"/>
        <v>-322.78673954500584</v>
      </c>
      <c r="L40" s="31">
        <f>-'Business Plan - Model Details'!J707/10^6</f>
        <v>-21.689410419203003</v>
      </c>
      <c r="M40" s="31">
        <f>-'Business Plan - Model Details'!K707/10^6</f>
        <v>-11.35826490336415</v>
      </c>
      <c r="N40" s="31">
        <f>-'Business Plan - Model Details'!L707/10^6</f>
        <v>-4.5351858097094473</v>
      </c>
      <c r="O40" s="31">
        <f>-'Business Plan - Model Details'!M707/10^6</f>
        <v>-30.20696334096759</v>
      </c>
      <c r="P40" s="31">
        <f>-'Business Plan - Model Details'!N707/10^6</f>
        <v>-27.248602359640454</v>
      </c>
      <c r="Q40" s="31">
        <f>-'Business Plan - Model Details'!O707/10^6</f>
        <v>-61.897409460348229</v>
      </c>
      <c r="R40" s="31">
        <f>-'Business Plan - Model Details'!P707/10^6</f>
        <v>-39.027989349433184</v>
      </c>
      <c r="S40" s="31">
        <f>-'Business Plan - Model Details'!Q707/10^6</f>
        <v>-54.419152744344501</v>
      </c>
      <c r="T40" s="31">
        <f>-'Business Plan - Model Details'!R707/10^6</f>
        <v>-18.111902292392045</v>
      </c>
      <c r="U40" s="31">
        <f>-'Business Plan - Model Details'!S707/10^6</f>
        <v>-18.075300868089236</v>
      </c>
      <c r="V40" s="31">
        <f>-'Business Plan - Model Details'!T707/10^6</f>
        <v>-18.115618904103965</v>
      </c>
      <c r="W40" s="31">
        <f>-'Business Plan - Model Details'!U707/10^6</f>
        <v>-18.100939093410009</v>
      </c>
      <c r="X40" s="31">
        <f>-'Business Plan - Model Details'!V707/10^6</f>
        <v>-18.097285271486239</v>
      </c>
      <c r="Y40" s="31">
        <f>-'Business Plan - Model Details'!W707/10^6</f>
        <v>-18.104614325964761</v>
      </c>
      <c r="Z40" s="31">
        <f>-'Business Plan - Model Details'!X707/10^6</f>
        <v>-18.100946198106971</v>
      </c>
      <c r="AA40" s="31">
        <f>-'Business Plan - Model Details'!Y707/10^6</f>
        <v>-18.100948560870915</v>
      </c>
      <c r="AB40" s="31">
        <f>-'Business Plan - Model Details'!Z707/10^6</f>
        <v>-18.102169688395648</v>
      </c>
      <c r="AC40" s="31">
        <f>-'Business Plan - Model Details'!AA707/10^6</f>
        <v>-18.101354815262017</v>
      </c>
      <c r="AD40" s="31">
        <f>-'Business Plan - Model Details'!AB707/10^6</f>
        <v>-18.101491020300251</v>
      </c>
      <c r="AE40" s="31">
        <f>-'Business Plan - Model Details'!AC707/10^6</f>
        <v>-18.101671840960638</v>
      </c>
      <c r="AF40" s="31">
        <f>-'Business Plan - Model Details'!AD707/10^6</f>
        <v>-18.10150589215964</v>
      </c>
      <c r="AG40" s="31">
        <f>-'Business Plan - Model Details'!AE707/10^6</f>
        <v>-18.101556251107045</v>
      </c>
      <c r="AH40" s="31">
        <f>-'Business Plan - Model Details'!AF707/10^6</f>
        <v>-18.101577994726025</v>
      </c>
      <c r="AI40" s="31">
        <f>-'Business Plan - Model Details'!AG707/10^6</f>
        <v>-18.101546712663094</v>
      </c>
      <c r="AJ40" s="35">
        <f>SUM(X40:AI40)</f>
        <v>-217.21666857200327</v>
      </c>
    </row>
    <row r="41" spans="1:36" ht="14.25" hidden="1" customHeight="1" outlineLevel="1" x14ac:dyDescent="0.35">
      <c r="A41" s="21"/>
      <c r="B41" s="21"/>
      <c r="C41" s="28"/>
      <c r="D41" s="33"/>
      <c r="E41" s="33" t="s">
        <v>36</v>
      </c>
      <c r="F41" s="21"/>
      <c r="G41" s="21"/>
      <c r="H41" s="22" t="s">
        <v>19</v>
      </c>
      <c r="I41" s="34">
        <f t="shared" si="14"/>
        <v>0</v>
      </c>
      <c r="J41" s="31"/>
      <c r="K41" s="31">
        <f t="shared" si="15"/>
        <v>-212.41633386245354</v>
      </c>
      <c r="L41" s="31">
        <f>-'Business Plan - Model Details'!J708/10^6</f>
        <v>-24.922835376643366</v>
      </c>
      <c r="M41" s="31">
        <f>-'Business Plan - Model Details'!K708/10^6</f>
        <v>-14.045126703969919</v>
      </c>
      <c r="N41" s="31">
        <f>-'Business Plan - Model Details'!L708/10^6</f>
        <v>-5.2585687471201599</v>
      </c>
      <c r="O41" s="31">
        <f>-'Business Plan - Model Details'!M708/10^6</f>
        <v>-30.770811052703955</v>
      </c>
      <c r="P41" s="31">
        <f>-'Business Plan - Model Details'!N708/10^6</f>
        <v>-14.77190890842075</v>
      </c>
      <c r="Q41" s="31">
        <f>-'Business Plan - Model Details'!O708/10^6</f>
        <v>-29.897810861542805</v>
      </c>
      <c r="R41" s="31">
        <f>-'Business Plan - Model Details'!P708/10^6</f>
        <v>-26.393848633669236</v>
      </c>
      <c r="S41" s="31">
        <f>-'Business Plan - Model Details'!Q708/10^6</f>
        <v>-25.522976614774173</v>
      </c>
      <c r="T41" s="31">
        <f>-'Business Plan - Model Details'!R708/10^6</f>
        <v>-10.308489227539178</v>
      </c>
      <c r="U41" s="31">
        <f>-'Business Plan - Model Details'!S708/10^6</f>
        <v>-10.288279568013538</v>
      </c>
      <c r="V41" s="31">
        <f>-'Business Plan - Model Details'!T708/10^6</f>
        <v>-10.106904557918437</v>
      </c>
      <c r="W41" s="31">
        <f>-'Business Plan - Model Details'!U708/10^6</f>
        <v>-10.128773610138046</v>
      </c>
      <c r="X41" s="31">
        <f>-'Business Plan - Model Details'!V708/10^6</f>
        <v>-10.094427437365862</v>
      </c>
      <c r="Y41" s="31">
        <f>-'Business Plan - Model Details'!W708/10^6</f>
        <v>-10.072610996657113</v>
      </c>
      <c r="Z41" s="31">
        <f>-'Business Plan - Model Details'!X708/10^6</f>
        <v>-10.065252278647199</v>
      </c>
      <c r="AA41" s="31">
        <f>-'Business Plan - Model Details'!Y708/10^6</f>
        <v>-10.062446772478189</v>
      </c>
      <c r="AB41" s="31">
        <f>-'Business Plan - Model Details'!Z708/10^6</f>
        <v>-10.042393179860365</v>
      </c>
      <c r="AC41" s="31">
        <f>-'Business Plan - Model Details'!AA708/10^6</f>
        <v>-10.032419446031644</v>
      </c>
      <c r="AD41" s="31">
        <f>-'Business Plan - Model Details'!AB708/10^6</f>
        <v>-10.031966299067713</v>
      </c>
      <c r="AE41" s="31">
        <f>-'Business Plan - Model Details'!AC708/10^6</f>
        <v>-10.0117852354749</v>
      </c>
      <c r="AF41" s="31">
        <f>-'Business Plan - Model Details'!AD708/10^6</f>
        <v>-10.007708596115236</v>
      </c>
      <c r="AG41" s="31">
        <f>-'Business Plan - Model Details'!AE708/10^6</f>
        <v>-9.9862379828172738</v>
      </c>
      <c r="AH41" s="31">
        <f>-'Business Plan - Model Details'!AF708/10^6</f>
        <v>-9.9830277110650254</v>
      </c>
      <c r="AI41" s="31">
        <f>-'Business Plan - Model Details'!AG708/10^6</f>
        <v>-9.9658910095303757</v>
      </c>
      <c r="AJ41" s="35">
        <f>SUM(X41:AI41)</f>
        <v>-120.3561669451109</v>
      </c>
    </row>
    <row r="42" spans="1:36" ht="14.25" hidden="1" customHeight="1" outlineLevel="1" x14ac:dyDescent="0.35">
      <c r="A42" s="21"/>
      <c r="B42" s="21"/>
      <c r="C42" s="28"/>
      <c r="D42" s="33" t="s">
        <v>37</v>
      </c>
      <c r="E42" s="33"/>
      <c r="F42" s="21"/>
      <c r="G42" s="21"/>
      <c r="H42" s="21"/>
      <c r="I42" s="34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</row>
    <row r="43" spans="1:36" ht="14.25" hidden="1" customHeight="1" outlineLevel="1" x14ac:dyDescent="0.35">
      <c r="A43" s="21"/>
      <c r="B43" s="21"/>
      <c r="C43" s="28"/>
      <c r="D43" s="33"/>
      <c r="E43" s="33" t="s">
        <v>38</v>
      </c>
      <c r="F43" s="21"/>
      <c r="G43" s="21"/>
      <c r="H43" s="22" t="s">
        <v>19</v>
      </c>
      <c r="I43" s="34">
        <f t="shared" ref="I43:I48" si="16">IFERROR((K43-J43)/J43,0)</f>
        <v>0</v>
      </c>
      <c r="J43" s="31"/>
      <c r="K43" s="31">
        <f t="shared" ref="K43:K48" si="17">SUM(L43:W43)</f>
        <v>0</v>
      </c>
      <c r="L43" s="31">
        <f>-'Business Plan - Model Details'!J711/10^6</f>
        <v>0</v>
      </c>
      <c r="M43" s="31">
        <f>-'Business Plan - Model Details'!K711/10^6</f>
        <v>0</v>
      </c>
      <c r="N43" s="31">
        <f>-'Business Plan - Model Details'!L711/10^6</f>
        <v>0</v>
      </c>
      <c r="O43" s="31">
        <f>-'Business Plan - Model Details'!M711/10^6</f>
        <v>0</v>
      </c>
      <c r="P43" s="31">
        <f>-'Business Plan - Model Details'!N711/10^6</f>
        <v>0</v>
      </c>
      <c r="Q43" s="31">
        <f>-'Business Plan - Model Details'!O711/10^6</f>
        <v>0</v>
      </c>
      <c r="R43" s="31">
        <f>-'Business Plan - Model Details'!P711/10^6</f>
        <v>0</v>
      </c>
      <c r="S43" s="31">
        <f>-'Business Plan - Model Details'!Q711/10^6</f>
        <v>0</v>
      </c>
      <c r="T43" s="31">
        <f>-'Business Plan - Model Details'!R711/10^6</f>
        <v>0</v>
      </c>
      <c r="U43" s="31">
        <f>-'Business Plan - Model Details'!S711/10^6</f>
        <v>0</v>
      </c>
      <c r="V43" s="31">
        <f>-'Business Plan - Model Details'!T711/10^6</f>
        <v>0</v>
      </c>
      <c r="W43" s="31">
        <f>-'Business Plan - Model Details'!U711/10^6</f>
        <v>0</v>
      </c>
      <c r="X43" s="31">
        <f>-'Business Plan - Model Details'!V711/10^6</f>
        <v>0</v>
      </c>
      <c r="Y43" s="31">
        <f>-'Business Plan - Model Details'!W711/10^6</f>
        <v>0</v>
      </c>
      <c r="Z43" s="31">
        <f>-'Business Plan - Model Details'!X711/10^6</f>
        <v>0</v>
      </c>
      <c r="AA43" s="31">
        <f>-'Business Plan - Model Details'!Y711/10^6</f>
        <v>0</v>
      </c>
      <c r="AB43" s="31">
        <f>-'Business Plan - Model Details'!Z711/10^6</f>
        <v>0</v>
      </c>
      <c r="AC43" s="31">
        <f>-'Business Plan - Model Details'!AA711/10^6</f>
        <v>0</v>
      </c>
      <c r="AD43" s="31">
        <f>-'Business Plan - Model Details'!AB711/10^6</f>
        <v>0</v>
      </c>
      <c r="AE43" s="31">
        <f>-'Business Plan - Model Details'!AC711/10^6</f>
        <v>0</v>
      </c>
      <c r="AF43" s="31">
        <f>-'Business Plan - Model Details'!AD711/10^6</f>
        <v>0</v>
      </c>
      <c r="AG43" s="31">
        <f>-'Business Plan - Model Details'!AE711/10^6</f>
        <v>0</v>
      </c>
      <c r="AH43" s="31">
        <f>-'Business Plan - Model Details'!AF711/10^6</f>
        <v>0</v>
      </c>
      <c r="AI43" s="31">
        <f>-'Business Plan - Model Details'!AG711/10^6</f>
        <v>0</v>
      </c>
    </row>
    <row r="44" spans="1:36" ht="14.25" hidden="1" customHeight="1" outlineLevel="1" x14ac:dyDescent="0.35">
      <c r="A44" s="21"/>
      <c r="B44" s="21"/>
      <c r="C44" s="28"/>
      <c r="D44" s="33"/>
      <c r="E44" s="33" t="s">
        <v>39</v>
      </c>
      <c r="F44" s="21"/>
      <c r="G44" s="21"/>
      <c r="H44" s="22" t="s">
        <v>19</v>
      </c>
      <c r="I44" s="34">
        <f t="shared" si="16"/>
        <v>0</v>
      </c>
      <c r="J44" s="31"/>
      <c r="K44" s="31">
        <f t="shared" si="17"/>
        <v>-537.3660546251308</v>
      </c>
      <c r="L44" s="31">
        <f>-'Business Plan - Model Details'!J714/10^6</f>
        <v>0</v>
      </c>
      <c r="M44" s="31">
        <f>-'Business Plan - Model Details'!K714/10^6</f>
        <v>0</v>
      </c>
      <c r="N44" s="31">
        <f>-'Business Plan - Model Details'!L714/10^6</f>
        <v>0</v>
      </c>
      <c r="O44" s="31">
        <f>-'Business Plan - Model Details'!M714/10^6</f>
        <v>0</v>
      </c>
      <c r="P44" s="31">
        <f>-'Business Plan - Model Details'!N714/10^6</f>
        <v>0</v>
      </c>
      <c r="Q44" s="31">
        <f>-'Business Plan - Model Details'!O714/10^6</f>
        <v>0</v>
      </c>
      <c r="R44" s="31">
        <f>-'Business Plan - Model Details'!P714/10^6</f>
        <v>0</v>
      </c>
      <c r="S44" s="31">
        <f>-'Business Plan - Model Details'!Q714/10^6</f>
        <v>0</v>
      </c>
      <c r="T44" s="31">
        <f>-'Business Plan - Model Details'!R714/10^6</f>
        <v>-125.748779</v>
      </c>
      <c r="U44" s="31">
        <f>-'Business Plan - Model Details'!S714/10^6</f>
        <v>-134.57859558280541</v>
      </c>
      <c r="V44" s="31">
        <f>-'Business Plan - Model Details'!T714/10^6</f>
        <v>-137.9114460813766</v>
      </c>
      <c r="W44" s="31">
        <f>-'Business Plan - Model Details'!U714/10^6</f>
        <v>-139.12723396094873</v>
      </c>
      <c r="X44" s="31">
        <f>-'Business Plan - Model Details'!V714/10^6</f>
        <v>-139.59275321380392</v>
      </c>
      <c r="Y44" s="31">
        <f>-'Business Plan - Model Details'!W714/10^6</f>
        <v>-139.75489894670272</v>
      </c>
      <c r="Z44" s="31">
        <f>-'Business Plan - Model Details'!X714/10^6</f>
        <v>-139.81056831258249</v>
      </c>
      <c r="AA44" s="31">
        <f>-'Business Plan - Model Details'!Y714/10^6</f>
        <v>-139.82716814459522</v>
      </c>
      <c r="AB44" s="31">
        <f>-'Business Plan - Model Details'!Z714/10^6</f>
        <v>-139.83217810737563</v>
      </c>
      <c r="AC44" s="31">
        <f>-'Business Plan - Model Details'!AA714/10^6</f>
        <v>-139.82669213441551</v>
      </c>
      <c r="AD44" s="31">
        <f>-'Business Plan - Model Details'!AB714/10^6</f>
        <v>-139.82033363422755</v>
      </c>
      <c r="AE44" s="31">
        <f>-'Business Plan - Model Details'!AC714/10^6</f>
        <v>-139.81771034639257</v>
      </c>
      <c r="AF44" s="31">
        <f>-'Business Plan - Model Details'!AD714/10^6</f>
        <v>-139.80896481412938</v>
      </c>
      <c r="AG44" s="31">
        <f>-'Business Plan - Model Details'!AE714/10^6</f>
        <v>-139.80394249180432</v>
      </c>
      <c r="AH44" s="31">
        <f>-'Business Plan - Model Details'!AF714/10^6</f>
        <v>-139.7937447847201</v>
      </c>
      <c r="AI44" s="31">
        <f>-'Business Plan - Model Details'!AG714/10^6</f>
        <v>-139.78858049082066</v>
      </c>
    </row>
    <row r="45" spans="1:36" ht="14.25" hidden="1" customHeight="1" outlineLevel="1" x14ac:dyDescent="0.35">
      <c r="A45" s="21"/>
      <c r="B45" s="21"/>
      <c r="C45" s="28"/>
      <c r="D45" s="33"/>
      <c r="E45" s="33" t="s">
        <v>40</v>
      </c>
      <c r="F45" s="21"/>
      <c r="G45" s="21"/>
      <c r="H45" s="22" t="s">
        <v>19</v>
      </c>
      <c r="I45" s="34">
        <f t="shared" si="16"/>
        <v>0</v>
      </c>
      <c r="J45" s="31"/>
      <c r="K45" s="31">
        <f t="shared" si="17"/>
        <v>551.2100288389347</v>
      </c>
      <c r="L45" s="31">
        <f>-'Business Plan - Model Details'!J715/10^6</f>
        <v>0</v>
      </c>
      <c r="M45" s="31">
        <f>-'Business Plan - Model Details'!K715/10^6</f>
        <v>0</v>
      </c>
      <c r="N45" s="31">
        <f>-'Business Plan - Model Details'!L715/10^6</f>
        <v>0</v>
      </c>
      <c r="O45" s="31">
        <f>-'Business Plan - Model Details'!M715/10^6</f>
        <v>0</v>
      </c>
      <c r="P45" s="31">
        <f>-'Business Plan - Model Details'!N715/10^6</f>
        <v>0</v>
      </c>
      <c r="Q45" s="31">
        <f>-'Business Plan - Model Details'!O715/10^6</f>
        <v>0</v>
      </c>
      <c r="R45" s="31">
        <f>-'Business Plan - Model Details'!P715/10^6</f>
        <v>0</v>
      </c>
      <c r="S45" s="31">
        <f>-'Business Plan - Model Details'!Q715/10^6</f>
        <v>0</v>
      </c>
      <c r="T45" s="31">
        <f>-'Business Plan - Model Details'!R715/10^6</f>
        <v>134.57859558280541</v>
      </c>
      <c r="U45" s="31">
        <f>-'Business Plan - Model Details'!S715/10^6</f>
        <v>137.9114460813766</v>
      </c>
      <c r="V45" s="31">
        <f>-'Business Plan - Model Details'!T715/10^6</f>
        <v>139.12723396094873</v>
      </c>
      <c r="W45" s="31">
        <f>-'Business Plan - Model Details'!U715/10^6</f>
        <v>139.59275321380392</v>
      </c>
      <c r="X45" s="31">
        <f>-'Business Plan - Model Details'!V715/10^6</f>
        <v>139.75489894670272</v>
      </c>
      <c r="Y45" s="31">
        <f>-'Business Plan - Model Details'!W715/10^6</f>
        <v>139.81056831258249</v>
      </c>
      <c r="Z45" s="31">
        <f>-'Business Plan - Model Details'!X715/10^6</f>
        <v>139.82716814459522</v>
      </c>
      <c r="AA45" s="31">
        <f>-'Business Plan - Model Details'!Y715/10^6</f>
        <v>139.83217810737563</v>
      </c>
      <c r="AB45" s="31">
        <f>-'Business Plan - Model Details'!Z715/10^6</f>
        <v>139.82669213441551</v>
      </c>
      <c r="AC45" s="31">
        <f>-'Business Plan - Model Details'!AA715/10^6</f>
        <v>139.82033363422755</v>
      </c>
      <c r="AD45" s="31">
        <f>-'Business Plan - Model Details'!AB715/10^6</f>
        <v>139.81771034639257</v>
      </c>
      <c r="AE45" s="31">
        <f>-'Business Plan - Model Details'!AC715/10^6</f>
        <v>139.80896481412938</v>
      </c>
      <c r="AF45" s="31">
        <f>-'Business Plan - Model Details'!AD715/10^6</f>
        <v>139.80394249180432</v>
      </c>
      <c r="AG45" s="31">
        <f>-'Business Plan - Model Details'!AE715/10^6</f>
        <v>139.7937447847201</v>
      </c>
      <c r="AH45" s="31">
        <f>-'Business Plan - Model Details'!AF715/10^6</f>
        <v>139.78858049082066</v>
      </c>
      <c r="AI45" s="31">
        <f>-'Business Plan - Model Details'!AG715/10^6</f>
        <v>139.77997309205082</v>
      </c>
      <c r="AJ45" s="35">
        <f>SUM(X45:AI45)</f>
        <v>1677.6647552998168</v>
      </c>
    </row>
    <row r="46" spans="1:36" ht="14.25" hidden="1" customHeight="1" outlineLevel="1" x14ac:dyDescent="0.35">
      <c r="A46" s="21"/>
      <c r="B46" s="21"/>
      <c r="C46" s="28"/>
      <c r="D46" s="33"/>
      <c r="E46" s="33" t="s">
        <v>41</v>
      </c>
      <c r="F46" s="21"/>
      <c r="G46" s="21"/>
      <c r="H46" s="22" t="s">
        <v>19</v>
      </c>
      <c r="I46" s="34">
        <f t="shared" si="16"/>
        <v>0</v>
      </c>
      <c r="J46" s="31"/>
      <c r="K46" s="31">
        <f t="shared" si="17"/>
        <v>-282.23264518405665</v>
      </c>
      <c r="L46" s="31">
        <f>-'Business Plan - Model Details'!J717/10^6</f>
        <v>0</v>
      </c>
      <c r="M46" s="31">
        <f>-'Business Plan - Model Details'!K717/10^6</f>
        <v>0</v>
      </c>
      <c r="N46" s="31">
        <f>-'Business Plan - Model Details'!L717/10^6</f>
        <v>0</v>
      </c>
      <c r="O46" s="31">
        <f>-'Business Plan - Model Details'!M717/10^6</f>
        <v>0</v>
      </c>
      <c r="P46" s="31">
        <f>-'Business Plan - Model Details'!N717/10^6</f>
        <v>0</v>
      </c>
      <c r="Q46" s="31">
        <f>-'Business Plan - Model Details'!O717/10^6</f>
        <v>0</v>
      </c>
      <c r="R46" s="31">
        <f>-'Business Plan - Model Details'!P717/10^6</f>
        <v>0</v>
      </c>
      <c r="S46" s="31">
        <f>-'Business Plan - Model Details'!Q717/10^6</f>
        <v>0</v>
      </c>
      <c r="T46" s="31">
        <f>-'Business Plan - Model Details'!R717/10^6</f>
        <v>-67.731841709999998</v>
      </c>
      <c r="U46" s="31">
        <f>-'Business Plan - Model Details'!S717/10^6</f>
        <v>-69.942091576809432</v>
      </c>
      <c r="V46" s="31">
        <f>-'Business Plan - Model Details'!T717/10^6</f>
        <v>-71.807132344632095</v>
      </c>
      <c r="W46" s="31">
        <f>-'Business Plan - Model Details'!U717/10^6</f>
        <v>-72.751579552615169</v>
      </c>
      <c r="X46" s="31">
        <f>-'Business Plan - Model Details'!V717/10^6</f>
        <v>-73.170658283484812</v>
      </c>
      <c r="Y46" s="31">
        <f>-'Business Plan - Model Details'!W717/10^6</f>
        <v>-73.339107166612592</v>
      </c>
      <c r="Z46" s="31">
        <f>-'Business Plan - Model Details'!X717/10^6</f>
        <v>-73.403068605941442</v>
      </c>
      <c r="AA46" s="31">
        <f>-'Business Plan - Model Details'!Y717/10^6</f>
        <v>-73.425566435371934</v>
      </c>
      <c r="AB46" s="31">
        <f>-'Business Plan - Model Details'!Z717/10^6</f>
        <v>-73.43315311694333</v>
      </c>
      <c r="AC46" s="31">
        <f>-'Business Plan - Model Details'!AA717/10^6</f>
        <v>-73.432883143676762</v>
      </c>
      <c r="AD46" s="31">
        <f>-'Business Plan - Model Details'!AB717/10^6</f>
        <v>-73.430309466886101</v>
      </c>
      <c r="AE46" s="31">
        <f>-'Business Plan - Model Details'!AC717/10^6</f>
        <v>-73.428633460992074</v>
      </c>
      <c r="AF46" s="31">
        <f>-'Business Plan - Model Details'!AD717/10^6</f>
        <v>-73.424768162770633</v>
      </c>
      <c r="AG46" s="31">
        <f>-'Business Plan - Model Details'!AE717/10^6</f>
        <v>-73.421824343392259</v>
      </c>
      <c r="AH46" s="31">
        <f>-'Business Plan - Model Details'!AF717/10^6</f>
        <v>-73.417070394676244</v>
      </c>
      <c r="AI46" s="31">
        <f>-'Business Plan - Model Details'!AG717/10^6</f>
        <v>-73.413848947603555</v>
      </c>
      <c r="AJ46" s="35">
        <f>SUM(X46:AI46)</f>
        <v>-880.74089152835165</v>
      </c>
    </row>
    <row r="47" spans="1:36" ht="14.25" hidden="1" customHeight="1" outlineLevel="1" x14ac:dyDescent="0.35">
      <c r="A47" s="21"/>
      <c r="B47" s="21"/>
      <c r="C47" s="28"/>
      <c r="D47" s="33"/>
      <c r="E47" s="33" t="s">
        <v>42</v>
      </c>
      <c r="F47" s="21"/>
      <c r="G47" s="21"/>
      <c r="H47" s="22" t="s">
        <v>19</v>
      </c>
      <c r="I47" s="34">
        <f t="shared" si="16"/>
        <v>0</v>
      </c>
      <c r="J47" s="31"/>
      <c r="K47" s="31">
        <f t="shared" si="17"/>
        <v>287.67146175754146</v>
      </c>
      <c r="L47" s="31">
        <f>-'Business Plan - Model Details'!J718/10^6</f>
        <v>0</v>
      </c>
      <c r="M47" s="31">
        <f>-'Business Plan - Model Details'!K718/10^6</f>
        <v>0</v>
      </c>
      <c r="N47" s="31">
        <f>-'Business Plan - Model Details'!L718/10^6</f>
        <v>0</v>
      </c>
      <c r="O47" s="31">
        <f>-'Business Plan - Model Details'!M718/10^6</f>
        <v>0</v>
      </c>
      <c r="P47" s="31">
        <f>-'Business Plan - Model Details'!N718/10^6</f>
        <v>0</v>
      </c>
      <c r="Q47" s="31">
        <f>-'Business Plan - Model Details'!O718/10^6</f>
        <v>0</v>
      </c>
      <c r="R47" s="31">
        <f>-'Business Plan - Model Details'!P718/10^6</f>
        <v>0</v>
      </c>
      <c r="S47" s="31">
        <f>-'Business Plan - Model Details'!Q718/10^6</f>
        <v>0</v>
      </c>
      <c r="T47" s="31">
        <f>-'Business Plan - Model Details'!R718/10^6</f>
        <v>69.942091576809432</v>
      </c>
      <c r="U47" s="31">
        <f>-'Business Plan - Model Details'!S718/10^6</f>
        <v>71.807132344632095</v>
      </c>
      <c r="V47" s="31">
        <f>-'Business Plan - Model Details'!T718/10^6</f>
        <v>72.751579552615169</v>
      </c>
      <c r="W47" s="31">
        <f>-'Business Plan - Model Details'!U718/10^6</f>
        <v>73.170658283484812</v>
      </c>
      <c r="X47" s="31">
        <f>-'Business Plan - Model Details'!V718/10^6</f>
        <v>73.339107166612592</v>
      </c>
      <c r="Y47" s="31">
        <f>-'Business Plan - Model Details'!W718/10^6</f>
        <v>73.403068605941442</v>
      </c>
      <c r="Z47" s="31">
        <f>-'Business Plan - Model Details'!X718/10^6</f>
        <v>73.425566435371934</v>
      </c>
      <c r="AA47" s="31">
        <f>-'Business Plan - Model Details'!Y718/10^6</f>
        <v>73.43315311694333</v>
      </c>
      <c r="AB47" s="31">
        <f>-'Business Plan - Model Details'!Z718/10^6</f>
        <v>73.432883143676762</v>
      </c>
      <c r="AC47" s="31">
        <f>-'Business Plan - Model Details'!AA718/10^6</f>
        <v>73.430309466886101</v>
      </c>
      <c r="AD47" s="31">
        <f>-'Business Plan - Model Details'!AB718/10^6</f>
        <v>73.428633460992074</v>
      </c>
      <c r="AE47" s="31">
        <f>-'Business Plan - Model Details'!AC718/10^6</f>
        <v>73.424768162770633</v>
      </c>
      <c r="AF47" s="31">
        <f>-'Business Plan - Model Details'!AD718/10^6</f>
        <v>73.421824343392259</v>
      </c>
      <c r="AG47" s="31">
        <f>-'Business Plan - Model Details'!AE718/10^6</f>
        <v>73.417070394676244</v>
      </c>
      <c r="AH47" s="31">
        <f>-'Business Plan - Model Details'!AF718/10^6</f>
        <v>73.413848947603555</v>
      </c>
      <c r="AI47" s="31">
        <f>-'Business Plan - Model Details'!AG718/10^6</f>
        <v>73.409652599768876</v>
      </c>
      <c r="AJ47" s="35">
        <f>SUM(X47:AI47)</f>
        <v>880.97988584463576</v>
      </c>
    </row>
    <row r="48" spans="1:36" ht="14.25" customHeight="1" collapsed="1" x14ac:dyDescent="0.35">
      <c r="A48" s="21"/>
      <c r="B48" s="21"/>
      <c r="C48" s="21" t="s">
        <v>22</v>
      </c>
      <c r="D48" s="33"/>
      <c r="E48" s="33"/>
      <c r="F48" s="21"/>
      <c r="G48" s="21"/>
      <c r="H48" s="22" t="s">
        <v>19</v>
      </c>
      <c r="I48" s="34">
        <f t="shared" si="16"/>
        <v>0</v>
      </c>
      <c r="J48" s="31"/>
      <c r="K48" s="31">
        <f t="shared" si="17"/>
        <v>-2374.1797177322119</v>
      </c>
      <c r="L48" s="31">
        <f t="shared" ref="L48:AI48" si="18">SUM(L49:L56,L58:L62)</f>
        <v>0</v>
      </c>
      <c r="M48" s="31">
        <f t="shared" si="18"/>
        <v>-153.98799191578996</v>
      </c>
      <c r="N48" s="31">
        <f t="shared" si="18"/>
        <v>0</v>
      </c>
      <c r="O48" s="31">
        <f t="shared" si="18"/>
        <v>-230.39068274323296</v>
      </c>
      <c r="P48" s="31">
        <f t="shared" si="18"/>
        <v>-194.76968933134802</v>
      </c>
      <c r="Q48" s="31">
        <f t="shared" si="18"/>
        <v>-485.12357856661885</v>
      </c>
      <c r="R48" s="31">
        <f t="shared" si="18"/>
        <v>-315.92518681841733</v>
      </c>
      <c r="S48" s="31">
        <f t="shared" si="18"/>
        <v>-235.48817570249093</v>
      </c>
      <c r="T48" s="31">
        <f t="shared" si="18"/>
        <v>-187.72042371603715</v>
      </c>
      <c r="U48" s="31">
        <f t="shared" si="18"/>
        <v>-189.89201532173249</v>
      </c>
      <c r="V48" s="31">
        <f t="shared" si="18"/>
        <v>-190.38210756247864</v>
      </c>
      <c r="W48" s="31">
        <f t="shared" si="18"/>
        <v>-190.49986605406568</v>
      </c>
      <c r="X48" s="31">
        <f t="shared" si="18"/>
        <v>-190.50520397574053</v>
      </c>
      <c r="Y48" s="31">
        <f t="shared" si="18"/>
        <v>-190.49704084282314</v>
      </c>
      <c r="Z48" s="31">
        <f t="shared" si="18"/>
        <v>-190.48704217315503</v>
      </c>
      <c r="AA48" s="31">
        <f t="shared" si="18"/>
        <v>-190.43863385503784</v>
      </c>
      <c r="AB48" s="31">
        <f t="shared" si="18"/>
        <v>-190.41397114974819</v>
      </c>
      <c r="AC48" s="31">
        <f t="shared" si="18"/>
        <v>-190.39841349525636</v>
      </c>
      <c r="AD48" s="31">
        <f t="shared" si="18"/>
        <v>-190.39291270897388</v>
      </c>
      <c r="AE48" s="31">
        <f t="shared" si="18"/>
        <v>-190.37698964541926</v>
      </c>
      <c r="AF48" s="31">
        <f t="shared" si="18"/>
        <v>-190.37004813340189</v>
      </c>
      <c r="AG48" s="31">
        <f t="shared" si="18"/>
        <v>-190.35514232514242</v>
      </c>
      <c r="AH48" s="31">
        <f t="shared" si="18"/>
        <v>-190.34914032316277</v>
      </c>
      <c r="AI48" s="31">
        <f t="shared" si="18"/>
        <v>-190.33706810890652</v>
      </c>
      <c r="AJ48" s="35"/>
    </row>
    <row r="49" spans="1:36" ht="14.25" hidden="1" customHeight="1" outlineLevel="1" x14ac:dyDescent="0.35">
      <c r="A49" s="21"/>
      <c r="B49" s="21"/>
      <c r="C49" s="28"/>
      <c r="D49" s="33" t="s">
        <v>29</v>
      </c>
      <c r="E49" s="33"/>
      <c r="F49" s="21"/>
      <c r="G49" s="21"/>
      <c r="H49" s="2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</row>
    <row r="50" spans="1:36" ht="14.25" hidden="1" customHeight="1" outlineLevel="1" x14ac:dyDescent="0.35">
      <c r="A50" s="21"/>
      <c r="B50" s="21"/>
      <c r="C50" s="28"/>
      <c r="D50" s="33"/>
      <c r="E50" s="33" t="s">
        <v>30</v>
      </c>
      <c r="F50" s="21"/>
      <c r="G50" s="21"/>
      <c r="H50" s="22" t="s">
        <v>19</v>
      </c>
      <c r="I50" s="34">
        <f t="shared" ref="I50:I56" si="19">IFERROR((K50-J50)/J50,0)</f>
        <v>0</v>
      </c>
      <c r="J50" s="31"/>
      <c r="K50" s="31">
        <f t="shared" ref="K50:K56" si="20">SUM(L50:W50)</f>
        <v>-1139.1325955296977</v>
      </c>
      <c r="L50" s="31">
        <f>-'Business Plan - Model Details'!J866/10^6</f>
        <v>0</v>
      </c>
      <c r="M50" s="31">
        <f>-'Business Plan - Model Details'!K866/10^6</f>
        <v>-66.744</v>
      </c>
      <c r="N50" s="31">
        <f>-'Business Plan - Model Details'!L866/10^6</f>
        <v>0</v>
      </c>
      <c r="O50" s="31">
        <f>-'Business Plan - Model Details'!M866/10^6</f>
        <v>-100.7685</v>
      </c>
      <c r="P50" s="31">
        <f>-'Business Plan - Model Details'!N866/10^6</f>
        <v>-86.8005</v>
      </c>
      <c r="Q50" s="31">
        <f>-'Business Plan - Model Details'!O866/10^6</f>
        <v>-237.52350000000001</v>
      </c>
      <c r="R50" s="31">
        <f>-'Business Plan - Model Details'!P866/10^6</f>
        <v>-142.51860000000019</v>
      </c>
      <c r="S50" s="31">
        <f>-'Business Plan - Model Details'!Q866/10^6</f>
        <v>-122.51829999999991</v>
      </c>
      <c r="T50" s="31">
        <f>-'Business Plan - Model Details'!R866/10^6</f>
        <v>-95.56479888242437</v>
      </c>
      <c r="U50" s="31">
        <f>-'Business Plan - Model Details'!S866/10^6</f>
        <v>-95.56479888242437</v>
      </c>
      <c r="V50" s="31">
        <f>-'Business Plan - Model Details'!T866/10^6</f>
        <v>-95.56479888242437</v>
      </c>
      <c r="W50" s="31">
        <f>-'Business Plan - Model Details'!U866/10^6</f>
        <v>-95.56479888242437</v>
      </c>
      <c r="X50" s="31">
        <f>-'Business Plan - Model Details'!V866/10^6</f>
        <v>-95.56479888242437</v>
      </c>
      <c r="Y50" s="31">
        <f>-'Business Plan - Model Details'!W866/10^6</f>
        <v>-95.56479888242437</v>
      </c>
      <c r="Z50" s="31">
        <f>-'Business Plan - Model Details'!X866/10^6</f>
        <v>-95.56479888242437</v>
      </c>
      <c r="AA50" s="31">
        <f>-'Business Plan - Model Details'!Y866/10^6</f>
        <v>-95.56479888242437</v>
      </c>
      <c r="AB50" s="31">
        <f>-'Business Plan - Model Details'!Z866/10^6</f>
        <v>-95.56479888242437</v>
      </c>
      <c r="AC50" s="31">
        <f>-'Business Plan - Model Details'!AA866/10^6</f>
        <v>-95.56479888242437</v>
      </c>
      <c r="AD50" s="31">
        <f>-'Business Plan - Model Details'!AB866/10^6</f>
        <v>-95.56479888242437</v>
      </c>
      <c r="AE50" s="31">
        <f>-'Business Plan - Model Details'!AC866/10^6</f>
        <v>-95.56479888242437</v>
      </c>
      <c r="AF50" s="31">
        <f>-'Business Plan - Model Details'!AD866/10^6</f>
        <v>-95.56479888242437</v>
      </c>
      <c r="AG50" s="31">
        <f>-'Business Plan - Model Details'!AE866/10^6</f>
        <v>-95.56479888242437</v>
      </c>
      <c r="AH50" s="31">
        <f>-'Business Plan - Model Details'!AF866/10^6</f>
        <v>-95.56479888242437</v>
      </c>
      <c r="AI50" s="31">
        <f>-'Business Plan - Model Details'!AG866/10^6</f>
        <v>-95.56479888242437</v>
      </c>
      <c r="AJ50" s="35">
        <f>SUM(X50:AI50)</f>
        <v>-1146.7775865890924</v>
      </c>
    </row>
    <row r="51" spans="1:36" ht="14.25" hidden="1" customHeight="1" outlineLevel="1" x14ac:dyDescent="0.35">
      <c r="A51" s="21"/>
      <c r="B51" s="21"/>
      <c r="C51" s="28"/>
      <c r="D51" s="33"/>
      <c r="E51" s="33" t="s">
        <v>31</v>
      </c>
      <c r="F51" s="21"/>
      <c r="G51" s="21"/>
      <c r="H51" s="22" t="s">
        <v>19</v>
      </c>
      <c r="I51" s="34">
        <f t="shared" si="19"/>
        <v>0</v>
      </c>
      <c r="J51" s="31"/>
      <c r="K51" s="31">
        <f t="shared" si="20"/>
        <v>-487.97611820851074</v>
      </c>
      <c r="L51" s="31">
        <f>-'Business Plan - Model Details'!J867/10^6</f>
        <v>0</v>
      </c>
      <c r="M51" s="31">
        <f>-'Business Plan - Model Details'!K867/10^6</f>
        <v>-35.565719690132418</v>
      </c>
      <c r="N51" s="31">
        <f>-'Business Plan - Model Details'!L867/10^6</f>
        <v>0</v>
      </c>
      <c r="O51" s="31">
        <f>-'Business Plan - Model Details'!M867/10^6</f>
        <v>-52.200789170194106</v>
      </c>
      <c r="P51" s="31">
        <f>-'Business Plan - Model Details'!N867/10^6</f>
        <v>-43.888814924022526</v>
      </c>
      <c r="Q51" s="31">
        <f>-'Business Plan - Model Details'!O867/10^6</f>
        <v>-98.64573950058967</v>
      </c>
      <c r="R51" s="31">
        <f>-'Business Plan - Model Details'!P867/10^6</f>
        <v>-60.943421250375714</v>
      </c>
      <c r="S51" s="31">
        <f>-'Business Plan - Model Details'!Q867/10^6</f>
        <v>-35.620507446247359</v>
      </c>
      <c r="T51" s="31">
        <f>-'Business Plan - Model Details'!R867/10^6</f>
        <v>-40.319866746745689</v>
      </c>
      <c r="U51" s="31">
        <f>-'Business Plan - Model Details'!S867/10^6</f>
        <v>-40.267593660096118</v>
      </c>
      <c r="V51" s="31">
        <f>-'Business Plan - Model Details'!T867/10^6</f>
        <v>-40.262120652761041</v>
      </c>
      <c r="W51" s="31">
        <f>-'Business Plan - Model Details'!U867/10^6</f>
        <v>-40.261545167346142</v>
      </c>
      <c r="X51" s="31">
        <f>-'Business Plan - Model Details'!V867/10^6</f>
        <v>-40.26148484389055</v>
      </c>
      <c r="Y51" s="31">
        <f>-'Business Plan - Model Details'!W867/10^6</f>
        <v>-40.261478516535561</v>
      </c>
      <c r="Z51" s="31">
        <f>-'Business Plan - Model Details'!X867/10^6</f>
        <v>-40.261477852455002</v>
      </c>
      <c r="AA51" s="31">
        <f>-'Business Plan - Model Details'!Y867/10^6</f>
        <v>-40.261477782800441</v>
      </c>
      <c r="AB51" s="31">
        <f>-'Business Plan - Model Details'!Z867/10^6</f>
        <v>-40.261477775492914</v>
      </c>
      <c r="AC51" s="31">
        <f>-'Business Plan - Model Details'!AA867/10^6</f>
        <v>-40.261477774726231</v>
      </c>
      <c r="AD51" s="31">
        <f>-'Business Plan - Model Details'!AB867/10^6</f>
        <v>-40.26147777464579</v>
      </c>
      <c r="AE51" s="31">
        <f>-'Business Plan - Model Details'!AC867/10^6</f>
        <v>-40.261477774637356</v>
      </c>
      <c r="AF51" s="31">
        <f>-'Business Plan - Model Details'!AD867/10^6</f>
        <v>-40.261477774636475</v>
      </c>
      <c r="AG51" s="31">
        <f>-'Business Plan - Model Details'!AE867/10^6</f>
        <v>-40.261477774636383</v>
      </c>
      <c r="AH51" s="31">
        <f>-'Business Plan - Model Details'!AF867/10^6</f>
        <v>-40.261477774636369</v>
      </c>
      <c r="AI51" s="31">
        <f>-'Business Plan - Model Details'!AG867/10^6</f>
        <v>-40.261477774636369</v>
      </c>
    </row>
    <row r="52" spans="1:36" ht="14.25" hidden="1" customHeight="1" outlineLevel="1" x14ac:dyDescent="0.35">
      <c r="A52" s="21"/>
      <c r="B52" s="21"/>
      <c r="C52" s="28"/>
      <c r="D52" s="33"/>
      <c r="E52" s="33" t="s">
        <v>32</v>
      </c>
      <c r="F52" s="21"/>
      <c r="G52" s="21"/>
      <c r="H52" s="22" t="s">
        <v>19</v>
      </c>
      <c r="I52" s="34">
        <f t="shared" si="19"/>
        <v>0</v>
      </c>
      <c r="J52" s="31"/>
      <c r="K52" s="31">
        <f t="shared" si="20"/>
        <v>-283.32856603207875</v>
      </c>
      <c r="L52" s="31">
        <f>-'Business Plan - Model Details'!J868/10^6</f>
        <v>0</v>
      </c>
      <c r="M52" s="31">
        <f>-'Business Plan - Model Details'!K868/10^6</f>
        <v>-13.913755170181499</v>
      </c>
      <c r="N52" s="31">
        <f>-'Business Plan - Model Details'!L868/10^6</f>
        <v>0</v>
      </c>
      <c r="O52" s="31">
        <f>-'Business Plan - Model Details'!M868/10^6</f>
        <v>-25.4436455287311</v>
      </c>
      <c r="P52" s="31">
        <f>-'Business Plan - Model Details'!N868/10^6</f>
        <v>-22.073862169846901</v>
      </c>
      <c r="Q52" s="31">
        <f>-'Business Plan - Model Details'!O868/10^6</f>
        <v>-58.277346911388705</v>
      </c>
      <c r="R52" s="31">
        <f>-'Business Plan - Model Details'!P868/10^6</f>
        <v>-37.845112956633997</v>
      </c>
      <c r="S52" s="31">
        <f>-'Business Plan - Model Details'!Q868/10^6</f>
        <v>-29.661172464954099</v>
      </c>
      <c r="T52" s="31">
        <f>-'Business Plan - Model Details'!R868/10^6</f>
        <v>-24.028417543347732</v>
      </c>
      <c r="U52" s="31">
        <f>-'Business Plan - Model Details'!S868/10^6</f>
        <v>-24.028417762331586</v>
      </c>
      <c r="V52" s="31">
        <f>-'Business Plan - Model Details'!T868/10^6</f>
        <v>-24.028417762331589</v>
      </c>
      <c r="W52" s="31">
        <f>-'Business Plan - Model Details'!U868/10^6</f>
        <v>-24.028417762331582</v>
      </c>
      <c r="X52" s="31">
        <f>-'Business Plan - Model Details'!V868/10^6</f>
        <v>-24.028417762331582</v>
      </c>
      <c r="Y52" s="31">
        <f>-'Business Plan - Model Details'!W868/10^6</f>
        <v>-24.028417762331586</v>
      </c>
      <c r="Z52" s="31">
        <f>-'Business Plan - Model Details'!X868/10^6</f>
        <v>-24.028417762331586</v>
      </c>
      <c r="AA52" s="31">
        <f>-'Business Plan - Model Details'!Y868/10^6</f>
        <v>-24.028417762331586</v>
      </c>
      <c r="AB52" s="31">
        <f>-'Business Plan - Model Details'!Z868/10^6</f>
        <v>-24.028417762331586</v>
      </c>
      <c r="AC52" s="31">
        <f>-'Business Plan - Model Details'!AA868/10^6</f>
        <v>-24.028417762331582</v>
      </c>
      <c r="AD52" s="31">
        <f>-'Business Plan - Model Details'!AB868/10^6</f>
        <v>-24.028417762331589</v>
      </c>
      <c r="AE52" s="31">
        <f>-'Business Plan - Model Details'!AC868/10^6</f>
        <v>-24.028417762331589</v>
      </c>
      <c r="AF52" s="31">
        <f>-'Business Plan - Model Details'!AD868/10^6</f>
        <v>-24.028417762331586</v>
      </c>
      <c r="AG52" s="31">
        <f>-'Business Plan - Model Details'!AE868/10^6</f>
        <v>-24.028417762331582</v>
      </c>
      <c r="AH52" s="31">
        <f>-'Business Plan - Model Details'!AF868/10^6</f>
        <v>-24.028417762331586</v>
      </c>
      <c r="AI52" s="31">
        <f>-'Business Plan - Model Details'!AG868/10^6</f>
        <v>-24.028417762331586</v>
      </c>
      <c r="AJ52" s="35">
        <f>SUM(X52:AI52)</f>
        <v>-288.34101314797903</v>
      </c>
    </row>
    <row r="53" spans="1:36" ht="14.25" hidden="1" customHeight="1" outlineLevel="1" x14ac:dyDescent="0.35">
      <c r="A53" s="21"/>
      <c r="B53" s="21"/>
      <c r="C53" s="28"/>
      <c r="D53" s="33"/>
      <c r="E53" s="33" t="s">
        <v>33</v>
      </c>
      <c r="F53" s="21"/>
      <c r="G53" s="21"/>
      <c r="H53" s="22" t="s">
        <v>19</v>
      </c>
      <c r="I53" s="34">
        <f t="shared" si="19"/>
        <v>0</v>
      </c>
      <c r="J53" s="31"/>
      <c r="K53" s="31">
        <f t="shared" si="20"/>
        <v>-48.086396121812719</v>
      </c>
      <c r="L53" s="31">
        <f>-'Business Plan - Model Details'!J869/10^6</f>
        <v>0</v>
      </c>
      <c r="M53" s="31">
        <f>-'Business Plan - Model Details'!K869/10^6</f>
        <v>-1.8404249316821115</v>
      </c>
      <c r="N53" s="31">
        <f>-'Business Plan - Model Details'!L869/10^6</f>
        <v>0</v>
      </c>
      <c r="O53" s="31">
        <f>-'Business Plan - Model Details'!M869/10^6</f>
        <v>-3.0209999927255113</v>
      </c>
      <c r="P53" s="31">
        <f>-'Business Plan - Model Details'!N869/10^6</f>
        <v>-4.0174466648596194</v>
      </c>
      <c r="Q53" s="31">
        <f>-'Business Plan - Model Details'!O869/10^6</f>
        <v>-11.148489480351605</v>
      </c>
      <c r="R53" s="31">
        <f>-'Business Plan - Model Details'!P869/10^6</f>
        <v>-6.829977513179422</v>
      </c>
      <c r="S53" s="31">
        <f>-'Business Plan - Model Details'!Q869/10^6</f>
        <v>-5.0530768213863322</v>
      </c>
      <c r="T53" s="31">
        <f>-'Business Plan - Model Details'!R869/10^6</f>
        <v>-4.1003598280176705</v>
      </c>
      <c r="U53" s="31">
        <f>-'Business Plan - Model Details'!S869/10^6</f>
        <v>-4.0454020201088783</v>
      </c>
      <c r="V53" s="31">
        <f>-'Business Plan - Model Details'!T869/10^6</f>
        <v>-4.0207104615574556</v>
      </c>
      <c r="W53" s="31">
        <f>-'Business Plan - Model Details'!U869/10^6</f>
        <v>-4.0095084079441063</v>
      </c>
      <c r="X53" s="31">
        <f>-'Business Plan - Model Details'!V869/10^6</f>
        <v>-4.0044430575501311</v>
      </c>
      <c r="Y53" s="31">
        <f>-'Business Plan - Model Details'!W869/10^6</f>
        <v>-4.0021440580540046</v>
      </c>
      <c r="Z53" s="31">
        <f>-'Business Plan - Model Details'!X869/10^6</f>
        <v>-4.0010945654616092</v>
      </c>
      <c r="AA53" s="31">
        <f>-'Business Plan - Model Details'!Y869/10^6</f>
        <v>-4.0006128402804073</v>
      </c>
      <c r="AB53" s="31">
        <f>-'Business Plan - Model Details'!Z869/10^6</f>
        <v>-4.0003895189155356</v>
      </c>
      <c r="AC53" s="31">
        <f>-'Business Plan - Model Details'!AA869/10^6</f>
        <v>-4.0002845395165227</v>
      </c>
      <c r="AD53" s="31">
        <f>-'Business Plan - Model Details'!AB869/10^6</f>
        <v>-4.0002342524321648</v>
      </c>
      <c r="AE53" s="31">
        <f>-'Business Plan - Model Details'!AC869/10^6</f>
        <v>-4.000209540396118</v>
      </c>
      <c r="AF53" s="31">
        <f>-'Business Plan - Model Details'!AD869/10^6</f>
        <v>-4.0001969973429992</v>
      </c>
      <c r="AG53" s="31">
        <f>-'Business Plan - Model Details'!AE869/10^6</f>
        <v>-4.0001903816217963</v>
      </c>
      <c r="AH53" s="31">
        <f>-'Business Plan - Model Details'!AF869/10^6</f>
        <v>-4.0001867409104559</v>
      </c>
      <c r="AI53" s="31">
        <f>-'Business Plan - Model Details'!AG869/10^6</f>
        <v>-4.0001846492230531</v>
      </c>
      <c r="AJ53" s="35">
        <f>SUM(X53:AI53)</f>
        <v>-48.010171141704802</v>
      </c>
    </row>
    <row r="54" spans="1:36" ht="14.25" hidden="1" customHeight="1" outlineLevel="1" x14ac:dyDescent="0.35">
      <c r="A54" s="21"/>
      <c r="B54" s="21"/>
      <c r="C54" s="28"/>
      <c r="D54" s="21"/>
      <c r="E54" s="21" t="s">
        <v>34</v>
      </c>
      <c r="F54" s="21"/>
      <c r="G54" s="21"/>
      <c r="H54" s="22" t="s">
        <v>19</v>
      </c>
      <c r="I54" s="34">
        <f t="shared" si="19"/>
        <v>0</v>
      </c>
      <c r="J54" s="31"/>
      <c r="K54" s="31">
        <f t="shared" si="20"/>
        <v>0</v>
      </c>
      <c r="L54" s="31">
        <f>-'Business Plan - Model Details'!J870/10^6</f>
        <v>0</v>
      </c>
      <c r="M54" s="31">
        <f>-'Business Plan - Model Details'!K870/10^6</f>
        <v>0</v>
      </c>
      <c r="N54" s="31">
        <f>-'Business Plan - Model Details'!L870/10^6</f>
        <v>0</v>
      </c>
      <c r="O54" s="31">
        <f>-'Business Plan - Model Details'!M870/10^6</f>
        <v>0</v>
      </c>
      <c r="P54" s="31">
        <f>-'Business Plan - Model Details'!N870/10^6</f>
        <v>0</v>
      </c>
      <c r="Q54" s="31">
        <f>-'Business Plan - Model Details'!O870/10^6</f>
        <v>0</v>
      </c>
      <c r="R54" s="31">
        <f>-'Business Plan - Model Details'!P870/10^6</f>
        <v>0</v>
      </c>
      <c r="S54" s="31">
        <f>-'Business Plan - Model Details'!Q870/10^6</f>
        <v>0</v>
      </c>
      <c r="T54" s="31">
        <f>-'Business Plan - Model Details'!R870/10^6</f>
        <v>0</v>
      </c>
      <c r="U54" s="31">
        <f>-'Business Plan - Model Details'!S870/10^6</f>
        <v>0</v>
      </c>
      <c r="V54" s="31">
        <f>-'Business Plan - Model Details'!T870/10^6</f>
        <v>0</v>
      </c>
      <c r="W54" s="31">
        <f>-'Business Plan - Model Details'!U870/10^6</f>
        <v>0</v>
      </c>
      <c r="X54" s="31">
        <f>-'Business Plan - Model Details'!V870/10^6</f>
        <v>0</v>
      </c>
      <c r="Y54" s="31">
        <f>-'Business Plan - Model Details'!W870/10^6</f>
        <v>0</v>
      </c>
      <c r="Z54" s="31">
        <f>-'Business Plan - Model Details'!X870/10^6</f>
        <v>0</v>
      </c>
      <c r="AA54" s="31">
        <f>-'Business Plan - Model Details'!Y870/10^6</f>
        <v>0</v>
      </c>
      <c r="AB54" s="31">
        <f>-'Business Plan - Model Details'!Z870/10^6</f>
        <v>0</v>
      </c>
      <c r="AC54" s="31">
        <f>-'Business Plan - Model Details'!AA870/10^6</f>
        <v>0</v>
      </c>
      <c r="AD54" s="31">
        <f>-'Business Plan - Model Details'!AB870/10^6</f>
        <v>0</v>
      </c>
      <c r="AE54" s="31">
        <f>-'Business Plan - Model Details'!AC870/10^6</f>
        <v>0</v>
      </c>
      <c r="AF54" s="31">
        <f>-'Business Plan - Model Details'!AD870/10^6</f>
        <v>0</v>
      </c>
      <c r="AG54" s="31">
        <f>-'Business Plan - Model Details'!AE870/10^6</f>
        <v>0</v>
      </c>
      <c r="AH54" s="31">
        <f>-'Business Plan - Model Details'!AF870/10^6</f>
        <v>0</v>
      </c>
      <c r="AI54" s="31">
        <f>-'Business Plan - Model Details'!AG870/10^6</f>
        <v>0</v>
      </c>
      <c r="AJ54" s="35">
        <f>SUM(X54:AI54)</f>
        <v>0</v>
      </c>
    </row>
    <row r="55" spans="1:36" ht="14.25" hidden="1" customHeight="1" outlineLevel="1" x14ac:dyDescent="0.35">
      <c r="A55" s="21"/>
      <c r="B55" s="21"/>
      <c r="C55" s="28"/>
      <c r="D55" s="33"/>
      <c r="E55" s="33" t="s">
        <v>35</v>
      </c>
      <c r="F55" s="21"/>
      <c r="G55" s="21"/>
      <c r="H55" s="22" t="s">
        <v>19</v>
      </c>
      <c r="I55" s="34">
        <f t="shared" si="19"/>
        <v>0</v>
      </c>
      <c r="J55" s="31"/>
      <c r="K55" s="31">
        <f t="shared" si="20"/>
        <v>-261.97345690377364</v>
      </c>
      <c r="L55" s="31">
        <f>-'Business Plan - Model Details'!J871/10^6</f>
        <v>0</v>
      </c>
      <c r="M55" s="31">
        <f>-'Business Plan - Model Details'!K871/10^6</f>
        <v>-19.842985865364376</v>
      </c>
      <c r="N55" s="31">
        <f>-'Business Plan - Model Details'!L871/10^6</f>
        <v>0</v>
      </c>
      <c r="O55" s="31">
        <f>-'Business Plan - Model Details'!M871/10^6</f>
        <v>-27.820037082417048</v>
      </c>
      <c r="P55" s="31">
        <f>-'Business Plan - Model Details'!N871/10^6</f>
        <v>-25.045635470121869</v>
      </c>
      <c r="Q55" s="31">
        <f>-'Business Plan - Model Details'!O871/10^6</f>
        <v>-51.630448794324387</v>
      </c>
      <c r="R55" s="31">
        <f>-'Business Plan - Model Details'!P871/10^6</f>
        <v>-45.640744866187617</v>
      </c>
      <c r="S55" s="31">
        <f>-'Business Plan - Model Details'!Q871/10^6</f>
        <v>-28.924522376770714</v>
      </c>
      <c r="T55" s="31">
        <f>-'Business Plan - Model Details'!R871/10^6</f>
        <v>-15.776819335213466</v>
      </c>
      <c r="U55" s="31">
        <f>-'Business Plan - Model Details'!S871/10^6</f>
        <v>-15.744936761571298</v>
      </c>
      <c r="V55" s="31">
        <f>-'Business Plan - Model Details'!T871/10^6</f>
        <v>-15.780056781538621</v>
      </c>
      <c r="W55" s="31">
        <f>-'Business Plan - Model Details'!U871/10^6</f>
        <v>-15.767269570264247</v>
      </c>
      <c r="X55" s="31">
        <f>-'Business Plan - Model Details'!V871/10^6</f>
        <v>-15.76408681853316</v>
      </c>
      <c r="Y55" s="31">
        <f>-'Business Plan - Model Details'!W871/10^6</f>
        <v>-15.770470972253671</v>
      </c>
      <c r="Z55" s="31">
        <f>-'Business Plan - Model Details'!X871/10^6</f>
        <v>-15.767275758985814</v>
      </c>
      <c r="AA55" s="31">
        <f>-'Business Plan - Model Details'!Y871/10^6</f>
        <v>-15.76727781712964</v>
      </c>
      <c r="AB55" s="31">
        <f>-'Business Plan - Model Details'!Z871/10^6</f>
        <v>-15.768341510386811</v>
      </c>
      <c r="AC55" s="31">
        <f>-'Business Plan - Model Details'!AA871/10^6</f>
        <v>-15.767631695039816</v>
      </c>
      <c r="AD55" s="31">
        <f>-'Business Plan - Model Details'!AB871/10^6</f>
        <v>-15.76775033979872</v>
      </c>
      <c r="AE55" s="31">
        <f>-'Business Plan - Model Details'!AC871/10^6</f>
        <v>-15.767907848096023</v>
      </c>
      <c r="AF55" s="31">
        <f>-'Business Plan - Model Details'!AD871/10^6</f>
        <v>-15.767763294298749</v>
      </c>
      <c r="AG55" s="31">
        <f>-'Business Plan - Model Details'!AE871/10^6</f>
        <v>-15.767807160702301</v>
      </c>
      <c r="AH55" s="31">
        <f>-'Business Plan - Model Details'!AF871/10^6</f>
        <v>-15.767826101018057</v>
      </c>
      <c r="AI55" s="31">
        <f>-'Business Plan - Model Details'!AG871/10^6</f>
        <v>-15.767798852005379</v>
      </c>
      <c r="AJ55" s="35">
        <f>SUM(X55:AI55)</f>
        <v>-189.21193816824811</v>
      </c>
    </row>
    <row r="56" spans="1:36" ht="14.25" hidden="1" customHeight="1" outlineLevel="1" x14ac:dyDescent="0.35">
      <c r="A56" s="21"/>
      <c r="B56" s="21"/>
      <c r="C56" s="28"/>
      <c r="D56" s="33"/>
      <c r="E56" s="33" t="s">
        <v>36</v>
      </c>
      <c r="F56" s="21"/>
      <c r="G56" s="21"/>
      <c r="H56" s="22" t="s">
        <v>19</v>
      </c>
      <c r="I56" s="34">
        <f t="shared" si="19"/>
        <v>0</v>
      </c>
      <c r="J56" s="31"/>
      <c r="K56" s="31">
        <f t="shared" si="20"/>
        <v>-157.90533828999148</v>
      </c>
      <c r="L56" s="31">
        <f>-'Business Plan - Model Details'!J872/10^6</f>
        <v>0</v>
      </c>
      <c r="M56" s="31">
        <f>-'Business Plan - Model Details'!K872/10^6</f>
        <v>-16.081106258429529</v>
      </c>
      <c r="N56" s="31">
        <f>-'Business Plan - Model Details'!L872/10^6</f>
        <v>0</v>
      </c>
      <c r="O56" s="31">
        <f>-'Business Plan - Model Details'!M872/10^6</f>
        <v>-21.136710969165176</v>
      </c>
      <c r="P56" s="31">
        <f>-'Business Plan - Model Details'!N872/10^6</f>
        <v>-12.943430102497071</v>
      </c>
      <c r="Q56" s="31">
        <f>-'Business Plan - Model Details'!O872/10^6</f>
        <v>-27.898053879964479</v>
      </c>
      <c r="R56" s="31">
        <f>-'Business Plan - Model Details'!P872/10^6</f>
        <v>-22.147330232040435</v>
      </c>
      <c r="S56" s="31">
        <f>-'Business Plan - Model Details'!Q872/10^6</f>
        <v>-13.710596593132536</v>
      </c>
      <c r="T56" s="31">
        <f>-'Business Plan - Model Details'!R872/10^6</f>
        <v>-11.091187552955349</v>
      </c>
      <c r="U56" s="31">
        <f>-'Business Plan - Model Details'!S872/10^6</f>
        <v>-11.070007074501641</v>
      </c>
      <c r="V56" s="31">
        <f>-'Business Plan - Model Details'!T872/10^6</f>
        <v>-10.913566311909657</v>
      </c>
      <c r="W56" s="31">
        <f>-'Business Plan - Model Details'!U872/10^6</f>
        <v>-10.913349315395598</v>
      </c>
      <c r="X56" s="31">
        <f>-'Business Plan - Model Details'!V872/10^6</f>
        <v>-10.884152287883859</v>
      </c>
      <c r="Y56" s="31">
        <f>-'Business Plan - Model Details'!W872/10^6</f>
        <v>-10.866667312487204</v>
      </c>
      <c r="Z56" s="31">
        <f>-'Business Plan - Model Details'!X872/10^6</f>
        <v>-10.860203409384203</v>
      </c>
      <c r="AA56" s="31">
        <f>-'Business Plan - Model Details'!Y872/10^6</f>
        <v>-10.797819346385237</v>
      </c>
      <c r="AB56" s="31">
        <f>-'Business Plan - Model Details'!Z872/10^6</f>
        <v>-10.781196332081397</v>
      </c>
      <c r="AC56" s="31">
        <f>-'Business Plan - Model Details'!AA872/10^6</f>
        <v>-10.769913272569863</v>
      </c>
      <c r="AD56" s="31">
        <f>-'Business Plan - Model Details'!AB872/10^6</f>
        <v>-10.768141476620896</v>
      </c>
      <c r="AE56" s="31">
        <f>-'Business Plan - Model Details'!AC872/10^6</f>
        <v>-10.748178355801931</v>
      </c>
      <c r="AF56" s="31">
        <f>-'Business Plan - Model Details'!AD872/10^6</f>
        <v>-10.744758667677305</v>
      </c>
      <c r="AG56" s="31">
        <f>-'Business Plan - Model Details'!AE872/10^6</f>
        <v>-10.726831592401458</v>
      </c>
      <c r="AH56" s="31">
        <f>-'Business Plan - Model Details'!AF872/10^6</f>
        <v>-10.724153272952437</v>
      </c>
      <c r="AI56" s="31">
        <f>-'Business Plan - Model Details'!AG872/10^6</f>
        <v>-10.709838991035779</v>
      </c>
      <c r="AJ56" s="35">
        <f>SUM(X56:AI56)</f>
        <v>-129.38185431728155</v>
      </c>
    </row>
    <row r="57" spans="1:36" ht="14.25" hidden="1" customHeight="1" outlineLevel="1" x14ac:dyDescent="0.35">
      <c r="A57" s="21"/>
      <c r="B57" s="21"/>
      <c r="C57" s="28"/>
      <c r="D57" s="33" t="s">
        <v>37</v>
      </c>
      <c r="E57" s="33"/>
      <c r="F57" s="21"/>
      <c r="G57" s="21"/>
      <c r="H57" s="21"/>
      <c r="I57" s="34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</row>
    <row r="58" spans="1:36" ht="14.25" hidden="1" customHeight="1" outlineLevel="1" x14ac:dyDescent="0.35">
      <c r="A58" s="21"/>
      <c r="B58" s="21"/>
      <c r="C58" s="28"/>
      <c r="D58" s="33"/>
      <c r="E58" s="33" t="s">
        <v>38</v>
      </c>
      <c r="F58" s="21"/>
      <c r="G58" s="21"/>
      <c r="H58" s="21"/>
      <c r="I58" s="34">
        <f t="shared" ref="I58:I64" si="21">IFERROR((K58-J58)/J58,0)</f>
        <v>0</v>
      </c>
      <c r="J58" s="31"/>
      <c r="K58" s="31">
        <f t="shared" ref="K58:K63" si="22">SUM(L58:W58)</f>
        <v>0</v>
      </c>
      <c r="L58" s="31">
        <f>-'Business Plan - Model Details'!J875/10^6</f>
        <v>0</v>
      </c>
      <c r="M58" s="31">
        <f>-'Business Plan - Model Details'!K875/10^6</f>
        <v>0</v>
      </c>
      <c r="N58" s="31">
        <f>-'Business Plan - Model Details'!L875/10^6</f>
        <v>0</v>
      </c>
      <c r="O58" s="31">
        <f>-'Business Plan - Model Details'!M875/10^6</f>
        <v>0</v>
      </c>
      <c r="P58" s="31">
        <f>-'Business Plan - Model Details'!N875/10^6</f>
        <v>0</v>
      </c>
      <c r="Q58" s="31">
        <f>-'Business Plan - Model Details'!O875/10^6</f>
        <v>0</v>
      </c>
      <c r="R58" s="31">
        <f>-'Business Plan - Model Details'!P875/10^6</f>
        <v>0</v>
      </c>
      <c r="S58" s="31">
        <f>-'Business Plan - Model Details'!Q875/10^6</f>
        <v>0</v>
      </c>
      <c r="T58" s="31">
        <f>-'Business Plan - Model Details'!R875/10^6</f>
        <v>0</v>
      </c>
      <c r="U58" s="31">
        <f>-'Business Plan - Model Details'!S875/10^6</f>
        <v>0</v>
      </c>
      <c r="V58" s="31">
        <f>-'Business Plan - Model Details'!T875/10^6</f>
        <v>0</v>
      </c>
      <c r="W58" s="31">
        <f>-'Business Plan - Model Details'!U875/10^6</f>
        <v>0</v>
      </c>
      <c r="X58" s="31">
        <f>-'Business Plan - Model Details'!V875/10^6</f>
        <v>0</v>
      </c>
      <c r="Y58" s="31">
        <f>-'Business Plan - Model Details'!W875/10^6</f>
        <v>0</v>
      </c>
      <c r="Z58" s="31">
        <f>-'Business Plan - Model Details'!X875/10^6</f>
        <v>0</v>
      </c>
      <c r="AA58" s="31">
        <f>-'Business Plan - Model Details'!Y875/10^6</f>
        <v>0</v>
      </c>
      <c r="AB58" s="31">
        <f>-'Business Plan - Model Details'!Z875/10^6</f>
        <v>0</v>
      </c>
      <c r="AC58" s="31">
        <f>-'Business Plan - Model Details'!AA875/10^6</f>
        <v>0</v>
      </c>
      <c r="AD58" s="31">
        <f>-'Business Plan - Model Details'!AB875/10^6</f>
        <v>0</v>
      </c>
      <c r="AE58" s="31">
        <f>-'Business Plan - Model Details'!AC875/10^6</f>
        <v>0</v>
      </c>
      <c r="AF58" s="31">
        <f>-'Business Plan - Model Details'!AD875/10^6</f>
        <v>0</v>
      </c>
      <c r="AG58" s="31">
        <f>-'Business Plan - Model Details'!AE875/10^6</f>
        <v>0</v>
      </c>
      <c r="AH58" s="31">
        <f>-'Business Plan - Model Details'!AF875/10^6</f>
        <v>0</v>
      </c>
      <c r="AI58" s="31">
        <f>-'Business Plan - Model Details'!AG875/10^6</f>
        <v>0</v>
      </c>
    </row>
    <row r="59" spans="1:36" ht="14.25" hidden="1" customHeight="1" outlineLevel="1" x14ac:dyDescent="0.35">
      <c r="A59" s="21"/>
      <c r="B59" s="21"/>
      <c r="C59" s="28"/>
      <c r="D59" s="33"/>
      <c r="E59" s="33" t="s">
        <v>39</v>
      </c>
      <c r="F59" s="21"/>
      <c r="G59" s="21"/>
      <c r="H59" s="21"/>
      <c r="I59" s="34">
        <f t="shared" si="21"/>
        <v>0</v>
      </c>
      <c r="J59" s="31"/>
      <c r="K59" s="31">
        <f t="shared" si="22"/>
        <v>-3.2130628824234007E-14</v>
      </c>
      <c r="L59" s="31">
        <f>-'Business Plan - Model Details'!J878/10^6</f>
        <v>0</v>
      </c>
      <c r="M59" s="31">
        <f>-'Business Plan - Model Details'!K878/10^6</f>
        <v>0</v>
      </c>
      <c r="N59" s="31">
        <f>-'Business Plan - Model Details'!L878/10^6</f>
        <v>0</v>
      </c>
      <c r="O59" s="31">
        <f>-'Business Plan - Model Details'!M878/10^6</f>
        <v>0</v>
      </c>
      <c r="P59" s="31">
        <f>-'Business Plan - Model Details'!N878/10^6</f>
        <v>0</v>
      </c>
      <c r="Q59" s="31">
        <f>-'Business Plan - Model Details'!O878/10^6</f>
        <v>0</v>
      </c>
      <c r="R59" s="31">
        <f>-'Business Plan - Model Details'!P878/10^6</f>
        <v>0</v>
      </c>
      <c r="S59" s="31">
        <f>-'Business Plan - Model Details'!Q878/10^6</f>
        <v>0</v>
      </c>
      <c r="T59" s="31">
        <f>-'Business Plan - Model Details'!R878/10^6</f>
        <v>0</v>
      </c>
      <c r="U59" s="31">
        <f>-'Business Plan - Model Details'!S878/10^6</f>
        <v>-1.9557774066925048E-14</v>
      </c>
      <c r="V59" s="31">
        <f>-'Business Plan - Model Details'!T878/10^6</f>
        <v>0</v>
      </c>
      <c r="W59" s="31">
        <f>-'Business Plan - Model Details'!U878/10^6</f>
        <v>-1.2572854757308959E-14</v>
      </c>
      <c r="X59" s="31">
        <f>-'Business Plan - Model Details'!V878/10^6</f>
        <v>-1.3504177331924439E-14</v>
      </c>
      <c r="Y59" s="31">
        <f>-'Business Plan - Model Details'!W878/10^6</f>
        <v>-1.8859282135963441E-14</v>
      </c>
      <c r="Z59" s="31">
        <f>-'Business Plan - Model Details'!X878/10^6</f>
        <v>0</v>
      </c>
      <c r="AA59" s="31">
        <f>-'Business Plan - Model Details'!Y878/10^6</f>
        <v>-6.2864273786544797E-15</v>
      </c>
      <c r="AB59" s="31">
        <f>-'Business Plan - Model Details'!Z878/10^6</f>
        <v>-3.282912075519562E-14</v>
      </c>
      <c r="AC59" s="31">
        <f>-'Business Plan - Model Details'!AA878/10^6</f>
        <v>-2.6309862732887267E-14</v>
      </c>
      <c r="AD59" s="31">
        <f>-'Business Plan - Model Details'!AB878/10^6</f>
        <v>-4.330649971961975E-14</v>
      </c>
      <c r="AE59" s="31">
        <f>-'Business Plan - Model Details'!AC878/10^6</f>
        <v>3.7252902984619139E-15</v>
      </c>
      <c r="AF59" s="31">
        <f>-'Business Plan - Model Details'!AD878/10^6</f>
        <v>5.3551048040390015E-15</v>
      </c>
      <c r="AG59" s="31">
        <f>-'Business Plan - Model Details'!AE878/10^6</f>
        <v>-1.0710209608078003E-14</v>
      </c>
      <c r="AH59" s="31">
        <f>-'Business Plan - Model Details'!AF878/10^6</f>
        <v>1.3969838619232178E-14</v>
      </c>
      <c r="AI59" s="31">
        <f>-'Business Plan - Model Details'!AG878/10^6</f>
        <v>-1.2572854757308959E-14</v>
      </c>
    </row>
    <row r="60" spans="1:36" ht="14.25" hidden="1" customHeight="1" outlineLevel="1" x14ac:dyDescent="0.35">
      <c r="A60" s="21"/>
      <c r="B60" s="21"/>
      <c r="C60" s="28"/>
      <c r="D60" s="33"/>
      <c r="E60" s="33" t="s">
        <v>40</v>
      </c>
      <c r="F60" s="21"/>
      <c r="G60" s="21"/>
      <c r="H60" s="21"/>
      <c r="I60" s="34">
        <f t="shared" si="21"/>
        <v>0</v>
      </c>
      <c r="J60" s="31"/>
      <c r="K60" s="31">
        <f t="shared" si="22"/>
        <v>4.5634806156158446E-14</v>
      </c>
      <c r="L60" s="31">
        <f>-'Business Plan - Model Details'!J879/10^6</f>
        <v>0</v>
      </c>
      <c r="M60" s="31">
        <f>-'Business Plan - Model Details'!K879/10^6</f>
        <v>0</v>
      </c>
      <c r="N60" s="31">
        <f>-'Business Plan - Model Details'!L879/10^6</f>
        <v>0</v>
      </c>
      <c r="O60" s="31">
        <f>-'Business Plan - Model Details'!M879/10^6</f>
        <v>0</v>
      </c>
      <c r="P60" s="31">
        <f>-'Business Plan - Model Details'!N879/10^6</f>
        <v>0</v>
      </c>
      <c r="Q60" s="31">
        <f>-'Business Plan - Model Details'!O879/10^6</f>
        <v>0</v>
      </c>
      <c r="R60" s="31">
        <f>-'Business Plan - Model Details'!P879/10^6</f>
        <v>0</v>
      </c>
      <c r="S60" s="31">
        <f>-'Business Plan - Model Details'!Q879/10^6</f>
        <v>0</v>
      </c>
      <c r="T60" s="31">
        <f>-'Business Plan - Model Details'!R879/10^6</f>
        <v>1.9557774066925048E-14</v>
      </c>
      <c r="U60" s="31">
        <f>-'Business Plan - Model Details'!S879/10^6</f>
        <v>0</v>
      </c>
      <c r="V60" s="31">
        <f>-'Business Plan - Model Details'!T879/10^6</f>
        <v>1.2572854757308959E-14</v>
      </c>
      <c r="W60" s="31">
        <f>-'Business Plan - Model Details'!U879/10^6</f>
        <v>1.3504177331924439E-14</v>
      </c>
      <c r="X60" s="31">
        <f>-'Business Plan - Model Details'!V879/10^6</f>
        <v>1.8859282135963441E-14</v>
      </c>
      <c r="Y60" s="31">
        <f>-'Business Plan - Model Details'!W879/10^6</f>
        <v>0</v>
      </c>
      <c r="Z60" s="31">
        <f>-'Business Plan - Model Details'!X879/10^6</f>
        <v>6.2864273786544797E-15</v>
      </c>
      <c r="AA60" s="31">
        <f>-'Business Plan - Model Details'!Y879/10^6</f>
        <v>3.282912075519562E-14</v>
      </c>
      <c r="AB60" s="31">
        <f>-'Business Plan - Model Details'!Z879/10^6</f>
        <v>2.6309862732887267E-14</v>
      </c>
      <c r="AC60" s="31">
        <f>-'Business Plan - Model Details'!AA879/10^6</f>
        <v>4.330649971961975E-14</v>
      </c>
      <c r="AD60" s="31">
        <f>-'Business Plan - Model Details'!AB879/10^6</f>
        <v>-3.7252902984619139E-15</v>
      </c>
      <c r="AE60" s="31">
        <f>-'Business Plan - Model Details'!AC879/10^6</f>
        <v>-5.3551048040390015E-15</v>
      </c>
      <c r="AF60" s="31">
        <f>-'Business Plan - Model Details'!AD879/10^6</f>
        <v>1.0710209608078003E-14</v>
      </c>
      <c r="AG60" s="31">
        <f>-'Business Plan - Model Details'!AE879/10^6</f>
        <v>-1.3969838619232178E-14</v>
      </c>
      <c r="AH60" s="31">
        <f>-'Business Plan - Model Details'!AF879/10^6</f>
        <v>1.2572854757308959E-14</v>
      </c>
      <c r="AI60" s="31">
        <f>-'Business Plan - Model Details'!AG879/10^6</f>
        <v>2.0954757928848268E-14</v>
      </c>
      <c r="AJ60" s="35">
        <f>SUM(X60:AI60)</f>
        <v>1.487787812948227E-13</v>
      </c>
    </row>
    <row r="61" spans="1:36" ht="14.25" hidden="1" customHeight="1" outlineLevel="1" x14ac:dyDescent="0.35">
      <c r="A61" s="21"/>
      <c r="B61" s="21"/>
      <c r="C61" s="28"/>
      <c r="D61" s="33"/>
      <c r="E61" s="33" t="s">
        <v>41</v>
      </c>
      <c r="F61" s="21"/>
      <c r="G61" s="21"/>
      <c r="H61" s="21"/>
      <c r="I61" s="34">
        <f t="shared" si="21"/>
        <v>0</v>
      </c>
      <c r="J61" s="31"/>
      <c r="K61" s="31">
        <f t="shared" si="22"/>
        <v>-282.25629032664818</v>
      </c>
      <c r="L61" s="31">
        <f>-'Business Plan - Model Details'!J881/10^6</f>
        <v>0</v>
      </c>
      <c r="M61" s="31">
        <f>-'Business Plan - Model Details'!K881/10^6</f>
        <v>0</v>
      </c>
      <c r="N61" s="31">
        <f>-'Business Plan - Model Details'!L881/10^6</f>
        <v>0</v>
      </c>
      <c r="O61" s="31">
        <f>-'Business Plan - Model Details'!M881/10^6</f>
        <v>0</v>
      </c>
      <c r="P61" s="31">
        <f>-'Business Plan - Model Details'!N881/10^6</f>
        <v>0</v>
      </c>
      <c r="Q61" s="31">
        <f>-'Business Plan - Model Details'!O881/10^6</f>
        <v>0</v>
      </c>
      <c r="R61" s="31">
        <f>-'Business Plan - Model Details'!P881/10^6</f>
        <v>0</v>
      </c>
      <c r="S61" s="31">
        <f>-'Business Plan - Model Details'!Q881/10^6</f>
        <v>0</v>
      </c>
      <c r="T61" s="31">
        <f>-'Business Plan - Model Details'!R881/10^6</f>
        <v>-67.731841709999998</v>
      </c>
      <c r="U61" s="31">
        <f>-'Business Plan - Model Details'!S881/10^6</f>
        <v>-70.89286788266709</v>
      </c>
      <c r="V61" s="31">
        <f>-'Business Plan - Model Details'!T881/10^6</f>
        <v>-71.722008721968479</v>
      </c>
      <c r="W61" s="31">
        <f>-'Business Plan - Model Details'!U881/10^6</f>
        <v>-71.909572012012603</v>
      </c>
      <c r="X61" s="31">
        <f>-'Business Plan - Model Details'!V881/10^6</f>
        <v>-71.954595063652988</v>
      </c>
      <c r="Y61" s="31">
        <f>-'Business Plan - Model Details'!W881/10^6</f>
        <v>-71.956774740526114</v>
      </c>
      <c r="Z61" s="31">
        <f>-'Business Plan - Model Details'!X881/10^6</f>
        <v>-71.953711401789363</v>
      </c>
      <c r="AA61" s="31">
        <f>-'Business Plan - Model Details'!Y881/10^6</f>
        <v>-71.949937459676946</v>
      </c>
      <c r="AB61" s="31">
        <f>-'Business Plan - Model Details'!Z881/10^6</f>
        <v>-71.931708035990781</v>
      </c>
      <c r="AC61" s="31">
        <f>-'Business Plan - Model Details'!AA881/10^6</f>
        <v>-71.922358667875201</v>
      </c>
      <c r="AD61" s="31">
        <f>-'Business Plan - Model Details'!AB881/10^6</f>
        <v>-71.916469099227186</v>
      </c>
      <c r="AE61" s="31">
        <f>-'Business Plan - Model Details'!AC881/10^6</f>
        <v>-71.9143768785069</v>
      </c>
      <c r="AF61" s="31">
        <f>-'Business Plan - Model Details'!AD881/10^6</f>
        <v>-71.908377396775037</v>
      </c>
      <c r="AG61" s="31">
        <f>-'Business Plan - Model Details'!AE881/10^6</f>
        <v>-71.905742642084661</v>
      </c>
      <c r="AH61" s="31">
        <f>-'Business Plan - Model Details'!AF881/10^6</f>
        <v>-71.900123871060075</v>
      </c>
      <c r="AI61" s="31">
        <f>-'Business Plan - Model Details'!AG881/10^6</f>
        <v>-71.897844082170579</v>
      </c>
      <c r="AJ61" s="35">
        <f>SUM(X61:AI61)</f>
        <v>-863.11201933933569</v>
      </c>
    </row>
    <row r="62" spans="1:36" ht="14.25" hidden="1" customHeight="1" outlineLevel="1" x14ac:dyDescent="0.35">
      <c r="A62" s="21"/>
      <c r="B62" s="21"/>
      <c r="C62" s="28"/>
      <c r="D62" s="33"/>
      <c r="E62" s="33" t="s">
        <v>42</v>
      </c>
      <c r="F62" s="21"/>
      <c r="G62" s="21"/>
      <c r="H62" s="21"/>
      <c r="I62" s="34">
        <f t="shared" si="21"/>
        <v>0</v>
      </c>
      <c r="J62" s="31"/>
      <c r="K62" s="31">
        <f t="shared" si="22"/>
        <v>286.47904368030117</v>
      </c>
      <c r="L62" s="31">
        <f>-'Business Plan - Model Details'!J882/10^6</f>
        <v>0</v>
      </c>
      <c r="M62" s="31">
        <f>-'Business Plan - Model Details'!K882/10^6</f>
        <v>0</v>
      </c>
      <c r="N62" s="31">
        <f>-'Business Plan - Model Details'!L882/10^6</f>
        <v>0</v>
      </c>
      <c r="O62" s="31">
        <f>-'Business Plan - Model Details'!M882/10^6</f>
        <v>0</v>
      </c>
      <c r="P62" s="31">
        <f>-'Business Plan - Model Details'!N882/10^6</f>
        <v>0</v>
      </c>
      <c r="Q62" s="31">
        <f>-'Business Plan - Model Details'!O882/10^6</f>
        <v>0</v>
      </c>
      <c r="R62" s="31">
        <f>-'Business Plan - Model Details'!P882/10^6</f>
        <v>0</v>
      </c>
      <c r="S62" s="31">
        <f>-'Business Plan - Model Details'!Q882/10^6</f>
        <v>0</v>
      </c>
      <c r="T62" s="31">
        <f>-'Business Plan - Model Details'!R882/10^6</f>
        <v>70.89286788266709</v>
      </c>
      <c r="U62" s="31">
        <f>-'Business Plan - Model Details'!S882/10^6</f>
        <v>71.722008721968479</v>
      </c>
      <c r="V62" s="31">
        <f>-'Business Plan - Model Details'!T882/10^6</f>
        <v>71.909572012012603</v>
      </c>
      <c r="W62" s="31">
        <f>-'Business Plan - Model Details'!U882/10^6</f>
        <v>71.954595063652988</v>
      </c>
      <c r="X62" s="31">
        <f>-'Business Plan - Model Details'!V882/10^6</f>
        <v>71.956774740526114</v>
      </c>
      <c r="Y62" s="31">
        <f>-'Business Plan - Model Details'!W882/10^6</f>
        <v>71.953711401789363</v>
      </c>
      <c r="Z62" s="31">
        <f>-'Business Plan - Model Details'!X882/10^6</f>
        <v>71.949937459676946</v>
      </c>
      <c r="AA62" s="31">
        <f>-'Business Plan - Model Details'!Y882/10^6</f>
        <v>71.931708035990781</v>
      </c>
      <c r="AB62" s="31">
        <f>-'Business Plan - Model Details'!Z882/10^6</f>
        <v>71.922358667875201</v>
      </c>
      <c r="AC62" s="31">
        <f>-'Business Plan - Model Details'!AA882/10^6</f>
        <v>71.916469099227186</v>
      </c>
      <c r="AD62" s="31">
        <f>-'Business Plan - Model Details'!AB882/10^6</f>
        <v>71.9143768785069</v>
      </c>
      <c r="AE62" s="31">
        <f>-'Business Plan - Model Details'!AC882/10^6</f>
        <v>71.908377396775037</v>
      </c>
      <c r="AF62" s="31">
        <f>-'Business Plan - Model Details'!AD882/10^6</f>
        <v>71.905742642084661</v>
      </c>
      <c r="AG62" s="31">
        <f>-'Business Plan - Model Details'!AE882/10^6</f>
        <v>71.900123871060075</v>
      </c>
      <c r="AH62" s="31">
        <f>-'Business Plan - Model Details'!AF882/10^6</f>
        <v>71.897844082170579</v>
      </c>
      <c r="AI62" s="31">
        <f>-'Business Plan - Model Details'!AG882/10^6</f>
        <v>71.893292884920569</v>
      </c>
      <c r="AJ62" s="35">
        <f>SUM(X62:AI62)</f>
        <v>863.05071716060331</v>
      </c>
    </row>
    <row r="63" spans="1:36" ht="14.25" customHeight="1" collapsed="1" x14ac:dyDescent="0.35">
      <c r="A63" s="21"/>
      <c r="B63" s="21"/>
      <c r="C63" s="33" t="s">
        <v>43</v>
      </c>
      <c r="D63" s="33"/>
      <c r="E63" s="21"/>
      <c r="F63" s="21"/>
      <c r="G63" s="21"/>
      <c r="H63" s="22" t="s">
        <v>19</v>
      </c>
      <c r="I63" s="34">
        <f t="shared" si="21"/>
        <v>0</v>
      </c>
      <c r="J63" s="31"/>
      <c r="K63" s="31">
        <f t="shared" si="22"/>
        <v>-661.94379696765918</v>
      </c>
      <c r="L63" s="31">
        <f>-'Business Plan - Model Details'!J955/10^6</f>
        <v>-83.81810123330223</v>
      </c>
      <c r="M63" s="31">
        <f>-'Business Plan - Model Details'!K955/10^6</f>
        <v>-70.947391730463082</v>
      </c>
      <c r="N63" s="31">
        <f>-'Business Plan - Model Details'!L955/10^6</f>
        <v>-29.180851799045808</v>
      </c>
      <c r="O63" s="31">
        <f>-'Business Plan - Model Details'!M955/10^6</f>
        <v>-42.436041391068223</v>
      </c>
      <c r="P63" s="31">
        <f>-'Business Plan - Model Details'!N955/10^6</f>
        <v>-57.906749130788157</v>
      </c>
      <c r="Q63" s="31">
        <f>-'Business Plan - Model Details'!O955/10^6</f>
        <v>-23.87985969113744</v>
      </c>
      <c r="R63" s="31">
        <f>-'Business Plan - Model Details'!P955/10^6</f>
        <v>-109.06666123732332</v>
      </c>
      <c r="S63" s="31">
        <f>-'Business Plan - Model Details'!Q955/10^6</f>
        <v>-76.725653200982535</v>
      </c>
      <c r="T63" s="31">
        <f>-'Business Plan - Model Details'!R955/10^6</f>
        <v>-41.874377133775511</v>
      </c>
      <c r="U63" s="31">
        <f>-'Business Plan - Model Details'!S955/10^6</f>
        <v>-42.029542230892652</v>
      </c>
      <c r="V63" s="31">
        <f>-'Business Plan - Model Details'!T955/10^6</f>
        <v>-42.082585192410157</v>
      </c>
      <c r="W63" s="31">
        <f>-'Business Plan - Model Details'!U955/10^6</f>
        <v>-41.995982996470048</v>
      </c>
      <c r="X63" s="31">
        <f>-'Business Plan - Model Details'!V955/10^6</f>
        <v>-41.994277314742106</v>
      </c>
      <c r="Y63" s="31">
        <f>-'Business Plan - Model Details'!W955/10^6</f>
        <v>-41.980310744628937</v>
      </c>
      <c r="Z63" s="31">
        <f>-'Business Plan - Model Details'!X955/10^6</f>
        <v>-41.983653092800758</v>
      </c>
      <c r="AA63" s="31">
        <f>-'Business Plan - Model Details'!Y955/10^6</f>
        <v>-41.601738507787601</v>
      </c>
      <c r="AB63" s="31">
        <f>-'Business Plan - Model Details'!Z955/10^6</f>
        <v>-41.596187398358794</v>
      </c>
      <c r="AC63" s="31">
        <f>-'Business Plan - Model Details'!AA955/10^6</f>
        <v>-41.576983563729478</v>
      </c>
      <c r="AD63" s="31">
        <f>-'Business Plan - Model Details'!AB955/10^6</f>
        <v>-41.567826868908007</v>
      </c>
      <c r="AE63" s="31">
        <f>-'Business Plan - Model Details'!AC955/10^6</f>
        <v>-41.543743728990719</v>
      </c>
      <c r="AF63" s="31">
        <f>-'Business Plan - Model Details'!AD955/10^6</f>
        <v>-41.543162937436335</v>
      </c>
      <c r="AG63" s="31">
        <f>-'Business Plan - Model Details'!AE955/10^6</f>
        <v>-41.53889040669894</v>
      </c>
      <c r="AH63" s="31">
        <f>-'Business Plan - Model Details'!AF955/10^6</f>
        <v>-41.538231839215022</v>
      </c>
      <c r="AI63" s="31">
        <f>-'Business Plan - Model Details'!AG955/10^6</f>
        <v>-41.534914770578077</v>
      </c>
      <c r="AJ63" s="35"/>
    </row>
    <row r="64" spans="1:36" ht="14.25" customHeight="1" x14ac:dyDescent="0.35">
      <c r="A64" s="21"/>
      <c r="B64" s="21"/>
      <c r="C64" s="37" t="s">
        <v>44</v>
      </c>
      <c r="D64" s="37"/>
      <c r="E64" s="37"/>
      <c r="F64" s="37"/>
      <c r="G64" s="37"/>
      <c r="H64" s="38" t="s">
        <v>19</v>
      </c>
      <c r="I64" s="39">
        <f t="shared" si="21"/>
        <v>0</v>
      </c>
      <c r="J64" s="40"/>
      <c r="K64" s="40">
        <f>SUM(K18,K33,K48)</f>
        <v>-84569.134110596409</v>
      </c>
      <c r="L64" s="40">
        <f t="shared" ref="L64:AI64" si="23">SUM(L18,L33,L48,L63)+L83</f>
        <v>-6667.1820141462113</v>
      </c>
      <c r="M64" s="40">
        <f t="shared" si="23"/>
        <v>-6591.9514635461974</v>
      </c>
      <c r="N64" s="40">
        <f t="shared" si="23"/>
        <v>-5211.7544519819303</v>
      </c>
      <c r="O64" s="40">
        <f t="shared" si="23"/>
        <v>-5876.8618122114403</v>
      </c>
      <c r="P64" s="40">
        <f t="shared" si="23"/>
        <v>-6624.8783577325321</v>
      </c>
      <c r="Q64" s="40">
        <f t="shared" si="23"/>
        <v>-7152.2142162933978</v>
      </c>
      <c r="R64" s="40">
        <f t="shared" si="23"/>
        <v>-7596.8220779600942</v>
      </c>
      <c r="S64" s="40">
        <f t="shared" si="23"/>
        <v>-7842.1457137086372</v>
      </c>
      <c r="T64" s="40">
        <f t="shared" si="23"/>
        <v>-7549.1251490678987</v>
      </c>
      <c r="U64" s="40">
        <f t="shared" si="23"/>
        <v>-7633.6149469702332</v>
      </c>
      <c r="V64" s="40">
        <f t="shared" si="23"/>
        <v>-7702.6557557093438</v>
      </c>
      <c r="W64" s="40">
        <f t="shared" si="23"/>
        <v>-7705.4914334832929</v>
      </c>
      <c r="X64" s="40">
        <f t="shared" si="23"/>
        <v>-7705.4714979211149</v>
      </c>
      <c r="Y64" s="40">
        <f t="shared" si="23"/>
        <v>-7701.877831267725</v>
      </c>
      <c r="Z64" s="40">
        <f t="shared" si="23"/>
        <v>-7702.6528440719685</v>
      </c>
      <c r="AA64" s="40">
        <f t="shared" si="23"/>
        <v>-7696.9460546193641</v>
      </c>
      <c r="AB64" s="40">
        <f t="shared" si="23"/>
        <v>-7696.4638186810707</v>
      </c>
      <c r="AC64" s="40">
        <f t="shared" si="23"/>
        <v>-7694.8944263131116</v>
      </c>
      <c r="AD64" s="40">
        <f t="shared" si="23"/>
        <v>-7694.0064630204552</v>
      </c>
      <c r="AE64" s="40">
        <f t="shared" si="23"/>
        <v>-7692.7115400456878</v>
      </c>
      <c r="AF64" s="40">
        <f t="shared" si="23"/>
        <v>-7692.7301723747169</v>
      </c>
      <c r="AG64" s="40">
        <f t="shared" si="23"/>
        <v>-7692.141474762484</v>
      </c>
      <c r="AH64" s="40">
        <f t="shared" si="23"/>
        <v>-7692.1493596328928</v>
      </c>
      <c r="AI64" s="40">
        <f t="shared" si="23"/>
        <v>-7691.8048287191086</v>
      </c>
      <c r="AJ64" s="35">
        <f>SUM(X64:AI64)</f>
        <v>-92353.850311429705</v>
      </c>
    </row>
    <row r="65" spans="1:35" ht="14.25" hidden="1" customHeight="1" outlineLevel="1" x14ac:dyDescent="0.35">
      <c r="A65" s="21"/>
      <c r="B65" s="21"/>
      <c r="C65" s="33" t="s">
        <v>45</v>
      </c>
      <c r="D65" s="33"/>
      <c r="E65" s="21"/>
      <c r="F65" s="21"/>
      <c r="G65" s="28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</row>
    <row r="66" spans="1:35" ht="14.25" hidden="1" customHeight="1" outlineLevel="1" x14ac:dyDescent="0.35">
      <c r="A66" s="21"/>
      <c r="B66" s="21"/>
      <c r="C66" s="33"/>
      <c r="D66" s="33" t="s">
        <v>46</v>
      </c>
      <c r="E66" s="21"/>
      <c r="F66" s="21"/>
      <c r="G66" s="28"/>
      <c r="H66" s="22" t="s">
        <v>19</v>
      </c>
      <c r="I66" s="34">
        <f>IFERROR((K66-J66)/J66,0)</f>
        <v>0</v>
      </c>
      <c r="J66" s="31"/>
      <c r="K66" s="31">
        <f>SUM(L66:W66)</f>
        <v>-65981.637050348509</v>
      </c>
      <c r="L66" s="31">
        <f>-('Business Plan - Model Details'!J251)/10^6</f>
        <v>-5494.6915386472501</v>
      </c>
      <c r="M66" s="31">
        <f>-('Business Plan - Model Details'!K251)/10^6</f>
        <v>-4882.7691418485601</v>
      </c>
      <c r="N66" s="31">
        <f>-('Business Plan - Model Details'!L251)/10^6</f>
        <v>-3454.23921438656</v>
      </c>
      <c r="O66" s="31">
        <f>-('Business Plan - Model Details'!M251)/10^6</f>
        <v>-4329.8411798366697</v>
      </c>
      <c r="P66" s="31">
        <f>-('Business Plan - Model Details'!N251)/10^6</f>
        <v>-5087.8174794388597</v>
      </c>
      <c r="Q66" s="31">
        <f>-('Business Plan - Model Details'!O251)/10^6</f>
        <v>-5559.3339401515195</v>
      </c>
      <c r="R66" s="31">
        <f>-('Business Plan - Model Details'!P251)/10^6</f>
        <v>-5655.7372573381999</v>
      </c>
      <c r="S66" s="31">
        <f>-('Business Plan - Model Details'!Q251)/10^6</f>
        <v>-6713.5238804370001</v>
      </c>
      <c r="T66" s="31">
        <f>-('Business Plan - Model Details'!R251)/10^6</f>
        <v>-6122.8805779389368</v>
      </c>
      <c r="U66" s="31">
        <f>-('Business Plan - Model Details'!S251)/10^6</f>
        <v>-6176.3152939919337</v>
      </c>
      <c r="V66" s="31">
        <f>-('Business Plan - Model Details'!T251)/10^6</f>
        <v>-6250.6011523069901</v>
      </c>
      <c r="W66" s="31">
        <f>-('Business Plan - Model Details'!U251)/10^6</f>
        <v>-6253.8863940260226</v>
      </c>
      <c r="X66" s="31">
        <f>-('Business Plan - Model Details'!V251)/10^6</f>
        <v>-6253.8758844712538</v>
      </c>
      <c r="Y66" s="31">
        <f>-('Business Plan - Model Details'!W251)/10^6</f>
        <v>-6251.1947766561561</v>
      </c>
      <c r="Z66" s="31">
        <f>-('Business Plan - Model Details'!X251)/10^6</f>
        <v>-6252.0512901906231</v>
      </c>
      <c r="AA66" s="31">
        <f>-('Business Plan - Model Details'!Y251)/10^6</f>
        <v>-6251.801947223671</v>
      </c>
      <c r="AB66" s="31">
        <f>-('Business Plan - Model Details'!Z251)/10^6</f>
        <v>-6251.3188913478571</v>
      </c>
      <c r="AC66" s="31">
        <f>-('Business Plan - Model Details'!AA251)/10^6</f>
        <v>-6251.4845891344739</v>
      </c>
      <c r="AD66" s="31">
        <f>-('Business Plan - Model Details'!AB251)/10^6</f>
        <v>-6251.3727704226649</v>
      </c>
      <c r="AE66" s="31">
        <f>-('Business Plan - Model Details'!AC251)/10^6</f>
        <v>-6251.2792855169882</v>
      </c>
      <c r="AF66" s="31">
        <f>-('Business Plan - Model Details'!AD251)/10^6</f>
        <v>-6251.2990241890229</v>
      </c>
      <c r="AG66" s="31">
        <f>-('Business Plan - Model Details'!AE251)/10^6</f>
        <v>-6251.259670881147</v>
      </c>
      <c r="AH66" s="31">
        <f>-('Business Plan - Model Details'!AF251)/10^6</f>
        <v>-6251.2376907250791</v>
      </c>
      <c r="AI66" s="31">
        <f>-('Business Plan - Model Details'!AG251)/10^6</f>
        <v>-6251.2350007644236</v>
      </c>
    </row>
    <row r="67" spans="1:35" ht="14.25" hidden="1" customHeight="1" outlineLevel="1" x14ac:dyDescent="0.35">
      <c r="A67" s="21"/>
      <c r="B67" s="21"/>
      <c r="C67" s="33" t="s">
        <v>35</v>
      </c>
      <c r="D67" s="33"/>
      <c r="E67" s="21"/>
      <c r="F67" s="21"/>
      <c r="G67" s="28"/>
      <c r="H67" s="34"/>
      <c r="I67" s="34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</row>
    <row r="68" spans="1:35" ht="14.25" hidden="1" customHeight="1" outlineLevel="1" x14ac:dyDescent="0.35">
      <c r="A68" s="21"/>
      <c r="B68" s="21"/>
      <c r="C68" s="33" t="s">
        <v>47</v>
      </c>
      <c r="D68" s="33" t="s">
        <v>48</v>
      </c>
      <c r="E68" s="21"/>
      <c r="F68" s="21"/>
      <c r="G68" s="28"/>
      <c r="H68" s="22" t="s">
        <v>19</v>
      </c>
      <c r="I68" s="34">
        <f>IFERROR((K68-J68)/J68,0)</f>
        <v>0</v>
      </c>
      <c r="J68" s="31"/>
      <c r="K68" s="31">
        <f>SUM(L68:W68)</f>
        <v>-8310.6412285999995</v>
      </c>
      <c r="L68" s="31">
        <f>-('Business Plan - Model Details'!J102+'Business Plan - Model Details'!J117)/10^6</f>
        <v>-637.79389320000007</v>
      </c>
      <c r="M68" s="31">
        <f>-('Business Plan - Model Details'!K102+'Business Plan - Model Details'!K117)/10^6</f>
        <v>-538.3827242000001</v>
      </c>
      <c r="N68" s="31">
        <f>-('Business Plan - Model Details'!L102+'Business Plan - Model Details'!L117)/10^6</f>
        <v>-411.66933519999998</v>
      </c>
      <c r="O68" s="31">
        <f>-('Business Plan - Model Details'!M102+'Business Plan - Model Details'!M117)/10^6</f>
        <v>-668.93095400000004</v>
      </c>
      <c r="P68" s="31">
        <f>-('Business Plan - Model Details'!N102+'Business Plan - Model Details'!N117)/10^6</f>
        <v>-728.97078899999997</v>
      </c>
      <c r="Q68" s="31">
        <f>-('Business Plan - Model Details'!O102+'Business Plan - Model Details'!O117)/10^6</f>
        <v>-767.74829699999998</v>
      </c>
      <c r="R68" s="31">
        <f>-('Business Plan - Model Details'!P102+'Business Plan - Model Details'!P117)/10^6</f>
        <v>-799.17559600000004</v>
      </c>
      <c r="S68" s="31">
        <f>-('Business Plan - Model Details'!Q102+'Business Plan - Model Details'!Q117)/10^6</f>
        <v>-795.94608800000003</v>
      </c>
      <c r="T68" s="31">
        <f>-('Business Plan - Model Details'!R102+'Business Plan - Model Details'!R117)/10^6</f>
        <v>-740.50588800000003</v>
      </c>
      <c r="U68" s="31">
        <f>-('Business Plan - Model Details'!S102+'Business Plan - Model Details'!S117)/10^6</f>
        <v>-740.50588800000003</v>
      </c>
      <c r="V68" s="31">
        <f>-('Business Plan - Model Details'!T102+'Business Plan - Model Details'!T117)/10^6</f>
        <v>-740.50588800000003</v>
      </c>
      <c r="W68" s="31">
        <f>-('Business Plan - Model Details'!U102+'Business Plan - Model Details'!U117)/10^6</f>
        <v>-740.50588800000003</v>
      </c>
      <c r="X68" s="31">
        <f>-('Business Plan - Model Details'!V102+'Business Plan - Model Details'!V117)/10^6</f>
        <v>-740.50588800000003</v>
      </c>
      <c r="Y68" s="31">
        <f>-('Business Plan - Model Details'!W102+'Business Plan - Model Details'!W117)/10^6</f>
        <v>-740.50588800000003</v>
      </c>
      <c r="Z68" s="31">
        <f>-('Business Plan - Model Details'!X102+'Business Plan - Model Details'!X117)/10^6</f>
        <v>-740.50588800000003</v>
      </c>
      <c r="AA68" s="31">
        <f>-('Business Plan - Model Details'!Y102+'Business Plan - Model Details'!Y117)/10^6</f>
        <v>-740.50588800000003</v>
      </c>
      <c r="AB68" s="31">
        <f>-('Business Plan - Model Details'!Z102+'Business Plan - Model Details'!Z117)/10^6</f>
        <v>-740.50588800000003</v>
      </c>
      <c r="AC68" s="31">
        <f>-('Business Plan - Model Details'!AA102+'Business Plan - Model Details'!AA117)/10^6</f>
        <v>-740.50588800000003</v>
      </c>
      <c r="AD68" s="31">
        <f>-('Business Plan - Model Details'!AB102+'Business Plan - Model Details'!AB117)/10^6</f>
        <v>-740.50588800000003</v>
      </c>
      <c r="AE68" s="31">
        <f>-('Business Plan - Model Details'!AC102+'Business Plan - Model Details'!AC117)/10^6</f>
        <v>-740.50588800000003</v>
      </c>
      <c r="AF68" s="31">
        <f>-('Business Plan - Model Details'!AD102+'Business Plan - Model Details'!AD117)/10^6</f>
        <v>-740.50588800000003</v>
      </c>
      <c r="AG68" s="31">
        <f>-('Business Plan - Model Details'!AE102+'Business Plan - Model Details'!AE117)/10^6</f>
        <v>-740.50588800000003</v>
      </c>
      <c r="AH68" s="31">
        <f>-('Business Plan - Model Details'!AF102+'Business Plan - Model Details'!AF117)/10^6</f>
        <v>-740.50588800000003</v>
      </c>
      <c r="AI68" s="31">
        <f>-('Business Plan - Model Details'!AG102+'Business Plan - Model Details'!AG117)/10^6</f>
        <v>-740.50588800000003</v>
      </c>
    </row>
    <row r="69" spans="1:35" ht="14.25" hidden="1" customHeight="1" outlineLevel="1" x14ac:dyDescent="0.35">
      <c r="A69" s="21"/>
      <c r="B69" s="21"/>
      <c r="C69" s="33"/>
      <c r="D69" s="33" t="s">
        <v>49</v>
      </c>
      <c r="E69" s="21"/>
      <c r="F69" s="21"/>
      <c r="G69" s="28"/>
      <c r="H69" s="22" t="s">
        <v>19</v>
      </c>
      <c r="I69" s="34">
        <f>IFERROR((K69-J69)/J69,0)</f>
        <v>0</v>
      </c>
      <c r="J69" s="31"/>
      <c r="K69" s="31">
        <f>SUM(L69:W69)</f>
        <v>-771.67228010764541</v>
      </c>
      <c r="L69" s="31">
        <f>-('Business Plan - Model Details'!J137)/10^6</f>
        <v>-90.489590684698143</v>
      </c>
      <c r="M69" s="31">
        <f>-('Business Plan - Model Details'!K137)/10^6</f>
        <v>-86.690751288952868</v>
      </c>
      <c r="N69" s="31">
        <f>-('Business Plan - Model Details'!L137)/10^6</f>
        <v>-40.430223654736352</v>
      </c>
      <c r="O69" s="31">
        <f>-('Business Plan - Model Details'!M137)/10^6</f>
        <v>-89.501467250446225</v>
      </c>
      <c r="P69" s="31">
        <f>-('Business Plan - Model Details'!N137)/10^6</f>
        <v>-65.518170179804741</v>
      </c>
      <c r="Q69" s="31">
        <f>-('Business Plan - Model Details'!O137)/10^6</f>
        <v>-49.660379992962042</v>
      </c>
      <c r="R69" s="31">
        <f>-('Business Plan - Model Details'!P137)/10^6</f>
        <v>-50.294528815272386</v>
      </c>
      <c r="S69" s="31">
        <f>-('Business Plan - Model Details'!Q137)/10^6</f>
        <v>-52.251872240772471</v>
      </c>
      <c r="T69" s="31">
        <f>-('Business Plan - Model Details'!R137)/10^6</f>
        <v>-61.708824</v>
      </c>
      <c r="U69" s="31">
        <f>-('Business Plan - Model Details'!S137)/10^6</f>
        <v>-61.708824</v>
      </c>
      <c r="V69" s="31">
        <f>-('Business Plan - Model Details'!T137)/10^6</f>
        <v>-61.708824</v>
      </c>
      <c r="W69" s="31">
        <f>-('Business Plan - Model Details'!U137)/10^6</f>
        <v>-61.708824</v>
      </c>
      <c r="X69" s="31">
        <f>-('Business Plan - Model Details'!V137)/10^6</f>
        <v>-61.708824</v>
      </c>
      <c r="Y69" s="31">
        <f>-('Business Plan - Model Details'!W137)/10^6</f>
        <v>-61.708824</v>
      </c>
      <c r="Z69" s="31">
        <f>-('Business Plan - Model Details'!X137)/10^6</f>
        <v>-61.708824</v>
      </c>
      <c r="AA69" s="31">
        <f>-('Business Plan - Model Details'!Y137)/10^6</f>
        <v>-61.708824</v>
      </c>
      <c r="AB69" s="31">
        <f>-('Business Plan - Model Details'!Z137)/10^6</f>
        <v>-61.708824</v>
      </c>
      <c r="AC69" s="31">
        <f>-('Business Plan - Model Details'!AA137)/10^6</f>
        <v>-61.708824</v>
      </c>
      <c r="AD69" s="31">
        <f>-('Business Plan - Model Details'!AB137)/10^6</f>
        <v>-61.708824</v>
      </c>
      <c r="AE69" s="31">
        <f>-('Business Plan - Model Details'!AC137)/10^6</f>
        <v>-61.708824</v>
      </c>
      <c r="AF69" s="31">
        <f>-('Business Plan - Model Details'!AD137)/10^6</f>
        <v>-61.708824</v>
      </c>
      <c r="AG69" s="31">
        <f>-('Business Plan - Model Details'!AE137)/10^6</f>
        <v>-61.708824</v>
      </c>
      <c r="AH69" s="31">
        <f>-('Business Plan - Model Details'!AF137)/10^6</f>
        <v>-61.708824</v>
      </c>
      <c r="AI69" s="31">
        <f>-('Business Plan - Model Details'!AG137)/10^6</f>
        <v>-61.708824</v>
      </c>
    </row>
    <row r="70" spans="1:35" ht="14.25" hidden="1" customHeight="1" outlineLevel="1" x14ac:dyDescent="0.35">
      <c r="A70" s="21"/>
      <c r="B70" s="21"/>
      <c r="C70" s="21"/>
      <c r="D70" s="21" t="s">
        <v>50</v>
      </c>
      <c r="E70" s="21"/>
      <c r="F70" s="21"/>
      <c r="G70" s="28"/>
      <c r="H70" s="22" t="s">
        <v>19</v>
      </c>
      <c r="I70" s="34">
        <f>IFERROR((K70-J70)/J70,0)</f>
        <v>0</v>
      </c>
      <c r="J70" s="31"/>
      <c r="K70" s="31">
        <f>SUM(L70:W70)</f>
        <v>-1018.4456003152613</v>
      </c>
      <c r="L70" s="31">
        <f>-('Business Plan - Model Details'!J142)/10^6</f>
        <v>-73.623013925366493</v>
      </c>
      <c r="M70" s="31">
        <f>-('Business Plan - Model Details'!K142)/10^6</f>
        <v>-80.026849745692488</v>
      </c>
      <c r="N70" s="31">
        <f>-('Business Plan - Model Details'!L142)/10^6</f>
        <v>-70.946437438234028</v>
      </c>
      <c r="O70" s="31">
        <f>-('Business Plan - Model Details'!M142)/10^6</f>
        <v>-93.302880444073764</v>
      </c>
      <c r="P70" s="31">
        <f>-('Business Plan - Model Details'!N142)/10^6</f>
        <v>-95.901507262736715</v>
      </c>
      <c r="Q70" s="31">
        <f>-('Business Plan - Model Details'!O142)/10^6</f>
        <v>-104.25297206906424</v>
      </c>
      <c r="R70" s="31">
        <f>-('Business Plan - Model Details'!P142)/10^6</f>
        <v>-105.51454049647208</v>
      </c>
      <c r="S70" s="31">
        <f>-('Business Plan - Model Details'!Q142)/10^6</f>
        <v>-106.40587859735732</v>
      </c>
      <c r="T70" s="31">
        <f>-('Business Plan - Model Details'!R142)/10^6</f>
        <v>-72.28336966480164</v>
      </c>
      <c r="U70" s="31">
        <f>-('Business Plan - Model Details'!S142)/10^6</f>
        <v>-71.931282029872236</v>
      </c>
      <c r="V70" s="31">
        <f>-('Business Plan - Model Details'!T142)/10^6</f>
        <v>-72.138988557524186</v>
      </c>
      <c r="W70" s="31">
        <f>-('Business Plan - Model Details'!U142)/10^6</f>
        <v>-72.11788008406603</v>
      </c>
      <c r="X70" s="31">
        <f>-('Business Plan - Model Details'!V142)/10^6</f>
        <v>-72.062716890487494</v>
      </c>
      <c r="Y70" s="31">
        <f>-('Business Plan - Model Details'!W142)/10^6</f>
        <v>-72.106528510692584</v>
      </c>
      <c r="Z70" s="31">
        <f>-('Business Plan - Model Details'!X142)/10^6</f>
        <v>-72.09570849508205</v>
      </c>
      <c r="AA70" s="31">
        <f>-('Business Plan - Model Details'!Y142)/10^6</f>
        <v>-72.088317965420728</v>
      </c>
      <c r="AB70" s="31">
        <f>-('Business Plan - Model Details'!Z142)/10^6</f>
        <v>-72.09685165706513</v>
      </c>
      <c r="AC70" s="31">
        <f>-('Business Plan - Model Details'!AA142)/10^6</f>
        <v>-72.093626039189289</v>
      </c>
      <c r="AD70" s="31">
        <f>-('Business Plan - Model Details'!AB142)/10^6</f>
        <v>-72.092931887225049</v>
      </c>
      <c r="AE70" s="31">
        <f>-('Business Plan - Model Details'!AC142)/10^6</f>
        <v>-72.094469861159823</v>
      </c>
      <c r="AF70" s="31">
        <f>-('Business Plan - Model Details'!AD142)/10^6</f>
        <v>-72.093675929191392</v>
      </c>
      <c r="AG70" s="31">
        <f>-('Business Plan - Model Details'!AE142)/10^6</f>
        <v>-72.093692559192078</v>
      </c>
      <c r="AH70" s="31">
        <f>-('Business Plan - Model Details'!AF142)/10^6</f>
        <v>-72.093946116514417</v>
      </c>
      <c r="AI70" s="31">
        <f>-('Business Plan - Model Details'!AG142)/10^6</f>
        <v>-72.093771534965967</v>
      </c>
    </row>
    <row r="71" spans="1:35" ht="14.25" hidden="1" customHeight="1" outlineLevel="1" x14ac:dyDescent="0.35">
      <c r="A71" s="21"/>
      <c r="B71" s="21"/>
      <c r="C71" s="33"/>
      <c r="D71" s="33" t="s">
        <v>51</v>
      </c>
      <c r="E71" s="21"/>
      <c r="F71" s="21"/>
      <c r="G71" s="28"/>
      <c r="H71" s="22" t="s">
        <v>19</v>
      </c>
      <c r="I71" s="34">
        <f>IFERROR((K71-J71)/J71,0)</f>
        <v>0</v>
      </c>
      <c r="J71" s="31"/>
      <c r="K71" s="31">
        <f>SUM(L71:W71)</f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0</v>
      </c>
      <c r="AC71" s="31">
        <v>0</v>
      </c>
      <c r="AD71" s="31">
        <v>0</v>
      </c>
      <c r="AE71" s="31">
        <v>0</v>
      </c>
      <c r="AF71" s="31">
        <v>0</v>
      </c>
      <c r="AG71" s="31">
        <v>0</v>
      </c>
      <c r="AH71" s="31">
        <v>0</v>
      </c>
      <c r="AI71" s="31">
        <v>0</v>
      </c>
    </row>
    <row r="72" spans="1:35" ht="14.25" hidden="1" customHeight="1" outlineLevel="1" x14ac:dyDescent="0.35">
      <c r="A72" s="21"/>
      <c r="B72" s="21"/>
      <c r="C72" s="33" t="s">
        <v>52</v>
      </c>
      <c r="D72" s="33"/>
      <c r="E72" s="21"/>
      <c r="F72" s="21"/>
      <c r="G72" s="28"/>
      <c r="H72" s="22"/>
      <c r="I72" s="34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</row>
    <row r="73" spans="1:35" ht="14.25" hidden="1" customHeight="1" outlineLevel="1" x14ac:dyDescent="0.35">
      <c r="A73" s="21"/>
      <c r="B73" s="21"/>
      <c r="C73" s="33" t="s">
        <v>53</v>
      </c>
      <c r="D73" s="33" t="s">
        <v>54</v>
      </c>
      <c r="E73" s="21"/>
      <c r="F73" s="21"/>
      <c r="G73" s="28"/>
      <c r="H73" s="22" t="s">
        <v>19</v>
      </c>
      <c r="I73" s="34">
        <f t="shared" ref="I73:I81" si="24">IFERROR((K73-J73)/J73,0)</f>
        <v>0</v>
      </c>
      <c r="J73" s="31"/>
      <c r="K73" s="31">
        <f t="shared" ref="K73:K84" si="25">SUM(L73:W73)</f>
        <v>-2150.3960342709674</v>
      </c>
      <c r="L73" s="31">
        <f>-('Business Plan - Model Details'!J134)/10^6</f>
        <v>-198.45956080000002</v>
      </c>
      <c r="M73" s="31">
        <f>-('Business Plan - Model Details'!K134)/10^6</f>
        <v>-198.45956080000002</v>
      </c>
      <c r="N73" s="31">
        <f>-('Business Plan - Model Details'!L134)/10^6</f>
        <v>-198.45956080000002</v>
      </c>
      <c r="O73" s="31">
        <f>-('Business Plan - Model Details'!M134)/10^6</f>
        <v>-205.81303600000001</v>
      </c>
      <c r="P73" s="31">
        <f>-('Business Plan - Model Details'!N134)/10^6</f>
        <v>-208.253083</v>
      </c>
      <c r="Q73" s="31">
        <f>-('Business Plan - Model Details'!O134)/10^6</f>
        <v>-208.35021</v>
      </c>
      <c r="R73" s="31">
        <f>-('Business Plan - Model Details'!P134)/10^6</f>
        <v>-204.06776600000001</v>
      </c>
      <c r="S73" s="31">
        <f>-('Business Plan - Model Details'!Q134)/10^6</f>
        <v>-165.81370899999999</v>
      </c>
      <c r="T73" s="31">
        <f>-('Business Plan - Model Details'!R134)/10^6</f>
        <v>-140.67988696774194</v>
      </c>
      <c r="U73" s="31">
        <f>-('Business Plan - Model Details'!S134)/10^6</f>
        <v>-140.67988696774194</v>
      </c>
      <c r="V73" s="31">
        <f>-('Business Plan - Model Details'!T134)/10^6</f>
        <v>-140.67988696774194</v>
      </c>
      <c r="W73" s="31">
        <f>-('Business Plan - Model Details'!U134)/10^6</f>
        <v>-140.67988696774194</v>
      </c>
      <c r="X73" s="31">
        <f>-('Business Plan - Model Details'!V134)/10^6</f>
        <v>-140.67988696774194</v>
      </c>
      <c r="Y73" s="31">
        <f>-('Business Plan - Model Details'!W134)/10^6</f>
        <v>-140.67988696774194</v>
      </c>
      <c r="Z73" s="31">
        <f>-('Business Plan - Model Details'!X134)/10^6</f>
        <v>-140.67988696774194</v>
      </c>
      <c r="AA73" s="31">
        <f>-('Business Plan - Model Details'!Y134)/10^6</f>
        <v>-140.67988696774194</v>
      </c>
      <c r="AB73" s="31">
        <f>-('Business Plan - Model Details'!Z134)/10^6</f>
        <v>-140.67988696774194</v>
      </c>
      <c r="AC73" s="31">
        <f>-('Business Plan - Model Details'!AA134)/10^6</f>
        <v>-140.67988696774194</v>
      </c>
      <c r="AD73" s="31">
        <f>-('Business Plan - Model Details'!AB134)/10^6</f>
        <v>-140.67988696774194</v>
      </c>
      <c r="AE73" s="31">
        <f>-('Business Plan - Model Details'!AC134)/10^6</f>
        <v>-140.67988696774194</v>
      </c>
      <c r="AF73" s="31">
        <f>-('Business Plan - Model Details'!AD134)/10^6</f>
        <v>-140.67988696774194</v>
      </c>
      <c r="AG73" s="31">
        <f>-('Business Plan - Model Details'!AE134)/10^6</f>
        <v>-140.67988696774194</v>
      </c>
      <c r="AH73" s="31">
        <f>-('Business Plan - Model Details'!AF134)/10^6</f>
        <v>-140.67988696774194</v>
      </c>
      <c r="AI73" s="31">
        <f>-('Business Plan - Model Details'!AG134)/10^6</f>
        <v>-140.67988696774194</v>
      </c>
    </row>
    <row r="74" spans="1:35" ht="14.25" hidden="1" customHeight="1" outlineLevel="1" x14ac:dyDescent="0.35">
      <c r="A74" s="21"/>
      <c r="B74" s="21"/>
      <c r="C74" s="33"/>
      <c r="D74" s="33" t="s">
        <v>55</v>
      </c>
      <c r="E74" s="21"/>
      <c r="F74" s="21"/>
      <c r="G74" s="28"/>
      <c r="H74" s="22" t="s">
        <v>19</v>
      </c>
      <c r="I74" s="34">
        <f t="shared" si="24"/>
        <v>0</v>
      </c>
      <c r="J74" s="31"/>
      <c r="K74" s="31">
        <f t="shared" si="25"/>
        <v>-209.95666430826878</v>
      </c>
      <c r="L74" s="31">
        <f>-('Business Plan - Model Details'!J138)/10^6</f>
        <v>-28.15725364530185</v>
      </c>
      <c r="M74" s="31">
        <f>-('Business Plan - Model Details'!K138)/10^6</f>
        <v>-31.956093041047126</v>
      </c>
      <c r="N74" s="31">
        <f>-('Business Plan - Model Details'!L138)/10^6</f>
        <v>-19.490799395263643</v>
      </c>
      <c r="O74" s="31">
        <f>-('Business Plan - Model Details'!M138)/10^6</f>
        <v>-27.537324429553777</v>
      </c>
      <c r="P74" s="31">
        <f>-('Business Plan - Model Details'!N138)/10^6</f>
        <v>-18.717294490195268</v>
      </c>
      <c r="Q74" s="31">
        <f>-('Business Plan - Model Details'!O138)/10^6</f>
        <v>-13.476748357037961</v>
      </c>
      <c r="R74" s="31">
        <f>-('Business Plan - Model Details'!P138)/10^6</f>
        <v>-12.842599534727619</v>
      </c>
      <c r="S74" s="31">
        <f>-('Business Plan - Model Details'!Q138)/10^6</f>
        <v>-10.88525575922753</v>
      </c>
      <c r="T74" s="31">
        <f>-('Business Plan - Model Details'!R138)/10^6</f>
        <v>-11.723323913978495</v>
      </c>
      <c r="U74" s="31">
        <f>-('Business Plan - Model Details'!S138)/10^6</f>
        <v>-11.723323913978495</v>
      </c>
      <c r="V74" s="31">
        <f>-('Business Plan - Model Details'!T138)/10^6</f>
        <v>-11.723323913978495</v>
      </c>
      <c r="W74" s="31">
        <f>-('Business Plan - Model Details'!U138)/10^6</f>
        <v>-11.723323913978495</v>
      </c>
      <c r="X74" s="31">
        <f>-('Business Plan - Model Details'!V138)/10^6</f>
        <v>-11.723323913978495</v>
      </c>
      <c r="Y74" s="31">
        <f>-('Business Plan - Model Details'!W138)/10^6</f>
        <v>-11.723323913978495</v>
      </c>
      <c r="Z74" s="31">
        <f>-('Business Plan - Model Details'!X138)/10^6</f>
        <v>-11.723323913978495</v>
      </c>
      <c r="AA74" s="31">
        <f>-('Business Plan - Model Details'!Y138)/10^6</f>
        <v>-11.723323913978495</v>
      </c>
      <c r="AB74" s="31">
        <f>-('Business Plan - Model Details'!Z138)/10^6</f>
        <v>-11.723323913978495</v>
      </c>
      <c r="AC74" s="31">
        <f>-('Business Plan - Model Details'!AA138)/10^6</f>
        <v>-11.723323913978495</v>
      </c>
      <c r="AD74" s="31">
        <f>-('Business Plan - Model Details'!AB138)/10^6</f>
        <v>-11.723323913978495</v>
      </c>
      <c r="AE74" s="31">
        <f>-('Business Plan - Model Details'!AC138)/10^6</f>
        <v>-11.723323913978495</v>
      </c>
      <c r="AF74" s="31">
        <f>-('Business Plan - Model Details'!AD138)/10^6</f>
        <v>-11.723323913978495</v>
      </c>
      <c r="AG74" s="31">
        <f>-('Business Plan - Model Details'!AE138)/10^6</f>
        <v>-11.723323913978495</v>
      </c>
      <c r="AH74" s="31">
        <f>-('Business Plan - Model Details'!AF138)/10^6</f>
        <v>-11.723323913978495</v>
      </c>
      <c r="AI74" s="31">
        <f>-('Business Plan - Model Details'!AG138)/10^6</f>
        <v>-11.723323913978495</v>
      </c>
    </row>
    <row r="75" spans="1:35" ht="14.25" hidden="1" customHeight="1" outlineLevel="1" x14ac:dyDescent="0.35">
      <c r="A75" s="21"/>
      <c r="B75" s="21"/>
      <c r="C75" s="33"/>
      <c r="D75" s="33" t="s">
        <v>56</v>
      </c>
      <c r="E75" s="21"/>
      <c r="F75" s="21"/>
      <c r="G75" s="28"/>
      <c r="H75" s="22" t="s">
        <v>19</v>
      </c>
      <c r="I75" s="34">
        <f t="shared" si="24"/>
        <v>0</v>
      </c>
      <c r="J75" s="31"/>
      <c r="K75" s="31">
        <f t="shared" si="25"/>
        <v>-402.29858280287476</v>
      </c>
      <c r="L75" s="31">
        <f>-('Business Plan - Model Details'!J143)/10^6</f>
        <v>-22.90895407463351</v>
      </c>
      <c r="M75" s="31">
        <f>-('Business Plan - Model Details'!K143)/10^6</f>
        <v>-29.499634254307509</v>
      </c>
      <c r="N75" s="31">
        <f>-('Business Plan - Model Details'!L143)/10^6</f>
        <v>-34.202204561765967</v>
      </c>
      <c r="O75" s="31">
        <f>-('Business Plan - Model Details'!M143)/10^6</f>
        <v>-28.706922555926234</v>
      </c>
      <c r="P75" s="31">
        <f>-('Business Plan - Model Details'!N143)/10^6</f>
        <v>-27.397235737263291</v>
      </c>
      <c r="Q75" s="31">
        <f>-('Business Plan - Model Details'!O143)/10^6</f>
        <v>-28.291991930935755</v>
      </c>
      <c r="R75" s="31">
        <f>-('Business Plan - Model Details'!P143)/10^6</f>
        <v>-26.942910503527923</v>
      </c>
      <c r="S75" s="31">
        <f>-('Business Plan - Model Details'!Q143)/10^6</f>
        <v>-22.166769402642682</v>
      </c>
      <c r="T75" s="31">
        <f>-('Business Plan - Model Details'!R143)/10^6</f>
        <v>-45.650003611519821</v>
      </c>
      <c r="U75" s="31">
        <f>-('Business Plan - Model Details'!S143)/10^6</f>
        <v>-45.427645386099051</v>
      </c>
      <c r="V75" s="31">
        <f>-('Business Plan - Model Details'!T143)/10^6</f>
        <v>-45.558820838785024</v>
      </c>
      <c r="W75" s="31">
        <f>-('Business Plan - Model Details'!U143)/10^6</f>
        <v>-45.54548994546797</v>
      </c>
      <c r="X75" s="31">
        <f>-('Business Plan - Model Details'!V143)/10^6</f>
        <v>-45.510652056784018</v>
      </c>
      <c r="Y75" s="31">
        <f>-('Business Plan - Model Details'!W143)/10^6</f>
        <v>-45.538320947012345</v>
      </c>
      <c r="Z75" s="31">
        <f>-('Business Plan - Model Details'!X143)/10^6</f>
        <v>-45.531487649754787</v>
      </c>
      <c r="AA75" s="31">
        <f>-('Business Plan - Model Details'!Y143)/10^6</f>
        <v>-45.526820217850393</v>
      </c>
      <c r="AB75" s="31">
        <f>-('Business Plan - Model Details'!Z143)/10^6</f>
        <v>-45.532209604872513</v>
      </c>
      <c r="AC75" s="31">
        <f>-('Business Plan - Model Details'!AA143)/10^6</f>
        <v>-45.530172490825898</v>
      </c>
      <c r="AD75" s="31">
        <f>-('Business Plan - Model Details'!AB143)/10^6</f>
        <v>-45.529734104516265</v>
      </c>
      <c r="AE75" s="31">
        <f>-('Business Plan - Model Details'!AC143)/10^6</f>
        <v>-45.530705400071554</v>
      </c>
      <c r="AF75" s="31">
        <f>-('Business Plan - Model Details'!AD143)/10^6</f>
        <v>-45.530203998471237</v>
      </c>
      <c r="AG75" s="31">
        <f>-('Business Plan - Model Details'!AE143)/10^6</f>
        <v>-45.530214501019685</v>
      </c>
      <c r="AH75" s="31">
        <f>-('Business Plan - Model Details'!AF143)/10^6</f>
        <v>-45.530374633187485</v>
      </c>
      <c r="AI75" s="31">
        <f>-('Business Plan - Model Details'!AG143)/10^6</f>
        <v>-45.530264377559469</v>
      </c>
    </row>
    <row r="76" spans="1:35" ht="14.25" hidden="1" customHeight="1" outlineLevel="1" x14ac:dyDescent="0.35">
      <c r="A76" s="21"/>
      <c r="B76" s="21"/>
      <c r="C76" s="33"/>
      <c r="D76" s="33" t="s">
        <v>57</v>
      </c>
      <c r="E76" s="21"/>
      <c r="F76" s="21"/>
      <c r="G76" s="28"/>
      <c r="H76" s="22" t="s">
        <v>19</v>
      </c>
      <c r="I76" s="34">
        <f t="shared" si="24"/>
        <v>0</v>
      </c>
      <c r="J76" s="31"/>
      <c r="K76" s="31">
        <f t="shared" si="25"/>
        <v>-646.41827196748204</v>
      </c>
      <c r="L76" s="31">
        <f>-('Business Plan - Model Details'!J150)/10^6</f>
        <v>-63.184268000000003</v>
      </c>
      <c r="M76" s="31">
        <f>-('Business Plan - Model Details'!K150)/10^6</f>
        <v>-53.698233000000002</v>
      </c>
      <c r="N76" s="31">
        <f>-('Business Plan - Model Details'!L150)/10^6</f>
        <v>-42.036498000000002</v>
      </c>
      <c r="O76" s="31">
        <f>-('Business Plan - Model Details'!M150)/10^6</f>
        <v>-50.567236999999999</v>
      </c>
      <c r="P76" s="31">
        <f>-('Business Plan - Model Details'!N150)/10^6</f>
        <v>-54.443106999999998</v>
      </c>
      <c r="Q76" s="31">
        <f>-('Business Plan - Model Details'!O150)/10^6</f>
        <v>-56.260859000000004</v>
      </c>
      <c r="R76" s="31">
        <f>-('Business Plan - Model Details'!P150)/10^6</f>
        <v>-58.622228</v>
      </c>
      <c r="S76" s="31">
        <f>-('Business Plan - Model Details'!Q150)/10^6</f>
        <v>-56.566113999999999</v>
      </c>
      <c r="T76" s="31">
        <f>-('Business Plan - Model Details'!R150)/10^6</f>
        <v>-53.312229882552181</v>
      </c>
      <c r="U76" s="31">
        <f>-('Business Plan - Model Details'!S150)/10^6</f>
        <v>-53.312229882552181</v>
      </c>
      <c r="V76" s="31">
        <f>-('Business Plan - Model Details'!T150)/10^6</f>
        <v>-51.655336210507137</v>
      </c>
      <c r="W76" s="31">
        <f>-('Business Plan - Model Details'!U150)/10^6</f>
        <v>-52.759931991870509</v>
      </c>
      <c r="X76" s="31">
        <f>-('Business Plan - Model Details'!V150)/10^6</f>
        <v>-52.575832694976604</v>
      </c>
      <c r="Y76" s="31">
        <f>-('Business Plan - Model Details'!W150)/10^6</f>
        <v>-52.330366965784755</v>
      </c>
      <c r="Z76" s="31">
        <f>-('Business Plan - Model Details'!X150)/10^6</f>
        <v>-52.55537721754397</v>
      </c>
      <c r="AA76" s="31">
        <f>-('Business Plan - Model Details'!Y150)/10^6</f>
        <v>-52.487192292768441</v>
      </c>
      <c r="AB76" s="31">
        <f>-('Business Plan - Model Details'!Z150)/10^6</f>
        <v>-52.457645492032377</v>
      </c>
      <c r="AC76" s="31">
        <f>-('Business Plan - Model Details'!AA150)/10^6</f>
        <v>-52.50007166744826</v>
      </c>
      <c r="AD76" s="31">
        <f>-('Business Plan - Model Details'!AB150)/10^6</f>
        <v>-52.481636484083026</v>
      </c>
      <c r="AE76" s="31">
        <f>-('Business Plan - Model Details'!AC150)/10^6</f>
        <v>-52.47978454785455</v>
      </c>
      <c r="AF76" s="31">
        <f>-('Business Plan - Model Details'!AD150)/10^6</f>
        <v>-52.487164233128603</v>
      </c>
      <c r="AG76" s="31">
        <f>-('Business Plan - Model Details'!AE150)/10^6</f>
        <v>-52.48286175502205</v>
      </c>
      <c r="AH76" s="31">
        <f>-('Business Plan - Model Details'!AF150)/10^6</f>
        <v>-52.483270178668413</v>
      </c>
      <c r="AI76" s="31">
        <f>-('Business Plan - Model Details'!AG150)/10^6</f>
        <v>-52.484432055606348</v>
      </c>
    </row>
    <row r="77" spans="1:35" ht="14.25" hidden="1" customHeight="1" outlineLevel="1" x14ac:dyDescent="0.35">
      <c r="A77" s="21"/>
      <c r="B77" s="21"/>
      <c r="C77" s="33"/>
      <c r="D77" s="33" t="s">
        <v>58</v>
      </c>
      <c r="E77" s="21"/>
      <c r="F77" s="21"/>
      <c r="G77" s="28"/>
      <c r="H77" s="22" t="s">
        <v>19</v>
      </c>
      <c r="I77" s="34">
        <f t="shared" si="24"/>
        <v>0</v>
      </c>
      <c r="J77" s="31"/>
      <c r="K77" s="31">
        <f t="shared" si="25"/>
        <v>-0.94629999999999981</v>
      </c>
      <c r="L77" s="31">
        <f>-('Business Plan - Model Details'!J152+'Business Plan - Model Details'!J153)/10^6</f>
        <v>-7.6899999999999996E-2</v>
      </c>
      <c r="M77" s="31">
        <f>-('Business Plan - Model Details'!K152+'Business Plan - Model Details'!K153)/10^6</f>
        <v>-7.9399999999999998E-2</v>
      </c>
      <c r="N77" s="31">
        <f>-('Business Plan - Model Details'!L152+'Business Plan - Model Details'!L153)/10^6</f>
        <v>-7.9000000000000001E-2</v>
      </c>
      <c r="O77" s="31">
        <f>-('Business Plan - Model Details'!M152+'Business Plan - Model Details'!M153)/10^6</f>
        <v>-7.9000000000000001E-2</v>
      </c>
      <c r="P77" s="31">
        <f>-('Business Plan - Model Details'!N152+'Business Plan - Model Details'!N153)/10^6</f>
        <v>-7.9000000000000001E-2</v>
      </c>
      <c r="Q77" s="31">
        <f>-('Business Plan - Model Details'!O152+'Business Plan - Model Details'!O153)/10^6</f>
        <v>-7.9000000000000001E-2</v>
      </c>
      <c r="R77" s="31">
        <f>-('Business Plan - Model Details'!P152+'Business Plan - Model Details'!P153)/10^6</f>
        <v>-7.9000000000000001E-2</v>
      </c>
      <c r="S77" s="31">
        <f>-('Business Plan - Model Details'!Q152+'Business Plan - Model Details'!Q153)/10^6</f>
        <v>-7.9000000000000001E-2</v>
      </c>
      <c r="T77" s="31">
        <f>-('Business Plan - Model Details'!R152+'Business Plan - Model Details'!R153)/10^6</f>
        <v>-7.9000000000000001E-2</v>
      </c>
      <c r="U77" s="31">
        <f>-('Business Plan - Model Details'!S152+'Business Plan - Model Details'!S153)/10^6</f>
        <v>-7.9000000000000001E-2</v>
      </c>
      <c r="V77" s="31">
        <f>-('Business Plan - Model Details'!T152+'Business Plan - Model Details'!T153)/10^6</f>
        <v>-7.9000000000000001E-2</v>
      </c>
      <c r="W77" s="31">
        <f>-('Business Plan - Model Details'!U152+'Business Plan - Model Details'!U153)/10^6</f>
        <v>-7.9000000000000001E-2</v>
      </c>
      <c r="X77" s="31">
        <f>-('Business Plan - Model Details'!V152+'Business Plan - Model Details'!V153)/10^6</f>
        <v>-7.9000000000000001E-2</v>
      </c>
      <c r="Y77" s="31">
        <f>-('Business Plan - Model Details'!W152+'Business Plan - Model Details'!W153)/10^6</f>
        <v>-7.9000000000000001E-2</v>
      </c>
      <c r="Z77" s="31">
        <f>-('Business Plan - Model Details'!X152+'Business Plan - Model Details'!X153)/10^6</f>
        <v>-7.9000000000000001E-2</v>
      </c>
      <c r="AA77" s="31">
        <f>-('Business Plan - Model Details'!Y152+'Business Plan - Model Details'!Y153)/10^6</f>
        <v>-7.9000000000000001E-2</v>
      </c>
      <c r="AB77" s="31">
        <f>-('Business Plan - Model Details'!Z152+'Business Plan - Model Details'!Z153)/10^6</f>
        <v>-7.9000000000000001E-2</v>
      </c>
      <c r="AC77" s="31">
        <f>-('Business Plan - Model Details'!AA152+'Business Plan - Model Details'!AA153)/10^6</f>
        <v>-7.9000000000000001E-2</v>
      </c>
      <c r="AD77" s="31">
        <f>-('Business Plan - Model Details'!AB152+'Business Plan - Model Details'!AB153)/10^6</f>
        <v>-7.9000000000000001E-2</v>
      </c>
      <c r="AE77" s="31">
        <f>-('Business Plan - Model Details'!AC152+'Business Plan - Model Details'!AC153)/10^6</f>
        <v>-7.9000000000000001E-2</v>
      </c>
      <c r="AF77" s="31">
        <f>-('Business Plan - Model Details'!AD152+'Business Plan - Model Details'!AD153)/10^6</f>
        <v>-7.9000000000000001E-2</v>
      </c>
      <c r="AG77" s="31">
        <f>-('Business Plan - Model Details'!AE152+'Business Plan - Model Details'!AE153)/10^6</f>
        <v>-7.9000000000000001E-2</v>
      </c>
      <c r="AH77" s="31">
        <f>-('Business Plan - Model Details'!AF152+'Business Plan - Model Details'!AF153)/10^6</f>
        <v>-7.9000000000000001E-2</v>
      </c>
      <c r="AI77" s="31">
        <f>-('Business Plan - Model Details'!AG152+'Business Plan - Model Details'!AG153)/10^6</f>
        <v>-7.9000000000000001E-2</v>
      </c>
    </row>
    <row r="78" spans="1:35" ht="14.25" hidden="1" customHeight="1" outlineLevel="1" x14ac:dyDescent="0.35">
      <c r="A78" s="21"/>
      <c r="B78" s="21"/>
      <c r="C78" s="33"/>
      <c r="D78" s="33" t="s">
        <v>59</v>
      </c>
      <c r="E78" s="21"/>
      <c r="F78" s="21"/>
      <c r="G78" s="28"/>
      <c r="H78" s="22" t="s">
        <v>19</v>
      </c>
      <c r="I78" s="34">
        <f t="shared" si="24"/>
        <v>0</v>
      </c>
      <c r="J78" s="31"/>
      <c r="K78" s="31">
        <f t="shared" si="25"/>
        <v>-310.91486368938951</v>
      </c>
      <c r="L78" s="31">
        <f>-('Business Plan - Model Details'!J156)/10^6</f>
        <v>-19.782841999999999</v>
      </c>
      <c r="M78" s="31">
        <f>-('Business Plan - Model Details'!K156)/10^6</f>
        <v>-20.472039629999998</v>
      </c>
      <c r="N78" s="31">
        <f>-('Business Plan - Model Details'!L156)/10^6</f>
        <v>-49.527425990000005</v>
      </c>
      <c r="O78" s="31">
        <f>-('Business Plan - Model Details'!M156)/10^6</f>
        <v>-26.756278999999999</v>
      </c>
      <c r="P78" s="31">
        <f>-('Business Plan - Model Details'!N156)/10^6</f>
        <v>-17.482206999999999</v>
      </c>
      <c r="Q78" s="31">
        <f>-('Business Plan - Model Details'!O156)/10^6</f>
        <v>-21.592538000000001</v>
      </c>
      <c r="R78" s="31">
        <f>-('Business Plan - Model Details'!P156)/10^6</f>
        <v>-33.93573</v>
      </c>
      <c r="S78" s="31">
        <f>-('Business Plan - Model Details'!Q156)/10^6</f>
        <v>-24.213640999999999</v>
      </c>
      <c r="T78" s="31">
        <f>-('Business Plan - Model Details'!R156)/10^6</f>
        <v>-23.828344467787758</v>
      </c>
      <c r="U78" s="31">
        <f>-('Business Plan - Model Details'!S156)/10^6</f>
        <v>-25.273476660864294</v>
      </c>
      <c r="V78" s="31">
        <f>-('Business Plan - Model Details'!T156)/10^6</f>
        <v>-23.762299673390071</v>
      </c>
      <c r="W78" s="31">
        <f>-('Business Plan - Model Details'!U156)/10^6</f>
        <v>-24.288040267347377</v>
      </c>
      <c r="X78" s="31">
        <f>-('Business Plan - Model Details'!V156)/10^6</f>
        <v>-24.441272200533916</v>
      </c>
      <c r="Y78" s="31">
        <f>-('Business Plan - Model Details'!W156)/10^6</f>
        <v>-24.16387071375712</v>
      </c>
      <c r="Z78" s="31">
        <f>-('Business Plan - Model Details'!X156)/10^6</f>
        <v>-24.297727727212806</v>
      </c>
      <c r="AA78" s="31">
        <f>-('Business Plan - Model Details'!Y156)/10^6</f>
        <v>-24.300956880501282</v>
      </c>
      <c r="AB78" s="31">
        <f>-('Business Plan - Model Details'!Z156)/10^6</f>
        <v>-24.254185107157067</v>
      </c>
      <c r="AC78" s="31">
        <f>-('Business Plan - Model Details'!AA156)/10^6</f>
        <v>-24.284289904957053</v>
      </c>
      <c r="AD78" s="31">
        <f>-('Business Plan - Model Details'!AB156)/10^6</f>
        <v>-24.279810630871804</v>
      </c>
      <c r="AE78" s="31">
        <f>-('Business Plan - Model Details'!AC156)/10^6</f>
        <v>-24.272761880995311</v>
      </c>
      <c r="AF78" s="31">
        <f>-('Business Plan - Model Details'!AD156)/10^6</f>
        <v>-24.278954138941383</v>
      </c>
      <c r="AG78" s="31">
        <f>-('Business Plan - Model Details'!AE156)/10^6</f>
        <v>-24.277175550269504</v>
      </c>
      <c r="AH78" s="31">
        <f>-('Business Plan - Model Details'!AF156)/10^6</f>
        <v>-24.276297190068732</v>
      </c>
      <c r="AI78" s="31">
        <f>-('Business Plan - Model Details'!AG156)/10^6</f>
        <v>-24.27747562642654</v>
      </c>
    </row>
    <row r="79" spans="1:35" ht="14.25" hidden="1" customHeight="1" outlineLevel="1" x14ac:dyDescent="0.35">
      <c r="A79" s="21"/>
      <c r="B79" s="21"/>
      <c r="C79" s="33"/>
      <c r="D79" s="33" t="s">
        <v>60</v>
      </c>
      <c r="E79" s="21"/>
      <c r="F79" s="21"/>
      <c r="G79" s="28"/>
      <c r="H79" s="22" t="s">
        <v>19</v>
      </c>
      <c r="I79" s="34">
        <f t="shared" si="24"/>
        <v>0</v>
      </c>
      <c r="J79" s="31"/>
      <c r="K79" s="31">
        <f t="shared" si="25"/>
        <v>-1630.9050423750004</v>
      </c>
      <c r="L79" s="31">
        <f>-('Business Plan - Model Details'!J158)/10^6</f>
        <v>-144.38893872</v>
      </c>
      <c r="M79" s="31">
        <f>-('Business Plan - Model Details'!K158)/10^6</f>
        <v>-77.73604306</v>
      </c>
      <c r="N79" s="31">
        <f>-('Business Plan - Model Details'!L158)/10^6</f>
        <v>-156.87542759999999</v>
      </c>
      <c r="O79" s="31">
        <f>-('Business Plan - Model Details'!M158)/10^6</f>
        <v>-254.43777631</v>
      </c>
      <c r="P79" s="31">
        <f>-('Business Plan - Model Details'!N158)/10^6</f>
        <v>-122.61569279999999</v>
      </c>
      <c r="Q79" s="31">
        <f>-('Business Plan - Model Details'!O158)/10^6</f>
        <v>-111.86395791</v>
      </c>
      <c r="R79" s="31">
        <f>-('Business Plan - Model Details'!P158)/10^6</f>
        <v>-115.69684545</v>
      </c>
      <c r="S79" s="31">
        <f>-('Business Plan - Model Details'!Q158)/10^6</f>
        <v>-103.6553464</v>
      </c>
      <c r="T79" s="31">
        <f>-('Business Plan - Model Details'!R158)/10^6</f>
        <v>-135.90875353125</v>
      </c>
      <c r="U79" s="31">
        <f>-('Business Plan - Model Details'!S158)/10^6</f>
        <v>-135.90875353125</v>
      </c>
      <c r="V79" s="31">
        <f>-('Business Plan - Model Details'!T158)/10^6</f>
        <v>-135.90875353125</v>
      </c>
      <c r="W79" s="31">
        <f>-('Business Plan - Model Details'!U158)/10^6</f>
        <v>-135.90875353125</v>
      </c>
      <c r="X79" s="31">
        <f>-('Business Plan - Model Details'!V158)/10^6</f>
        <v>-135.90875353125</v>
      </c>
      <c r="Y79" s="31">
        <f>-('Business Plan - Model Details'!W158)/10^6</f>
        <v>-135.90875353125</v>
      </c>
      <c r="Z79" s="31">
        <f>-('Business Plan - Model Details'!X158)/10^6</f>
        <v>-135.90875353125</v>
      </c>
      <c r="AA79" s="31">
        <f>-('Business Plan - Model Details'!Y158)/10^6</f>
        <v>-135.90875353125</v>
      </c>
      <c r="AB79" s="31">
        <f>-('Business Plan - Model Details'!Z158)/10^6</f>
        <v>-135.90875353125</v>
      </c>
      <c r="AC79" s="31">
        <f>-('Business Plan - Model Details'!AA158)/10^6</f>
        <v>-135.90875353125</v>
      </c>
      <c r="AD79" s="31">
        <f>-('Business Plan - Model Details'!AB158)/10^6</f>
        <v>-135.90875353125</v>
      </c>
      <c r="AE79" s="31">
        <f>-('Business Plan - Model Details'!AC158)/10^6</f>
        <v>-135.90875353125</v>
      </c>
      <c r="AF79" s="31">
        <f>-('Business Plan - Model Details'!AD158)/10^6</f>
        <v>-135.90875353125</v>
      </c>
      <c r="AG79" s="31">
        <f>-('Business Plan - Model Details'!AE158)/10^6</f>
        <v>-135.90875353125</v>
      </c>
      <c r="AH79" s="31">
        <f>-('Business Plan - Model Details'!AF158)/10^6</f>
        <v>-135.90875353125</v>
      </c>
      <c r="AI79" s="31">
        <f>-('Business Plan - Model Details'!AG158)/10^6</f>
        <v>-135.90875353125</v>
      </c>
    </row>
    <row r="80" spans="1:35" ht="14.25" hidden="1" customHeight="1" outlineLevel="1" x14ac:dyDescent="0.35">
      <c r="A80" s="21"/>
      <c r="B80" s="21"/>
      <c r="C80" s="33"/>
      <c r="D80" s="33" t="s">
        <v>61</v>
      </c>
      <c r="E80" s="21"/>
      <c r="F80" s="21"/>
      <c r="G80" s="28"/>
      <c r="H80" s="22" t="s">
        <v>19</v>
      </c>
      <c r="I80" s="34">
        <f t="shared" si="24"/>
        <v>0</v>
      </c>
      <c r="J80" s="31"/>
      <c r="K80" s="31">
        <f t="shared" si="25"/>
        <v>-765.63690300000007</v>
      </c>
      <c r="L80" s="31">
        <f>-('Business Plan - Model Details'!J159)/10^6</f>
        <v>-50.198349999999998</v>
      </c>
      <c r="M80" s="31">
        <f>-('Business Plan - Model Details'!K159)/10^6</f>
        <v>-186.48070000000001</v>
      </c>
      <c r="N80" s="31">
        <f>-('Business Plan - Model Details'!L159)/10^6</f>
        <v>-133.94954999999999</v>
      </c>
      <c r="O80" s="31">
        <f>-('Business Plan - Model Details'!M159)/10^6</f>
        <v>-73.954999999999998</v>
      </c>
      <c r="P80" s="31">
        <f>-('Business Plan - Model Details'!N159)/10^6</f>
        <v>-6.5374999999999996</v>
      </c>
      <c r="Q80" s="31">
        <f>-('Business Plan - Model Details'!O159)/10^6</f>
        <v>-0.61199999999999999</v>
      </c>
      <c r="R80" s="31">
        <f>-('Business Plan - Model Details'!P159)/10^6</f>
        <v>-17.100000000000001</v>
      </c>
      <c r="S80" s="31">
        <f>-('Business Plan - Model Details'!Q159)/10^6</f>
        <v>-41.591501999999998</v>
      </c>
      <c r="T80" s="31">
        <f>-('Business Plan - Model Details'!R159)/10^6</f>
        <v>-63.803075249999999</v>
      </c>
      <c r="U80" s="31">
        <f>-('Business Plan - Model Details'!S159)/10^6</f>
        <v>-63.803075249999999</v>
      </c>
      <c r="V80" s="31">
        <f>-('Business Plan - Model Details'!T159)/10^6</f>
        <v>-63.803075249999999</v>
      </c>
      <c r="W80" s="31">
        <f>-('Business Plan - Model Details'!U159)/10^6</f>
        <v>-63.803075249999999</v>
      </c>
      <c r="X80" s="31">
        <f>-('Business Plan - Model Details'!V159)/10^6</f>
        <v>-63.803075249999999</v>
      </c>
      <c r="Y80" s="31">
        <f>-('Business Plan - Model Details'!W159)/10^6</f>
        <v>-63.803075249999999</v>
      </c>
      <c r="Z80" s="31">
        <f>-('Business Plan - Model Details'!X159)/10^6</f>
        <v>-63.803075249999999</v>
      </c>
      <c r="AA80" s="31">
        <f>-('Business Plan - Model Details'!Y159)/10^6</f>
        <v>-63.803075249999999</v>
      </c>
      <c r="AB80" s="31">
        <f>-('Business Plan - Model Details'!Z159)/10^6</f>
        <v>-63.803075249999999</v>
      </c>
      <c r="AC80" s="31">
        <f>-('Business Plan - Model Details'!AA159)/10^6</f>
        <v>-63.803075249999999</v>
      </c>
      <c r="AD80" s="31">
        <f>-('Business Plan - Model Details'!AB159)/10^6</f>
        <v>-63.803075249999999</v>
      </c>
      <c r="AE80" s="31">
        <f>-('Business Plan - Model Details'!AC159)/10^6</f>
        <v>-63.803075249999999</v>
      </c>
      <c r="AF80" s="31">
        <f>-('Business Plan - Model Details'!AD159)/10^6</f>
        <v>-63.803075249999999</v>
      </c>
      <c r="AG80" s="31">
        <f>-('Business Plan - Model Details'!AE159)/10^6</f>
        <v>-63.803075249999999</v>
      </c>
      <c r="AH80" s="31">
        <f>-('Business Plan - Model Details'!AF159)/10^6</f>
        <v>-63.803075249999999</v>
      </c>
      <c r="AI80" s="31">
        <f>-('Business Plan - Model Details'!AG159)/10^6</f>
        <v>-63.803075249999999</v>
      </c>
    </row>
    <row r="81" spans="1:36" ht="14.25" hidden="1" customHeight="1" outlineLevel="1" x14ac:dyDescent="0.35">
      <c r="A81" s="21"/>
      <c r="B81" s="21"/>
      <c r="C81" s="33"/>
      <c r="D81" s="33" t="s">
        <v>62</v>
      </c>
      <c r="E81" s="21"/>
      <c r="F81" s="21"/>
      <c r="G81" s="28"/>
      <c r="H81" s="22" t="s">
        <v>19</v>
      </c>
      <c r="I81" s="34">
        <f t="shared" si="24"/>
        <v>0</v>
      </c>
      <c r="J81" s="31"/>
      <c r="K81" s="31">
        <f t="shared" si="25"/>
        <v>-89.387797499999991</v>
      </c>
      <c r="L81" s="31">
        <f>-('Business Plan - Model Details'!J160)/10^6</f>
        <v>-3.7</v>
      </c>
      <c r="M81" s="31">
        <f>-('Business Plan - Model Details'!K160)/10^6</f>
        <v>-1.3446309999999999</v>
      </c>
      <c r="N81" s="31">
        <f>-('Business Plan - Model Details'!L160)/10^6</f>
        <v>-2.0750000000000002</v>
      </c>
      <c r="O81" s="31">
        <f>-('Business Plan - Model Details'!M160)/10^6</f>
        <v>-17.202999999999999</v>
      </c>
      <c r="P81" s="31">
        <f>-('Business Plan - Model Details'!N160)/10^6</f>
        <v>-4.8499999999999996</v>
      </c>
      <c r="Q81" s="31">
        <f>-('Business Plan - Model Details'!O160)/10^6</f>
        <v>-8.118919</v>
      </c>
      <c r="R81" s="31">
        <f>-('Business Plan - Model Details'!P160)/10^6</f>
        <v>-17.597180000000002</v>
      </c>
      <c r="S81" s="31">
        <f>-('Business Plan - Model Details'!Q160)/10^6</f>
        <v>-4.7031349999999996</v>
      </c>
      <c r="T81" s="31">
        <f>-('Business Plan - Model Details'!R160)/10^6</f>
        <v>-7.4489831249999998</v>
      </c>
      <c r="U81" s="31">
        <f>-('Business Plan - Model Details'!S160)/10^6</f>
        <v>-7.4489831249999998</v>
      </c>
      <c r="V81" s="31">
        <f>-('Business Plan - Model Details'!T160)/10^6</f>
        <v>-7.4489831249999998</v>
      </c>
      <c r="W81" s="31">
        <f>-('Business Plan - Model Details'!U160)/10^6</f>
        <v>-7.4489831249999998</v>
      </c>
      <c r="X81" s="31">
        <f>-('Business Plan - Model Details'!V160)/10^6</f>
        <v>-7.4489831249999998</v>
      </c>
      <c r="Y81" s="31">
        <f>-('Business Plan - Model Details'!W160)/10^6</f>
        <v>-7.4489831249999998</v>
      </c>
      <c r="Z81" s="31">
        <f>-('Business Plan - Model Details'!X160)/10^6</f>
        <v>-7.4489831249999998</v>
      </c>
      <c r="AA81" s="31">
        <f>-('Business Plan - Model Details'!Y160)/10^6</f>
        <v>-7.4489831249999998</v>
      </c>
      <c r="AB81" s="31">
        <f>-('Business Plan - Model Details'!Z160)/10^6</f>
        <v>-7.4489831249999998</v>
      </c>
      <c r="AC81" s="31">
        <f>-('Business Plan - Model Details'!AA160)/10^6</f>
        <v>-7.4489831249999998</v>
      </c>
      <c r="AD81" s="31">
        <f>-('Business Plan - Model Details'!AB160)/10^6</f>
        <v>-7.4489831249999998</v>
      </c>
      <c r="AE81" s="31">
        <f>-('Business Plan - Model Details'!AC160)/10^6</f>
        <v>-7.4489831249999998</v>
      </c>
      <c r="AF81" s="31">
        <f>-('Business Plan - Model Details'!AD160)/10^6</f>
        <v>-7.4489831249999998</v>
      </c>
      <c r="AG81" s="31">
        <f>-('Business Plan - Model Details'!AE160)/10^6</f>
        <v>-7.4489831249999998</v>
      </c>
      <c r="AH81" s="31">
        <f>-('Business Plan - Model Details'!AF160)/10^6</f>
        <v>-7.4489831249999998</v>
      </c>
      <c r="AI81" s="31">
        <f>-('Business Plan - Model Details'!AG160)/10^6</f>
        <v>-7.4489831249999998</v>
      </c>
    </row>
    <row r="82" spans="1:36" ht="14.25" hidden="1" customHeight="1" outlineLevel="1" x14ac:dyDescent="0.35">
      <c r="A82" s="21"/>
      <c r="B82" s="21"/>
      <c r="C82" s="33"/>
      <c r="D82" s="33" t="s">
        <v>63</v>
      </c>
      <c r="E82" s="21"/>
      <c r="F82" s="21"/>
      <c r="G82" s="28"/>
      <c r="H82" s="22" t="s">
        <v>19</v>
      </c>
      <c r="I82" s="42" t="s">
        <v>64</v>
      </c>
      <c r="J82" s="31"/>
      <c r="K82" s="31">
        <f t="shared" si="25"/>
        <v>-2515.7022492100004</v>
      </c>
      <c r="L82" s="31">
        <f>-('Business Plan - Model Details'!J162+'Business Plan - Model Details'!J163+'Business Plan - Model Details'!J167+'Business Plan - Model Details'!J168+'Business Plan - Model Details'!J164+'Business Plan - Model Details'!J165+'Business Plan - Model Details'!J166)/10^6</f>
        <v>-211.60800474000001</v>
      </c>
      <c r="M82" s="31">
        <f>-('Business Plan - Model Details'!K162+'Business Plan - Model Details'!K163+'Business Plan - Model Details'!K167+'Business Plan - Model Details'!K168+'Business Plan - Model Details'!K164+'Business Plan - Model Details'!K165+'Business Plan - Model Details'!K166)/10^6</f>
        <v>-215.80755359000003</v>
      </c>
      <c r="N82" s="31">
        <f>-('Business Plan - Model Details'!L162+'Business Plan - Model Details'!L163+'Business Plan - Model Details'!L167+'Business Plan - Model Details'!L168+'Business Plan - Model Details'!L164+'Business Plan - Model Details'!L165+'Business Plan - Model Details'!L166)/10^6</f>
        <v>-211.30479834000005</v>
      </c>
      <c r="O82" s="31">
        <f>-('Business Plan - Model Details'!M162+'Business Plan - Model Details'!M163+'Business Plan - Model Details'!M167+'Business Plan - Model Details'!M168+'Business Plan - Model Details'!M164+'Business Plan - Model Details'!M165+'Business Plan - Model Details'!M166)/10^6</f>
        <v>-208.42034002</v>
      </c>
      <c r="P82" s="31">
        <f>-('Business Plan - Model Details'!N162+'Business Plan - Model Details'!N163+'Business Plan - Model Details'!N167+'Business Plan - Model Details'!N168+'Business Plan - Model Details'!N164+'Business Plan - Model Details'!N165+'Business Plan - Model Details'!N166)/10^6</f>
        <v>-209.42117335999998</v>
      </c>
      <c r="Q82" s="31">
        <f>-('Business Plan - Model Details'!O162+'Business Plan - Model Details'!O163+'Business Plan - Model Details'!O167+'Business Plan - Model Details'!O168+'Business Plan - Model Details'!O164+'Business Plan - Model Details'!O165+'Business Plan - Model Details'!O166)/10^6</f>
        <v>-209.45093377000001</v>
      </c>
      <c r="R82" s="31">
        <f>-('Business Plan - Model Details'!P162+'Business Plan - Model Details'!P163+'Business Plan - Model Details'!P167+'Business Plan - Model Details'!P168+'Business Plan - Model Details'!P164+'Business Plan - Model Details'!P165+'Business Plan - Model Details'!P166)/10^6</f>
        <v>-209.41294783000001</v>
      </c>
      <c r="S82" s="31">
        <f>-('Business Plan - Model Details'!Q162+'Business Plan - Model Details'!Q163+'Business Plan - Model Details'!Q167+'Business Plan - Model Details'!Q168+'Business Plan - Model Details'!Q164+'Business Plan - Model Details'!Q165+'Business Plan - Model Details'!Q166)/10^6</f>
        <v>-209.86909216999999</v>
      </c>
      <c r="T82" s="31">
        <f>-('Business Plan - Model Details'!R162+'Business Plan - Model Details'!R163+'Business Plan - Model Details'!R167+'Business Plan - Model Details'!R168+'Business Plan - Model Details'!R164+'Business Plan - Model Details'!R165+'Business Plan - Model Details'!R166)/10^6</f>
        <v>-209.62117662791678</v>
      </c>
      <c r="U82" s="31">
        <f>-('Business Plan - Model Details'!S162+'Business Plan - Model Details'!S163+'Business Plan - Model Details'!S167+'Business Plan - Model Details'!S168+'Business Plan - Model Details'!S164+'Business Plan - Model Details'!S165+'Business Plan - Model Details'!S166)/10^6</f>
        <v>-209.48544746458339</v>
      </c>
      <c r="V82" s="31">
        <f>-('Business Plan - Model Details'!T162+'Business Plan - Model Details'!T163+'Business Plan - Model Details'!T167+'Business Plan - Model Details'!T168+'Business Plan - Model Details'!T164+'Business Plan - Model Details'!T165+'Business Plan - Model Details'!T166)/10^6</f>
        <v>-206.89778648208346</v>
      </c>
      <c r="W82" s="31">
        <f>-('Business Plan - Model Details'!U162+'Business Plan - Model Details'!U163+'Business Plan - Model Details'!U167+'Business Plan - Model Details'!U168+'Business Plan - Model Details'!U164+'Business Plan - Model Details'!U165+'Business Plan - Model Details'!U166)/10^6</f>
        <v>-204.40299481541672</v>
      </c>
      <c r="X82" s="31">
        <f>-('Business Plan - Model Details'!V162+'Business Plan - Model Details'!V163+'Business Plan - Model Details'!V167+'Business Plan - Model Details'!V168+'Business Plan - Model Details'!V164+'Business Plan - Model Details'!V165+'Business Plan - Model Details'!V166)/10^6</f>
        <v>-203.36132814875006</v>
      </c>
      <c r="Y82" s="31">
        <f>-('Business Plan - Model Details'!W162+'Business Plan - Model Details'!W163+'Business Plan - Model Details'!W167+'Business Plan - Model Details'!W168+'Business Plan - Model Details'!W164+'Business Plan - Model Details'!W165+'Business Plan - Model Details'!W166)/10^6</f>
        <v>-202.98981773208342</v>
      </c>
      <c r="Z82" s="31">
        <f>-('Business Plan - Model Details'!X162+'Business Plan - Model Details'!X163+'Business Plan - Model Details'!X167+'Business Plan - Model Details'!X168+'Business Plan - Model Details'!X164+'Business Plan - Model Details'!X165+'Business Plan - Model Details'!X166)/10^6</f>
        <v>-202.54327116958339</v>
      </c>
      <c r="AA82" s="31">
        <f>-('Business Plan - Model Details'!Y162+'Business Plan - Model Details'!Y163+'Business Plan - Model Details'!Y167+'Business Plan - Model Details'!Y168+'Business Plan - Model Details'!Y164+'Business Plan - Model Details'!Y165+'Business Plan - Model Details'!Y166)/10^6</f>
        <v>-194.90525033625008</v>
      </c>
      <c r="AB82" s="31">
        <f>-('Business Plan - Model Details'!Z162+'Business Plan - Model Details'!Z163+'Business Plan - Model Details'!Z167+'Business Plan - Model Details'!Z168+'Business Plan - Model Details'!Z164+'Business Plan - Model Details'!Z165+'Business Plan - Model Details'!Z166)/10^6</f>
        <v>-194.32391016958337</v>
      </c>
      <c r="AC82" s="31">
        <f>-('Business Plan - Model Details'!AA162+'Business Plan - Model Details'!AA163+'Business Plan - Model Details'!AA167+'Business Plan - Model Details'!AA168+'Business Plan - Model Details'!AA164+'Business Plan - Model Details'!AA165+'Business Plan - Model Details'!AA166)/10^6</f>
        <v>-193.60428516958345</v>
      </c>
      <c r="AD82" s="31">
        <f>-('Business Plan - Model Details'!AB162+'Business Plan - Model Details'!AB163+'Business Plan - Model Details'!AB167+'Business Plan - Model Details'!AB168+'Business Plan - Model Details'!AB164+'Business Plan - Model Details'!AB165+'Business Plan - Model Details'!AB166)/10^6</f>
        <v>-193.42720183625005</v>
      </c>
      <c r="AE82" s="31">
        <f>-('Business Plan - Model Details'!AC162+'Business Plan - Model Details'!AC163+'Business Plan - Model Details'!AC167+'Business Plan - Model Details'!AC168+'Business Plan - Model Details'!AC164+'Business Plan - Model Details'!AC165+'Business Plan - Model Details'!AC166)/10^6</f>
        <v>-192.40636850291673</v>
      </c>
      <c r="AF82" s="31">
        <f>-('Business Plan - Model Details'!AD162+'Business Plan - Model Details'!AD163+'Business Plan - Model Details'!AD167+'Business Plan - Model Details'!AD168+'Business Plan - Model Details'!AD164+'Business Plan - Model Details'!AD165+'Business Plan - Model Details'!AD166)/10^6</f>
        <v>-192.27095183625008</v>
      </c>
      <c r="AG82" s="31">
        <f>-('Business Plan - Model Details'!AE162+'Business Plan - Model Details'!AE163+'Business Plan - Model Details'!AE167+'Business Plan - Model Details'!AE168+'Business Plan - Model Details'!AE164+'Business Plan - Model Details'!AE165+'Business Plan - Model Details'!AE166)/10^6</f>
        <v>-191.60428516958339</v>
      </c>
      <c r="AH82" s="31">
        <f>-('Business Plan - Model Details'!AF162+'Business Plan - Model Details'!AF163+'Business Plan - Model Details'!AF167+'Business Plan - Model Details'!AF168+'Business Plan - Model Details'!AF164+'Business Plan - Model Details'!AF165+'Business Plan - Model Details'!AF166)/10^6</f>
        <v>-191.50428516958337</v>
      </c>
      <c r="AI82" s="31">
        <f>-('Business Plan - Model Details'!AG162+'Business Plan - Model Details'!AG163+'Business Plan - Model Details'!AG167+'Business Plan - Model Details'!AG168+'Business Plan - Model Details'!AG164+'Business Plan - Model Details'!AG165+'Business Plan - Model Details'!AG166)/10^6</f>
        <v>-190.96782683625003</v>
      </c>
    </row>
    <row r="83" spans="1:36" ht="14.25" hidden="1" customHeight="1" outlineLevel="1" x14ac:dyDescent="0.35">
      <c r="A83" s="21"/>
      <c r="B83" s="21"/>
      <c r="C83" s="33" t="s">
        <v>65</v>
      </c>
      <c r="D83" s="33" t="s">
        <v>66</v>
      </c>
      <c r="E83" s="21"/>
      <c r="F83" s="21" t="s">
        <v>67</v>
      </c>
      <c r="G83" s="28"/>
      <c r="H83" s="22" t="s">
        <v>19</v>
      </c>
      <c r="I83" s="34">
        <f>IFERROR((K83-J83)/J83,0)</f>
        <v>0</v>
      </c>
      <c r="J83" s="31"/>
      <c r="K83" s="31">
        <f t="shared" si="25"/>
        <v>1076.3805147528597</v>
      </c>
      <c r="L83" s="31">
        <f>-('Business Plan - Model Details'!J252+'Business Plan - Model Details'!J253)/10^6</f>
        <v>237.93972393238127</v>
      </c>
      <c r="M83" s="31">
        <f>-('Business Plan - Model Details'!K252+'Business Plan - Model Details'!K253)/10^6</f>
        <v>-72.743233998834782</v>
      </c>
      <c r="N83" s="31">
        <f>-('Business Plan - Model Details'!L252+'Business Plan - Model Details'!L253)/10^6</f>
        <v>-9.1829293761341564</v>
      </c>
      <c r="O83" s="31">
        <f>-('Business Plan - Model Details'!M252+'Business Plan - Model Details'!M253)/10^6</f>
        <v>224.60147460483731</v>
      </c>
      <c r="P83" s="31">
        <f>-('Business Plan - Model Details'!N252+'Business Plan - Model Details'!N253)/10^6</f>
        <v>-22.532739615610392</v>
      </c>
      <c r="Q83" s="31">
        <f>-('Business Plan - Model Details'!O252+'Business Plan - Model Details'!O253)/10^6</f>
        <v>399.6421937836335</v>
      </c>
      <c r="R83" s="31">
        <f>-('Business Plan - Model Details'!P252+'Business Plan - Model Details'!P253)/10^6</f>
        <v>-48.255281364501236</v>
      </c>
      <c r="S83" s="31">
        <f>-('Business Plan - Model Details'!Q252+'Business Plan - Model Details'!Q253)/10^6</f>
        <v>366.91130678708828</v>
      </c>
      <c r="T83" s="31">
        <f>-('Business Plan - Model Details'!R252+'Business Plan - Model Details'!R253)/10^6</f>
        <v>0</v>
      </c>
      <c r="U83" s="31">
        <f>-('Business Plan - Model Details'!S252+'Business Plan - Model Details'!S253)/10^6</f>
        <v>0</v>
      </c>
      <c r="V83" s="31">
        <f>-('Business Plan - Model Details'!T252+'Business Plan - Model Details'!T253)/10^6</f>
        <v>0</v>
      </c>
      <c r="W83" s="31">
        <f>-('Business Plan - Model Details'!U252+'Business Plan - Model Details'!U253)/10^6</f>
        <v>0</v>
      </c>
      <c r="X83" s="31">
        <f>-('Business Plan - Model Details'!V252+'Business Plan - Model Details'!V253)/10^6</f>
        <v>0</v>
      </c>
      <c r="Y83" s="31">
        <f>-('Business Plan - Model Details'!W252+'Business Plan - Model Details'!W253)/10^6</f>
        <v>0</v>
      </c>
      <c r="Z83" s="31">
        <f>-('Business Plan - Model Details'!X252+'Business Plan - Model Details'!X253)/10^6</f>
        <v>0</v>
      </c>
      <c r="AA83" s="31">
        <f>-('Business Plan - Model Details'!Y252+'Business Plan - Model Details'!Y253)/10^6</f>
        <v>0</v>
      </c>
      <c r="AB83" s="31">
        <f>-('Business Plan - Model Details'!Z252+'Business Plan - Model Details'!Z253)/10^6</f>
        <v>0</v>
      </c>
      <c r="AC83" s="31">
        <f>-('Business Plan - Model Details'!AA252+'Business Plan - Model Details'!AA253)/10^6</f>
        <v>0</v>
      </c>
      <c r="AD83" s="31">
        <f>-('Business Plan - Model Details'!AB252+'Business Plan - Model Details'!AB253)/10^6</f>
        <v>0</v>
      </c>
      <c r="AE83" s="31">
        <f>-('Business Plan - Model Details'!AC252+'Business Plan - Model Details'!AC253)/10^6</f>
        <v>0</v>
      </c>
      <c r="AF83" s="31">
        <f>-('Business Plan - Model Details'!AD252+'Business Plan - Model Details'!AD253)/10^6</f>
        <v>0</v>
      </c>
      <c r="AG83" s="31">
        <f>-('Business Plan - Model Details'!AE252+'Business Plan - Model Details'!AE253)/10^6</f>
        <v>0</v>
      </c>
      <c r="AH83" s="31">
        <f>-('Business Plan - Model Details'!AF252+'Business Plan - Model Details'!AF253)/10^6</f>
        <v>0</v>
      </c>
      <c r="AI83" s="31">
        <f>-('Business Plan - Model Details'!AG252+'Business Plan - Model Details'!AG253)/10^6</f>
        <v>0</v>
      </c>
    </row>
    <row r="84" spans="1:36" ht="14.25" hidden="1" customHeight="1" outlineLevel="1" x14ac:dyDescent="0.35">
      <c r="A84" s="21"/>
      <c r="B84" s="21"/>
      <c r="C84" s="33"/>
      <c r="D84" s="33" t="s">
        <v>68</v>
      </c>
      <c r="E84" s="21"/>
      <c r="F84" s="21"/>
      <c r="G84" s="28"/>
      <c r="H84" s="22" t="s">
        <v>19</v>
      </c>
      <c r="I84" s="34">
        <f>IFERROR((K84-J84)/J84,0)</f>
        <v>0</v>
      </c>
      <c r="J84" s="31"/>
      <c r="K84" s="31">
        <f t="shared" si="25"/>
        <v>-63.199946277972145</v>
      </c>
      <c r="L84" s="31">
        <f>-('Business Plan - Model Details'!J171)/10^6</f>
        <v>-1.8652</v>
      </c>
      <c r="M84" s="31">
        <f>-('Business Plan - Model Details'!K171)/10^6</f>
        <v>-10.639288000000001</v>
      </c>
      <c r="N84" s="31">
        <f>-('Business Plan - Model Details'!L171)/10^6</f>
        <v>-0.50480000000000003</v>
      </c>
      <c r="O84" s="31">
        <f>-('Business Plan - Model Details'!M171)/10^6</f>
        <v>-1.221625</v>
      </c>
      <c r="P84" s="31">
        <f>-('Business Plan - Model Details'!N171)/10^6</f>
        <v>-0.55849899999999997</v>
      </c>
      <c r="Q84" s="31">
        <f>-('Business Plan - Model Details'!O171)/10^6</f>
        <v>-3.9017140000000001</v>
      </c>
      <c r="R84" s="31">
        <f>-('Business Plan - Model Details'!P171)/10^6</f>
        <v>-11.113022000000001</v>
      </c>
      <c r="S84" s="31">
        <f>-('Business Plan - Model Details'!Q171)/10^6</f>
        <v>-12.50535535</v>
      </c>
      <c r="T84" s="31">
        <f>-('Business Plan - Model Details'!R171)/10^6</f>
        <v>-5.2203879181814505</v>
      </c>
      <c r="U84" s="31">
        <f>-('Business Plan - Model Details'!S171)/10^6</f>
        <v>-5.2290334445010824</v>
      </c>
      <c r="V84" s="31">
        <f>-('Business Plan - Model Details'!T171)/10^6</f>
        <v>-5.2184139425886125</v>
      </c>
      <c r="W84" s="31">
        <f>-('Business Plan - Model Details'!U171)/10^6</f>
        <v>-5.2226076227009983</v>
      </c>
      <c r="X84" s="31">
        <f>-('Business Plan - Model Details'!V171)/10^6</f>
        <v>-5.2233479515372885</v>
      </c>
      <c r="Y84" s="31">
        <f>-('Business Plan - Model Details'!W171)/10^6</f>
        <v>-5.2214555846129569</v>
      </c>
      <c r="Z84" s="31">
        <f>-('Business Plan - Model Details'!X171)/10^6</f>
        <v>-5.2224702680363757</v>
      </c>
      <c r="AA84" s="31">
        <f>-('Business Plan - Model Details'!Y171)/10^6</f>
        <v>-5.222424484783498</v>
      </c>
      <c r="AB84" s="31">
        <f>-('Business Plan - Model Details'!Z171)/10^6</f>
        <v>-5.2221167364375747</v>
      </c>
      <c r="AC84" s="31">
        <f>-('Business Plan - Model Details'!AA171)/10^6</f>
        <v>-5.2223371582792462</v>
      </c>
      <c r="AD84" s="31">
        <f>-('Business Plan - Model Details'!AB171)/10^6</f>
        <v>-5.2222927898960574</v>
      </c>
      <c r="AE84" s="31">
        <f>-('Business Plan - Model Details'!AC171)/10^6</f>
        <v>-5.2222488931036333</v>
      </c>
      <c r="AF84" s="31">
        <f>-('Business Plan - Model Details'!AD171)/10^6</f>
        <v>-5.2222929468397199</v>
      </c>
      <c r="AG84" s="31">
        <f>-('Business Plan - Model Details'!AE171)/10^6</f>
        <v>-5.222278209862651</v>
      </c>
      <c r="AH84" s="31">
        <f>-('Business Plan - Model Details'!AF171)/10^6</f>
        <v>-5.2222733498699423</v>
      </c>
      <c r="AI84" s="31">
        <f>-('Business Plan - Model Details'!AG171)/10^6</f>
        <v>-5.2222815021772302</v>
      </c>
    </row>
    <row r="85" spans="1:36" ht="14.25" hidden="1" customHeight="1" outlineLevel="1" x14ac:dyDescent="0.35">
      <c r="A85" s="21"/>
      <c r="B85" s="21"/>
      <c r="C85" s="33" t="s">
        <v>69</v>
      </c>
      <c r="D85" s="33"/>
      <c r="E85" s="21"/>
      <c r="F85" s="21" t="s">
        <v>70</v>
      </c>
      <c r="G85" s="28"/>
      <c r="H85" s="22" t="s">
        <v>19</v>
      </c>
      <c r="I85" s="34"/>
      <c r="J85" s="31"/>
      <c r="K85" s="31"/>
      <c r="L85" s="31">
        <f>-('Business Plan - Model Details'!J555+'Business Plan - Model Details'!J711+'Business Plan - Model Details'!J875+'Business Plan - Model Details'!J558+'Business Plan - Model Details'!J714+'Business Plan - Model Details'!J878+'Business Plan - Model Details'!J950+'Business Plan - Model Details'!J559+'Business Plan - Model Details'!J715+'Business Plan - Model Details'!J879+'Business Plan - Model Details'!J951+'Business Plan - Model Details'!J561+'Business Plan - Model Details'!J717+'Business Plan - Model Details'!J881+'Business Plan - Model Details'!J953+'Business Plan - Model Details'!J562+'Business Plan - Model Details'!J718+'Business Plan - Model Details'!J882+'Business Plan - Model Details'!J954+'Business Plan - Model Details'!J253)/10^6</f>
        <v>373.74629429104004</v>
      </c>
      <c r="M85" s="31">
        <f>-('Business Plan - Model Details'!K555+'Business Plan - Model Details'!K711+'Business Plan - Model Details'!K875+'Business Plan - Model Details'!K558+'Business Plan - Model Details'!K714+'Business Plan - Model Details'!K878+'Business Plan - Model Details'!K950+'Business Plan - Model Details'!K559+'Business Plan - Model Details'!K715+'Business Plan - Model Details'!K879+'Business Plan - Model Details'!K951+'Business Plan - Model Details'!K561+'Business Plan - Model Details'!K717+'Business Plan - Model Details'!K881+'Business Plan - Model Details'!K953+'Business Plan - Model Details'!K562+'Business Plan - Model Details'!K718+'Business Plan - Model Details'!K882+'Business Plan - Model Details'!K954+'Business Plan - Model Details'!K253)/10^6</f>
        <v>-177.90882008763808</v>
      </c>
      <c r="N85" s="31">
        <f>-('Business Plan - Model Details'!L555+'Business Plan - Model Details'!L711+'Business Plan - Model Details'!L875+'Business Plan - Model Details'!L558+'Business Plan - Model Details'!L714+'Business Plan - Model Details'!L878+'Business Plan - Model Details'!L950+'Business Plan - Model Details'!L559+'Business Plan - Model Details'!L715+'Business Plan - Model Details'!L879+'Business Plan - Model Details'!L951+'Business Plan - Model Details'!L561+'Business Plan - Model Details'!L717+'Business Plan - Model Details'!L881+'Business Plan - Model Details'!L953+'Business Plan - Model Details'!L562+'Business Plan - Model Details'!L718+'Business Plan - Model Details'!L882+'Business Plan - Model Details'!L954+'Business Plan - Model Details'!L253)/10^6</f>
        <v>-385.964176615371</v>
      </c>
      <c r="O85" s="31">
        <f>-('Business Plan - Model Details'!M555+'Business Plan - Model Details'!M711+'Business Plan - Model Details'!M875+'Business Plan - Model Details'!M558+'Business Plan - Model Details'!M714+'Business Plan - Model Details'!M878+'Business Plan - Model Details'!M950+'Business Plan - Model Details'!M559+'Business Plan - Model Details'!M715+'Business Plan - Model Details'!M879+'Business Plan - Model Details'!M951+'Business Plan - Model Details'!M561+'Business Plan - Model Details'!M717+'Business Plan - Model Details'!M881+'Business Plan - Model Details'!M953+'Business Plan - Model Details'!M562+'Business Plan - Model Details'!M718+'Business Plan - Model Details'!M882+'Business Plan - Model Details'!M954+'Business Plan - Model Details'!M253)/10^6</f>
        <v>199.412209635229</v>
      </c>
      <c r="P85" s="31">
        <f>-('Business Plan - Model Details'!N555+'Business Plan - Model Details'!N711+'Business Plan - Model Details'!N875+'Business Plan - Model Details'!N558+'Business Plan - Model Details'!N714+'Business Plan - Model Details'!N878+'Business Plan - Model Details'!N950+'Business Plan - Model Details'!N559+'Business Plan - Model Details'!N715+'Business Plan - Model Details'!N879+'Business Plan - Model Details'!N951+'Business Plan - Model Details'!N561+'Business Plan - Model Details'!N717+'Business Plan - Model Details'!N881+'Business Plan - Model Details'!N953+'Business Plan - Model Details'!N562+'Business Plan - Model Details'!N718+'Business Plan - Model Details'!N882+'Business Plan - Model Details'!N954+'Business Plan - Model Details'!N253)/10^6</f>
        <v>23.684380536328046</v>
      </c>
      <c r="Q85" s="31">
        <f>-('Business Plan - Model Details'!O555+'Business Plan - Model Details'!O711+'Business Plan - Model Details'!O875+'Business Plan - Model Details'!O558+'Business Plan - Model Details'!O714+'Business Plan - Model Details'!O878+'Business Plan - Model Details'!O950+'Business Plan - Model Details'!O559+'Business Plan - Model Details'!O715+'Business Plan - Model Details'!O879+'Business Plan - Model Details'!O951+'Business Plan - Model Details'!O561+'Business Plan - Model Details'!O717+'Business Plan - Model Details'!O881+'Business Plan - Model Details'!O953+'Business Plan - Model Details'!O562+'Business Plan - Model Details'!O718+'Business Plan - Model Details'!O882+'Business Plan - Model Details'!O954+'Business Plan - Model Details'!O253)/10^6</f>
        <v>-9.2197551118790511</v>
      </c>
      <c r="R85" s="31">
        <f>-('Business Plan - Model Details'!P555+'Business Plan - Model Details'!P711+'Business Plan - Model Details'!P875+'Business Plan - Model Details'!P558+'Business Plan - Model Details'!P714+'Business Plan - Model Details'!P878+'Business Plan - Model Details'!P950+'Business Plan - Model Details'!P559+'Business Plan - Model Details'!P715+'Business Plan - Model Details'!P879+'Business Plan - Model Details'!P951+'Business Plan - Model Details'!P561+'Business Plan - Model Details'!P717+'Business Plan - Model Details'!P881+'Business Plan - Model Details'!P953+'Business Plan - Model Details'!P562+'Business Plan - Model Details'!P718+'Business Plan - Model Details'!P882+'Business Plan - Model Details'!P954+'Business Plan - Model Details'!P253)/10^6</f>
        <v>-278.68992599189403</v>
      </c>
      <c r="S85" s="31">
        <f>-('Business Plan - Model Details'!Q555+'Business Plan - Model Details'!Q711+'Business Plan - Model Details'!Q875+'Business Plan - Model Details'!Q558+'Business Plan - Model Details'!Q714+'Business Plan - Model Details'!Q878+'Business Plan - Model Details'!Q950+'Business Plan - Model Details'!Q559+'Business Plan - Model Details'!Q715+'Business Plan - Model Details'!Q879+'Business Plan - Model Details'!Q951+'Business Plan - Model Details'!Q561+'Business Plan - Model Details'!Q717+'Business Plan - Model Details'!Q881+'Business Plan - Model Details'!Q953+'Business Plan - Model Details'!Q562+'Business Plan - Model Details'!Q718+'Business Plan - Model Details'!Q882+'Business Plan - Model Details'!Q954+'Business Plan - Model Details'!Q253)/10^6</f>
        <v>478.030925648363</v>
      </c>
      <c r="T85" s="31">
        <f>-('Business Plan - Model Details'!R555+'Business Plan - Model Details'!R711+'Business Plan - Model Details'!R875+'Business Plan - Model Details'!R558+'Business Plan - Model Details'!R714+'Business Plan - Model Details'!R878+'Business Plan - Model Details'!R950+'Business Plan - Model Details'!R559+'Business Plan - Model Details'!R715+'Business Plan - Model Details'!R879+'Business Plan - Model Details'!R951+'Business Plan - Model Details'!R561+'Business Plan - Model Details'!R717+'Business Plan - Model Details'!R881+'Business Plan - Model Details'!R953+'Business Plan - Model Details'!R562+'Business Plan - Model Details'!R718+'Business Plan - Model Details'!R882+'Business Plan - Model Details'!R954+'Business Plan - Model Details'!R253)/10^6</f>
        <v>145.52867583176905</v>
      </c>
      <c r="U85" s="31">
        <f>-('Business Plan - Model Details'!S555+'Business Plan - Model Details'!S711+'Business Plan - Model Details'!S875+'Business Plan - Model Details'!S558+'Business Plan - Model Details'!S714+'Business Plan - Model Details'!S878+'Business Plan - Model Details'!S950+'Business Plan - Model Details'!S559+'Business Plan - Model Details'!S715+'Business Plan - Model Details'!S879+'Business Plan - Model Details'!S951+'Business Plan - Model Details'!S561+'Business Plan - Model Details'!S717+'Business Plan - Model Details'!S881+'Business Plan - Model Details'!S953+'Business Plan - Model Details'!S562+'Business Plan - Model Details'!S718+'Business Plan - Model Details'!S882+'Business Plan - Model Details'!S954+'Business Plan - Model Details'!S253)/10^6</f>
        <v>115.21719667814291</v>
      </c>
      <c r="V85" s="31">
        <f>-('Business Plan - Model Details'!T555+'Business Plan - Model Details'!T711+'Business Plan - Model Details'!T875+'Business Plan - Model Details'!T558+'Business Plan - Model Details'!T714+'Business Plan - Model Details'!T878+'Business Plan - Model Details'!T950+'Business Plan - Model Details'!T559+'Business Plan - Model Details'!T715+'Business Plan - Model Details'!T879+'Business Plan - Model Details'!T951+'Business Plan - Model Details'!T561+'Business Plan - Model Details'!T717+'Business Plan - Model Details'!T881+'Business Plan - Model Details'!T953+'Business Plan - Model Details'!T562+'Business Plan - Model Details'!T718+'Business Plan - Model Details'!T882+'Business Plan - Model Details'!T954+'Business Plan - Model Details'!T253)/10^6</f>
        <v>115.03477709049506</v>
      </c>
      <c r="W85" s="31">
        <f>-('Business Plan - Model Details'!U555+'Business Plan - Model Details'!U711+'Business Plan - Model Details'!U875+'Business Plan - Model Details'!U558+'Business Plan - Model Details'!U714+'Business Plan - Model Details'!U878+'Business Plan - Model Details'!U950+'Business Plan - Model Details'!U559+'Business Plan - Model Details'!U715+'Business Plan - Model Details'!U879+'Business Plan - Model Details'!U951+'Business Plan - Model Details'!U561+'Business Plan - Model Details'!U717+'Business Plan - Model Details'!U881+'Business Plan - Model Details'!U953+'Business Plan - Model Details'!U562+'Business Plan - Model Details'!U718+'Business Plan - Model Details'!U882+'Business Plan - Model Details'!U954+'Business Plan - Model Details'!U253)/10^6</f>
        <v>114.58964005756884</v>
      </c>
      <c r="X85" s="31">
        <f>-('Business Plan - Model Details'!V555+'Business Plan - Model Details'!V711+'Business Plan - Model Details'!V875+'Business Plan - Model Details'!V558+'Business Plan - Model Details'!V714+'Business Plan - Model Details'!V878+'Business Plan - Model Details'!V950+'Business Plan - Model Details'!V559+'Business Plan - Model Details'!V715+'Business Plan - Model Details'!V879+'Business Plan - Model Details'!V951+'Business Plan - Model Details'!V561+'Business Plan - Model Details'!V717+'Business Plan - Model Details'!V881+'Business Plan - Model Details'!V953+'Business Plan - Model Details'!V562+'Business Plan - Model Details'!V718+'Business Plan - Model Details'!V882+'Business Plan - Model Details'!V954+'Business Plan - Model Details'!V253)/10^6</f>
        <v>113.43727128117844</v>
      </c>
      <c r="Y85" s="31">
        <f>-('Business Plan - Model Details'!W555+'Business Plan - Model Details'!W711+'Business Plan - Model Details'!W875+'Business Plan - Model Details'!W558+'Business Plan - Model Details'!W714+'Business Plan - Model Details'!W878+'Business Plan - Model Details'!W950+'Business Plan - Model Details'!W559+'Business Plan - Model Details'!W715+'Business Plan - Model Details'!W879+'Business Plan - Model Details'!W951+'Business Plan - Model Details'!W561+'Business Plan - Model Details'!W717+'Business Plan - Model Details'!W881+'Business Plan - Model Details'!W953+'Business Plan - Model Details'!W562+'Business Plan - Model Details'!W718+'Business Plan - Model Details'!W882+'Business Plan - Model Details'!W954+'Business Plan - Model Details'!W253)/10^6</f>
        <v>113.52504063034299</v>
      </c>
      <c r="Z85" s="31">
        <f>-('Business Plan - Model Details'!X555+'Business Plan - Model Details'!X711+'Business Plan - Model Details'!X875+'Business Plan - Model Details'!X558+'Business Plan - Model Details'!X714+'Business Plan - Model Details'!X878+'Business Plan - Model Details'!X950+'Business Plan - Model Details'!X559+'Business Plan - Model Details'!X715+'Business Plan - Model Details'!X879+'Business Plan - Model Details'!X951+'Business Plan - Model Details'!X561+'Business Plan - Model Details'!X717+'Business Plan - Model Details'!X881+'Business Plan - Model Details'!X953+'Business Plan - Model Details'!X562+'Business Plan - Model Details'!X718+'Business Plan - Model Details'!X882+'Business Plan - Model Details'!X954+'Business Plan - Model Details'!X253)/10^6</f>
        <v>113.50222343383992</v>
      </c>
      <c r="AA85" s="31">
        <f>-('Business Plan - Model Details'!Y555+'Business Plan - Model Details'!Y711+'Business Plan - Model Details'!Y875+'Business Plan - Model Details'!Y558+'Business Plan - Model Details'!Y714+'Business Plan - Model Details'!Y878+'Business Plan - Model Details'!Y950+'Business Plan - Model Details'!Y559+'Business Plan - Model Details'!Y715+'Business Plan - Model Details'!Y879+'Business Plan - Model Details'!Y951+'Business Plan - Model Details'!Y561+'Business Plan - Model Details'!Y717+'Business Plan - Model Details'!Y881+'Business Plan - Model Details'!Y953+'Business Plan - Model Details'!Y562+'Business Plan - Model Details'!Y718+'Business Plan - Model Details'!Y882+'Business Plan - Model Details'!Y954+'Business Plan - Model Details'!Y253)/10^6</f>
        <v>111.24458956985148</v>
      </c>
      <c r="AB85" s="31">
        <f>-('Business Plan - Model Details'!Z555+'Business Plan - Model Details'!Z711+'Business Plan - Model Details'!Z875+'Business Plan - Model Details'!Z558+'Business Plan - Model Details'!Z714+'Business Plan - Model Details'!Z878+'Business Plan - Model Details'!Z950+'Business Plan - Model Details'!Z559+'Business Plan - Model Details'!Z715+'Business Plan - Model Details'!Z879+'Business Plan - Model Details'!Z951+'Business Plan - Model Details'!Z561+'Business Plan - Model Details'!Z717+'Business Plan - Model Details'!Z881+'Business Plan - Model Details'!Z953+'Business Plan - Model Details'!Z562+'Business Plan - Model Details'!Z718+'Business Plan - Model Details'!Z882+'Business Plan - Model Details'!Z954+'Business Plan - Model Details'!Z253)/10^6</f>
        <v>110.59972622190628</v>
      </c>
      <c r="AC85" s="31">
        <f>-('Business Plan - Model Details'!AA555+'Business Plan - Model Details'!AA711+'Business Plan - Model Details'!AA875+'Business Plan - Model Details'!AA558+'Business Plan - Model Details'!AA714+'Business Plan - Model Details'!AA878+'Business Plan - Model Details'!AA950+'Business Plan - Model Details'!AA559+'Business Plan - Model Details'!AA715+'Business Plan - Model Details'!AA879+'Business Plan - Model Details'!AA951+'Business Plan - Model Details'!AA561+'Business Plan - Model Details'!AA717+'Business Plan - Model Details'!AA881+'Business Plan - Model Details'!AA953+'Business Plan - Model Details'!AA562+'Business Plan - Model Details'!AA718+'Business Plan - Model Details'!AA882+'Business Plan - Model Details'!AA954+'Business Plan - Model Details'!AA253)/10^6</f>
        <v>111.68268003961585</v>
      </c>
      <c r="AD85" s="31">
        <f>-('Business Plan - Model Details'!AB555+'Business Plan - Model Details'!AB711+'Business Plan - Model Details'!AB875+'Business Plan - Model Details'!AB558+'Business Plan - Model Details'!AB714+'Business Plan - Model Details'!AB878+'Business Plan - Model Details'!AB950+'Business Plan - Model Details'!AB559+'Business Plan - Model Details'!AB715+'Business Plan - Model Details'!AB879+'Business Plan - Model Details'!AB951+'Business Plan - Model Details'!AB561+'Business Plan - Model Details'!AB717+'Business Plan - Model Details'!AB881+'Business Plan - Model Details'!AB953+'Business Plan - Model Details'!AB562+'Business Plan - Model Details'!AB718+'Business Plan - Model Details'!AB882+'Business Plan - Model Details'!AB954+'Business Plan - Model Details'!AB253)/10^6</f>
        <v>112.25764992302325</v>
      </c>
      <c r="AE85" s="31">
        <f>-('Business Plan - Model Details'!AC555+'Business Plan - Model Details'!AC711+'Business Plan - Model Details'!AC875+'Business Plan - Model Details'!AC558+'Business Plan - Model Details'!AC714+'Business Plan - Model Details'!AC878+'Business Plan - Model Details'!AC950+'Business Plan - Model Details'!AC559+'Business Plan - Model Details'!AC715+'Business Plan - Model Details'!AC879+'Business Plan - Model Details'!AC951+'Business Plan - Model Details'!AC561+'Business Plan - Model Details'!AC717+'Business Plan - Model Details'!AC881+'Business Plan - Model Details'!AC953+'Business Plan - Model Details'!AC562+'Business Plan - Model Details'!AC718+'Business Plan - Model Details'!AC882+'Business Plan - Model Details'!AC954+'Business Plan - Model Details'!AC253)/10^6</f>
        <v>112.43181934537471</v>
      </c>
      <c r="AF85" s="31">
        <f>-('Business Plan - Model Details'!AD555+'Business Plan - Model Details'!AD711+'Business Plan - Model Details'!AD875+'Business Plan - Model Details'!AD558+'Business Plan - Model Details'!AD714+'Business Plan - Model Details'!AD878+'Business Plan - Model Details'!AD950+'Business Plan - Model Details'!AD559+'Business Plan - Model Details'!AD715+'Business Plan - Model Details'!AD879+'Business Plan - Model Details'!AD951+'Business Plan - Model Details'!AD561+'Business Plan - Model Details'!AD717+'Business Plan - Model Details'!AD881+'Business Plan - Model Details'!AD953+'Business Plan - Model Details'!AD562+'Business Plan - Model Details'!AD718+'Business Plan - Model Details'!AD882+'Business Plan - Model Details'!AD954+'Business Plan - Model Details'!AD253)/10^6</f>
        <v>112.30982968509707</v>
      </c>
      <c r="AG85" s="31">
        <f>-('Business Plan - Model Details'!AE555+'Business Plan - Model Details'!AE711+'Business Plan - Model Details'!AE875+'Business Plan - Model Details'!AE558+'Business Plan - Model Details'!AE714+'Business Plan - Model Details'!AE878+'Business Plan - Model Details'!AE950+'Business Plan - Model Details'!AE559+'Business Plan - Model Details'!AE715+'Business Plan - Model Details'!AE879+'Business Plan - Model Details'!AE951+'Business Plan - Model Details'!AE561+'Business Plan - Model Details'!AE717+'Business Plan - Model Details'!AE881+'Business Plan - Model Details'!AE953+'Business Plan - Model Details'!AE562+'Business Plan - Model Details'!AE718+'Business Plan - Model Details'!AE882+'Business Plan - Model Details'!AE954+'Business Plan - Model Details'!AE253)/10^6</f>
        <v>112.18643865158376</v>
      </c>
      <c r="AH85" s="31">
        <f>-('Business Plan - Model Details'!AF555+'Business Plan - Model Details'!AF711+'Business Plan - Model Details'!AF875+'Business Plan - Model Details'!AF558+'Business Plan - Model Details'!AF714+'Business Plan - Model Details'!AF878+'Business Plan - Model Details'!AF950+'Business Plan - Model Details'!AF559+'Business Plan - Model Details'!AF715+'Business Plan - Model Details'!AF879+'Business Plan - Model Details'!AF951+'Business Plan - Model Details'!AF561+'Business Plan - Model Details'!AF717+'Business Plan - Model Details'!AF881+'Business Plan - Model Details'!AF953+'Business Plan - Model Details'!AF562+'Business Plan - Model Details'!AF718+'Business Plan - Model Details'!AF882+'Business Plan - Model Details'!AF954+'Business Plan - Model Details'!AF253)/10^6</f>
        <v>112.05651251804912</v>
      </c>
      <c r="AI85" s="31">
        <f>-('Business Plan - Model Details'!AG555+'Business Plan - Model Details'!AG711+'Business Plan - Model Details'!AG875+'Business Plan - Model Details'!AG558+'Business Plan - Model Details'!AG714+'Business Plan - Model Details'!AG878+'Business Plan - Model Details'!AG950+'Business Plan - Model Details'!AG559+'Business Plan - Model Details'!AG715+'Business Plan - Model Details'!AG879+'Business Plan - Model Details'!AG951+'Business Plan - Model Details'!AG561+'Business Plan - Model Details'!AG717+'Business Plan - Model Details'!AG881+'Business Plan - Model Details'!AG953+'Business Plan - Model Details'!AG562+'Business Plan - Model Details'!AG718+'Business Plan - Model Details'!AG882+'Business Plan - Model Details'!AG954+'Business Plan - Model Details'!AG253)/10^6</f>
        <v>111.86395876627236</v>
      </c>
    </row>
    <row r="86" spans="1:36" ht="14.25" hidden="1" customHeight="1" outlineLevel="1" x14ac:dyDescent="0.35">
      <c r="A86" s="21"/>
      <c r="B86" s="21"/>
      <c r="C86" s="33" t="s">
        <v>43</v>
      </c>
      <c r="D86" s="34"/>
      <c r="E86" s="34"/>
      <c r="F86" s="34" t="s">
        <v>71</v>
      </c>
      <c r="G86" s="34"/>
      <c r="H86" s="34"/>
      <c r="I86" s="34"/>
      <c r="J86" s="31"/>
      <c r="K86" s="31"/>
      <c r="L86" s="31">
        <v>0</v>
      </c>
      <c r="M86" s="31">
        <v>0</v>
      </c>
      <c r="N86" s="31">
        <v>0</v>
      </c>
      <c r="O86" s="31">
        <v>0</v>
      </c>
      <c r="P86" s="31">
        <v>0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0</v>
      </c>
      <c r="Z86" s="31">
        <v>0</v>
      </c>
      <c r="AA86" s="31">
        <v>0</v>
      </c>
      <c r="AB86" s="31">
        <v>0</v>
      </c>
      <c r="AC86" s="31">
        <v>0</v>
      </c>
      <c r="AD86" s="31">
        <v>0</v>
      </c>
      <c r="AE86" s="31">
        <v>0</v>
      </c>
      <c r="AF86" s="31">
        <v>0</v>
      </c>
      <c r="AG86" s="31">
        <v>0</v>
      </c>
      <c r="AH86" s="31">
        <v>0</v>
      </c>
      <c r="AI86" s="31">
        <v>0</v>
      </c>
    </row>
    <row r="87" spans="1:36" ht="14.25" hidden="1" customHeight="1" outlineLevel="1" x14ac:dyDescent="0.35">
      <c r="A87" s="21"/>
      <c r="B87" s="21"/>
      <c r="C87" s="37" t="s">
        <v>72</v>
      </c>
      <c r="D87" s="37"/>
      <c r="E87" s="37"/>
      <c r="F87" s="37"/>
      <c r="G87" s="38"/>
      <c r="H87" s="38" t="s">
        <v>19</v>
      </c>
      <c r="I87" s="39">
        <f>IFERROR((K87-J87)/J87,0)</f>
        <v>0</v>
      </c>
      <c r="J87" s="40"/>
      <c r="K87" s="40">
        <f>SUM(L87:W87)</f>
        <v>-84154.697392811227</v>
      </c>
      <c r="L87" s="40">
        <f t="shared" ref="L87:AI87" si="26">SUM(L66,L68:L71,L73:L82,L84:L86)</f>
        <v>-6667.1820141462094</v>
      </c>
      <c r="M87" s="40">
        <f t="shared" si="26"/>
        <v>-6591.9514635461974</v>
      </c>
      <c r="N87" s="40">
        <f t="shared" si="26"/>
        <v>-5211.7544519819312</v>
      </c>
      <c r="O87" s="40">
        <f t="shared" si="26"/>
        <v>-5876.8618122114412</v>
      </c>
      <c r="P87" s="40">
        <f t="shared" si="26"/>
        <v>-6624.8783577325312</v>
      </c>
      <c r="Q87" s="40">
        <f t="shared" si="26"/>
        <v>-7152.2142162933969</v>
      </c>
      <c r="R87" s="40">
        <f t="shared" si="26"/>
        <v>-7596.8220779600942</v>
      </c>
      <c r="S87" s="40">
        <f t="shared" si="26"/>
        <v>-7842.1457137086363</v>
      </c>
      <c r="T87" s="40">
        <f t="shared" si="26"/>
        <v>-7549.1251490678978</v>
      </c>
      <c r="U87" s="40">
        <f t="shared" si="26"/>
        <v>-7633.614946970235</v>
      </c>
      <c r="V87" s="40">
        <f t="shared" si="26"/>
        <v>-7702.6557557093447</v>
      </c>
      <c r="W87" s="40">
        <f t="shared" si="26"/>
        <v>-7705.4914334832947</v>
      </c>
      <c r="X87" s="40">
        <f t="shared" si="26"/>
        <v>-7705.4714979211149</v>
      </c>
      <c r="Y87" s="40">
        <f t="shared" si="26"/>
        <v>-7701.8778312677268</v>
      </c>
      <c r="Z87" s="40">
        <f t="shared" si="26"/>
        <v>-7702.6528440719667</v>
      </c>
      <c r="AA87" s="40">
        <f t="shared" si="26"/>
        <v>-7696.9460546193659</v>
      </c>
      <c r="AB87" s="40">
        <f t="shared" si="26"/>
        <v>-7696.4638186810698</v>
      </c>
      <c r="AC87" s="40">
        <f t="shared" si="26"/>
        <v>-7694.8944263131134</v>
      </c>
      <c r="AD87" s="40">
        <f t="shared" si="26"/>
        <v>-7694.0064630204533</v>
      </c>
      <c r="AE87" s="40">
        <f t="shared" si="26"/>
        <v>-7692.711540045686</v>
      </c>
      <c r="AF87" s="40">
        <f t="shared" si="26"/>
        <v>-7692.7301723747187</v>
      </c>
      <c r="AG87" s="40">
        <f t="shared" si="26"/>
        <v>-7692.1414747624849</v>
      </c>
      <c r="AH87" s="40">
        <f t="shared" si="26"/>
        <v>-7692.1493596328928</v>
      </c>
      <c r="AI87" s="40">
        <f t="shared" si="26"/>
        <v>-7691.8048287191077</v>
      </c>
    </row>
    <row r="88" spans="1:36" ht="14.25" hidden="1" customHeight="1" outlineLevel="1" x14ac:dyDescent="0.35">
      <c r="A88" s="21"/>
      <c r="B88" s="21"/>
      <c r="C88" s="37"/>
      <c r="D88" s="37"/>
      <c r="E88" s="37"/>
      <c r="F88" s="37" t="s">
        <v>73</v>
      </c>
      <c r="G88" s="38"/>
      <c r="H88" s="39"/>
      <c r="I88" s="40"/>
      <c r="J88" s="40"/>
      <c r="K88" s="40"/>
      <c r="L88" s="40">
        <f t="shared" ref="L88:AI88" si="27">L87-L64</f>
        <v>0</v>
      </c>
      <c r="M88" s="40">
        <f t="shared" si="27"/>
        <v>0</v>
      </c>
      <c r="N88" s="40">
        <f t="shared" si="27"/>
        <v>0</v>
      </c>
      <c r="O88" s="40">
        <f t="shared" si="27"/>
        <v>0</v>
      </c>
      <c r="P88" s="40">
        <f t="shared" si="27"/>
        <v>0</v>
      </c>
      <c r="Q88" s="40">
        <f t="shared" si="27"/>
        <v>0</v>
      </c>
      <c r="R88" s="40">
        <f t="shared" si="27"/>
        <v>0</v>
      </c>
      <c r="S88" s="40">
        <f t="shared" si="27"/>
        <v>0</v>
      </c>
      <c r="T88" s="40">
        <f t="shared" si="27"/>
        <v>0</v>
      </c>
      <c r="U88" s="40">
        <f t="shared" si="27"/>
        <v>0</v>
      </c>
      <c r="V88" s="40">
        <f t="shared" si="27"/>
        <v>0</v>
      </c>
      <c r="W88" s="40">
        <f t="shared" si="27"/>
        <v>0</v>
      </c>
      <c r="X88" s="40">
        <f t="shared" si="27"/>
        <v>0</v>
      </c>
      <c r="Y88" s="40">
        <f t="shared" si="27"/>
        <v>0</v>
      </c>
      <c r="Z88" s="40">
        <f t="shared" si="27"/>
        <v>0</v>
      </c>
      <c r="AA88" s="40">
        <f t="shared" si="27"/>
        <v>0</v>
      </c>
      <c r="AB88" s="40">
        <f t="shared" si="27"/>
        <v>0</v>
      </c>
      <c r="AC88" s="40">
        <f t="shared" si="27"/>
        <v>0</v>
      </c>
      <c r="AD88" s="40">
        <f t="shared" si="27"/>
        <v>0</v>
      </c>
      <c r="AE88" s="40">
        <f t="shared" si="27"/>
        <v>0</v>
      </c>
      <c r="AF88" s="40">
        <f t="shared" si="27"/>
        <v>0</v>
      </c>
      <c r="AG88" s="40">
        <f t="shared" si="27"/>
        <v>0</v>
      </c>
      <c r="AH88" s="40">
        <f t="shared" si="27"/>
        <v>0</v>
      </c>
      <c r="AI88" s="40">
        <f t="shared" si="27"/>
        <v>0</v>
      </c>
    </row>
    <row r="89" spans="1:36" ht="14.25" customHeight="1" collapsed="1" x14ac:dyDescent="0.35">
      <c r="A89" s="21"/>
      <c r="B89" s="21"/>
      <c r="C89" s="37" t="s">
        <v>74</v>
      </c>
      <c r="D89" s="37"/>
      <c r="E89" s="37"/>
      <c r="F89" s="37"/>
      <c r="G89" s="37"/>
      <c r="H89" s="38" t="s">
        <v>19</v>
      </c>
      <c r="I89" s="39">
        <f>IFERROR((K89-J89)/J89,0)</f>
        <v>0</v>
      </c>
      <c r="J89" s="40"/>
      <c r="K89" s="40">
        <f>SUM(L89:W89)</f>
        <v>16902.447777784873</v>
      </c>
      <c r="L89" s="40">
        <f t="shared" ref="L89:AI89" si="28">L17+L64</f>
        <v>2702.2645466937893</v>
      </c>
      <c r="M89" s="40">
        <f t="shared" si="28"/>
        <v>2067.6192016238119</v>
      </c>
      <c r="N89" s="40">
        <f t="shared" si="28"/>
        <v>1272.8023290680694</v>
      </c>
      <c r="O89" s="40">
        <f t="shared" si="28"/>
        <v>973.66688452855942</v>
      </c>
      <c r="P89" s="40">
        <f t="shared" si="28"/>
        <v>1080.5385054274675</v>
      </c>
      <c r="Q89" s="40">
        <f t="shared" si="28"/>
        <v>1143.0735389266029</v>
      </c>
      <c r="R89" s="40">
        <f t="shared" si="28"/>
        <v>1317.2587778699053</v>
      </c>
      <c r="S89" s="40">
        <f t="shared" si="28"/>
        <v>1950.9797383513624</v>
      </c>
      <c r="T89" s="40">
        <f t="shared" si="28"/>
        <v>1197.1577360636202</v>
      </c>
      <c r="U89" s="40">
        <f t="shared" si="28"/>
        <v>1112.6679381612857</v>
      </c>
      <c r="V89" s="40">
        <f t="shared" si="28"/>
        <v>1043.6271294221751</v>
      </c>
      <c r="W89" s="40">
        <f t="shared" si="28"/>
        <v>1040.791451648226</v>
      </c>
      <c r="X89" s="40">
        <f t="shared" si="28"/>
        <v>1040.8113872104041</v>
      </c>
      <c r="Y89" s="40">
        <f t="shared" si="28"/>
        <v>1044.4050538637939</v>
      </c>
      <c r="Z89" s="40">
        <f t="shared" si="28"/>
        <v>1043.6300410595504</v>
      </c>
      <c r="AA89" s="40">
        <f t="shared" si="28"/>
        <v>1049.3368305121548</v>
      </c>
      <c r="AB89" s="40">
        <f t="shared" si="28"/>
        <v>1049.8190664504482</v>
      </c>
      <c r="AC89" s="40">
        <f t="shared" si="28"/>
        <v>1051.3884588184073</v>
      </c>
      <c r="AD89" s="40">
        <f t="shared" si="28"/>
        <v>1052.2764221110638</v>
      </c>
      <c r="AE89" s="40">
        <f t="shared" si="28"/>
        <v>1053.5713450858311</v>
      </c>
      <c r="AF89" s="40">
        <f t="shared" si="28"/>
        <v>1053.5527127568021</v>
      </c>
      <c r="AG89" s="40">
        <f t="shared" si="28"/>
        <v>1054.1414103690349</v>
      </c>
      <c r="AH89" s="40">
        <f t="shared" si="28"/>
        <v>1054.1335254986261</v>
      </c>
      <c r="AI89" s="40">
        <f t="shared" si="28"/>
        <v>1054.4780564124103</v>
      </c>
      <c r="AJ89" s="35">
        <f>SUM(X89:AI89)</f>
        <v>12601.544310148527</v>
      </c>
    </row>
    <row r="90" spans="1:36" ht="14.25" customHeight="1" x14ac:dyDescent="0.35">
      <c r="A90" s="43"/>
      <c r="B90" s="43"/>
      <c r="C90" s="43"/>
      <c r="D90" s="43" t="s">
        <v>75</v>
      </c>
      <c r="E90" s="43"/>
      <c r="F90" s="43"/>
      <c r="G90" s="43"/>
      <c r="H90" s="44"/>
      <c r="I90" s="43">
        <f>IFERROR((K90-J90)/J90,0)</f>
        <v>0</v>
      </c>
      <c r="J90" s="45"/>
      <c r="K90" s="45">
        <f t="shared" ref="K90:AI90" si="29">K89/K17</f>
        <v>0.16725633550454647</v>
      </c>
      <c r="L90" s="45">
        <f t="shared" si="29"/>
        <v>0.28841239758899084</v>
      </c>
      <c r="M90" s="45">
        <f t="shared" si="29"/>
        <v>0.23876694140739127</v>
      </c>
      <c r="N90" s="45">
        <f t="shared" si="29"/>
        <v>0.19628208558333779</v>
      </c>
      <c r="O90" s="45">
        <f t="shared" si="29"/>
        <v>0.14213018113359685</v>
      </c>
      <c r="P90" s="45">
        <f t="shared" si="29"/>
        <v>0.14023102508490859</v>
      </c>
      <c r="Q90" s="45">
        <f t="shared" si="29"/>
        <v>0.13779793693200065</v>
      </c>
      <c r="R90" s="45">
        <f t="shared" si="29"/>
        <v>0.14777281013873572</v>
      </c>
      <c r="S90" s="45">
        <f t="shared" si="29"/>
        <v>0.19921931439579085</v>
      </c>
      <c r="T90" s="45">
        <f t="shared" si="29"/>
        <v>0.13687617377420538</v>
      </c>
      <c r="U90" s="45">
        <f t="shared" si="29"/>
        <v>0.12721609314201301</v>
      </c>
      <c r="V90" s="45">
        <f t="shared" si="29"/>
        <v>0.11932236163963064</v>
      </c>
      <c r="W90" s="45">
        <f t="shared" si="29"/>
        <v>0.11899814644888147</v>
      </c>
      <c r="X90" s="45">
        <f t="shared" si="29"/>
        <v>0.11900042576712899</v>
      </c>
      <c r="Y90" s="45">
        <f t="shared" si="29"/>
        <v>0.1194113050744401</v>
      </c>
      <c r="Z90" s="45">
        <f t="shared" si="29"/>
        <v>0.11932269453960809</v>
      </c>
      <c r="AA90" s="45">
        <f t="shared" si="29"/>
        <v>0.11997517623126545</v>
      </c>
      <c r="AB90" s="45">
        <f t="shared" si="29"/>
        <v>0.12003031233246715</v>
      </c>
      <c r="AC90" s="45">
        <f t="shared" si="29"/>
        <v>0.120209747686728</v>
      </c>
      <c r="AD90" s="45">
        <f t="shared" si="29"/>
        <v>0.12031127233489208</v>
      </c>
      <c r="AE90" s="45">
        <f t="shared" si="29"/>
        <v>0.12045932642733044</v>
      </c>
      <c r="AF90" s="45">
        <f t="shared" si="29"/>
        <v>0.12045719611331319</v>
      </c>
      <c r="AG90" s="45">
        <f t="shared" si="29"/>
        <v>0.12052450443388371</v>
      </c>
      <c r="AH90" s="45">
        <f t="shared" si="29"/>
        <v>0.12052360292286327</v>
      </c>
      <c r="AI90" s="45">
        <f t="shared" si="29"/>
        <v>0.12056299461854805</v>
      </c>
      <c r="AJ90" s="46">
        <f>IF(AJ17=0,0,AJ89/AJ17)</f>
        <v>0.1200657132068724</v>
      </c>
    </row>
    <row r="91" spans="1:36" ht="14.25" customHeight="1" x14ac:dyDescent="0.35">
      <c r="A91" s="43"/>
      <c r="B91" s="43"/>
      <c r="C91" s="43"/>
      <c r="D91" s="43" t="s">
        <v>5580</v>
      </c>
      <c r="E91" s="43"/>
      <c r="F91" s="43"/>
      <c r="G91" s="43"/>
      <c r="H91" s="44"/>
      <c r="I91" s="43">
        <f t="shared" ref="I91:I93" si="30">IFERROR((K91-J91)/J91,0)</f>
        <v>0</v>
      </c>
      <c r="J91" s="45"/>
      <c r="K91" s="45">
        <f t="shared" ref="K91" si="31">K90/K18</f>
        <v>-2.1106598202246474E-6</v>
      </c>
      <c r="L91" s="45">
        <f>(L10+L18)/L10</f>
        <v>0.25213371385238531</v>
      </c>
      <c r="M91" s="45">
        <f t="shared" ref="M91:AI91" si="32">(M10+M18)/M10</f>
        <v>0.27028880118550763</v>
      </c>
      <c r="N91" s="45">
        <f t="shared" si="32"/>
        <v>0.1539272022709435</v>
      </c>
      <c r="O91" s="45">
        <f t="shared" si="32"/>
        <v>8.4975204516587188E-2</v>
      </c>
      <c r="P91" s="45">
        <f t="shared" si="32"/>
        <v>0.13113298387800543</v>
      </c>
      <c r="Q91" s="45">
        <f t="shared" si="32"/>
        <v>5.9257504721066681E-2</v>
      </c>
      <c r="R91" s="45">
        <f t="shared" si="32"/>
        <v>0.13104199193971811</v>
      </c>
      <c r="S91" s="45">
        <f t="shared" si="32"/>
        <v>0.14564048263202017</v>
      </c>
      <c r="T91" s="45">
        <f t="shared" si="32"/>
        <v>0.10733585784958508</v>
      </c>
      <c r="U91" s="45">
        <f t="shared" si="32"/>
        <v>9.772734225316293E-2</v>
      </c>
      <c r="V91" s="45">
        <f t="shared" si="32"/>
        <v>8.9483089653648942E-2</v>
      </c>
      <c r="W91" s="45">
        <f t="shared" si="32"/>
        <v>8.929014767377523E-2</v>
      </c>
      <c r="X91" s="45">
        <f t="shared" si="32"/>
        <v>8.9357096275527098E-2</v>
      </c>
      <c r="Y91" s="45">
        <f t="shared" si="32"/>
        <v>8.9829983359121623E-2</v>
      </c>
      <c r="Z91" s="45">
        <f t="shared" si="32"/>
        <v>8.9740338079840665E-2</v>
      </c>
      <c r="AA91" s="45">
        <f t="shared" si="32"/>
        <v>9.040596466496488E-2</v>
      </c>
      <c r="AB91" s="45">
        <f t="shared" si="32"/>
        <v>9.0462627757266337E-2</v>
      </c>
      <c r="AC91" s="45">
        <f t="shared" si="32"/>
        <v>9.0654399240519656E-2</v>
      </c>
      <c r="AD91" s="45">
        <f t="shared" si="32"/>
        <v>9.0763451909267948E-2</v>
      </c>
      <c r="AE91" s="45">
        <f t="shared" si="32"/>
        <v>9.091959703401839E-2</v>
      </c>
      <c r="AF91" s="45">
        <f t="shared" si="32"/>
        <v>9.0915189236688093E-2</v>
      </c>
      <c r="AG91" s="45">
        <f t="shared" si="32"/>
        <v>9.0984906415983419E-2</v>
      </c>
      <c r="AH91" s="45">
        <f t="shared" si="32"/>
        <v>9.0981851577574699E-2</v>
      </c>
      <c r="AI91" s="45">
        <f t="shared" si="32"/>
        <v>9.1021590111176498E-2</v>
      </c>
      <c r="AJ91" s="46"/>
    </row>
    <row r="92" spans="1:36" ht="14.25" customHeight="1" x14ac:dyDescent="0.35">
      <c r="A92" s="43"/>
      <c r="B92" s="43"/>
      <c r="C92" s="43"/>
      <c r="D92" s="43" t="s">
        <v>5581</v>
      </c>
      <c r="E92" s="43"/>
      <c r="F92" s="43"/>
      <c r="G92" s="43"/>
      <c r="H92" s="44"/>
      <c r="I92" s="43">
        <f t="shared" si="30"/>
        <v>0</v>
      </c>
      <c r="J92" s="45"/>
      <c r="K92" s="45" t="e">
        <f t="shared" ref="K92" si="33">K91/K19</f>
        <v>#DIV/0!</v>
      </c>
      <c r="L92" s="296">
        <f>(L33+L11)/L11</f>
        <v>-3.3196043141813667</v>
      </c>
      <c r="M92" s="296">
        <f t="shared" ref="M92:AI92" si="34">(M33+M11)/M11</f>
        <v>-329.21165836075994</v>
      </c>
      <c r="N92" s="296">
        <f t="shared" si="34"/>
        <v>0.70329027187580972</v>
      </c>
      <c r="O92" s="296">
        <f t="shared" si="34"/>
        <v>7.3444972689491156E-2</v>
      </c>
      <c r="P92" s="296">
        <f t="shared" si="34"/>
        <v>0.15510365246695121</v>
      </c>
      <c r="Q92" s="296">
        <f t="shared" si="34"/>
        <v>0.16686523641709131</v>
      </c>
      <c r="R92" s="296">
        <f t="shared" si="34"/>
        <v>0.24432581441906229</v>
      </c>
      <c r="S92" s="296">
        <f t="shared" si="34"/>
        <v>-0.31243692674868634</v>
      </c>
      <c r="T92" s="296">
        <f t="shared" si="34"/>
        <v>0.31307527924100714</v>
      </c>
      <c r="U92" s="296">
        <f t="shared" si="34"/>
        <v>0.29477127896038574</v>
      </c>
      <c r="V92" s="296">
        <f t="shared" si="34"/>
        <v>0.28552656588958181</v>
      </c>
      <c r="W92" s="296">
        <f t="shared" si="34"/>
        <v>0.2814282318953964</v>
      </c>
      <c r="X92" s="296">
        <f t="shared" si="34"/>
        <v>0.27978219249723918</v>
      </c>
      <c r="Y92" s="296">
        <f t="shared" si="34"/>
        <v>0.27915748188907419</v>
      </c>
      <c r="Z92" s="296">
        <f t="shared" si="34"/>
        <v>0.2789378996172735</v>
      </c>
      <c r="AA92" s="296">
        <f t="shared" si="34"/>
        <v>0.27886388275459723</v>
      </c>
      <c r="AB92" s="296">
        <f t="shared" si="34"/>
        <v>0.27886679039159368</v>
      </c>
      <c r="AC92" s="296">
        <f t="shared" si="34"/>
        <v>0.27889213986539046</v>
      </c>
      <c r="AD92" s="296">
        <f t="shared" si="34"/>
        <v>0.27890856945510295</v>
      </c>
      <c r="AE92" s="296">
        <f t="shared" si="34"/>
        <v>0.27894659930965648</v>
      </c>
      <c r="AF92" s="296">
        <f t="shared" si="34"/>
        <v>0.27897547843587595</v>
      </c>
      <c r="AG92" s="296">
        <f t="shared" si="34"/>
        <v>0.27902222273348609</v>
      </c>
      <c r="AH92" s="296">
        <f t="shared" si="34"/>
        <v>0.27905380830605492</v>
      </c>
      <c r="AI92" s="296">
        <f t="shared" si="34"/>
        <v>0.27909504953429248</v>
      </c>
      <c r="AJ92" s="46"/>
    </row>
    <row r="93" spans="1:36" ht="14.25" customHeight="1" x14ac:dyDescent="0.35">
      <c r="A93" s="43"/>
      <c r="B93" s="43"/>
      <c r="C93" s="43"/>
      <c r="D93" s="43" t="s">
        <v>75</v>
      </c>
      <c r="E93" s="43"/>
      <c r="F93" s="43"/>
      <c r="G93" s="43"/>
      <c r="H93" s="44"/>
      <c r="I93" s="43">
        <f t="shared" si="30"/>
        <v>0</v>
      </c>
      <c r="J93" s="45"/>
      <c r="K93" s="45" t="e">
        <f t="shared" ref="K93:AI93" si="35">K92/K20</f>
        <v>#DIV/0!</v>
      </c>
      <c r="L93" s="45">
        <f t="shared" si="35"/>
        <v>1.5421330041561726E-3</v>
      </c>
      <c r="M93" s="45">
        <f t="shared" si="35"/>
        <v>0.16636468967451301</v>
      </c>
      <c r="N93" s="45">
        <f t="shared" si="35"/>
        <v>-4.4121740046761283E-4</v>
      </c>
      <c r="O93" s="45">
        <f t="shared" si="35"/>
        <v>-4.4490489923124994E-5</v>
      </c>
      <c r="P93" s="45">
        <f t="shared" si="35"/>
        <v>-7.664006831515167E-5</v>
      </c>
      <c r="Q93" s="45">
        <f t="shared" si="35"/>
        <v>-7.1372303763978035E-5</v>
      </c>
      <c r="R93" s="45">
        <f t="shared" si="35"/>
        <v>-9.4827264134608952E-5</v>
      </c>
      <c r="S93" s="45">
        <f t="shared" si="35"/>
        <v>1.0065668268095928E-4</v>
      </c>
      <c r="T93" s="45">
        <f t="shared" si="35"/>
        <v>-1.0950274242842588E-4</v>
      </c>
      <c r="U93" s="45">
        <f t="shared" si="35"/>
        <v>-1.0117428073252558E-4</v>
      </c>
      <c r="V93" s="45">
        <f t="shared" si="35"/>
        <v>-9.5284357805570835E-5</v>
      </c>
      <c r="W93" s="45">
        <f t="shared" si="35"/>
        <v>-9.3840209864883172E-5</v>
      </c>
      <c r="X93" s="45">
        <f t="shared" si="35"/>
        <v>-9.3277941375739671E-5</v>
      </c>
      <c r="Y93" s="45">
        <f t="shared" si="35"/>
        <v>-9.3103871016887583E-5</v>
      </c>
      <c r="Z93" s="45">
        <f t="shared" si="35"/>
        <v>-9.3012307195939351E-5</v>
      </c>
      <c r="AA93" s="45">
        <f t="shared" si="35"/>
        <v>-9.2988452806922001E-5</v>
      </c>
      <c r="AB93" s="45">
        <f t="shared" si="35"/>
        <v>-9.2994979479878563E-5</v>
      </c>
      <c r="AC93" s="45">
        <f t="shared" si="35"/>
        <v>-9.2999452229129424E-5</v>
      </c>
      <c r="AD93" s="45">
        <f t="shared" si="35"/>
        <v>-9.3005732124752107E-5</v>
      </c>
      <c r="AE93" s="45">
        <f t="shared" si="35"/>
        <v>-9.3019206564978364E-5</v>
      </c>
      <c r="AF93" s="45">
        <f t="shared" si="35"/>
        <v>-9.3028040969661058E-5</v>
      </c>
      <c r="AG93" s="45">
        <f t="shared" si="35"/>
        <v>-9.3043894727214461E-5</v>
      </c>
      <c r="AH93" s="45">
        <f t="shared" si="35"/>
        <v>-9.3054515198865822E-5</v>
      </c>
      <c r="AI93" s="45">
        <f t="shared" si="35"/>
        <v>-9.3068120352091151E-5</v>
      </c>
      <c r="AJ93" s="46"/>
    </row>
    <row r="94" spans="1:36" ht="14.25" customHeight="1" x14ac:dyDescent="0.35">
      <c r="A94" s="21"/>
      <c r="B94" s="21"/>
      <c r="C94" s="33" t="s">
        <v>76</v>
      </c>
      <c r="D94" s="33"/>
      <c r="E94" s="21"/>
      <c r="F94" s="21"/>
      <c r="G94" s="21"/>
      <c r="H94" s="22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</row>
    <row r="95" spans="1:36" ht="14.25" customHeight="1" x14ac:dyDescent="0.35">
      <c r="A95" s="21"/>
      <c r="B95" s="21"/>
      <c r="C95" s="33"/>
      <c r="D95" s="33" t="s">
        <v>77</v>
      </c>
      <c r="E95" s="21"/>
      <c r="F95" s="21"/>
      <c r="G95" s="21"/>
      <c r="H95" s="22" t="s">
        <v>19</v>
      </c>
      <c r="I95" s="34">
        <f>IFERROR((K95-J95)/J95,0)</f>
        <v>0</v>
      </c>
      <c r="J95" s="31"/>
      <c r="K95" s="31">
        <f>SUM(L95:W95)</f>
        <v>-2130.5376080000001</v>
      </c>
      <c r="L95" s="31">
        <f>-SUMIFS('PL Actual MTM - Aug 26'!D:D,'PL Actual MTM - Aug 26'!$R:$R,$D95)/10^6</f>
        <v>-166.62620000000001</v>
      </c>
      <c r="M95" s="31">
        <f>-SUMIFS('PL Actual MTM - Aug 26'!E:E,'PL Actual MTM - Aug 26'!$R:$R,$D95)/10^6</f>
        <v>-161.6678</v>
      </c>
      <c r="N95" s="31">
        <f>-SUMIFS('PL Actual MTM - Aug 26'!F:F,'PL Actual MTM - Aug 26'!$R:$R,$D95)/10^6</f>
        <v>-131.47968399999999</v>
      </c>
      <c r="O95" s="31">
        <f>-SUMIFS('PL Actual MTM - Aug 26'!G:G,'PL Actual MTM - Aug 26'!$R:$R,$D95)/10^6</f>
        <v>-137.7508</v>
      </c>
      <c r="P95" s="31">
        <f>-SUMIFS('PL Actual MTM - Aug 26'!H:H,'PL Actual MTM - Aug 26'!$R:$R,$D95)/10^6</f>
        <v>-186.57221899999999</v>
      </c>
      <c r="Q95" s="31">
        <f>-SUMIFS('PL Actual MTM - Aug 26'!I:I,'PL Actual MTM - Aug 26'!$R:$R,$D95)/10^6</f>
        <v>-184.9956</v>
      </c>
      <c r="R95" s="31">
        <f>-SUMIFS('PL Actual MTM - Aug 26'!J:J,'PL Actual MTM - Aug 26'!$R:$R,$D95)/10^6</f>
        <v>-243.58797000000001</v>
      </c>
      <c r="S95" s="31">
        <f>-SUMIFS('PL Actual MTM - Aug 26'!K:K,'PL Actual MTM - Aug 26'!$R:$R,$D95)/10^6</f>
        <v>-220.565335</v>
      </c>
      <c r="T95" s="31">
        <f>-SUM('Business Plan - Model Details'!R1252,'Business Plan - Model Details'!R1267)/10^6</f>
        <v>-174.32300000000001</v>
      </c>
      <c r="U95" s="31">
        <f>-SUM('Business Plan - Model Details'!S1252,'Business Plan - Model Details'!S1267)/10^6</f>
        <v>-174.32300000000001</v>
      </c>
      <c r="V95" s="31">
        <f>-SUM('Business Plan - Model Details'!T1252,'Business Plan - Model Details'!T1267)/10^6</f>
        <v>-174.32300000000001</v>
      </c>
      <c r="W95" s="31">
        <f>-SUM('Business Plan - Model Details'!U1252,'Business Plan - Model Details'!U1267)/10^6</f>
        <v>-174.32300000000001</v>
      </c>
      <c r="X95" s="31">
        <f>-SUM('Business Plan - Model Details'!V1252,'Business Plan - Model Details'!V1267)/10^6</f>
        <v>-174.32300000000001</v>
      </c>
      <c r="Y95" s="31">
        <f>-SUM('Business Plan - Model Details'!W1252,'Business Plan - Model Details'!W1267)/10^6</f>
        <v>-174.32300000000001</v>
      </c>
      <c r="Z95" s="31">
        <f>-SUM('Business Plan - Model Details'!X1252,'Business Plan - Model Details'!X1267)/10^6</f>
        <v>-174.32300000000001</v>
      </c>
      <c r="AA95" s="31">
        <f>-SUM('Business Plan - Model Details'!Y1252,'Business Plan - Model Details'!Y1267)/10^6</f>
        <v>-174.32300000000001</v>
      </c>
      <c r="AB95" s="31">
        <f>-SUM('Business Plan - Model Details'!Z1252,'Business Plan - Model Details'!Z1267)/10^6</f>
        <v>-174.32300000000001</v>
      </c>
      <c r="AC95" s="31">
        <f>-SUM('Business Plan - Model Details'!AA1252,'Business Plan - Model Details'!AA1267)/10^6</f>
        <v>-174.32300000000001</v>
      </c>
      <c r="AD95" s="31">
        <f>-SUM('Business Plan - Model Details'!AB1252,'Business Plan - Model Details'!AB1267)/10^6</f>
        <v>-174.32300000000001</v>
      </c>
      <c r="AE95" s="31">
        <f>-SUM('Business Plan - Model Details'!AC1252,'Business Plan - Model Details'!AC1267)/10^6</f>
        <v>-174.32300000000001</v>
      </c>
      <c r="AF95" s="31">
        <f>-SUM('Business Plan - Model Details'!AD1252,'Business Plan - Model Details'!AD1267)/10^6</f>
        <v>-174.32300000000001</v>
      </c>
      <c r="AG95" s="31">
        <f>-SUM('Business Plan - Model Details'!AE1252,'Business Plan - Model Details'!AE1267)/10^6</f>
        <v>-174.32300000000001</v>
      </c>
      <c r="AH95" s="31">
        <f>-SUM('Business Plan - Model Details'!AF1252,'Business Plan - Model Details'!AF1267)/10^6</f>
        <v>-174.32300000000001</v>
      </c>
      <c r="AI95" s="31">
        <f>-SUM('Business Plan - Model Details'!AG1252,'Business Plan - Model Details'!AG1267)/10^6</f>
        <v>-174.32300000000001</v>
      </c>
      <c r="AJ95" s="35">
        <f>SUM(X95:AI95)</f>
        <v>-2091.8760000000007</v>
      </c>
    </row>
    <row r="96" spans="1:36" ht="14.25" customHeight="1" x14ac:dyDescent="0.35">
      <c r="A96" s="21"/>
      <c r="B96" s="21"/>
      <c r="C96" s="33"/>
      <c r="D96" s="33" t="s">
        <v>78</v>
      </c>
      <c r="E96" s="21"/>
      <c r="F96" s="21"/>
      <c r="G96" s="21"/>
      <c r="H96" s="22" t="s">
        <v>19</v>
      </c>
      <c r="I96" s="34">
        <f>IFERROR((K96-J96)/J96,0)</f>
        <v>0</v>
      </c>
      <c r="J96" s="31"/>
      <c r="K96" s="31">
        <f>SUM(L96:W96)</f>
        <v>-101</v>
      </c>
      <c r="L96" s="31">
        <f>-SUMIFS('PL Actual MTM - Aug 26'!D:D,'PL Actual MTM - Aug 26'!$R:$R,$D96)/10^6</f>
        <v>-1</v>
      </c>
      <c r="M96" s="31">
        <f>-SUMIFS('PL Actual MTM - Aug 26'!E:E,'PL Actual MTM - Aug 26'!$R:$R,$D96)/10^6</f>
        <v>0</v>
      </c>
      <c r="N96" s="31">
        <f>-SUMIFS('PL Actual MTM - Aug 26'!F:F,'PL Actual MTM - Aug 26'!$R:$R,$D96)/10^6</f>
        <v>0</v>
      </c>
      <c r="O96" s="31">
        <f>-SUMIFS('PL Actual MTM - Aug 26'!G:G,'PL Actual MTM - Aug 26'!$R:$R,$D96)/10^6</f>
        <v>0</v>
      </c>
      <c r="P96" s="31">
        <f>-SUMIFS('PL Actual MTM - Aug 26'!H:H,'PL Actual MTM - Aug 26'!$R:$R,$D96)/10^6</f>
        <v>-100</v>
      </c>
      <c r="Q96" s="31">
        <f>-SUMIFS('PL Actual MTM - Aug 26'!I:I,'PL Actual MTM - Aug 26'!$R:$R,$D96)/10^6</f>
        <v>0</v>
      </c>
      <c r="R96" s="31">
        <f>-SUMIFS('PL Actual MTM - Aug 26'!J:J,'PL Actual MTM - Aug 26'!$R:$R,$D96)/10^6</f>
        <v>0</v>
      </c>
      <c r="S96" s="31">
        <f>-SUMIFS('PL Actual MTM - Aug 26'!K:K,'PL Actual MTM - Aug 26'!$R:$R,$D96)/10^6</f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0</v>
      </c>
      <c r="AC96" s="31">
        <v>0</v>
      </c>
      <c r="AD96" s="31">
        <v>0</v>
      </c>
      <c r="AE96" s="31">
        <v>0</v>
      </c>
      <c r="AF96" s="31">
        <v>0</v>
      </c>
      <c r="AG96" s="31">
        <v>0</v>
      </c>
      <c r="AH96" s="31">
        <v>0</v>
      </c>
      <c r="AI96" s="31">
        <v>0</v>
      </c>
      <c r="AJ96" s="35">
        <f>SUM(X96:AI96)</f>
        <v>0</v>
      </c>
    </row>
    <row r="97" spans="1:36" ht="14.25" customHeight="1" x14ac:dyDescent="0.35">
      <c r="A97" s="21"/>
      <c r="B97" s="21"/>
      <c r="C97" s="33"/>
      <c r="D97" s="33" t="s">
        <v>79</v>
      </c>
      <c r="E97" s="21"/>
      <c r="F97" s="21"/>
      <c r="G97" s="21"/>
      <c r="H97" s="22" t="s">
        <v>19</v>
      </c>
      <c r="I97" s="34">
        <f>IFERROR((K97-J97)/J97,0)</f>
        <v>0</v>
      </c>
      <c r="J97" s="31"/>
      <c r="K97" s="31">
        <f>SUM(L97:W97)</f>
        <v>-5.4303133999999993</v>
      </c>
      <c r="L97" s="31">
        <f>-SUMIFS('PL Actual MTM - Aug 26'!D:D,'PL Actual MTM - Aug 26'!$R:$R,$D97)/10^6</f>
        <v>-1.3701443999999998</v>
      </c>
      <c r="M97" s="31">
        <f>-SUMIFS('PL Actual MTM - Aug 26'!E:E,'PL Actual MTM - Aug 26'!$R:$R,$D97)/10^6</f>
        <v>0</v>
      </c>
      <c r="N97" s="31">
        <f>-SUMIFS('PL Actual MTM - Aug 26'!F:F,'PL Actual MTM - Aug 26'!$R:$R,$D97)/10^6</f>
        <v>0</v>
      </c>
      <c r="O97" s="31">
        <f>-SUMIFS('PL Actual MTM - Aug 26'!G:G,'PL Actual MTM - Aug 26'!$R:$R,$D97)/10^6</f>
        <v>0</v>
      </c>
      <c r="P97" s="31">
        <f>-SUMIFS('PL Actual MTM - Aug 26'!H:H,'PL Actual MTM - Aug 26'!$R:$R,$D97)/10^6</f>
        <v>0</v>
      </c>
      <c r="Q97" s="31">
        <f>-SUMIFS('PL Actual MTM - Aug 26'!I:I,'PL Actual MTM - Aug 26'!$R:$R,$D97)/10^6</f>
        <v>-1.2541899999999999</v>
      </c>
      <c r="R97" s="31">
        <f>-SUMIFS('PL Actual MTM - Aug 26'!J:J,'PL Actual MTM - Aug 26'!$R:$R,$D97)/10^6</f>
        <v>0</v>
      </c>
      <c r="S97" s="31">
        <f>-SUMIFS('PL Actual MTM - Aug 26'!K:K,'PL Actual MTM - Aug 26'!$R:$R,$D97)/10^6</f>
        <v>-1.0014590000000001</v>
      </c>
      <c r="T97" s="31">
        <v>-0.45112999999999998</v>
      </c>
      <c r="U97" s="31">
        <v>-0.45112999999999998</v>
      </c>
      <c r="V97" s="31">
        <v>-0.45112999999999998</v>
      </c>
      <c r="W97" s="31">
        <v>-0.45112999999999998</v>
      </c>
      <c r="X97" s="31">
        <v>-0.45112999999999998</v>
      </c>
      <c r="Y97" s="31">
        <v>-0.45112999999999998</v>
      </c>
      <c r="Z97" s="31">
        <v>-0.45112999999999998</v>
      </c>
      <c r="AA97" s="31">
        <v>-0.45112999999999998</v>
      </c>
      <c r="AB97" s="31">
        <v>-0.45112999999999998</v>
      </c>
      <c r="AC97" s="31">
        <v>-0.45112999999999998</v>
      </c>
      <c r="AD97" s="31">
        <v>-0.45112999999999998</v>
      </c>
      <c r="AE97" s="31">
        <v>-0.45112999999999998</v>
      </c>
      <c r="AF97" s="31">
        <v>-0.45112999999999998</v>
      </c>
      <c r="AG97" s="31">
        <v>-0.45112999999999998</v>
      </c>
      <c r="AH97" s="31">
        <v>-0.45112999999999998</v>
      </c>
      <c r="AI97" s="31">
        <v>-0.45112999999999998</v>
      </c>
      <c r="AJ97" s="35">
        <f>SUM(X97:AI97)</f>
        <v>-5.4135599999999995</v>
      </c>
    </row>
    <row r="98" spans="1:36" ht="14.25" customHeight="1" x14ac:dyDescent="0.35">
      <c r="A98" s="21"/>
      <c r="B98" s="21"/>
      <c r="C98" s="33" t="s">
        <v>80</v>
      </c>
      <c r="D98" s="33"/>
      <c r="E98" s="21"/>
      <c r="F98" s="21"/>
      <c r="G98" s="21"/>
      <c r="H98" s="22"/>
      <c r="I98" s="34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  <c r="AB98" s="31">
        <v>0</v>
      </c>
      <c r="AC98" s="31">
        <v>0</v>
      </c>
      <c r="AD98" s="31">
        <v>0</v>
      </c>
      <c r="AE98" s="31">
        <v>0</v>
      </c>
      <c r="AF98" s="31">
        <v>0</v>
      </c>
      <c r="AG98" s="31">
        <v>0</v>
      </c>
      <c r="AH98" s="31">
        <v>0</v>
      </c>
      <c r="AI98" s="31">
        <v>0</v>
      </c>
    </row>
    <row r="99" spans="1:36" ht="14.25" customHeight="1" x14ac:dyDescent="0.35">
      <c r="A99" s="21"/>
      <c r="B99" s="21"/>
      <c r="C99" s="33"/>
      <c r="D99" s="33" t="s">
        <v>81</v>
      </c>
      <c r="E99" s="21"/>
      <c r="F99" s="21"/>
      <c r="G99" s="21"/>
      <c r="H99" s="22" t="s">
        <v>19</v>
      </c>
      <c r="I99" s="34">
        <f t="shared" ref="I99:I109" si="36">IFERROR((K99-J99)/J99,0)</f>
        <v>0</v>
      </c>
      <c r="J99" s="31"/>
      <c r="K99" s="31">
        <f t="shared" ref="K99:K110" si="37">SUM(L99:W99)</f>
        <v>-3903.8726555216008</v>
      </c>
      <c r="L99" s="31">
        <f>-SUMIFS('PL Actual MTM - Aug 26'!D:D,'PL Actual MTM - Aug 26'!$R:$R,$D99)/10^6</f>
        <v>-429.98400067</v>
      </c>
      <c r="M99" s="31">
        <f>-SUMIFS('PL Actual MTM - Aug 26'!E:E,'PL Actual MTM - Aug 26'!$R:$R,$D99)/10^6</f>
        <v>-471.07125867000002</v>
      </c>
      <c r="N99" s="31">
        <f>-SUMIFS('PL Actual MTM - Aug 26'!F:F,'PL Actual MTM - Aug 26'!$R:$R,$D99)/10^6</f>
        <v>-1265.0358569500002</v>
      </c>
      <c r="O99" s="31">
        <f>-SUMIFS('PL Actual MTM - Aug 26'!G:G,'PL Actual MTM - Aug 26'!$R:$R,$D99)/10^6</f>
        <v>-189.15594632</v>
      </c>
      <c r="P99" s="31">
        <f>-SUMIFS('PL Actual MTM - Aug 26'!H:H,'PL Actual MTM - Aug 26'!$R:$R,$D99)/10^6</f>
        <v>-230.13583932999998</v>
      </c>
      <c r="Q99" s="31">
        <f>-SUMIFS('PL Actual MTM - Aug 26'!I:I,'PL Actual MTM - Aug 26'!$R:$R,$D99)/10^6</f>
        <v>-171.35060559999999</v>
      </c>
      <c r="R99" s="31">
        <f>-SUMIFS('PL Actual MTM - Aug 26'!J:J,'PL Actual MTM - Aug 26'!$R:$R,$D99)/10^6</f>
        <v>-167.72026165</v>
      </c>
      <c r="S99" s="31">
        <f>-SUMIFS('PL Actual MTM - Aug 26'!K:K,'PL Actual MTM - Aug 26'!$R:$R,$D99)/10^6</f>
        <v>-296.681442</v>
      </c>
      <c r="T99" s="31">
        <f>-'Business Plan - Model Details'!R1279/10^6</f>
        <v>-170.68436108289998</v>
      </c>
      <c r="U99" s="31">
        <f>-'Business Plan - Model Details'!S1279/10^6</f>
        <v>-170.68436108289998</v>
      </c>
      <c r="V99" s="31">
        <f>-'Business Plan - Model Details'!T1279/10^6</f>
        <v>-170.68436108289998</v>
      </c>
      <c r="W99" s="31">
        <f>-'Business Plan - Model Details'!U1279/10^6</f>
        <v>-170.68436108289998</v>
      </c>
      <c r="X99" s="31">
        <f>-'Business Plan - Model Details'!V1279/10^6</f>
        <v>-170.68436108289998</v>
      </c>
      <c r="Y99" s="31">
        <f>-'Business Plan - Model Details'!W1279/10^6</f>
        <v>-170.68436108289998</v>
      </c>
      <c r="Z99" s="31">
        <f>-'Business Plan - Model Details'!X1279/10^6</f>
        <v>-170.68436108289998</v>
      </c>
      <c r="AA99" s="31">
        <f>-'Business Plan - Model Details'!Y1279/10^6</f>
        <v>-170.68436108289998</v>
      </c>
      <c r="AB99" s="31">
        <f>-'Business Plan - Model Details'!Z1279/10^6</f>
        <v>-170.68436108289998</v>
      </c>
      <c r="AC99" s="31">
        <f>-'Business Plan - Model Details'!AA1279/10^6</f>
        <v>-170.68436108289998</v>
      </c>
      <c r="AD99" s="31">
        <f>-'Business Plan - Model Details'!AB1279/10^6</f>
        <v>-170.68436108289998</v>
      </c>
      <c r="AE99" s="31">
        <f>-'Business Plan - Model Details'!AC1279/10^6</f>
        <v>-170.68436108289998</v>
      </c>
      <c r="AF99" s="31">
        <f>-'Business Plan - Model Details'!AD1279/10^6</f>
        <v>-170.68436108289998</v>
      </c>
      <c r="AG99" s="31">
        <f>-'Business Plan - Model Details'!AE1279/10^6</f>
        <v>-170.68436108289998</v>
      </c>
      <c r="AH99" s="31">
        <f>-'Business Plan - Model Details'!AF1279/10^6</f>
        <v>-170.68436108289998</v>
      </c>
      <c r="AI99" s="31">
        <f>-'Business Plan - Model Details'!AG1279/10^6</f>
        <v>-170.68436108289998</v>
      </c>
      <c r="AJ99" s="35">
        <f t="shared" ref="AJ99:AJ110" si="38">SUM(X99:AI99)</f>
        <v>-2048.2123329948004</v>
      </c>
    </row>
    <row r="100" spans="1:36" ht="14.25" customHeight="1" x14ac:dyDescent="0.35">
      <c r="A100" s="21"/>
      <c r="B100" s="21"/>
      <c r="C100" s="33"/>
      <c r="D100" s="33" t="s">
        <v>68</v>
      </c>
      <c r="E100" s="21"/>
      <c r="F100" s="21"/>
      <c r="G100" s="21"/>
      <c r="H100" s="22" t="s">
        <v>19</v>
      </c>
      <c r="I100" s="34">
        <f t="shared" si="36"/>
        <v>0</v>
      </c>
      <c r="J100" s="31"/>
      <c r="K100" s="31">
        <f t="shared" si="37"/>
        <v>-613.03875061728388</v>
      </c>
      <c r="L100" s="31">
        <f>-SUMIFS('PL Actual MTM - Aug 26'!D:D,'PL Actual MTM - Aug 26'!$R:$R,$D100)/10^6</f>
        <v>-43.526000000000003</v>
      </c>
      <c r="M100" s="31">
        <f>-SUMIFS('PL Actual MTM - Aug 26'!E:E,'PL Actual MTM - Aug 26'!$R:$R,$D100)/10^6</f>
        <v>-51.066222000000003</v>
      </c>
      <c r="N100" s="31">
        <f>-SUMIFS('PL Actual MTM - Aug 26'!F:F,'PL Actual MTM - Aug 26'!$R:$R,$D100)/10^6</f>
        <v>-44.159821999999998</v>
      </c>
      <c r="O100" s="31">
        <f>-SUMIFS('PL Actual MTM - Aug 26'!G:G,'PL Actual MTM - Aug 26'!$R:$R,$D100)/10^6</f>
        <v>-50.595399999999998</v>
      </c>
      <c r="P100" s="31">
        <f>-SUMIFS('PL Actual MTM - Aug 26'!H:H,'PL Actual MTM - Aug 26'!$R:$R,$D100)/10^6</f>
        <v>-54.418356000000003</v>
      </c>
      <c r="Q100" s="31">
        <f>-SUMIFS('PL Actual MTM - Aug 26'!I:I,'PL Actual MTM - Aug 26'!$R:$R,$D100)/10^6</f>
        <v>-56.937600000000003</v>
      </c>
      <c r="R100" s="31">
        <f>-SUMIFS('PL Actual MTM - Aug 26'!J:J,'PL Actual MTM - Aug 26'!$R:$R,$D100)/10^6</f>
        <v>-46.875</v>
      </c>
      <c r="S100" s="31">
        <f>-SUMIFS('PL Actual MTM - Aug 26'!K:K,'PL Actual MTM - Aug 26'!$R:$R,$D100)/10^6</f>
        <v>-55.058</v>
      </c>
      <c r="T100" s="47">
        <f t="shared" ref="T100" si="39">AVERAGE(Q100:S100)</f>
        <v>-52.956866666666663</v>
      </c>
      <c r="U100" s="47">
        <f t="shared" ref="U100" si="40">AVERAGE(R100:T100)</f>
        <v>-51.629955555555547</v>
      </c>
      <c r="V100" s="47">
        <f t="shared" ref="V100" si="41">AVERAGE(S100:U100)</f>
        <v>-53.214940740740737</v>
      </c>
      <c r="W100" s="47">
        <f t="shared" ref="W100" si="42">AVERAGE(T100:V100)</f>
        <v>-52.600587654320982</v>
      </c>
      <c r="X100" s="47">
        <f t="shared" ref="X100" si="43">AVERAGE(U100:W100)</f>
        <v>-52.481827983539091</v>
      </c>
      <c r="Y100" s="47">
        <f t="shared" ref="Y100" si="44">AVERAGE(V100:X100)</f>
        <v>-52.765785459533596</v>
      </c>
      <c r="Z100" s="47">
        <f t="shared" ref="Z100" si="45">AVERAGE(W100:Y100)</f>
        <v>-52.616067032464549</v>
      </c>
      <c r="AA100" s="47">
        <f t="shared" ref="AA100" si="46">AVERAGE(X100:Z100)</f>
        <v>-52.621226825179072</v>
      </c>
      <c r="AB100" s="47">
        <f t="shared" ref="AB100" si="47">AVERAGE(Y100:AA100)</f>
        <v>-52.667693105725739</v>
      </c>
      <c r="AC100" s="47">
        <f t="shared" ref="AC100" si="48">AVERAGE(Z100:AB100)</f>
        <v>-52.634995654456453</v>
      </c>
      <c r="AD100" s="47">
        <f t="shared" ref="AD100" si="49">AVERAGE(AA100:AC100)</f>
        <v>-52.641305195120424</v>
      </c>
      <c r="AE100" s="47">
        <f t="shared" ref="AE100" si="50">AVERAGE(AB100:AD100)</f>
        <v>-52.647997985100879</v>
      </c>
      <c r="AF100" s="47">
        <f t="shared" ref="AF100" si="51">AVERAGE(AC100:AE100)</f>
        <v>-52.641432944892586</v>
      </c>
      <c r="AG100" s="47">
        <f t="shared" ref="AG100" si="52">AVERAGE(AD100:AF100)</f>
        <v>-52.643578708371301</v>
      </c>
      <c r="AH100" s="47">
        <f t="shared" ref="AH100" si="53">AVERAGE(AE100:AG100)</f>
        <v>-52.644336546121593</v>
      </c>
      <c r="AI100" s="47">
        <f t="shared" ref="AI100" si="54">AVERAGE(AF100:AH100)</f>
        <v>-52.643116066461829</v>
      </c>
      <c r="AJ100" s="35">
        <f t="shared" si="38"/>
        <v>-631.64936350696712</v>
      </c>
    </row>
    <row r="101" spans="1:36" ht="14.25" customHeight="1" x14ac:dyDescent="0.35">
      <c r="A101" s="21"/>
      <c r="B101" s="21"/>
      <c r="C101" s="33"/>
      <c r="D101" s="33" t="s">
        <v>82</v>
      </c>
      <c r="E101" s="21"/>
      <c r="F101" s="21"/>
      <c r="G101" s="21"/>
      <c r="H101" s="22" t="s">
        <v>19</v>
      </c>
      <c r="I101" s="34">
        <f t="shared" si="36"/>
        <v>0</v>
      </c>
      <c r="J101" s="31"/>
      <c r="K101" s="31">
        <f t="shared" si="37"/>
        <v>-376.98793233999999</v>
      </c>
      <c r="L101" s="31">
        <f>-SUMIFS('PL Actual MTM - Aug 26'!D:D,'PL Actual MTM - Aug 26'!$R:$R,$D101)/10^6</f>
        <v>-31.596892380000003</v>
      </c>
      <c r="M101" s="31">
        <f>-SUMIFS('PL Actual MTM - Aug 26'!E:E,'PL Actual MTM - Aug 26'!$R:$R,$D101)/10^6</f>
        <v>-35.717916769999995</v>
      </c>
      <c r="N101" s="31">
        <f>-SUMIFS('PL Actual MTM - Aug 26'!F:F,'PL Actual MTM - Aug 26'!$R:$R,$D101)/10^6</f>
        <v>-12.597676999999999</v>
      </c>
      <c r="O101" s="31">
        <f>-SUMIFS('PL Actual MTM - Aug 26'!G:G,'PL Actual MTM - Aug 26'!$R:$R,$D101)/10^6</f>
        <v>-27.407216999999999</v>
      </c>
      <c r="P101" s="31">
        <f>-SUMIFS('PL Actual MTM - Aug 26'!H:H,'PL Actual MTM - Aug 26'!$R:$R,$D101)/10^6</f>
        <v>-19.065766510000003</v>
      </c>
      <c r="Q101" s="31">
        <f>-SUMIFS('PL Actual MTM - Aug 26'!I:I,'PL Actual MTM - Aug 26'!$R:$R,$D101)/10^6</f>
        <v>-52.59251356</v>
      </c>
      <c r="R101" s="31">
        <f>-SUMIFS('PL Actual MTM - Aug 26'!J:J,'PL Actual MTM - Aug 26'!$R:$R,$D101)/10^6</f>
        <v>-38.014044159999997</v>
      </c>
      <c r="S101" s="31">
        <f>-SUMIFS('PL Actual MTM - Aug 26'!K:K,'PL Actual MTM - Aug 26'!$R:$R,$D101)/10^6</f>
        <v>-23.302071999999999</v>
      </c>
      <c r="T101" s="47">
        <f t="shared" ref="T101:AI101" si="55">AVERAGE(Q101:S101)</f>
        <v>-37.96954324</v>
      </c>
      <c r="U101" s="47">
        <f t="shared" si="55"/>
        <v>-33.095219799999995</v>
      </c>
      <c r="V101" s="47">
        <f t="shared" si="55"/>
        <v>-31.455611680000001</v>
      </c>
      <c r="W101" s="47">
        <f t="shared" si="55"/>
        <v>-34.173458240000002</v>
      </c>
      <c r="X101" s="47">
        <f t="shared" si="55"/>
        <v>-32.908096573333331</v>
      </c>
      <c r="Y101" s="47">
        <f t="shared" si="55"/>
        <v>-32.845722164444446</v>
      </c>
      <c r="Z101" s="47">
        <f t="shared" si="55"/>
        <v>-33.309092325925924</v>
      </c>
      <c r="AA101" s="47">
        <f t="shared" si="55"/>
        <v>-33.020970354567901</v>
      </c>
      <c r="AB101" s="47">
        <f t="shared" si="55"/>
        <v>-33.058594948312759</v>
      </c>
      <c r="AC101" s="47">
        <f t="shared" si="55"/>
        <v>-33.129552542935528</v>
      </c>
      <c r="AD101" s="47">
        <f t="shared" si="55"/>
        <v>-33.069705948605396</v>
      </c>
      <c r="AE101" s="47">
        <f t="shared" si="55"/>
        <v>-33.085951146617894</v>
      </c>
      <c r="AF101" s="47">
        <f t="shared" si="55"/>
        <v>-33.095069879386273</v>
      </c>
      <c r="AG101" s="47">
        <f t="shared" si="55"/>
        <v>-33.083575658203188</v>
      </c>
      <c r="AH101" s="47">
        <f t="shared" si="55"/>
        <v>-33.08819889473579</v>
      </c>
      <c r="AI101" s="47">
        <f t="shared" si="55"/>
        <v>-33.088948144108421</v>
      </c>
      <c r="AJ101" s="35">
        <f t="shared" si="38"/>
        <v>-396.78347858117684</v>
      </c>
    </row>
    <row r="102" spans="1:36" ht="14.25" customHeight="1" x14ac:dyDescent="0.35">
      <c r="A102" s="21"/>
      <c r="B102" s="21"/>
      <c r="C102" s="33"/>
      <c r="D102" s="33" t="s">
        <v>83</v>
      </c>
      <c r="E102" s="21"/>
      <c r="F102" s="21"/>
      <c r="G102" s="21"/>
      <c r="H102" s="22" t="s">
        <v>19</v>
      </c>
      <c r="I102" s="34">
        <f t="shared" si="36"/>
        <v>0</v>
      </c>
      <c r="J102" s="31"/>
      <c r="K102" s="31">
        <f t="shared" si="37"/>
        <v>-29.761512999999997</v>
      </c>
      <c r="L102" s="31">
        <f>-SUMIFS('PL Actual MTM - Aug 26'!D:D,'PL Actual MTM - Aug 26'!$R:$R,$D102)/10^6</f>
        <v>-3.0335369999999999</v>
      </c>
      <c r="M102" s="31">
        <f>-SUMIFS('PL Actual MTM - Aug 26'!E:E,'PL Actual MTM - Aug 26'!$R:$R,$D102)/10^6</f>
        <v>-3.0244900000000001</v>
      </c>
      <c r="N102" s="31">
        <f>-SUMIFS('PL Actual MTM - Aug 26'!F:F,'PL Actual MTM - Aug 26'!$R:$R,$D102)/10^6</f>
        <v>-3.0244900000000001</v>
      </c>
      <c r="O102" s="31">
        <f>-SUMIFS('PL Actual MTM - Aug 26'!G:G,'PL Actual MTM - Aug 26'!$R:$R,$D102)/10^6</f>
        <v>-2</v>
      </c>
      <c r="P102" s="31">
        <f>-SUMIFS('PL Actual MTM - Aug 26'!H:H,'PL Actual MTM - Aug 26'!$R:$R,$D102)/10^6</f>
        <v>-2.6204900000000002</v>
      </c>
      <c r="Q102" s="31">
        <f>-SUMIFS('PL Actual MTM - Aug 26'!I:I,'PL Actual MTM - Aug 26'!$R:$R,$D102)/10^6</f>
        <v>-2.6224210000000001</v>
      </c>
      <c r="R102" s="31">
        <f>-SUMIFS('PL Actual MTM - Aug 26'!J:J,'PL Actual MTM - Aug 26'!$R:$R,$D102)/10^6</f>
        <v>-2.6213229999999998</v>
      </c>
      <c r="S102" s="31">
        <f>-SUMIFS('PL Actual MTM - Aug 26'!K:K,'PL Actual MTM - Aug 26'!$R:$R,$D102)/10^6</f>
        <v>-1.624098</v>
      </c>
      <c r="T102" s="47">
        <v>-2.297666</v>
      </c>
      <c r="U102" s="47">
        <v>-2.297666</v>
      </c>
      <c r="V102" s="47">
        <v>-2.297666</v>
      </c>
      <c r="W102" s="47">
        <v>-2.297666</v>
      </c>
      <c r="X102" s="47">
        <v>-2.297666</v>
      </c>
      <c r="Y102" s="47">
        <v>-2.297666</v>
      </c>
      <c r="Z102" s="47">
        <v>-2.297666</v>
      </c>
      <c r="AA102" s="47">
        <v>-2.297666</v>
      </c>
      <c r="AB102" s="47">
        <v>-2.297666</v>
      </c>
      <c r="AC102" s="47">
        <v>-2.297666</v>
      </c>
      <c r="AD102" s="47">
        <v>-2.297666</v>
      </c>
      <c r="AE102" s="47">
        <v>-2.297666</v>
      </c>
      <c r="AF102" s="47">
        <v>-2.297666</v>
      </c>
      <c r="AG102" s="47">
        <v>-2.297666</v>
      </c>
      <c r="AH102" s="47">
        <v>-2.297666</v>
      </c>
      <c r="AI102" s="47">
        <v>-2.297666</v>
      </c>
      <c r="AJ102" s="35">
        <f t="shared" si="38"/>
        <v>-27.571991999999998</v>
      </c>
    </row>
    <row r="103" spans="1:36" ht="14.25" customHeight="1" x14ac:dyDescent="0.35">
      <c r="A103" s="21"/>
      <c r="B103" s="21"/>
      <c r="C103" s="33"/>
      <c r="D103" s="33" t="s">
        <v>84</v>
      </c>
      <c r="E103" s="21"/>
      <c r="F103" s="21"/>
      <c r="G103" s="21"/>
      <c r="H103" s="22" t="s">
        <v>19</v>
      </c>
      <c r="I103" s="34">
        <f t="shared" si="36"/>
        <v>0</v>
      </c>
      <c r="J103" s="31"/>
      <c r="K103" s="31">
        <f t="shared" si="37"/>
        <v>-292.67511800000005</v>
      </c>
      <c r="L103" s="31">
        <f>-SUMIFS('PL Actual MTM - Aug 26'!D:D,'PL Actual MTM - Aug 26'!$R:$R,$D103)/10^6</f>
        <v>-37.984712000000002</v>
      </c>
      <c r="M103" s="31">
        <f>-SUMIFS('PL Actual MTM - Aug 26'!E:E,'PL Actual MTM - Aug 26'!$R:$R,$D103)/10^6</f>
        <v>-23.216004999999999</v>
      </c>
      <c r="N103" s="31">
        <f>-SUMIFS('PL Actual MTM - Aug 26'!F:F,'PL Actual MTM - Aug 26'!$R:$R,$D103)/10^6</f>
        <v>-44.325465999999999</v>
      </c>
      <c r="O103" s="31">
        <f>-SUMIFS('PL Actual MTM - Aug 26'!G:G,'PL Actual MTM - Aug 26'!$R:$R,$D103)/10^6</f>
        <v>-29.944320000000001</v>
      </c>
      <c r="P103" s="31">
        <f>-SUMIFS('PL Actual MTM - Aug 26'!H:H,'PL Actual MTM - Aug 26'!$R:$R,$D103)/10^6</f>
        <v>-20.697212</v>
      </c>
      <c r="Q103" s="31">
        <f>-SUMIFS('PL Actual MTM - Aug 26'!I:I,'PL Actual MTM - Aug 26'!$R:$R,$D103)/10^6</f>
        <v>-13.408338000000001</v>
      </c>
      <c r="R103" s="31">
        <f>-SUMIFS('PL Actual MTM - Aug 26'!J:J,'PL Actual MTM - Aug 26'!$R:$R,$D103)/10^6</f>
        <v>-14.875215000000001</v>
      </c>
      <c r="S103" s="31">
        <f>-SUMIFS('PL Actual MTM - Aug 26'!K:K,'PL Actual MTM - Aug 26'!$R:$R,$D103)/10^6</f>
        <v>-25.046545999999999</v>
      </c>
      <c r="T103" s="47">
        <v>-20.794326000000002</v>
      </c>
      <c r="U103" s="47">
        <v>-20.794326000000002</v>
      </c>
      <c r="V103" s="47">
        <v>-20.794326000000002</v>
      </c>
      <c r="W103" s="47">
        <v>-20.794326000000002</v>
      </c>
      <c r="X103" s="47">
        <v>-20.794326000000002</v>
      </c>
      <c r="Y103" s="47">
        <v>-20.794326000000002</v>
      </c>
      <c r="Z103" s="47">
        <v>-20.794326000000002</v>
      </c>
      <c r="AA103" s="47">
        <v>-20.794326000000002</v>
      </c>
      <c r="AB103" s="47">
        <v>-20.794326000000002</v>
      </c>
      <c r="AC103" s="47">
        <v>-20.794326000000002</v>
      </c>
      <c r="AD103" s="47">
        <v>-20.794326000000002</v>
      </c>
      <c r="AE103" s="47">
        <v>-20.794326000000002</v>
      </c>
      <c r="AF103" s="47">
        <v>-20.794326000000002</v>
      </c>
      <c r="AG103" s="47">
        <v>-20.794326000000002</v>
      </c>
      <c r="AH103" s="47">
        <v>-20.794326000000002</v>
      </c>
      <c r="AI103" s="47">
        <v>-20.794326000000002</v>
      </c>
      <c r="AJ103" s="35">
        <f t="shared" si="38"/>
        <v>-249.53191200000006</v>
      </c>
    </row>
    <row r="104" spans="1:36" ht="14.25" customHeight="1" x14ac:dyDescent="0.35">
      <c r="A104" s="21"/>
      <c r="B104" s="21"/>
      <c r="C104" s="33"/>
      <c r="D104" s="33" t="s">
        <v>85</v>
      </c>
      <c r="E104" s="21"/>
      <c r="F104" s="21"/>
      <c r="G104" s="21"/>
      <c r="H104" s="22" t="s">
        <v>19</v>
      </c>
      <c r="I104" s="34">
        <f t="shared" si="36"/>
        <v>0</v>
      </c>
      <c r="J104" s="31"/>
      <c r="K104" s="31">
        <f t="shared" si="37"/>
        <v>-84.130323830000009</v>
      </c>
      <c r="L104" s="31">
        <f>-SUMIFS('PL Actual MTM - Aug 26'!D:D,'PL Actual MTM - Aug 26'!$R:$R,$D104)/10^6</f>
        <v>-5.7963785600000008</v>
      </c>
      <c r="M104" s="31">
        <f>-SUMIFS('PL Actual MTM - Aug 26'!E:E,'PL Actual MTM - Aug 26'!$R:$R,$D104)/10^6</f>
        <v>-12.237045220000001</v>
      </c>
      <c r="N104" s="31">
        <f>-SUMIFS('PL Actual MTM - Aug 26'!F:F,'PL Actual MTM - Aug 26'!$R:$R,$D104)/10^6</f>
        <v>-9.0067118900000001</v>
      </c>
      <c r="O104" s="31">
        <f>-SUMIFS('PL Actual MTM - Aug 26'!G:G,'PL Actual MTM - Aug 26'!$R:$R,$D104)/10^6</f>
        <v>-9.0067118900000001</v>
      </c>
      <c r="P104" s="31">
        <f>-SUMIFS('PL Actual MTM - Aug 26'!H:H,'PL Actual MTM - Aug 26'!$R:$R,$D104)/10^6</f>
        <v>-9.0067118900000001</v>
      </c>
      <c r="Q104" s="31">
        <f>-SUMIFS('PL Actual MTM - Aug 26'!I:I,'PL Actual MTM - Aug 26'!$R:$R,$D104)/10^6</f>
        <v>-7.2826817200000002</v>
      </c>
      <c r="R104" s="31">
        <f>-SUMIFS('PL Actual MTM - Aug 26'!J:J,'PL Actual MTM - Aug 26'!$R:$R,$D104)/10^6</f>
        <v>-3.2103333300000001</v>
      </c>
      <c r="S104" s="31">
        <f>-SUMIFS('PL Actual MTM - Aug 26'!K:K,'PL Actual MTM - Aug 26'!$R:$R,$D104)/10^6</f>
        <v>-3.2103333300000001</v>
      </c>
      <c r="T104" s="47">
        <v>-6.3433539999999997</v>
      </c>
      <c r="U104" s="47">
        <v>-6.3433539999999997</v>
      </c>
      <c r="V104" s="47">
        <v>-6.3433539999999997</v>
      </c>
      <c r="W104" s="47">
        <v>-6.3433539999999997</v>
      </c>
      <c r="X104" s="47">
        <v>-6.3433539999999997</v>
      </c>
      <c r="Y104" s="47">
        <v>-6.3433539999999997</v>
      </c>
      <c r="Z104" s="47">
        <v>-6.3433539999999997</v>
      </c>
      <c r="AA104" s="47">
        <v>-6.3433539999999997</v>
      </c>
      <c r="AB104" s="47">
        <v>-6.3433539999999997</v>
      </c>
      <c r="AC104" s="47">
        <v>-6.3433539999999997</v>
      </c>
      <c r="AD104" s="47">
        <v>-6.3433539999999997</v>
      </c>
      <c r="AE104" s="47">
        <v>-6.3433539999999997</v>
      </c>
      <c r="AF104" s="47">
        <v>-6.3433539999999997</v>
      </c>
      <c r="AG104" s="47">
        <v>-6.3433539999999997</v>
      </c>
      <c r="AH104" s="47">
        <v>-6.3433539999999997</v>
      </c>
      <c r="AI104" s="47">
        <v>-6.3433539999999997</v>
      </c>
      <c r="AJ104" s="35">
        <f t="shared" si="38"/>
        <v>-76.120247999999989</v>
      </c>
    </row>
    <row r="105" spans="1:36" ht="14.25" customHeight="1" x14ac:dyDescent="0.35">
      <c r="A105" s="21"/>
      <c r="B105" s="21"/>
      <c r="C105" s="33"/>
      <c r="D105" s="33" t="s">
        <v>86</v>
      </c>
      <c r="E105" s="21"/>
      <c r="F105" s="21"/>
      <c r="G105" s="21"/>
      <c r="H105" s="22" t="s">
        <v>19</v>
      </c>
      <c r="I105" s="34">
        <f t="shared" si="36"/>
        <v>0</v>
      </c>
      <c r="J105" s="31"/>
      <c r="K105" s="31">
        <f t="shared" si="37"/>
        <v>-47.084497660000004</v>
      </c>
      <c r="L105" s="31">
        <f>-SUMIFS('PL Actual MTM - Aug 26'!D:D,'PL Actual MTM - Aug 26'!$R:$R,$D105)/10^6</f>
        <v>-3.235833</v>
      </c>
      <c r="M105" s="31">
        <f>-SUMIFS('PL Actual MTM - Aug 26'!E:E,'PL Actual MTM - Aug 26'!$R:$R,$D105)/10^6</f>
        <v>-3.3858329999999999</v>
      </c>
      <c r="N105" s="31">
        <f>-SUMIFS('PL Actual MTM - Aug 26'!F:F,'PL Actual MTM - Aug 26'!$R:$R,$D105)/10^6</f>
        <v>-3.2358333300000002</v>
      </c>
      <c r="O105" s="31">
        <f>-SUMIFS('PL Actual MTM - Aug 26'!G:G,'PL Actual MTM - Aug 26'!$R:$R,$D105)/10^6</f>
        <v>-3.2358333300000002</v>
      </c>
      <c r="P105" s="31">
        <f>-SUMIFS('PL Actual MTM - Aug 26'!H:H,'PL Actual MTM - Aug 26'!$R:$R,$D105)/10^6</f>
        <v>-6.0358330000000002</v>
      </c>
      <c r="Q105" s="31">
        <f>-SUMIFS('PL Actual MTM - Aug 26'!I:I,'PL Actual MTM - Aug 26'!$R:$R,$D105)/10^6</f>
        <v>-3.24</v>
      </c>
      <c r="R105" s="31">
        <f>-SUMIFS('PL Actual MTM - Aug 26'!J:J,'PL Actual MTM - Aug 26'!$R:$R,$D105)/10^6</f>
        <v>-3.24</v>
      </c>
      <c r="S105" s="31">
        <f>-SUMIFS('PL Actual MTM - Aug 26'!K:K,'PL Actual MTM - Aug 26'!$R:$R,$D105)/10^6</f>
        <v>-4.93</v>
      </c>
      <c r="T105" s="47">
        <v>-4.1363329999999996</v>
      </c>
      <c r="U105" s="47">
        <v>-4.1363329999999996</v>
      </c>
      <c r="V105" s="47">
        <v>-4.1363329999999996</v>
      </c>
      <c r="W105" s="47">
        <v>-4.1363329999999996</v>
      </c>
      <c r="X105" s="47">
        <v>-4.1363329999999996</v>
      </c>
      <c r="Y105" s="47">
        <v>-4.1363329999999996</v>
      </c>
      <c r="Z105" s="47">
        <v>-4.1363329999999996</v>
      </c>
      <c r="AA105" s="47">
        <v>-4.1363329999999996</v>
      </c>
      <c r="AB105" s="47">
        <v>-4.1363329999999996</v>
      </c>
      <c r="AC105" s="47">
        <v>-4.1363329999999996</v>
      </c>
      <c r="AD105" s="47">
        <v>-4.1363329999999996</v>
      </c>
      <c r="AE105" s="47">
        <v>-4.1363329999999996</v>
      </c>
      <c r="AF105" s="47">
        <v>-4.1363329999999996</v>
      </c>
      <c r="AG105" s="47">
        <v>-4.1363329999999996</v>
      </c>
      <c r="AH105" s="47">
        <v>-4.1363329999999996</v>
      </c>
      <c r="AI105" s="47">
        <v>-4.1363329999999996</v>
      </c>
      <c r="AJ105" s="35">
        <f t="shared" si="38"/>
        <v>-49.635995999999999</v>
      </c>
    </row>
    <row r="106" spans="1:36" ht="14.25" customHeight="1" x14ac:dyDescent="0.35">
      <c r="A106" s="21"/>
      <c r="B106" s="21"/>
      <c r="C106" s="33"/>
      <c r="D106" s="33" t="s">
        <v>87</v>
      </c>
      <c r="E106" s="21"/>
      <c r="F106" s="21"/>
      <c r="G106" s="21"/>
      <c r="H106" s="22" t="s">
        <v>19</v>
      </c>
      <c r="I106" s="34">
        <f t="shared" si="36"/>
        <v>0</v>
      </c>
      <c r="J106" s="31"/>
      <c r="K106" s="31">
        <f t="shared" si="37"/>
        <v>-993.74881270000003</v>
      </c>
      <c r="L106" s="31">
        <f>-SUMIFS('PL Actual MTM - Aug 26'!D:D,'PL Actual MTM - Aug 26'!$R:$R,$D106)/10^6</f>
        <v>-78.240488769999999</v>
      </c>
      <c r="M106" s="31">
        <f>-SUMIFS('PL Actual MTM - Aug 26'!E:E,'PL Actual MTM - Aug 26'!$R:$R,$D106)/10^6</f>
        <v>-79.295609200000001</v>
      </c>
      <c r="N106" s="31">
        <f>-SUMIFS('PL Actual MTM - Aug 26'!F:F,'PL Actual MTM - Aug 26'!$R:$R,$D106)/10^6</f>
        <v>-244.35565974000002</v>
      </c>
      <c r="O106" s="31">
        <f>-SUMIFS('PL Actual MTM - Aug 26'!G:G,'PL Actual MTM - Aug 26'!$R:$R,$D106)/10^6</f>
        <v>-73.960159289999993</v>
      </c>
      <c r="P106" s="31">
        <f>-SUMIFS('PL Actual MTM - Aug 26'!H:H,'PL Actual MTM - Aug 26'!$R:$R,$D106)/10^6</f>
        <v>-61.774890079999999</v>
      </c>
      <c r="Q106" s="31">
        <f>-SUMIFS('PL Actual MTM - Aug 26'!I:I,'PL Actual MTM - Aug 26'!$R:$R,$D106)/10^6</f>
        <v>-53.197957209999998</v>
      </c>
      <c r="R106" s="31">
        <f>-SUMIFS('PL Actual MTM - Aug 26'!J:J,'PL Actual MTM - Aug 26'!$R:$R,$D106)/10^6</f>
        <v>-61.116657870000004</v>
      </c>
      <c r="S106" s="31">
        <f>-SUMIFS('PL Actual MTM - Aug 26'!K:K,'PL Actual MTM - Aug 26'!$R:$R,$D106)/10^6</f>
        <v>-78.759810540000004</v>
      </c>
      <c r="T106" s="47">
        <v>-65.761894999999996</v>
      </c>
      <c r="U106" s="47">
        <v>-65.761894999999996</v>
      </c>
      <c r="V106" s="47">
        <v>-65.761894999999996</v>
      </c>
      <c r="W106" s="47">
        <v>-65.761894999999996</v>
      </c>
      <c r="X106" s="47">
        <v>-65.761894999999996</v>
      </c>
      <c r="Y106" s="47">
        <v>-65.761894999999996</v>
      </c>
      <c r="Z106" s="47">
        <v>-65.761894999999996</v>
      </c>
      <c r="AA106" s="47">
        <v>-65.761894999999996</v>
      </c>
      <c r="AB106" s="47">
        <v>-65.761894999999996</v>
      </c>
      <c r="AC106" s="47">
        <v>-65.761894999999996</v>
      </c>
      <c r="AD106" s="47">
        <v>-65.761894999999996</v>
      </c>
      <c r="AE106" s="47">
        <v>-65.761894999999996</v>
      </c>
      <c r="AF106" s="47">
        <v>-65.761894999999996</v>
      </c>
      <c r="AG106" s="47">
        <v>-65.761894999999996</v>
      </c>
      <c r="AH106" s="47">
        <v>-65.761894999999996</v>
      </c>
      <c r="AI106" s="47">
        <v>-65.761894999999996</v>
      </c>
      <c r="AJ106" s="35">
        <f t="shared" si="38"/>
        <v>-789.14273999999989</v>
      </c>
    </row>
    <row r="107" spans="1:36" ht="14.25" customHeight="1" x14ac:dyDescent="0.35">
      <c r="A107" s="21"/>
      <c r="B107" s="21"/>
      <c r="C107" s="33"/>
      <c r="D107" s="33" t="s">
        <v>88</v>
      </c>
      <c r="E107" s="21"/>
      <c r="F107" s="21"/>
      <c r="G107" s="21"/>
      <c r="H107" s="22" t="s">
        <v>19</v>
      </c>
      <c r="I107" s="34">
        <f t="shared" si="36"/>
        <v>0</v>
      </c>
      <c r="J107" s="31"/>
      <c r="K107" s="31">
        <f t="shared" si="37"/>
        <v>-66.66</v>
      </c>
      <c r="L107" s="31">
        <f>-SUMIFS('PL Actual MTM - Aug 26'!D:D,'PL Actual MTM - Aug 26'!$R:$R,$D107)/10^6</f>
        <v>-5.55</v>
      </c>
      <c r="M107" s="31">
        <f>-SUMIFS('PL Actual MTM - Aug 26'!E:E,'PL Actual MTM - Aug 26'!$R:$R,$D107)/10^6</f>
        <v>-6.1</v>
      </c>
      <c r="N107" s="31">
        <f>-SUMIFS('PL Actual MTM - Aug 26'!F:F,'PL Actual MTM - Aug 26'!$R:$R,$D107)/10^6</f>
        <v>-6.5</v>
      </c>
      <c r="O107" s="31">
        <f>-SUMIFS('PL Actual MTM - Aug 26'!G:G,'PL Actual MTM - Aug 26'!$R:$R,$D107)/10^6</f>
        <v>-5.85</v>
      </c>
      <c r="P107" s="31">
        <f>-SUMIFS('PL Actual MTM - Aug 26'!H:H,'PL Actual MTM - Aug 26'!$R:$R,$D107)/10^6</f>
        <v>-4.5</v>
      </c>
      <c r="Q107" s="31">
        <f>-SUMIFS('PL Actual MTM - Aug 26'!I:I,'PL Actual MTM - Aug 26'!$R:$R,$D107)/10^6</f>
        <v>-4.8</v>
      </c>
      <c r="R107" s="31">
        <f>-SUMIFS('PL Actual MTM - Aug 26'!J:J,'PL Actual MTM - Aug 26'!$R:$R,$D107)/10^6</f>
        <v>-5.5</v>
      </c>
      <c r="S107" s="31">
        <f>-SUMIFS('PL Actual MTM - Aug 26'!K:K,'PL Actual MTM - Aug 26'!$R:$R,$D107)/10^6</f>
        <v>-6.3</v>
      </c>
      <c r="T107" s="47">
        <v>-5.39</v>
      </c>
      <c r="U107" s="47">
        <v>-5.39</v>
      </c>
      <c r="V107" s="47">
        <v>-5.39</v>
      </c>
      <c r="W107" s="47">
        <v>-5.39</v>
      </c>
      <c r="X107" s="47">
        <v>-5.39</v>
      </c>
      <c r="Y107" s="47">
        <v>-5.39</v>
      </c>
      <c r="Z107" s="47">
        <v>-5.39</v>
      </c>
      <c r="AA107" s="47">
        <v>-5.39</v>
      </c>
      <c r="AB107" s="47">
        <v>-5.39</v>
      </c>
      <c r="AC107" s="47">
        <v>-5.39</v>
      </c>
      <c r="AD107" s="47">
        <v>-5.39</v>
      </c>
      <c r="AE107" s="47">
        <v>-5.39</v>
      </c>
      <c r="AF107" s="47">
        <v>-5.39</v>
      </c>
      <c r="AG107" s="47">
        <v>-5.39</v>
      </c>
      <c r="AH107" s="47">
        <v>-5.39</v>
      </c>
      <c r="AI107" s="47">
        <v>-5.39</v>
      </c>
      <c r="AJ107" s="35">
        <f t="shared" si="38"/>
        <v>-64.679999999999993</v>
      </c>
    </row>
    <row r="108" spans="1:36" ht="14.25" customHeight="1" x14ac:dyDescent="0.35">
      <c r="A108" s="21"/>
      <c r="B108" s="21"/>
      <c r="C108" s="33"/>
      <c r="D108" s="33" t="s">
        <v>89</v>
      </c>
      <c r="E108" s="21"/>
      <c r="F108" s="21"/>
      <c r="G108" s="21"/>
      <c r="H108" s="22" t="s">
        <v>19</v>
      </c>
      <c r="I108" s="34">
        <f t="shared" si="36"/>
        <v>0</v>
      </c>
      <c r="J108" s="31"/>
      <c r="K108" s="31">
        <f t="shared" si="37"/>
        <v>-996.82107599999983</v>
      </c>
      <c r="L108" s="31">
        <f>-SUMIFS('PL Actual MTM - Aug 26'!D:D,'PL Actual MTM - Aug 26'!$R:$R,$D108)/10^6</f>
        <v>-109.268792</v>
      </c>
      <c r="M108" s="31">
        <f>-SUMIFS('PL Actual MTM - Aug 26'!E:E,'PL Actual MTM - Aug 26'!$R:$R,$D108)/10^6</f>
        <v>-75.196625999999995</v>
      </c>
      <c r="N108" s="31">
        <f>-SUMIFS('PL Actual MTM - Aug 26'!F:F,'PL Actual MTM - Aug 26'!$R:$R,$D108)/10^6</f>
        <v>-72.728424000000004</v>
      </c>
      <c r="O108" s="31">
        <f>-SUMIFS('PL Actual MTM - Aug 26'!G:G,'PL Actual MTM - Aug 26'!$R:$R,$D108)/10^6</f>
        <v>-76.077504000000005</v>
      </c>
      <c r="P108" s="31">
        <f>-SUMIFS('PL Actual MTM - Aug 26'!H:H,'PL Actual MTM - Aug 26'!$R:$R,$D108)/10^6</f>
        <v>-103.728424</v>
      </c>
      <c r="Q108" s="31">
        <f>-SUMIFS('PL Actual MTM - Aug 26'!I:I,'PL Actual MTM - Aug 26'!$R:$R,$D108)/10^6</f>
        <v>-70.884576999999993</v>
      </c>
      <c r="R108" s="31">
        <f>-SUMIFS('PL Actual MTM - Aug 26'!J:J,'PL Actual MTM - Aug 26'!$R:$R,$D108)/10^6</f>
        <v>-103.27573099999999</v>
      </c>
      <c r="S108" s="31">
        <f>-SUMIFS('PL Actual MTM - Aug 26'!K:K,'PL Actual MTM - Aug 26'!$R:$R,$D108)/10^6</f>
        <v>-56.937781999999999</v>
      </c>
      <c r="T108" s="47">
        <v>-82.180803999999995</v>
      </c>
      <c r="U108" s="47">
        <v>-82.180803999999995</v>
      </c>
      <c r="V108" s="47">
        <v>-82.180803999999995</v>
      </c>
      <c r="W108" s="47">
        <v>-82.180803999999995</v>
      </c>
      <c r="X108" s="47">
        <v>-82.180803999999995</v>
      </c>
      <c r="Y108" s="47">
        <v>-82.180803999999995</v>
      </c>
      <c r="Z108" s="47">
        <v>-82.180803999999995</v>
      </c>
      <c r="AA108" s="47">
        <v>-82.180803999999995</v>
      </c>
      <c r="AB108" s="47">
        <v>-82.180803999999995</v>
      </c>
      <c r="AC108" s="47">
        <v>-82.180803999999995</v>
      </c>
      <c r="AD108" s="47">
        <v>-82.180803999999995</v>
      </c>
      <c r="AE108" s="47">
        <v>-82.180803999999995</v>
      </c>
      <c r="AF108" s="47">
        <v>-82.180803999999995</v>
      </c>
      <c r="AG108" s="47">
        <v>-82.180803999999995</v>
      </c>
      <c r="AH108" s="47">
        <v>-82.180803999999995</v>
      </c>
      <c r="AI108" s="47">
        <v>-82.180803999999995</v>
      </c>
      <c r="AJ108" s="35">
        <f t="shared" si="38"/>
        <v>-986.16964799999971</v>
      </c>
    </row>
    <row r="109" spans="1:36" ht="14.25" customHeight="1" x14ac:dyDescent="0.35">
      <c r="A109" s="21"/>
      <c r="B109" s="21"/>
      <c r="C109" s="33"/>
      <c r="D109" s="33" t="s">
        <v>90</v>
      </c>
      <c r="E109" s="21"/>
      <c r="F109" s="21"/>
      <c r="G109" s="21"/>
      <c r="H109" s="22" t="s">
        <v>19</v>
      </c>
      <c r="I109" s="34">
        <f t="shared" si="36"/>
        <v>0</v>
      </c>
      <c r="J109" s="31"/>
      <c r="K109" s="31">
        <f t="shared" si="37"/>
        <v>-1199.8901349258331</v>
      </c>
      <c r="L109" s="31">
        <f>-SUMIFS('PL Actual MTM - Aug 26'!D:D,'PL Actual MTM - Aug 26'!$R:$R,$D109)/10^6</f>
        <v>-97.250924420000004</v>
      </c>
      <c r="M109" s="31">
        <f>-SUMIFS('PL Actual MTM - Aug 26'!E:E,'PL Actual MTM - Aug 26'!$R:$R,$D109)/10^6</f>
        <v>-97.105731289999994</v>
      </c>
      <c r="N109" s="31">
        <f>-SUMIFS('PL Actual MTM - Aug 26'!F:F,'PL Actual MTM - Aug 26'!$R:$R,$D109)/10^6</f>
        <v>-94.677295970000003</v>
      </c>
      <c r="O109" s="31">
        <f>-SUMIFS('PL Actual MTM - Aug 26'!G:G,'PL Actual MTM - Aug 26'!$R:$R,$D109)/10^6</f>
        <v>-94.650589719999999</v>
      </c>
      <c r="P109" s="31">
        <f>-SUMIFS('PL Actual MTM - Aug 26'!H:H,'PL Actual MTM - Aug 26'!$R:$R,$D109)/10^6</f>
        <v>-100.93034272</v>
      </c>
      <c r="Q109" s="31">
        <f>-SUMIFS('PL Actual MTM - Aug 26'!I:I,'PL Actual MTM - Aug 26'!$R:$R,$D109)/10^6</f>
        <v>-100.99269256999999</v>
      </c>
      <c r="R109" s="31">
        <f>-SUMIFS('PL Actual MTM - Aug 26'!J:J,'PL Actual MTM - Aug 26'!$R:$R,$D109)/10^6</f>
        <v>-101.66110470999999</v>
      </c>
      <c r="S109" s="31">
        <f>-SUMIFS('PL Actual MTM - Aug 26'!K:K,'PL Actual MTM - Aug 26'!$R:$R,$D109)/10^6</f>
        <v>-102.61578884000001</v>
      </c>
      <c r="T109" s="31">
        <f>-'Register FA'!AG1448/10^6</f>
        <v>-102.61578878083326</v>
      </c>
      <c r="U109" s="31">
        <f>-'Register FA'!AH1448/10^6</f>
        <v>-102.47412211416659</v>
      </c>
      <c r="V109" s="31">
        <f>-'Register FA'!AI1448/10^6</f>
        <v>-102.47412211416659</v>
      </c>
      <c r="W109" s="31">
        <f>-'Register FA'!AJ1448/10^6</f>
        <v>-102.44163167666659</v>
      </c>
      <c r="X109" s="31">
        <f>-'Register FA'!AK1448/10^6</f>
        <v>-102.36467971833326</v>
      </c>
      <c r="Y109" s="31">
        <f>-'Register FA'!AL1448/10^6</f>
        <v>-102.27717971833326</v>
      </c>
      <c r="Z109" s="31">
        <f>-'Register FA'!AM1448/10^6</f>
        <v>-102.05881513499993</v>
      </c>
      <c r="AA109" s="31">
        <f>-'Register FA'!AN1448/10^6</f>
        <v>-101.35377555166659</v>
      </c>
      <c r="AB109" s="31">
        <f>-'Register FA'!AO1448/10^6</f>
        <v>-101.35377555166659</v>
      </c>
      <c r="AC109" s="31">
        <f>-'Register FA'!AP1448/10^6</f>
        <v>-101.35377555166659</v>
      </c>
      <c r="AD109" s="31">
        <f>-'Register FA'!AQ1448/10^6</f>
        <v>-101.11225609333326</v>
      </c>
      <c r="AE109" s="31">
        <f>-'Register FA'!AR1448/10^6</f>
        <v>-101.06850609333324</v>
      </c>
      <c r="AF109" s="31">
        <f>-'Register FA'!AS1448/10^6</f>
        <v>-100.6917519266666</v>
      </c>
      <c r="AG109" s="31">
        <f>-'Register FA'!AT1448/10^6</f>
        <v>-99.685758114166603</v>
      </c>
      <c r="AH109" s="31">
        <f>-'Register FA'!AU1448/10^6</f>
        <v>-99.58337448958325</v>
      </c>
      <c r="AI109" s="31">
        <f>-'Register FA'!AV1448/10^6</f>
        <v>-99.58337448958325</v>
      </c>
      <c r="AJ109" s="35">
        <f t="shared" si="38"/>
        <v>-1212.4870224333324</v>
      </c>
    </row>
    <row r="110" spans="1:36" ht="14.25" customHeight="1" x14ac:dyDescent="0.35">
      <c r="A110" s="21"/>
      <c r="B110" s="21"/>
      <c r="C110" s="33"/>
      <c r="D110" s="33" t="s">
        <v>91</v>
      </c>
      <c r="E110" s="21"/>
      <c r="F110" s="21"/>
      <c r="G110" s="21"/>
      <c r="H110" s="22" t="s">
        <v>19</v>
      </c>
      <c r="I110" s="34">
        <f>IFERROR((K110/J110)-1,0)</f>
        <v>0</v>
      </c>
      <c r="J110" s="31"/>
      <c r="K110" s="31">
        <f t="shared" si="37"/>
        <v>-473.29306639000009</v>
      </c>
      <c r="L110" s="31">
        <f>-SUMIFS('PL Actual MTM - Aug 26'!D:D,'PL Actual MTM - Aug 26'!$R:$R,$D110)/10^6</f>
        <v>-37.213382840000001</v>
      </c>
      <c r="M110" s="31">
        <f>-SUMIFS('PL Actual MTM - Aug 26'!E:E,'PL Actual MTM - Aug 26'!$R:$R,$D110)/10^6</f>
        <v>-28.474399690000002</v>
      </c>
      <c r="N110" s="31">
        <f>-SUMIFS('PL Actual MTM - Aug 26'!F:F,'PL Actual MTM - Aug 26'!$R:$R,$D110)/10^6</f>
        <v>-200.24686887000001</v>
      </c>
      <c r="O110" s="31">
        <f>-SUMIFS('PL Actual MTM - Aug 26'!G:G,'PL Actual MTM - Aug 26'!$R:$R,$D110)/10^6</f>
        <v>-15.53167416</v>
      </c>
      <c r="P110" s="31">
        <f>-SUMIFS('PL Actual MTM - Aug 26'!H:H,'PL Actual MTM - Aug 26'!$R:$R,$D110)/10^6</f>
        <v>-23.335347110000001</v>
      </c>
      <c r="Q110" s="31">
        <f>-SUMIFS('PL Actual MTM - Aug 26'!I:I,'PL Actual MTM - Aug 26'!$R:$R,$D110)/10^6</f>
        <v>-16.984745050000001</v>
      </c>
      <c r="R110" s="31">
        <f>-SUMIFS('PL Actual MTM - Aug 26'!J:J,'PL Actual MTM - Aug 26'!$R:$R,$D110)/10^6</f>
        <v>-22.98272695</v>
      </c>
      <c r="S110" s="31">
        <f>-SUMIFS('PL Actual MTM - Aug 26'!K:K,'PL Actual MTM - Aug 26'!$R:$R,$D110)/10^6</f>
        <v>-36.364625719999999</v>
      </c>
      <c r="T110" s="31">
        <v>-23.039823999999999</v>
      </c>
      <c r="U110" s="31">
        <v>-23.039823999999999</v>
      </c>
      <c r="V110" s="31">
        <v>-23.039823999999999</v>
      </c>
      <c r="W110" s="31">
        <v>-23.039823999999999</v>
      </c>
      <c r="X110" s="31">
        <v>-23.039823999999999</v>
      </c>
      <c r="Y110" s="31">
        <v>-23.039823999999999</v>
      </c>
      <c r="Z110" s="31">
        <v>-23.039823999999999</v>
      </c>
      <c r="AA110" s="31">
        <v>-23.039823999999999</v>
      </c>
      <c r="AB110" s="31">
        <v>-23.039823999999999</v>
      </c>
      <c r="AC110" s="31">
        <v>-23.039823999999999</v>
      </c>
      <c r="AD110" s="31">
        <v>-23.039823999999999</v>
      </c>
      <c r="AE110" s="31">
        <v>-23.039823999999999</v>
      </c>
      <c r="AF110" s="31">
        <v>-23.039823999999999</v>
      </c>
      <c r="AG110" s="31">
        <v>-23.039823999999999</v>
      </c>
      <c r="AH110" s="31">
        <v>-23.039823999999999</v>
      </c>
      <c r="AI110" s="31">
        <v>-23.039823999999999</v>
      </c>
      <c r="AJ110" s="35">
        <f t="shared" si="38"/>
        <v>-276.47788800000006</v>
      </c>
    </row>
    <row r="111" spans="1:36" ht="14.25" customHeight="1" x14ac:dyDescent="0.35">
      <c r="A111" s="21"/>
      <c r="B111" s="21"/>
      <c r="C111" s="37" t="s">
        <v>92</v>
      </c>
      <c r="D111" s="37"/>
      <c r="E111" s="48"/>
      <c r="F111" s="48"/>
      <c r="G111" s="48"/>
      <c r="H111" s="38" t="s">
        <v>19</v>
      </c>
      <c r="I111" s="49">
        <f>IFERROR((K111-J111)/J111,0)</f>
        <v>0</v>
      </c>
      <c r="J111" s="50"/>
      <c r="K111" s="40">
        <f t="shared" ref="K111:AJ111" si="56">SUM(K94:K110)</f>
        <v>-11314.931802384719</v>
      </c>
      <c r="L111" s="40">
        <f t="shared" si="56"/>
        <v>-1051.6772860399999</v>
      </c>
      <c r="M111" s="40">
        <f t="shared" si="56"/>
        <v>-1047.5589368400001</v>
      </c>
      <c r="N111" s="40">
        <f t="shared" si="56"/>
        <v>-2131.37378975</v>
      </c>
      <c r="O111" s="40">
        <f t="shared" si="56"/>
        <v>-715.16615571</v>
      </c>
      <c r="P111" s="40">
        <f t="shared" si="56"/>
        <v>-922.82143164000013</v>
      </c>
      <c r="Q111" s="40">
        <f t="shared" si="56"/>
        <v>-740.54392170999995</v>
      </c>
      <c r="R111" s="40">
        <f t="shared" si="56"/>
        <v>-814.68036767000012</v>
      </c>
      <c r="S111" s="40">
        <f t="shared" si="56"/>
        <v>-912.39729242999999</v>
      </c>
      <c r="T111" s="40">
        <f t="shared" si="56"/>
        <v>-748.94489177039975</v>
      </c>
      <c r="U111" s="40">
        <f t="shared" si="56"/>
        <v>-742.60199055262194</v>
      </c>
      <c r="V111" s="40">
        <f t="shared" si="56"/>
        <v>-742.54736761780714</v>
      </c>
      <c r="W111" s="40">
        <f t="shared" si="56"/>
        <v>-744.61837065388738</v>
      </c>
      <c r="X111" s="40">
        <f t="shared" si="56"/>
        <v>-743.15729735810555</v>
      </c>
      <c r="Y111" s="40">
        <f t="shared" si="56"/>
        <v>-743.29138042521117</v>
      </c>
      <c r="Z111" s="40">
        <f t="shared" si="56"/>
        <v>-743.38666757629028</v>
      </c>
      <c r="AA111" s="40">
        <f t="shared" si="56"/>
        <v>-742.3986658143134</v>
      </c>
      <c r="AB111" s="40">
        <f t="shared" si="56"/>
        <v>-742.48275668860492</v>
      </c>
      <c r="AC111" s="40">
        <f t="shared" si="56"/>
        <v>-742.52101683195838</v>
      </c>
      <c r="AD111" s="40">
        <f t="shared" si="56"/>
        <v>-742.22596031995897</v>
      </c>
      <c r="AE111" s="40">
        <f t="shared" si="56"/>
        <v>-742.20514830795184</v>
      </c>
      <c r="AF111" s="40">
        <f t="shared" si="56"/>
        <v>-741.83094783384536</v>
      </c>
      <c r="AG111" s="40">
        <f t="shared" si="56"/>
        <v>-740.81560556364093</v>
      </c>
      <c r="AH111" s="40">
        <f t="shared" si="56"/>
        <v>-740.7186030133405</v>
      </c>
      <c r="AI111" s="40">
        <f t="shared" si="56"/>
        <v>-740.71813178305331</v>
      </c>
      <c r="AJ111" s="35">
        <f t="shared" si="56"/>
        <v>-8905.7521815162781</v>
      </c>
    </row>
    <row r="112" spans="1:36" ht="14.25" customHeight="1" x14ac:dyDescent="0.35">
      <c r="A112" s="21"/>
      <c r="B112" s="21"/>
      <c r="C112" s="51" t="s">
        <v>93</v>
      </c>
      <c r="D112" s="51"/>
      <c r="E112" s="52"/>
      <c r="F112" s="52"/>
      <c r="G112" s="52"/>
      <c r="H112" s="38" t="s">
        <v>19</v>
      </c>
      <c r="I112" s="53">
        <f>IFERROR((K112-J112)/J112,0)</f>
        <v>0</v>
      </c>
      <c r="J112" s="31"/>
      <c r="K112" s="31">
        <f t="shared" ref="K112:K120" si="57">SUM(L112:W112)</f>
        <v>5587.5159754001588</v>
      </c>
      <c r="L112" s="54">
        <f t="shared" ref="L112:AI112" si="58">L89+L111</f>
        <v>1650.5872606537894</v>
      </c>
      <c r="M112" s="54">
        <f t="shared" si="58"/>
        <v>1020.0602647838118</v>
      </c>
      <c r="N112" s="54">
        <f t="shared" si="58"/>
        <v>-858.5714606819306</v>
      </c>
      <c r="O112" s="54">
        <f t="shared" si="58"/>
        <v>258.50072881855942</v>
      </c>
      <c r="P112" s="54">
        <f t="shared" si="58"/>
        <v>157.71707378746737</v>
      </c>
      <c r="Q112" s="54">
        <f t="shared" si="58"/>
        <v>402.5296172166029</v>
      </c>
      <c r="R112" s="54">
        <f t="shared" si="58"/>
        <v>502.57841019990519</v>
      </c>
      <c r="S112" s="54">
        <f t="shared" si="58"/>
        <v>1038.5824459213623</v>
      </c>
      <c r="T112" s="54">
        <f t="shared" si="58"/>
        <v>448.21284429322043</v>
      </c>
      <c r="U112" s="54">
        <f t="shared" si="58"/>
        <v>370.06594760866381</v>
      </c>
      <c r="V112" s="54">
        <f t="shared" si="58"/>
        <v>301.07976180436799</v>
      </c>
      <c r="W112" s="54">
        <f t="shared" si="58"/>
        <v>296.17308099433865</v>
      </c>
      <c r="X112" s="54">
        <f t="shared" si="58"/>
        <v>297.65408985229851</v>
      </c>
      <c r="Y112" s="54">
        <f t="shared" si="58"/>
        <v>301.11367343858274</v>
      </c>
      <c r="Z112" s="54">
        <f t="shared" si="58"/>
        <v>300.24337348326014</v>
      </c>
      <c r="AA112" s="54">
        <f t="shared" si="58"/>
        <v>306.93816469784144</v>
      </c>
      <c r="AB112" s="54">
        <f t="shared" si="58"/>
        <v>307.33630976184327</v>
      </c>
      <c r="AC112" s="54">
        <f t="shared" si="58"/>
        <v>308.86744198644897</v>
      </c>
      <c r="AD112" s="54">
        <f t="shared" si="58"/>
        <v>310.05046179110479</v>
      </c>
      <c r="AE112" s="54">
        <f t="shared" si="58"/>
        <v>311.36619677787928</v>
      </c>
      <c r="AF112" s="54">
        <f t="shared" si="58"/>
        <v>311.72176492295671</v>
      </c>
      <c r="AG112" s="54">
        <f t="shared" si="58"/>
        <v>313.325804805394</v>
      </c>
      <c r="AH112" s="54">
        <f t="shared" si="58"/>
        <v>313.41492248528562</v>
      </c>
      <c r="AI112" s="54">
        <f t="shared" si="58"/>
        <v>313.75992462935699</v>
      </c>
      <c r="AJ112" s="35">
        <f t="shared" ref="AJ112:AJ120" si="59">SUM(X112:AI112)</f>
        <v>3695.7921286322521</v>
      </c>
    </row>
    <row r="113" spans="1:36" ht="14.25" customHeight="1" x14ac:dyDescent="0.35">
      <c r="A113" s="21"/>
      <c r="B113" s="21"/>
      <c r="C113" s="21" t="s">
        <v>94</v>
      </c>
      <c r="D113" s="21"/>
      <c r="E113" s="21"/>
      <c r="F113" s="21"/>
      <c r="G113" s="21"/>
      <c r="H113" s="22" t="s">
        <v>19</v>
      </c>
      <c r="I113" s="34">
        <f>IFERROR((K113-J113)/J113,0)</f>
        <v>0</v>
      </c>
      <c r="J113" s="55"/>
      <c r="K113" s="55">
        <f t="shared" si="57"/>
        <v>333.05511443999995</v>
      </c>
      <c r="L113" s="31">
        <f>SUMIFS('PL Actual MTM - Aug 26'!D:D,'PL Actual MTM - Aug 26'!$R:$R,$C113)/10^6</f>
        <v>21.800652500000002</v>
      </c>
      <c r="M113" s="31">
        <f>SUMIFS('PL Actual MTM - Aug 26'!E:E,'PL Actual MTM - Aug 26'!$R:$R,$C113)/10^6</f>
        <v>20.243097170000002</v>
      </c>
      <c r="N113" s="31">
        <f>SUMIFS('PL Actual MTM - Aug 26'!F:F,'PL Actual MTM - Aug 26'!$R:$R,$C113)/10^6</f>
        <v>22.595236289999999</v>
      </c>
      <c r="O113" s="31">
        <f>SUMIFS('PL Actual MTM - Aug 26'!G:G,'PL Actual MTM - Aug 26'!$R:$R,$C113)/10^6</f>
        <v>14.652968470000001</v>
      </c>
      <c r="P113" s="31">
        <f>SUMIFS('PL Actual MTM - Aug 26'!H:H,'PL Actual MTM - Aug 26'!$R:$R,$C113)/10^6</f>
        <v>18.793770330000001</v>
      </c>
      <c r="Q113" s="31">
        <f>SUMIFS('PL Actual MTM - Aug 26'!I:I,'PL Actual MTM - Aug 26'!$R:$R,$C113)/10^6</f>
        <v>31.591108899999998</v>
      </c>
      <c r="R113" s="31">
        <f>SUMIFS('PL Actual MTM - Aug 26'!J:J,'PL Actual MTM - Aug 26'!$R:$R,$C113)/10^6</f>
        <v>47.170840399999996</v>
      </c>
      <c r="S113" s="31">
        <f>SUMIFS('PL Actual MTM - Aug 26'!K:K,'PL Actual MTM - Aug 26'!$R:$R,$C113)/10^6</f>
        <v>36.911384379999994</v>
      </c>
      <c r="T113" s="31">
        <v>29.824013999999998</v>
      </c>
      <c r="U113" s="31">
        <v>29.824013999999998</v>
      </c>
      <c r="V113" s="31">
        <v>29.824013999999998</v>
      </c>
      <c r="W113" s="31">
        <v>29.824013999999998</v>
      </c>
      <c r="X113" s="31">
        <v>29.824013999999998</v>
      </c>
      <c r="Y113" s="31">
        <v>29.824013999999998</v>
      </c>
      <c r="Z113" s="31">
        <v>29.824013999999998</v>
      </c>
      <c r="AA113" s="31">
        <v>29.824013999999998</v>
      </c>
      <c r="AB113" s="31">
        <v>29.824013999999998</v>
      </c>
      <c r="AC113" s="31">
        <v>29.824013999999998</v>
      </c>
      <c r="AD113" s="31">
        <v>29.824013999999998</v>
      </c>
      <c r="AE113" s="31">
        <v>29.824013999999998</v>
      </c>
      <c r="AF113" s="31">
        <v>29.824013999999998</v>
      </c>
      <c r="AG113" s="31">
        <v>29.824013999999998</v>
      </c>
      <c r="AH113" s="31">
        <v>29.824013999999998</v>
      </c>
      <c r="AI113" s="31">
        <v>29.824013999999998</v>
      </c>
      <c r="AJ113" s="35">
        <f t="shared" si="59"/>
        <v>357.88816799999995</v>
      </c>
    </row>
    <row r="114" spans="1:36" ht="14.25" customHeight="1" x14ac:dyDescent="0.35">
      <c r="A114" s="21"/>
      <c r="B114" s="21"/>
      <c r="C114" s="21" t="s">
        <v>95</v>
      </c>
      <c r="D114" s="21"/>
      <c r="E114" s="21"/>
      <c r="F114" s="21"/>
      <c r="G114" s="21"/>
      <c r="H114" s="22" t="s">
        <v>19</v>
      </c>
      <c r="I114" s="21"/>
      <c r="J114" s="31"/>
      <c r="K114" s="31">
        <f t="shared" si="57"/>
        <v>-63.926149909999999</v>
      </c>
      <c r="L114" s="31">
        <f>-SUMIFS('PL Actual MTM - Aug 26'!D:D,'PL Actual MTM - Aug 26'!$R:$R,$C114)/10^6</f>
        <v>-2.6008445499999997</v>
      </c>
      <c r="M114" s="31">
        <f>-SUMIFS('PL Actual MTM - Aug 26'!E:E,'PL Actual MTM - Aug 26'!$R:$R,$C114)/10^6</f>
        <v>-2.2007122400000001</v>
      </c>
      <c r="N114" s="31">
        <f>-SUMIFS('PL Actual MTM - Aug 26'!F:F,'PL Actual MTM - Aug 26'!$R:$R,$C114)/10^6</f>
        <v>-2.8919000800000001</v>
      </c>
      <c r="O114" s="31">
        <f>-SUMIFS('PL Actual MTM - Aug 26'!G:G,'PL Actual MTM - Aug 26'!$R:$R,$C114)/10^6</f>
        <v>-22.221827999999999</v>
      </c>
      <c r="P114" s="31">
        <f>-SUMIFS('PL Actual MTM - Aug 26'!H:H,'PL Actual MTM - Aug 26'!$R:$R,$C114)/10^6</f>
        <v>-1.6476890399999999</v>
      </c>
      <c r="Q114" s="31">
        <f>-SUMIFS('PL Actual MTM - Aug 26'!I:I,'PL Actual MTM - Aug 26'!$R:$R,$C114)/10^6</f>
        <v>-1.4473606299999999</v>
      </c>
      <c r="R114" s="31">
        <f>-SUMIFS('PL Actual MTM - Aug 26'!J:J,'PL Actual MTM - Aug 26'!$R:$R,$C114)/10^6</f>
        <v>-4.5196156500000004</v>
      </c>
      <c r="S114" s="31">
        <f>-SUMIFS('PL Actual MTM - Aug 26'!K:K,'PL Actual MTM - Aug 26'!$R:$R,$C114)/10^6</f>
        <v>-1.4038917200000001</v>
      </c>
      <c r="T114" s="31">
        <v>-6.2480770000000003</v>
      </c>
      <c r="U114" s="31">
        <v>-6.2480770000000003</v>
      </c>
      <c r="V114" s="31">
        <v>-6.2480770000000003</v>
      </c>
      <c r="W114" s="31">
        <v>-6.2480770000000003</v>
      </c>
      <c r="X114" s="31">
        <v>-6.2480770000000003</v>
      </c>
      <c r="Y114" s="31">
        <v>-6.2480770000000003</v>
      </c>
      <c r="Z114" s="31">
        <v>-6.2480770000000003</v>
      </c>
      <c r="AA114" s="31">
        <v>-6.2480770000000003</v>
      </c>
      <c r="AB114" s="31">
        <v>-6.2480770000000003</v>
      </c>
      <c r="AC114" s="31">
        <v>-6.2480770000000003</v>
      </c>
      <c r="AD114" s="31">
        <v>-6.2480770000000003</v>
      </c>
      <c r="AE114" s="31">
        <v>-6.2480770000000003</v>
      </c>
      <c r="AF114" s="31">
        <v>-6.2480770000000003</v>
      </c>
      <c r="AG114" s="31">
        <v>-6.2480770000000003</v>
      </c>
      <c r="AH114" s="31">
        <v>-6.2480770000000003</v>
      </c>
      <c r="AI114" s="31">
        <v>-6.2480770000000003</v>
      </c>
      <c r="AJ114" s="35">
        <f t="shared" si="59"/>
        <v>-74.976924000000011</v>
      </c>
    </row>
    <row r="115" spans="1:36" ht="14.25" customHeight="1" x14ac:dyDescent="0.35">
      <c r="A115" s="21"/>
      <c r="B115" s="21"/>
      <c r="C115" s="21" t="s">
        <v>96</v>
      </c>
      <c r="D115" s="21"/>
      <c r="E115" s="21"/>
      <c r="F115" s="21"/>
      <c r="G115" s="21"/>
      <c r="H115" s="22" t="s">
        <v>19</v>
      </c>
      <c r="I115" s="21"/>
      <c r="J115" s="31"/>
      <c r="K115" s="31">
        <f t="shared" si="57"/>
        <v>158.09663433</v>
      </c>
      <c r="L115" s="31">
        <f>SUMIFS('PL Actual MTM - Aug 26'!D:D,'PL Actual MTM - Aug 26'!$R:$R,$C115)/10^6</f>
        <v>135.13513599999999</v>
      </c>
      <c r="M115" s="31">
        <f>SUMIFS('PL Actual MTM - Aug 26'!E:E,'PL Actual MTM - Aug 26'!$R:$R,$C115)/10^6</f>
        <v>1.0516430000000001</v>
      </c>
      <c r="N115" s="31">
        <f>SUMIFS('PL Actual MTM - Aug 26'!F:F,'PL Actual MTM - Aug 26'!$R:$R,$C115)/10^6</f>
        <v>21.748053329999998</v>
      </c>
      <c r="O115" s="31">
        <f>SUMIFS('PL Actual MTM - Aug 26'!G:G,'PL Actual MTM - Aug 26'!$R:$R,$C115)/10^6</f>
        <v>8.9889999999999998E-2</v>
      </c>
      <c r="P115" s="31">
        <f>SUMIFS('PL Actual MTM - Aug 26'!H:H,'PL Actual MTM - Aug 26'!$R:$R,$C115)/10^6</f>
        <v>0</v>
      </c>
      <c r="Q115" s="31">
        <f>SUMIFS('PL Actual MTM - Aug 26'!I:I,'PL Actual MTM - Aug 26'!$R:$R,$C115)/10^6</f>
        <v>0</v>
      </c>
      <c r="R115" s="31">
        <f>SUMIFS('PL Actual MTM - Aug 26'!J:J,'PL Actual MTM - Aug 26'!$R:$R,$C115)/10^6</f>
        <v>0</v>
      </c>
      <c r="S115" s="31">
        <f>SUMIFS('PL Actual MTM - Aug 26'!K:K,'PL Actual MTM - Aug 26'!$R:$R,$C115)/10^6</f>
        <v>0</v>
      </c>
      <c r="T115" s="31">
        <v>1.7978000000000001E-2</v>
      </c>
      <c r="U115" s="31">
        <v>1.7978000000000001E-2</v>
      </c>
      <c r="V115" s="31">
        <v>1.7978000000000001E-2</v>
      </c>
      <c r="W115" s="31">
        <v>1.7978000000000001E-2</v>
      </c>
      <c r="X115" s="31">
        <v>1.7978000000000001E-2</v>
      </c>
      <c r="Y115" s="31">
        <v>1.7978000000000001E-2</v>
      </c>
      <c r="Z115" s="31">
        <v>1.7978000000000001E-2</v>
      </c>
      <c r="AA115" s="31">
        <v>1.7978000000000001E-2</v>
      </c>
      <c r="AB115" s="31">
        <v>1.7978000000000001E-2</v>
      </c>
      <c r="AC115" s="31">
        <v>1.7978000000000001E-2</v>
      </c>
      <c r="AD115" s="31">
        <v>1.7978000000000001E-2</v>
      </c>
      <c r="AE115" s="31">
        <v>1.7978000000000001E-2</v>
      </c>
      <c r="AF115" s="31">
        <v>1.7978000000000001E-2</v>
      </c>
      <c r="AG115" s="31">
        <v>1.7978000000000001E-2</v>
      </c>
      <c r="AH115" s="31">
        <v>1.7978000000000001E-2</v>
      </c>
      <c r="AI115" s="31">
        <v>1.7978000000000001E-2</v>
      </c>
      <c r="AJ115" s="35">
        <f t="shared" si="59"/>
        <v>0.21573599999999996</v>
      </c>
    </row>
    <row r="116" spans="1:36" ht="14.25" customHeight="1" x14ac:dyDescent="0.35">
      <c r="A116" s="21"/>
      <c r="B116" s="21"/>
      <c r="C116" s="21" t="s">
        <v>97</v>
      </c>
      <c r="D116" s="21"/>
      <c r="E116" s="21"/>
      <c r="F116" s="21"/>
      <c r="G116" s="21"/>
      <c r="H116" s="22" t="s">
        <v>19</v>
      </c>
      <c r="I116" s="21"/>
      <c r="J116" s="31"/>
      <c r="K116" s="31">
        <f t="shared" si="57"/>
        <v>-105.03475296000002</v>
      </c>
      <c r="L116" s="31">
        <f>-SUMIFS('PL Actual MTM - Aug 26'!D:D,'PL Actual MTM - Aug 26'!$R:$R,$C116)/10^6</f>
        <v>-122.36395672</v>
      </c>
      <c r="M116" s="31">
        <f>-SUMIFS('PL Actual MTM - Aug 26'!E:E,'PL Actual MTM - Aug 26'!$R:$R,$C116)/10^6</f>
        <v>1.75441409</v>
      </c>
      <c r="N116" s="31">
        <f>-SUMIFS('PL Actual MTM - Aug 26'!F:F,'PL Actual MTM - Aug 26'!$R:$R,$C116)/10^6</f>
        <v>2.0597875299999999</v>
      </c>
      <c r="O116" s="31">
        <f>-SUMIFS('PL Actual MTM - Aug 26'!G:G,'PL Actual MTM - Aug 26'!$R:$R,$C116)/10^6</f>
        <v>3.4465291800000002</v>
      </c>
      <c r="P116" s="31">
        <f>-SUMIFS('PL Actual MTM - Aug 26'!H:H,'PL Actual MTM - Aug 26'!$R:$R,$C116)/10^6</f>
        <v>4.6210220899999994</v>
      </c>
      <c r="Q116" s="31">
        <f>-SUMIFS('PL Actual MTM - Aug 26'!I:I,'PL Actual MTM - Aug 26'!$R:$R,$C116)/10^6</f>
        <v>0.61082918000000008</v>
      </c>
      <c r="R116" s="31">
        <f>-SUMIFS('PL Actual MTM - Aug 26'!J:J,'PL Actual MTM - Aug 26'!$R:$R,$C116)/10^6</f>
        <v>2.5648159800000001</v>
      </c>
      <c r="S116" s="31">
        <f>-SUMIFS('PL Actual MTM - Aug 26'!K:K,'PL Actual MTM - Aug 26'!$R:$R,$C116)/10^6</f>
        <v>-3.7348622900000001</v>
      </c>
      <c r="T116" s="31">
        <v>1.5016670000000001</v>
      </c>
      <c r="U116" s="31">
        <v>1.5016670000000001</v>
      </c>
      <c r="V116" s="31">
        <v>1.5016670000000001</v>
      </c>
      <c r="W116" s="31">
        <v>1.5016670000000001</v>
      </c>
      <c r="X116" s="31">
        <v>1.5016670000000001</v>
      </c>
      <c r="Y116" s="31">
        <v>1.5016670000000001</v>
      </c>
      <c r="Z116" s="31">
        <v>1.5016670000000001</v>
      </c>
      <c r="AA116" s="31">
        <v>1.5016670000000001</v>
      </c>
      <c r="AB116" s="31">
        <v>1.5016670000000001</v>
      </c>
      <c r="AC116" s="31">
        <v>1.5016670000000001</v>
      </c>
      <c r="AD116" s="31">
        <v>1.5016670000000001</v>
      </c>
      <c r="AE116" s="31">
        <v>1.5016670000000001</v>
      </c>
      <c r="AF116" s="31">
        <v>1.5016670000000001</v>
      </c>
      <c r="AG116" s="31">
        <v>1.5016670000000001</v>
      </c>
      <c r="AH116" s="31">
        <v>1.5016670000000001</v>
      </c>
      <c r="AI116" s="31">
        <v>1.5016670000000001</v>
      </c>
      <c r="AJ116" s="35">
        <f t="shared" si="59"/>
        <v>18.020004</v>
      </c>
    </row>
    <row r="117" spans="1:36" ht="14.25" customHeight="1" x14ac:dyDescent="0.35">
      <c r="A117" s="21"/>
      <c r="B117" s="21"/>
      <c r="C117" s="21" t="s">
        <v>98</v>
      </c>
      <c r="D117" s="21"/>
      <c r="E117" s="21"/>
      <c r="F117" s="21"/>
      <c r="G117" s="21"/>
      <c r="H117" s="22" t="s">
        <v>19</v>
      </c>
      <c r="I117" s="21"/>
      <c r="J117" s="31"/>
      <c r="K117" s="31">
        <f t="shared" si="57"/>
        <v>558.19791667000004</v>
      </c>
      <c r="L117" s="31">
        <f>SUMIFS('PL Actual MTM - Aug 26'!D:D,'PL Actual MTM - Aug 26'!$R:$R,$C117)/10^6</f>
        <v>18.197916670000097</v>
      </c>
      <c r="M117" s="31">
        <f>SUMIFS('PL Actual MTM - Aug 26'!E:E,'PL Actual MTM - Aug 26'!$R:$R,$C117)/10^6</f>
        <v>0</v>
      </c>
      <c r="N117" s="31">
        <f>SUMIFS('PL Actual MTM - Aug 26'!F:F,'PL Actual MTM - Aug 26'!$R:$R,$C117)/10^6</f>
        <v>0</v>
      </c>
      <c r="O117" s="31">
        <f>SUMIFS('PL Actual MTM - Aug 26'!G:G,'PL Actual MTM - Aug 26'!$R:$R,$C117)/10^6</f>
        <v>0</v>
      </c>
      <c r="P117" s="31">
        <f>SUMIFS('PL Actual MTM - Aug 26'!H:H,'PL Actual MTM - Aug 26'!$R:$R,$C117)/10^6</f>
        <v>300</v>
      </c>
      <c r="Q117" s="31">
        <f>SUMIFS('PL Actual MTM - Aug 26'!I:I,'PL Actual MTM - Aug 26'!$R:$R,$C117)/10^6</f>
        <v>0</v>
      </c>
      <c r="R117" s="31">
        <f>SUMIFS('PL Actual MTM - Aug 26'!J:J,'PL Actual MTM - Aug 26'!$R:$R,$C117)/10^6</f>
        <v>0</v>
      </c>
      <c r="S117" s="31">
        <f>SUMIFS('PL Actual MTM - Aug 26'!K:K,'PL Actual MTM - Aug 26'!$R:$R,$C117)/10^6</f>
        <v>0</v>
      </c>
      <c r="T117" s="31">
        <v>60</v>
      </c>
      <c r="U117" s="31">
        <v>60</v>
      </c>
      <c r="V117" s="31">
        <v>60</v>
      </c>
      <c r="W117" s="31">
        <v>60</v>
      </c>
      <c r="X117" s="31">
        <v>60</v>
      </c>
      <c r="Y117" s="31">
        <v>60</v>
      </c>
      <c r="Z117" s="31">
        <v>60</v>
      </c>
      <c r="AA117" s="31">
        <v>60</v>
      </c>
      <c r="AB117" s="31">
        <v>60</v>
      </c>
      <c r="AC117" s="31">
        <v>60</v>
      </c>
      <c r="AD117" s="31">
        <v>60</v>
      </c>
      <c r="AE117" s="31">
        <v>60</v>
      </c>
      <c r="AF117" s="31">
        <v>60</v>
      </c>
      <c r="AG117" s="31">
        <v>60</v>
      </c>
      <c r="AH117" s="31">
        <v>60</v>
      </c>
      <c r="AI117" s="31">
        <v>60</v>
      </c>
      <c r="AJ117" s="35">
        <f t="shared" si="59"/>
        <v>720</v>
      </c>
    </row>
    <row r="118" spans="1:36" ht="14.25" customHeight="1" x14ac:dyDescent="0.35">
      <c r="A118" s="21"/>
      <c r="B118" s="21"/>
      <c r="C118" s="37" t="s">
        <v>99</v>
      </c>
      <c r="D118" s="37"/>
      <c r="E118" s="48"/>
      <c r="F118" s="48"/>
      <c r="G118" s="48"/>
      <c r="H118" s="38" t="s">
        <v>19</v>
      </c>
      <c r="I118" s="48"/>
      <c r="J118" s="50"/>
      <c r="K118" s="50">
        <f t="shared" si="57"/>
        <v>6467.9047379701597</v>
      </c>
      <c r="L118" s="50">
        <f t="shared" ref="L118:AI118" si="60">SUM(L112:L117)</f>
        <v>1700.7561645537894</v>
      </c>
      <c r="M118" s="50">
        <f t="shared" si="60"/>
        <v>1040.9087068038118</v>
      </c>
      <c r="N118" s="50">
        <f t="shared" si="60"/>
        <v>-815.06028361193069</v>
      </c>
      <c r="O118" s="50">
        <f t="shared" si="60"/>
        <v>254.46828846855945</v>
      </c>
      <c r="P118" s="50">
        <f t="shared" si="60"/>
        <v>479.48417716746735</v>
      </c>
      <c r="Q118" s="50">
        <f t="shared" si="60"/>
        <v>433.2841946666029</v>
      </c>
      <c r="R118" s="50">
        <f t="shared" si="60"/>
        <v>547.79445092990522</v>
      </c>
      <c r="S118" s="50">
        <f t="shared" si="60"/>
        <v>1070.3550762913624</v>
      </c>
      <c r="T118" s="50">
        <f t="shared" si="60"/>
        <v>533.30842629322046</v>
      </c>
      <c r="U118" s="50">
        <f t="shared" si="60"/>
        <v>455.16152960866378</v>
      </c>
      <c r="V118" s="50">
        <f t="shared" si="60"/>
        <v>386.17534380436797</v>
      </c>
      <c r="W118" s="50">
        <f t="shared" si="60"/>
        <v>381.26866299433863</v>
      </c>
      <c r="X118" s="50">
        <f t="shared" si="60"/>
        <v>382.74967185229849</v>
      </c>
      <c r="Y118" s="50">
        <f t="shared" si="60"/>
        <v>386.20925543858272</v>
      </c>
      <c r="Z118" s="50">
        <f t="shared" si="60"/>
        <v>385.33895548326012</v>
      </c>
      <c r="AA118" s="50">
        <f t="shared" si="60"/>
        <v>392.03374669784142</v>
      </c>
      <c r="AB118" s="50">
        <f t="shared" si="60"/>
        <v>392.43189176184325</v>
      </c>
      <c r="AC118" s="50">
        <f t="shared" si="60"/>
        <v>393.96302398644895</v>
      </c>
      <c r="AD118" s="50">
        <f t="shared" si="60"/>
        <v>395.14604379110477</v>
      </c>
      <c r="AE118" s="50">
        <f t="shared" si="60"/>
        <v>396.46177877787926</v>
      </c>
      <c r="AF118" s="50">
        <f t="shared" si="60"/>
        <v>396.81734692295669</v>
      </c>
      <c r="AG118" s="50">
        <f t="shared" si="60"/>
        <v>398.42138680539398</v>
      </c>
      <c r="AH118" s="50">
        <f t="shared" si="60"/>
        <v>398.51050448528559</v>
      </c>
      <c r="AI118" s="50">
        <f t="shared" si="60"/>
        <v>398.85550662935697</v>
      </c>
      <c r="AJ118" s="35">
        <f t="shared" si="59"/>
        <v>4716.9391126322516</v>
      </c>
    </row>
    <row r="119" spans="1:36" ht="14.25" customHeight="1" x14ac:dyDescent="0.35">
      <c r="A119" s="21"/>
      <c r="B119" s="21"/>
      <c r="C119" s="21" t="s">
        <v>100</v>
      </c>
      <c r="D119" s="21"/>
      <c r="E119" s="21"/>
      <c r="F119" s="21"/>
      <c r="G119" s="21"/>
      <c r="H119" s="22" t="s">
        <v>19</v>
      </c>
      <c r="I119" s="31"/>
      <c r="J119" s="31"/>
      <c r="K119" s="31">
        <f t="shared" si="57"/>
        <v>0</v>
      </c>
      <c r="L119" s="31">
        <f>-(SUMIFS('PL Actual MTM - Aug 26'!D:D,'PL Actual MTM - Aug 26'!$C:$C,"PL 82")+SUMIFS('PL Actual MTM - Aug 26'!D:D,'PL Actual MTM - Aug 26'!$C:$C,"PL 83"))/10^6</f>
        <v>0</v>
      </c>
      <c r="M119" s="31">
        <f>-(SUMIFS('PL Actual MTM - Aug 26'!E:E,'PL Actual MTM - Aug 26'!$C:$C,"PL 82")+SUMIFS('PL Actual MTM - Aug 26'!E:E,'PL Actual MTM - Aug 26'!$C:$C,"PL 83"))/10^6</f>
        <v>0</v>
      </c>
      <c r="N119" s="31">
        <f>-(SUMIFS('PL Actual MTM - Aug 26'!F:F,'PL Actual MTM - Aug 26'!$C:$C,"PL 82")+SUMIFS('PL Actual MTM - Aug 26'!F:F,'PL Actual MTM - Aug 26'!$C:$C,"PL 83"))/10^6</f>
        <v>0</v>
      </c>
      <c r="O119" s="31">
        <f>-(SUMIFS('PL Actual MTM - Aug 26'!G:G,'PL Actual MTM - Aug 26'!$C:$C,"PL 82")+SUMIFS('PL Actual MTM - Aug 26'!G:G,'PL Actual MTM - Aug 26'!$C:$C,"PL 83"))/10^6</f>
        <v>0</v>
      </c>
      <c r="P119" s="31">
        <f>-(SUMIFS('PL Actual MTM - Aug 26'!H:H,'PL Actual MTM - Aug 26'!$C:$C,"PL 82")+SUMIFS('PL Actual MTM - Aug 26'!H:H,'PL Actual MTM - Aug 26'!$C:$C,"PL 83"))/10^6</f>
        <v>0</v>
      </c>
      <c r="Q119" s="31">
        <f>-(SUMIFS('PL Actual MTM - Aug 26'!I:I,'PL Actual MTM - Aug 26'!$C:$C,"PL 82")+SUMIFS('PL Actual MTM - Aug 26'!I:I,'PL Actual MTM - Aug 26'!$C:$C,"PL 83"))/10^6</f>
        <v>0</v>
      </c>
      <c r="R119" s="31">
        <f>-(SUMIFS('PL Actual MTM - Aug 26'!J:J,'PL Actual MTM - Aug 26'!$C:$C,"PL 82")+SUMIFS('PL Actual MTM - Aug 26'!J:J,'PL Actual MTM - Aug 26'!$C:$C,"PL 83"))/10^6</f>
        <v>0</v>
      </c>
      <c r="S119" s="31">
        <f>-(SUMIFS('PL Actual MTM - Aug 26'!K:K,'PL Actual MTM - Aug 26'!$C:$C,"PL 82")+SUMIFS('PL Actual MTM - Aug 26'!K:K,'PL Actual MTM - Aug 26'!$C:$C,"PL 83"))/10^6</f>
        <v>0</v>
      </c>
      <c r="T119" s="31"/>
      <c r="U119" s="31"/>
      <c r="V119" s="31"/>
      <c r="W119" s="31"/>
      <c r="X119" s="31">
        <f t="shared" ref="X119:AI119" si="61">-MAX(X118,0)*X$291</f>
        <v>-84.204927807505669</v>
      </c>
      <c r="Y119" s="31">
        <f t="shared" si="61"/>
        <v>-84.966036196488204</v>
      </c>
      <c r="Z119" s="31">
        <f t="shared" si="61"/>
        <v>-84.774570206317222</v>
      </c>
      <c r="AA119" s="31">
        <f t="shared" si="61"/>
        <v>-86.247424273525112</v>
      </c>
      <c r="AB119" s="31">
        <f t="shared" si="61"/>
        <v>-86.335016187605518</v>
      </c>
      <c r="AC119" s="31">
        <f t="shared" si="61"/>
        <v>-86.671865277018767</v>
      </c>
      <c r="AD119" s="31">
        <f t="shared" si="61"/>
        <v>-86.932129634043051</v>
      </c>
      <c r="AE119" s="31">
        <f t="shared" si="61"/>
        <v>-87.221591331133439</v>
      </c>
      <c r="AF119" s="31">
        <f t="shared" si="61"/>
        <v>-87.299816323050479</v>
      </c>
      <c r="AG119" s="31">
        <f t="shared" si="61"/>
        <v>-87.652705097186683</v>
      </c>
      <c r="AH119" s="31">
        <f t="shared" si="61"/>
        <v>-87.672310986762838</v>
      </c>
      <c r="AI119" s="31">
        <f t="shared" si="61"/>
        <v>-87.748211458458528</v>
      </c>
      <c r="AJ119" s="35">
        <f t="shared" si="59"/>
        <v>-1037.7266047790954</v>
      </c>
    </row>
    <row r="120" spans="1:36" ht="14.25" customHeight="1" x14ac:dyDescent="0.35">
      <c r="A120" s="21"/>
      <c r="B120" s="21"/>
      <c r="C120" s="37" t="s">
        <v>101</v>
      </c>
      <c r="D120" s="37"/>
      <c r="E120" s="48"/>
      <c r="F120" s="48"/>
      <c r="G120" s="48"/>
      <c r="H120" s="38" t="s">
        <v>19</v>
      </c>
      <c r="I120" s="48"/>
      <c r="J120" s="50"/>
      <c r="K120" s="50">
        <f t="shared" si="57"/>
        <v>6467.9047379701597</v>
      </c>
      <c r="L120" s="40">
        <f t="shared" ref="L120:AI120" si="62">SUM(L118:L119)</f>
        <v>1700.7561645537894</v>
      </c>
      <c r="M120" s="40">
        <f t="shared" si="62"/>
        <v>1040.9087068038118</v>
      </c>
      <c r="N120" s="40">
        <f t="shared" si="62"/>
        <v>-815.06028361193069</v>
      </c>
      <c r="O120" s="40">
        <f t="shared" si="62"/>
        <v>254.46828846855945</v>
      </c>
      <c r="P120" s="40">
        <f t="shared" si="62"/>
        <v>479.48417716746735</v>
      </c>
      <c r="Q120" s="40">
        <f t="shared" si="62"/>
        <v>433.2841946666029</v>
      </c>
      <c r="R120" s="40">
        <f t="shared" si="62"/>
        <v>547.79445092990522</v>
      </c>
      <c r="S120" s="40">
        <f t="shared" si="62"/>
        <v>1070.3550762913624</v>
      </c>
      <c r="T120" s="40">
        <f t="shared" si="62"/>
        <v>533.30842629322046</v>
      </c>
      <c r="U120" s="40">
        <f t="shared" si="62"/>
        <v>455.16152960866378</v>
      </c>
      <c r="V120" s="40">
        <f t="shared" si="62"/>
        <v>386.17534380436797</v>
      </c>
      <c r="W120" s="40">
        <f t="shared" si="62"/>
        <v>381.26866299433863</v>
      </c>
      <c r="X120" s="40">
        <f t="shared" si="62"/>
        <v>298.54474404479282</v>
      </c>
      <c r="Y120" s="40">
        <f t="shared" si="62"/>
        <v>301.24321924209448</v>
      </c>
      <c r="Z120" s="40">
        <f t="shared" si="62"/>
        <v>300.56438527694291</v>
      </c>
      <c r="AA120" s="40">
        <f t="shared" si="62"/>
        <v>305.78632242431632</v>
      </c>
      <c r="AB120" s="40">
        <f t="shared" si="62"/>
        <v>306.09687557423774</v>
      </c>
      <c r="AC120" s="40">
        <f t="shared" si="62"/>
        <v>307.29115870943019</v>
      </c>
      <c r="AD120" s="40">
        <f t="shared" si="62"/>
        <v>308.21391415706171</v>
      </c>
      <c r="AE120" s="40">
        <f t="shared" si="62"/>
        <v>309.24018744674584</v>
      </c>
      <c r="AF120" s="40">
        <f t="shared" si="62"/>
        <v>309.51753059990619</v>
      </c>
      <c r="AG120" s="40">
        <f t="shared" si="62"/>
        <v>310.76868170820728</v>
      </c>
      <c r="AH120" s="40">
        <f t="shared" si="62"/>
        <v>310.83819349852274</v>
      </c>
      <c r="AI120" s="40">
        <f t="shared" si="62"/>
        <v>311.10729517089845</v>
      </c>
      <c r="AJ120" s="35">
        <f t="shared" si="59"/>
        <v>3679.2125078531567</v>
      </c>
    </row>
    <row r="121" spans="1:36" ht="14.25" customHeight="1" x14ac:dyDescent="0.35">
      <c r="A121" s="21"/>
      <c r="B121" s="21"/>
      <c r="C121" s="28"/>
      <c r="D121" s="28"/>
      <c r="E121" s="21"/>
      <c r="F121" s="21"/>
      <c r="G121" s="21"/>
      <c r="H121" s="56"/>
      <c r="I121" s="21"/>
      <c r="J121" s="4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</row>
    <row r="122" spans="1:36" ht="14.25" customHeight="1" x14ac:dyDescent="0.35">
      <c r="A122" s="21"/>
      <c r="B122" s="21"/>
      <c r="C122" s="21" t="s">
        <v>102</v>
      </c>
      <c r="D122" s="21"/>
      <c r="E122" s="21"/>
      <c r="F122" s="21"/>
      <c r="G122" s="21"/>
      <c r="H122" s="22" t="s">
        <v>19</v>
      </c>
      <c r="I122" s="21"/>
      <c r="J122" s="31"/>
      <c r="K122" s="31">
        <f t="shared" ref="K122:AJ122" si="63">K112</f>
        <v>5587.5159754001588</v>
      </c>
      <c r="L122" s="31">
        <f t="shared" si="63"/>
        <v>1650.5872606537894</v>
      </c>
      <c r="M122" s="31">
        <f t="shared" si="63"/>
        <v>1020.0602647838118</v>
      </c>
      <c r="N122" s="31">
        <f t="shared" si="63"/>
        <v>-858.5714606819306</v>
      </c>
      <c r="O122" s="31">
        <f t="shared" si="63"/>
        <v>258.50072881855942</v>
      </c>
      <c r="P122" s="31">
        <f t="shared" si="63"/>
        <v>157.71707378746737</v>
      </c>
      <c r="Q122" s="31">
        <f t="shared" si="63"/>
        <v>402.5296172166029</v>
      </c>
      <c r="R122" s="31">
        <f t="shared" si="63"/>
        <v>502.57841019990519</v>
      </c>
      <c r="S122" s="31">
        <f t="shared" si="63"/>
        <v>1038.5824459213623</v>
      </c>
      <c r="T122" s="31">
        <f t="shared" si="63"/>
        <v>448.21284429322043</v>
      </c>
      <c r="U122" s="31">
        <f t="shared" si="63"/>
        <v>370.06594760866381</v>
      </c>
      <c r="V122" s="31">
        <f t="shared" si="63"/>
        <v>301.07976180436799</v>
      </c>
      <c r="W122" s="31">
        <f t="shared" si="63"/>
        <v>296.17308099433865</v>
      </c>
      <c r="X122" s="31">
        <f t="shared" si="63"/>
        <v>297.65408985229851</v>
      </c>
      <c r="Y122" s="31">
        <f t="shared" si="63"/>
        <v>301.11367343858274</v>
      </c>
      <c r="Z122" s="31">
        <f t="shared" si="63"/>
        <v>300.24337348326014</v>
      </c>
      <c r="AA122" s="31">
        <f t="shared" si="63"/>
        <v>306.93816469784144</v>
      </c>
      <c r="AB122" s="31">
        <f t="shared" si="63"/>
        <v>307.33630976184327</v>
      </c>
      <c r="AC122" s="31">
        <f t="shared" si="63"/>
        <v>308.86744198644897</v>
      </c>
      <c r="AD122" s="31">
        <f t="shared" si="63"/>
        <v>310.05046179110479</v>
      </c>
      <c r="AE122" s="31">
        <f t="shared" si="63"/>
        <v>311.36619677787928</v>
      </c>
      <c r="AF122" s="31">
        <f t="shared" si="63"/>
        <v>311.72176492295671</v>
      </c>
      <c r="AG122" s="31">
        <f t="shared" si="63"/>
        <v>313.325804805394</v>
      </c>
      <c r="AH122" s="31">
        <f t="shared" si="63"/>
        <v>313.41492248528562</v>
      </c>
      <c r="AI122" s="31">
        <f t="shared" si="63"/>
        <v>313.75992462935699</v>
      </c>
      <c r="AJ122" s="35">
        <f t="shared" si="63"/>
        <v>3695.7921286322521</v>
      </c>
    </row>
    <row r="123" spans="1:36" ht="14.25" customHeight="1" x14ac:dyDescent="0.35">
      <c r="A123" s="21"/>
      <c r="B123" s="21"/>
      <c r="C123" s="21" t="s">
        <v>103</v>
      </c>
      <c r="D123" s="21"/>
      <c r="E123" s="21"/>
      <c r="F123" s="21"/>
      <c r="G123" s="21"/>
      <c r="H123" s="22" t="s">
        <v>19</v>
      </c>
      <c r="I123" s="21"/>
      <c r="J123" s="31"/>
      <c r="K123" s="31">
        <f>SUM(L123:W123)</f>
        <v>3715.5923841358335</v>
      </c>
      <c r="L123" s="31">
        <f t="shared" ref="L123:AI123" si="64">-SUM(L109,L82)</f>
        <v>308.85892916</v>
      </c>
      <c r="M123" s="31">
        <f t="shared" si="64"/>
        <v>312.91328487999999</v>
      </c>
      <c r="N123" s="31">
        <f t="shared" si="64"/>
        <v>305.98209431000004</v>
      </c>
      <c r="O123" s="31">
        <f t="shared" si="64"/>
        <v>303.07092974</v>
      </c>
      <c r="P123" s="31">
        <f t="shared" si="64"/>
        <v>310.35151608000001</v>
      </c>
      <c r="Q123" s="31">
        <f t="shared" si="64"/>
        <v>310.44362633999998</v>
      </c>
      <c r="R123" s="31">
        <f t="shared" si="64"/>
        <v>311.07405254000003</v>
      </c>
      <c r="S123" s="31">
        <f t="shared" si="64"/>
        <v>312.48488100999998</v>
      </c>
      <c r="T123" s="31">
        <f t="shared" si="64"/>
        <v>312.23696540875005</v>
      </c>
      <c r="U123" s="31">
        <f t="shared" si="64"/>
        <v>311.95956957875001</v>
      </c>
      <c r="V123" s="31">
        <f t="shared" si="64"/>
        <v>309.37190859625002</v>
      </c>
      <c r="W123" s="31">
        <f t="shared" si="64"/>
        <v>306.84462649208331</v>
      </c>
      <c r="X123" s="31">
        <f t="shared" si="64"/>
        <v>305.72600786708335</v>
      </c>
      <c r="Y123" s="31">
        <f t="shared" si="64"/>
        <v>305.26699745041668</v>
      </c>
      <c r="Z123" s="31">
        <f t="shared" si="64"/>
        <v>304.60208630458334</v>
      </c>
      <c r="AA123" s="31">
        <f t="shared" si="64"/>
        <v>296.25902588791666</v>
      </c>
      <c r="AB123" s="31">
        <f t="shared" si="64"/>
        <v>295.67768572124999</v>
      </c>
      <c r="AC123" s="31">
        <f t="shared" si="64"/>
        <v>294.95806072125004</v>
      </c>
      <c r="AD123" s="31">
        <f t="shared" si="64"/>
        <v>294.53945792958331</v>
      </c>
      <c r="AE123" s="31">
        <f t="shared" si="64"/>
        <v>293.47487459624995</v>
      </c>
      <c r="AF123" s="31">
        <f t="shared" si="64"/>
        <v>292.9627037629167</v>
      </c>
      <c r="AG123" s="31">
        <f t="shared" si="64"/>
        <v>291.29004328374998</v>
      </c>
      <c r="AH123" s="31">
        <f t="shared" si="64"/>
        <v>291.0876596591666</v>
      </c>
      <c r="AI123" s="31">
        <f t="shared" si="64"/>
        <v>290.55120132583329</v>
      </c>
      <c r="AJ123" s="35">
        <f>SUM(X123:AI123)</f>
        <v>3556.3958045099998</v>
      </c>
    </row>
    <row r="124" spans="1:36" ht="14.25" customHeight="1" x14ac:dyDescent="0.35">
      <c r="A124" s="21"/>
      <c r="B124" s="21"/>
      <c r="C124" s="37" t="s">
        <v>104</v>
      </c>
      <c r="D124" s="37"/>
      <c r="E124" s="37"/>
      <c r="F124" s="37"/>
      <c r="G124" s="37"/>
      <c r="H124" s="38" t="s">
        <v>19</v>
      </c>
      <c r="I124" s="37"/>
      <c r="J124" s="40"/>
      <c r="K124" s="40">
        <f>SUM(L124:W124)</f>
        <v>9303.1083595359923</v>
      </c>
      <c r="L124" s="40">
        <f t="shared" ref="L124:AI124" si="65">SUM(L122:L123)</f>
        <v>1959.4461898137893</v>
      </c>
      <c r="M124" s="40">
        <f t="shared" si="65"/>
        <v>1332.9735496638118</v>
      </c>
      <c r="N124" s="40">
        <f t="shared" si="65"/>
        <v>-552.58936637193051</v>
      </c>
      <c r="O124" s="40">
        <f t="shared" si="65"/>
        <v>561.57165855855942</v>
      </c>
      <c r="P124" s="40">
        <f t="shared" si="65"/>
        <v>468.06858986746738</v>
      </c>
      <c r="Q124" s="40">
        <f t="shared" si="65"/>
        <v>712.97324355660294</v>
      </c>
      <c r="R124" s="40">
        <f t="shared" si="65"/>
        <v>813.65246273990522</v>
      </c>
      <c r="S124" s="40">
        <f t="shared" si="65"/>
        <v>1351.0673269313622</v>
      </c>
      <c r="T124" s="40">
        <f t="shared" si="65"/>
        <v>760.44980970197048</v>
      </c>
      <c r="U124" s="40">
        <f t="shared" si="65"/>
        <v>682.02551718741381</v>
      </c>
      <c r="V124" s="40">
        <f t="shared" si="65"/>
        <v>610.45167040061801</v>
      </c>
      <c r="W124" s="40">
        <f t="shared" si="65"/>
        <v>603.01770748642195</v>
      </c>
      <c r="X124" s="40">
        <f t="shared" si="65"/>
        <v>603.38009771938187</v>
      </c>
      <c r="Y124" s="40">
        <f t="shared" si="65"/>
        <v>606.38067088899948</v>
      </c>
      <c r="Z124" s="40">
        <f t="shared" si="65"/>
        <v>604.84545978784354</v>
      </c>
      <c r="AA124" s="40">
        <f t="shared" si="65"/>
        <v>603.19719058575811</v>
      </c>
      <c r="AB124" s="40">
        <f t="shared" si="65"/>
        <v>603.01399548309325</v>
      </c>
      <c r="AC124" s="40">
        <f t="shared" si="65"/>
        <v>603.825502707699</v>
      </c>
      <c r="AD124" s="40">
        <f t="shared" si="65"/>
        <v>604.58991972068816</v>
      </c>
      <c r="AE124" s="40">
        <f t="shared" si="65"/>
        <v>604.84107137412923</v>
      </c>
      <c r="AF124" s="40">
        <f t="shared" si="65"/>
        <v>604.68446868587341</v>
      </c>
      <c r="AG124" s="40">
        <f t="shared" si="65"/>
        <v>604.61584808914404</v>
      </c>
      <c r="AH124" s="40">
        <f t="shared" si="65"/>
        <v>604.50258214445216</v>
      </c>
      <c r="AI124" s="40">
        <f t="shared" si="65"/>
        <v>604.31112595519028</v>
      </c>
      <c r="AJ124" s="35">
        <f>SUM(X124:AI124)</f>
        <v>7252.1879331422524</v>
      </c>
    </row>
    <row r="125" spans="1:36" ht="14.25" customHeight="1" x14ac:dyDescent="0.35">
      <c r="A125" s="21"/>
      <c r="B125" s="21"/>
      <c r="C125" s="21"/>
      <c r="D125" s="21"/>
      <c r="E125" s="21"/>
      <c r="F125" s="21"/>
      <c r="G125" s="21"/>
      <c r="H125" s="22"/>
      <c r="I125" s="21"/>
      <c r="J125" s="57"/>
      <c r="K125" s="57">
        <f>K124/K17</f>
        <v>9.2057897972788336E-2</v>
      </c>
      <c r="L125" s="31"/>
      <c r="M125" s="31"/>
      <c r="N125" s="31"/>
      <c r="O125" s="31"/>
      <c r="P125" s="30"/>
      <c r="Q125" s="30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</row>
    <row r="126" spans="1:36" ht="14.25" customHeight="1" x14ac:dyDescent="0.35">
      <c r="A126" s="21"/>
      <c r="B126" s="21"/>
      <c r="C126" s="58" t="s">
        <v>105</v>
      </c>
      <c r="D126" s="58"/>
      <c r="E126" s="21"/>
      <c r="F126" s="21"/>
      <c r="G126" s="21"/>
      <c r="H126" s="22"/>
      <c r="I126" s="59"/>
      <c r="J126" s="31"/>
      <c r="K126" s="21"/>
      <c r="L126" s="31"/>
      <c r="M126" s="31"/>
      <c r="N126" s="31"/>
      <c r="O126" s="31"/>
      <c r="P126" s="30"/>
      <c r="Q126" s="60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</row>
    <row r="127" spans="1:36" ht="14.25" customHeight="1" x14ac:dyDescent="0.35">
      <c r="A127" s="21"/>
      <c r="B127" s="21"/>
      <c r="C127" s="21" t="s">
        <v>106</v>
      </c>
      <c r="D127" s="21"/>
      <c r="E127" s="21"/>
      <c r="F127" s="21"/>
      <c r="G127" s="21"/>
      <c r="H127" s="22" t="s">
        <v>19</v>
      </c>
      <c r="I127" s="21"/>
      <c r="J127" s="31"/>
      <c r="K127" s="31">
        <f>W127</f>
        <v>7304.1208485198986</v>
      </c>
      <c r="L127" s="31">
        <f t="shared" ref="L127:AI127" si="66">L185</f>
        <v>8379.5770765399793</v>
      </c>
      <c r="M127" s="31">
        <f t="shared" si="66"/>
        <v>9146.54711605999</v>
      </c>
      <c r="N127" s="31">
        <f t="shared" si="66"/>
        <v>6014.5729292099895</v>
      </c>
      <c r="O127" s="31">
        <f t="shared" si="66"/>
        <v>5718.48151073999</v>
      </c>
      <c r="P127" s="31">
        <f t="shared" si="66"/>
        <v>7441.3867403599897</v>
      </c>
      <c r="Q127" s="31">
        <f t="shared" si="66"/>
        <v>6893.9646681899903</v>
      </c>
      <c r="R127" s="31">
        <f t="shared" si="66"/>
        <v>7749.7518016099903</v>
      </c>
      <c r="S127" s="31">
        <f t="shared" si="66"/>
        <v>8144.8431993899894</v>
      </c>
      <c r="T127" s="31">
        <f t="shared" si="66"/>
        <v>7547.5915434705621</v>
      </c>
      <c r="U127" s="31">
        <f t="shared" si="66"/>
        <v>7304.1208485198986</v>
      </c>
      <c r="V127" s="31">
        <f t="shared" si="66"/>
        <v>7547.5915434705621</v>
      </c>
      <c r="W127" s="31">
        <f t="shared" si="66"/>
        <v>7304.1208485198986</v>
      </c>
      <c r="X127" s="31">
        <f t="shared" si="66"/>
        <v>7304.1208485198986</v>
      </c>
      <c r="Y127" s="31">
        <f t="shared" si="66"/>
        <v>8086.7052251470304</v>
      </c>
      <c r="Z127" s="31">
        <f t="shared" si="66"/>
        <v>7304.1208485198986</v>
      </c>
      <c r="AA127" s="31">
        <f t="shared" si="66"/>
        <v>7547.5915434705621</v>
      </c>
      <c r="AB127" s="31">
        <f t="shared" si="66"/>
        <v>7304.1208485198986</v>
      </c>
      <c r="AC127" s="31">
        <f t="shared" si="66"/>
        <v>7547.5915434705621</v>
      </c>
      <c r="AD127" s="31">
        <f t="shared" si="66"/>
        <v>7304.1208485198986</v>
      </c>
      <c r="AE127" s="31">
        <f t="shared" si="66"/>
        <v>7304.1208485198986</v>
      </c>
      <c r="AF127" s="31">
        <f t="shared" si="66"/>
        <v>7547.5915434705621</v>
      </c>
      <c r="AG127" s="31">
        <f t="shared" si="66"/>
        <v>7304.1208485198986</v>
      </c>
      <c r="AH127" s="31">
        <f t="shared" si="66"/>
        <v>7547.5915434705621</v>
      </c>
      <c r="AI127" s="31">
        <f t="shared" si="66"/>
        <v>7304.1208485198986</v>
      </c>
      <c r="AJ127" s="35">
        <f>AI127</f>
        <v>7304.1208485198986</v>
      </c>
    </row>
    <row r="128" spans="1:36" ht="14.25" customHeight="1" x14ac:dyDescent="0.35">
      <c r="A128" s="21"/>
      <c r="B128" s="21"/>
      <c r="C128" s="21" t="s">
        <v>107</v>
      </c>
      <c r="D128" s="21"/>
      <c r="E128" s="21"/>
      <c r="F128" s="21"/>
      <c r="G128" s="21"/>
      <c r="H128" s="22" t="s">
        <v>19</v>
      </c>
      <c r="I128" s="21"/>
      <c r="J128" s="31"/>
      <c r="K128" s="31">
        <f>W128</f>
        <v>-3340.0123591738516</v>
      </c>
      <c r="L128" s="31">
        <f t="shared" ref="L128:AI128" si="67">-L228</f>
        <v>-3662.0556813400003</v>
      </c>
      <c r="M128" s="31">
        <f t="shared" si="67"/>
        <v>-3815.9043742499998</v>
      </c>
      <c r="N128" s="31">
        <f t="shared" si="67"/>
        <v>-2588.10989561</v>
      </c>
      <c r="O128" s="31">
        <f t="shared" si="67"/>
        <v>-3069.8788144</v>
      </c>
      <c r="P128" s="31">
        <f t="shared" si="67"/>
        <v>-3808.97872418</v>
      </c>
      <c r="Q128" s="31">
        <f t="shared" si="67"/>
        <v>-3458.05579188</v>
      </c>
      <c r="R128" s="31">
        <f t="shared" si="67"/>
        <v>-2721.7323577500001</v>
      </c>
      <c r="S128" s="31">
        <f t="shared" si="67"/>
        <v>-3718.7909086499999</v>
      </c>
      <c r="T128" s="31">
        <f t="shared" si="67"/>
        <v>-3381.3084993187431</v>
      </c>
      <c r="U128" s="31">
        <f t="shared" si="67"/>
        <v>-3308.8568702138064</v>
      </c>
      <c r="V128" s="31">
        <f t="shared" si="67"/>
        <v>-3450.0759836154339</v>
      </c>
      <c r="W128" s="31">
        <f t="shared" si="67"/>
        <v>-3340.0123591738516</v>
      </c>
      <c r="X128" s="31">
        <f t="shared" si="67"/>
        <v>-3340.003717930832</v>
      </c>
      <c r="Y128" s="31">
        <f t="shared" si="67"/>
        <v>-3696.1366559515927</v>
      </c>
      <c r="Z128" s="31">
        <f t="shared" si="67"/>
        <v>-3338.7819478758461</v>
      </c>
      <c r="AA128" s="31">
        <f t="shared" si="67"/>
        <v>-3447.5185666375869</v>
      </c>
      <c r="AB128" s="31">
        <f t="shared" si="67"/>
        <v>-3336.099260927806</v>
      </c>
      <c r="AC128" s="31">
        <f t="shared" si="67"/>
        <v>-3446.5996272780735</v>
      </c>
      <c r="AD128" s="31">
        <f t="shared" si="67"/>
        <v>-3335.0340987187251</v>
      </c>
      <c r="AE128" s="31">
        <f t="shared" si="67"/>
        <v>-3334.4728030794745</v>
      </c>
      <c r="AF128" s="31">
        <f t="shared" si="67"/>
        <v>-3445.6302420722282</v>
      </c>
      <c r="AG128" s="31">
        <f t="shared" si="67"/>
        <v>-3334.2257033184956</v>
      </c>
      <c r="AH128" s="31">
        <f t="shared" si="67"/>
        <v>-3445.3700917870415</v>
      </c>
      <c r="AI128" s="31">
        <f t="shared" si="67"/>
        <v>-3334.0797811595721</v>
      </c>
      <c r="AJ128" s="35">
        <f>AI128</f>
        <v>-3334.0797811595721</v>
      </c>
    </row>
    <row r="129" spans="1:36" ht="14.25" customHeight="1" x14ac:dyDescent="0.35">
      <c r="A129" s="21"/>
      <c r="B129" s="21"/>
      <c r="C129" s="21" t="s">
        <v>108</v>
      </c>
      <c r="D129" s="21"/>
      <c r="E129" s="21"/>
      <c r="F129" s="21"/>
      <c r="G129" s="21"/>
      <c r="H129" s="22" t="s">
        <v>19</v>
      </c>
      <c r="I129" s="21"/>
      <c r="J129" s="31"/>
      <c r="K129" s="31">
        <f>W129</f>
        <v>2109.9185264752787</v>
      </c>
      <c r="L129" s="31">
        <f t="shared" ref="L129:AI129" si="68">L192</f>
        <v>2450.5125622000201</v>
      </c>
      <c r="M129" s="31">
        <f t="shared" si="68"/>
        <v>2498.6459673900108</v>
      </c>
      <c r="N129" s="31">
        <f t="shared" si="68"/>
        <v>2202.6070065700069</v>
      </c>
      <c r="O129" s="31">
        <f t="shared" si="68"/>
        <v>2422.2741765100041</v>
      </c>
      <c r="P129" s="31">
        <f t="shared" si="68"/>
        <v>2677.1647083800081</v>
      </c>
      <c r="Q129" s="31">
        <f t="shared" si="68"/>
        <v>2338.3548702600042</v>
      </c>
      <c r="R129" s="31">
        <f t="shared" si="68"/>
        <v>2297.5629936000009</v>
      </c>
      <c r="S129" s="31">
        <f t="shared" si="68"/>
        <v>2593.7333307600061</v>
      </c>
      <c r="T129" s="31">
        <f t="shared" si="68"/>
        <v>2123.6863196636214</v>
      </c>
      <c r="U129" s="31">
        <f t="shared" si="68"/>
        <v>2111.0863409489739</v>
      </c>
      <c r="V129" s="31">
        <f t="shared" si="68"/>
        <v>2110.7792377656892</v>
      </c>
      <c r="W129" s="31">
        <f t="shared" si="68"/>
        <v>2109.9185264752787</v>
      </c>
      <c r="X129" s="31">
        <f t="shared" si="68"/>
        <v>2108.8095791113774</v>
      </c>
      <c r="Y129" s="31">
        <f t="shared" si="68"/>
        <v>2107.7787147331906</v>
      </c>
      <c r="Z129" s="31">
        <f t="shared" si="68"/>
        <v>2107.2686903007693</v>
      </c>
      <c r="AA129" s="31">
        <f t="shared" si="68"/>
        <v>2106.5569524564144</v>
      </c>
      <c r="AB129" s="31">
        <f t="shared" si="68"/>
        <v>2106.1467025302181</v>
      </c>
      <c r="AC129" s="31">
        <f t="shared" si="68"/>
        <v>2105.9531960937752</v>
      </c>
      <c r="AD129" s="31">
        <f t="shared" si="68"/>
        <v>2105.7995785927083</v>
      </c>
      <c r="AE129" s="31">
        <f t="shared" si="68"/>
        <v>2105.6441516027367</v>
      </c>
      <c r="AF129" s="31">
        <f t="shared" si="68"/>
        <v>2105.5427537213218</v>
      </c>
      <c r="AG129" s="31">
        <f t="shared" si="68"/>
        <v>2105.4370296101088</v>
      </c>
      <c r="AH129" s="31">
        <f t="shared" si="68"/>
        <v>2105.3699224271431</v>
      </c>
      <c r="AI129" s="31">
        <f t="shared" si="68"/>
        <v>2105.2987177996461</v>
      </c>
      <c r="AJ129" s="35">
        <f>AI129</f>
        <v>2105.2987177996461</v>
      </c>
    </row>
    <row r="130" spans="1:36" ht="14.25" customHeight="1" x14ac:dyDescent="0.35">
      <c r="A130" s="21"/>
      <c r="B130" s="21"/>
      <c r="C130" s="37" t="s">
        <v>109</v>
      </c>
      <c r="D130" s="37"/>
      <c r="E130" s="37"/>
      <c r="F130" s="37"/>
      <c r="G130" s="37"/>
      <c r="H130" s="38" t="s">
        <v>19</v>
      </c>
      <c r="I130" s="37"/>
      <c r="J130" s="40"/>
      <c r="K130" s="40">
        <f>W130</f>
        <v>6074.0270158213261</v>
      </c>
      <c r="L130" s="40">
        <f t="shared" ref="L130:AI130" si="69">SUM(L127:L129)</f>
        <v>7168.0339573999991</v>
      </c>
      <c r="M130" s="40">
        <f t="shared" si="69"/>
        <v>7829.288709200001</v>
      </c>
      <c r="N130" s="40">
        <f t="shared" si="69"/>
        <v>5629.070040169996</v>
      </c>
      <c r="O130" s="40">
        <f t="shared" si="69"/>
        <v>5070.8768728499945</v>
      </c>
      <c r="P130" s="40">
        <f t="shared" si="69"/>
        <v>6309.5727245599974</v>
      </c>
      <c r="Q130" s="40">
        <f t="shared" si="69"/>
        <v>5774.2637465699945</v>
      </c>
      <c r="R130" s="40">
        <f t="shared" si="69"/>
        <v>7325.5824374599906</v>
      </c>
      <c r="S130" s="40">
        <f t="shared" si="69"/>
        <v>7019.7856214999956</v>
      </c>
      <c r="T130" s="40">
        <f t="shared" si="69"/>
        <v>6289.9693638154404</v>
      </c>
      <c r="U130" s="40">
        <f t="shared" si="69"/>
        <v>6106.3503192550661</v>
      </c>
      <c r="V130" s="40">
        <f t="shared" si="69"/>
        <v>6208.2947976208179</v>
      </c>
      <c r="W130" s="40">
        <f t="shared" si="69"/>
        <v>6074.0270158213261</v>
      </c>
      <c r="X130" s="40">
        <f t="shared" si="69"/>
        <v>6072.926709700444</v>
      </c>
      <c r="Y130" s="40">
        <f t="shared" si="69"/>
        <v>6498.3472839286278</v>
      </c>
      <c r="Z130" s="40">
        <f t="shared" si="69"/>
        <v>6072.6075909448218</v>
      </c>
      <c r="AA130" s="40">
        <f t="shared" si="69"/>
        <v>6206.6299292893891</v>
      </c>
      <c r="AB130" s="40">
        <f t="shared" si="69"/>
        <v>6074.1682901223103</v>
      </c>
      <c r="AC130" s="40">
        <f t="shared" si="69"/>
        <v>6206.9451122862629</v>
      </c>
      <c r="AD130" s="40">
        <f t="shared" si="69"/>
        <v>6074.8863283938817</v>
      </c>
      <c r="AE130" s="40">
        <f t="shared" si="69"/>
        <v>6075.2921970431607</v>
      </c>
      <c r="AF130" s="40">
        <f t="shared" si="69"/>
        <v>6207.5040551196562</v>
      </c>
      <c r="AG130" s="40">
        <f t="shared" si="69"/>
        <v>6075.3321748115122</v>
      </c>
      <c r="AH130" s="40">
        <f t="shared" si="69"/>
        <v>6207.5913741106642</v>
      </c>
      <c r="AI130" s="40">
        <f t="shared" si="69"/>
        <v>6075.339785159973</v>
      </c>
      <c r="AJ130" s="35">
        <f>AI130</f>
        <v>6075.339785159973</v>
      </c>
    </row>
    <row r="131" spans="1:36" ht="14.25" customHeight="1" x14ac:dyDescent="0.35">
      <c r="A131" s="21"/>
      <c r="B131" s="21"/>
      <c r="C131" s="37" t="s">
        <v>110</v>
      </c>
      <c r="D131" s="37"/>
      <c r="E131" s="37"/>
      <c r="F131" s="37"/>
      <c r="G131" s="37"/>
      <c r="H131" s="38" t="s">
        <v>19</v>
      </c>
      <c r="I131" s="37"/>
      <c r="J131" s="40"/>
      <c r="K131" s="40">
        <f>SUM(L131:W131)</f>
        <v>1094.0069415786729</v>
      </c>
      <c r="L131" s="40">
        <f>0</f>
        <v>0</v>
      </c>
      <c r="M131" s="40">
        <f t="shared" ref="M131:AI131" si="70">L130-M130</f>
        <v>-661.25475180000194</v>
      </c>
      <c r="N131" s="40">
        <f t="shared" si="70"/>
        <v>2200.218669030005</v>
      </c>
      <c r="O131" s="40">
        <f t="shared" si="70"/>
        <v>558.19316732000152</v>
      </c>
      <c r="P131" s="40">
        <f t="shared" si="70"/>
        <v>-1238.6958517100029</v>
      </c>
      <c r="Q131" s="40">
        <f t="shared" si="70"/>
        <v>535.30897799000286</v>
      </c>
      <c r="R131" s="40">
        <f t="shared" si="70"/>
        <v>-1551.3186908899961</v>
      </c>
      <c r="S131" s="40">
        <f t="shared" si="70"/>
        <v>305.796815959995</v>
      </c>
      <c r="T131" s="40">
        <f t="shared" si="70"/>
        <v>729.81625768455524</v>
      </c>
      <c r="U131" s="40">
        <f t="shared" si="70"/>
        <v>183.61904456037428</v>
      </c>
      <c r="V131" s="40">
        <f t="shared" si="70"/>
        <v>-101.94447836575182</v>
      </c>
      <c r="W131" s="40">
        <f t="shared" si="70"/>
        <v>134.26778179949179</v>
      </c>
      <c r="X131" s="40">
        <f t="shared" si="70"/>
        <v>1.1003061208821237</v>
      </c>
      <c r="Y131" s="40">
        <f t="shared" si="70"/>
        <v>-425.4205742281838</v>
      </c>
      <c r="Z131" s="40">
        <f t="shared" si="70"/>
        <v>425.73969298380598</v>
      </c>
      <c r="AA131" s="40">
        <f t="shared" si="70"/>
        <v>-134.02233834456729</v>
      </c>
      <c r="AB131" s="40">
        <f t="shared" si="70"/>
        <v>132.46163916707883</v>
      </c>
      <c r="AC131" s="40">
        <f t="shared" si="70"/>
        <v>-132.7768221639526</v>
      </c>
      <c r="AD131" s="40">
        <f t="shared" si="70"/>
        <v>132.05878389238114</v>
      </c>
      <c r="AE131" s="40">
        <f t="shared" si="70"/>
        <v>-0.40586864927900024</v>
      </c>
      <c r="AF131" s="40">
        <f t="shared" si="70"/>
        <v>-132.21185807649545</v>
      </c>
      <c r="AG131" s="40">
        <f t="shared" si="70"/>
        <v>132.17188030814395</v>
      </c>
      <c r="AH131" s="40">
        <f t="shared" si="70"/>
        <v>-132.25919929915199</v>
      </c>
      <c r="AI131" s="40">
        <f t="shared" si="70"/>
        <v>132.25158895069126</v>
      </c>
      <c r="AJ131" s="35">
        <f>SUM(X131:AI131)</f>
        <v>-1.3127693386468309</v>
      </c>
    </row>
    <row r="132" spans="1:36" ht="14.25" customHeight="1" x14ac:dyDescent="0.35">
      <c r="A132" s="21"/>
      <c r="B132" s="21"/>
      <c r="C132" s="61"/>
      <c r="D132" s="28"/>
      <c r="E132" s="28"/>
      <c r="F132" s="28"/>
      <c r="G132" s="28"/>
      <c r="H132" s="56"/>
      <c r="I132" s="28"/>
      <c r="J132" s="41"/>
      <c r="K132" s="28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</row>
    <row r="133" spans="1:36" ht="14.25" customHeight="1" x14ac:dyDescent="0.35">
      <c r="A133" s="21"/>
      <c r="B133" s="28">
        <v>1.2</v>
      </c>
      <c r="C133" s="28" t="s">
        <v>111</v>
      </c>
      <c r="D133" s="28"/>
      <c r="E133" s="21"/>
      <c r="F133" s="21"/>
      <c r="G133" s="21"/>
      <c r="H133" s="22"/>
      <c r="I133" s="21"/>
      <c r="J133" s="31"/>
      <c r="K133" s="2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</row>
    <row r="134" spans="1:36" ht="14.25" customHeight="1" x14ac:dyDescent="0.35">
      <c r="A134" s="21"/>
      <c r="B134" s="28"/>
      <c r="C134" s="62" t="s">
        <v>112</v>
      </c>
      <c r="D134" s="21"/>
      <c r="E134" s="21"/>
      <c r="F134" s="21"/>
      <c r="G134" s="21"/>
      <c r="H134" s="22"/>
      <c r="I134" s="21"/>
      <c r="J134" s="31"/>
      <c r="K134" s="31">
        <f t="shared" ref="K134:K159" si="71">SUM(L134:W134)</f>
        <v>101122.27900525986</v>
      </c>
      <c r="L134" s="31">
        <f t="shared" ref="L134:AI134" si="72">SUM(L135:L139)</f>
        <v>9369.4465608400005</v>
      </c>
      <c r="M134" s="31">
        <f t="shared" si="72"/>
        <v>7818.4100186499982</v>
      </c>
      <c r="N134" s="31">
        <f t="shared" si="72"/>
        <v>8550.2132259000009</v>
      </c>
      <c r="O134" s="31">
        <f t="shared" si="72"/>
        <v>6986.1656922099992</v>
      </c>
      <c r="P134" s="31">
        <f t="shared" si="72"/>
        <v>5820.8378775399997</v>
      </c>
      <c r="Q134" s="31">
        <f t="shared" si="72"/>
        <v>9475.0423403900004</v>
      </c>
      <c r="R134" s="31">
        <f t="shared" si="72"/>
        <v>7922.3766729700001</v>
      </c>
      <c r="S134" s="31">
        <f t="shared" si="72"/>
        <v>9012.2766333399995</v>
      </c>
      <c r="T134" s="31">
        <f t="shared" si="72"/>
        <v>9655.3101686107675</v>
      </c>
      <c r="U134" s="31">
        <f t="shared" si="72"/>
        <v>9019.6340445460592</v>
      </c>
      <c r="V134" s="31">
        <f t="shared" si="72"/>
        <v>8472.9317257169787</v>
      </c>
      <c r="W134" s="31">
        <f t="shared" si="72"/>
        <v>9019.6340445460592</v>
      </c>
      <c r="X134" s="31">
        <f t="shared" si="72"/>
        <v>8746.2828851315189</v>
      </c>
      <c r="Y134" s="31">
        <f t="shared" si="72"/>
        <v>7867.6541584419265</v>
      </c>
      <c r="Z134" s="31">
        <f t="shared" si="72"/>
        <v>9624.9116118211114</v>
      </c>
      <c r="AA134" s="31">
        <f t="shared" si="72"/>
        <v>8472.9317257169787</v>
      </c>
      <c r="AB134" s="31">
        <f t="shared" si="72"/>
        <v>9019.6340445460592</v>
      </c>
      <c r="AC134" s="31">
        <f t="shared" si="72"/>
        <v>8472.9317257169787</v>
      </c>
      <c r="AD134" s="31">
        <f t="shared" si="72"/>
        <v>9019.6340445460592</v>
      </c>
      <c r="AE134" s="31">
        <f t="shared" si="72"/>
        <v>8746.2828851315189</v>
      </c>
      <c r="AF134" s="31">
        <f t="shared" si="72"/>
        <v>8472.9317257169787</v>
      </c>
      <c r="AG134" s="31">
        <f t="shared" si="72"/>
        <v>9019.6340445460592</v>
      </c>
      <c r="AH134" s="31">
        <f t="shared" si="72"/>
        <v>8472.9317257169787</v>
      </c>
      <c r="AI134" s="31">
        <f t="shared" si="72"/>
        <v>9019.6340445460592</v>
      </c>
      <c r="AJ134" s="35">
        <f t="shared" ref="AJ134:AJ159" si="73">SUM(X134:AI134)</f>
        <v>104955.39462157822</v>
      </c>
    </row>
    <row r="135" spans="1:36" ht="14.25" customHeight="1" x14ac:dyDescent="0.35">
      <c r="A135" s="21"/>
      <c r="B135" s="28"/>
      <c r="C135" s="63" t="s">
        <v>28</v>
      </c>
      <c r="D135" s="21"/>
      <c r="E135" s="21"/>
      <c r="F135" s="21"/>
      <c r="G135" s="21"/>
      <c r="H135" s="22"/>
      <c r="I135" s="21"/>
      <c r="J135" s="31"/>
      <c r="K135" s="31">
        <f t="shared" si="71"/>
        <v>101057.14517059606</v>
      </c>
      <c r="L135" s="31">
        <f t="shared" ref="L135:AI135" si="74">L17</f>
        <v>9369.4465608400005</v>
      </c>
      <c r="M135" s="31">
        <f t="shared" si="74"/>
        <v>8659.5706651700093</v>
      </c>
      <c r="N135" s="31">
        <f t="shared" si="74"/>
        <v>6484.5567810499997</v>
      </c>
      <c r="O135" s="31">
        <f t="shared" si="74"/>
        <v>6850.5286967399998</v>
      </c>
      <c r="P135" s="31">
        <f t="shared" si="74"/>
        <v>7705.4168631599996</v>
      </c>
      <c r="Q135" s="31">
        <f t="shared" si="74"/>
        <v>8295.2877552200007</v>
      </c>
      <c r="R135" s="31">
        <f t="shared" si="74"/>
        <v>8914.0808558299996</v>
      </c>
      <c r="S135" s="31">
        <f t="shared" si="74"/>
        <v>9793.1254520599996</v>
      </c>
      <c r="T135" s="31">
        <f t="shared" si="74"/>
        <v>8746.2828851315189</v>
      </c>
      <c r="U135" s="31">
        <f t="shared" si="74"/>
        <v>8746.2828851315189</v>
      </c>
      <c r="V135" s="31">
        <f t="shared" si="74"/>
        <v>8746.2828851315189</v>
      </c>
      <c r="W135" s="31">
        <f t="shared" si="74"/>
        <v>8746.2828851315189</v>
      </c>
      <c r="X135" s="31">
        <f t="shared" si="74"/>
        <v>8746.2828851315189</v>
      </c>
      <c r="Y135" s="31">
        <f t="shared" si="74"/>
        <v>8746.2828851315189</v>
      </c>
      <c r="Z135" s="31">
        <f t="shared" si="74"/>
        <v>8746.2828851315189</v>
      </c>
      <c r="AA135" s="31">
        <f t="shared" si="74"/>
        <v>8746.2828851315189</v>
      </c>
      <c r="AB135" s="31">
        <f t="shared" si="74"/>
        <v>8746.2828851315189</v>
      </c>
      <c r="AC135" s="31">
        <f t="shared" si="74"/>
        <v>8746.2828851315189</v>
      </c>
      <c r="AD135" s="31">
        <f t="shared" si="74"/>
        <v>8746.2828851315189</v>
      </c>
      <c r="AE135" s="31">
        <f t="shared" si="74"/>
        <v>8746.2828851315189</v>
      </c>
      <c r="AF135" s="31">
        <f t="shared" si="74"/>
        <v>8746.2828851315189</v>
      </c>
      <c r="AG135" s="31">
        <f t="shared" si="74"/>
        <v>8746.2828851315189</v>
      </c>
      <c r="AH135" s="31">
        <f t="shared" si="74"/>
        <v>8746.2828851315189</v>
      </c>
      <c r="AI135" s="31">
        <f t="shared" si="74"/>
        <v>8746.2828851315189</v>
      </c>
      <c r="AJ135" s="35">
        <f t="shared" si="73"/>
        <v>104955.39462157821</v>
      </c>
    </row>
    <row r="136" spans="1:36" ht="14.25" customHeight="1" x14ac:dyDescent="0.35">
      <c r="A136" s="21"/>
      <c r="B136" s="28"/>
      <c r="C136" s="63" t="s">
        <v>113</v>
      </c>
      <c r="D136" s="21"/>
      <c r="E136" s="21"/>
      <c r="F136" s="21"/>
      <c r="G136" s="21"/>
      <c r="H136" s="22"/>
      <c r="I136" s="21"/>
      <c r="J136" s="31"/>
      <c r="K136" s="31">
        <f t="shared" si="71"/>
        <v>1075.4562280200807</v>
      </c>
      <c r="L136" s="31">
        <f>0</f>
        <v>0</v>
      </c>
      <c r="M136" s="31">
        <f t="shared" ref="M136:AI136" si="75">L185-M185</f>
        <v>-766.97003952001069</v>
      </c>
      <c r="N136" s="31">
        <f t="shared" si="75"/>
        <v>3131.9741868500005</v>
      </c>
      <c r="O136" s="31">
        <f t="shared" si="75"/>
        <v>296.09141846999955</v>
      </c>
      <c r="P136" s="31">
        <f t="shared" si="75"/>
        <v>-1722.9052296199998</v>
      </c>
      <c r="Q136" s="31">
        <f t="shared" si="75"/>
        <v>547.42207216999941</v>
      </c>
      <c r="R136" s="31">
        <f t="shared" si="75"/>
        <v>-855.78713341999992</v>
      </c>
      <c r="S136" s="31">
        <f t="shared" si="75"/>
        <v>-395.09139777999917</v>
      </c>
      <c r="T136" s="31">
        <f t="shared" si="75"/>
        <v>597.25165591942732</v>
      </c>
      <c r="U136" s="31">
        <f t="shared" si="75"/>
        <v>243.47069495066353</v>
      </c>
      <c r="V136" s="31">
        <f t="shared" si="75"/>
        <v>-243.47069495066353</v>
      </c>
      <c r="W136" s="31">
        <f t="shared" si="75"/>
        <v>243.47069495066353</v>
      </c>
      <c r="X136" s="31">
        <f t="shared" si="75"/>
        <v>0</v>
      </c>
      <c r="Y136" s="31">
        <f t="shared" si="75"/>
        <v>-782.58437662713186</v>
      </c>
      <c r="Z136" s="31">
        <f t="shared" si="75"/>
        <v>782.58437662713186</v>
      </c>
      <c r="AA136" s="31">
        <f t="shared" si="75"/>
        <v>-243.47069495066353</v>
      </c>
      <c r="AB136" s="31">
        <f t="shared" si="75"/>
        <v>243.47069495066353</v>
      </c>
      <c r="AC136" s="31">
        <f t="shared" si="75"/>
        <v>-243.47069495066353</v>
      </c>
      <c r="AD136" s="31">
        <f t="shared" si="75"/>
        <v>243.47069495066353</v>
      </c>
      <c r="AE136" s="31">
        <f t="shared" si="75"/>
        <v>0</v>
      </c>
      <c r="AF136" s="31">
        <f t="shared" si="75"/>
        <v>-243.47069495066353</v>
      </c>
      <c r="AG136" s="31">
        <f t="shared" si="75"/>
        <v>243.47069495066353</v>
      </c>
      <c r="AH136" s="31">
        <f t="shared" si="75"/>
        <v>-243.47069495066353</v>
      </c>
      <c r="AI136" s="31">
        <f t="shared" si="75"/>
        <v>243.47069495066353</v>
      </c>
      <c r="AJ136" s="35">
        <f t="shared" si="73"/>
        <v>0</v>
      </c>
    </row>
    <row r="137" spans="1:36" ht="14.25" customHeight="1" x14ac:dyDescent="0.35">
      <c r="A137" s="21"/>
      <c r="B137" s="28"/>
      <c r="C137" s="63" t="s">
        <v>114</v>
      </c>
      <c r="D137" s="21"/>
      <c r="E137" s="21"/>
      <c r="F137" s="21"/>
      <c r="G137" s="21"/>
      <c r="H137" s="22"/>
      <c r="I137" s="21"/>
      <c r="J137" s="31"/>
      <c r="K137" s="31">
        <f t="shared" si="71"/>
        <v>-627.21645491630284</v>
      </c>
      <c r="L137" s="31">
        <f>0</f>
        <v>0</v>
      </c>
      <c r="M137" s="31">
        <f t="shared" ref="M137:AI137" si="76">L202-M202</f>
        <v>-74.157707000000016</v>
      </c>
      <c r="N137" s="31">
        <f t="shared" si="76"/>
        <v>-66.31774200000001</v>
      </c>
      <c r="O137" s="31">
        <f t="shared" si="76"/>
        <v>-160.45442300000008</v>
      </c>
      <c r="P137" s="31">
        <f t="shared" si="76"/>
        <v>-161.93156999999997</v>
      </c>
      <c r="Q137" s="31">
        <f t="shared" si="76"/>
        <v>-0.28107899999997699</v>
      </c>
      <c r="R137" s="31">
        <f t="shared" si="76"/>
        <v>-119.97260500000004</v>
      </c>
      <c r="S137" s="31">
        <f t="shared" si="76"/>
        <v>-385.75742093999997</v>
      </c>
      <c r="T137" s="31">
        <f t="shared" si="76"/>
        <v>311.77562755982058</v>
      </c>
      <c r="U137" s="31">
        <f t="shared" si="76"/>
        <v>29.880464463876706</v>
      </c>
      <c r="V137" s="31">
        <f t="shared" si="76"/>
        <v>-29.880464463876706</v>
      </c>
      <c r="W137" s="31">
        <f t="shared" si="76"/>
        <v>29.880464463876706</v>
      </c>
      <c r="X137" s="31">
        <f t="shared" si="76"/>
        <v>0</v>
      </c>
      <c r="Y137" s="31">
        <f t="shared" si="76"/>
        <v>-96.044350062461035</v>
      </c>
      <c r="Z137" s="31">
        <f t="shared" si="76"/>
        <v>96.044350062461035</v>
      </c>
      <c r="AA137" s="31">
        <f t="shared" si="76"/>
        <v>-29.880464463876706</v>
      </c>
      <c r="AB137" s="31">
        <f t="shared" si="76"/>
        <v>29.880464463876706</v>
      </c>
      <c r="AC137" s="31">
        <f t="shared" si="76"/>
        <v>-29.880464463876706</v>
      </c>
      <c r="AD137" s="31">
        <f t="shared" si="76"/>
        <v>29.880464463876706</v>
      </c>
      <c r="AE137" s="31">
        <f t="shared" si="76"/>
        <v>0</v>
      </c>
      <c r="AF137" s="31">
        <f t="shared" si="76"/>
        <v>-29.880464463876706</v>
      </c>
      <c r="AG137" s="31">
        <f t="shared" si="76"/>
        <v>29.880464463876706</v>
      </c>
      <c r="AH137" s="31">
        <f t="shared" si="76"/>
        <v>-29.880464463876706</v>
      </c>
      <c r="AI137" s="31">
        <f t="shared" si="76"/>
        <v>29.880464463876706</v>
      </c>
      <c r="AJ137" s="35">
        <f t="shared" si="73"/>
        <v>0</v>
      </c>
    </row>
    <row r="138" spans="1:36" ht="14.25" customHeight="1" x14ac:dyDescent="0.35">
      <c r="A138" s="21"/>
      <c r="B138" s="28"/>
      <c r="C138" s="63" t="s">
        <v>115</v>
      </c>
      <c r="D138" s="21"/>
      <c r="E138" s="21"/>
      <c r="F138" s="21"/>
      <c r="G138" s="21"/>
      <c r="H138" s="22"/>
      <c r="I138" s="21"/>
      <c r="J138" s="31"/>
      <c r="K138" s="31">
        <f t="shared" si="71"/>
        <v>-383.33085244000006</v>
      </c>
      <c r="L138" s="31">
        <f>0</f>
        <v>0</v>
      </c>
      <c r="M138" s="31">
        <f t="shared" ref="M138:AI138" si="77">L191-M191</f>
        <v>0</v>
      </c>
      <c r="N138" s="31">
        <f t="shared" si="77"/>
        <v>-1000</v>
      </c>
      <c r="O138" s="31">
        <f t="shared" si="77"/>
        <v>0</v>
      </c>
      <c r="P138" s="31">
        <f t="shared" si="77"/>
        <v>0</v>
      </c>
      <c r="Q138" s="31">
        <f t="shared" si="77"/>
        <v>632.61359199999993</v>
      </c>
      <c r="R138" s="31">
        <f t="shared" si="77"/>
        <v>-15.944444439999984</v>
      </c>
      <c r="S138" s="31">
        <f t="shared" si="77"/>
        <v>0</v>
      </c>
      <c r="T138" s="31">
        <f t="shared" si="77"/>
        <v>0</v>
      </c>
      <c r="U138" s="31">
        <f t="shared" si="77"/>
        <v>0</v>
      </c>
      <c r="V138" s="31">
        <f t="shared" si="77"/>
        <v>0</v>
      </c>
      <c r="W138" s="31">
        <f t="shared" si="77"/>
        <v>0</v>
      </c>
      <c r="X138" s="31">
        <f t="shared" si="77"/>
        <v>0</v>
      </c>
      <c r="Y138" s="31">
        <f t="shared" si="77"/>
        <v>0</v>
      </c>
      <c r="Z138" s="31">
        <f t="shared" si="77"/>
        <v>0</v>
      </c>
      <c r="AA138" s="31">
        <f t="shared" si="77"/>
        <v>0</v>
      </c>
      <c r="AB138" s="31">
        <f t="shared" si="77"/>
        <v>0</v>
      </c>
      <c r="AC138" s="31">
        <f t="shared" si="77"/>
        <v>0</v>
      </c>
      <c r="AD138" s="31">
        <f t="shared" si="77"/>
        <v>0</v>
      </c>
      <c r="AE138" s="31">
        <f t="shared" si="77"/>
        <v>0</v>
      </c>
      <c r="AF138" s="31">
        <f t="shared" si="77"/>
        <v>0</v>
      </c>
      <c r="AG138" s="31">
        <f t="shared" si="77"/>
        <v>0</v>
      </c>
      <c r="AH138" s="31">
        <f t="shared" si="77"/>
        <v>0</v>
      </c>
      <c r="AI138" s="31">
        <f t="shared" si="77"/>
        <v>0</v>
      </c>
      <c r="AJ138" s="35">
        <f t="shared" si="73"/>
        <v>0</v>
      </c>
    </row>
    <row r="139" spans="1:36" ht="14.25" customHeight="1" x14ac:dyDescent="0.35">
      <c r="A139" s="21"/>
      <c r="B139" s="28"/>
      <c r="C139" s="63" t="s">
        <v>116</v>
      </c>
      <c r="D139" s="21"/>
      <c r="E139" s="21"/>
      <c r="F139" s="21"/>
      <c r="G139" s="21"/>
      <c r="H139" s="22"/>
      <c r="I139" s="21"/>
      <c r="J139" s="31"/>
      <c r="K139" s="31">
        <f t="shared" si="71"/>
        <v>0.22491400000000003</v>
      </c>
      <c r="L139" s="31">
        <f>0</f>
        <v>0</v>
      </c>
      <c r="M139" s="31">
        <f t="shared" ref="M139:AI139" si="78">M241-L241</f>
        <v>-3.2900000000000013E-2</v>
      </c>
      <c r="N139" s="31">
        <f t="shared" si="78"/>
        <v>0</v>
      </c>
      <c r="O139" s="31">
        <f t="shared" si="78"/>
        <v>0</v>
      </c>
      <c r="P139" s="31">
        <f t="shared" si="78"/>
        <v>0.25781400000000004</v>
      </c>
      <c r="Q139" s="31">
        <f t="shared" si="78"/>
        <v>0</v>
      </c>
      <c r="R139" s="31">
        <f t="shared" si="78"/>
        <v>0</v>
      </c>
      <c r="S139" s="31">
        <f t="shared" si="78"/>
        <v>0</v>
      </c>
      <c r="T139" s="31">
        <f t="shared" si="78"/>
        <v>0</v>
      </c>
      <c r="U139" s="31">
        <f t="shared" si="78"/>
        <v>0</v>
      </c>
      <c r="V139" s="31">
        <f t="shared" si="78"/>
        <v>0</v>
      </c>
      <c r="W139" s="31">
        <f t="shared" si="78"/>
        <v>0</v>
      </c>
      <c r="X139" s="31">
        <f t="shared" si="78"/>
        <v>0</v>
      </c>
      <c r="Y139" s="31">
        <f t="shared" si="78"/>
        <v>0</v>
      </c>
      <c r="Z139" s="31">
        <f t="shared" si="78"/>
        <v>0</v>
      </c>
      <c r="AA139" s="31">
        <f t="shared" si="78"/>
        <v>0</v>
      </c>
      <c r="AB139" s="31">
        <f t="shared" si="78"/>
        <v>0</v>
      </c>
      <c r="AC139" s="31">
        <f t="shared" si="78"/>
        <v>0</v>
      </c>
      <c r="AD139" s="31">
        <f t="shared" si="78"/>
        <v>0</v>
      </c>
      <c r="AE139" s="31">
        <f t="shared" si="78"/>
        <v>0</v>
      </c>
      <c r="AF139" s="31">
        <f t="shared" si="78"/>
        <v>0</v>
      </c>
      <c r="AG139" s="31">
        <f t="shared" si="78"/>
        <v>0</v>
      </c>
      <c r="AH139" s="31">
        <f t="shared" si="78"/>
        <v>0</v>
      </c>
      <c r="AI139" s="31">
        <f t="shared" si="78"/>
        <v>0</v>
      </c>
      <c r="AJ139" s="35">
        <f t="shared" si="73"/>
        <v>0</v>
      </c>
    </row>
    <row r="140" spans="1:36" ht="14.25" customHeight="1" x14ac:dyDescent="0.35">
      <c r="A140" s="21"/>
      <c r="B140" s="28"/>
      <c r="C140" s="62" t="s">
        <v>117</v>
      </c>
      <c r="D140" s="21"/>
      <c r="E140" s="21"/>
      <c r="F140" s="21"/>
      <c r="G140" s="21"/>
      <c r="H140" s="22"/>
      <c r="I140" s="21"/>
      <c r="J140" s="31"/>
      <c r="K140" s="31">
        <f t="shared" si="71"/>
        <v>-74430.476485561769</v>
      </c>
      <c r="L140" s="31">
        <f t="shared" ref="L140:AI140" si="79">SUM(L141:L149)</f>
        <v>-5615.7497478162113</v>
      </c>
      <c r="M140" s="31">
        <f t="shared" si="79"/>
        <v>-5026.1297434661892</v>
      </c>
      <c r="N140" s="31">
        <f t="shared" si="79"/>
        <v>-5101.7799685419277</v>
      </c>
      <c r="O140" s="31">
        <f t="shared" si="79"/>
        <v>-4827.9990314214419</v>
      </c>
      <c r="P140" s="31">
        <f t="shared" si="79"/>
        <v>-5173.2394261225327</v>
      </c>
      <c r="Q140" s="31">
        <f t="shared" si="79"/>
        <v>-8376.3007834033942</v>
      </c>
      <c r="R140" s="31">
        <f t="shared" si="79"/>
        <v>-8811.2911813000883</v>
      </c>
      <c r="S140" s="31">
        <f t="shared" si="79"/>
        <v>-6541.6738147886417</v>
      </c>
      <c r="T140" s="31">
        <f t="shared" si="79"/>
        <v>-6031.7722857359749</v>
      </c>
      <c r="U140" s="31">
        <f t="shared" si="79"/>
        <v>-6309.5301774840873</v>
      </c>
      <c r="V140" s="31">
        <f t="shared" si="79"/>
        <v>-6179.4418982501438</v>
      </c>
      <c r="W140" s="31">
        <f t="shared" si="79"/>
        <v>-6435.5684272311319</v>
      </c>
      <c r="X140" s="31">
        <f t="shared" si="79"/>
        <v>-6326.4538921041603</v>
      </c>
      <c r="Y140" s="31">
        <f t="shared" si="79"/>
        <v>-5967.1842590789274</v>
      </c>
      <c r="Z140" s="31">
        <f t="shared" si="79"/>
        <v>-6682.6503223841519</v>
      </c>
      <c r="AA140" s="31">
        <f t="shared" si="79"/>
        <v>-6219.0056110603637</v>
      </c>
      <c r="AB140" s="31">
        <f t="shared" si="79"/>
        <v>-6439.5482045997433</v>
      </c>
      <c r="AC140" s="31">
        <f t="shared" si="79"/>
        <v>-6217.0007713934165</v>
      </c>
      <c r="AD140" s="31">
        <f t="shared" si="79"/>
        <v>-6438.6383272756921</v>
      </c>
      <c r="AE140" s="31">
        <f t="shared" si="79"/>
        <v>-6327.3994359557655</v>
      </c>
      <c r="AF140" s="31">
        <f t="shared" si="79"/>
        <v>-6216.2668289282465</v>
      </c>
      <c r="AG140" s="31">
        <f t="shared" si="79"/>
        <v>-6439.9084161793226</v>
      </c>
      <c r="AH140" s="31">
        <f t="shared" si="79"/>
        <v>-6217.6079606907888</v>
      </c>
      <c r="AI140" s="31">
        <f t="shared" si="79"/>
        <v>-6440.230774599002</v>
      </c>
      <c r="AJ140" s="35">
        <f t="shared" si="73"/>
        <v>-75931.894804249576</v>
      </c>
    </row>
    <row r="141" spans="1:36" ht="14.25" customHeight="1" x14ac:dyDescent="0.35">
      <c r="A141" s="21"/>
      <c r="B141" s="28"/>
      <c r="C141" s="63" t="s">
        <v>118</v>
      </c>
      <c r="D141" s="21"/>
      <c r="E141" s="21"/>
      <c r="F141" s="21"/>
      <c r="G141" s="21"/>
      <c r="H141" s="22"/>
      <c r="I141" s="21"/>
      <c r="J141" s="31"/>
      <c r="K141" s="31">
        <f t="shared" si="71"/>
        <v>-84154.697392811213</v>
      </c>
      <c r="L141" s="31">
        <f t="shared" ref="L141:AI141" si="80">L64</f>
        <v>-6667.1820141462113</v>
      </c>
      <c r="M141" s="31">
        <f t="shared" si="80"/>
        <v>-6591.9514635461974</v>
      </c>
      <c r="N141" s="31">
        <f t="shared" si="80"/>
        <v>-5211.7544519819303</v>
      </c>
      <c r="O141" s="31">
        <f t="shared" si="80"/>
        <v>-5876.8618122114403</v>
      </c>
      <c r="P141" s="31">
        <f t="shared" si="80"/>
        <v>-6624.8783577325321</v>
      </c>
      <c r="Q141" s="31">
        <f t="shared" si="80"/>
        <v>-7152.2142162933978</v>
      </c>
      <c r="R141" s="31">
        <f t="shared" si="80"/>
        <v>-7596.8220779600942</v>
      </c>
      <c r="S141" s="31">
        <f t="shared" si="80"/>
        <v>-7842.1457137086372</v>
      </c>
      <c r="T141" s="31">
        <f t="shared" si="80"/>
        <v>-7549.1251490678987</v>
      </c>
      <c r="U141" s="31">
        <f t="shared" si="80"/>
        <v>-7633.6149469702332</v>
      </c>
      <c r="V141" s="31">
        <f t="shared" si="80"/>
        <v>-7702.6557557093438</v>
      </c>
      <c r="W141" s="31">
        <f t="shared" si="80"/>
        <v>-7705.4914334832929</v>
      </c>
      <c r="X141" s="31">
        <f t="shared" si="80"/>
        <v>-7705.4714979211149</v>
      </c>
      <c r="Y141" s="31">
        <f t="shared" si="80"/>
        <v>-7701.877831267725</v>
      </c>
      <c r="Z141" s="31">
        <f t="shared" si="80"/>
        <v>-7702.6528440719685</v>
      </c>
      <c r="AA141" s="31">
        <f t="shared" si="80"/>
        <v>-7696.9460546193641</v>
      </c>
      <c r="AB141" s="31">
        <f t="shared" si="80"/>
        <v>-7696.4638186810707</v>
      </c>
      <c r="AC141" s="31">
        <f t="shared" si="80"/>
        <v>-7694.8944263131116</v>
      </c>
      <c r="AD141" s="31">
        <f t="shared" si="80"/>
        <v>-7694.0064630204552</v>
      </c>
      <c r="AE141" s="31">
        <f t="shared" si="80"/>
        <v>-7692.7115400456878</v>
      </c>
      <c r="AF141" s="31">
        <f t="shared" si="80"/>
        <v>-7692.7301723747169</v>
      </c>
      <c r="AG141" s="31">
        <f t="shared" si="80"/>
        <v>-7692.141474762484</v>
      </c>
      <c r="AH141" s="31">
        <f t="shared" si="80"/>
        <v>-7692.1493596328928</v>
      </c>
      <c r="AI141" s="31">
        <f t="shared" si="80"/>
        <v>-7691.8048287191086</v>
      </c>
      <c r="AJ141" s="35">
        <f t="shared" si="73"/>
        <v>-92353.850311429705</v>
      </c>
    </row>
    <row r="142" spans="1:36" ht="14.25" customHeight="1" x14ac:dyDescent="0.35">
      <c r="A142" s="21"/>
      <c r="B142" s="28"/>
      <c r="C142" s="63" t="s">
        <v>119</v>
      </c>
      <c r="D142" s="21"/>
      <c r="E142" s="21"/>
      <c r="F142" s="21"/>
      <c r="G142" s="21"/>
      <c r="H142" s="22"/>
      <c r="I142" s="21"/>
      <c r="J142" s="31"/>
      <c r="K142" s="31">
        <f t="shared" si="71"/>
        <v>12863.410390405019</v>
      </c>
      <c r="L142" s="31">
        <f t="shared" ref="L142:AI142" si="81">-SUM(L68:L71,L73:L75)</f>
        <v>1051.4322663300002</v>
      </c>
      <c r="M142" s="31">
        <f t="shared" si="81"/>
        <v>965.01561332999995</v>
      </c>
      <c r="N142" s="31">
        <f t="shared" si="81"/>
        <v>775.19856104999985</v>
      </c>
      <c r="O142" s="31">
        <f t="shared" si="81"/>
        <v>1113.7925846800001</v>
      </c>
      <c r="P142" s="31">
        <f t="shared" si="81"/>
        <v>1144.7580796699999</v>
      </c>
      <c r="Q142" s="31">
        <f t="shared" si="81"/>
        <v>1171.7805993500001</v>
      </c>
      <c r="R142" s="31">
        <f t="shared" si="81"/>
        <v>1198.8379413499999</v>
      </c>
      <c r="S142" s="31">
        <f t="shared" si="81"/>
        <v>1153.4695730000001</v>
      </c>
      <c r="T142" s="31">
        <f t="shared" si="81"/>
        <v>1072.5512961580421</v>
      </c>
      <c r="U142" s="31">
        <f t="shared" si="81"/>
        <v>1071.976850297692</v>
      </c>
      <c r="V142" s="31">
        <f t="shared" si="81"/>
        <v>1072.3157322780298</v>
      </c>
      <c r="W142" s="31">
        <f t="shared" si="81"/>
        <v>1072.2812929112547</v>
      </c>
      <c r="X142" s="31">
        <f t="shared" si="81"/>
        <v>1072.191291828992</v>
      </c>
      <c r="Y142" s="31">
        <f t="shared" si="81"/>
        <v>1072.2627723394255</v>
      </c>
      <c r="Z142" s="31">
        <f t="shared" si="81"/>
        <v>1072.2451190265574</v>
      </c>
      <c r="AA142" s="31">
        <f t="shared" si="81"/>
        <v>1072.2330610649917</v>
      </c>
      <c r="AB142" s="31">
        <f t="shared" si="81"/>
        <v>1072.2469841436582</v>
      </c>
      <c r="AC142" s="31">
        <f t="shared" si="81"/>
        <v>1072.2417214117356</v>
      </c>
      <c r="AD142" s="31">
        <f t="shared" si="81"/>
        <v>1072.240588873462</v>
      </c>
      <c r="AE142" s="31">
        <f t="shared" si="81"/>
        <v>1072.243098142952</v>
      </c>
      <c r="AF142" s="31">
        <f t="shared" si="81"/>
        <v>1072.2418028093832</v>
      </c>
      <c r="AG142" s="31">
        <f t="shared" si="81"/>
        <v>1072.2418299419321</v>
      </c>
      <c r="AH142" s="31">
        <f t="shared" si="81"/>
        <v>1072.2422436314223</v>
      </c>
      <c r="AI142" s="31">
        <f t="shared" si="81"/>
        <v>1072.2419587942459</v>
      </c>
      <c r="AJ142" s="35">
        <f t="shared" si="73"/>
        <v>12866.872472008759</v>
      </c>
    </row>
    <row r="143" spans="1:36" ht="14.25" customHeight="1" x14ac:dyDescent="0.35">
      <c r="A143" s="21"/>
      <c r="B143" s="28"/>
      <c r="C143" s="63" t="s">
        <v>120</v>
      </c>
      <c r="D143" s="21"/>
      <c r="E143" s="21"/>
      <c r="F143" s="21"/>
      <c r="G143" s="21"/>
      <c r="H143" s="22"/>
      <c r="I143" s="21"/>
      <c r="J143" s="31"/>
      <c r="K143" s="31">
        <f t="shared" si="71"/>
        <v>2791.7334539758303</v>
      </c>
      <c r="L143" s="31">
        <f>0</f>
        <v>0</v>
      </c>
      <c r="M143" s="31">
        <f t="shared" ref="M143:AI143" si="82">SUM(L218:L222)-SUM(M218:M222)</f>
        <v>312.91328487999999</v>
      </c>
      <c r="N143" s="31">
        <f t="shared" si="82"/>
        <v>305.9820943099985</v>
      </c>
      <c r="O143" s="31">
        <f t="shared" si="82"/>
        <v>303.07092973999534</v>
      </c>
      <c r="P143" s="31">
        <f t="shared" si="82"/>
        <v>-304.64848491999874</v>
      </c>
      <c r="Q143" s="31">
        <f t="shared" si="82"/>
        <v>310.44362633999845</v>
      </c>
      <c r="R143" s="31">
        <f t="shared" si="82"/>
        <v>311.07405254000332</v>
      </c>
      <c r="S143" s="31">
        <f t="shared" si="82"/>
        <v>312.48488101000112</v>
      </c>
      <c r="T143" s="31">
        <f t="shared" si="82"/>
        <v>312.23696540875244</v>
      </c>
      <c r="U143" s="31">
        <f t="shared" si="82"/>
        <v>311.95956957874296</v>
      </c>
      <c r="V143" s="31">
        <f t="shared" si="82"/>
        <v>309.37190859625844</v>
      </c>
      <c r="W143" s="31">
        <f t="shared" si="82"/>
        <v>306.84462649207853</v>
      </c>
      <c r="X143" s="31">
        <f t="shared" si="82"/>
        <v>305.72600786708063</v>
      </c>
      <c r="Y143" s="31">
        <f t="shared" si="82"/>
        <v>305.26699745042424</v>
      </c>
      <c r="Z143" s="31">
        <f t="shared" si="82"/>
        <v>304.6020863045851</v>
      </c>
      <c r="AA143" s="31">
        <f t="shared" si="82"/>
        <v>296.25902588791359</v>
      </c>
      <c r="AB143" s="31">
        <f t="shared" si="82"/>
        <v>295.67768572125351</v>
      </c>
      <c r="AC143" s="31">
        <f t="shared" si="82"/>
        <v>294.95806072124833</v>
      </c>
      <c r="AD143" s="31">
        <f t="shared" si="82"/>
        <v>294.53945792958257</v>
      </c>
      <c r="AE143" s="31">
        <f t="shared" si="82"/>
        <v>293.47487459624972</v>
      </c>
      <c r="AF143" s="31">
        <f t="shared" si="82"/>
        <v>292.96270376291795</v>
      </c>
      <c r="AG143" s="31">
        <f t="shared" si="82"/>
        <v>291.29004328374867</v>
      </c>
      <c r="AH143" s="31">
        <f t="shared" si="82"/>
        <v>291.08765965916973</v>
      </c>
      <c r="AI143" s="31">
        <f t="shared" si="82"/>
        <v>290.55120132583397</v>
      </c>
      <c r="AJ143" s="35">
        <f t="shared" si="73"/>
        <v>3556.395804510008</v>
      </c>
    </row>
    <row r="144" spans="1:36" ht="14.25" customHeight="1" x14ac:dyDescent="0.35">
      <c r="A144" s="21"/>
      <c r="B144" s="28"/>
      <c r="C144" s="63" t="s">
        <v>121</v>
      </c>
      <c r="D144" s="21"/>
      <c r="E144" s="21"/>
      <c r="F144" s="21"/>
      <c r="G144" s="21"/>
      <c r="H144" s="22"/>
      <c r="I144" s="21"/>
      <c r="J144" s="31"/>
      <c r="K144" s="31">
        <f t="shared" si="71"/>
        <v>0</v>
      </c>
      <c r="L144" s="31">
        <f>0</f>
        <v>0</v>
      </c>
      <c r="M144" s="31">
        <f t="shared" ref="M144:AI144" si="83">(L223+L224)-(M223+M224)</f>
        <v>0</v>
      </c>
      <c r="N144" s="31">
        <f t="shared" si="83"/>
        <v>0</v>
      </c>
      <c r="O144" s="31">
        <f t="shared" si="83"/>
        <v>0</v>
      </c>
      <c r="P144" s="31">
        <f t="shared" si="83"/>
        <v>0</v>
      </c>
      <c r="Q144" s="31">
        <f t="shared" si="83"/>
        <v>0</v>
      </c>
      <c r="R144" s="31">
        <f t="shared" si="83"/>
        <v>0</v>
      </c>
      <c r="S144" s="31">
        <f t="shared" si="83"/>
        <v>0</v>
      </c>
      <c r="T144" s="31">
        <f t="shared" si="83"/>
        <v>0</v>
      </c>
      <c r="U144" s="31">
        <f t="shared" si="83"/>
        <v>0</v>
      </c>
      <c r="V144" s="31">
        <f t="shared" si="83"/>
        <v>0</v>
      </c>
      <c r="W144" s="31">
        <f t="shared" si="83"/>
        <v>0</v>
      </c>
      <c r="X144" s="31">
        <f t="shared" si="83"/>
        <v>0</v>
      </c>
      <c r="Y144" s="31">
        <f t="shared" si="83"/>
        <v>0</v>
      </c>
      <c r="Z144" s="31">
        <f t="shared" si="83"/>
        <v>0</v>
      </c>
      <c r="AA144" s="31">
        <f t="shared" si="83"/>
        <v>0</v>
      </c>
      <c r="AB144" s="31">
        <f t="shared" si="83"/>
        <v>0</v>
      </c>
      <c r="AC144" s="31">
        <f t="shared" si="83"/>
        <v>0</v>
      </c>
      <c r="AD144" s="31">
        <f t="shared" si="83"/>
        <v>0</v>
      </c>
      <c r="AE144" s="31">
        <f t="shared" si="83"/>
        <v>0</v>
      </c>
      <c r="AF144" s="31">
        <f t="shared" si="83"/>
        <v>0</v>
      </c>
      <c r="AG144" s="31">
        <f t="shared" si="83"/>
        <v>0</v>
      </c>
      <c r="AH144" s="31">
        <f t="shared" si="83"/>
        <v>0</v>
      </c>
      <c r="AI144" s="31">
        <f t="shared" si="83"/>
        <v>0</v>
      </c>
      <c r="AJ144" s="35">
        <f t="shared" si="73"/>
        <v>0</v>
      </c>
    </row>
    <row r="145" spans="1:36" ht="14.25" customHeight="1" x14ac:dyDescent="0.35">
      <c r="A145" s="21"/>
      <c r="B145" s="28"/>
      <c r="C145" s="63" t="s">
        <v>122</v>
      </c>
      <c r="D145" s="21"/>
      <c r="E145" s="21"/>
      <c r="F145" s="21"/>
      <c r="G145" s="21"/>
      <c r="H145" s="22"/>
      <c r="I145" s="21"/>
      <c r="J145" s="31"/>
      <c r="K145" s="31">
        <f t="shared" si="71"/>
        <v>-5596.9937330100001</v>
      </c>
      <c r="L145" s="31">
        <f>0</f>
        <v>0</v>
      </c>
      <c r="M145" s="31">
        <f t="shared" ref="M145:AI145" si="84">(L189+L190)-(M189+M190)</f>
        <v>4.7770321000000422</v>
      </c>
      <c r="N145" s="31">
        <f t="shared" si="84"/>
        <v>7.1603460000000041</v>
      </c>
      <c r="O145" s="31">
        <f t="shared" si="84"/>
        <v>-194.45000000000005</v>
      </c>
      <c r="P145" s="31">
        <f t="shared" si="84"/>
        <v>-496.16388888999995</v>
      </c>
      <c r="Q145" s="31">
        <f t="shared" si="84"/>
        <v>-2407.6686116200003</v>
      </c>
      <c r="R145" s="31">
        <f t="shared" si="84"/>
        <v>-1318.7138888899995</v>
      </c>
      <c r="S145" s="31">
        <f t="shared" si="84"/>
        <v>-1191.9347217100003</v>
      </c>
      <c r="T145" s="31">
        <f t="shared" si="84"/>
        <v>0</v>
      </c>
      <c r="U145" s="31">
        <f t="shared" si="84"/>
        <v>0</v>
      </c>
      <c r="V145" s="31">
        <f t="shared" si="84"/>
        <v>0</v>
      </c>
      <c r="W145" s="31">
        <f t="shared" si="84"/>
        <v>0</v>
      </c>
      <c r="X145" s="31">
        <f t="shared" si="84"/>
        <v>0</v>
      </c>
      <c r="Y145" s="31">
        <f t="shared" si="84"/>
        <v>0</v>
      </c>
      <c r="Z145" s="31">
        <f t="shared" si="84"/>
        <v>0</v>
      </c>
      <c r="AA145" s="31">
        <f t="shared" si="84"/>
        <v>0</v>
      </c>
      <c r="AB145" s="31">
        <f t="shared" si="84"/>
        <v>0</v>
      </c>
      <c r="AC145" s="31">
        <f t="shared" si="84"/>
        <v>0</v>
      </c>
      <c r="AD145" s="31">
        <f t="shared" si="84"/>
        <v>0</v>
      </c>
      <c r="AE145" s="31">
        <f t="shared" si="84"/>
        <v>0</v>
      </c>
      <c r="AF145" s="31">
        <f t="shared" si="84"/>
        <v>0</v>
      </c>
      <c r="AG145" s="31">
        <f t="shared" si="84"/>
        <v>0</v>
      </c>
      <c r="AH145" s="31">
        <f t="shared" si="84"/>
        <v>0</v>
      </c>
      <c r="AI145" s="31">
        <f t="shared" si="84"/>
        <v>0</v>
      </c>
      <c r="AJ145" s="35">
        <f t="shared" si="73"/>
        <v>0</v>
      </c>
    </row>
    <row r="146" spans="1:36" ht="14.25" customHeight="1" x14ac:dyDescent="0.35">
      <c r="A146" s="21"/>
      <c r="B146" s="28"/>
      <c r="C146" s="63" t="s">
        <v>123</v>
      </c>
      <c r="D146" s="21"/>
      <c r="E146" s="21"/>
      <c r="F146" s="21"/>
      <c r="G146" s="21"/>
      <c r="H146" s="22"/>
      <c r="I146" s="21"/>
      <c r="J146" s="31"/>
      <c r="K146" s="31">
        <f t="shared" si="71"/>
        <v>340.59403572474139</v>
      </c>
      <c r="L146" s="31">
        <f>0</f>
        <v>0</v>
      </c>
      <c r="M146" s="31">
        <f t="shared" ref="M146:AI146" si="85">L192-M192</f>
        <v>-48.133405189990754</v>
      </c>
      <c r="N146" s="31">
        <f t="shared" si="85"/>
        <v>296.03896082000392</v>
      </c>
      <c r="O146" s="31">
        <f t="shared" si="85"/>
        <v>-219.66716993999717</v>
      </c>
      <c r="P146" s="31">
        <f t="shared" si="85"/>
        <v>-254.890531870004</v>
      </c>
      <c r="Q146" s="31">
        <f t="shared" si="85"/>
        <v>338.80983812000386</v>
      </c>
      <c r="R146" s="31">
        <f t="shared" si="85"/>
        <v>40.791876660003254</v>
      </c>
      <c r="S146" s="31">
        <f t="shared" si="85"/>
        <v>-296.17033716000515</v>
      </c>
      <c r="T146" s="31">
        <f t="shared" si="85"/>
        <v>470.04701109638472</v>
      </c>
      <c r="U146" s="31">
        <f t="shared" si="85"/>
        <v>12.599978714647477</v>
      </c>
      <c r="V146" s="31">
        <f t="shared" si="85"/>
        <v>0.30710318328465291</v>
      </c>
      <c r="W146" s="31">
        <f t="shared" si="85"/>
        <v>0.86071129041056338</v>
      </c>
      <c r="X146" s="31">
        <f t="shared" si="85"/>
        <v>1.1089473639012795</v>
      </c>
      <c r="Y146" s="31">
        <f t="shared" si="85"/>
        <v>1.0308643781868341</v>
      </c>
      <c r="Z146" s="31">
        <f t="shared" si="85"/>
        <v>0.51002443242123263</v>
      </c>
      <c r="AA146" s="31">
        <f t="shared" si="85"/>
        <v>0.71173784435495691</v>
      </c>
      <c r="AB146" s="31">
        <f t="shared" si="85"/>
        <v>0.41024992619622935</v>
      </c>
      <c r="AC146" s="31">
        <f t="shared" si="85"/>
        <v>0.19350643644293086</v>
      </c>
      <c r="AD146" s="31">
        <f t="shared" si="85"/>
        <v>0.15361750106694672</v>
      </c>
      <c r="AE146" s="31">
        <f t="shared" si="85"/>
        <v>0.15542698997160187</v>
      </c>
      <c r="AF146" s="31">
        <f t="shared" si="85"/>
        <v>0.10139788141486861</v>
      </c>
      <c r="AG146" s="31">
        <f t="shared" si="85"/>
        <v>0.10572411121302139</v>
      </c>
      <c r="AH146" s="31">
        <f t="shared" si="85"/>
        <v>6.7107182965628454E-2</v>
      </c>
      <c r="AI146" s="31">
        <f t="shared" si="85"/>
        <v>7.1204627497081674E-2</v>
      </c>
      <c r="AJ146" s="35">
        <f t="shared" si="73"/>
        <v>4.619808675632612</v>
      </c>
    </row>
    <row r="147" spans="1:36" ht="14.25" customHeight="1" x14ac:dyDescent="0.35">
      <c r="A147" s="21"/>
      <c r="B147" s="28"/>
      <c r="C147" s="63" t="s">
        <v>124</v>
      </c>
      <c r="D147" s="21"/>
      <c r="E147" s="21"/>
      <c r="F147" s="21"/>
      <c r="G147" s="21"/>
      <c r="H147" s="22"/>
      <c r="I147" s="21"/>
      <c r="J147" s="31"/>
      <c r="K147" s="31">
        <f t="shared" si="71"/>
        <v>-168.41748016000008</v>
      </c>
      <c r="L147" s="31">
        <f>0</f>
        <v>0</v>
      </c>
      <c r="M147" s="31">
        <f t="shared" ref="M147:AI147" si="86">L208-M208</f>
        <v>293.65047750000002</v>
      </c>
      <c r="N147" s="31">
        <f t="shared" si="86"/>
        <v>91.510986000000031</v>
      </c>
      <c r="O147" s="31">
        <f t="shared" si="86"/>
        <v>-561.20341610000003</v>
      </c>
      <c r="P147" s="31">
        <f t="shared" si="86"/>
        <v>635.58619364000037</v>
      </c>
      <c r="Q147" s="31">
        <f t="shared" si="86"/>
        <v>-161.82472354000001</v>
      </c>
      <c r="R147" s="31">
        <f t="shared" si="86"/>
        <v>-725.6737573700002</v>
      </c>
      <c r="S147" s="31">
        <f t="shared" si="86"/>
        <v>259.53675970999973</v>
      </c>
      <c r="T147" s="31">
        <f t="shared" si="86"/>
        <v>0</v>
      </c>
      <c r="U147" s="31">
        <f t="shared" si="86"/>
        <v>0</v>
      </c>
      <c r="V147" s="31">
        <f t="shared" si="86"/>
        <v>0</v>
      </c>
      <c r="W147" s="31">
        <f t="shared" si="86"/>
        <v>0</v>
      </c>
      <c r="X147" s="31">
        <f t="shared" si="86"/>
        <v>0</v>
      </c>
      <c r="Y147" s="31">
        <f t="shared" si="86"/>
        <v>0</v>
      </c>
      <c r="Z147" s="31">
        <f t="shared" si="86"/>
        <v>0</v>
      </c>
      <c r="AA147" s="31">
        <f t="shared" si="86"/>
        <v>0</v>
      </c>
      <c r="AB147" s="31">
        <f t="shared" si="86"/>
        <v>0</v>
      </c>
      <c r="AC147" s="31">
        <f t="shared" si="86"/>
        <v>0</v>
      </c>
      <c r="AD147" s="31">
        <f t="shared" si="86"/>
        <v>0</v>
      </c>
      <c r="AE147" s="31">
        <f t="shared" si="86"/>
        <v>0</v>
      </c>
      <c r="AF147" s="31">
        <f t="shared" si="86"/>
        <v>0</v>
      </c>
      <c r="AG147" s="31">
        <f t="shared" si="86"/>
        <v>0</v>
      </c>
      <c r="AH147" s="31">
        <f t="shared" si="86"/>
        <v>0</v>
      </c>
      <c r="AI147" s="31">
        <f t="shared" si="86"/>
        <v>0</v>
      </c>
      <c r="AJ147" s="35">
        <f t="shared" si="73"/>
        <v>0</v>
      </c>
    </row>
    <row r="148" spans="1:36" ht="14.25" customHeight="1" x14ac:dyDescent="0.35">
      <c r="A148" s="21"/>
      <c r="B148" s="28"/>
      <c r="C148" s="63" t="s">
        <v>125</v>
      </c>
      <c r="D148" s="21"/>
      <c r="E148" s="21"/>
      <c r="F148" s="21"/>
      <c r="G148" s="21"/>
      <c r="H148" s="22"/>
      <c r="I148" s="21"/>
      <c r="J148" s="31"/>
      <c r="K148" s="31">
        <f t="shared" si="71"/>
        <v>-322.04332216614876</v>
      </c>
      <c r="L148" s="31">
        <f>0</f>
        <v>0</v>
      </c>
      <c r="M148" s="31">
        <f t="shared" ref="M148:AI148" si="87">M228-L228</f>
        <v>153.8486929099995</v>
      </c>
      <c r="N148" s="31">
        <f t="shared" si="87"/>
        <v>-1227.7944786399999</v>
      </c>
      <c r="O148" s="31">
        <f t="shared" si="87"/>
        <v>481.76891879000004</v>
      </c>
      <c r="P148" s="31">
        <f t="shared" si="87"/>
        <v>739.09990977999996</v>
      </c>
      <c r="Q148" s="31">
        <f t="shared" si="87"/>
        <v>-350.92293229999996</v>
      </c>
      <c r="R148" s="31">
        <f t="shared" si="87"/>
        <v>-736.3234341299999</v>
      </c>
      <c r="S148" s="31">
        <f t="shared" si="87"/>
        <v>997.05855089999977</v>
      </c>
      <c r="T148" s="31">
        <f t="shared" si="87"/>
        <v>-337.4824093312568</v>
      </c>
      <c r="U148" s="31">
        <f t="shared" si="87"/>
        <v>-72.451629104936728</v>
      </c>
      <c r="V148" s="31">
        <f t="shared" si="87"/>
        <v>141.21911340162751</v>
      </c>
      <c r="W148" s="31">
        <f t="shared" si="87"/>
        <v>-110.06362444158231</v>
      </c>
      <c r="X148" s="31">
        <f t="shared" si="87"/>
        <v>-8.6412430196105561E-3</v>
      </c>
      <c r="Y148" s="31">
        <f t="shared" si="87"/>
        <v>356.13293802076078</v>
      </c>
      <c r="Z148" s="31">
        <f t="shared" si="87"/>
        <v>-357.35470807574666</v>
      </c>
      <c r="AA148" s="31">
        <f t="shared" si="87"/>
        <v>108.73661876174083</v>
      </c>
      <c r="AB148" s="31">
        <f t="shared" si="87"/>
        <v>-111.41930570978093</v>
      </c>
      <c r="AC148" s="31">
        <f t="shared" si="87"/>
        <v>110.50036635026754</v>
      </c>
      <c r="AD148" s="31">
        <f t="shared" si="87"/>
        <v>-111.56552855934842</v>
      </c>
      <c r="AE148" s="31">
        <f t="shared" si="87"/>
        <v>-0.56129563925060211</v>
      </c>
      <c r="AF148" s="31">
        <f t="shared" si="87"/>
        <v>111.15743899275367</v>
      </c>
      <c r="AG148" s="31">
        <f t="shared" si="87"/>
        <v>-111.4045387537326</v>
      </c>
      <c r="AH148" s="31">
        <f t="shared" si="87"/>
        <v>111.14438846854591</v>
      </c>
      <c r="AI148" s="31">
        <f t="shared" si="87"/>
        <v>-111.29031062746935</v>
      </c>
      <c r="AJ148" s="35">
        <f t="shared" si="73"/>
        <v>-5.9325780142794429</v>
      </c>
    </row>
    <row r="149" spans="1:36" ht="14.25" customHeight="1" x14ac:dyDescent="0.35">
      <c r="A149" s="21"/>
      <c r="B149" s="28"/>
      <c r="C149" s="63" t="s">
        <v>126</v>
      </c>
      <c r="D149" s="21"/>
      <c r="E149" s="21"/>
      <c r="F149" s="21"/>
      <c r="G149" s="21"/>
      <c r="H149" s="22"/>
      <c r="I149" s="21"/>
      <c r="J149" s="31"/>
      <c r="K149" s="31">
        <f t="shared" si="71"/>
        <v>-184.06243751999989</v>
      </c>
      <c r="L149" s="31">
        <f>0</f>
        <v>0</v>
      </c>
      <c r="M149" s="31">
        <f t="shared" ref="M149:AI149" si="88">M231-L231</f>
        <v>-116.24997544999985</v>
      </c>
      <c r="N149" s="31">
        <f t="shared" si="88"/>
        <v>-138.12198610000002</v>
      </c>
      <c r="O149" s="31">
        <f t="shared" si="88"/>
        <v>125.55093361999997</v>
      </c>
      <c r="P149" s="31">
        <f t="shared" si="88"/>
        <v>-12.102345799999966</v>
      </c>
      <c r="Q149" s="31">
        <f t="shared" si="88"/>
        <v>-124.70436345999997</v>
      </c>
      <c r="R149" s="31">
        <f t="shared" si="88"/>
        <v>15.538106499999969</v>
      </c>
      <c r="S149" s="31">
        <f t="shared" si="88"/>
        <v>66.027193169999975</v>
      </c>
      <c r="T149" s="31">
        <f t="shared" si="88"/>
        <v>0</v>
      </c>
      <c r="U149" s="31">
        <f t="shared" si="88"/>
        <v>0</v>
      </c>
      <c r="V149" s="31">
        <f t="shared" si="88"/>
        <v>0</v>
      </c>
      <c r="W149" s="31">
        <f t="shared" si="88"/>
        <v>0</v>
      </c>
      <c r="X149" s="31">
        <f t="shared" si="88"/>
        <v>0</v>
      </c>
      <c r="Y149" s="31">
        <f t="shared" si="88"/>
        <v>0</v>
      </c>
      <c r="Z149" s="31">
        <f t="shared" si="88"/>
        <v>0</v>
      </c>
      <c r="AA149" s="31">
        <f t="shared" si="88"/>
        <v>0</v>
      </c>
      <c r="AB149" s="31">
        <f t="shared" si="88"/>
        <v>0</v>
      </c>
      <c r="AC149" s="31">
        <f t="shared" si="88"/>
        <v>0</v>
      </c>
      <c r="AD149" s="31">
        <f t="shared" si="88"/>
        <v>0</v>
      </c>
      <c r="AE149" s="31">
        <f t="shared" si="88"/>
        <v>0</v>
      </c>
      <c r="AF149" s="31">
        <f t="shared" si="88"/>
        <v>0</v>
      </c>
      <c r="AG149" s="31">
        <f t="shared" si="88"/>
        <v>0</v>
      </c>
      <c r="AH149" s="31">
        <f t="shared" si="88"/>
        <v>0</v>
      </c>
      <c r="AI149" s="31">
        <f t="shared" si="88"/>
        <v>0</v>
      </c>
      <c r="AJ149" s="35">
        <f t="shared" si="73"/>
        <v>0</v>
      </c>
    </row>
    <row r="150" spans="1:36" ht="14.25" customHeight="1" x14ac:dyDescent="0.35">
      <c r="A150" s="21"/>
      <c r="B150" s="28"/>
      <c r="C150" s="64" t="s">
        <v>127</v>
      </c>
      <c r="D150" s="21"/>
      <c r="E150" s="21"/>
      <c r="F150" s="21"/>
      <c r="G150" s="21"/>
      <c r="H150" s="22" t="s">
        <v>19</v>
      </c>
      <c r="I150" s="21"/>
      <c r="J150" s="31"/>
      <c r="K150" s="31">
        <f t="shared" si="71"/>
        <v>-7590.3170151731165</v>
      </c>
      <c r="L150" s="31">
        <f t="shared" ref="L150:AI150" si="89">SUM(L151:L156)</f>
        <v>-621.6932853699999</v>
      </c>
      <c r="M150" s="31">
        <f t="shared" si="89"/>
        <v>-457.48452095000027</v>
      </c>
      <c r="N150" s="31">
        <f t="shared" si="89"/>
        <v>-1726.4301765099997</v>
      </c>
      <c r="O150" s="31">
        <f t="shared" si="89"/>
        <v>-339.26682187000017</v>
      </c>
      <c r="P150" s="31">
        <f t="shared" si="89"/>
        <v>-452.44870542000012</v>
      </c>
      <c r="Q150" s="31">
        <f t="shared" si="89"/>
        <v>-359.9305384400003</v>
      </c>
      <c r="R150" s="31">
        <f t="shared" si="89"/>
        <v>-840.49930468999992</v>
      </c>
      <c r="S150" s="31">
        <f t="shared" si="89"/>
        <v>-496.58848566000012</v>
      </c>
      <c r="T150" s="31">
        <f t="shared" si="89"/>
        <v>-578.2605306874998</v>
      </c>
      <c r="U150" s="31">
        <f t="shared" si="89"/>
        <v>-571.91762946972199</v>
      </c>
      <c r="V150" s="31">
        <f t="shared" si="89"/>
        <v>-571.86300653490719</v>
      </c>
      <c r="W150" s="31">
        <f t="shared" si="89"/>
        <v>-573.93400957098743</v>
      </c>
      <c r="X150" s="31">
        <f t="shared" si="89"/>
        <v>-572.4729362752056</v>
      </c>
      <c r="Y150" s="31">
        <f t="shared" si="89"/>
        <v>-572.60701934231122</v>
      </c>
      <c r="Z150" s="31">
        <f t="shared" si="89"/>
        <v>-572.70230649339032</v>
      </c>
      <c r="AA150" s="31">
        <f t="shared" si="89"/>
        <v>-571.71430473141345</v>
      </c>
      <c r="AB150" s="31">
        <f t="shared" si="89"/>
        <v>-571.79839560570497</v>
      </c>
      <c r="AC150" s="31">
        <f t="shared" si="89"/>
        <v>-571.83665574905842</v>
      </c>
      <c r="AD150" s="31">
        <f t="shared" si="89"/>
        <v>-571.54159923705902</v>
      </c>
      <c r="AE150" s="31">
        <f t="shared" si="89"/>
        <v>-571.52078722505189</v>
      </c>
      <c r="AF150" s="31">
        <f t="shared" si="89"/>
        <v>-571.1465867509454</v>
      </c>
      <c r="AG150" s="31">
        <f t="shared" si="89"/>
        <v>-570.13124448074097</v>
      </c>
      <c r="AH150" s="31">
        <f t="shared" si="89"/>
        <v>-570.03424193044054</v>
      </c>
      <c r="AI150" s="31">
        <f t="shared" si="89"/>
        <v>-570.03377070015335</v>
      </c>
      <c r="AJ150" s="35">
        <f t="shared" si="73"/>
        <v>-6857.5398485214755</v>
      </c>
    </row>
    <row r="151" spans="1:36" ht="14.25" customHeight="1" x14ac:dyDescent="0.35">
      <c r="A151" s="21"/>
      <c r="B151" s="28"/>
      <c r="C151" s="63" t="s">
        <v>128</v>
      </c>
      <c r="D151" s="21"/>
      <c r="E151" s="21"/>
      <c r="F151" s="21"/>
      <c r="G151" s="21"/>
      <c r="H151" s="22" t="s">
        <v>19</v>
      </c>
      <c r="I151" s="21"/>
      <c r="J151" s="31"/>
      <c r="K151" s="31">
        <f t="shared" si="71"/>
        <v>-11314.931802384715</v>
      </c>
      <c r="L151" s="31">
        <f t="shared" ref="L151:AI151" si="90">L111</f>
        <v>-1051.6772860399999</v>
      </c>
      <c r="M151" s="31">
        <f t="shared" si="90"/>
        <v>-1047.5589368400001</v>
      </c>
      <c r="N151" s="31">
        <f t="shared" si="90"/>
        <v>-2131.37378975</v>
      </c>
      <c r="O151" s="31">
        <f t="shared" si="90"/>
        <v>-715.16615571</v>
      </c>
      <c r="P151" s="31">
        <f t="shared" si="90"/>
        <v>-922.82143164000013</v>
      </c>
      <c r="Q151" s="31">
        <f t="shared" si="90"/>
        <v>-740.54392170999995</v>
      </c>
      <c r="R151" s="31">
        <f t="shared" si="90"/>
        <v>-814.68036767000012</v>
      </c>
      <c r="S151" s="31">
        <f t="shared" si="90"/>
        <v>-912.39729242999999</v>
      </c>
      <c r="T151" s="31">
        <f t="shared" si="90"/>
        <v>-748.94489177039975</v>
      </c>
      <c r="U151" s="31">
        <f t="shared" si="90"/>
        <v>-742.60199055262194</v>
      </c>
      <c r="V151" s="31">
        <f t="shared" si="90"/>
        <v>-742.54736761780714</v>
      </c>
      <c r="W151" s="31">
        <f t="shared" si="90"/>
        <v>-744.61837065388738</v>
      </c>
      <c r="X151" s="31">
        <f t="shared" si="90"/>
        <v>-743.15729735810555</v>
      </c>
      <c r="Y151" s="31">
        <f t="shared" si="90"/>
        <v>-743.29138042521117</v>
      </c>
      <c r="Z151" s="31">
        <f t="shared" si="90"/>
        <v>-743.38666757629028</v>
      </c>
      <c r="AA151" s="31">
        <f t="shared" si="90"/>
        <v>-742.3986658143134</v>
      </c>
      <c r="AB151" s="31">
        <f t="shared" si="90"/>
        <v>-742.48275668860492</v>
      </c>
      <c r="AC151" s="31">
        <f t="shared" si="90"/>
        <v>-742.52101683195838</v>
      </c>
      <c r="AD151" s="31">
        <f t="shared" si="90"/>
        <v>-742.22596031995897</v>
      </c>
      <c r="AE151" s="31">
        <f t="shared" si="90"/>
        <v>-742.20514830795184</v>
      </c>
      <c r="AF151" s="31">
        <f t="shared" si="90"/>
        <v>-741.83094783384536</v>
      </c>
      <c r="AG151" s="31">
        <f t="shared" si="90"/>
        <v>-740.81560556364093</v>
      </c>
      <c r="AH151" s="31">
        <f t="shared" si="90"/>
        <v>-740.7186030133405</v>
      </c>
      <c r="AI151" s="31">
        <f t="shared" si="90"/>
        <v>-740.71813178305331</v>
      </c>
      <c r="AJ151" s="35">
        <f t="shared" si="73"/>
        <v>-8905.7521815162745</v>
      </c>
    </row>
    <row r="152" spans="1:36" ht="14.25" customHeight="1" x14ac:dyDescent="0.35">
      <c r="A152" s="21"/>
      <c r="B152" s="28"/>
      <c r="C152" s="63" t="s">
        <v>129</v>
      </c>
      <c r="D152" s="21"/>
      <c r="E152" s="21"/>
      <c r="F152" s="21"/>
      <c r="G152" s="21"/>
      <c r="H152" s="22"/>
      <c r="I152" s="21"/>
      <c r="J152" s="31"/>
      <c r="K152" s="31">
        <f t="shared" si="71"/>
        <v>3903.8726555216008</v>
      </c>
      <c r="L152" s="31">
        <f t="shared" ref="L152:AI152" si="91">-L99</f>
        <v>429.98400067</v>
      </c>
      <c r="M152" s="31">
        <f t="shared" si="91"/>
        <v>471.07125867000002</v>
      </c>
      <c r="N152" s="31">
        <f t="shared" si="91"/>
        <v>1265.0358569500002</v>
      </c>
      <c r="O152" s="31">
        <f t="shared" si="91"/>
        <v>189.15594632</v>
      </c>
      <c r="P152" s="31">
        <f t="shared" si="91"/>
        <v>230.13583932999998</v>
      </c>
      <c r="Q152" s="31">
        <f t="shared" si="91"/>
        <v>171.35060559999999</v>
      </c>
      <c r="R152" s="31">
        <f t="shared" si="91"/>
        <v>167.72026165</v>
      </c>
      <c r="S152" s="31">
        <f t="shared" si="91"/>
        <v>296.681442</v>
      </c>
      <c r="T152" s="31">
        <f t="shared" si="91"/>
        <v>170.68436108289998</v>
      </c>
      <c r="U152" s="31">
        <f t="shared" si="91"/>
        <v>170.68436108289998</v>
      </c>
      <c r="V152" s="31">
        <f t="shared" si="91"/>
        <v>170.68436108289998</v>
      </c>
      <c r="W152" s="31">
        <f t="shared" si="91"/>
        <v>170.68436108289998</v>
      </c>
      <c r="X152" s="31">
        <f t="shared" si="91"/>
        <v>170.68436108289998</v>
      </c>
      <c r="Y152" s="31">
        <f t="shared" si="91"/>
        <v>170.68436108289998</v>
      </c>
      <c r="Z152" s="31">
        <f t="shared" si="91"/>
        <v>170.68436108289998</v>
      </c>
      <c r="AA152" s="31">
        <f t="shared" si="91"/>
        <v>170.68436108289998</v>
      </c>
      <c r="AB152" s="31">
        <f t="shared" si="91"/>
        <v>170.68436108289998</v>
      </c>
      <c r="AC152" s="31">
        <f t="shared" si="91"/>
        <v>170.68436108289998</v>
      </c>
      <c r="AD152" s="31">
        <f t="shared" si="91"/>
        <v>170.68436108289998</v>
      </c>
      <c r="AE152" s="31">
        <f t="shared" si="91"/>
        <v>170.68436108289998</v>
      </c>
      <c r="AF152" s="31">
        <f t="shared" si="91"/>
        <v>170.68436108289998</v>
      </c>
      <c r="AG152" s="31">
        <f t="shared" si="91"/>
        <v>170.68436108289998</v>
      </c>
      <c r="AH152" s="31">
        <f t="shared" si="91"/>
        <v>170.68436108289998</v>
      </c>
      <c r="AI152" s="31">
        <f t="shared" si="91"/>
        <v>170.68436108289998</v>
      </c>
      <c r="AJ152" s="35">
        <f t="shared" si="73"/>
        <v>2048.2123329948004</v>
      </c>
    </row>
    <row r="153" spans="1:36" ht="14.25" customHeight="1" x14ac:dyDescent="0.35">
      <c r="A153" s="21"/>
      <c r="B153" s="28"/>
      <c r="C153" s="63" t="s">
        <v>130</v>
      </c>
      <c r="D153" s="21"/>
      <c r="E153" s="21"/>
      <c r="F153" s="21"/>
      <c r="G153" s="21"/>
      <c r="H153" s="22"/>
      <c r="I153" s="21"/>
      <c r="J153" s="31"/>
      <c r="K153" s="31">
        <f t="shared" si="71"/>
        <v>0</v>
      </c>
      <c r="L153" s="31">
        <f>0</f>
        <v>0</v>
      </c>
      <c r="M153" s="31">
        <f>0</f>
        <v>0</v>
      </c>
      <c r="N153" s="31">
        <f>0</f>
        <v>0</v>
      </c>
      <c r="O153" s="31">
        <f>0</f>
        <v>0</v>
      </c>
      <c r="P153" s="31">
        <f>0</f>
        <v>0</v>
      </c>
      <c r="Q153" s="31">
        <f>0</f>
        <v>0</v>
      </c>
      <c r="R153" s="31">
        <f>0</f>
        <v>0</v>
      </c>
      <c r="S153" s="31">
        <f>0</f>
        <v>0</v>
      </c>
      <c r="T153" s="31">
        <f>0</f>
        <v>0</v>
      </c>
      <c r="U153" s="31">
        <f>0</f>
        <v>0</v>
      </c>
      <c r="V153" s="31">
        <f>0</f>
        <v>0</v>
      </c>
      <c r="W153" s="31">
        <f>0</f>
        <v>0</v>
      </c>
      <c r="X153" s="31">
        <f>0</f>
        <v>0</v>
      </c>
      <c r="Y153" s="31">
        <f>0</f>
        <v>0</v>
      </c>
      <c r="Z153" s="31">
        <f>0</f>
        <v>0</v>
      </c>
      <c r="AA153" s="31">
        <f>0</f>
        <v>0</v>
      </c>
      <c r="AB153" s="31">
        <f>0</f>
        <v>0</v>
      </c>
      <c r="AC153" s="31">
        <f>0</f>
        <v>0</v>
      </c>
      <c r="AD153" s="31">
        <f>0</f>
        <v>0</v>
      </c>
      <c r="AE153" s="31">
        <f>0</f>
        <v>0</v>
      </c>
      <c r="AF153" s="31">
        <f>0</f>
        <v>0</v>
      </c>
      <c r="AG153" s="31">
        <f>0</f>
        <v>0</v>
      </c>
      <c r="AH153" s="31">
        <f>0</f>
        <v>0</v>
      </c>
      <c r="AI153" s="31">
        <f>0</f>
        <v>0</v>
      </c>
      <c r="AJ153" s="35">
        <f t="shared" si="73"/>
        <v>0</v>
      </c>
    </row>
    <row r="154" spans="1:36" ht="14.25" customHeight="1" x14ac:dyDescent="0.35">
      <c r="A154" s="21"/>
      <c r="B154" s="28"/>
      <c r="C154" s="63" t="s">
        <v>131</v>
      </c>
      <c r="D154" s="21"/>
      <c r="E154" s="21"/>
      <c r="F154" s="21"/>
      <c r="G154" s="21"/>
      <c r="H154" s="22"/>
      <c r="I154" s="21"/>
      <c r="J154" s="31"/>
      <c r="K154" s="31">
        <f t="shared" si="71"/>
        <v>0</v>
      </c>
      <c r="L154" s="31">
        <f>0</f>
        <v>0</v>
      </c>
      <c r="M154" s="31">
        <f t="shared" ref="M154:AI154" si="92">M251-L251</f>
        <v>0</v>
      </c>
      <c r="N154" s="31">
        <f t="shared" si="92"/>
        <v>0</v>
      </c>
      <c r="O154" s="31">
        <f t="shared" si="92"/>
        <v>0</v>
      </c>
      <c r="P154" s="31">
        <f t="shared" si="92"/>
        <v>0</v>
      </c>
      <c r="Q154" s="31">
        <f t="shared" si="92"/>
        <v>0</v>
      </c>
      <c r="R154" s="31">
        <f t="shared" si="92"/>
        <v>0</v>
      </c>
      <c r="S154" s="31">
        <f t="shared" si="92"/>
        <v>0</v>
      </c>
      <c r="T154" s="31">
        <f t="shared" si="92"/>
        <v>0</v>
      </c>
      <c r="U154" s="31">
        <f t="shared" si="92"/>
        <v>0</v>
      </c>
      <c r="V154" s="31">
        <f t="shared" si="92"/>
        <v>0</v>
      </c>
      <c r="W154" s="31">
        <f t="shared" si="92"/>
        <v>0</v>
      </c>
      <c r="X154" s="31">
        <f t="shared" si="92"/>
        <v>0</v>
      </c>
      <c r="Y154" s="31">
        <f t="shared" si="92"/>
        <v>0</v>
      </c>
      <c r="Z154" s="31">
        <f t="shared" si="92"/>
        <v>0</v>
      </c>
      <c r="AA154" s="31">
        <f t="shared" si="92"/>
        <v>0</v>
      </c>
      <c r="AB154" s="31">
        <f t="shared" si="92"/>
        <v>0</v>
      </c>
      <c r="AC154" s="31">
        <f t="shared" si="92"/>
        <v>0</v>
      </c>
      <c r="AD154" s="31">
        <f t="shared" si="92"/>
        <v>0</v>
      </c>
      <c r="AE154" s="31">
        <f t="shared" si="92"/>
        <v>0</v>
      </c>
      <c r="AF154" s="31">
        <f t="shared" si="92"/>
        <v>0</v>
      </c>
      <c r="AG154" s="31">
        <f t="shared" si="92"/>
        <v>0</v>
      </c>
      <c r="AH154" s="31">
        <f t="shared" si="92"/>
        <v>0</v>
      </c>
      <c r="AI154" s="31">
        <f t="shared" si="92"/>
        <v>0</v>
      </c>
      <c r="AJ154" s="35">
        <f t="shared" si="73"/>
        <v>0</v>
      </c>
    </row>
    <row r="155" spans="1:36" ht="14.25" customHeight="1" x14ac:dyDescent="0.35">
      <c r="A155" s="21"/>
      <c r="B155" s="28"/>
      <c r="C155" s="63" t="s">
        <v>132</v>
      </c>
      <c r="D155" s="21"/>
      <c r="E155" s="21"/>
      <c r="F155" s="21"/>
      <c r="G155" s="21"/>
      <c r="H155" s="22"/>
      <c r="I155" s="21"/>
      <c r="J155" s="31"/>
      <c r="K155" s="31">
        <f t="shared" si="71"/>
        <v>202.46363399999973</v>
      </c>
      <c r="L155" s="31">
        <f>0</f>
        <v>0</v>
      </c>
      <c r="M155" s="31">
        <f t="shared" ref="M155:AI155" si="93">M242-L242</f>
        <v>139.26046099999985</v>
      </c>
      <c r="N155" s="31">
        <f t="shared" si="93"/>
        <v>-21.603607999999895</v>
      </c>
      <c r="O155" s="31">
        <f t="shared" si="93"/>
        <v>80.23202399999991</v>
      </c>
      <c r="P155" s="31">
        <f t="shared" si="93"/>
        <v>137.02291500000001</v>
      </c>
      <c r="Q155" s="31">
        <f t="shared" si="93"/>
        <v>128.87142699999958</v>
      </c>
      <c r="R155" s="31">
        <f t="shared" si="93"/>
        <v>-289.25920599999972</v>
      </c>
      <c r="S155" s="31">
        <f t="shared" si="93"/>
        <v>27.939620999999988</v>
      </c>
      <c r="T155" s="31">
        <f t="shared" si="93"/>
        <v>0</v>
      </c>
      <c r="U155" s="31">
        <f t="shared" si="93"/>
        <v>0</v>
      </c>
      <c r="V155" s="31">
        <f t="shared" si="93"/>
        <v>0</v>
      </c>
      <c r="W155" s="31">
        <f t="shared" si="93"/>
        <v>0</v>
      </c>
      <c r="X155" s="31">
        <f t="shared" si="93"/>
        <v>0</v>
      </c>
      <c r="Y155" s="31">
        <f t="shared" si="93"/>
        <v>0</v>
      </c>
      <c r="Z155" s="31">
        <f t="shared" si="93"/>
        <v>0</v>
      </c>
      <c r="AA155" s="31">
        <f t="shared" si="93"/>
        <v>0</v>
      </c>
      <c r="AB155" s="31">
        <f t="shared" si="93"/>
        <v>0</v>
      </c>
      <c r="AC155" s="31">
        <f t="shared" si="93"/>
        <v>0</v>
      </c>
      <c r="AD155" s="31">
        <f t="shared" si="93"/>
        <v>0</v>
      </c>
      <c r="AE155" s="31">
        <f t="shared" si="93"/>
        <v>0</v>
      </c>
      <c r="AF155" s="31">
        <f t="shared" si="93"/>
        <v>0</v>
      </c>
      <c r="AG155" s="31">
        <f t="shared" si="93"/>
        <v>0</v>
      </c>
      <c r="AH155" s="31">
        <f t="shared" si="93"/>
        <v>0</v>
      </c>
      <c r="AI155" s="31">
        <f t="shared" si="93"/>
        <v>0</v>
      </c>
      <c r="AJ155" s="35">
        <f t="shared" si="73"/>
        <v>0</v>
      </c>
    </row>
    <row r="156" spans="1:36" ht="14.25" customHeight="1" x14ac:dyDescent="0.35">
      <c r="A156" s="21"/>
      <c r="B156" s="28"/>
      <c r="C156" s="63" t="s">
        <v>133</v>
      </c>
      <c r="D156" s="21"/>
      <c r="E156" s="21"/>
      <c r="F156" s="21"/>
      <c r="G156" s="21"/>
      <c r="H156" s="22"/>
      <c r="I156" s="21"/>
      <c r="J156" s="31"/>
      <c r="K156" s="31">
        <f t="shared" si="71"/>
        <v>-381.72150231000006</v>
      </c>
      <c r="L156" s="31">
        <f>0</f>
        <v>0</v>
      </c>
      <c r="M156" s="31">
        <f t="shared" ref="M156:AI156" si="94">L197-M197</f>
        <v>-20.257303780000015</v>
      </c>
      <c r="N156" s="31">
        <f t="shared" si="94"/>
        <v>-838.48863570999993</v>
      </c>
      <c r="O156" s="31">
        <f t="shared" si="94"/>
        <v>106.51136351999992</v>
      </c>
      <c r="P156" s="31">
        <f t="shared" si="94"/>
        <v>103.21397189000004</v>
      </c>
      <c r="Q156" s="31">
        <f t="shared" si="94"/>
        <v>80.391350670000065</v>
      </c>
      <c r="R156" s="31">
        <f t="shared" si="94"/>
        <v>95.72000732999993</v>
      </c>
      <c r="S156" s="31">
        <f t="shared" si="94"/>
        <v>91.18774376999994</v>
      </c>
      <c r="T156" s="31">
        <f t="shared" si="94"/>
        <v>0</v>
      </c>
      <c r="U156" s="31">
        <f t="shared" si="94"/>
        <v>0</v>
      </c>
      <c r="V156" s="31">
        <f t="shared" si="94"/>
        <v>0</v>
      </c>
      <c r="W156" s="31">
        <f t="shared" si="94"/>
        <v>0</v>
      </c>
      <c r="X156" s="31">
        <f t="shared" si="94"/>
        <v>0</v>
      </c>
      <c r="Y156" s="31">
        <f t="shared" si="94"/>
        <v>0</v>
      </c>
      <c r="Z156" s="31">
        <f t="shared" si="94"/>
        <v>0</v>
      </c>
      <c r="AA156" s="31">
        <f t="shared" si="94"/>
        <v>0</v>
      </c>
      <c r="AB156" s="31">
        <f t="shared" si="94"/>
        <v>0</v>
      </c>
      <c r="AC156" s="31">
        <f t="shared" si="94"/>
        <v>0</v>
      </c>
      <c r="AD156" s="31">
        <f t="shared" si="94"/>
        <v>0</v>
      </c>
      <c r="AE156" s="31">
        <f t="shared" si="94"/>
        <v>0</v>
      </c>
      <c r="AF156" s="31">
        <f t="shared" si="94"/>
        <v>0</v>
      </c>
      <c r="AG156" s="31">
        <f t="shared" si="94"/>
        <v>0</v>
      </c>
      <c r="AH156" s="31">
        <f t="shared" si="94"/>
        <v>0</v>
      </c>
      <c r="AI156" s="31">
        <f t="shared" si="94"/>
        <v>0</v>
      </c>
      <c r="AJ156" s="35">
        <f t="shared" si="73"/>
        <v>0</v>
      </c>
    </row>
    <row r="157" spans="1:36" ht="14.25" customHeight="1" x14ac:dyDescent="0.35">
      <c r="A157" s="21"/>
      <c r="B157" s="28"/>
      <c r="C157" s="64" t="s">
        <v>134</v>
      </c>
      <c r="D157" s="21"/>
      <c r="E157" s="21"/>
      <c r="F157" s="21"/>
      <c r="G157" s="21"/>
      <c r="H157" s="22"/>
      <c r="I157" s="21"/>
      <c r="J157" s="31"/>
      <c r="K157" s="31">
        <f t="shared" si="71"/>
        <v>-16767.283045926619</v>
      </c>
      <c r="L157" s="31">
        <f t="shared" ref="L157:AI157" si="95">SUM(L68:L71,L73:L75)+L99</f>
        <v>-1481.4162670000001</v>
      </c>
      <c r="M157" s="31">
        <f t="shared" si="95"/>
        <v>-1436.0868719999999</v>
      </c>
      <c r="N157" s="31">
        <f t="shared" si="95"/>
        <v>-2040.234418</v>
      </c>
      <c r="O157" s="31">
        <f t="shared" si="95"/>
        <v>-1302.948531</v>
      </c>
      <c r="P157" s="31">
        <f t="shared" si="95"/>
        <v>-1374.8939189999999</v>
      </c>
      <c r="Q157" s="31">
        <f t="shared" si="95"/>
        <v>-1343.1312049500002</v>
      </c>
      <c r="R157" s="31">
        <f t="shared" si="95"/>
        <v>-1366.558203</v>
      </c>
      <c r="S157" s="31">
        <f t="shared" si="95"/>
        <v>-1450.1510150000001</v>
      </c>
      <c r="T157" s="31">
        <f t="shared" si="95"/>
        <v>-1243.2356572409421</v>
      </c>
      <c r="U157" s="31">
        <f t="shared" si="95"/>
        <v>-1242.661211380592</v>
      </c>
      <c r="V157" s="31">
        <f t="shared" si="95"/>
        <v>-1243.0000933609299</v>
      </c>
      <c r="W157" s="31">
        <f t="shared" si="95"/>
        <v>-1242.9656539941548</v>
      </c>
      <c r="X157" s="31">
        <f t="shared" si="95"/>
        <v>-1242.8756529118921</v>
      </c>
      <c r="Y157" s="31">
        <f t="shared" si="95"/>
        <v>-1242.9471334223256</v>
      </c>
      <c r="Z157" s="31">
        <f t="shared" si="95"/>
        <v>-1242.9294801094575</v>
      </c>
      <c r="AA157" s="31">
        <f t="shared" si="95"/>
        <v>-1242.9174221478918</v>
      </c>
      <c r="AB157" s="31">
        <f t="shared" si="95"/>
        <v>-1242.9313452265583</v>
      </c>
      <c r="AC157" s="31">
        <f t="shared" si="95"/>
        <v>-1242.9260824946357</v>
      </c>
      <c r="AD157" s="31">
        <f t="shared" si="95"/>
        <v>-1242.9249499563621</v>
      </c>
      <c r="AE157" s="31">
        <f t="shared" si="95"/>
        <v>-1242.9274592258521</v>
      </c>
      <c r="AF157" s="31">
        <f t="shared" si="95"/>
        <v>-1242.9261638922833</v>
      </c>
      <c r="AG157" s="31">
        <f t="shared" si="95"/>
        <v>-1242.9261910248322</v>
      </c>
      <c r="AH157" s="31">
        <f t="shared" si="95"/>
        <v>-1242.9266047143224</v>
      </c>
      <c r="AI157" s="31">
        <f t="shared" si="95"/>
        <v>-1242.9263198771459</v>
      </c>
      <c r="AJ157" s="35">
        <f t="shared" si="73"/>
        <v>-14915.08480500356</v>
      </c>
    </row>
    <row r="158" spans="1:36" ht="14.25" customHeight="1" x14ac:dyDescent="0.35">
      <c r="A158" s="21"/>
      <c r="B158" s="28"/>
      <c r="C158" s="64" t="s">
        <v>135</v>
      </c>
      <c r="D158" s="21"/>
      <c r="E158" s="21"/>
      <c r="F158" s="21"/>
      <c r="G158" s="21"/>
      <c r="H158" s="22"/>
      <c r="I158" s="21"/>
      <c r="J158" s="31"/>
      <c r="K158" s="31">
        <f t="shared" si="71"/>
        <v>-311.52128077350619</v>
      </c>
      <c r="L158" s="31">
        <f>L119</f>
        <v>0</v>
      </c>
      <c r="M158" s="31">
        <f t="shared" ref="M158:AI158" si="96">M119+(M234-L234)</f>
        <v>-268.08148374000007</v>
      </c>
      <c r="N158" s="31">
        <f t="shared" si="96"/>
        <v>45.818888079999965</v>
      </c>
      <c r="O158" s="31">
        <f t="shared" si="96"/>
        <v>-292.34013381</v>
      </c>
      <c r="P158" s="31">
        <f t="shared" si="96"/>
        <v>91.419719679999957</v>
      </c>
      <c r="Q158" s="31">
        <f t="shared" si="96"/>
        <v>-39.143152579999878</v>
      </c>
      <c r="R158" s="31">
        <f t="shared" si="96"/>
        <v>103.4444516399999</v>
      </c>
      <c r="S158" s="31">
        <f t="shared" si="96"/>
        <v>381.04783538999982</v>
      </c>
      <c r="T158" s="31">
        <f t="shared" si="96"/>
        <v>-302.71388519895606</v>
      </c>
      <c r="U158" s="31">
        <f t="shared" si="96"/>
        <v>-30.973520234549824</v>
      </c>
      <c r="V158" s="31">
        <f t="shared" si="96"/>
        <v>30.973520234549824</v>
      </c>
      <c r="W158" s="31">
        <f t="shared" si="96"/>
        <v>-30.973520234549824</v>
      </c>
      <c r="X158" s="31">
        <f t="shared" si="96"/>
        <v>-84.204927807505669</v>
      </c>
      <c r="Y158" s="31">
        <f t="shared" si="96"/>
        <v>14.591707414564638</v>
      </c>
      <c r="Z158" s="31">
        <f t="shared" si="96"/>
        <v>-184.33231381737005</v>
      </c>
      <c r="AA158" s="31">
        <f t="shared" si="96"/>
        <v>-55.273904038975289</v>
      </c>
      <c r="AB158" s="31">
        <f t="shared" si="96"/>
        <v>-117.30853642215534</v>
      </c>
      <c r="AC158" s="31">
        <f t="shared" si="96"/>
        <v>-55.698345042468944</v>
      </c>
      <c r="AD158" s="31">
        <f t="shared" si="96"/>
        <v>-117.90564986859287</v>
      </c>
      <c r="AE158" s="31">
        <f t="shared" si="96"/>
        <v>-87.221591331133439</v>
      </c>
      <c r="AF158" s="31">
        <f t="shared" si="96"/>
        <v>-56.326296088500655</v>
      </c>
      <c r="AG158" s="31">
        <f t="shared" si="96"/>
        <v>-118.62622533173651</v>
      </c>
      <c r="AH158" s="31">
        <f t="shared" si="96"/>
        <v>-56.698790752213014</v>
      </c>
      <c r="AI158" s="31">
        <f t="shared" si="96"/>
        <v>-118.72173169300835</v>
      </c>
      <c r="AJ158" s="35">
        <f t="shared" si="73"/>
        <v>-1037.7266047790954</v>
      </c>
    </row>
    <row r="159" spans="1:36" ht="14.25" customHeight="1" x14ac:dyDescent="0.35">
      <c r="A159" s="21"/>
      <c r="B159" s="28"/>
      <c r="C159" s="64" t="s">
        <v>136</v>
      </c>
      <c r="D159" s="21"/>
      <c r="E159" s="21"/>
      <c r="F159" s="21"/>
      <c r="G159" s="21"/>
      <c r="H159" s="22"/>
      <c r="I159" s="21"/>
      <c r="J159" s="31"/>
      <c r="K159" s="31">
        <f t="shared" si="71"/>
        <v>944.3149124800002</v>
      </c>
      <c r="L159" s="31">
        <f t="shared" ref="L159:AI159" si="97">SUM(L113,L115:L117)</f>
        <v>52.769748450000094</v>
      </c>
      <c r="M159" s="31">
        <f t="shared" si="97"/>
        <v>23.049154260000002</v>
      </c>
      <c r="N159" s="31">
        <f t="shared" si="97"/>
        <v>46.403077149999994</v>
      </c>
      <c r="O159" s="31">
        <f t="shared" si="97"/>
        <v>18.18938765</v>
      </c>
      <c r="P159" s="31">
        <f t="shared" si="97"/>
        <v>323.41479242000003</v>
      </c>
      <c r="Q159" s="31">
        <f t="shared" si="97"/>
        <v>32.201938079999998</v>
      </c>
      <c r="R159" s="31">
        <f t="shared" si="97"/>
        <v>49.735656379999995</v>
      </c>
      <c r="S159" s="31">
        <f t="shared" si="97"/>
        <v>33.176522089999992</v>
      </c>
      <c r="T159" s="31">
        <f t="shared" si="97"/>
        <v>91.343659000000002</v>
      </c>
      <c r="U159" s="31">
        <f t="shared" si="97"/>
        <v>91.343659000000002</v>
      </c>
      <c r="V159" s="31">
        <f t="shared" si="97"/>
        <v>91.343659000000002</v>
      </c>
      <c r="W159" s="31">
        <f t="shared" si="97"/>
        <v>91.343659000000002</v>
      </c>
      <c r="X159" s="31">
        <f t="shared" si="97"/>
        <v>91.343659000000002</v>
      </c>
      <c r="Y159" s="31">
        <f t="shared" si="97"/>
        <v>91.343659000000002</v>
      </c>
      <c r="Z159" s="31">
        <f t="shared" si="97"/>
        <v>91.343659000000002</v>
      </c>
      <c r="AA159" s="31">
        <f t="shared" si="97"/>
        <v>91.343659000000002</v>
      </c>
      <c r="AB159" s="31">
        <f t="shared" si="97"/>
        <v>91.343659000000002</v>
      </c>
      <c r="AC159" s="31">
        <f t="shared" si="97"/>
        <v>91.343659000000002</v>
      </c>
      <c r="AD159" s="31">
        <f t="shared" si="97"/>
        <v>91.343659000000002</v>
      </c>
      <c r="AE159" s="31">
        <f t="shared" si="97"/>
        <v>91.343659000000002</v>
      </c>
      <c r="AF159" s="31">
        <f t="shared" si="97"/>
        <v>91.343659000000002</v>
      </c>
      <c r="AG159" s="31">
        <f t="shared" si="97"/>
        <v>91.343659000000002</v>
      </c>
      <c r="AH159" s="31">
        <f t="shared" si="97"/>
        <v>91.343659000000002</v>
      </c>
      <c r="AI159" s="31">
        <f t="shared" si="97"/>
        <v>91.343659000000002</v>
      </c>
      <c r="AJ159" s="35">
        <f t="shared" si="73"/>
        <v>1096.123908</v>
      </c>
    </row>
    <row r="160" spans="1:36" ht="14.25" customHeight="1" x14ac:dyDescent="0.35">
      <c r="A160" s="21"/>
      <c r="B160" s="28"/>
      <c r="C160" s="21"/>
      <c r="D160" s="21"/>
      <c r="E160" s="21"/>
      <c r="F160" s="21"/>
      <c r="G160" s="21"/>
      <c r="H160" s="22"/>
      <c r="I160" s="2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</row>
    <row r="161" spans="1:36" ht="14.25" customHeight="1" x14ac:dyDescent="0.35">
      <c r="A161" s="21"/>
      <c r="B161" s="21"/>
      <c r="C161" s="37" t="s">
        <v>137</v>
      </c>
      <c r="D161" s="37"/>
      <c r="E161" s="37"/>
      <c r="F161" s="37"/>
      <c r="G161" s="37"/>
      <c r="H161" s="38" t="s">
        <v>19</v>
      </c>
      <c r="I161" s="37"/>
      <c r="J161" s="40"/>
      <c r="K161" s="40">
        <f>SUM(L161:W161)</f>
        <v>2966.9960903048568</v>
      </c>
      <c r="L161" s="40">
        <f t="shared" ref="L161:AI161" si="98">SUM(L134,L140,L150,L157:L159)</f>
        <v>1703.3570091037893</v>
      </c>
      <c r="M161" s="40">
        <f t="shared" si="98"/>
        <v>653.67655275380866</v>
      </c>
      <c r="N161" s="40">
        <f t="shared" si="98"/>
        <v>-226.00937192192652</v>
      </c>
      <c r="O161" s="40">
        <f t="shared" si="98"/>
        <v>241.80056175855719</v>
      </c>
      <c r="P161" s="40">
        <f t="shared" si="98"/>
        <v>-764.90966090253289</v>
      </c>
      <c r="Q161" s="40">
        <f t="shared" si="98"/>
        <v>-611.26140090339425</v>
      </c>
      <c r="R161" s="40">
        <f t="shared" si="98"/>
        <v>-2942.7919080000884</v>
      </c>
      <c r="S161" s="40">
        <f t="shared" si="98"/>
        <v>938.08767537135736</v>
      </c>
      <c r="T161" s="40">
        <f t="shared" si="98"/>
        <v>1590.6714687473946</v>
      </c>
      <c r="U161" s="40">
        <f t="shared" si="98"/>
        <v>955.89516497710827</v>
      </c>
      <c r="V161" s="40">
        <f t="shared" si="98"/>
        <v>600.94390680554773</v>
      </c>
      <c r="W161" s="40">
        <f t="shared" si="98"/>
        <v>827.53609251523528</v>
      </c>
      <c r="X161" s="40">
        <f t="shared" si="98"/>
        <v>611.61913503275537</v>
      </c>
      <c r="Y161" s="40">
        <f t="shared" si="98"/>
        <v>190.85111301292702</v>
      </c>
      <c r="Z161" s="40">
        <f t="shared" si="98"/>
        <v>1033.640848016742</v>
      </c>
      <c r="AA161" s="40">
        <f t="shared" si="98"/>
        <v>475.36414273833452</v>
      </c>
      <c r="AB161" s="40">
        <f t="shared" si="98"/>
        <v>739.39122169189716</v>
      </c>
      <c r="AC161" s="40">
        <f t="shared" si="98"/>
        <v>476.81353003739906</v>
      </c>
      <c r="AD161" s="40">
        <f t="shared" si="98"/>
        <v>739.96717720835318</v>
      </c>
      <c r="AE161" s="40">
        <f t="shared" si="98"/>
        <v>608.55727039371595</v>
      </c>
      <c r="AF161" s="40">
        <f t="shared" si="98"/>
        <v>477.60950905700275</v>
      </c>
      <c r="AG161" s="40">
        <f t="shared" si="98"/>
        <v>739.3856265294271</v>
      </c>
      <c r="AH161" s="40">
        <f t="shared" si="98"/>
        <v>477.00778662921385</v>
      </c>
      <c r="AI161" s="40">
        <f t="shared" si="98"/>
        <v>739.06510667674956</v>
      </c>
      <c r="AJ161" s="35">
        <f>SUM(X161:AI161)</f>
        <v>7309.2724670245179</v>
      </c>
    </row>
    <row r="162" spans="1:36" ht="14.25" customHeight="1" x14ac:dyDescent="0.35">
      <c r="A162" s="21"/>
      <c r="B162" s="21"/>
      <c r="C162" s="21"/>
      <c r="D162" s="21"/>
      <c r="E162" s="21"/>
      <c r="F162" s="21"/>
      <c r="G162" s="21"/>
      <c r="H162" s="22"/>
      <c r="I162" s="2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</row>
    <row r="163" spans="1:36" ht="14.25" customHeight="1" x14ac:dyDescent="0.35">
      <c r="A163" s="21"/>
      <c r="B163" s="21"/>
      <c r="C163" s="21" t="s">
        <v>138</v>
      </c>
      <c r="D163" s="21"/>
      <c r="E163" s="21"/>
      <c r="F163" s="21"/>
      <c r="G163" s="21"/>
      <c r="H163" s="22"/>
      <c r="I163" s="21"/>
      <c r="J163" s="31"/>
      <c r="K163" s="31">
        <f>SUM(L163:W163)</f>
        <v>29.279154330994061</v>
      </c>
      <c r="L163" s="31">
        <f>0</f>
        <v>0</v>
      </c>
      <c r="M163" s="31">
        <f t="shared" ref="M163:S163" si="99">-((M216+M215)-(L216+L215))</f>
        <v>-438.70834500000637</v>
      </c>
      <c r="N163" s="31">
        <f t="shared" si="99"/>
        <v>-53.867748000004212</v>
      </c>
      <c r="O163" s="31">
        <f t="shared" si="99"/>
        <v>0</v>
      </c>
      <c r="P163" s="31">
        <f t="shared" si="99"/>
        <v>558.46000099999947</v>
      </c>
      <c r="Q163" s="31">
        <f t="shared" si="99"/>
        <v>-3.2724999999918509</v>
      </c>
      <c r="R163" s="31">
        <f t="shared" si="99"/>
        <v>-1.1522519999998622</v>
      </c>
      <c r="S163" s="31">
        <f t="shared" si="99"/>
        <v>-32.180001669003104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0</v>
      </c>
      <c r="AA163" s="65">
        <v>0</v>
      </c>
      <c r="AB163" s="65">
        <v>0</v>
      </c>
      <c r="AC163" s="65">
        <v>0</v>
      </c>
      <c r="AD163" s="65">
        <v>0</v>
      </c>
      <c r="AE163" s="65">
        <v>0</v>
      </c>
      <c r="AF163" s="65">
        <v>0</v>
      </c>
      <c r="AG163" s="65">
        <v>0</v>
      </c>
      <c r="AH163" s="65">
        <v>0</v>
      </c>
      <c r="AI163" s="65">
        <v>0</v>
      </c>
      <c r="AJ163" s="35">
        <f>SUM(X163:AI163)</f>
        <v>0</v>
      </c>
    </row>
    <row r="164" spans="1:36" ht="14.25" customHeight="1" x14ac:dyDescent="0.35">
      <c r="A164" s="21"/>
      <c r="B164" s="21"/>
      <c r="C164" s="21" t="s">
        <v>139</v>
      </c>
      <c r="D164" s="21"/>
      <c r="E164" s="21"/>
      <c r="F164" s="21"/>
      <c r="G164" s="21"/>
      <c r="H164" s="22"/>
      <c r="I164" s="21"/>
      <c r="J164" s="31"/>
      <c r="K164" s="31">
        <f>SUM(L164:W164)</f>
        <v>-600</v>
      </c>
      <c r="L164" s="31">
        <f>0</f>
        <v>0</v>
      </c>
      <c r="M164" s="31">
        <f t="shared" ref="M164:S164" si="100">-(M213-L213)</f>
        <v>0</v>
      </c>
      <c r="N164" s="31">
        <f t="shared" si="100"/>
        <v>0</v>
      </c>
      <c r="O164" s="31">
        <f t="shared" si="100"/>
        <v>0</v>
      </c>
      <c r="P164" s="31">
        <f t="shared" si="100"/>
        <v>-600</v>
      </c>
      <c r="Q164" s="31">
        <f t="shared" si="100"/>
        <v>0</v>
      </c>
      <c r="R164" s="31">
        <f t="shared" si="100"/>
        <v>0</v>
      </c>
      <c r="S164" s="31">
        <f t="shared" si="100"/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0</v>
      </c>
      <c r="AA164" s="65">
        <v>0</v>
      </c>
      <c r="AB164" s="65">
        <v>0</v>
      </c>
      <c r="AC164" s="65">
        <v>0</v>
      </c>
      <c r="AD164" s="65">
        <v>0</v>
      </c>
      <c r="AE164" s="65">
        <v>0</v>
      </c>
      <c r="AF164" s="65">
        <v>0</v>
      </c>
      <c r="AG164" s="65">
        <v>0</v>
      </c>
      <c r="AH164" s="65">
        <v>0</v>
      </c>
      <c r="AI164" s="65">
        <v>0</v>
      </c>
      <c r="AJ164" s="35">
        <f>SUM(X164:AI164)</f>
        <v>0</v>
      </c>
    </row>
    <row r="165" spans="1:36" ht="14.25" customHeight="1" x14ac:dyDescent="0.35">
      <c r="A165" s="21"/>
      <c r="B165" s="21"/>
      <c r="C165" s="21" t="s">
        <v>140</v>
      </c>
      <c r="D165" s="21"/>
      <c r="E165" s="21"/>
      <c r="F165" s="21"/>
      <c r="G165" s="21"/>
      <c r="H165" s="22"/>
      <c r="I165" s="21"/>
      <c r="J165" s="31"/>
      <c r="K165" s="31">
        <f>SUM(L165:W165)</f>
        <v>-89.800000000001091</v>
      </c>
      <c r="L165" s="31">
        <f>0</f>
        <v>0</v>
      </c>
      <c r="M165" s="31">
        <f t="shared" ref="M165:S165" si="101">-(M212-L212)</f>
        <v>0</v>
      </c>
      <c r="N165" s="31">
        <f t="shared" si="101"/>
        <v>0</v>
      </c>
      <c r="O165" s="31">
        <f t="shared" si="101"/>
        <v>0</v>
      </c>
      <c r="P165" s="31">
        <f t="shared" si="101"/>
        <v>0</v>
      </c>
      <c r="Q165" s="31">
        <f t="shared" si="101"/>
        <v>0</v>
      </c>
      <c r="R165" s="31">
        <f t="shared" si="101"/>
        <v>0</v>
      </c>
      <c r="S165" s="31">
        <f t="shared" si="101"/>
        <v>-89.800000000001091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0</v>
      </c>
      <c r="Z165" s="65">
        <v>0</v>
      </c>
      <c r="AA165" s="65">
        <v>0</v>
      </c>
      <c r="AB165" s="65">
        <v>0</v>
      </c>
      <c r="AC165" s="65">
        <v>0</v>
      </c>
      <c r="AD165" s="65">
        <v>0</v>
      </c>
      <c r="AE165" s="65">
        <v>0</v>
      </c>
      <c r="AF165" s="65">
        <v>0</v>
      </c>
      <c r="AG165" s="65">
        <v>0</v>
      </c>
      <c r="AH165" s="65">
        <v>0</v>
      </c>
      <c r="AI165" s="65">
        <v>0</v>
      </c>
      <c r="AJ165" s="35">
        <f>SUM(X165:AI165)</f>
        <v>0</v>
      </c>
    </row>
    <row r="166" spans="1:36" ht="14.25" customHeight="1" x14ac:dyDescent="0.35">
      <c r="A166" s="21"/>
      <c r="B166" s="21"/>
      <c r="C166" s="21" t="s">
        <v>141</v>
      </c>
      <c r="D166" s="21"/>
      <c r="E166" s="21"/>
      <c r="F166" s="21"/>
      <c r="G166" s="21"/>
      <c r="H166" s="22"/>
      <c r="I166" s="21"/>
      <c r="J166" s="31"/>
      <c r="K166" s="31">
        <f>SUM(L166:W166)</f>
        <v>-102.94563628999981</v>
      </c>
      <c r="L166" s="31">
        <f>0</f>
        <v>0</v>
      </c>
      <c r="M166" s="31">
        <f t="shared" ref="M166:S166" si="102">-(M214-L214)</f>
        <v>-3.2297297299999173</v>
      </c>
      <c r="N166" s="31">
        <f t="shared" si="102"/>
        <v>-13.334069309999904</v>
      </c>
      <c r="O166" s="31">
        <f t="shared" si="102"/>
        <v>-1.2181000000000495</v>
      </c>
      <c r="P166" s="31">
        <f t="shared" si="102"/>
        <v>-3.4743240000000242</v>
      </c>
      <c r="Q166" s="31">
        <f t="shared" si="102"/>
        <v>-7.7927930000000742</v>
      </c>
      <c r="R166" s="31">
        <f t="shared" si="102"/>
        <v>-37.883782999999994</v>
      </c>
      <c r="S166" s="31">
        <f t="shared" si="102"/>
        <v>-36.012837249999848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0</v>
      </c>
      <c r="Z166" s="65">
        <v>0</v>
      </c>
      <c r="AA166" s="65">
        <v>0</v>
      </c>
      <c r="AB166" s="65">
        <v>0</v>
      </c>
      <c r="AC166" s="65">
        <v>0</v>
      </c>
      <c r="AD166" s="65">
        <v>0</v>
      </c>
      <c r="AE166" s="65">
        <v>0</v>
      </c>
      <c r="AF166" s="65">
        <v>0</v>
      </c>
      <c r="AG166" s="65">
        <v>0</v>
      </c>
      <c r="AH166" s="65">
        <v>0</v>
      </c>
      <c r="AI166" s="65">
        <v>0</v>
      </c>
      <c r="AJ166" s="35">
        <f>SUM(X166:AI166)</f>
        <v>0</v>
      </c>
    </row>
    <row r="167" spans="1:36" ht="14.25" customHeight="1" x14ac:dyDescent="0.35">
      <c r="A167" s="21"/>
      <c r="B167" s="21"/>
      <c r="C167" s="37" t="s">
        <v>142</v>
      </c>
      <c r="D167" s="37"/>
      <c r="E167" s="37"/>
      <c r="F167" s="37"/>
      <c r="G167" s="37"/>
      <c r="H167" s="38" t="s">
        <v>19</v>
      </c>
      <c r="I167" s="37"/>
      <c r="J167" s="40"/>
      <c r="K167" s="40">
        <f>SUM(L167:W167)</f>
        <v>-763.46648195900684</v>
      </c>
      <c r="L167" s="40">
        <f t="shared" ref="L167:AI167" si="103">SUM(L163:L166)</f>
        <v>0</v>
      </c>
      <c r="M167" s="40">
        <f t="shared" si="103"/>
        <v>-441.93807473000629</v>
      </c>
      <c r="N167" s="40">
        <f t="shared" si="103"/>
        <v>-67.201817310004117</v>
      </c>
      <c r="O167" s="40">
        <f t="shared" si="103"/>
        <v>-1.2181000000000495</v>
      </c>
      <c r="P167" s="40">
        <f t="shared" si="103"/>
        <v>-45.014323000000559</v>
      </c>
      <c r="Q167" s="40">
        <f t="shared" si="103"/>
        <v>-11.065292999991925</v>
      </c>
      <c r="R167" s="40">
        <f t="shared" si="103"/>
        <v>-39.036034999999856</v>
      </c>
      <c r="S167" s="40">
        <f t="shared" si="103"/>
        <v>-157.99283891900404</v>
      </c>
      <c r="T167" s="40">
        <f t="shared" si="103"/>
        <v>0</v>
      </c>
      <c r="U167" s="40">
        <f t="shared" si="103"/>
        <v>0</v>
      </c>
      <c r="V167" s="40">
        <f t="shared" si="103"/>
        <v>0</v>
      </c>
      <c r="W167" s="40">
        <f t="shared" si="103"/>
        <v>0</v>
      </c>
      <c r="X167" s="40">
        <f t="shared" si="103"/>
        <v>0</v>
      </c>
      <c r="Y167" s="40">
        <f t="shared" si="103"/>
        <v>0</v>
      </c>
      <c r="Z167" s="40">
        <f t="shared" si="103"/>
        <v>0</v>
      </c>
      <c r="AA167" s="40">
        <f t="shared" si="103"/>
        <v>0</v>
      </c>
      <c r="AB167" s="40">
        <f t="shared" si="103"/>
        <v>0</v>
      </c>
      <c r="AC167" s="40">
        <f t="shared" si="103"/>
        <v>0</v>
      </c>
      <c r="AD167" s="40">
        <f t="shared" si="103"/>
        <v>0</v>
      </c>
      <c r="AE167" s="40">
        <f t="shared" si="103"/>
        <v>0</v>
      </c>
      <c r="AF167" s="40">
        <f t="shared" si="103"/>
        <v>0</v>
      </c>
      <c r="AG167" s="40">
        <f t="shared" si="103"/>
        <v>0</v>
      </c>
      <c r="AH167" s="40">
        <f t="shared" si="103"/>
        <v>0</v>
      </c>
      <c r="AI167" s="40">
        <f t="shared" si="103"/>
        <v>0</v>
      </c>
      <c r="AJ167" s="35">
        <f>SUM(X167:AI167)</f>
        <v>0</v>
      </c>
    </row>
    <row r="168" spans="1:36" ht="14.25" customHeight="1" x14ac:dyDescent="0.35">
      <c r="A168" s="21"/>
      <c r="B168" s="21"/>
      <c r="C168" s="21"/>
      <c r="D168" s="21"/>
      <c r="E168" s="21"/>
      <c r="F168" s="21"/>
      <c r="G168" s="21"/>
      <c r="H168" s="22"/>
      <c r="I168" s="21"/>
      <c r="J168" s="31"/>
      <c r="K168" s="2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</row>
    <row r="169" spans="1:36" ht="14.25" customHeight="1" x14ac:dyDescent="0.35">
      <c r="A169" s="21"/>
      <c r="B169" s="21"/>
      <c r="C169" s="21" t="s">
        <v>143</v>
      </c>
      <c r="D169" s="21"/>
      <c r="E169" s="21"/>
      <c r="F169" s="21"/>
      <c r="G169" s="21"/>
      <c r="H169" s="22" t="s">
        <v>19</v>
      </c>
      <c r="I169" s="21"/>
      <c r="J169" s="31"/>
      <c r="K169" s="31">
        <f t="shared" ref="K169:K177" si="104">SUM(L169:W169)</f>
        <v>-127.8</v>
      </c>
      <c r="L169" s="31">
        <f>0</f>
        <v>0</v>
      </c>
      <c r="M169" s="31">
        <f t="shared" ref="M169:S169" si="105">M249-L249</f>
        <v>0</v>
      </c>
      <c r="N169" s="31">
        <f t="shared" si="105"/>
        <v>0</v>
      </c>
      <c r="O169" s="31">
        <f t="shared" si="105"/>
        <v>0</v>
      </c>
      <c r="P169" s="31">
        <f t="shared" si="105"/>
        <v>0</v>
      </c>
      <c r="Q169" s="31">
        <f t="shared" si="105"/>
        <v>0</v>
      </c>
      <c r="R169" s="31">
        <f t="shared" si="105"/>
        <v>0</v>
      </c>
      <c r="S169" s="31">
        <f t="shared" si="105"/>
        <v>-127.8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0</v>
      </c>
      <c r="Z169" s="65">
        <v>0</v>
      </c>
      <c r="AA169" s="65">
        <v>0</v>
      </c>
      <c r="AB169" s="65">
        <v>0</v>
      </c>
      <c r="AC169" s="65">
        <v>0</v>
      </c>
      <c r="AD169" s="65">
        <v>0</v>
      </c>
      <c r="AE169" s="65">
        <v>0</v>
      </c>
      <c r="AF169" s="65">
        <v>0</v>
      </c>
      <c r="AG169" s="65">
        <v>0</v>
      </c>
      <c r="AH169" s="65">
        <v>0</v>
      </c>
      <c r="AI169" s="65">
        <v>0</v>
      </c>
      <c r="AJ169" s="35">
        <f t="shared" ref="AJ169:AJ177" si="106">SUM(X169:AI169)</f>
        <v>0</v>
      </c>
    </row>
    <row r="170" spans="1:36" ht="14.25" customHeight="1" x14ac:dyDescent="0.35">
      <c r="A170" s="21"/>
      <c r="B170" s="21"/>
      <c r="C170" s="21" t="s">
        <v>144</v>
      </c>
      <c r="D170" s="21"/>
      <c r="E170" s="21"/>
      <c r="F170" s="21"/>
      <c r="G170" s="21"/>
      <c r="H170" s="22" t="s">
        <v>19</v>
      </c>
      <c r="I170" s="21"/>
      <c r="J170" s="31"/>
      <c r="K170" s="31">
        <f t="shared" si="104"/>
        <v>0</v>
      </c>
      <c r="L170" s="31">
        <f>0</f>
        <v>0</v>
      </c>
      <c r="M170" s="31">
        <f t="shared" ref="M170:S170" si="107">M227-L227</f>
        <v>0</v>
      </c>
      <c r="N170" s="31">
        <f t="shared" si="107"/>
        <v>0</v>
      </c>
      <c r="O170" s="31">
        <f t="shared" si="107"/>
        <v>17.999676999999998</v>
      </c>
      <c r="P170" s="31">
        <f t="shared" si="107"/>
        <v>-17.999676999999998</v>
      </c>
      <c r="Q170" s="31">
        <f t="shared" si="107"/>
        <v>9994.8071870000003</v>
      </c>
      <c r="R170" s="31">
        <f t="shared" si="107"/>
        <v>-9994.8071870000003</v>
      </c>
      <c r="S170" s="31">
        <f t="shared" si="107"/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65">
        <v>0</v>
      </c>
      <c r="AA170" s="65">
        <v>0</v>
      </c>
      <c r="AB170" s="65">
        <v>0</v>
      </c>
      <c r="AC170" s="65">
        <v>0</v>
      </c>
      <c r="AD170" s="65">
        <v>0</v>
      </c>
      <c r="AE170" s="65">
        <v>0</v>
      </c>
      <c r="AF170" s="65">
        <v>0</v>
      </c>
      <c r="AG170" s="65">
        <v>0</v>
      </c>
      <c r="AH170" s="65">
        <v>0</v>
      </c>
      <c r="AI170" s="65">
        <v>0</v>
      </c>
      <c r="AJ170" s="35">
        <f t="shared" si="106"/>
        <v>0</v>
      </c>
    </row>
    <row r="171" spans="1:36" ht="14.25" customHeight="1" x14ac:dyDescent="0.35">
      <c r="A171" s="21"/>
      <c r="B171" s="21"/>
      <c r="C171" s="21" t="s">
        <v>145</v>
      </c>
      <c r="D171" s="21"/>
      <c r="E171" s="21"/>
      <c r="F171" s="21"/>
      <c r="G171" s="21"/>
      <c r="H171" s="22" t="s">
        <v>19</v>
      </c>
      <c r="I171" s="21"/>
      <c r="J171" s="31"/>
      <c r="K171" s="31">
        <f t="shared" si="104"/>
        <v>0</v>
      </c>
      <c r="L171" s="31">
        <f>0</f>
        <v>0</v>
      </c>
      <c r="M171" s="31">
        <f>0</f>
        <v>0</v>
      </c>
      <c r="N171" s="31">
        <f>0</f>
        <v>0</v>
      </c>
      <c r="O171" s="31">
        <f>0</f>
        <v>0</v>
      </c>
      <c r="P171" s="31">
        <f>0</f>
        <v>0</v>
      </c>
      <c r="Q171" s="31">
        <f>0</f>
        <v>0</v>
      </c>
      <c r="R171" s="31">
        <f>0</f>
        <v>0</v>
      </c>
      <c r="S171" s="31">
        <f>0</f>
        <v>0</v>
      </c>
      <c r="T171" s="31">
        <f>0</f>
        <v>0</v>
      </c>
      <c r="U171" s="31">
        <f>0</f>
        <v>0</v>
      </c>
      <c r="V171" s="31">
        <f>0</f>
        <v>0</v>
      </c>
      <c r="W171" s="31">
        <f>0</f>
        <v>0</v>
      </c>
      <c r="X171" s="31">
        <f>0</f>
        <v>0</v>
      </c>
      <c r="Y171" s="31">
        <f>0</f>
        <v>0</v>
      </c>
      <c r="Z171" s="31">
        <f>0</f>
        <v>0</v>
      </c>
      <c r="AA171" s="31">
        <f>0</f>
        <v>0</v>
      </c>
      <c r="AB171" s="31">
        <f>0</f>
        <v>0</v>
      </c>
      <c r="AC171" s="31">
        <f>0</f>
        <v>0</v>
      </c>
      <c r="AD171" s="31">
        <f>0</f>
        <v>0</v>
      </c>
      <c r="AE171" s="31">
        <f>0</f>
        <v>0</v>
      </c>
      <c r="AF171" s="31">
        <f>0</f>
        <v>0</v>
      </c>
      <c r="AG171" s="31">
        <f>0</f>
        <v>0</v>
      </c>
      <c r="AH171" s="31">
        <f>0</f>
        <v>0</v>
      </c>
      <c r="AI171" s="31">
        <f>0</f>
        <v>0</v>
      </c>
      <c r="AJ171" s="35">
        <f t="shared" si="106"/>
        <v>0</v>
      </c>
    </row>
    <row r="172" spans="1:36" ht="14.25" customHeight="1" x14ac:dyDescent="0.35">
      <c r="A172" s="21"/>
      <c r="B172" s="21"/>
      <c r="C172" s="21" t="s">
        <v>146</v>
      </c>
      <c r="D172" s="21"/>
      <c r="E172" s="21"/>
      <c r="F172" s="21"/>
      <c r="G172" s="21"/>
      <c r="H172" s="22" t="s">
        <v>19</v>
      </c>
      <c r="I172" s="21"/>
      <c r="J172" s="31"/>
      <c r="K172" s="31">
        <f t="shared" si="104"/>
        <v>0</v>
      </c>
      <c r="L172" s="31">
        <f>0</f>
        <v>0</v>
      </c>
      <c r="M172" s="31">
        <f>0</f>
        <v>0</v>
      </c>
      <c r="N172" s="31">
        <f>0</f>
        <v>0</v>
      </c>
      <c r="O172" s="31">
        <f>0</f>
        <v>0</v>
      </c>
      <c r="P172" s="31">
        <f>0</f>
        <v>0</v>
      </c>
      <c r="Q172" s="31">
        <f>0</f>
        <v>0</v>
      </c>
      <c r="R172" s="31">
        <f>0</f>
        <v>0</v>
      </c>
      <c r="S172" s="31">
        <f>0</f>
        <v>0</v>
      </c>
      <c r="T172" s="31">
        <f>0</f>
        <v>0</v>
      </c>
      <c r="U172" s="31">
        <f>0</f>
        <v>0</v>
      </c>
      <c r="V172" s="31">
        <f>0</f>
        <v>0</v>
      </c>
      <c r="W172" s="31">
        <f>0</f>
        <v>0</v>
      </c>
      <c r="X172" s="31">
        <f>0</f>
        <v>0</v>
      </c>
      <c r="Y172" s="31">
        <f>0</f>
        <v>0</v>
      </c>
      <c r="Z172" s="31">
        <f>0</f>
        <v>0</v>
      </c>
      <c r="AA172" s="31">
        <f>0</f>
        <v>0</v>
      </c>
      <c r="AB172" s="31">
        <f>0</f>
        <v>0</v>
      </c>
      <c r="AC172" s="31">
        <f>0</f>
        <v>0</v>
      </c>
      <c r="AD172" s="31">
        <f>0</f>
        <v>0</v>
      </c>
      <c r="AE172" s="31">
        <f>0</f>
        <v>0</v>
      </c>
      <c r="AF172" s="31">
        <f>0</f>
        <v>0</v>
      </c>
      <c r="AG172" s="31">
        <f>0</f>
        <v>0</v>
      </c>
      <c r="AH172" s="31">
        <f>0</f>
        <v>0</v>
      </c>
      <c r="AI172" s="31">
        <f>0</f>
        <v>0</v>
      </c>
      <c r="AJ172" s="35">
        <f t="shared" si="106"/>
        <v>0</v>
      </c>
    </row>
    <row r="173" spans="1:36" ht="14.25" customHeight="1" x14ac:dyDescent="0.35">
      <c r="A173" s="21"/>
      <c r="B173" s="21"/>
      <c r="C173" s="21" t="s">
        <v>147</v>
      </c>
      <c r="D173" s="21"/>
      <c r="E173" s="21"/>
      <c r="F173" s="21"/>
      <c r="G173" s="21"/>
      <c r="H173" s="22" t="s">
        <v>19</v>
      </c>
      <c r="I173" s="21"/>
      <c r="J173" s="31"/>
      <c r="K173" s="31">
        <f t="shared" si="104"/>
        <v>0</v>
      </c>
      <c r="L173" s="31">
        <f>0</f>
        <v>0</v>
      </c>
      <c r="M173" s="31">
        <f>0</f>
        <v>0</v>
      </c>
      <c r="N173" s="31">
        <f>0</f>
        <v>0</v>
      </c>
      <c r="O173" s="31">
        <f>0</f>
        <v>0</v>
      </c>
      <c r="P173" s="31">
        <f>0</f>
        <v>0</v>
      </c>
      <c r="Q173" s="31">
        <f>0</f>
        <v>0</v>
      </c>
      <c r="R173" s="31">
        <f>0</f>
        <v>0</v>
      </c>
      <c r="S173" s="31">
        <f>0</f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0</v>
      </c>
      <c r="AB173" s="65">
        <v>0</v>
      </c>
      <c r="AC173" s="65">
        <v>0</v>
      </c>
      <c r="AD173" s="65">
        <v>0</v>
      </c>
      <c r="AE173" s="65">
        <v>0</v>
      </c>
      <c r="AF173" s="65">
        <v>0</v>
      </c>
      <c r="AG173" s="65">
        <v>0</v>
      </c>
      <c r="AH173" s="65">
        <v>0</v>
      </c>
      <c r="AI173" s="65">
        <v>0</v>
      </c>
      <c r="AJ173" s="35">
        <f t="shared" si="106"/>
        <v>0</v>
      </c>
    </row>
    <row r="174" spans="1:36" ht="14.25" customHeight="1" x14ac:dyDescent="0.35">
      <c r="A174" s="21"/>
      <c r="B174" s="28"/>
      <c r="C174" s="21" t="s">
        <v>148</v>
      </c>
      <c r="D174" s="21"/>
      <c r="E174" s="21"/>
      <c r="F174" s="21"/>
      <c r="G174" s="21"/>
      <c r="H174" s="22" t="s">
        <v>19</v>
      </c>
      <c r="I174" s="21"/>
      <c r="J174" s="31"/>
      <c r="K174" s="31">
        <f t="shared" si="104"/>
        <v>-63.926149909999999</v>
      </c>
      <c r="L174" s="31">
        <f t="shared" ref="L174:AI174" si="108">L114</f>
        <v>-2.6008445499999997</v>
      </c>
      <c r="M174" s="31">
        <f t="shared" si="108"/>
        <v>-2.2007122400000001</v>
      </c>
      <c r="N174" s="31">
        <f t="shared" si="108"/>
        <v>-2.8919000800000001</v>
      </c>
      <c r="O174" s="31">
        <f t="shared" si="108"/>
        <v>-22.221827999999999</v>
      </c>
      <c r="P174" s="31">
        <f t="shared" si="108"/>
        <v>-1.6476890399999999</v>
      </c>
      <c r="Q174" s="31">
        <f t="shared" si="108"/>
        <v>-1.4473606299999999</v>
      </c>
      <c r="R174" s="31">
        <f t="shared" si="108"/>
        <v>-4.5196156500000004</v>
      </c>
      <c r="S174" s="31">
        <f t="shared" si="108"/>
        <v>-1.4038917200000001</v>
      </c>
      <c r="T174" s="31">
        <f t="shared" si="108"/>
        <v>-6.2480770000000003</v>
      </c>
      <c r="U174" s="31">
        <f t="shared" si="108"/>
        <v>-6.2480770000000003</v>
      </c>
      <c r="V174" s="31">
        <f t="shared" si="108"/>
        <v>-6.2480770000000003</v>
      </c>
      <c r="W174" s="31">
        <f t="shared" si="108"/>
        <v>-6.2480770000000003</v>
      </c>
      <c r="X174" s="31">
        <f t="shared" si="108"/>
        <v>-6.2480770000000003</v>
      </c>
      <c r="Y174" s="31">
        <f t="shared" si="108"/>
        <v>-6.2480770000000003</v>
      </c>
      <c r="Z174" s="31">
        <f t="shared" si="108"/>
        <v>-6.2480770000000003</v>
      </c>
      <c r="AA174" s="31">
        <f t="shared" si="108"/>
        <v>-6.2480770000000003</v>
      </c>
      <c r="AB174" s="31">
        <f t="shared" si="108"/>
        <v>-6.2480770000000003</v>
      </c>
      <c r="AC174" s="31">
        <f t="shared" si="108"/>
        <v>-6.2480770000000003</v>
      </c>
      <c r="AD174" s="31">
        <f t="shared" si="108"/>
        <v>-6.2480770000000003</v>
      </c>
      <c r="AE174" s="31">
        <f t="shared" si="108"/>
        <v>-6.2480770000000003</v>
      </c>
      <c r="AF174" s="31">
        <f t="shared" si="108"/>
        <v>-6.2480770000000003</v>
      </c>
      <c r="AG174" s="31">
        <f t="shared" si="108"/>
        <v>-6.2480770000000003</v>
      </c>
      <c r="AH174" s="31">
        <f t="shared" si="108"/>
        <v>-6.2480770000000003</v>
      </c>
      <c r="AI174" s="31">
        <f t="shared" si="108"/>
        <v>-6.2480770000000003</v>
      </c>
      <c r="AJ174" s="35">
        <f t="shared" si="106"/>
        <v>-74.976924000000011</v>
      </c>
    </row>
    <row r="175" spans="1:36" ht="14.25" customHeight="1" x14ac:dyDescent="0.35">
      <c r="A175" s="21"/>
      <c r="B175" s="21"/>
      <c r="C175" s="21" t="s">
        <v>149</v>
      </c>
      <c r="D175" s="21"/>
      <c r="E175" s="21"/>
      <c r="F175" s="21"/>
      <c r="G175" s="21"/>
      <c r="H175" s="22" t="s">
        <v>19</v>
      </c>
      <c r="I175" s="21"/>
      <c r="J175" s="31"/>
      <c r="K175" s="31">
        <f t="shared" si="104"/>
        <v>0</v>
      </c>
      <c r="L175" s="31">
        <f>0</f>
        <v>0</v>
      </c>
      <c r="M175" s="31">
        <f t="shared" ref="M175:S175" si="109">(M255+M256+M259+M261)-(L255+L256+L259+L261)</f>
        <v>0</v>
      </c>
      <c r="N175" s="31">
        <f t="shared" si="109"/>
        <v>0</v>
      </c>
      <c r="O175" s="31">
        <f t="shared" si="109"/>
        <v>0</v>
      </c>
      <c r="P175" s="31">
        <f t="shared" si="109"/>
        <v>0</v>
      </c>
      <c r="Q175" s="31">
        <f t="shared" si="109"/>
        <v>0</v>
      </c>
      <c r="R175" s="31">
        <f t="shared" si="109"/>
        <v>0</v>
      </c>
      <c r="S175" s="31">
        <f t="shared" si="109"/>
        <v>0</v>
      </c>
      <c r="T175" s="65">
        <v>0</v>
      </c>
      <c r="U175" s="65">
        <v>0</v>
      </c>
      <c r="V175" s="65">
        <v>0</v>
      </c>
      <c r="W175" s="65">
        <v>0</v>
      </c>
      <c r="X175" s="65">
        <v>0</v>
      </c>
      <c r="Y175" s="65">
        <v>0</v>
      </c>
      <c r="Z175" s="65">
        <v>0</v>
      </c>
      <c r="AA175" s="65">
        <v>0</v>
      </c>
      <c r="AB175" s="65">
        <v>0</v>
      </c>
      <c r="AC175" s="65">
        <v>0</v>
      </c>
      <c r="AD175" s="65">
        <v>0</v>
      </c>
      <c r="AE175" s="65">
        <v>0</v>
      </c>
      <c r="AF175" s="65">
        <v>0</v>
      </c>
      <c r="AG175" s="65">
        <v>0</v>
      </c>
      <c r="AH175" s="65">
        <v>0</v>
      </c>
      <c r="AI175" s="65">
        <v>0</v>
      </c>
      <c r="AJ175" s="35">
        <f t="shared" si="106"/>
        <v>0</v>
      </c>
    </row>
    <row r="176" spans="1:36" ht="14.25" customHeight="1" x14ac:dyDescent="0.35">
      <c r="A176" s="21"/>
      <c r="B176" s="21"/>
      <c r="C176" s="21" t="s">
        <v>150</v>
      </c>
      <c r="D176" s="21"/>
      <c r="E176" s="21"/>
      <c r="F176" s="21"/>
      <c r="G176" s="21"/>
      <c r="H176" s="22" t="s">
        <v>19</v>
      </c>
      <c r="I176" s="21"/>
      <c r="J176" s="31"/>
      <c r="K176" s="31">
        <f t="shared" si="104"/>
        <v>0</v>
      </c>
      <c r="L176" s="31">
        <f>0</f>
        <v>0</v>
      </c>
      <c r="M176" s="31">
        <f t="shared" ref="M176:S176" si="110">M260-L260</f>
        <v>0</v>
      </c>
      <c r="N176" s="31">
        <f t="shared" si="110"/>
        <v>0</v>
      </c>
      <c r="O176" s="31">
        <f t="shared" si="110"/>
        <v>0</v>
      </c>
      <c r="P176" s="31">
        <f t="shared" si="110"/>
        <v>0</v>
      </c>
      <c r="Q176" s="31">
        <f t="shared" si="110"/>
        <v>0</v>
      </c>
      <c r="R176" s="31">
        <f t="shared" si="110"/>
        <v>0</v>
      </c>
      <c r="S176" s="31">
        <f t="shared" si="110"/>
        <v>0</v>
      </c>
      <c r="T176" s="65">
        <v>0</v>
      </c>
      <c r="U176" s="65">
        <v>0</v>
      </c>
      <c r="V176" s="65">
        <v>0</v>
      </c>
      <c r="W176" s="65">
        <v>0</v>
      </c>
      <c r="X176" s="65">
        <v>0</v>
      </c>
      <c r="Y176" s="65">
        <v>0</v>
      </c>
      <c r="Z176" s="65">
        <v>0</v>
      </c>
      <c r="AA176" s="65">
        <v>0</v>
      </c>
      <c r="AB176" s="65">
        <v>0</v>
      </c>
      <c r="AC176" s="65">
        <v>0</v>
      </c>
      <c r="AD176" s="65">
        <v>0</v>
      </c>
      <c r="AE176" s="65">
        <v>0</v>
      </c>
      <c r="AF176" s="65">
        <v>0</v>
      </c>
      <c r="AG176" s="65">
        <v>0</v>
      </c>
      <c r="AH176" s="65">
        <v>0</v>
      </c>
      <c r="AI176" s="65">
        <v>0</v>
      </c>
      <c r="AJ176" s="35">
        <f t="shared" si="106"/>
        <v>0</v>
      </c>
    </row>
    <row r="177" spans="1:36" ht="14.25" customHeight="1" x14ac:dyDescent="0.35">
      <c r="A177" s="21"/>
      <c r="B177" s="21"/>
      <c r="C177" s="37" t="s">
        <v>151</v>
      </c>
      <c r="D177" s="37"/>
      <c r="E177" s="37"/>
      <c r="F177" s="37"/>
      <c r="G177" s="37"/>
      <c r="H177" s="38" t="s">
        <v>19</v>
      </c>
      <c r="I177" s="37"/>
      <c r="J177" s="40"/>
      <c r="K177" s="40">
        <f t="shared" si="104"/>
        <v>-191.7261499100008</v>
      </c>
      <c r="L177" s="40">
        <f t="shared" ref="L177:AI177" si="111">SUM(L169:L176)</f>
        <v>-2.6008445499999997</v>
      </c>
      <c r="M177" s="40">
        <f t="shared" si="111"/>
        <v>-2.2007122400000001</v>
      </c>
      <c r="N177" s="40">
        <f t="shared" si="111"/>
        <v>-2.8919000800000001</v>
      </c>
      <c r="O177" s="40">
        <f t="shared" si="111"/>
        <v>-4.2221510000000002</v>
      </c>
      <c r="P177" s="40">
        <f t="shared" si="111"/>
        <v>-19.647366039999998</v>
      </c>
      <c r="Q177" s="40">
        <f t="shared" si="111"/>
        <v>9993.3598263700005</v>
      </c>
      <c r="R177" s="40">
        <f t="shared" si="111"/>
        <v>-9999.3268026500009</v>
      </c>
      <c r="S177" s="40">
        <f t="shared" si="111"/>
        <v>-129.20389172</v>
      </c>
      <c r="T177" s="40">
        <f t="shared" si="111"/>
        <v>-6.2480770000000003</v>
      </c>
      <c r="U177" s="40">
        <f t="shared" si="111"/>
        <v>-6.2480770000000003</v>
      </c>
      <c r="V177" s="40">
        <f t="shared" si="111"/>
        <v>-6.2480770000000003</v>
      </c>
      <c r="W177" s="40">
        <f t="shared" si="111"/>
        <v>-6.2480770000000003</v>
      </c>
      <c r="X177" s="40">
        <f t="shared" si="111"/>
        <v>-6.2480770000000003</v>
      </c>
      <c r="Y177" s="40">
        <f t="shared" si="111"/>
        <v>-6.2480770000000003</v>
      </c>
      <c r="Z177" s="40">
        <f t="shared" si="111"/>
        <v>-6.2480770000000003</v>
      </c>
      <c r="AA177" s="40">
        <f t="shared" si="111"/>
        <v>-6.2480770000000003</v>
      </c>
      <c r="AB177" s="40">
        <f t="shared" si="111"/>
        <v>-6.2480770000000003</v>
      </c>
      <c r="AC177" s="40">
        <f t="shared" si="111"/>
        <v>-6.2480770000000003</v>
      </c>
      <c r="AD177" s="40">
        <f t="shared" si="111"/>
        <v>-6.2480770000000003</v>
      </c>
      <c r="AE177" s="40">
        <f t="shared" si="111"/>
        <v>-6.2480770000000003</v>
      </c>
      <c r="AF177" s="40">
        <f t="shared" si="111"/>
        <v>-6.2480770000000003</v>
      </c>
      <c r="AG177" s="40">
        <f t="shared" si="111"/>
        <v>-6.2480770000000003</v>
      </c>
      <c r="AH177" s="40">
        <f t="shared" si="111"/>
        <v>-6.2480770000000003</v>
      </c>
      <c r="AI177" s="40">
        <f t="shared" si="111"/>
        <v>-6.2480770000000003</v>
      </c>
      <c r="AJ177" s="35">
        <f t="shared" si="106"/>
        <v>-74.976924000000011</v>
      </c>
    </row>
    <row r="178" spans="1:36" ht="14.25" customHeight="1" x14ac:dyDescent="0.35">
      <c r="A178" s="21"/>
      <c r="B178" s="21"/>
      <c r="C178" s="21"/>
      <c r="D178" s="21"/>
      <c r="E178" s="21"/>
      <c r="F178" s="21"/>
      <c r="G178" s="21"/>
      <c r="H178" s="22"/>
      <c r="I178" s="21"/>
      <c r="J178" s="31"/>
      <c r="K178" s="2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</row>
    <row r="179" spans="1:36" ht="14.25" customHeight="1" x14ac:dyDescent="0.35">
      <c r="A179" s="21"/>
      <c r="B179" s="21"/>
      <c r="C179" s="37" t="s">
        <v>152</v>
      </c>
      <c r="D179" s="37"/>
      <c r="E179" s="37"/>
      <c r="F179" s="37"/>
      <c r="G179" s="37"/>
      <c r="H179" s="38" t="s">
        <v>19</v>
      </c>
      <c r="I179" s="37"/>
      <c r="J179" s="40"/>
      <c r="K179" s="40">
        <f>SUM(L179:W179)</f>
        <v>2011.8034584358479</v>
      </c>
      <c r="L179" s="40">
        <f t="shared" ref="L179:AI179" si="112">SUM(L177,L167,L161)</f>
        <v>1700.7561645537894</v>
      </c>
      <c r="M179" s="40">
        <f t="shared" si="112"/>
        <v>209.5377657838024</v>
      </c>
      <c r="N179" s="40">
        <f t="shared" si="112"/>
        <v>-296.1030893119306</v>
      </c>
      <c r="O179" s="40">
        <f t="shared" si="112"/>
        <v>236.36031075855715</v>
      </c>
      <c r="P179" s="40">
        <f t="shared" si="112"/>
        <v>-829.5713499425334</v>
      </c>
      <c r="Q179" s="40">
        <f t="shared" si="112"/>
        <v>9371.0331324666131</v>
      </c>
      <c r="R179" s="40">
        <f t="shared" si="112"/>
        <v>-12981.154745650088</v>
      </c>
      <c r="S179" s="40">
        <f t="shared" si="112"/>
        <v>650.89094473235332</v>
      </c>
      <c r="T179" s="40">
        <f t="shared" si="112"/>
        <v>1584.4233917473946</v>
      </c>
      <c r="U179" s="40">
        <f t="shared" si="112"/>
        <v>949.6470879771083</v>
      </c>
      <c r="V179" s="40">
        <f t="shared" si="112"/>
        <v>594.69582980554776</v>
      </c>
      <c r="W179" s="40">
        <f t="shared" si="112"/>
        <v>821.28801551523532</v>
      </c>
      <c r="X179" s="40">
        <f t="shared" si="112"/>
        <v>605.3710580327554</v>
      </c>
      <c r="Y179" s="40">
        <f t="shared" si="112"/>
        <v>184.60303601292702</v>
      </c>
      <c r="Z179" s="40">
        <f t="shared" si="112"/>
        <v>1027.392771016742</v>
      </c>
      <c r="AA179" s="40">
        <f t="shared" si="112"/>
        <v>469.1160657383345</v>
      </c>
      <c r="AB179" s="40">
        <f t="shared" si="112"/>
        <v>733.14314469189719</v>
      </c>
      <c r="AC179" s="40">
        <f t="shared" si="112"/>
        <v>470.56545303739904</v>
      </c>
      <c r="AD179" s="40">
        <f t="shared" si="112"/>
        <v>733.71910020835321</v>
      </c>
      <c r="AE179" s="40">
        <f t="shared" si="112"/>
        <v>602.30919339371599</v>
      </c>
      <c r="AF179" s="40">
        <f t="shared" si="112"/>
        <v>471.36143205700273</v>
      </c>
      <c r="AG179" s="40">
        <f t="shared" si="112"/>
        <v>733.13754952942713</v>
      </c>
      <c r="AH179" s="40">
        <f t="shared" si="112"/>
        <v>470.75970962921383</v>
      </c>
      <c r="AI179" s="40">
        <f t="shared" si="112"/>
        <v>732.8170296767496</v>
      </c>
      <c r="AJ179" s="35">
        <f>SUM(X179:AI179)</f>
        <v>7234.2955430245165</v>
      </c>
    </row>
    <row r="180" spans="1:36" ht="14.25" customHeight="1" x14ac:dyDescent="0.35">
      <c r="A180" s="21"/>
      <c r="B180" s="21"/>
      <c r="C180" s="37" t="s">
        <v>153</v>
      </c>
      <c r="D180" s="37"/>
      <c r="E180" s="37"/>
      <c r="F180" s="37"/>
      <c r="G180" s="37"/>
      <c r="H180" s="38" t="s">
        <v>19</v>
      </c>
      <c r="I180" s="37"/>
      <c r="J180" s="40"/>
      <c r="K180" s="40">
        <f>L180</f>
        <v>7160.5122931862006</v>
      </c>
      <c r="L180" s="40">
        <f>L184-L179</f>
        <v>7160.5122931862006</v>
      </c>
      <c r="M180" s="40">
        <f t="shared" ref="M180:AI180" si="113">L181</f>
        <v>8861.2684577399905</v>
      </c>
      <c r="N180" s="40">
        <f t="shared" si="113"/>
        <v>9070.8062235237921</v>
      </c>
      <c r="O180" s="40">
        <f t="shared" si="113"/>
        <v>8774.7031342118607</v>
      </c>
      <c r="P180" s="40">
        <f t="shared" si="113"/>
        <v>9011.0634449704175</v>
      </c>
      <c r="Q180" s="40">
        <f t="shared" si="113"/>
        <v>8181.4920950278838</v>
      </c>
      <c r="R180" s="40">
        <f t="shared" si="113"/>
        <v>17552.525227494498</v>
      </c>
      <c r="S180" s="40">
        <f t="shared" si="113"/>
        <v>4571.3704818444094</v>
      </c>
      <c r="T180" s="40">
        <f t="shared" si="113"/>
        <v>5222.2614265767625</v>
      </c>
      <c r="U180" s="40">
        <f t="shared" si="113"/>
        <v>6806.6848183241573</v>
      </c>
      <c r="V180" s="40">
        <f t="shared" si="113"/>
        <v>7756.3319063012659</v>
      </c>
      <c r="W180" s="40">
        <f t="shared" si="113"/>
        <v>8351.0277361068129</v>
      </c>
      <c r="X180" s="40">
        <f t="shared" si="113"/>
        <v>9172.315751622049</v>
      </c>
      <c r="Y180" s="40">
        <f t="shared" si="113"/>
        <v>9777.6868096548042</v>
      </c>
      <c r="Z180" s="40">
        <f t="shared" si="113"/>
        <v>9962.2898456677303</v>
      </c>
      <c r="AA180" s="40">
        <f t="shared" si="113"/>
        <v>10989.682616684473</v>
      </c>
      <c r="AB180" s="40">
        <f t="shared" si="113"/>
        <v>11458.798682422808</v>
      </c>
      <c r="AC180" s="40">
        <f t="shared" si="113"/>
        <v>12191.941827114706</v>
      </c>
      <c r="AD180" s="40">
        <f t="shared" si="113"/>
        <v>12662.507280152106</v>
      </c>
      <c r="AE180" s="40">
        <f t="shared" si="113"/>
        <v>13396.226380360458</v>
      </c>
      <c r="AF180" s="40">
        <f t="shared" si="113"/>
        <v>13998.535573754174</v>
      </c>
      <c r="AG180" s="40">
        <f t="shared" si="113"/>
        <v>14469.897005811177</v>
      </c>
      <c r="AH180" s="40">
        <f t="shared" si="113"/>
        <v>15203.034555340604</v>
      </c>
      <c r="AI180" s="40">
        <f t="shared" si="113"/>
        <v>15673.794264969818</v>
      </c>
      <c r="AJ180" s="35">
        <f>X180</f>
        <v>9172.315751622049</v>
      </c>
    </row>
    <row r="181" spans="1:36" ht="14.25" customHeight="1" x14ac:dyDescent="0.35">
      <c r="A181" s="21"/>
      <c r="B181" s="21"/>
      <c r="C181" s="37" t="s">
        <v>154</v>
      </c>
      <c r="D181" s="37"/>
      <c r="E181" s="37"/>
      <c r="F181" s="37"/>
      <c r="G181" s="37"/>
      <c r="H181" s="38" t="s">
        <v>19</v>
      </c>
      <c r="I181" s="37"/>
      <c r="J181" s="40"/>
      <c r="K181" s="40">
        <f>W181</f>
        <v>9172.315751622049</v>
      </c>
      <c r="L181" s="40">
        <f t="shared" ref="L181:AI181" si="114">L179+L180</f>
        <v>8861.2684577399905</v>
      </c>
      <c r="M181" s="40">
        <f t="shared" si="114"/>
        <v>9070.8062235237921</v>
      </c>
      <c r="N181" s="40">
        <f t="shared" si="114"/>
        <v>8774.7031342118607</v>
      </c>
      <c r="O181" s="40">
        <f t="shared" si="114"/>
        <v>9011.0634449704175</v>
      </c>
      <c r="P181" s="40">
        <f t="shared" si="114"/>
        <v>8181.4920950278838</v>
      </c>
      <c r="Q181" s="40">
        <f t="shared" si="114"/>
        <v>17552.525227494498</v>
      </c>
      <c r="R181" s="40">
        <f t="shared" si="114"/>
        <v>4571.3704818444094</v>
      </c>
      <c r="S181" s="40">
        <f t="shared" si="114"/>
        <v>5222.2614265767625</v>
      </c>
      <c r="T181" s="40">
        <f t="shared" si="114"/>
        <v>6806.6848183241573</v>
      </c>
      <c r="U181" s="40">
        <f t="shared" si="114"/>
        <v>7756.3319063012659</v>
      </c>
      <c r="V181" s="40">
        <f t="shared" si="114"/>
        <v>8351.0277361068129</v>
      </c>
      <c r="W181" s="40">
        <f t="shared" si="114"/>
        <v>9172.315751622049</v>
      </c>
      <c r="X181" s="40">
        <f t="shared" si="114"/>
        <v>9777.6868096548042</v>
      </c>
      <c r="Y181" s="40">
        <f t="shared" si="114"/>
        <v>9962.2898456677303</v>
      </c>
      <c r="Z181" s="40">
        <f t="shared" si="114"/>
        <v>10989.682616684473</v>
      </c>
      <c r="AA181" s="40">
        <f t="shared" si="114"/>
        <v>11458.798682422808</v>
      </c>
      <c r="AB181" s="40">
        <f t="shared" si="114"/>
        <v>12191.941827114706</v>
      </c>
      <c r="AC181" s="40">
        <f t="shared" si="114"/>
        <v>12662.507280152106</v>
      </c>
      <c r="AD181" s="40">
        <f t="shared" si="114"/>
        <v>13396.226380360458</v>
      </c>
      <c r="AE181" s="40">
        <f t="shared" si="114"/>
        <v>13998.535573754174</v>
      </c>
      <c r="AF181" s="40">
        <f t="shared" si="114"/>
        <v>14469.897005811177</v>
      </c>
      <c r="AG181" s="40">
        <f t="shared" si="114"/>
        <v>15203.034555340604</v>
      </c>
      <c r="AH181" s="40">
        <f t="shared" si="114"/>
        <v>15673.794264969818</v>
      </c>
      <c r="AI181" s="40">
        <f t="shared" si="114"/>
        <v>16406.611294646569</v>
      </c>
      <c r="AJ181" s="35">
        <f>AI181</f>
        <v>16406.611294646569</v>
      </c>
    </row>
    <row r="182" spans="1:36" ht="14.25" customHeight="1" x14ac:dyDescent="0.35">
      <c r="A182" s="21"/>
      <c r="B182" s="21"/>
      <c r="C182" s="61"/>
      <c r="D182" s="21"/>
      <c r="E182" s="21"/>
      <c r="F182" s="21"/>
      <c r="G182" s="21"/>
      <c r="H182" s="22"/>
      <c r="I182" s="21"/>
      <c r="J182" s="31"/>
      <c r="K182" s="2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</row>
    <row r="183" spans="1:36" ht="14.25" customHeight="1" x14ac:dyDescent="0.35">
      <c r="A183" s="21"/>
      <c r="B183" s="28">
        <v>1.3</v>
      </c>
      <c r="C183" s="28" t="s">
        <v>155</v>
      </c>
      <c r="D183" s="28"/>
      <c r="E183" s="21"/>
      <c r="F183" s="21"/>
      <c r="G183" s="21"/>
      <c r="H183" s="22"/>
      <c r="I183" s="21"/>
      <c r="J183" s="31"/>
      <c r="K183" s="2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</row>
    <row r="184" spans="1:36" ht="14.25" customHeight="1" x14ac:dyDescent="0.35">
      <c r="A184" s="66"/>
      <c r="B184" s="66"/>
      <c r="C184" s="66" t="s">
        <v>156</v>
      </c>
      <c r="D184" s="66"/>
      <c r="E184" s="66"/>
      <c r="F184" s="66"/>
      <c r="G184" s="66"/>
      <c r="H184" s="67" t="s">
        <v>19</v>
      </c>
      <c r="I184" s="68"/>
      <c r="J184" s="69"/>
      <c r="K184" s="69">
        <f t="shared" ref="K184:K208" si="115">W184</f>
        <v>9172.315751622049</v>
      </c>
      <c r="L184" s="69">
        <f>SUMIFS('BS Actual MTM - Aug 26'!E:E,'BS Actual MTM - Aug 26'!$R:$R,$C184)/10^6</f>
        <v>8861.2684577399905</v>
      </c>
      <c r="M184" s="69">
        <f>SUMIFS('BS Actual MTM - Aug 26'!F:F,'BS Actual MTM - Aug 26'!$R:$R,$C184)/10^6</f>
        <v>9070.8061544699885</v>
      </c>
      <c r="N184" s="69">
        <f>SUMIFS('BS Actual MTM - Aug 26'!G:G,'BS Actual MTM - Aug 26'!$R:$R,$C184)/10^6</f>
        <v>8774.7030911399925</v>
      </c>
      <c r="O184" s="69">
        <f>SUMIFS('BS Actual MTM - Aug 26'!H:H,'BS Actual MTM - Aug 26'!$R:$R,$C184)/10^6</f>
        <v>9011.06344230998</v>
      </c>
      <c r="P184" s="69">
        <f>SUMIFS('BS Actual MTM - Aug 26'!I:I,'BS Actual MTM - Aug 26'!$R:$R,$C184)/10^6</f>
        <v>8181.4921240099811</v>
      </c>
      <c r="Q184" s="69">
        <f>SUMIFS('BS Actual MTM - Aug 26'!J:J,'BS Actual MTM - Aug 26'!$R:$R,$C184)/10^6</f>
        <v>17552.525313019974</v>
      </c>
      <c r="R184" s="69">
        <f>SUMIFS('BS Actual MTM - Aug 26'!K:K,'BS Actual MTM - Aug 26'!$R:$R,$C184)/10^6</f>
        <v>4571.3705444299803</v>
      </c>
      <c r="S184" s="69">
        <f>SUMIFS('BS Actual MTM - Aug 26'!L:L,'BS Actual MTM - Aug 26'!$R:$R,$C184)/10^6</f>
        <v>5222.2614128299811</v>
      </c>
      <c r="T184" s="69">
        <f t="shared" ref="T184:AI184" si="116">T181</f>
        <v>6806.6848183241573</v>
      </c>
      <c r="U184" s="69">
        <f t="shared" si="116"/>
        <v>7756.3319063012659</v>
      </c>
      <c r="V184" s="69">
        <f t="shared" si="116"/>
        <v>8351.0277361068129</v>
      </c>
      <c r="W184" s="69">
        <f t="shared" si="116"/>
        <v>9172.315751622049</v>
      </c>
      <c r="X184" s="69">
        <f t="shared" si="116"/>
        <v>9777.6868096548042</v>
      </c>
      <c r="Y184" s="69">
        <f t="shared" si="116"/>
        <v>9962.2898456677303</v>
      </c>
      <c r="Z184" s="69">
        <f t="shared" si="116"/>
        <v>10989.682616684473</v>
      </c>
      <c r="AA184" s="69">
        <f t="shared" si="116"/>
        <v>11458.798682422808</v>
      </c>
      <c r="AB184" s="69">
        <f t="shared" si="116"/>
        <v>12191.941827114706</v>
      </c>
      <c r="AC184" s="69">
        <f t="shared" si="116"/>
        <v>12662.507280152106</v>
      </c>
      <c r="AD184" s="69">
        <f t="shared" si="116"/>
        <v>13396.226380360458</v>
      </c>
      <c r="AE184" s="69">
        <f t="shared" si="116"/>
        <v>13998.535573754174</v>
      </c>
      <c r="AF184" s="69">
        <f t="shared" si="116"/>
        <v>14469.897005811177</v>
      </c>
      <c r="AG184" s="69">
        <f t="shared" si="116"/>
        <v>15203.034555340604</v>
      </c>
      <c r="AH184" s="69">
        <f t="shared" si="116"/>
        <v>15673.794264969818</v>
      </c>
      <c r="AI184" s="69">
        <f t="shared" si="116"/>
        <v>16406.611294646569</v>
      </c>
    </row>
    <row r="185" spans="1:36" ht="14.25" customHeight="1" x14ac:dyDescent="0.35">
      <c r="A185" s="66"/>
      <c r="B185" s="66"/>
      <c r="C185" s="66" t="s">
        <v>157</v>
      </c>
      <c r="D185" s="66"/>
      <c r="E185" s="66"/>
      <c r="F185" s="66"/>
      <c r="G185" s="66"/>
      <c r="H185" s="67" t="s">
        <v>19</v>
      </c>
      <c r="I185" s="66"/>
      <c r="J185" s="69"/>
      <c r="K185" s="69">
        <f t="shared" si="115"/>
        <v>7304.1208485198986</v>
      </c>
      <c r="L185" s="69">
        <f t="shared" ref="L185:AI185" si="117">SUM(L186:L187)</f>
        <v>8379.5770765399793</v>
      </c>
      <c r="M185" s="69">
        <f t="shared" si="117"/>
        <v>9146.54711605999</v>
      </c>
      <c r="N185" s="69">
        <f t="shared" si="117"/>
        <v>6014.5729292099895</v>
      </c>
      <c r="O185" s="69">
        <f t="shared" si="117"/>
        <v>5718.48151073999</v>
      </c>
      <c r="P185" s="69">
        <f t="shared" si="117"/>
        <v>7441.3867403599897</v>
      </c>
      <c r="Q185" s="69">
        <f t="shared" si="117"/>
        <v>6893.9646681899903</v>
      </c>
      <c r="R185" s="69">
        <f t="shared" si="117"/>
        <v>7749.7518016099903</v>
      </c>
      <c r="S185" s="69">
        <f t="shared" si="117"/>
        <v>8144.8431993899894</v>
      </c>
      <c r="T185" s="69">
        <f t="shared" si="117"/>
        <v>7547.5915434705621</v>
      </c>
      <c r="U185" s="69">
        <f t="shared" si="117"/>
        <v>7304.1208485198986</v>
      </c>
      <c r="V185" s="69">
        <f t="shared" si="117"/>
        <v>7547.5915434705621</v>
      </c>
      <c r="W185" s="69">
        <f t="shared" si="117"/>
        <v>7304.1208485198986</v>
      </c>
      <c r="X185" s="69">
        <f t="shared" si="117"/>
        <v>7304.1208485198986</v>
      </c>
      <c r="Y185" s="69">
        <f t="shared" si="117"/>
        <v>8086.7052251470304</v>
      </c>
      <c r="Z185" s="69">
        <f t="shared" si="117"/>
        <v>7304.1208485198986</v>
      </c>
      <c r="AA185" s="69">
        <f t="shared" si="117"/>
        <v>7547.5915434705621</v>
      </c>
      <c r="AB185" s="69">
        <f t="shared" si="117"/>
        <v>7304.1208485198986</v>
      </c>
      <c r="AC185" s="69">
        <f t="shared" si="117"/>
        <v>7547.5915434705621</v>
      </c>
      <c r="AD185" s="69">
        <f t="shared" si="117"/>
        <v>7304.1208485198986</v>
      </c>
      <c r="AE185" s="69">
        <f t="shared" si="117"/>
        <v>7304.1208485198986</v>
      </c>
      <c r="AF185" s="69">
        <f t="shared" si="117"/>
        <v>7547.5915434705621</v>
      </c>
      <c r="AG185" s="69">
        <f t="shared" si="117"/>
        <v>7304.1208485198986</v>
      </c>
      <c r="AH185" s="69">
        <f t="shared" si="117"/>
        <v>7547.5915434705621</v>
      </c>
      <c r="AI185" s="69">
        <f t="shared" si="117"/>
        <v>7304.1208485198986</v>
      </c>
    </row>
    <row r="186" spans="1:36" ht="14.25" customHeight="1" x14ac:dyDescent="0.35">
      <c r="A186" s="66"/>
      <c r="B186" s="66"/>
      <c r="C186" s="70" t="s">
        <v>158</v>
      </c>
      <c r="D186" s="66"/>
      <c r="E186" s="66"/>
      <c r="F186" s="66"/>
      <c r="G186" s="66"/>
      <c r="H186" s="67" t="s">
        <v>19</v>
      </c>
      <c r="I186" s="68"/>
      <c r="J186" s="69"/>
      <c r="K186" s="69">
        <f t="shared" si="115"/>
        <v>7304.1208485198986</v>
      </c>
      <c r="L186" s="69">
        <f>SUMIFS('BS Actual MTM - Aug 26'!E:E,'BS Actual MTM - Aug 26'!$R:$R,$C186)/10^6</f>
        <v>8379.5770765399793</v>
      </c>
      <c r="M186" s="69">
        <f>SUMIFS('BS Actual MTM - Aug 26'!F:F,'BS Actual MTM - Aug 26'!$R:$R,$C186)/10^6</f>
        <v>9146.54711605999</v>
      </c>
      <c r="N186" s="69">
        <f>SUMIFS('BS Actual MTM - Aug 26'!G:G,'BS Actual MTM - Aug 26'!$R:$R,$C186)/10^6</f>
        <v>6014.5729292099895</v>
      </c>
      <c r="O186" s="69">
        <f>SUMIFS('BS Actual MTM - Aug 26'!H:H,'BS Actual MTM - Aug 26'!$R:$R,$C186)/10^6</f>
        <v>5718.48151073999</v>
      </c>
      <c r="P186" s="69">
        <f>SUMIFS('BS Actual MTM - Aug 26'!I:I,'BS Actual MTM - Aug 26'!$R:$R,$C186)/10^6</f>
        <v>7441.3867403599897</v>
      </c>
      <c r="Q186" s="69">
        <f>SUMIFS('BS Actual MTM - Aug 26'!J:J,'BS Actual MTM - Aug 26'!$R:$R,$C186)/10^6</f>
        <v>6893.9646681899903</v>
      </c>
      <c r="R186" s="69">
        <f>SUMIFS('BS Actual MTM - Aug 26'!K:K,'BS Actual MTM - Aug 26'!$R:$R,$C186)/10^6</f>
        <v>7749.7518016099903</v>
      </c>
      <c r="S186" s="69">
        <f>SUMIFS('BS Actual MTM - Aug 26'!L:L,'BS Actual MTM - Aug 26'!$R:$R,$C186)/10^6</f>
        <v>8144.8431993899894</v>
      </c>
      <c r="T186" s="69">
        <f t="shared" ref="T186:AI186" si="118">T17*1.11*T$269/DAY(T$5)</f>
        <v>7547.5915434705621</v>
      </c>
      <c r="U186" s="69">
        <f t="shared" si="118"/>
        <v>7304.1208485198986</v>
      </c>
      <c r="V186" s="69">
        <f t="shared" si="118"/>
        <v>7547.5915434705621</v>
      </c>
      <c r="W186" s="69">
        <f t="shared" si="118"/>
        <v>7304.1208485198986</v>
      </c>
      <c r="X186" s="69">
        <f t="shared" si="118"/>
        <v>7304.1208485198986</v>
      </c>
      <c r="Y186" s="69">
        <f t="shared" si="118"/>
        <v>8086.7052251470304</v>
      </c>
      <c r="Z186" s="69">
        <f t="shared" si="118"/>
        <v>7304.1208485198986</v>
      </c>
      <c r="AA186" s="69">
        <f t="shared" si="118"/>
        <v>7547.5915434705621</v>
      </c>
      <c r="AB186" s="69">
        <f t="shared" si="118"/>
        <v>7304.1208485198986</v>
      </c>
      <c r="AC186" s="69">
        <f t="shared" si="118"/>
        <v>7547.5915434705621</v>
      </c>
      <c r="AD186" s="69">
        <f t="shared" si="118"/>
        <v>7304.1208485198986</v>
      </c>
      <c r="AE186" s="69">
        <f t="shared" si="118"/>
        <v>7304.1208485198986</v>
      </c>
      <c r="AF186" s="69">
        <f t="shared" si="118"/>
        <v>7547.5915434705621</v>
      </c>
      <c r="AG186" s="69">
        <f t="shared" si="118"/>
        <v>7304.1208485198986</v>
      </c>
      <c r="AH186" s="69">
        <f t="shared" si="118"/>
        <v>7547.5915434705621</v>
      </c>
      <c r="AI186" s="69">
        <f t="shared" si="118"/>
        <v>7304.1208485198986</v>
      </c>
    </row>
    <row r="187" spans="1:36" ht="14.25" customHeight="1" x14ac:dyDescent="0.35">
      <c r="A187" s="66"/>
      <c r="B187" s="66"/>
      <c r="C187" s="70" t="s">
        <v>159</v>
      </c>
      <c r="D187" s="66"/>
      <c r="E187" s="66"/>
      <c r="F187" s="66"/>
      <c r="G187" s="66"/>
      <c r="H187" s="67" t="s">
        <v>19</v>
      </c>
      <c r="I187" s="66"/>
      <c r="J187" s="69"/>
      <c r="K187" s="69">
        <f t="shared" si="115"/>
        <v>0</v>
      </c>
      <c r="L187" s="69">
        <f>SUMIFS('BS Actual MTM - Aug 26'!E:E,'BS Actual MTM - Aug 26'!$R:$R,$C187)/10^6</f>
        <v>0</v>
      </c>
      <c r="M187" s="69">
        <f>SUMIFS('BS Actual MTM - Aug 26'!F:F,'BS Actual MTM - Aug 26'!$R:$R,$C187)/10^6</f>
        <v>0</v>
      </c>
      <c r="N187" s="69">
        <f>SUMIFS('BS Actual MTM - Aug 26'!G:G,'BS Actual MTM - Aug 26'!$R:$R,$C187)/10^6</f>
        <v>0</v>
      </c>
      <c r="O187" s="69">
        <f>SUMIFS('BS Actual MTM - Aug 26'!H:H,'BS Actual MTM - Aug 26'!$R:$R,$C187)/10^6</f>
        <v>0</v>
      </c>
      <c r="P187" s="69">
        <f>SUMIFS('BS Actual MTM - Aug 26'!I:I,'BS Actual MTM - Aug 26'!$R:$R,$C187)/10^6</f>
        <v>0</v>
      </c>
      <c r="Q187" s="69">
        <f>SUMIFS('BS Actual MTM - Aug 26'!J:J,'BS Actual MTM - Aug 26'!$R:$R,$C187)/10^6</f>
        <v>0</v>
      </c>
      <c r="R187" s="69">
        <f>SUMIFS('BS Actual MTM - Aug 26'!K:K,'BS Actual MTM - Aug 26'!$R:$R,$C187)/10^6</f>
        <v>0</v>
      </c>
      <c r="S187" s="69">
        <f>SUMIFS('BS Actual MTM - Aug 26'!L:L,'BS Actual MTM - Aug 26'!$R:$R,$C187)/10^6</f>
        <v>0</v>
      </c>
      <c r="T187" s="69">
        <f t="shared" ref="T187:AI187" si="119">S187</f>
        <v>0</v>
      </c>
      <c r="U187" s="69">
        <f t="shared" si="119"/>
        <v>0</v>
      </c>
      <c r="V187" s="69">
        <f t="shared" si="119"/>
        <v>0</v>
      </c>
      <c r="W187" s="69">
        <f t="shared" si="119"/>
        <v>0</v>
      </c>
      <c r="X187" s="69">
        <f t="shared" si="119"/>
        <v>0</v>
      </c>
      <c r="Y187" s="69">
        <f t="shared" si="119"/>
        <v>0</v>
      </c>
      <c r="Z187" s="69">
        <f t="shared" si="119"/>
        <v>0</v>
      </c>
      <c r="AA187" s="69">
        <f t="shared" si="119"/>
        <v>0</v>
      </c>
      <c r="AB187" s="69">
        <f t="shared" si="119"/>
        <v>0</v>
      </c>
      <c r="AC187" s="69">
        <f t="shared" si="119"/>
        <v>0</v>
      </c>
      <c r="AD187" s="69">
        <f t="shared" si="119"/>
        <v>0</v>
      </c>
      <c r="AE187" s="69">
        <f t="shared" si="119"/>
        <v>0</v>
      </c>
      <c r="AF187" s="69">
        <f t="shared" si="119"/>
        <v>0</v>
      </c>
      <c r="AG187" s="69">
        <f t="shared" si="119"/>
        <v>0</v>
      </c>
      <c r="AH187" s="69">
        <f t="shared" si="119"/>
        <v>0</v>
      </c>
      <c r="AI187" s="69">
        <f t="shared" si="119"/>
        <v>0</v>
      </c>
    </row>
    <row r="188" spans="1:36" ht="14.25" customHeight="1" x14ac:dyDescent="0.35">
      <c r="A188" s="66"/>
      <c r="B188" s="66"/>
      <c r="C188" s="66" t="s">
        <v>160</v>
      </c>
      <c r="D188" s="66"/>
      <c r="E188" s="66"/>
      <c r="F188" s="66"/>
      <c r="G188" s="66"/>
      <c r="H188" s="67" t="s">
        <v>19</v>
      </c>
      <c r="I188" s="66"/>
      <c r="J188" s="69"/>
      <c r="K188" s="69">
        <f t="shared" si="115"/>
        <v>6300.3245854500001</v>
      </c>
      <c r="L188" s="69">
        <f t="shared" ref="L188:AI188" si="120">SUM(L189:L191)</f>
        <v>320</v>
      </c>
      <c r="M188" s="69">
        <f t="shared" si="120"/>
        <v>315.22296789999996</v>
      </c>
      <c r="N188" s="69">
        <f t="shared" si="120"/>
        <v>1308.0626219000001</v>
      </c>
      <c r="O188" s="69">
        <f t="shared" si="120"/>
        <v>1502.5126218999999</v>
      </c>
      <c r="P188" s="69">
        <f t="shared" si="120"/>
        <v>1998.6765107900001</v>
      </c>
      <c r="Q188" s="69">
        <f t="shared" si="120"/>
        <v>3773.7315304100002</v>
      </c>
      <c r="R188" s="69">
        <f t="shared" si="120"/>
        <v>5108.3898637399998</v>
      </c>
      <c r="S188" s="69">
        <f t="shared" si="120"/>
        <v>6300.3245854500001</v>
      </c>
      <c r="T188" s="69">
        <f t="shared" si="120"/>
        <v>6300.3245854500001</v>
      </c>
      <c r="U188" s="69">
        <f t="shared" si="120"/>
        <v>6300.3245854500001</v>
      </c>
      <c r="V188" s="69">
        <f t="shared" si="120"/>
        <v>6300.3245854500001</v>
      </c>
      <c r="W188" s="69">
        <f t="shared" si="120"/>
        <v>6300.3245854500001</v>
      </c>
      <c r="X188" s="69">
        <f t="shared" si="120"/>
        <v>6300.3245854500001</v>
      </c>
      <c r="Y188" s="69">
        <f t="shared" si="120"/>
        <v>6300.3245854500001</v>
      </c>
      <c r="Z188" s="69">
        <f t="shared" si="120"/>
        <v>6300.3245854500001</v>
      </c>
      <c r="AA188" s="69">
        <f t="shared" si="120"/>
        <v>6300.3245854500001</v>
      </c>
      <c r="AB188" s="69">
        <f t="shared" si="120"/>
        <v>6300.3245854500001</v>
      </c>
      <c r="AC188" s="69">
        <f t="shared" si="120"/>
        <v>6300.3245854500001</v>
      </c>
      <c r="AD188" s="69">
        <f t="shared" si="120"/>
        <v>6300.3245854500001</v>
      </c>
      <c r="AE188" s="69">
        <f t="shared" si="120"/>
        <v>6300.3245854500001</v>
      </c>
      <c r="AF188" s="69">
        <f t="shared" si="120"/>
        <v>6300.3245854500001</v>
      </c>
      <c r="AG188" s="69">
        <f t="shared" si="120"/>
        <v>6300.3245854500001</v>
      </c>
      <c r="AH188" s="69">
        <f t="shared" si="120"/>
        <v>6300.3245854500001</v>
      </c>
      <c r="AI188" s="69">
        <f t="shared" si="120"/>
        <v>6300.3245854500001</v>
      </c>
    </row>
    <row r="189" spans="1:36" ht="14.25" customHeight="1" x14ac:dyDescent="0.35">
      <c r="A189" s="66"/>
      <c r="B189" s="66"/>
      <c r="C189" s="70" t="s">
        <v>161</v>
      </c>
      <c r="D189" s="66"/>
      <c r="E189" s="66"/>
      <c r="F189" s="66"/>
      <c r="G189" s="66"/>
      <c r="H189" s="67" t="s">
        <v>19</v>
      </c>
      <c r="I189" s="66"/>
      <c r="J189" s="69"/>
      <c r="K189" s="69">
        <f t="shared" si="115"/>
        <v>285.08262189999999</v>
      </c>
      <c r="L189" s="69">
        <f>SUMIFS('BS Actual MTM - Aug 26'!E:E,'BS Actual MTM - Aug 26'!$R:$R,$C189)/10^6</f>
        <v>320</v>
      </c>
      <c r="M189" s="69">
        <f>SUMIFS('BS Actual MTM - Aug 26'!F:F,'BS Actual MTM - Aug 26'!$R:$R,$C189)/10^6</f>
        <v>315.22296789999996</v>
      </c>
      <c r="N189" s="69">
        <f>SUMIFS('BS Actual MTM - Aug 26'!G:G,'BS Actual MTM - Aug 26'!$R:$R,$C189)/10^6</f>
        <v>308.06262189999995</v>
      </c>
      <c r="O189" s="69">
        <f>SUMIFS('BS Actual MTM - Aug 26'!H:H,'BS Actual MTM - Aug 26'!$R:$R,$C189)/10^6</f>
        <v>502.5126219</v>
      </c>
      <c r="P189" s="69">
        <f>SUMIFS('BS Actual MTM - Aug 26'!I:I,'BS Actual MTM - Aug 26'!$R:$R,$C189)/10^6</f>
        <v>497.41262189999998</v>
      </c>
      <c r="Q189" s="69">
        <f>SUMIFS('BS Actual MTM - Aug 26'!J:J,'BS Actual MTM - Aug 26'!$R:$R,$C189)/10^6</f>
        <v>495.62151080000001</v>
      </c>
      <c r="R189" s="69">
        <f>SUMIFS('BS Actual MTM - Aug 26'!K:K,'BS Actual MTM - Aug 26'!$R:$R,$C189)/10^6</f>
        <v>289.89373301999996</v>
      </c>
      <c r="S189" s="69">
        <f>SUMIFS('BS Actual MTM - Aug 26'!L:L,'BS Actual MTM - Aug 26'!$R:$R,$C189)/10^6</f>
        <v>285.08262189999999</v>
      </c>
      <c r="T189" s="69">
        <f t="shared" ref="T189:AI189" si="121">S189</f>
        <v>285.08262189999999</v>
      </c>
      <c r="U189" s="69">
        <f t="shared" si="121"/>
        <v>285.08262189999999</v>
      </c>
      <c r="V189" s="69">
        <f t="shared" si="121"/>
        <v>285.08262189999999</v>
      </c>
      <c r="W189" s="69">
        <f t="shared" si="121"/>
        <v>285.08262189999999</v>
      </c>
      <c r="X189" s="69">
        <f t="shared" si="121"/>
        <v>285.08262189999999</v>
      </c>
      <c r="Y189" s="69">
        <f t="shared" si="121"/>
        <v>285.08262189999999</v>
      </c>
      <c r="Z189" s="69">
        <f t="shared" si="121"/>
        <v>285.08262189999999</v>
      </c>
      <c r="AA189" s="69">
        <f t="shared" si="121"/>
        <v>285.08262189999999</v>
      </c>
      <c r="AB189" s="69">
        <f t="shared" si="121"/>
        <v>285.08262189999999</v>
      </c>
      <c r="AC189" s="69">
        <f t="shared" si="121"/>
        <v>285.08262189999999</v>
      </c>
      <c r="AD189" s="69">
        <f t="shared" si="121"/>
        <v>285.08262189999999</v>
      </c>
      <c r="AE189" s="69">
        <f t="shared" si="121"/>
        <v>285.08262189999999</v>
      </c>
      <c r="AF189" s="69">
        <f t="shared" si="121"/>
        <v>285.08262189999999</v>
      </c>
      <c r="AG189" s="69">
        <f t="shared" si="121"/>
        <v>285.08262189999999</v>
      </c>
      <c r="AH189" s="69">
        <f t="shared" si="121"/>
        <v>285.08262189999999</v>
      </c>
      <c r="AI189" s="69">
        <f t="shared" si="121"/>
        <v>285.08262189999999</v>
      </c>
    </row>
    <row r="190" spans="1:36" ht="14.25" customHeight="1" x14ac:dyDescent="0.35">
      <c r="A190" s="66"/>
      <c r="B190" s="66"/>
      <c r="C190" s="70" t="s">
        <v>162</v>
      </c>
      <c r="D190" s="66"/>
      <c r="E190" s="66"/>
      <c r="F190" s="66"/>
      <c r="G190" s="66"/>
      <c r="H190" s="67" t="s">
        <v>19</v>
      </c>
      <c r="I190" s="66"/>
      <c r="J190" s="69"/>
      <c r="K190" s="69">
        <f t="shared" si="115"/>
        <v>5631.9111111100001</v>
      </c>
      <c r="L190" s="69">
        <f>SUMIFS('BS Actual MTM - Aug 26'!E:E,'BS Actual MTM - Aug 26'!$R:$R,$C190)/10^6</f>
        <v>0</v>
      </c>
      <c r="M190" s="69">
        <f>SUMIFS('BS Actual MTM - Aug 26'!F:F,'BS Actual MTM - Aug 26'!$R:$R,$C190)/10^6</f>
        <v>0</v>
      </c>
      <c r="N190" s="69">
        <f>SUMIFS('BS Actual MTM - Aug 26'!G:G,'BS Actual MTM - Aug 26'!$R:$R,$C190)/10^6</f>
        <v>0</v>
      </c>
      <c r="O190" s="69">
        <f>SUMIFS('BS Actual MTM - Aug 26'!H:H,'BS Actual MTM - Aug 26'!$R:$R,$C190)/10^6</f>
        <v>0</v>
      </c>
      <c r="P190" s="69">
        <f>SUMIFS('BS Actual MTM - Aug 26'!I:I,'BS Actual MTM - Aug 26'!$R:$R,$C190)/10^6</f>
        <v>501.26388888999998</v>
      </c>
      <c r="Q190" s="69">
        <f>SUMIFS('BS Actual MTM - Aug 26'!J:J,'BS Actual MTM - Aug 26'!$R:$R,$C190)/10^6</f>
        <v>2910.7236116100003</v>
      </c>
      <c r="R190" s="69">
        <f>SUMIFS('BS Actual MTM - Aug 26'!K:K,'BS Actual MTM - Aug 26'!$R:$R,$C190)/10^6</f>
        <v>4435.1652782800002</v>
      </c>
      <c r="S190" s="69">
        <f>SUMIFS('BS Actual MTM - Aug 26'!L:L,'BS Actual MTM - Aug 26'!$R:$R,$C190)/10^6</f>
        <v>5631.9111111100001</v>
      </c>
      <c r="T190" s="69">
        <f t="shared" ref="T190:AI190" si="122">S190</f>
        <v>5631.9111111100001</v>
      </c>
      <c r="U190" s="69">
        <f t="shared" si="122"/>
        <v>5631.9111111100001</v>
      </c>
      <c r="V190" s="69">
        <f t="shared" si="122"/>
        <v>5631.9111111100001</v>
      </c>
      <c r="W190" s="69">
        <f t="shared" si="122"/>
        <v>5631.9111111100001</v>
      </c>
      <c r="X190" s="69">
        <f t="shared" si="122"/>
        <v>5631.9111111100001</v>
      </c>
      <c r="Y190" s="69">
        <f t="shared" si="122"/>
        <v>5631.9111111100001</v>
      </c>
      <c r="Z190" s="69">
        <f t="shared" si="122"/>
        <v>5631.9111111100001</v>
      </c>
      <c r="AA190" s="69">
        <f t="shared" si="122"/>
        <v>5631.9111111100001</v>
      </c>
      <c r="AB190" s="69">
        <f t="shared" si="122"/>
        <v>5631.9111111100001</v>
      </c>
      <c r="AC190" s="69">
        <f t="shared" si="122"/>
        <v>5631.9111111100001</v>
      </c>
      <c r="AD190" s="69">
        <f t="shared" si="122"/>
        <v>5631.9111111100001</v>
      </c>
      <c r="AE190" s="69">
        <f t="shared" si="122"/>
        <v>5631.9111111100001</v>
      </c>
      <c r="AF190" s="69">
        <f t="shared" si="122"/>
        <v>5631.9111111100001</v>
      </c>
      <c r="AG190" s="69">
        <f t="shared" si="122"/>
        <v>5631.9111111100001</v>
      </c>
      <c r="AH190" s="69">
        <f t="shared" si="122"/>
        <v>5631.9111111100001</v>
      </c>
      <c r="AI190" s="69">
        <f t="shared" si="122"/>
        <v>5631.9111111100001</v>
      </c>
    </row>
    <row r="191" spans="1:36" ht="14.25" customHeight="1" x14ac:dyDescent="0.35">
      <c r="A191" s="66"/>
      <c r="B191" s="66"/>
      <c r="C191" s="66" t="s">
        <v>163</v>
      </c>
      <c r="D191" s="66"/>
      <c r="E191" s="66"/>
      <c r="F191" s="66"/>
      <c r="G191" s="66"/>
      <c r="H191" s="67" t="s">
        <v>19</v>
      </c>
      <c r="I191" s="66"/>
      <c r="J191" s="69"/>
      <c r="K191" s="69">
        <f t="shared" si="115"/>
        <v>383.33085244</v>
      </c>
      <c r="L191" s="69">
        <f>SUMIFS('BS Actual MTM - Aug 26'!E:E,'BS Actual MTM - Aug 26'!$R:$R,$C191)/10^6</f>
        <v>0</v>
      </c>
      <c r="M191" s="69">
        <f>SUMIFS('BS Actual MTM - Aug 26'!F:F,'BS Actual MTM - Aug 26'!$R:$R,$C191)/10^6</f>
        <v>0</v>
      </c>
      <c r="N191" s="69">
        <f>SUMIFS('BS Actual MTM - Aug 26'!G:G,'BS Actual MTM - Aug 26'!$R:$R,$C191)/10^6</f>
        <v>1000</v>
      </c>
      <c r="O191" s="69">
        <f>SUMIFS('BS Actual MTM - Aug 26'!H:H,'BS Actual MTM - Aug 26'!$R:$R,$C191)/10^6</f>
        <v>1000</v>
      </c>
      <c r="P191" s="69">
        <f>SUMIFS('BS Actual MTM - Aug 26'!I:I,'BS Actual MTM - Aug 26'!$R:$R,$C191)/10^6</f>
        <v>1000</v>
      </c>
      <c r="Q191" s="69">
        <f>SUMIFS('BS Actual MTM - Aug 26'!J:J,'BS Actual MTM - Aug 26'!$R:$R,$C191)/10^6</f>
        <v>367.38640800000002</v>
      </c>
      <c r="R191" s="69">
        <f>SUMIFS('BS Actual MTM - Aug 26'!K:K,'BS Actual MTM - Aug 26'!$R:$R,$C191)/10^6</f>
        <v>383.33085244</v>
      </c>
      <c r="S191" s="69">
        <f>SUMIFS('BS Actual MTM - Aug 26'!L:L,'BS Actual MTM - Aug 26'!$R:$R,$C191)/10^6</f>
        <v>383.33085244</v>
      </c>
      <c r="T191" s="69">
        <f t="shared" ref="T191:AI191" si="123">S191</f>
        <v>383.33085244</v>
      </c>
      <c r="U191" s="69">
        <f t="shared" si="123"/>
        <v>383.33085244</v>
      </c>
      <c r="V191" s="69">
        <f t="shared" si="123"/>
        <v>383.33085244</v>
      </c>
      <c r="W191" s="69">
        <f t="shared" si="123"/>
        <v>383.33085244</v>
      </c>
      <c r="X191" s="69">
        <f t="shared" si="123"/>
        <v>383.33085244</v>
      </c>
      <c r="Y191" s="69">
        <f t="shared" si="123"/>
        <v>383.33085244</v>
      </c>
      <c r="Z191" s="69">
        <f t="shared" si="123"/>
        <v>383.33085244</v>
      </c>
      <c r="AA191" s="69">
        <f t="shared" si="123"/>
        <v>383.33085244</v>
      </c>
      <c r="AB191" s="69">
        <f t="shared" si="123"/>
        <v>383.33085244</v>
      </c>
      <c r="AC191" s="69">
        <f t="shared" si="123"/>
        <v>383.33085244</v>
      </c>
      <c r="AD191" s="69">
        <f t="shared" si="123"/>
        <v>383.33085244</v>
      </c>
      <c r="AE191" s="69">
        <f t="shared" si="123"/>
        <v>383.33085244</v>
      </c>
      <c r="AF191" s="69">
        <f t="shared" si="123"/>
        <v>383.33085244</v>
      </c>
      <c r="AG191" s="69">
        <f t="shared" si="123"/>
        <v>383.33085244</v>
      </c>
      <c r="AH191" s="69">
        <f t="shared" si="123"/>
        <v>383.33085244</v>
      </c>
      <c r="AI191" s="69">
        <f t="shared" si="123"/>
        <v>383.33085244</v>
      </c>
    </row>
    <row r="192" spans="1:36" ht="14.25" customHeight="1" x14ac:dyDescent="0.35">
      <c r="A192" s="66"/>
      <c r="B192" s="66"/>
      <c r="C192" s="66" t="s">
        <v>108</v>
      </c>
      <c r="D192" s="66"/>
      <c r="E192" s="66"/>
      <c r="F192" s="66"/>
      <c r="G192" s="66"/>
      <c r="H192" s="67" t="s">
        <v>19</v>
      </c>
      <c r="I192" s="68"/>
      <c r="J192" s="69"/>
      <c r="K192" s="69">
        <f t="shared" si="115"/>
        <v>2109.9185264752787</v>
      </c>
      <c r="L192" s="69">
        <f t="shared" ref="L192:AI192" si="124">SUM(L193:L196)</f>
        <v>2450.5125622000201</v>
      </c>
      <c r="M192" s="69">
        <f t="shared" si="124"/>
        <v>2498.6459673900108</v>
      </c>
      <c r="N192" s="69">
        <f t="shared" si="124"/>
        <v>2202.6070065700069</v>
      </c>
      <c r="O192" s="69">
        <f t="shared" si="124"/>
        <v>2422.2741765100041</v>
      </c>
      <c r="P192" s="69">
        <f t="shared" si="124"/>
        <v>2677.1647083800081</v>
      </c>
      <c r="Q192" s="69">
        <f t="shared" si="124"/>
        <v>2338.3548702600042</v>
      </c>
      <c r="R192" s="69">
        <f t="shared" si="124"/>
        <v>2297.5629936000009</v>
      </c>
      <c r="S192" s="69">
        <f t="shared" si="124"/>
        <v>2593.7333307600061</v>
      </c>
      <c r="T192" s="69">
        <f t="shared" si="124"/>
        <v>2123.6863196636214</v>
      </c>
      <c r="U192" s="69">
        <f t="shared" si="124"/>
        <v>2111.0863409489739</v>
      </c>
      <c r="V192" s="69">
        <f t="shared" si="124"/>
        <v>2110.7792377656892</v>
      </c>
      <c r="W192" s="69">
        <f t="shared" si="124"/>
        <v>2109.9185264752787</v>
      </c>
      <c r="X192" s="69">
        <f t="shared" si="124"/>
        <v>2108.8095791113774</v>
      </c>
      <c r="Y192" s="69">
        <f t="shared" si="124"/>
        <v>2107.7787147331906</v>
      </c>
      <c r="Z192" s="69">
        <f t="shared" si="124"/>
        <v>2107.2686903007693</v>
      </c>
      <c r="AA192" s="69">
        <f t="shared" si="124"/>
        <v>2106.5569524564144</v>
      </c>
      <c r="AB192" s="69">
        <f t="shared" si="124"/>
        <v>2106.1467025302181</v>
      </c>
      <c r="AC192" s="69">
        <f t="shared" si="124"/>
        <v>2105.9531960937752</v>
      </c>
      <c r="AD192" s="69">
        <f t="shared" si="124"/>
        <v>2105.7995785927083</v>
      </c>
      <c r="AE192" s="69">
        <f t="shared" si="124"/>
        <v>2105.6441516027367</v>
      </c>
      <c r="AF192" s="69">
        <f t="shared" si="124"/>
        <v>2105.5427537213218</v>
      </c>
      <c r="AG192" s="69">
        <f t="shared" si="124"/>
        <v>2105.4370296101088</v>
      </c>
      <c r="AH192" s="69">
        <f t="shared" si="124"/>
        <v>2105.3699224271431</v>
      </c>
      <c r="AI192" s="69">
        <f t="shared" si="124"/>
        <v>2105.2987177996461</v>
      </c>
    </row>
    <row r="193" spans="1:35" ht="14.25" customHeight="1" x14ac:dyDescent="0.35">
      <c r="A193" s="66"/>
      <c r="B193" s="66"/>
      <c r="C193" s="70" t="s">
        <v>30</v>
      </c>
      <c r="D193" s="66"/>
      <c r="E193" s="66"/>
      <c r="F193" s="66"/>
      <c r="G193" s="66"/>
      <c r="H193" s="67" t="s">
        <v>19</v>
      </c>
      <c r="I193" s="66"/>
      <c r="J193" s="69"/>
      <c r="K193" s="69">
        <f t="shared" si="115"/>
        <v>778.199233150959</v>
      </c>
      <c r="L193" s="69">
        <f>'Business Plan - Model Details'!J407/10^6</f>
        <v>459.24250972999903</v>
      </c>
      <c r="M193" s="69">
        <f>'Business Plan - Model Details'!K407/10^6</f>
        <v>669.85250437999798</v>
      </c>
      <c r="N193" s="69">
        <f>'Business Plan - Model Details'!L407/10^6</f>
        <v>791.57063493999885</v>
      </c>
      <c r="O193" s="69">
        <f>'Business Plan - Model Details'!M407/10^6</f>
        <v>818.16281789999903</v>
      </c>
      <c r="P193" s="69">
        <f>'Business Plan - Model Details'!N407/10^6</f>
        <v>1055.93815984</v>
      </c>
      <c r="Q193" s="69">
        <f>'Business Plan - Model Details'!O407/10^6</f>
        <v>738.10573589999899</v>
      </c>
      <c r="R193" s="69">
        <f>'Business Plan - Model Details'!P407/10^6</f>
        <v>981.31278571999803</v>
      </c>
      <c r="S193" s="69">
        <f>'Business Plan - Model Details'!Q407/10^6</f>
        <v>739.00719253999898</v>
      </c>
      <c r="T193" s="69">
        <f>'Business Plan - Model Details'!R407/10^6</f>
        <v>805.5734074851681</v>
      </c>
      <c r="U193" s="69">
        <f>'Business Plan - Model Details'!S407/10^6</f>
        <v>785.01756803954004</v>
      </c>
      <c r="V193" s="69">
        <f>'Business Plan - Model Details'!T407/10^6</f>
        <v>780.07906827788895</v>
      </c>
      <c r="W193" s="69">
        <f>'Business Plan - Model Details'!U407/10^6</f>
        <v>778.199233150959</v>
      </c>
      <c r="X193" s="69">
        <f>'Business Plan - Model Details'!V407/10^6</f>
        <v>776.82544966231001</v>
      </c>
      <c r="Y193" s="69">
        <f>'Business Plan - Model Details'!W407/10^6</f>
        <v>775.68700647529022</v>
      </c>
      <c r="Z193" s="69">
        <f>'Business Plan - Model Details'!X407/10^6</f>
        <v>775.1573274284242</v>
      </c>
      <c r="AA193" s="69">
        <f>'Business Plan - Model Details'!Y407/10^6</f>
        <v>774.7152615497555</v>
      </c>
      <c r="AB193" s="69">
        <f>'Business Plan - Model Details'!Z407/10^6</f>
        <v>774.3756040426656</v>
      </c>
      <c r="AC193" s="69">
        <f>'Business Plan - Model Details'!AA407/10^6</f>
        <v>774.17792206006823</v>
      </c>
      <c r="AD193" s="69">
        <f>'Business Plan - Model Details'!AB407/10^6</f>
        <v>774.01382214895307</v>
      </c>
      <c r="AE193" s="69">
        <f>'Business Plan - Model Details'!AC407/10^6</f>
        <v>773.89280525686445</v>
      </c>
      <c r="AF193" s="69">
        <f>'Business Plan - Model Details'!AD407/10^6</f>
        <v>773.81172969533282</v>
      </c>
      <c r="AG193" s="69">
        <f>'Business Plan - Model Details'!AE407/10^6</f>
        <v>773.74702132326593</v>
      </c>
      <c r="AH193" s="69">
        <f>'Business Plan - Model Details'!AF407/10^6</f>
        <v>773.69972377875081</v>
      </c>
      <c r="AI193" s="69">
        <f>'Business Plan - Model Details'!AG407/10^6</f>
        <v>773.66582444314145</v>
      </c>
    </row>
    <row r="194" spans="1:35" ht="14.25" customHeight="1" x14ac:dyDescent="0.35">
      <c r="A194" s="66"/>
      <c r="B194" s="66"/>
      <c r="C194" s="70" t="s">
        <v>164</v>
      </c>
      <c r="D194" s="66"/>
      <c r="E194" s="66"/>
      <c r="F194" s="66"/>
      <c r="G194" s="66"/>
      <c r="H194" s="67" t="s">
        <v>19</v>
      </c>
      <c r="I194" s="66"/>
      <c r="J194" s="69"/>
      <c r="K194" s="69">
        <f t="shared" si="115"/>
        <v>148.59354475870271</v>
      </c>
      <c r="L194" s="69">
        <f>SUMIFS('BS Actual MTM - Aug 26'!E:E,'BS Actual MTM - Aug 26'!$R:$R,$C194)/10^6</f>
        <v>821.23101587000303</v>
      </c>
      <c r="M194" s="69">
        <f>SUMIFS('BS Actual MTM - Aug 26'!F:F,'BS Actual MTM - Aug 26'!$R:$R,$C194)/10^6</f>
        <v>505.79912743000398</v>
      </c>
      <c r="N194" s="69">
        <f>SUMIFS('BS Actual MTM - Aug 26'!G:G,'BS Actual MTM - Aug 26'!$R:$R,$C194)/10^6</f>
        <v>284.03260114000398</v>
      </c>
      <c r="O194" s="69">
        <f>SUMIFS('BS Actual MTM - Aug 26'!H:H,'BS Actual MTM - Aug 26'!$R:$R,$C194)/10^6</f>
        <v>418.28515767000505</v>
      </c>
      <c r="P194" s="69">
        <f>SUMIFS('BS Actual MTM - Aug 26'!I:I,'BS Actual MTM - Aug 26'!$R:$R,$C194)/10^6</f>
        <v>575.09539605000498</v>
      </c>
      <c r="Q194" s="69">
        <f>SUMIFS('BS Actual MTM - Aug 26'!J:J,'BS Actual MTM - Aug 26'!$R:$R,$C194)/10^6</f>
        <v>309.790698550005</v>
      </c>
      <c r="R194" s="69">
        <f>SUMIFS('BS Actual MTM - Aug 26'!K:K,'BS Actual MTM - Aug 26'!$R:$R,$C194)/10^6</f>
        <v>238.97346530000499</v>
      </c>
      <c r="S194" s="69">
        <f>SUMIFS('BS Actual MTM - Aug 26'!L:L,'BS Actual MTM - Aug 26'!$R:$R,$C194)/10^6</f>
        <v>494.00277303000598</v>
      </c>
      <c r="T194" s="69">
        <f>('Business Plan - Model Details'!R536+'Business Plan - Model Details'!R692+'Business Plan - Model Details'!R856+'Business Plan - Model Details'!R951)/10^6</f>
        <v>143.40442807079395</v>
      </c>
      <c r="U194" s="69">
        <f>('Business Plan - Model Details'!S536+'Business Plan - Model Details'!S692+'Business Plan - Model Details'!S856+'Business Plan - Model Details'!S951)/10^6</f>
        <v>146.79955555071624</v>
      </c>
      <c r="V194" s="69">
        <f>('Business Plan - Model Details'!T536+'Business Plan - Model Details'!T692+'Business Plan - Model Details'!T856+'Business Plan - Model Details'!T951)/10^6</f>
        <v>148.12624168335222</v>
      </c>
      <c r="W194" s="69">
        <f>('Business Plan - Model Details'!U536+'Business Plan - Model Details'!U692+'Business Plan - Model Details'!U856+'Business Plan - Model Details'!U951)/10^6</f>
        <v>148.59354475870271</v>
      </c>
      <c r="X194" s="69">
        <f>('Business Plan - Model Details'!V536+'Business Plan - Model Details'!V692+'Business Plan - Model Details'!V856+'Business Plan - Model Details'!V951)/10^6</f>
        <v>148.75221636371384</v>
      </c>
      <c r="Y194" s="69">
        <f>('Business Plan - Model Details'!W536+'Business Plan - Model Details'!W692+'Business Plan - Model Details'!W856+'Business Plan - Model Details'!W951)/10^6</f>
        <v>148.80751893073349</v>
      </c>
      <c r="Z194" s="69">
        <f>('Business Plan - Model Details'!X536+'Business Plan - Model Details'!X692+'Business Plan - Model Details'!X856+'Business Plan - Model Details'!X951)/10^6</f>
        <v>148.82335271588278</v>
      </c>
      <c r="AA194" s="69">
        <f>('Business Plan - Model Details'!Y536+'Business Plan - Model Details'!Y692+'Business Plan - Model Details'!Y856+'Business Plan - Model Details'!Y951)/10^6</f>
        <v>148.8152949213187</v>
      </c>
      <c r="AB194" s="69">
        <f>('Business Plan - Model Details'!Z536+'Business Plan - Model Details'!Z692+'Business Plan - Model Details'!Z856+'Business Plan - Model Details'!Z951)/10^6</f>
        <v>148.80736530773279</v>
      </c>
      <c r="AC194" s="69">
        <f>('Business Plan - Model Details'!AA536+'Business Plan - Model Details'!AA692+'Business Plan - Model Details'!AA856+'Business Plan - Model Details'!AA951)/10^6</f>
        <v>148.80201306999339</v>
      </c>
      <c r="AD194" s="69">
        <f>('Business Plan - Model Details'!AB536+'Business Plan - Model Details'!AB692+'Business Plan - Model Details'!AB856+'Business Plan - Model Details'!AB951)/10^6</f>
        <v>148.80020410464903</v>
      </c>
      <c r="AE194" s="69">
        <f>('Business Plan - Model Details'!AC536+'Business Plan - Model Details'!AC692+'Business Plan - Model Details'!AC856+'Business Plan - Model Details'!AC951)/10^6</f>
        <v>148.790655922767</v>
      </c>
      <c r="AF194" s="69">
        <f>('Business Plan - Model Details'!AD536+'Business Plan - Model Details'!AD692+'Business Plan - Model Details'!AD856+'Business Plan - Model Details'!AD951)/10^6</f>
        <v>148.78517010605628</v>
      </c>
      <c r="AG194" s="69">
        <f>('Business Plan - Model Details'!AE536+'Business Plan - Model Details'!AE692+'Business Plan - Model Details'!AE856+'Business Plan - Model Details'!AE951)/10^6</f>
        <v>148.77397041665324</v>
      </c>
      <c r="AH194" s="69">
        <f>('Business Plan - Model Details'!AF536+'Business Plan - Model Details'!AF692+'Business Plan - Model Details'!AF856+'Business Plan - Model Details'!AF951)/10^6</f>
        <v>148.7683766674721</v>
      </c>
      <c r="AI194" s="69">
        <f>('Business Plan - Model Details'!AG536+'Business Plan - Model Details'!AG692+'Business Plan - Model Details'!AG856+'Business Plan - Model Details'!AG951)/10^6</f>
        <v>148.75879115400244</v>
      </c>
    </row>
    <row r="195" spans="1:35" ht="14.25" customHeight="1" x14ac:dyDescent="0.35">
      <c r="A195" s="66"/>
      <c r="B195" s="66"/>
      <c r="C195" s="70" t="s">
        <v>165</v>
      </c>
      <c r="D195" s="66"/>
      <c r="E195" s="66"/>
      <c r="F195" s="66"/>
      <c r="G195" s="66"/>
      <c r="H195" s="67" t="s">
        <v>19</v>
      </c>
      <c r="I195" s="66"/>
      <c r="J195" s="69"/>
      <c r="K195" s="69">
        <f t="shared" si="115"/>
        <v>322.09244756561696</v>
      </c>
      <c r="L195" s="69">
        <f>SUMIFS('BS Actual MTM - Aug 26'!E:E,'BS Actual MTM - Aug 26'!$R:$R,$C195)/10^6</f>
        <v>323.11700703001799</v>
      </c>
      <c r="M195" s="69">
        <f>SUMIFS('BS Actual MTM - Aug 26'!F:F,'BS Actual MTM - Aug 26'!$R:$R,$C195)/10^6</f>
        <v>460.64008513000897</v>
      </c>
      <c r="N195" s="69">
        <f>SUMIFS('BS Actual MTM - Aug 26'!G:G,'BS Actual MTM - Aug 26'!$R:$R,$C195)/10^6</f>
        <v>296.442423790004</v>
      </c>
      <c r="O195" s="69">
        <f>SUMIFS('BS Actual MTM - Aug 26'!H:H,'BS Actual MTM - Aug 26'!$R:$R,$C195)/10^6</f>
        <v>361.60207280000003</v>
      </c>
      <c r="P195" s="69">
        <f>SUMIFS('BS Actual MTM - Aug 26'!I:I,'BS Actual MTM - Aug 26'!$R:$R,$C195)/10^6</f>
        <v>228.47622217000298</v>
      </c>
      <c r="Q195" s="69">
        <f>SUMIFS('BS Actual MTM - Aug 26'!J:J,'BS Actual MTM - Aug 26'!$R:$R,$C195)/10^6</f>
        <v>484.56114080000003</v>
      </c>
      <c r="R195" s="69">
        <f>SUMIFS('BS Actual MTM - Aug 26'!K:K,'BS Actual MTM - Aug 26'!$R:$R,$C195)/10^6</f>
        <v>276.68846136999798</v>
      </c>
      <c r="S195" s="69">
        <f>SUMIFS('BS Actual MTM - Aug 26'!L:L,'BS Actual MTM - Aug 26'!$R:$R,$C195)/10^6</f>
        <v>499.69006373000099</v>
      </c>
      <c r="T195" s="69">
        <f>('Business Plan - Model Details'!R541+'Business Plan - Model Details'!R697+'Business Plan - Model Details'!R861+'Business Plan - Model Details'!R954)/10^6</f>
        <v>313.67518310765939</v>
      </c>
      <c r="U195" s="69">
        <f>('Business Plan - Model Details'!S541+'Business Plan - Model Details'!S697+'Business Plan - Model Details'!S861+'Business Plan - Model Details'!S954)/10^6</f>
        <v>318.2359163587177</v>
      </c>
      <c r="V195" s="69">
        <f>('Business Plan - Model Details'!T541+'Business Plan - Model Details'!T697+'Business Plan - Model Details'!T861+'Business Plan - Model Details'!T954)/10^6</f>
        <v>321.54062680444827</v>
      </c>
      <c r="W195" s="69">
        <f>('Business Plan - Model Details'!U541+'Business Plan - Model Details'!U697+'Business Plan - Model Details'!U861+'Business Plan - Model Details'!U954)/10^6</f>
        <v>322.09244756561696</v>
      </c>
      <c r="X195" s="69">
        <f>('Business Plan - Model Details'!V541+'Business Plan - Model Details'!V697+'Business Plan - Model Details'!V861+'Business Plan - Model Details'!V954)/10^6</f>
        <v>322.19861208535372</v>
      </c>
      <c r="Y195" s="69">
        <f>('Business Plan - Model Details'!W541+'Business Plan - Model Details'!W697+'Business Plan - Model Details'!W861+'Business Plan - Model Details'!W954)/10^6</f>
        <v>322.25088832716693</v>
      </c>
      <c r="Z195" s="69">
        <f>('Business Plan - Model Details'!X541+'Business Plan - Model Details'!X697+'Business Plan - Model Details'!X861+'Business Plan - Model Details'!X954)/10^6</f>
        <v>322.25470915646241</v>
      </c>
      <c r="AA195" s="69">
        <f>('Business Plan - Model Details'!Y541+'Business Plan - Model Details'!Y697+'Business Plan - Model Details'!Y861+'Business Plan - Model Details'!Y954)/10^6</f>
        <v>321.99309498534012</v>
      </c>
      <c r="AB195" s="69">
        <f>('Business Plan - Model Details'!Z541+'Business Plan - Model Details'!Z697+'Business Plan - Model Details'!Z861+'Business Plan - Model Details'!Z954)/10^6</f>
        <v>321.93043217981995</v>
      </c>
      <c r="AC195" s="69">
        <f>('Business Plan - Model Details'!AA541+'Business Plan - Model Details'!AA697+'Business Plan - Model Details'!AA861+'Business Plan - Model Details'!AA954)/10^6</f>
        <v>321.93995996371348</v>
      </c>
      <c r="AD195" s="69">
        <f>('Business Plan - Model Details'!AB541+'Business Plan - Model Details'!AB697+'Business Plan - Model Details'!AB861+'Business Plan - Model Details'!AB954)/10^6</f>
        <v>321.95225133910606</v>
      </c>
      <c r="AE195" s="69">
        <f>('Business Plan - Model Details'!AC541+'Business Plan - Model Details'!AC697+'Business Plan - Model Details'!AC861+'Business Plan - Model Details'!AC954)/10^6</f>
        <v>321.92738942310535</v>
      </c>
      <c r="AF195" s="69">
        <f>('Business Plan - Model Details'!AD541+'Business Plan - Model Details'!AD697+'Business Plan - Model Details'!AD861+'Business Plan - Model Details'!AD954)/10^6</f>
        <v>321.91255291993281</v>
      </c>
      <c r="AG195" s="69">
        <f>('Business Plan - Model Details'!AE541+'Business Plan - Model Details'!AE697+'Business Plan - Model Details'!AE861+'Business Plan - Model Details'!AE954)/10^6</f>
        <v>321.88273687018943</v>
      </c>
      <c r="AH195" s="69">
        <f>('Business Plan - Model Details'!AF541+'Business Plan - Model Details'!AF697+'Business Plan - Model Details'!AF861+'Business Plan - Model Details'!AF954)/10^6</f>
        <v>321.86852098092027</v>
      </c>
      <c r="AI195" s="69">
        <f>('Business Plan - Model Details'!AG541+'Business Plan - Model Details'!AG697+'Business Plan - Model Details'!AG861+'Business Plan - Model Details'!AG954)/10^6</f>
        <v>321.84080120250201</v>
      </c>
    </row>
    <row r="196" spans="1:35" ht="14.25" customHeight="1" x14ac:dyDescent="0.35">
      <c r="A196" s="66"/>
      <c r="B196" s="66"/>
      <c r="C196" s="66" t="s">
        <v>166</v>
      </c>
      <c r="D196" s="66"/>
      <c r="E196" s="66"/>
      <c r="F196" s="66"/>
      <c r="G196" s="66"/>
      <c r="H196" s="67" t="s">
        <v>19</v>
      </c>
      <c r="I196" s="66"/>
      <c r="J196" s="69"/>
      <c r="K196" s="69">
        <f t="shared" si="115"/>
        <v>861.03330100000005</v>
      </c>
      <c r="L196" s="69">
        <f>SUMIFS('BS Actual MTM - Aug 26'!E:E,'BS Actual MTM - Aug 26'!$R:$R,$C196)/10^6</f>
        <v>846.92202956999995</v>
      </c>
      <c r="M196" s="69">
        <f>SUMIFS('BS Actual MTM - Aug 26'!F:F,'BS Actual MTM - Aug 26'!$R:$R,$C196)/10^6</f>
        <v>862.35425044999988</v>
      </c>
      <c r="N196" s="69">
        <f>SUMIFS('BS Actual MTM - Aug 26'!G:G,'BS Actual MTM - Aug 26'!$R:$R,$C196)/10^6</f>
        <v>830.56134670000006</v>
      </c>
      <c r="O196" s="69">
        <f>SUMIFS('BS Actual MTM - Aug 26'!H:H,'BS Actual MTM - Aug 26'!$R:$R,$C196)/10^6</f>
        <v>824.22412813999995</v>
      </c>
      <c r="P196" s="69">
        <f>SUMIFS('BS Actual MTM - Aug 26'!I:I,'BS Actual MTM - Aug 26'!$R:$R,$C196)/10^6</f>
        <v>817.65493031999995</v>
      </c>
      <c r="Q196" s="69">
        <f>SUMIFS('BS Actual MTM - Aug 26'!J:J,'BS Actual MTM - Aug 26'!$R:$R,$C196)/10^6</f>
        <v>805.89729500999999</v>
      </c>
      <c r="R196" s="69">
        <f>SUMIFS('BS Actual MTM - Aug 26'!K:K,'BS Actual MTM - Aug 26'!$R:$R,$C196)/10^6</f>
        <v>800.58828120999999</v>
      </c>
      <c r="S196" s="69">
        <f>SUMIFS('BS Actual MTM - Aug 26'!L:L,'BS Actual MTM - Aug 26'!$R:$R,$C196)/10^6</f>
        <v>861.03330146000008</v>
      </c>
      <c r="T196" s="69">
        <v>861.03330100000005</v>
      </c>
      <c r="U196" s="69">
        <v>861.03330100000005</v>
      </c>
      <c r="V196" s="69">
        <v>861.03330100000005</v>
      </c>
      <c r="W196" s="69">
        <v>861.03330100000005</v>
      </c>
      <c r="X196" s="69">
        <v>861.03330100000005</v>
      </c>
      <c r="Y196" s="69">
        <v>861.03330100000005</v>
      </c>
      <c r="Z196" s="69">
        <v>861.03330100000005</v>
      </c>
      <c r="AA196" s="69">
        <v>861.03330100000005</v>
      </c>
      <c r="AB196" s="69">
        <v>861.03330100000005</v>
      </c>
      <c r="AC196" s="69">
        <v>861.03330100000005</v>
      </c>
      <c r="AD196" s="69">
        <v>861.03330100000005</v>
      </c>
      <c r="AE196" s="69">
        <v>861.03330100000005</v>
      </c>
      <c r="AF196" s="69">
        <v>861.03330100000005</v>
      </c>
      <c r="AG196" s="69">
        <v>861.03330100000005</v>
      </c>
      <c r="AH196" s="69">
        <v>861.03330100000005</v>
      </c>
      <c r="AI196" s="69">
        <v>861.03330100000005</v>
      </c>
    </row>
    <row r="197" spans="1:35" ht="14.25" customHeight="1" x14ac:dyDescent="0.35">
      <c r="A197" s="66"/>
      <c r="B197" s="66"/>
      <c r="C197" s="66" t="s">
        <v>167</v>
      </c>
      <c r="D197" s="66"/>
      <c r="E197" s="66"/>
      <c r="F197" s="66"/>
      <c r="G197" s="66"/>
      <c r="H197" s="67" t="s">
        <v>19</v>
      </c>
      <c r="I197" s="66"/>
      <c r="J197" s="69"/>
      <c r="K197" s="69">
        <f t="shared" si="115"/>
        <v>428.54813385000006</v>
      </c>
      <c r="L197" s="69">
        <f t="shared" ref="L197:AI197" si="125">SUM(L198:L201)</f>
        <v>46.826631539999994</v>
      </c>
      <c r="M197" s="69">
        <f t="shared" si="125"/>
        <v>67.083935320000009</v>
      </c>
      <c r="N197" s="69">
        <f t="shared" si="125"/>
        <v>905.57257102999995</v>
      </c>
      <c r="O197" s="69">
        <f t="shared" si="125"/>
        <v>799.06120751000003</v>
      </c>
      <c r="P197" s="69">
        <f t="shared" si="125"/>
        <v>695.84723561999999</v>
      </c>
      <c r="Q197" s="69">
        <f t="shared" si="125"/>
        <v>615.45588494999993</v>
      </c>
      <c r="R197" s="69">
        <f t="shared" si="125"/>
        <v>519.73587762</v>
      </c>
      <c r="S197" s="69">
        <f t="shared" si="125"/>
        <v>428.54813385000006</v>
      </c>
      <c r="T197" s="69">
        <f t="shared" si="125"/>
        <v>428.54813385000006</v>
      </c>
      <c r="U197" s="69">
        <f t="shared" si="125"/>
        <v>428.54813385000006</v>
      </c>
      <c r="V197" s="69">
        <f t="shared" si="125"/>
        <v>428.54813385000006</v>
      </c>
      <c r="W197" s="69">
        <f t="shared" si="125"/>
        <v>428.54813385000006</v>
      </c>
      <c r="X197" s="69">
        <f t="shared" si="125"/>
        <v>428.54813385000006</v>
      </c>
      <c r="Y197" s="69">
        <f t="shared" si="125"/>
        <v>428.54813385000006</v>
      </c>
      <c r="Z197" s="69">
        <f t="shared" si="125"/>
        <v>428.54813385000006</v>
      </c>
      <c r="AA197" s="69">
        <f t="shared" si="125"/>
        <v>428.54813385000006</v>
      </c>
      <c r="AB197" s="69">
        <f t="shared" si="125"/>
        <v>428.54813385000006</v>
      </c>
      <c r="AC197" s="69">
        <f t="shared" si="125"/>
        <v>428.54813385000006</v>
      </c>
      <c r="AD197" s="69">
        <f t="shared" si="125"/>
        <v>428.54813385000006</v>
      </c>
      <c r="AE197" s="69">
        <f t="shared" si="125"/>
        <v>428.54813385000006</v>
      </c>
      <c r="AF197" s="69">
        <f t="shared" si="125"/>
        <v>428.54813385000006</v>
      </c>
      <c r="AG197" s="69">
        <f t="shared" si="125"/>
        <v>428.54813385000006</v>
      </c>
      <c r="AH197" s="69">
        <f t="shared" si="125"/>
        <v>428.54813385000006</v>
      </c>
      <c r="AI197" s="69">
        <f t="shared" si="125"/>
        <v>428.54813385000006</v>
      </c>
    </row>
    <row r="198" spans="1:35" ht="14.25" customHeight="1" x14ac:dyDescent="0.35">
      <c r="A198" s="66"/>
      <c r="B198" s="66"/>
      <c r="C198" s="70" t="s">
        <v>168</v>
      </c>
      <c r="D198" s="66"/>
      <c r="E198" s="66"/>
      <c r="F198" s="66"/>
      <c r="G198" s="66"/>
      <c r="H198" s="67" t="s">
        <v>19</v>
      </c>
      <c r="I198" s="66"/>
      <c r="J198" s="69"/>
      <c r="K198" s="69">
        <f t="shared" si="115"/>
        <v>15</v>
      </c>
      <c r="L198" s="69">
        <f>SUMIFS('BS Actual MTM - Aug 26'!E:E,'BS Actual MTM - Aug 26'!$R:$R,$C198)/10^6</f>
        <v>2.5</v>
      </c>
      <c r="M198" s="69">
        <f>SUMIFS('BS Actual MTM - Aug 26'!F:F,'BS Actual MTM - Aug 26'!$R:$R,$C198)/10^6</f>
        <v>0</v>
      </c>
      <c r="N198" s="69">
        <f>SUMIFS('BS Actual MTM - Aug 26'!G:G,'BS Actual MTM - Aug 26'!$R:$R,$C198)/10^6</f>
        <v>27.5</v>
      </c>
      <c r="O198" s="69">
        <f>SUMIFS('BS Actual MTM - Aug 26'!H:H,'BS Actual MTM - Aug 26'!$R:$R,$C198)/10^6</f>
        <v>25</v>
      </c>
      <c r="P198" s="69">
        <f>SUMIFS('BS Actual MTM - Aug 26'!I:I,'BS Actual MTM - Aug 26'!$R:$R,$C198)/10^6</f>
        <v>22.5</v>
      </c>
      <c r="Q198" s="69">
        <f>SUMIFS('BS Actual MTM - Aug 26'!J:J,'BS Actual MTM - Aug 26'!$R:$R,$C198)/10^6</f>
        <v>20</v>
      </c>
      <c r="R198" s="69">
        <f>SUMIFS('BS Actual MTM - Aug 26'!K:K,'BS Actual MTM - Aug 26'!$R:$R,$C198)/10^6</f>
        <v>17.5</v>
      </c>
      <c r="S198" s="69">
        <f>SUMIFS('BS Actual MTM - Aug 26'!L:L,'BS Actual MTM - Aug 26'!$R:$R,$C198)/10^6</f>
        <v>15</v>
      </c>
      <c r="T198" s="69">
        <f t="shared" ref="T198:AI198" si="126">S198</f>
        <v>15</v>
      </c>
      <c r="U198" s="69">
        <f t="shared" si="126"/>
        <v>15</v>
      </c>
      <c r="V198" s="69">
        <f t="shared" si="126"/>
        <v>15</v>
      </c>
      <c r="W198" s="69">
        <f t="shared" si="126"/>
        <v>15</v>
      </c>
      <c r="X198" s="69">
        <f t="shared" si="126"/>
        <v>15</v>
      </c>
      <c r="Y198" s="69">
        <f t="shared" si="126"/>
        <v>15</v>
      </c>
      <c r="Z198" s="69">
        <f t="shared" si="126"/>
        <v>15</v>
      </c>
      <c r="AA198" s="69">
        <f t="shared" si="126"/>
        <v>15</v>
      </c>
      <c r="AB198" s="69">
        <f t="shared" si="126"/>
        <v>15</v>
      </c>
      <c r="AC198" s="69">
        <f t="shared" si="126"/>
        <v>15</v>
      </c>
      <c r="AD198" s="69">
        <f t="shared" si="126"/>
        <v>15</v>
      </c>
      <c r="AE198" s="69">
        <f t="shared" si="126"/>
        <v>15</v>
      </c>
      <c r="AF198" s="69">
        <f t="shared" si="126"/>
        <v>15</v>
      </c>
      <c r="AG198" s="69">
        <f t="shared" si="126"/>
        <v>15</v>
      </c>
      <c r="AH198" s="69">
        <f t="shared" si="126"/>
        <v>15</v>
      </c>
      <c r="AI198" s="69">
        <f t="shared" si="126"/>
        <v>15</v>
      </c>
    </row>
    <row r="199" spans="1:35" ht="14.25" customHeight="1" x14ac:dyDescent="0.35">
      <c r="A199" s="66"/>
      <c r="B199" s="66"/>
      <c r="C199" s="70" t="s">
        <v>169</v>
      </c>
      <c r="D199" s="66"/>
      <c r="E199" s="66"/>
      <c r="F199" s="66"/>
      <c r="G199" s="66"/>
      <c r="H199" s="67" t="s">
        <v>19</v>
      </c>
      <c r="I199" s="66"/>
      <c r="J199" s="69"/>
      <c r="K199" s="69">
        <f t="shared" si="115"/>
        <v>12.84133327</v>
      </c>
      <c r="L199" s="69">
        <f>SUMIFS('BS Actual MTM - Aug 26'!E:E,'BS Actual MTM - Aug 26'!$R:$R,$C199)/10^6</f>
        <v>27.257862539999998</v>
      </c>
      <c r="M199" s="69">
        <f>SUMIFS('BS Actual MTM - Aug 26'!F:F,'BS Actual MTM - Aug 26'!$R:$R,$C199)/10^6</f>
        <v>53.564817320000003</v>
      </c>
      <c r="N199" s="69">
        <f>SUMIFS('BS Actual MTM - Aug 26'!G:G,'BS Actual MTM - Aug 26'!$R:$R,$C199)/10^6</f>
        <v>44.558105429999998</v>
      </c>
      <c r="O199" s="69">
        <f>SUMIFS('BS Actual MTM - Aug 26'!H:H,'BS Actual MTM - Aug 26'!$R:$R,$C199)/10^6</f>
        <v>35.551393539999999</v>
      </c>
      <c r="P199" s="69">
        <f>SUMIFS('BS Actual MTM - Aug 26'!I:I,'BS Actual MTM - Aug 26'!$R:$R,$C199)/10^6</f>
        <v>26.544681649999998</v>
      </c>
      <c r="Q199" s="69">
        <f>SUMIFS('BS Actual MTM - Aug 26'!J:J,'BS Actual MTM - Aug 26'!$R:$R,$C199)/10^6</f>
        <v>19.261999929999998</v>
      </c>
      <c r="R199" s="69">
        <f>SUMIFS('BS Actual MTM - Aug 26'!K:K,'BS Actual MTM - Aug 26'!$R:$R,$C199)/10^6</f>
        <v>16.051666600000001</v>
      </c>
      <c r="S199" s="69">
        <f>SUMIFS('BS Actual MTM - Aug 26'!L:L,'BS Actual MTM - Aug 26'!$R:$R,$C199)/10^6</f>
        <v>12.84133327</v>
      </c>
      <c r="T199" s="69">
        <f t="shared" ref="T199:AI199" si="127">S199</f>
        <v>12.84133327</v>
      </c>
      <c r="U199" s="69">
        <f t="shared" si="127"/>
        <v>12.84133327</v>
      </c>
      <c r="V199" s="69">
        <f t="shared" si="127"/>
        <v>12.84133327</v>
      </c>
      <c r="W199" s="69">
        <f t="shared" si="127"/>
        <v>12.84133327</v>
      </c>
      <c r="X199" s="69">
        <f t="shared" si="127"/>
        <v>12.84133327</v>
      </c>
      <c r="Y199" s="69">
        <f t="shared" si="127"/>
        <v>12.84133327</v>
      </c>
      <c r="Z199" s="69">
        <f t="shared" si="127"/>
        <v>12.84133327</v>
      </c>
      <c r="AA199" s="69">
        <f t="shared" si="127"/>
        <v>12.84133327</v>
      </c>
      <c r="AB199" s="69">
        <f t="shared" si="127"/>
        <v>12.84133327</v>
      </c>
      <c r="AC199" s="69">
        <f t="shared" si="127"/>
        <v>12.84133327</v>
      </c>
      <c r="AD199" s="69">
        <f t="shared" si="127"/>
        <v>12.84133327</v>
      </c>
      <c r="AE199" s="69">
        <f t="shared" si="127"/>
        <v>12.84133327</v>
      </c>
      <c r="AF199" s="69">
        <f t="shared" si="127"/>
        <v>12.84133327</v>
      </c>
      <c r="AG199" s="69">
        <f t="shared" si="127"/>
        <v>12.84133327</v>
      </c>
      <c r="AH199" s="69">
        <f t="shared" si="127"/>
        <v>12.84133327</v>
      </c>
      <c r="AI199" s="69">
        <f t="shared" si="127"/>
        <v>12.84133327</v>
      </c>
    </row>
    <row r="200" spans="1:35" ht="14.25" customHeight="1" x14ac:dyDescent="0.35">
      <c r="A200" s="66"/>
      <c r="B200" s="66"/>
      <c r="C200" s="70" t="s">
        <v>170</v>
      </c>
      <c r="D200" s="66"/>
      <c r="E200" s="66"/>
      <c r="F200" s="66"/>
      <c r="G200" s="66"/>
      <c r="H200" s="67" t="s">
        <v>19</v>
      </c>
      <c r="I200" s="66"/>
      <c r="J200" s="69"/>
      <c r="K200" s="69">
        <f t="shared" si="115"/>
        <v>34.706800530000002</v>
      </c>
      <c r="L200" s="69">
        <f>SUMIFS('BS Actual MTM - Aug 26'!E:E,'BS Actual MTM - Aug 26'!$R:$R,$C200)/10^6</f>
        <v>17.068769</v>
      </c>
      <c r="M200" s="69">
        <f>SUMIFS('BS Actual MTM - Aug 26'!F:F,'BS Actual MTM - Aug 26'!$R:$R,$C200)/10^6</f>
        <v>13.519118000000001</v>
      </c>
      <c r="N200" s="69">
        <f>SUMIFS('BS Actual MTM - Aug 26'!G:G,'BS Actual MTM - Aug 26'!$R:$R,$C200)/10^6</f>
        <v>10.014465599999999</v>
      </c>
      <c r="O200" s="69">
        <f>SUMIFS('BS Actual MTM - Aug 26'!H:H,'BS Actual MTM - Aug 26'!$R:$R,$C200)/10^6</f>
        <v>6.5098139699999997</v>
      </c>
      <c r="P200" s="69">
        <f>SUMIFS('BS Actual MTM - Aug 26'!I:I,'BS Actual MTM - Aug 26'!$R:$R,$C200)/10^6</f>
        <v>6.3025539699999999</v>
      </c>
      <c r="Q200" s="69">
        <f>SUMIFS('BS Actual MTM - Aug 26'!J:J,'BS Actual MTM - Aug 26'!$R:$R,$C200)/10^6</f>
        <v>27.193884969999999</v>
      </c>
      <c r="R200" s="69">
        <f>SUMIFS('BS Actual MTM - Aug 26'!K:K,'BS Actual MTM - Aug 26'!$R:$R,$C200)/10^6</f>
        <v>28.684210969999999</v>
      </c>
      <c r="S200" s="69">
        <f>SUMIFS('BS Actual MTM - Aug 26'!L:L,'BS Actual MTM - Aug 26'!$R:$R,$C200)/10^6</f>
        <v>34.706800530000002</v>
      </c>
      <c r="T200" s="69">
        <f t="shared" ref="T200:AI200" si="128">S200</f>
        <v>34.706800530000002</v>
      </c>
      <c r="U200" s="69">
        <f t="shared" si="128"/>
        <v>34.706800530000002</v>
      </c>
      <c r="V200" s="69">
        <f t="shared" si="128"/>
        <v>34.706800530000002</v>
      </c>
      <c r="W200" s="69">
        <f t="shared" si="128"/>
        <v>34.706800530000002</v>
      </c>
      <c r="X200" s="69">
        <f t="shared" si="128"/>
        <v>34.706800530000002</v>
      </c>
      <c r="Y200" s="69">
        <f t="shared" si="128"/>
        <v>34.706800530000002</v>
      </c>
      <c r="Z200" s="69">
        <f t="shared" si="128"/>
        <v>34.706800530000002</v>
      </c>
      <c r="AA200" s="69">
        <f t="shared" si="128"/>
        <v>34.706800530000002</v>
      </c>
      <c r="AB200" s="69">
        <f t="shared" si="128"/>
        <v>34.706800530000002</v>
      </c>
      <c r="AC200" s="69">
        <f t="shared" si="128"/>
        <v>34.706800530000002</v>
      </c>
      <c r="AD200" s="69">
        <f t="shared" si="128"/>
        <v>34.706800530000002</v>
      </c>
      <c r="AE200" s="69">
        <f t="shared" si="128"/>
        <v>34.706800530000002</v>
      </c>
      <c r="AF200" s="69">
        <f t="shared" si="128"/>
        <v>34.706800530000002</v>
      </c>
      <c r="AG200" s="69">
        <f t="shared" si="128"/>
        <v>34.706800530000002</v>
      </c>
      <c r="AH200" s="69">
        <f t="shared" si="128"/>
        <v>34.706800530000002</v>
      </c>
      <c r="AI200" s="69">
        <f t="shared" si="128"/>
        <v>34.706800530000002</v>
      </c>
    </row>
    <row r="201" spans="1:35" ht="14.25" customHeight="1" x14ac:dyDescent="0.35">
      <c r="A201" s="66"/>
      <c r="B201" s="66"/>
      <c r="C201" s="70" t="s">
        <v>171</v>
      </c>
      <c r="D201" s="66"/>
      <c r="E201" s="66"/>
      <c r="F201" s="66"/>
      <c r="G201" s="66"/>
      <c r="H201" s="67" t="s">
        <v>19</v>
      </c>
      <c r="I201" s="66"/>
      <c r="J201" s="69"/>
      <c r="K201" s="69">
        <f t="shared" si="115"/>
        <v>366.00000005000004</v>
      </c>
      <c r="L201" s="69">
        <f>SUMIFS('BS Actual MTM - Aug 26'!E:E,'BS Actual MTM - Aug 26'!$R:$R,$C201)/10^6</f>
        <v>0</v>
      </c>
      <c r="M201" s="69">
        <f>SUMIFS('BS Actual MTM - Aug 26'!F:F,'BS Actual MTM - Aug 26'!$R:$R,$C201)/10^6</f>
        <v>0</v>
      </c>
      <c r="N201" s="69">
        <f>SUMIFS('BS Actual MTM - Aug 26'!G:G,'BS Actual MTM - Aug 26'!$R:$R,$C201)/10^6</f>
        <v>823.5</v>
      </c>
      <c r="O201" s="69">
        <f>SUMIFS('BS Actual MTM - Aug 26'!H:H,'BS Actual MTM - Aug 26'!$R:$R,$C201)/10^6</f>
        <v>732</v>
      </c>
      <c r="P201" s="69">
        <f>SUMIFS('BS Actual MTM - Aug 26'!I:I,'BS Actual MTM - Aug 26'!$R:$R,$C201)/10^6</f>
        <v>640.5</v>
      </c>
      <c r="Q201" s="69">
        <f>SUMIFS('BS Actual MTM - Aug 26'!J:J,'BS Actual MTM - Aug 26'!$R:$R,$C201)/10^6</f>
        <v>549.00000004999993</v>
      </c>
      <c r="R201" s="69">
        <f>SUMIFS('BS Actual MTM - Aug 26'!K:K,'BS Actual MTM - Aug 26'!$R:$R,$C201)/10^6</f>
        <v>457.50000005000004</v>
      </c>
      <c r="S201" s="69">
        <f>SUMIFS('BS Actual MTM - Aug 26'!L:L,'BS Actual MTM - Aug 26'!$R:$R,$C201)/10^6</f>
        <v>366.00000005000004</v>
      </c>
      <c r="T201" s="69">
        <f t="shared" ref="T201:AI201" si="129">S201</f>
        <v>366.00000005000004</v>
      </c>
      <c r="U201" s="69">
        <f t="shared" si="129"/>
        <v>366.00000005000004</v>
      </c>
      <c r="V201" s="69">
        <f t="shared" si="129"/>
        <v>366.00000005000004</v>
      </c>
      <c r="W201" s="69">
        <f t="shared" si="129"/>
        <v>366.00000005000004</v>
      </c>
      <c r="X201" s="69">
        <f t="shared" si="129"/>
        <v>366.00000005000004</v>
      </c>
      <c r="Y201" s="69">
        <f t="shared" si="129"/>
        <v>366.00000005000004</v>
      </c>
      <c r="Z201" s="69">
        <f t="shared" si="129"/>
        <v>366.00000005000004</v>
      </c>
      <c r="AA201" s="69">
        <f t="shared" si="129"/>
        <v>366.00000005000004</v>
      </c>
      <c r="AB201" s="69">
        <f t="shared" si="129"/>
        <v>366.00000005000004</v>
      </c>
      <c r="AC201" s="69">
        <f t="shared" si="129"/>
        <v>366.00000005000004</v>
      </c>
      <c r="AD201" s="69">
        <f t="shared" si="129"/>
        <v>366.00000005000004</v>
      </c>
      <c r="AE201" s="69">
        <f t="shared" si="129"/>
        <v>366.00000005000004</v>
      </c>
      <c r="AF201" s="69">
        <f t="shared" si="129"/>
        <v>366.00000005000004</v>
      </c>
      <c r="AG201" s="69">
        <f t="shared" si="129"/>
        <v>366.00000005000004</v>
      </c>
      <c r="AH201" s="69">
        <f t="shared" si="129"/>
        <v>366.00000005000004</v>
      </c>
      <c r="AI201" s="69">
        <f t="shared" si="129"/>
        <v>366.00000005000004</v>
      </c>
    </row>
    <row r="202" spans="1:35" ht="14.25" customHeight="1" x14ac:dyDescent="0.35">
      <c r="A202" s="66"/>
      <c r="B202" s="66"/>
      <c r="C202" s="66" t="s">
        <v>172</v>
      </c>
      <c r="D202" s="66"/>
      <c r="E202" s="66"/>
      <c r="F202" s="66"/>
      <c r="G202" s="66"/>
      <c r="H202" s="67" t="s">
        <v>19</v>
      </c>
      <c r="I202" s="66"/>
      <c r="J202" s="69"/>
      <c r="K202" s="69">
        <f t="shared" si="115"/>
        <v>896.41393391630277</v>
      </c>
      <c r="L202" s="69">
        <f t="shared" ref="L202:AI202" si="130">SUM(L203:L207)</f>
        <v>269.19747899999999</v>
      </c>
      <c r="M202" s="69">
        <f t="shared" si="130"/>
        <v>343.355186</v>
      </c>
      <c r="N202" s="69">
        <f t="shared" si="130"/>
        <v>409.67292800000001</v>
      </c>
      <c r="O202" s="69">
        <f t="shared" si="130"/>
        <v>570.12735100000009</v>
      </c>
      <c r="P202" s="69">
        <f t="shared" si="130"/>
        <v>732.05892100000005</v>
      </c>
      <c r="Q202" s="69">
        <f t="shared" si="130"/>
        <v>732.34</v>
      </c>
      <c r="R202" s="69">
        <f t="shared" si="130"/>
        <v>852.31260500000008</v>
      </c>
      <c r="S202" s="69">
        <f t="shared" si="130"/>
        <v>1238.0700259400001</v>
      </c>
      <c r="T202" s="69">
        <f t="shared" si="130"/>
        <v>926.29439838017947</v>
      </c>
      <c r="U202" s="69">
        <f t="shared" si="130"/>
        <v>896.41393391630277</v>
      </c>
      <c r="V202" s="69">
        <f t="shared" si="130"/>
        <v>926.29439838017947</v>
      </c>
      <c r="W202" s="69">
        <f t="shared" si="130"/>
        <v>896.41393391630277</v>
      </c>
      <c r="X202" s="69">
        <f t="shared" si="130"/>
        <v>896.41393391630277</v>
      </c>
      <c r="Y202" s="69">
        <f t="shared" si="130"/>
        <v>992.4582839787638</v>
      </c>
      <c r="Z202" s="69">
        <f t="shared" si="130"/>
        <v>896.41393391630277</v>
      </c>
      <c r="AA202" s="69">
        <f t="shared" si="130"/>
        <v>926.29439838017947</v>
      </c>
      <c r="AB202" s="69">
        <f t="shared" si="130"/>
        <v>896.41393391630277</v>
      </c>
      <c r="AC202" s="69">
        <f t="shared" si="130"/>
        <v>926.29439838017947</v>
      </c>
      <c r="AD202" s="69">
        <f t="shared" si="130"/>
        <v>896.41393391630277</v>
      </c>
      <c r="AE202" s="69">
        <f t="shared" si="130"/>
        <v>896.41393391630277</v>
      </c>
      <c r="AF202" s="69">
        <f t="shared" si="130"/>
        <v>926.29439838017947</v>
      </c>
      <c r="AG202" s="69">
        <f t="shared" si="130"/>
        <v>896.41393391630277</v>
      </c>
      <c r="AH202" s="69">
        <f t="shared" si="130"/>
        <v>926.29439838017947</v>
      </c>
      <c r="AI202" s="69">
        <f t="shared" si="130"/>
        <v>896.41393391630277</v>
      </c>
    </row>
    <row r="203" spans="1:35" ht="14.25" customHeight="1" x14ac:dyDescent="0.35">
      <c r="A203" s="66"/>
      <c r="B203" s="66"/>
      <c r="C203" s="70" t="s">
        <v>173</v>
      </c>
      <c r="D203" s="66"/>
      <c r="E203" s="66"/>
      <c r="F203" s="66"/>
      <c r="G203" s="66"/>
      <c r="H203" s="67" t="s">
        <v>19</v>
      </c>
      <c r="I203" s="66"/>
      <c r="J203" s="69"/>
      <c r="K203" s="69">
        <f t="shared" si="115"/>
        <v>65.34815848081243</v>
      </c>
      <c r="L203" s="69">
        <f>SUMIFS('BS Actual MTM - Aug 26'!E:E,'BS Actual MTM - Aug 26'!$R:$R,$C203)/10^6</f>
        <v>0</v>
      </c>
      <c r="M203" s="69">
        <f>SUMIFS('BS Actual MTM - Aug 26'!F:F,'BS Actual MTM - Aug 26'!$R:$R,$C203)/10^6</f>
        <v>0</v>
      </c>
      <c r="N203" s="69">
        <f>SUMIFS('BS Actual MTM - Aug 26'!G:G,'BS Actual MTM - Aug 26'!$R:$R,$C203)/10^6</f>
        <v>0</v>
      </c>
      <c r="O203" s="69">
        <f>SUMIFS('BS Actual MTM - Aug 26'!H:H,'BS Actual MTM - Aug 26'!$R:$R,$C203)/10^6</f>
        <v>0</v>
      </c>
      <c r="P203" s="69">
        <f>SUMIFS('BS Actual MTM - Aug 26'!I:I,'BS Actual MTM - Aug 26'!$R:$R,$C203)/10^6</f>
        <v>0</v>
      </c>
      <c r="Q203" s="69">
        <f>SUMIFS('BS Actual MTM - Aug 26'!J:J,'BS Actual MTM - Aug 26'!$R:$R,$C203)/10^6</f>
        <v>0</v>
      </c>
      <c r="R203" s="69">
        <f>SUMIFS('BS Actual MTM - Aug 26'!K:K,'BS Actual MTM - Aug 26'!$R:$R,$C203)/10^6</f>
        <v>0</v>
      </c>
      <c r="S203" s="69">
        <f>SUMIFS('BS Actual MTM - Aug 26'!L:L,'BS Actual MTM - Aug 26'!$R:$R,$C203)/10^6</f>
        <v>219.509038</v>
      </c>
      <c r="T203" s="69">
        <f t="shared" ref="T203:AI203" si="131">T17*T$279/DAY(T$5)</f>
        <v>67.526430430172852</v>
      </c>
      <c r="U203" s="69">
        <f t="shared" si="131"/>
        <v>65.34815848081243</v>
      </c>
      <c r="V203" s="69">
        <f t="shared" si="131"/>
        <v>67.526430430172852</v>
      </c>
      <c r="W203" s="69">
        <f t="shared" si="131"/>
        <v>65.34815848081243</v>
      </c>
      <c r="X203" s="69">
        <f t="shared" si="131"/>
        <v>65.34815848081243</v>
      </c>
      <c r="Y203" s="69">
        <f t="shared" si="131"/>
        <v>72.349746889470907</v>
      </c>
      <c r="Z203" s="69">
        <f t="shared" si="131"/>
        <v>65.34815848081243</v>
      </c>
      <c r="AA203" s="69">
        <f t="shared" si="131"/>
        <v>67.526430430172852</v>
      </c>
      <c r="AB203" s="69">
        <f t="shared" si="131"/>
        <v>65.34815848081243</v>
      </c>
      <c r="AC203" s="69">
        <f t="shared" si="131"/>
        <v>67.526430430172852</v>
      </c>
      <c r="AD203" s="69">
        <f t="shared" si="131"/>
        <v>65.34815848081243</v>
      </c>
      <c r="AE203" s="69">
        <f t="shared" si="131"/>
        <v>65.34815848081243</v>
      </c>
      <c r="AF203" s="69">
        <f t="shared" si="131"/>
        <v>67.526430430172852</v>
      </c>
      <c r="AG203" s="69">
        <f t="shared" si="131"/>
        <v>65.34815848081243</v>
      </c>
      <c r="AH203" s="69">
        <f t="shared" si="131"/>
        <v>67.526430430172852</v>
      </c>
      <c r="AI203" s="69">
        <f t="shared" si="131"/>
        <v>65.34815848081243</v>
      </c>
    </row>
    <row r="204" spans="1:35" ht="14.25" customHeight="1" x14ac:dyDescent="0.35">
      <c r="A204" s="66"/>
      <c r="B204" s="66"/>
      <c r="C204" s="70" t="s">
        <v>174</v>
      </c>
      <c r="D204" s="66"/>
      <c r="E204" s="66"/>
      <c r="F204" s="66"/>
      <c r="G204" s="66"/>
      <c r="H204" s="67" t="s">
        <v>19</v>
      </c>
      <c r="I204" s="66"/>
      <c r="J204" s="69"/>
      <c r="K204" s="69">
        <f t="shared" si="115"/>
        <v>2.1566720244980328E-14</v>
      </c>
      <c r="L204" s="69">
        <f>SUMIFS('BS Actual MTM - Aug 26'!E:E,'BS Actual MTM - Aug 26'!$R:$R,$C204)/10^6</f>
        <v>2.2351741790771501E-14</v>
      </c>
      <c r="M204" s="69">
        <f>SUMIFS('BS Actual MTM - Aug 26'!F:F,'BS Actual MTM - Aug 26'!$R:$R,$C204)/10^6</f>
        <v>2.2351741790771501E-14</v>
      </c>
      <c r="N204" s="69">
        <f>SUMIFS('BS Actual MTM - Aug 26'!G:G,'BS Actual MTM - Aug 26'!$R:$R,$C204)/10^6</f>
        <v>2.2351741790771501E-14</v>
      </c>
      <c r="O204" s="69">
        <f>SUMIFS('BS Actual MTM - Aug 26'!H:H,'BS Actual MTM - Aug 26'!$R:$R,$C204)/10^6</f>
        <v>2.2351741790771501E-14</v>
      </c>
      <c r="P204" s="69">
        <f>SUMIFS('BS Actual MTM - Aug 26'!I:I,'BS Actual MTM - Aug 26'!$R:$R,$C204)/10^6</f>
        <v>2.2351741790771501E-14</v>
      </c>
      <c r="Q204" s="69">
        <f>SUMIFS('BS Actual MTM - Aug 26'!J:J,'BS Actual MTM - Aug 26'!$R:$R,$C204)/10^6</f>
        <v>2.2351741790771501E-14</v>
      </c>
      <c r="R204" s="69">
        <f>SUMIFS('BS Actual MTM - Aug 26'!K:K,'BS Actual MTM - Aug 26'!$R:$R,$C204)/10^6</f>
        <v>2.2351741790771501E-14</v>
      </c>
      <c r="S204" s="69">
        <f>SUMIFS('BS Actual MTM - Aug 26'!L:L,'BS Actual MTM - Aug 26'!$R:$R,$C204)/10^6</f>
        <v>2.2351741790771501E-14</v>
      </c>
      <c r="T204" s="69">
        <f t="shared" ref="T204:AI204" si="132">T17*T$275/DAY(T$5)</f>
        <v>2.2285610919813006E-14</v>
      </c>
      <c r="U204" s="69">
        <f t="shared" si="132"/>
        <v>2.1566720244980328E-14</v>
      </c>
      <c r="V204" s="69">
        <f t="shared" si="132"/>
        <v>2.2285610919813006E-14</v>
      </c>
      <c r="W204" s="69">
        <f t="shared" si="132"/>
        <v>2.1566720244980328E-14</v>
      </c>
      <c r="X204" s="69">
        <f t="shared" si="132"/>
        <v>2.1566720244980328E-14</v>
      </c>
      <c r="Y204" s="69">
        <f t="shared" si="132"/>
        <v>2.3877440271228222E-14</v>
      </c>
      <c r="Z204" s="69">
        <f t="shared" si="132"/>
        <v>2.1566720244980328E-14</v>
      </c>
      <c r="AA204" s="69">
        <f t="shared" si="132"/>
        <v>2.2285610919813006E-14</v>
      </c>
      <c r="AB204" s="69">
        <f t="shared" si="132"/>
        <v>2.1566720244980328E-14</v>
      </c>
      <c r="AC204" s="69">
        <f t="shared" si="132"/>
        <v>2.2285610919813006E-14</v>
      </c>
      <c r="AD204" s="69">
        <f t="shared" si="132"/>
        <v>2.1566720244980328E-14</v>
      </c>
      <c r="AE204" s="69">
        <f t="shared" si="132"/>
        <v>2.1566720244980328E-14</v>
      </c>
      <c r="AF204" s="69">
        <f t="shared" si="132"/>
        <v>2.2285610919813006E-14</v>
      </c>
      <c r="AG204" s="69">
        <f t="shared" si="132"/>
        <v>2.1566720244980328E-14</v>
      </c>
      <c r="AH204" s="69">
        <f t="shared" si="132"/>
        <v>2.2285610919813006E-14</v>
      </c>
      <c r="AI204" s="69">
        <f t="shared" si="132"/>
        <v>2.1566720244980328E-14</v>
      </c>
    </row>
    <row r="205" spans="1:35" ht="14.25" customHeight="1" x14ac:dyDescent="0.35">
      <c r="A205" s="66"/>
      <c r="B205" s="66"/>
      <c r="C205" s="70" t="s">
        <v>175</v>
      </c>
      <c r="D205" s="66"/>
      <c r="E205" s="66"/>
      <c r="F205" s="66"/>
      <c r="G205" s="66"/>
      <c r="H205" s="67" t="s">
        <v>19</v>
      </c>
      <c r="I205" s="66"/>
      <c r="J205" s="69"/>
      <c r="K205" s="69">
        <f t="shared" si="115"/>
        <v>7.6342170040976969</v>
      </c>
      <c r="L205" s="69">
        <f>SUMIFS('BS Actual MTM - Aug 26'!E:E,'BS Actual MTM - Aug 26'!$R:$R,$C205)/10^6</f>
        <v>0</v>
      </c>
      <c r="M205" s="69">
        <f>SUMIFS('BS Actual MTM - Aug 26'!F:F,'BS Actual MTM - Aug 26'!$R:$R,$C205)/10^6</f>
        <v>7.8033000000000001</v>
      </c>
      <c r="N205" s="69">
        <f>SUMIFS('BS Actual MTM - Aug 26'!G:G,'BS Actual MTM - Aug 26'!$R:$R,$C205)/10^6</f>
        <v>7.8033000000000001</v>
      </c>
      <c r="O205" s="69">
        <f>SUMIFS('BS Actual MTM - Aug 26'!H:H,'BS Actual MTM - Aug 26'!$R:$R,$C205)/10^6</f>
        <v>7.8033000000000001</v>
      </c>
      <c r="P205" s="69">
        <f>SUMIFS('BS Actual MTM - Aug 26'!I:I,'BS Actual MTM - Aug 26'!$R:$R,$C205)/10^6</f>
        <v>7.9120999999999997</v>
      </c>
      <c r="Q205" s="69">
        <f>SUMIFS('BS Actual MTM - Aug 26'!J:J,'BS Actual MTM - Aug 26'!$R:$R,$C205)/10^6</f>
        <v>7.9120999999999997</v>
      </c>
      <c r="R205" s="69">
        <f>SUMIFS('BS Actual MTM - Aug 26'!K:K,'BS Actual MTM - Aug 26'!$R:$R,$C205)/10^6</f>
        <v>7.9120999999999997</v>
      </c>
      <c r="S205" s="69">
        <f>SUMIFS('BS Actual MTM - Aug 26'!L:L,'BS Actual MTM - Aug 26'!$R:$R,$C205)/10^6</f>
        <v>7.9120999999999997</v>
      </c>
      <c r="T205" s="69">
        <f t="shared" ref="T205:AI205" si="133">T17*T$276/DAY(T$5)</f>
        <v>7.8886909042342861</v>
      </c>
      <c r="U205" s="69">
        <f t="shared" si="133"/>
        <v>7.6342170040976969</v>
      </c>
      <c r="V205" s="69">
        <f t="shared" si="133"/>
        <v>7.8886909042342861</v>
      </c>
      <c r="W205" s="69">
        <f t="shared" si="133"/>
        <v>7.6342170040976969</v>
      </c>
      <c r="X205" s="69">
        <f t="shared" si="133"/>
        <v>7.6342170040976969</v>
      </c>
      <c r="Y205" s="69">
        <f t="shared" si="133"/>
        <v>8.4521688259653072</v>
      </c>
      <c r="Z205" s="69">
        <f t="shared" si="133"/>
        <v>7.6342170040976969</v>
      </c>
      <c r="AA205" s="69">
        <f t="shared" si="133"/>
        <v>7.8886909042342861</v>
      </c>
      <c r="AB205" s="69">
        <f t="shared" si="133"/>
        <v>7.6342170040976969</v>
      </c>
      <c r="AC205" s="69">
        <f t="shared" si="133"/>
        <v>7.8886909042342861</v>
      </c>
      <c r="AD205" s="69">
        <f t="shared" si="133"/>
        <v>7.6342170040976969</v>
      </c>
      <c r="AE205" s="69">
        <f t="shared" si="133"/>
        <v>7.6342170040976969</v>
      </c>
      <c r="AF205" s="69">
        <f t="shared" si="133"/>
        <v>7.8886909042342861</v>
      </c>
      <c r="AG205" s="69">
        <f t="shared" si="133"/>
        <v>7.6342170040976969</v>
      </c>
      <c r="AH205" s="69">
        <f t="shared" si="133"/>
        <v>7.8886909042342861</v>
      </c>
      <c r="AI205" s="69">
        <f t="shared" si="133"/>
        <v>7.6342170040976969</v>
      </c>
    </row>
    <row r="206" spans="1:35" ht="14.25" customHeight="1" x14ac:dyDescent="0.35">
      <c r="A206" s="66"/>
      <c r="B206" s="66"/>
      <c r="C206" s="70" t="s">
        <v>176</v>
      </c>
      <c r="D206" s="66"/>
      <c r="E206" s="66"/>
      <c r="F206" s="66"/>
      <c r="G206" s="66"/>
      <c r="H206" s="67" t="s">
        <v>19</v>
      </c>
      <c r="I206" s="66"/>
      <c r="J206" s="69"/>
      <c r="K206" s="69">
        <f t="shared" si="115"/>
        <v>5.1022141583270351</v>
      </c>
      <c r="L206" s="69">
        <f>SUMIFS('BS Actual MTM - Aug 26'!E:E,'BS Actual MTM - Aug 26'!$R:$R,$C206)/10^6</f>
        <v>1.5766610000000001</v>
      </c>
      <c r="M206" s="69">
        <f>SUMIFS('BS Actual MTM - Aug 26'!F:F,'BS Actual MTM - Aug 26'!$R:$R,$C206)/10^6</f>
        <v>1.613326</v>
      </c>
      <c r="N206" s="69">
        <f>SUMIFS('BS Actual MTM - Aug 26'!G:G,'BS Actual MTM - Aug 26'!$R:$R,$C206)/10^6</f>
        <v>1.613326</v>
      </c>
      <c r="O206" s="69">
        <f>SUMIFS('BS Actual MTM - Aug 26'!H:H,'BS Actual MTM - Aug 26'!$R:$R,$C206)/10^6</f>
        <v>1.613326</v>
      </c>
      <c r="P206" s="69">
        <f>SUMIFS('BS Actual MTM - Aug 26'!I:I,'BS Actual MTM - Aug 26'!$R:$R,$C206)/10^6</f>
        <v>2.9816729999999998</v>
      </c>
      <c r="Q206" s="69">
        <f>SUMIFS('BS Actual MTM - Aug 26'!J:J,'BS Actual MTM - Aug 26'!$R:$R,$C206)/10^6</f>
        <v>3.2627519999999999</v>
      </c>
      <c r="R206" s="69">
        <f>SUMIFS('BS Actual MTM - Aug 26'!K:K,'BS Actual MTM - Aug 26'!$R:$R,$C206)/10^6</f>
        <v>3.6295869999999999</v>
      </c>
      <c r="S206" s="69">
        <f>SUMIFS('BS Actual MTM - Aug 26'!L:L,'BS Actual MTM - Aug 26'!$R:$R,$C206)/10^6</f>
        <v>9.4235469399999996</v>
      </c>
      <c r="T206" s="69">
        <f t="shared" ref="T206:AI206" si="134">T17*T$277/DAY(T$5)</f>
        <v>5.2722879636046027</v>
      </c>
      <c r="U206" s="69">
        <f t="shared" si="134"/>
        <v>5.1022141583270351</v>
      </c>
      <c r="V206" s="69">
        <f t="shared" si="134"/>
        <v>5.2722879636046027</v>
      </c>
      <c r="W206" s="69">
        <f t="shared" si="134"/>
        <v>5.1022141583270351</v>
      </c>
      <c r="X206" s="69">
        <f t="shared" si="134"/>
        <v>5.1022141583270351</v>
      </c>
      <c r="Y206" s="69">
        <f t="shared" si="134"/>
        <v>5.6488799610049316</v>
      </c>
      <c r="Z206" s="69">
        <f t="shared" si="134"/>
        <v>5.1022141583270351</v>
      </c>
      <c r="AA206" s="69">
        <f t="shared" si="134"/>
        <v>5.2722879636046027</v>
      </c>
      <c r="AB206" s="69">
        <f t="shared" si="134"/>
        <v>5.1022141583270351</v>
      </c>
      <c r="AC206" s="69">
        <f t="shared" si="134"/>
        <v>5.2722879636046027</v>
      </c>
      <c r="AD206" s="69">
        <f t="shared" si="134"/>
        <v>5.1022141583270351</v>
      </c>
      <c r="AE206" s="69">
        <f t="shared" si="134"/>
        <v>5.1022141583270351</v>
      </c>
      <c r="AF206" s="69">
        <f t="shared" si="134"/>
        <v>5.2722879636046027</v>
      </c>
      <c r="AG206" s="69">
        <f t="shared" si="134"/>
        <v>5.1022141583270351</v>
      </c>
      <c r="AH206" s="69">
        <f t="shared" si="134"/>
        <v>5.2722879636046027</v>
      </c>
      <c r="AI206" s="69">
        <f t="shared" si="134"/>
        <v>5.1022141583270351</v>
      </c>
    </row>
    <row r="207" spans="1:35" ht="14.25" customHeight="1" x14ac:dyDescent="0.35">
      <c r="A207" s="66"/>
      <c r="B207" s="66"/>
      <c r="C207" s="70" t="s">
        <v>177</v>
      </c>
      <c r="D207" s="66"/>
      <c r="E207" s="66"/>
      <c r="F207" s="66"/>
      <c r="G207" s="66"/>
      <c r="H207" s="67" t="s">
        <v>19</v>
      </c>
      <c r="I207" s="66"/>
      <c r="J207" s="69"/>
      <c r="K207" s="69">
        <f t="shared" si="115"/>
        <v>818.32934427306554</v>
      </c>
      <c r="L207" s="69">
        <f>SUMIFS('BS Actual MTM - Aug 26'!E:E,'BS Actual MTM - Aug 26'!$R:$R,$C207)/10^6</f>
        <v>267.62081799999999</v>
      </c>
      <c r="M207" s="69">
        <f>SUMIFS('BS Actual MTM - Aug 26'!F:F,'BS Actual MTM - Aug 26'!$R:$R,$C207)/10^6</f>
        <v>333.93856</v>
      </c>
      <c r="N207" s="69">
        <f>SUMIFS('BS Actual MTM - Aug 26'!G:G,'BS Actual MTM - Aug 26'!$R:$R,$C207)/10^6</f>
        <v>400.25630200000001</v>
      </c>
      <c r="O207" s="69">
        <f>SUMIFS('BS Actual MTM - Aug 26'!H:H,'BS Actual MTM - Aug 26'!$R:$R,$C207)/10^6</f>
        <v>560.71072500000002</v>
      </c>
      <c r="P207" s="69">
        <f>SUMIFS('BS Actual MTM - Aug 26'!I:I,'BS Actual MTM - Aug 26'!$R:$R,$C207)/10^6</f>
        <v>721.16514800000004</v>
      </c>
      <c r="Q207" s="69">
        <f>SUMIFS('BS Actual MTM - Aug 26'!J:J,'BS Actual MTM - Aug 26'!$R:$R,$C207)/10^6</f>
        <v>721.16514800000004</v>
      </c>
      <c r="R207" s="69">
        <f>SUMIFS('BS Actual MTM - Aug 26'!K:K,'BS Actual MTM - Aug 26'!$R:$R,$C207)/10^6</f>
        <v>840.77091800000005</v>
      </c>
      <c r="S207" s="69">
        <f>SUMIFS('BS Actual MTM - Aug 26'!L:L,'BS Actual MTM - Aug 26'!$R:$R,$C207)/10^6</f>
        <v>1001.225341</v>
      </c>
      <c r="T207" s="69">
        <f t="shared" ref="T207:AI207" si="135">T17*T$278/DAY(T$5)</f>
        <v>845.60698908216773</v>
      </c>
      <c r="U207" s="69">
        <f t="shared" si="135"/>
        <v>818.32934427306554</v>
      </c>
      <c r="V207" s="69">
        <f t="shared" si="135"/>
        <v>845.60698908216773</v>
      </c>
      <c r="W207" s="69">
        <f t="shared" si="135"/>
        <v>818.32934427306554</v>
      </c>
      <c r="X207" s="69">
        <f t="shared" si="135"/>
        <v>818.32934427306554</v>
      </c>
      <c r="Y207" s="69">
        <f t="shared" si="135"/>
        <v>906.0074883023226</v>
      </c>
      <c r="Z207" s="69">
        <f t="shared" si="135"/>
        <v>818.32934427306554</v>
      </c>
      <c r="AA207" s="69">
        <f t="shared" si="135"/>
        <v>845.60698908216773</v>
      </c>
      <c r="AB207" s="69">
        <f t="shared" si="135"/>
        <v>818.32934427306554</v>
      </c>
      <c r="AC207" s="69">
        <f t="shared" si="135"/>
        <v>845.60698908216773</v>
      </c>
      <c r="AD207" s="69">
        <f t="shared" si="135"/>
        <v>818.32934427306554</v>
      </c>
      <c r="AE207" s="69">
        <f t="shared" si="135"/>
        <v>818.32934427306554</v>
      </c>
      <c r="AF207" s="69">
        <f t="shared" si="135"/>
        <v>845.60698908216773</v>
      </c>
      <c r="AG207" s="69">
        <f t="shared" si="135"/>
        <v>818.32934427306554</v>
      </c>
      <c r="AH207" s="69">
        <f t="shared" si="135"/>
        <v>845.60698908216773</v>
      </c>
      <c r="AI207" s="69">
        <f t="shared" si="135"/>
        <v>818.32934427306554</v>
      </c>
    </row>
    <row r="208" spans="1:35" ht="14.25" customHeight="1" x14ac:dyDescent="0.35">
      <c r="A208" s="66"/>
      <c r="B208" s="66"/>
      <c r="C208" s="66" t="s">
        <v>178</v>
      </c>
      <c r="D208" s="66"/>
      <c r="E208" s="66"/>
      <c r="F208" s="66"/>
      <c r="G208" s="66"/>
      <c r="H208" s="67" t="s">
        <v>19</v>
      </c>
      <c r="I208" s="66"/>
      <c r="J208" s="69"/>
      <c r="K208" s="69">
        <f t="shared" si="115"/>
        <v>744.50134311000113</v>
      </c>
      <c r="L208" s="69">
        <f>SUMIFS('BS Actual MTM - Aug 26'!E:E,'BS Actual MTM - Aug 26'!$R:$R,$C208)/10^6</f>
        <v>576.08386295000105</v>
      </c>
      <c r="M208" s="69">
        <f>SUMIFS('BS Actual MTM - Aug 26'!F:F,'BS Actual MTM - Aug 26'!$R:$R,$C208)/10^6</f>
        <v>282.43338545000103</v>
      </c>
      <c r="N208" s="69">
        <f>SUMIFS('BS Actual MTM - Aug 26'!G:G,'BS Actual MTM - Aug 26'!$R:$R,$C208)/10^6</f>
        <v>190.922399450001</v>
      </c>
      <c r="O208" s="69">
        <f>SUMIFS('BS Actual MTM - Aug 26'!H:H,'BS Actual MTM - Aug 26'!$R:$R,$C208)/10^6</f>
        <v>752.12581555000099</v>
      </c>
      <c r="P208" s="69">
        <f>SUMIFS('BS Actual MTM - Aug 26'!I:I,'BS Actual MTM - Aug 26'!$R:$R,$C208)/10^6</f>
        <v>116.53962191000059</v>
      </c>
      <c r="Q208" s="69">
        <f>SUMIFS('BS Actual MTM - Aug 26'!J:J,'BS Actual MTM - Aug 26'!$R:$R,$C208)/10^6</f>
        <v>278.3643454500006</v>
      </c>
      <c r="R208" s="69">
        <f>SUMIFS('BS Actual MTM - Aug 26'!K:K,'BS Actual MTM - Aug 26'!$R:$R,$C208)/10^6</f>
        <v>1004.0381028200009</v>
      </c>
      <c r="S208" s="69">
        <f>SUMIFS('BS Actual MTM - Aug 26'!L:L,'BS Actual MTM - Aug 26'!$R:$R,$C208)/10^6</f>
        <v>744.50134311000113</v>
      </c>
      <c r="T208" s="69">
        <f t="shared" ref="T208:AI208" si="136">S208</f>
        <v>744.50134311000113</v>
      </c>
      <c r="U208" s="69">
        <f t="shared" si="136"/>
        <v>744.50134311000113</v>
      </c>
      <c r="V208" s="69">
        <f t="shared" si="136"/>
        <v>744.50134311000113</v>
      </c>
      <c r="W208" s="69">
        <f t="shared" si="136"/>
        <v>744.50134311000113</v>
      </c>
      <c r="X208" s="69">
        <f t="shared" si="136"/>
        <v>744.50134311000113</v>
      </c>
      <c r="Y208" s="69">
        <f t="shared" si="136"/>
        <v>744.50134311000113</v>
      </c>
      <c r="Z208" s="69">
        <f t="shared" si="136"/>
        <v>744.50134311000113</v>
      </c>
      <c r="AA208" s="69">
        <f t="shared" si="136"/>
        <v>744.50134311000113</v>
      </c>
      <c r="AB208" s="69">
        <f t="shared" si="136"/>
        <v>744.50134311000113</v>
      </c>
      <c r="AC208" s="69">
        <f t="shared" si="136"/>
        <v>744.50134311000113</v>
      </c>
      <c r="AD208" s="69">
        <f t="shared" si="136"/>
        <v>744.50134311000113</v>
      </c>
      <c r="AE208" s="69">
        <f t="shared" si="136"/>
        <v>744.50134311000113</v>
      </c>
      <c r="AF208" s="69">
        <f t="shared" si="136"/>
        <v>744.50134311000113</v>
      </c>
      <c r="AG208" s="69">
        <f t="shared" si="136"/>
        <v>744.50134311000113</v>
      </c>
      <c r="AH208" s="69">
        <f t="shared" si="136"/>
        <v>744.50134311000113</v>
      </c>
      <c r="AI208" s="69">
        <f t="shared" si="136"/>
        <v>744.50134311000113</v>
      </c>
    </row>
    <row r="209" spans="1:35" ht="14.25" customHeight="1" x14ac:dyDescent="0.35">
      <c r="A209" s="66"/>
      <c r="B209" s="66"/>
      <c r="C209" s="71" t="s">
        <v>179</v>
      </c>
      <c r="D209" s="71"/>
      <c r="E209" s="71"/>
      <c r="F209" s="71"/>
      <c r="G209" s="71"/>
      <c r="H209" s="72" t="s">
        <v>19</v>
      </c>
      <c r="I209" s="71"/>
      <c r="J209" s="73"/>
      <c r="K209" s="73">
        <f t="shared" ref="K209:AI209" si="137">SUM(K184,K186:K187,K189:K191,K193:K196,K198:K201,K203:K208)</f>
        <v>26956.143122943533</v>
      </c>
      <c r="L209" s="73">
        <f t="shared" si="137"/>
        <v>20903.466069969989</v>
      </c>
      <c r="M209" s="73">
        <f t="shared" si="137"/>
        <v>21724.094712589987</v>
      </c>
      <c r="N209" s="73">
        <f t="shared" si="137"/>
        <v>19806.113547299992</v>
      </c>
      <c r="O209" s="73">
        <f t="shared" si="137"/>
        <v>20775.646125519972</v>
      </c>
      <c r="P209" s="73">
        <f t="shared" si="137"/>
        <v>21843.165862069978</v>
      </c>
      <c r="Q209" s="73">
        <f t="shared" si="137"/>
        <v>32184.736612279972</v>
      </c>
      <c r="R209" s="73">
        <f t="shared" si="137"/>
        <v>22103.161788819976</v>
      </c>
      <c r="S209" s="73">
        <f t="shared" si="137"/>
        <v>24672.282031329985</v>
      </c>
      <c r="T209" s="73">
        <f t="shared" si="137"/>
        <v>24877.631142248523</v>
      </c>
      <c r="U209" s="73">
        <f t="shared" si="137"/>
        <v>25541.327092096442</v>
      </c>
      <c r="V209" s="73">
        <f t="shared" si="137"/>
        <v>26409.066978133251</v>
      </c>
      <c r="W209" s="73">
        <f t="shared" si="137"/>
        <v>26956.143122943533</v>
      </c>
      <c r="X209" s="73">
        <f t="shared" si="137"/>
        <v>27560.405233612386</v>
      </c>
      <c r="Y209" s="73">
        <f t="shared" si="137"/>
        <v>28622.606131936718</v>
      </c>
      <c r="Z209" s="73">
        <f t="shared" si="137"/>
        <v>28770.86015183145</v>
      </c>
      <c r="AA209" s="73">
        <f t="shared" si="137"/>
        <v>29512.615639139967</v>
      </c>
      <c r="AB209" s="73">
        <f t="shared" si="137"/>
        <v>29971.997374491129</v>
      </c>
      <c r="AC209" s="73">
        <f t="shared" si="137"/>
        <v>30715.720480506632</v>
      </c>
      <c r="AD209" s="73">
        <f t="shared" si="137"/>
        <v>31175.934803799373</v>
      </c>
      <c r="AE209" s="73">
        <f t="shared" si="137"/>
        <v>31778.088570203112</v>
      </c>
      <c r="AF209" s="73">
        <f t="shared" si="137"/>
        <v>32522.699763793247</v>
      </c>
      <c r="AG209" s="73">
        <f t="shared" si="137"/>
        <v>32982.380429796918</v>
      </c>
      <c r="AH209" s="73">
        <f t="shared" si="137"/>
        <v>33726.424191657708</v>
      </c>
      <c r="AI209" s="73">
        <f t="shared" si="137"/>
        <v>34185.818857292426</v>
      </c>
    </row>
    <row r="210" spans="1:35" ht="14.25" customHeight="1" x14ac:dyDescent="0.35">
      <c r="A210" s="66"/>
      <c r="B210" s="66"/>
      <c r="C210" s="66" t="s">
        <v>180</v>
      </c>
      <c r="D210" s="66"/>
      <c r="E210" s="66"/>
      <c r="F210" s="66"/>
      <c r="G210" s="66"/>
      <c r="H210" s="67" t="s">
        <v>19</v>
      </c>
      <c r="I210" s="66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69"/>
    </row>
    <row r="211" spans="1:35" ht="14.25" customHeight="1" x14ac:dyDescent="0.35">
      <c r="A211" s="66"/>
      <c r="B211" s="66"/>
      <c r="C211" s="70" t="s">
        <v>181</v>
      </c>
      <c r="D211" s="66"/>
      <c r="E211" s="66"/>
      <c r="F211" s="66"/>
      <c r="G211" s="66"/>
      <c r="H211" s="67" t="s">
        <v>19</v>
      </c>
      <c r="I211" s="66"/>
      <c r="J211" s="69"/>
      <c r="K211" s="66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69"/>
    </row>
    <row r="212" spans="1:35" ht="14.25" customHeight="1" x14ac:dyDescent="0.35">
      <c r="A212" s="66"/>
      <c r="B212" s="66"/>
      <c r="C212" s="74" t="s">
        <v>182</v>
      </c>
      <c r="D212" s="66"/>
      <c r="E212" s="66"/>
      <c r="F212" s="66"/>
      <c r="G212" s="66"/>
      <c r="H212" s="67" t="s">
        <v>19</v>
      </c>
      <c r="I212" s="68"/>
      <c r="J212" s="69"/>
      <c r="K212" s="69">
        <f>W212</f>
        <v>14905.088442</v>
      </c>
      <c r="L212" s="69">
        <f>SUMIFS('BS Actual MTM - Aug 26'!E:E,'BS Actual MTM - Aug 26'!$R:$R,$C212)/10^6</f>
        <v>14815.288441999999</v>
      </c>
      <c r="M212" s="69">
        <f>SUMIFS('BS Actual MTM - Aug 26'!F:F,'BS Actual MTM - Aug 26'!$R:$R,$C212)/10^6</f>
        <v>14815.288441999999</v>
      </c>
      <c r="N212" s="69">
        <f>SUMIFS('BS Actual MTM - Aug 26'!G:G,'BS Actual MTM - Aug 26'!$R:$R,$C212)/10^6</f>
        <v>14815.288441999999</v>
      </c>
      <c r="O212" s="69">
        <f>SUMIFS('BS Actual MTM - Aug 26'!H:H,'BS Actual MTM - Aug 26'!$R:$R,$C212)/10^6</f>
        <v>14815.288441999999</v>
      </c>
      <c r="P212" s="69">
        <f>SUMIFS('BS Actual MTM - Aug 26'!I:I,'BS Actual MTM - Aug 26'!$R:$R,$C212)/10^6</f>
        <v>14815.288441999999</v>
      </c>
      <c r="Q212" s="69">
        <f>SUMIFS('BS Actual MTM - Aug 26'!J:J,'BS Actual MTM - Aug 26'!$R:$R,$C212)/10^6</f>
        <v>14815.288441999999</v>
      </c>
      <c r="R212" s="69">
        <f>SUMIFS('BS Actual MTM - Aug 26'!K:K,'BS Actual MTM - Aug 26'!$R:$R,$C212)/10^6</f>
        <v>14815.288441999999</v>
      </c>
      <c r="S212" s="69">
        <f>SUMIFS('BS Actual MTM - Aug 26'!L:L,'BS Actual MTM - Aug 26'!$R:$R,$C212)/10^6</f>
        <v>14905.088442</v>
      </c>
      <c r="T212" s="69">
        <f t="shared" ref="T212:AI212" si="138">S212-T165</f>
        <v>14905.088442</v>
      </c>
      <c r="U212" s="69">
        <f t="shared" si="138"/>
        <v>14905.088442</v>
      </c>
      <c r="V212" s="69">
        <f t="shared" si="138"/>
        <v>14905.088442</v>
      </c>
      <c r="W212" s="69">
        <f t="shared" si="138"/>
        <v>14905.088442</v>
      </c>
      <c r="X212" s="69">
        <f t="shared" si="138"/>
        <v>14905.088442</v>
      </c>
      <c r="Y212" s="69">
        <f t="shared" si="138"/>
        <v>14905.088442</v>
      </c>
      <c r="Z212" s="69">
        <f t="shared" si="138"/>
        <v>14905.088442</v>
      </c>
      <c r="AA212" s="69">
        <f t="shared" si="138"/>
        <v>14905.088442</v>
      </c>
      <c r="AB212" s="69">
        <f t="shared" si="138"/>
        <v>14905.088442</v>
      </c>
      <c r="AC212" s="69">
        <f t="shared" si="138"/>
        <v>14905.088442</v>
      </c>
      <c r="AD212" s="69">
        <f t="shared" si="138"/>
        <v>14905.088442</v>
      </c>
      <c r="AE212" s="69">
        <f t="shared" si="138"/>
        <v>14905.088442</v>
      </c>
      <c r="AF212" s="69">
        <f t="shared" si="138"/>
        <v>14905.088442</v>
      </c>
      <c r="AG212" s="69">
        <f t="shared" si="138"/>
        <v>14905.088442</v>
      </c>
      <c r="AH212" s="69">
        <f t="shared" si="138"/>
        <v>14905.088442</v>
      </c>
      <c r="AI212" s="69">
        <f t="shared" si="138"/>
        <v>14905.088442</v>
      </c>
    </row>
    <row r="213" spans="1:35" ht="14.25" customHeight="1" x14ac:dyDescent="0.35">
      <c r="A213" s="66"/>
      <c r="B213" s="66"/>
      <c r="C213" s="74" t="s">
        <v>183</v>
      </c>
      <c r="D213" s="66"/>
      <c r="E213" s="66"/>
      <c r="F213" s="66"/>
      <c r="G213" s="66"/>
      <c r="H213" s="67" t="s">
        <v>19</v>
      </c>
      <c r="I213" s="66"/>
      <c r="J213" s="69"/>
      <c r="K213" s="69">
        <f>W213</f>
        <v>3510.5195369900002</v>
      </c>
      <c r="L213" s="69">
        <f>SUMIFS('BS Actual MTM - Aug 26'!E:E,'BS Actual MTM - Aug 26'!$R:$R,$C213)/10^6</f>
        <v>2910.5195369900002</v>
      </c>
      <c r="M213" s="69">
        <f>SUMIFS('BS Actual MTM - Aug 26'!F:F,'BS Actual MTM - Aug 26'!$R:$R,$C213)/10^6</f>
        <v>2910.5195369900002</v>
      </c>
      <c r="N213" s="69">
        <f>SUMIFS('BS Actual MTM - Aug 26'!G:G,'BS Actual MTM - Aug 26'!$R:$R,$C213)/10^6</f>
        <v>2910.5195369900002</v>
      </c>
      <c r="O213" s="69">
        <f>SUMIFS('BS Actual MTM - Aug 26'!H:H,'BS Actual MTM - Aug 26'!$R:$R,$C213)/10^6</f>
        <v>2910.5195369900002</v>
      </c>
      <c r="P213" s="69">
        <f>SUMIFS('BS Actual MTM - Aug 26'!I:I,'BS Actual MTM - Aug 26'!$R:$R,$C213)/10^6</f>
        <v>3510.5195369900002</v>
      </c>
      <c r="Q213" s="69">
        <f>SUMIFS('BS Actual MTM - Aug 26'!J:J,'BS Actual MTM - Aug 26'!$R:$R,$C213)/10^6</f>
        <v>3510.5195369900002</v>
      </c>
      <c r="R213" s="69">
        <f>SUMIFS('BS Actual MTM - Aug 26'!K:K,'BS Actual MTM - Aug 26'!$R:$R,$C213)/10^6</f>
        <v>3510.5195369900002</v>
      </c>
      <c r="S213" s="69">
        <f>SUMIFS('BS Actual MTM - Aug 26'!L:L,'BS Actual MTM - Aug 26'!$R:$R,$C213)/10^6</f>
        <v>3510.5195369900002</v>
      </c>
      <c r="T213" s="69">
        <f t="shared" ref="T213:AI213" si="139">S213-T164</f>
        <v>3510.5195369900002</v>
      </c>
      <c r="U213" s="69">
        <f t="shared" si="139"/>
        <v>3510.5195369900002</v>
      </c>
      <c r="V213" s="69">
        <f t="shared" si="139"/>
        <v>3510.5195369900002</v>
      </c>
      <c r="W213" s="69">
        <f t="shared" si="139"/>
        <v>3510.5195369900002</v>
      </c>
      <c r="X213" s="69">
        <f t="shared" si="139"/>
        <v>3510.5195369900002</v>
      </c>
      <c r="Y213" s="69">
        <f t="shared" si="139"/>
        <v>3510.5195369900002</v>
      </c>
      <c r="Z213" s="69">
        <f t="shared" si="139"/>
        <v>3510.5195369900002</v>
      </c>
      <c r="AA213" s="69">
        <f t="shared" si="139"/>
        <v>3510.5195369900002</v>
      </c>
      <c r="AB213" s="69">
        <f t="shared" si="139"/>
        <v>3510.5195369900002</v>
      </c>
      <c r="AC213" s="69">
        <f t="shared" si="139"/>
        <v>3510.5195369900002</v>
      </c>
      <c r="AD213" s="69">
        <f t="shared" si="139"/>
        <v>3510.5195369900002</v>
      </c>
      <c r="AE213" s="69">
        <f t="shared" si="139"/>
        <v>3510.5195369900002</v>
      </c>
      <c r="AF213" s="69">
        <f t="shared" si="139"/>
        <v>3510.5195369900002</v>
      </c>
      <c r="AG213" s="69">
        <f t="shared" si="139"/>
        <v>3510.5195369900002</v>
      </c>
      <c r="AH213" s="69">
        <f t="shared" si="139"/>
        <v>3510.5195369900002</v>
      </c>
      <c r="AI213" s="69">
        <f t="shared" si="139"/>
        <v>3510.5195369900002</v>
      </c>
    </row>
    <row r="214" spans="1:35" ht="14.25" customHeight="1" x14ac:dyDescent="0.35">
      <c r="A214" s="66"/>
      <c r="B214" s="66"/>
      <c r="C214" s="74" t="s">
        <v>184</v>
      </c>
      <c r="D214" s="66"/>
      <c r="E214" s="66"/>
      <c r="F214" s="66"/>
      <c r="G214" s="66"/>
      <c r="H214" s="67" t="s">
        <v>19</v>
      </c>
      <c r="I214" s="66"/>
      <c r="J214" s="69"/>
      <c r="K214" s="69">
        <f>W214</f>
        <v>2027.4397262499999</v>
      </c>
      <c r="L214" s="69">
        <f>SUMIFS('BS Actual MTM - Aug 26'!E:E,'BS Actual MTM - Aug 26'!$R:$R,$C214)/10^6</f>
        <v>1924.4940899600001</v>
      </c>
      <c r="M214" s="69">
        <f>SUMIFS('BS Actual MTM - Aug 26'!F:F,'BS Actual MTM - Aug 26'!$R:$R,$C214)/10^6</f>
        <v>1927.72381969</v>
      </c>
      <c r="N214" s="69">
        <f>SUMIFS('BS Actual MTM - Aug 26'!G:G,'BS Actual MTM - Aug 26'!$R:$R,$C214)/10^6</f>
        <v>1941.0578889999999</v>
      </c>
      <c r="O214" s="69">
        <f>SUMIFS('BS Actual MTM - Aug 26'!H:H,'BS Actual MTM - Aug 26'!$R:$R,$C214)/10^6</f>
        <v>1942.275989</v>
      </c>
      <c r="P214" s="69">
        <f>SUMIFS('BS Actual MTM - Aug 26'!I:I,'BS Actual MTM - Aug 26'!$R:$R,$C214)/10^6</f>
        <v>1945.750313</v>
      </c>
      <c r="Q214" s="69">
        <f>SUMIFS('BS Actual MTM - Aug 26'!J:J,'BS Actual MTM - Aug 26'!$R:$R,$C214)/10^6</f>
        <v>1953.5431060000001</v>
      </c>
      <c r="R214" s="69">
        <f>SUMIFS('BS Actual MTM - Aug 26'!K:K,'BS Actual MTM - Aug 26'!$R:$R,$C214)/10^6</f>
        <v>1991.4268890000001</v>
      </c>
      <c r="S214" s="69">
        <f>SUMIFS('BS Actual MTM - Aug 26'!L:L,'BS Actual MTM - Aug 26'!$R:$R,$C214)/10^6</f>
        <v>2027.4397262499999</v>
      </c>
      <c r="T214" s="69">
        <f t="shared" ref="T214:AI214" si="140">S214-T166</f>
        <v>2027.4397262499999</v>
      </c>
      <c r="U214" s="69">
        <f t="shared" si="140"/>
        <v>2027.4397262499999</v>
      </c>
      <c r="V214" s="69">
        <f t="shared" si="140"/>
        <v>2027.4397262499999</v>
      </c>
      <c r="W214" s="69">
        <f t="shared" si="140"/>
        <v>2027.4397262499999</v>
      </c>
      <c r="X214" s="69">
        <f t="shared" si="140"/>
        <v>2027.4397262499999</v>
      </c>
      <c r="Y214" s="69">
        <f t="shared" si="140"/>
        <v>2027.4397262499999</v>
      </c>
      <c r="Z214" s="69">
        <f t="shared" si="140"/>
        <v>2027.4397262499999</v>
      </c>
      <c r="AA214" s="69">
        <f t="shared" si="140"/>
        <v>2027.4397262499999</v>
      </c>
      <c r="AB214" s="69">
        <f t="shared" si="140"/>
        <v>2027.4397262499999</v>
      </c>
      <c r="AC214" s="69">
        <f t="shared" si="140"/>
        <v>2027.4397262499999</v>
      </c>
      <c r="AD214" s="69">
        <f t="shared" si="140"/>
        <v>2027.4397262499999</v>
      </c>
      <c r="AE214" s="69">
        <f t="shared" si="140"/>
        <v>2027.4397262499999</v>
      </c>
      <c r="AF214" s="69">
        <f t="shared" si="140"/>
        <v>2027.4397262499999</v>
      </c>
      <c r="AG214" s="69">
        <f t="shared" si="140"/>
        <v>2027.4397262499999</v>
      </c>
      <c r="AH214" s="69">
        <f t="shared" si="140"/>
        <v>2027.4397262499999</v>
      </c>
      <c r="AI214" s="69">
        <f t="shared" si="140"/>
        <v>2027.4397262499999</v>
      </c>
    </row>
    <row r="215" spans="1:35" ht="14.25" customHeight="1" x14ac:dyDescent="0.35">
      <c r="A215" s="66"/>
      <c r="B215" s="66"/>
      <c r="C215" s="74" t="s">
        <v>185</v>
      </c>
      <c r="D215" s="66"/>
      <c r="E215" s="66"/>
      <c r="F215" s="66"/>
      <c r="G215" s="66"/>
      <c r="H215" s="67" t="s">
        <v>19</v>
      </c>
      <c r="I215" s="66"/>
      <c r="J215" s="69"/>
      <c r="K215" s="69">
        <f>W215</f>
        <v>9399.0730642400013</v>
      </c>
      <c r="L215" s="69">
        <f>SUMIFS('BS Actual MTM - Aug 26'!E:E,'BS Actual MTM - Aug 26'!$R:$R,$C215)/10^6</f>
        <v>9175.4855642400016</v>
      </c>
      <c r="M215" s="69">
        <f>SUMIFS('BS Actual MTM - Aug 26'!F:F,'BS Actual MTM - Aug 26'!$R:$R,$C215)/10^6</f>
        <v>9302.0605642400023</v>
      </c>
      <c r="N215" s="69">
        <f>SUMIFS('BS Actual MTM - Aug 26'!G:G,'BS Actual MTM - Aug 26'!$R:$R,$C215)/10^6</f>
        <v>9355.9283122400011</v>
      </c>
      <c r="O215" s="69">
        <f>SUMIFS('BS Actual MTM - Aug 26'!H:H,'BS Actual MTM - Aug 26'!$R:$R,$C215)/10^6</f>
        <v>9355.9283122400011</v>
      </c>
      <c r="P215" s="69">
        <f>SUMIFS('BS Actual MTM - Aug 26'!I:I,'BS Actual MTM - Aug 26'!$R:$R,$C215)/10^6</f>
        <v>9362.468312240002</v>
      </c>
      <c r="Q215" s="69">
        <f>SUMIFS('BS Actual MTM - Aug 26'!J:J,'BS Actual MTM - Aug 26'!$R:$R,$C215)/10^6</f>
        <v>9365.7408122400011</v>
      </c>
      <c r="R215" s="69">
        <f>SUMIFS('BS Actual MTM - Aug 26'!K:K,'BS Actual MTM - Aug 26'!$R:$R,$C215)/10^6</f>
        <v>9366.893064240001</v>
      </c>
      <c r="S215" s="69">
        <f>SUMIFS('BS Actual MTM - Aug 26'!L:L,'BS Actual MTM - Aug 26'!$R:$R,$C215)/10^6</f>
        <v>9399.0730642400013</v>
      </c>
      <c r="T215" s="69">
        <f t="shared" ref="T215:AI215" si="141">S215</f>
        <v>9399.0730642400013</v>
      </c>
      <c r="U215" s="69">
        <f t="shared" si="141"/>
        <v>9399.0730642400013</v>
      </c>
      <c r="V215" s="69">
        <f t="shared" si="141"/>
        <v>9399.0730642400013</v>
      </c>
      <c r="W215" s="69">
        <f t="shared" si="141"/>
        <v>9399.0730642400013</v>
      </c>
      <c r="X215" s="69">
        <f t="shared" si="141"/>
        <v>9399.0730642400013</v>
      </c>
      <c r="Y215" s="69">
        <f t="shared" si="141"/>
        <v>9399.0730642400013</v>
      </c>
      <c r="Z215" s="69">
        <f t="shared" si="141"/>
        <v>9399.0730642400013</v>
      </c>
      <c r="AA215" s="69">
        <f t="shared" si="141"/>
        <v>9399.0730642400013</v>
      </c>
      <c r="AB215" s="69">
        <f t="shared" si="141"/>
        <v>9399.0730642400013</v>
      </c>
      <c r="AC215" s="69">
        <f t="shared" si="141"/>
        <v>9399.0730642400013</v>
      </c>
      <c r="AD215" s="69">
        <f t="shared" si="141"/>
        <v>9399.0730642400013</v>
      </c>
      <c r="AE215" s="69">
        <f t="shared" si="141"/>
        <v>9399.0730642400013</v>
      </c>
      <c r="AF215" s="69">
        <f t="shared" si="141"/>
        <v>9399.0730642400013</v>
      </c>
      <c r="AG215" s="69">
        <f t="shared" si="141"/>
        <v>9399.0730642400013</v>
      </c>
      <c r="AH215" s="69">
        <f t="shared" si="141"/>
        <v>9399.0730642400013</v>
      </c>
      <c r="AI215" s="69">
        <f t="shared" si="141"/>
        <v>9399.0730642400013</v>
      </c>
    </row>
    <row r="216" spans="1:35" ht="14.25" customHeight="1" x14ac:dyDescent="0.35">
      <c r="A216" s="66"/>
      <c r="B216" s="66"/>
      <c r="C216" s="74" t="s">
        <v>186</v>
      </c>
      <c r="D216" s="66"/>
      <c r="E216" s="66"/>
      <c r="F216" s="66"/>
      <c r="G216" s="66"/>
      <c r="H216" s="67" t="s">
        <v>19</v>
      </c>
      <c r="I216" s="66"/>
      <c r="J216" s="69"/>
      <c r="K216" s="69">
        <f>W216</f>
        <v>24395.425534589005</v>
      </c>
      <c r="L216" s="69">
        <f>SUMIFS('BS Actual MTM - Aug 26'!E:E,'BS Actual MTM - Aug 26'!$R:$R,$C216)/10^6</f>
        <v>24648.292188919997</v>
      </c>
      <c r="M216" s="69">
        <f>SUMIFS('BS Actual MTM - Aug 26'!F:F,'BS Actual MTM - Aug 26'!$R:$R,$C216)/10^6</f>
        <v>24960.425533920006</v>
      </c>
      <c r="N216" s="69">
        <f>SUMIFS('BS Actual MTM - Aug 26'!G:G,'BS Actual MTM - Aug 26'!$R:$R,$C216)/10^6</f>
        <v>24960.425533920006</v>
      </c>
      <c r="O216" s="69">
        <f>SUMIFS('BS Actual MTM - Aug 26'!H:H,'BS Actual MTM - Aug 26'!$R:$R,$C216)/10^6</f>
        <v>24960.425533920006</v>
      </c>
      <c r="P216" s="69">
        <f>SUMIFS('BS Actual MTM - Aug 26'!I:I,'BS Actual MTM - Aug 26'!$R:$R,$C216)/10^6</f>
        <v>24395.425532920006</v>
      </c>
      <c r="Q216" s="69">
        <f>SUMIFS('BS Actual MTM - Aug 26'!J:J,'BS Actual MTM - Aug 26'!$R:$R,$C216)/10^6</f>
        <v>24395.425532920006</v>
      </c>
      <c r="R216" s="69">
        <f>SUMIFS('BS Actual MTM - Aug 26'!K:K,'BS Actual MTM - Aug 26'!$R:$R,$C216)/10^6</f>
        <v>24395.425532920006</v>
      </c>
      <c r="S216" s="69">
        <f>SUMIFS('BS Actual MTM - Aug 26'!L:L,'BS Actual MTM - Aug 26'!$R:$R,$C216)/10^6</f>
        <v>24395.425534589005</v>
      </c>
      <c r="T216" s="69">
        <f t="shared" ref="T216:AI216" si="142">S216-T163+T324</f>
        <v>24395.425534589005</v>
      </c>
      <c r="U216" s="69">
        <f t="shared" si="142"/>
        <v>24395.425534589005</v>
      </c>
      <c r="V216" s="69">
        <f t="shared" si="142"/>
        <v>24395.425534589005</v>
      </c>
      <c r="W216" s="69">
        <f t="shared" si="142"/>
        <v>24395.425534589005</v>
      </c>
      <c r="X216" s="69">
        <f t="shared" si="142"/>
        <v>24395.425534589005</v>
      </c>
      <c r="Y216" s="69">
        <f t="shared" si="142"/>
        <v>24395.425534589005</v>
      </c>
      <c r="Z216" s="69">
        <f t="shared" si="142"/>
        <v>24395.425534589005</v>
      </c>
      <c r="AA216" s="69">
        <f t="shared" si="142"/>
        <v>24395.425534589005</v>
      </c>
      <c r="AB216" s="69">
        <f t="shared" si="142"/>
        <v>24395.425534589005</v>
      </c>
      <c r="AC216" s="69">
        <f t="shared" si="142"/>
        <v>24395.425534589005</v>
      </c>
      <c r="AD216" s="69">
        <f t="shared" si="142"/>
        <v>24395.425534589005</v>
      </c>
      <c r="AE216" s="69">
        <f t="shared" si="142"/>
        <v>24395.425534589005</v>
      </c>
      <c r="AF216" s="69">
        <f t="shared" si="142"/>
        <v>24395.425534589005</v>
      </c>
      <c r="AG216" s="69">
        <f t="shared" si="142"/>
        <v>24395.425534589005</v>
      </c>
      <c r="AH216" s="69">
        <f t="shared" si="142"/>
        <v>24395.425534589005</v>
      </c>
      <c r="AI216" s="69">
        <f t="shared" si="142"/>
        <v>24395.425534589005</v>
      </c>
    </row>
    <row r="217" spans="1:35" ht="14.25" customHeight="1" x14ac:dyDescent="0.35">
      <c r="A217" s="66"/>
      <c r="B217" s="66"/>
      <c r="C217" s="70" t="s">
        <v>181</v>
      </c>
      <c r="D217" s="66"/>
      <c r="E217" s="66"/>
      <c r="F217" s="66"/>
      <c r="G217" s="66"/>
      <c r="H217" s="67"/>
      <c r="I217" s="66"/>
      <c r="J217" s="69"/>
      <c r="K217" s="66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69"/>
    </row>
    <row r="218" spans="1:35" ht="14.25" customHeight="1" x14ac:dyDescent="0.35">
      <c r="A218" s="66"/>
      <c r="B218" s="66"/>
      <c r="C218" s="74" t="s">
        <v>187</v>
      </c>
      <c r="D218" s="66"/>
      <c r="E218" s="66"/>
      <c r="F218" s="66"/>
      <c r="G218" s="66"/>
      <c r="H218" s="67" t="s">
        <v>19</v>
      </c>
      <c r="I218" s="68"/>
      <c r="J218" s="69"/>
      <c r="K218" s="69">
        <f t="shared" ref="K218:K224" si="143">W218</f>
        <v>-7760.4968250399997</v>
      </c>
      <c r="L218" s="69">
        <f>SUMIFS('BS Actual MTM - Aug 26'!E:E,'BS Actual MTM - Aug 26'!$R:$R,$C218)/10^6</f>
        <v>-7079.5919381700005</v>
      </c>
      <c r="M218" s="69">
        <f>SUMIFS('BS Actual MTM - Aug 26'!F:F,'BS Actual MTM - Aug 26'!$R:$R,$C218)/10^6</f>
        <v>-7141.3223066700002</v>
      </c>
      <c r="N218" s="69">
        <f>SUMIFS('BS Actual MTM - Aug 26'!G:G,'BS Actual MTM - Aug 26'!$R:$R,$C218)/10^6</f>
        <v>-7203.0526751699999</v>
      </c>
      <c r="O218" s="69">
        <f>SUMIFS('BS Actual MTM - Aug 26'!H:H,'BS Actual MTM - Aug 26'!$R:$R,$C218)/10^6</f>
        <v>-7264.7830436699996</v>
      </c>
      <c r="P218" s="69">
        <f>SUMIFS('BS Actual MTM - Aug 26'!I:I,'BS Actual MTM - Aug 26'!$R:$R,$C218)/10^6</f>
        <v>-7326.5134121700003</v>
      </c>
      <c r="Q218" s="69">
        <f>SUMIFS('BS Actual MTM - Aug 26'!J:J,'BS Actual MTM - Aug 26'!$R:$R,$C218)/10^6</f>
        <v>-7388.24378067</v>
      </c>
      <c r="R218" s="69">
        <f>SUMIFS('BS Actual MTM - Aug 26'!K:K,'BS Actual MTM - Aug 26'!$R:$R,$C218)/10^6</f>
        <v>-7449.9741491699997</v>
      </c>
      <c r="S218" s="69">
        <f>SUMIFS('BS Actual MTM - Aug 26'!L:L,'BS Actual MTM - Aug 26'!$R:$R,$C218)/10^6</f>
        <v>-7512.0786843400001</v>
      </c>
      <c r="T218" s="69">
        <f>S218-'Register FA'!AG1442/10^6</f>
        <v>-7574.183219515</v>
      </c>
      <c r="U218" s="69">
        <f>T218-'Register FA'!AH1442/10^6</f>
        <v>-7636.2877546899999</v>
      </c>
      <c r="V218" s="69">
        <f>U218-'Register FA'!AI1442/10^6</f>
        <v>-7698.3922898649998</v>
      </c>
      <c r="W218" s="69">
        <f>V218-'Register FA'!AJ1442/10^6</f>
        <v>-7760.4968250399997</v>
      </c>
      <c r="X218" s="69">
        <f>W218-'Register FA'!AK1442/10^6</f>
        <v>-7822.6013602149997</v>
      </c>
      <c r="Y218" s="69">
        <f>X218-'Register FA'!AL1442/10^6</f>
        <v>-7884.7058953899996</v>
      </c>
      <c r="Z218" s="69">
        <f>Y218-'Register FA'!AM1442/10^6</f>
        <v>-7946.8104305649995</v>
      </c>
      <c r="AA218" s="69">
        <f>Z218-'Register FA'!AN1442/10^6</f>
        <v>-8008.9149657399994</v>
      </c>
      <c r="AB218" s="69">
        <f>AA218-'Register FA'!AO1442/10^6</f>
        <v>-8071.0195009149993</v>
      </c>
      <c r="AC218" s="69">
        <f>AB218-'Register FA'!AP1442/10^6</f>
        <v>-8133.1240360899992</v>
      </c>
      <c r="AD218" s="69">
        <f>AC218-'Register FA'!AQ1442/10^6</f>
        <v>-8195.2285712649991</v>
      </c>
      <c r="AE218" s="69">
        <f>AD218-'Register FA'!AR1442/10^6</f>
        <v>-8257.333106439999</v>
      </c>
      <c r="AF218" s="69">
        <f>AE218-'Register FA'!AS1442/10^6</f>
        <v>-8319.4376416149989</v>
      </c>
      <c r="AG218" s="69">
        <f>AF218-'Register FA'!AT1442/10^6</f>
        <v>-8381.5421767899988</v>
      </c>
      <c r="AH218" s="69">
        <f>AG218-'Register FA'!AU1442/10^6</f>
        <v>-8443.6467119649988</v>
      </c>
      <c r="AI218" s="69">
        <f>AH218-'Register FA'!AV1442/10^6</f>
        <v>-8505.7512471399987</v>
      </c>
    </row>
    <row r="219" spans="1:35" ht="14.25" customHeight="1" x14ac:dyDescent="0.35">
      <c r="A219" s="66"/>
      <c r="B219" s="66"/>
      <c r="C219" s="74" t="s">
        <v>188</v>
      </c>
      <c r="D219" s="66"/>
      <c r="E219" s="66"/>
      <c r="F219" s="66"/>
      <c r="G219" s="66"/>
      <c r="H219" s="67" t="s">
        <v>19</v>
      </c>
      <c r="I219" s="66"/>
      <c r="J219" s="69"/>
      <c r="K219" s="69">
        <f t="shared" si="143"/>
        <v>-1685.5204636400003</v>
      </c>
      <c r="L219" s="69">
        <f>SUMIFS('BS Actual MTM - Aug 26'!E:E,'BS Actual MTM - Aug 26'!$R:$R,$C219)/10^6</f>
        <v>-1369.82071473</v>
      </c>
      <c r="M219" s="69">
        <f>SUMIFS('BS Actual MTM - Aug 26'!F:F,'BS Actual MTM - Aug 26'!$R:$R,$C219)/10^6</f>
        <v>-1393.9752373600002</v>
      </c>
      <c r="N219" s="69">
        <f>SUMIFS('BS Actual MTM - Aug 26'!G:G,'BS Actual MTM - Aug 26'!$R:$R,$C219)/10^6</f>
        <v>-1418.1297599900001</v>
      </c>
      <c r="O219" s="69">
        <f>SUMIFS('BS Actual MTM - Aug 26'!H:H,'BS Actual MTM - Aug 26'!$R:$R,$C219)/10^6</f>
        <v>-1442.2842826199999</v>
      </c>
      <c r="P219" s="69">
        <f>SUMIFS('BS Actual MTM - Aug 26'!I:I,'BS Actual MTM - Aug 26'!$R:$R,$C219)/10^6</f>
        <v>-1472.6888052500001</v>
      </c>
      <c r="Q219" s="69">
        <f>SUMIFS('BS Actual MTM - Aug 26'!J:J,'BS Actual MTM - Aug 26'!$R:$R,$C219)/10^6</f>
        <v>-1503.0933278800001</v>
      </c>
      <c r="R219" s="69">
        <f>SUMIFS('BS Actual MTM - Aug 26'!K:K,'BS Actual MTM - Aug 26'!$R:$R,$C219)/10^6</f>
        <v>-1533.4978505100003</v>
      </c>
      <c r="S219" s="69">
        <f>SUMIFS('BS Actual MTM - Aug 26'!L:L,'BS Actual MTM - Aug 26'!$R:$R,$C219)/10^6</f>
        <v>-1563.9023731400002</v>
      </c>
      <c r="T219" s="69">
        <f>S219-'Register FA'!AG1443/10^6</f>
        <v>-1594.3068957650003</v>
      </c>
      <c r="U219" s="69">
        <f>T219-'Register FA'!AH1443/10^6</f>
        <v>-1624.7114183900003</v>
      </c>
      <c r="V219" s="69">
        <f>U219-'Register FA'!AI1443/10^6</f>
        <v>-1655.1159410150003</v>
      </c>
      <c r="W219" s="69">
        <f>V219-'Register FA'!AJ1443/10^6</f>
        <v>-1685.5204636400003</v>
      </c>
      <c r="X219" s="69">
        <f>W219-'Register FA'!AK1443/10^6</f>
        <v>-1715.9249862650004</v>
      </c>
      <c r="Y219" s="69">
        <f>X219-'Register FA'!AL1443/10^6</f>
        <v>-1746.3295088900004</v>
      </c>
      <c r="Z219" s="69">
        <f>Y219-'Register FA'!AM1443/10^6</f>
        <v>-1776.7340315150004</v>
      </c>
      <c r="AA219" s="69">
        <f>Z219-'Register FA'!AN1443/10^6</f>
        <v>-1807.1385541400005</v>
      </c>
      <c r="AB219" s="69">
        <f>AA219-'Register FA'!AO1443/10^6</f>
        <v>-1837.5430767650005</v>
      </c>
      <c r="AC219" s="69">
        <f>AB219-'Register FA'!AP1443/10^6</f>
        <v>-1867.9475993900005</v>
      </c>
      <c r="AD219" s="69">
        <f>AC219-'Register FA'!AQ1443/10^6</f>
        <v>-1898.3521220150005</v>
      </c>
      <c r="AE219" s="69">
        <f>AD219-'Register FA'!AR1443/10^6</f>
        <v>-1928.7566446400006</v>
      </c>
      <c r="AF219" s="69">
        <f>AE219-'Register FA'!AS1443/10^6</f>
        <v>-1959.1611672650006</v>
      </c>
      <c r="AG219" s="69">
        <f>AF219-'Register FA'!AT1443/10^6</f>
        <v>-1989.5656898900006</v>
      </c>
      <c r="AH219" s="69">
        <f>AG219-'Register FA'!AU1443/10^6</f>
        <v>-2019.9702125150006</v>
      </c>
      <c r="AI219" s="69">
        <f>AH219-'Register FA'!AV1443/10^6</f>
        <v>-2050.3747351400007</v>
      </c>
    </row>
    <row r="220" spans="1:35" ht="14.25" customHeight="1" x14ac:dyDescent="0.35">
      <c r="A220" s="66"/>
      <c r="B220" s="66"/>
      <c r="C220" s="74" t="s">
        <v>189</v>
      </c>
      <c r="D220" s="66"/>
      <c r="E220" s="66"/>
      <c r="F220" s="66"/>
      <c r="G220" s="66"/>
      <c r="H220" s="67" t="s">
        <v>19</v>
      </c>
      <c r="I220" s="66"/>
      <c r="J220" s="69"/>
      <c r="K220" s="69">
        <f t="shared" si="143"/>
        <v>-1783.1597967758339</v>
      </c>
      <c r="L220" s="69">
        <f>SUMIFS('BS Actual MTM - Aug 26'!E:E,'BS Actual MTM - Aug 26'!$R:$R,$C220)/10^6</f>
        <v>-1677.1252220500003</v>
      </c>
      <c r="M220" s="69">
        <f>SUMIFS('BS Actual MTM - Aug 26'!F:F,'BS Actual MTM - Aug 26'!$R:$R,$C220)/10^6</f>
        <v>-1688.3460622100001</v>
      </c>
      <c r="N220" s="69">
        <f>SUMIFS('BS Actual MTM - Aug 26'!G:G,'BS Actual MTM - Aug 26'!$R:$R,$C220)/10^6</f>
        <v>-1697.1384670500001</v>
      </c>
      <c r="O220" s="69">
        <f>SUMIFS('BS Actual MTM - Aug 26'!H:H,'BS Actual MTM - Aug 26'!$R:$R,$C220)/10^6</f>
        <v>-1705.9041656400002</v>
      </c>
      <c r="P220" s="69">
        <f>SUMIFS('BS Actual MTM - Aug 26'!I:I,'BS Actual MTM - Aug 26'!$R:$R,$C220)/10^6</f>
        <v>-1714.6996172300001</v>
      </c>
      <c r="Q220" s="69">
        <f>SUMIFS('BS Actual MTM - Aug 26'!J:J,'BS Actual MTM - Aug 26'!$R:$R,$C220)/10^6</f>
        <v>-1723.5574186700001</v>
      </c>
      <c r="R220" s="69">
        <f>SUMIFS('BS Actual MTM - Aug 26'!K:K,'BS Actual MTM - Aug 26'!$R:$R,$C220)/10^6</f>
        <v>-1733.0836322499999</v>
      </c>
      <c r="S220" s="69">
        <f>SUMIFS('BS Actual MTM - Aug 26'!L:L,'BS Actual MTM - Aug 26'!$R:$R,$C220)/10^6</f>
        <v>-1743.1903632900003</v>
      </c>
      <c r="T220" s="69">
        <f>S220-'Register FA'!AG1444/10^6</f>
        <v>-1753.2970942708337</v>
      </c>
      <c r="U220" s="69">
        <f>T220-'Register FA'!AH1444/10^6</f>
        <v>-1763.2621585850004</v>
      </c>
      <c r="V220" s="69">
        <f>U220-'Register FA'!AI1444/10^6</f>
        <v>-1773.2272228991671</v>
      </c>
      <c r="W220" s="69">
        <f>V220-'Register FA'!AJ1444/10^6</f>
        <v>-1783.1597967758339</v>
      </c>
      <c r="X220" s="69">
        <f>W220-'Register FA'!AK1444/10^6</f>
        <v>-1793.0154186941672</v>
      </c>
      <c r="Y220" s="69">
        <f>X220-'Register FA'!AL1444/10^6</f>
        <v>-1802.7835406125005</v>
      </c>
      <c r="Z220" s="69">
        <f>Y220-'Register FA'!AM1444/10^6</f>
        <v>-1812.3332979475006</v>
      </c>
      <c r="AA220" s="69">
        <f>Z220-'Register FA'!AN1444/10^6</f>
        <v>-1821.1780156991672</v>
      </c>
      <c r="AB220" s="69">
        <f>AA220-'Register FA'!AO1444/10^6</f>
        <v>-1830.0227334508338</v>
      </c>
      <c r="AC220" s="69">
        <f>AB220-'Register FA'!AP1444/10^6</f>
        <v>-1838.8674512025004</v>
      </c>
      <c r="AD220" s="69">
        <f>AC220-'Register FA'!AQ1444/10^6</f>
        <v>-1847.4706494958339</v>
      </c>
      <c r="AE220" s="69">
        <f>AD220-'Register FA'!AR1444/10^6</f>
        <v>-1856.0300977891673</v>
      </c>
      <c r="AF220" s="69">
        <f>AE220-'Register FA'!AS1444/10^6</f>
        <v>-1864.212791915834</v>
      </c>
      <c r="AG220" s="69">
        <f>AF220-'Register FA'!AT1444/10^6</f>
        <v>-1871.3894922300008</v>
      </c>
      <c r="AH220" s="69">
        <f>AG220-'Register FA'!AU1444/10^6</f>
        <v>-1878.4638089195842</v>
      </c>
      <c r="AI220" s="69">
        <f>AH220-'Register FA'!AV1444/10^6</f>
        <v>-1885.5381256091675</v>
      </c>
    </row>
    <row r="221" spans="1:35" ht="14.25" customHeight="1" x14ac:dyDescent="0.35">
      <c r="A221" s="66"/>
      <c r="B221" s="66"/>
      <c r="C221" s="74" t="s">
        <v>190</v>
      </c>
      <c r="D221" s="66"/>
      <c r="E221" s="66"/>
      <c r="F221" s="66"/>
      <c r="G221" s="66"/>
      <c r="H221" s="67" t="s">
        <v>19</v>
      </c>
      <c r="I221" s="66"/>
      <c r="J221" s="69"/>
      <c r="K221" s="69">
        <f t="shared" si="143"/>
        <v>-7536.02745236997</v>
      </c>
      <c r="L221" s="69">
        <f>SUMIFS('BS Actual MTM - Aug 26'!E:E,'BS Actual MTM - Aug 26'!$R:$R,$C221)/10^6</f>
        <v>-6926.4281685299702</v>
      </c>
      <c r="M221" s="69">
        <f>SUMIFS('BS Actual MTM - Aug 26'!F:F,'BS Actual MTM - Aug 26'!$R:$R,$C221)/10^6</f>
        <v>-6986.7214047699699</v>
      </c>
      <c r="N221" s="69">
        <f>SUMIFS('BS Actual MTM - Aug 26'!G:G,'BS Actual MTM - Aug 26'!$R:$R,$C221)/10^6</f>
        <v>-7042.51188575997</v>
      </c>
      <c r="O221" s="69">
        <f>SUMIFS('BS Actual MTM - Aug 26'!H:H,'BS Actual MTM - Aug 26'!$R:$R,$C221)/10^6</f>
        <v>-7097.6461167499692</v>
      </c>
      <c r="P221" s="69">
        <f>SUMIFS('BS Actual MTM - Aug 26'!I:I,'BS Actual MTM - Aug 26'!$R:$R,$C221)/10^6</f>
        <v>-7152.7395144099701</v>
      </c>
      <c r="Q221" s="69">
        <f>SUMIFS('BS Actual MTM - Aug 26'!J:J,'BS Actual MTM - Aug 26'!$R:$R,$C221)/10^6</f>
        <v>-7207.8626724799697</v>
      </c>
      <c r="R221" s="69">
        <f>SUMIFS('BS Actual MTM - Aug 26'!K:K,'BS Actual MTM - Aug 26'!$R:$R,$C221)/10^6</f>
        <v>-7262.9478446099702</v>
      </c>
      <c r="S221" s="69">
        <f>SUMIFS('BS Actual MTM - Aug 26'!L:L,'BS Actual MTM - Aug 26'!$R:$R,$C221)/10^6</f>
        <v>-7318.4891610799705</v>
      </c>
      <c r="T221" s="69">
        <f>S221-'Register FA'!AG1445/10^6</f>
        <v>-7373.7825620266367</v>
      </c>
      <c r="U221" s="69">
        <f>T221-'Register FA'!AH1445/10^6</f>
        <v>-7428.9402338099699</v>
      </c>
      <c r="V221" s="69">
        <f>U221-'Register FA'!AI1445/10^6</f>
        <v>-7482.637488923303</v>
      </c>
      <c r="W221" s="69">
        <f>V221-'Register FA'!AJ1445/10^6</f>
        <v>-7536.02745236997</v>
      </c>
      <c r="X221" s="69">
        <f>W221-'Register FA'!AK1445/10^6</f>
        <v>-7588.37574914997</v>
      </c>
      <c r="Y221" s="69">
        <f>X221-'Register FA'!AL1445/10^6</f>
        <v>-7640.3525355133033</v>
      </c>
      <c r="Z221" s="69">
        <f>Y221-'Register FA'!AM1445/10^6</f>
        <v>-7691.8827753141368</v>
      </c>
      <c r="AA221" s="69">
        <f>Z221-'Register FA'!AN1445/10^6</f>
        <v>-7743.3666609483034</v>
      </c>
      <c r="AB221" s="69">
        <f>AA221-'Register FA'!AO1445/10^6</f>
        <v>-7794.2692064158036</v>
      </c>
      <c r="AC221" s="69">
        <f>AB221-'Register FA'!AP1445/10^6</f>
        <v>-7844.8167102166371</v>
      </c>
      <c r="AD221" s="69">
        <f>AC221-'Register FA'!AQ1445/10^6</f>
        <v>-7895.3642140174707</v>
      </c>
      <c r="AE221" s="69">
        <f>AD221-'Register FA'!AR1445/10^6</f>
        <v>-7945.2867178183042</v>
      </c>
      <c r="AF221" s="69">
        <f>AE221-'Register FA'!AS1445/10^6</f>
        <v>-7995.0738049524707</v>
      </c>
      <c r="AG221" s="69">
        <f>AF221-'Register FA'!AT1445/10^6</f>
        <v>-8044.1942254199703</v>
      </c>
      <c r="AH221" s="69">
        <f>AG221-'Register FA'!AU1445/10^6</f>
        <v>-8093.2146458874704</v>
      </c>
      <c r="AI221" s="69">
        <f>AH221-'Register FA'!AV1445/10^6</f>
        <v>-8141.6986080216375</v>
      </c>
    </row>
    <row r="222" spans="1:35" ht="14.25" customHeight="1" x14ac:dyDescent="0.35">
      <c r="A222" s="66"/>
      <c r="B222" s="66"/>
      <c r="C222" s="74" t="s">
        <v>191</v>
      </c>
      <c r="D222" s="66"/>
      <c r="E222" s="66"/>
      <c r="F222" s="66"/>
      <c r="G222" s="66"/>
      <c r="H222" s="67" t="s">
        <v>19</v>
      </c>
      <c r="I222" s="66"/>
      <c r="J222" s="69"/>
      <c r="K222" s="69">
        <f t="shared" si="143"/>
        <v>-16457.46579129</v>
      </c>
      <c r="L222" s="69">
        <f>SUMIFS('BS Actual MTM - Aug 26'!E:E,'BS Actual MTM - Aug 26'!$R:$R,$C222)/10^6</f>
        <v>-15377.970831659999</v>
      </c>
      <c r="M222" s="69">
        <f>SUMIFS('BS Actual MTM - Aug 26'!F:F,'BS Actual MTM - Aug 26'!$R:$R,$C222)/10^6</f>
        <v>-15533.485149010003</v>
      </c>
      <c r="N222" s="69">
        <f>SUMIFS('BS Actual MTM - Aug 26'!G:G,'BS Actual MTM - Aug 26'!$R:$R,$C222)/10^6</f>
        <v>-15688.999466360001</v>
      </c>
      <c r="O222" s="69">
        <f>SUMIFS('BS Actual MTM - Aug 26'!H:H,'BS Actual MTM - Aug 26'!$R:$R,$C222)/10^6</f>
        <v>-15842.285575390002</v>
      </c>
      <c r="P222" s="69">
        <f>SUMIFS('BS Actual MTM - Aug 26'!I:I,'BS Actual MTM - Aug 26'!$R:$R,$C222)/10^6</f>
        <v>-15381.61335009</v>
      </c>
      <c r="Q222" s="69">
        <f>SUMIFS('BS Actual MTM - Aug 26'!J:J,'BS Actual MTM - Aug 26'!$R:$R,$C222)/10^6</f>
        <v>-15535.941125790001</v>
      </c>
      <c r="R222" s="69">
        <f>SUMIFS('BS Actual MTM - Aug 26'!K:K,'BS Actual MTM - Aug 26'!$R:$R,$C222)/10^6</f>
        <v>-15690.268901490002</v>
      </c>
      <c r="S222" s="69">
        <f>SUMIFS('BS Actual MTM - Aug 26'!L:L,'BS Actual MTM - Aug 26'!$R:$R,$C222)/10^6</f>
        <v>-15844.59667719</v>
      </c>
      <c r="T222" s="69">
        <f>S222-'Register FA'!AG1446/10^6</f>
        <v>-15998.92445287125</v>
      </c>
      <c r="U222" s="69">
        <f>T222-'Register FA'!AH1446/10^6</f>
        <v>-16153.252228552499</v>
      </c>
      <c r="V222" s="69">
        <f>U222-'Register FA'!AI1446/10^6</f>
        <v>-16306.452759921249</v>
      </c>
      <c r="W222" s="69">
        <f>V222-'Register FA'!AJ1446/10^6</f>
        <v>-16457.46579129</v>
      </c>
      <c r="X222" s="69">
        <f>W222-'Register FA'!AK1446/10^6</f>
        <v>-16608.478822658752</v>
      </c>
      <c r="Y222" s="69">
        <f>X222-'Register FA'!AL1446/10^6</f>
        <v>-16759.491854027503</v>
      </c>
      <c r="Z222" s="69">
        <f>Y222-'Register FA'!AM1446/10^6</f>
        <v>-16910.504885396254</v>
      </c>
      <c r="AA222" s="69">
        <f>Z222-'Register FA'!AN1446/10^6</f>
        <v>-17053.926250098339</v>
      </c>
      <c r="AB222" s="69">
        <f>AA222-'Register FA'!AO1446/10^6</f>
        <v>-17197.347614800423</v>
      </c>
      <c r="AC222" s="69">
        <f>AB222-'Register FA'!AP1446/10^6</f>
        <v>-17340.404396169171</v>
      </c>
      <c r="AD222" s="69">
        <f>AC222-'Register FA'!AQ1446/10^6</f>
        <v>-17483.284094204588</v>
      </c>
      <c r="AE222" s="69">
        <f>AD222-'Register FA'!AR1446/10^6</f>
        <v>-17625.767958906672</v>
      </c>
      <c r="AF222" s="69">
        <f>AE222-'Register FA'!AS1446/10^6</f>
        <v>-17768.251823608756</v>
      </c>
      <c r="AG222" s="69">
        <f>AF222-'Register FA'!AT1446/10^6</f>
        <v>-17910.73568831084</v>
      </c>
      <c r="AH222" s="69">
        <f>AG222-'Register FA'!AU1446/10^6</f>
        <v>-18053.219553012925</v>
      </c>
      <c r="AI222" s="69">
        <f>AH222-'Register FA'!AV1446/10^6</f>
        <v>-18195.703417715009</v>
      </c>
    </row>
    <row r="223" spans="1:35" ht="14.25" customHeight="1" x14ac:dyDescent="0.35">
      <c r="A223" s="21"/>
      <c r="B223" s="21"/>
      <c r="C223" s="21" t="s">
        <v>192</v>
      </c>
      <c r="D223" s="21"/>
      <c r="E223" s="21"/>
      <c r="F223" s="21"/>
      <c r="G223" s="21"/>
      <c r="H223" s="22" t="s">
        <v>19</v>
      </c>
      <c r="I223" s="21"/>
      <c r="J223" s="31"/>
      <c r="K223" s="69">
        <f t="shared" si="143"/>
        <v>137.54680856000002</v>
      </c>
      <c r="L223" s="69">
        <f>SUMIFS('BS Actual MTM - Aug 26'!E:E,'BS Actual MTM - Aug 26'!$R:$R,$C223)/10^6</f>
        <v>137.54680856000002</v>
      </c>
      <c r="M223" s="69">
        <f>SUMIFS('BS Actual MTM - Aug 26'!F:F,'BS Actual MTM - Aug 26'!$R:$R,$C223)/10^6</f>
        <v>137.54680856000002</v>
      </c>
      <c r="N223" s="69">
        <f>SUMIFS('BS Actual MTM - Aug 26'!G:G,'BS Actual MTM - Aug 26'!$R:$R,$C223)/10^6</f>
        <v>137.54680856000002</v>
      </c>
      <c r="O223" s="69">
        <f>SUMIFS('BS Actual MTM - Aug 26'!H:H,'BS Actual MTM - Aug 26'!$R:$R,$C223)/10^6</f>
        <v>137.54680856000002</v>
      </c>
      <c r="P223" s="69">
        <f>SUMIFS('BS Actual MTM - Aug 26'!I:I,'BS Actual MTM - Aug 26'!$R:$R,$C223)/10^6</f>
        <v>137.54680856000002</v>
      </c>
      <c r="Q223" s="69">
        <f>SUMIFS('BS Actual MTM - Aug 26'!J:J,'BS Actual MTM - Aug 26'!$R:$R,$C223)/10^6</f>
        <v>137.54680856000002</v>
      </c>
      <c r="R223" s="69">
        <f>SUMIFS('BS Actual MTM - Aug 26'!K:K,'BS Actual MTM - Aug 26'!$R:$R,$C223)/10^6</f>
        <v>137.54680856000002</v>
      </c>
      <c r="S223" s="69">
        <f>SUMIFS('BS Actual MTM - Aug 26'!L:L,'BS Actual MTM - Aug 26'!$R:$R,$C223)/10^6</f>
        <v>137.54680856000002</v>
      </c>
      <c r="T223" s="69">
        <f t="shared" ref="T223:AI223" si="144">S223</f>
        <v>137.54680856000002</v>
      </c>
      <c r="U223" s="69">
        <f t="shared" si="144"/>
        <v>137.54680856000002</v>
      </c>
      <c r="V223" s="69">
        <f t="shared" si="144"/>
        <v>137.54680856000002</v>
      </c>
      <c r="W223" s="69">
        <f t="shared" si="144"/>
        <v>137.54680856000002</v>
      </c>
      <c r="X223" s="69">
        <f t="shared" si="144"/>
        <v>137.54680856000002</v>
      </c>
      <c r="Y223" s="69">
        <f t="shared" si="144"/>
        <v>137.54680856000002</v>
      </c>
      <c r="Z223" s="69">
        <f t="shared" si="144"/>
        <v>137.54680856000002</v>
      </c>
      <c r="AA223" s="69">
        <f t="shared" si="144"/>
        <v>137.54680856000002</v>
      </c>
      <c r="AB223" s="69">
        <f t="shared" si="144"/>
        <v>137.54680856000002</v>
      </c>
      <c r="AC223" s="69">
        <f t="shared" si="144"/>
        <v>137.54680856000002</v>
      </c>
      <c r="AD223" s="69">
        <f t="shared" si="144"/>
        <v>137.54680856000002</v>
      </c>
      <c r="AE223" s="69">
        <f t="shared" si="144"/>
        <v>137.54680856000002</v>
      </c>
      <c r="AF223" s="69">
        <f t="shared" si="144"/>
        <v>137.54680856000002</v>
      </c>
      <c r="AG223" s="69">
        <f t="shared" si="144"/>
        <v>137.54680856000002</v>
      </c>
      <c r="AH223" s="69">
        <f t="shared" si="144"/>
        <v>137.54680856000002</v>
      </c>
      <c r="AI223" s="69">
        <f t="shared" si="144"/>
        <v>137.54680856000002</v>
      </c>
    </row>
    <row r="224" spans="1:35" ht="14.25" customHeight="1" x14ac:dyDescent="0.35">
      <c r="A224" s="21"/>
      <c r="B224" s="21"/>
      <c r="C224" s="21" t="s">
        <v>193</v>
      </c>
      <c r="D224" s="21"/>
      <c r="E224" s="21"/>
      <c r="F224" s="21"/>
      <c r="G224" s="21"/>
      <c r="H224" s="22" t="s">
        <v>19</v>
      </c>
      <c r="I224" s="21"/>
      <c r="J224" s="31"/>
      <c r="K224" s="69">
        <f t="shared" si="143"/>
        <v>0</v>
      </c>
      <c r="L224" s="69">
        <f>SUMIFS('BS Actual MTM - Aug 26'!E:E,'BS Actual MTM - Aug 26'!$R:$R,$C224)/10^6</f>
        <v>0</v>
      </c>
      <c r="M224" s="69">
        <f>SUMIFS('BS Actual MTM - Aug 26'!F:F,'BS Actual MTM - Aug 26'!$R:$R,$C224)/10^6</f>
        <v>0</v>
      </c>
      <c r="N224" s="69">
        <f>SUMIFS('BS Actual MTM - Aug 26'!G:G,'BS Actual MTM - Aug 26'!$R:$R,$C224)/10^6</f>
        <v>0</v>
      </c>
      <c r="O224" s="69">
        <f>SUMIFS('BS Actual MTM - Aug 26'!H:H,'BS Actual MTM - Aug 26'!$R:$R,$C224)/10^6</f>
        <v>0</v>
      </c>
      <c r="P224" s="69">
        <f>SUMIFS('BS Actual MTM - Aug 26'!I:I,'BS Actual MTM - Aug 26'!$R:$R,$C224)/10^6</f>
        <v>0</v>
      </c>
      <c r="Q224" s="69">
        <f>SUMIFS('BS Actual MTM - Aug 26'!J:J,'BS Actual MTM - Aug 26'!$R:$R,$C224)/10^6</f>
        <v>0</v>
      </c>
      <c r="R224" s="69">
        <f>SUMIFS('BS Actual MTM - Aug 26'!K:K,'BS Actual MTM - Aug 26'!$R:$R,$C224)/10^6</f>
        <v>0</v>
      </c>
      <c r="S224" s="69">
        <f>SUMIFS('BS Actual MTM - Aug 26'!L:L,'BS Actual MTM - Aug 26'!$R:$R,$C224)/10^6</f>
        <v>0</v>
      </c>
      <c r="T224" s="69">
        <f t="shared" ref="T224:AI224" si="145">S224</f>
        <v>0</v>
      </c>
      <c r="U224" s="69">
        <f t="shared" si="145"/>
        <v>0</v>
      </c>
      <c r="V224" s="69">
        <f t="shared" si="145"/>
        <v>0</v>
      </c>
      <c r="W224" s="69">
        <f t="shared" si="145"/>
        <v>0</v>
      </c>
      <c r="X224" s="69">
        <f t="shared" si="145"/>
        <v>0</v>
      </c>
      <c r="Y224" s="69">
        <f t="shared" si="145"/>
        <v>0</v>
      </c>
      <c r="Z224" s="69">
        <f t="shared" si="145"/>
        <v>0</v>
      </c>
      <c r="AA224" s="69">
        <f t="shared" si="145"/>
        <v>0</v>
      </c>
      <c r="AB224" s="69">
        <f t="shared" si="145"/>
        <v>0</v>
      </c>
      <c r="AC224" s="69">
        <f t="shared" si="145"/>
        <v>0</v>
      </c>
      <c r="AD224" s="69">
        <f t="shared" si="145"/>
        <v>0</v>
      </c>
      <c r="AE224" s="69">
        <f t="shared" si="145"/>
        <v>0</v>
      </c>
      <c r="AF224" s="69">
        <f t="shared" si="145"/>
        <v>0</v>
      </c>
      <c r="AG224" s="69">
        <f t="shared" si="145"/>
        <v>0</v>
      </c>
      <c r="AH224" s="69">
        <f t="shared" si="145"/>
        <v>0</v>
      </c>
      <c r="AI224" s="69">
        <f t="shared" si="145"/>
        <v>0</v>
      </c>
    </row>
    <row r="225" spans="1:35" ht="14.25" customHeight="1" x14ac:dyDescent="0.35">
      <c r="A225" s="21"/>
      <c r="B225" s="21"/>
      <c r="C225" s="28" t="s">
        <v>194</v>
      </c>
      <c r="D225" s="28"/>
      <c r="E225" s="28"/>
      <c r="F225" s="28"/>
      <c r="G225" s="28"/>
      <c r="H225" s="56" t="s">
        <v>19</v>
      </c>
      <c r="I225" s="28"/>
      <c r="J225" s="41"/>
      <c r="K225" s="41">
        <f t="shared" ref="K225:AI225" si="146">SUM(K212:K216,K218:K224)</f>
        <v>19152.422783513204</v>
      </c>
      <c r="L225" s="41">
        <f t="shared" si="146"/>
        <v>21180.689755530024</v>
      </c>
      <c r="M225" s="41">
        <f t="shared" si="146"/>
        <v>21309.71454538004</v>
      </c>
      <c r="N225" s="41">
        <f t="shared" si="146"/>
        <v>21070.934268380042</v>
      </c>
      <c r="O225" s="41">
        <f t="shared" si="146"/>
        <v>20769.081438640038</v>
      </c>
      <c r="P225" s="41">
        <f t="shared" si="146"/>
        <v>21118.744246560036</v>
      </c>
      <c r="Q225" s="41">
        <f t="shared" si="146"/>
        <v>20819.365913220034</v>
      </c>
      <c r="R225" s="41">
        <f t="shared" si="146"/>
        <v>20547.327895680042</v>
      </c>
      <c r="S225" s="41">
        <f t="shared" si="146"/>
        <v>20392.835853589044</v>
      </c>
      <c r="T225" s="41">
        <f t="shared" si="146"/>
        <v>20080.598888180284</v>
      </c>
      <c r="U225" s="41">
        <f t="shared" si="146"/>
        <v>19768.639318601548</v>
      </c>
      <c r="V225" s="41">
        <f t="shared" si="146"/>
        <v>19459.267410005294</v>
      </c>
      <c r="W225" s="41">
        <f t="shared" si="146"/>
        <v>19152.422783513204</v>
      </c>
      <c r="X225" s="41">
        <f t="shared" si="146"/>
        <v>18846.69677564612</v>
      </c>
      <c r="Y225" s="41">
        <f t="shared" si="146"/>
        <v>18541.429778195707</v>
      </c>
      <c r="Z225" s="41">
        <f t="shared" si="146"/>
        <v>18236.827691891118</v>
      </c>
      <c r="AA225" s="41">
        <f t="shared" si="146"/>
        <v>17940.568666003201</v>
      </c>
      <c r="AB225" s="41">
        <f t="shared" si="146"/>
        <v>17644.890980281951</v>
      </c>
      <c r="AC225" s="41">
        <f t="shared" si="146"/>
        <v>17349.932919560706</v>
      </c>
      <c r="AD225" s="41">
        <f t="shared" si="146"/>
        <v>17055.393461631116</v>
      </c>
      <c r="AE225" s="41">
        <f t="shared" si="146"/>
        <v>16761.91858703487</v>
      </c>
      <c r="AF225" s="41">
        <f t="shared" si="146"/>
        <v>16468.955883271941</v>
      </c>
      <c r="AG225" s="41">
        <f t="shared" si="146"/>
        <v>16177.665839988204</v>
      </c>
      <c r="AH225" s="41">
        <f t="shared" si="146"/>
        <v>15886.57818032903</v>
      </c>
      <c r="AI225" s="41">
        <f t="shared" si="146"/>
        <v>15596.0269790032</v>
      </c>
    </row>
    <row r="226" spans="1:35" ht="14.25" customHeight="1" x14ac:dyDescent="0.35">
      <c r="A226" s="21"/>
      <c r="B226" s="21"/>
      <c r="C226" s="37" t="s">
        <v>195</v>
      </c>
      <c r="D226" s="37"/>
      <c r="E226" s="37"/>
      <c r="F226" s="37"/>
      <c r="G226" s="37"/>
      <c r="H226" s="38" t="s">
        <v>19</v>
      </c>
      <c r="I226" s="37"/>
      <c r="J226" s="40"/>
      <c r="K226" s="40">
        <f t="shared" ref="K226:AI226" si="147">K225+K209</f>
        <v>46108.565906456737</v>
      </c>
      <c r="L226" s="40">
        <f t="shared" si="147"/>
        <v>42084.155825500013</v>
      </c>
      <c r="M226" s="40">
        <f t="shared" si="147"/>
        <v>43033.809257970031</v>
      </c>
      <c r="N226" s="40">
        <f t="shared" si="147"/>
        <v>40877.047815680038</v>
      </c>
      <c r="O226" s="40">
        <f t="shared" si="147"/>
        <v>41544.727564160014</v>
      </c>
      <c r="P226" s="40">
        <f t="shared" si="147"/>
        <v>42961.910108630014</v>
      </c>
      <c r="Q226" s="40">
        <f t="shared" si="147"/>
        <v>53004.102525500006</v>
      </c>
      <c r="R226" s="40">
        <f t="shared" si="147"/>
        <v>42650.489684500018</v>
      </c>
      <c r="S226" s="40">
        <f t="shared" si="147"/>
        <v>45065.117884919033</v>
      </c>
      <c r="T226" s="40">
        <f t="shared" si="147"/>
        <v>44958.230030428807</v>
      </c>
      <c r="U226" s="40">
        <f t="shared" si="147"/>
        <v>45309.966410697991</v>
      </c>
      <c r="V226" s="40">
        <f t="shared" si="147"/>
        <v>45868.334388138544</v>
      </c>
      <c r="W226" s="40">
        <f t="shared" si="147"/>
        <v>46108.565906456737</v>
      </c>
      <c r="X226" s="40">
        <f t="shared" si="147"/>
        <v>46407.102009258509</v>
      </c>
      <c r="Y226" s="40">
        <f t="shared" si="147"/>
        <v>47164.035910132428</v>
      </c>
      <c r="Z226" s="40">
        <f t="shared" si="147"/>
        <v>47007.687843722568</v>
      </c>
      <c r="AA226" s="40">
        <f t="shared" si="147"/>
        <v>47453.184305143164</v>
      </c>
      <c r="AB226" s="40">
        <f t="shared" si="147"/>
        <v>47616.88835477308</v>
      </c>
      <c r="AC226" s="40">
        <f t="shared" si="147"/>
        <v>48065.653400067342</v>
      </c>
      <c r="AD226" s="40">
        <f t="shared" si="147"/>
        <v>48231.328265430493</v>
      </c>
      <c r="AE226" s="40">
        <f t="shared" si="147"/>
        <v>48540.007157237982</v>
      </c>
      <c r="AF226" s="40">
        <f t="shared" si="147"/>
        <v>48991.655647065185</v>
      </c>
      <c r="AG226" s="40">
        <f t="shared" si="147"/>
        <v>49160.046269785118</v>
      </c>
      <c r="AH226" s="40">
        <f t="shared" si="147"/>
        <v>49613.002371986739</v>
      </c>
      <c r="AI226" s="40">
        <f t="shared" si="147"/>
        <v>49781.84583629563</v>
      </c>
    </row>
    <row r="227" spans="1:35" ht="14.25" customHeight="1" x14ac:dyDescent="0.35">
      <c r="A227" s="21"/>
      <c r="B227" s="21"/>
      <c r="C227" s="21" t="s">
        <v>196</v>
      </c>
      <c r="D227" s="21"/>
      <c r="E227" s="21"/>
      <c r="F227" s="21"/>
      <c r="G227" s="21"/>
      <c r="H227" s="22" t="s">
        <v>19</v>
      </c>
      <c r="I227" s="68"/>
      <c r="J227" s="31"/>
      <c r="K227" s="69">
        <f t="shared" ref="K227:K249" si="148">W227</f>
        <v>0</v>
      </c>
      <c r="L227" s="69">
        <f>SUMIFS('BS Actual MTM - Aug 26'!E:E,'BS Actual MTM - Aug 26'!$R:$R,$C227)/10^6</f>
        <v>0</v>
      </c>
      <c r="M227" s="69">
        <f>SUMIFS('BS Actual MTM - Aug 26'!F:F,'BS Actual MTM - Aug 26'!$R:$R,$C227)/10^6</f>
        <v>0</v>
      </c>
      <c r="N227" s="69">
        <f>SUMIFS('BS Actual MTM - Aug 26'!G:G,'BS Actual MTM - Aug 26'!$R:$R,$C227)/10^6</f>
        <v>0</v>
      </c>
      <c r="O227" s="69">
        <f>SUMIFS('BS Actual MTM - Aug 26'!H:H,'BS Actual MTM - Aug 26'!$R:$R,$C227)/10^6</f>
        <v>17.999676999999998</v>
      </c>
      <c r="P227" s="69">
        <f>SUMIFS('BS Actual MTM - Aug 26'!I:I,'BS Actual MTM - Aug 26'!$R:$R,$C227)/10^6</f>
        <v>0</v>
      </c>
      <c r="Q227" s="69">
        <f>SUMIFS('BS Actual MTM - Aug 26'!J:J,'BS Actual MTM - Aug 26'!$R:$R,$C227)/10^6</f>
        <v>9994.8071870000003</v>
      </c>
      <c r="R227" s="69">
        <f>SUMIFS('BS Actual MTM - Aug 26'!K:K,'BS Actual MTM - Aug 26'!$R:$R,$C227)/10^6</f>
        <v>0</v>
      </c>
      <c r="S227" s="69">
        <f>SUMIFS('BS Actual MTM - Aug 26'!L:L,'BS Actual MTM - Aug 26'!$R:$R,$C227)/10^6</f>
        <v>0</v>
      </c>
      <c r="T227" s="69">
        <f t="shared" ref="T227:AI227" si="149">S227+T170+T173</f>
        <v>0</v>
      </c>
      <c r="U227" s="69">
        <f t="shared" si="149"/>
        <v>0</v>
      </c>
      <c r="V227" s="69">
        <f t="shared" si="149"/>
        <v>0</v>
      </c>
      <c r="W227" s="69">
        <f t="shared" si="149"/>
        <v>0</v>
      </c>
      <c r="X227" s="69">
        <f t="shared" si="149"/>
        <v>0</v>
      </c>
      <c r="Y227" s="69">
        <f t="shared" si="149"/>
        <v>0</v>
      </c>
      <c r="Z227" s="69">
        <f t="shared" si="149"/>
        <v>0</v>
      </c>
      <c r="AA227" s="69">
        <f t="shared" si="149"/>
        <v>0</v>
      </c>
      <c r="AB227" s="69">
        <f t="shared" si="149"/>
        <v>0</v>
      </c>
      <c r="AC227" s="69">
        <f t="shared" si="149"/>
        <v>0</v>
      </c>
      <c r="AD227" s="69">
        <f t="shared" si="149"/>
        <v>0</v>
      </c>
      <c r="AE227" s="69">
        <f t="shared" si="149"/>
        <v>0</v>
      </c>
      <c r="AF227" s="69">
        <f t="shared" si="149"/>
        <v>0</v>
      </c>
      <c r="AG227" s="69">
        <f t="shared" si="149"/>
        <v>0</v>
      </c>
      <c r="AH227" s="69">
        <f t="shared" si="149"/>
        <v>0</v>
      </c>
      <c r="AI227" s="69">
        <f t="shared" si="149"/>
        <v>0</v>
      </c>
    </row>
    <row r="228" spans="1:35" ht="14.25" customHeight="1" x14ac:dyDescent="0.35">
      <c r="A228" s="21"/>
      <c r="B228" s="21"/>
      <c r="C228" s="21" t="s">
        <v>197</v>
      </c>
      <c r="D228" s="21"/>
      <c r="E228" s="21"/>
      <c r="F228" s="21"/>
      <c r="G228" s="21"/>
      <c r="H228" s="22"/>
      <c r="I228" s="21"/>
      <c r="J228" s="31"/>
      <c r="K228" s="69">
        <f t="shared" si="148"/>
        <v>3340.0123591738516</v>
      </c>
      <c r="L228" s="31">
        <f t="shared" ref="L228:AI228" si="150">SUM(L229:L230)</f>
        <v>3662.0556813400003</v>
      </c>
      <c r="M228" s="31">
        <f t="shared" si="150"/>
        <v>3815.9043742499998</v>
      </c>
      <c r="N228" s="31">
        <f t="shared" si="150"/>
        <v>2588.10989561</v>
      </c>
      <c r="O228" s="31">
        <f t="shared" si="150"/>
        <v>3069.8788144</v>
      </c>
      <c r="P228" s="31">
        <f t="shared" si="150"/>
        <v>3808.97872418</v>
      </c>
      <c r="Q228" s="31">
        <f t="shared" si="150"/>
        <v>3458.05579188</v>
      </c>
      <c r="R228" s="31">
        <f t="shared" si="150"/>
        <v>2721.7323577500001</v>
      </c>
      <c r="S228" s="31">
        <f t="shared" si="150"/>
        <v>3718.7909086499999</v>
      </c>
      <c r="T228" s="31">
        <f t="shared" si="150"/>
        <v>3381.3084993187431</v>
      </c>
      <c r="U228" s="31">
        <f t="shared" si="150"/>
        <v>3308.8568702138064</v>
      </c>
      <c r="V228" s="31">
        <f t="shared" si="150"/>
        <v>3450.0759836154339</v>
      </c>
      <c r="W228" s="31">
        <f t="shared" si="150"/>
        <v>3340.0123591738516</v>
      </c>
      <c r="X228" s="31">
        <f t="shared" si="150"/>
        <v>3340.003717930832</v>
      </c>
      <c r="Y228" s="31">
        <f t="shared" si="150"/>
        <v>3696.1366559515927</v>
      </c>
      <c r="Z228" s="31">
        <f t="shared" si="150"/>
        <v>3338.7819478758461</v>
      </c>
      <c r="AA228" s="31">
        <f t="shared" si="150"/>
        <v>3447.5185666375869</v>
      </c>
      <c r="AB228" s="31">
        <f t="shared" si="150"/>
        <v>3336.099260927806</v>
      </c>
      <c r="AC228" s="31">
        <f t="shared" si="150"/>
        <v>3446.5996272780735</v>
      </c>
      <c r="AD228" s="31">
        <f t="shared" si="150"/>
        <v>3335.0340987187251</v>
      </c>
      <c r="AE228" s="31">
        <f t="shared" si="150"/>
        <v>3334.4728030794745</v>
      </c>
      <c r="AF228" s="31">
        <f t="shared" si="150"/>
        <v>3445.6302420722282</v>
      </c>
      <c r="AG228" s="31">
        <f t="shared" si="150"/>
        <v>3334.2257033184956</v>
      </c>
      <c r="AH228" s="31">
        <f t="shared" si="150"/>
        <v>3445.3700917870415</v>
      </c>
      <c r="AI228" s="31">
        <f t="shared" si="150"/>
        <v>3334.0797811595721</v>
      </c>
    </row>
    <row r="229" spans="1:35" ht="14.25" customHeight="1" x14ac:dyDescent="0.35">
      <c r="A229" s="66"/>
      <c r="B229" s="66"/>
      <c r="C229" s="70" t="s">
        <v>198</v>
      </c>
      <c r="D229" s="66"/>
      <c r="E229" s="66"/>
      <c r="F229" s="66"/>
      <c r="G229" s="66"/>
      <c r="H229" s="67" t="s">
        <v>19</v>
      </c>
      <c r="I229" s="68"/>
      <c r="J229" s="69"/>
      <c r="K229" s="69">
        <f t="shared" si="148"/>
        <v>3340.0123591738516</v>
      </c>
      <c r="L229" s="69">
        <f>SUMIFS('BS Actual MTM - Aug 26'!E:E,'BS Actual MTM - Aug 26'!$R:$R,$C229)/10^6</f>
        <v>3662.0556813400003</v>
      </c>
      <c r="M229" s="69">
        <f>SUMIFS('BS Actual MTM - Aug 26'!F:F,'BS Actual MTM - Aug 26'!$R:$R,$C229)/10^6</f>
        <v>3815.9043742499998</v>
      </c>
      <c r="N229" s="69">
        <f>SUMIFS('BS Actual MTM - Aug 26'!G:G,'BS Actual MTM - Aug 26'!$R:$R,$C229)/10^6</f>
        <v>2588.10989561</v>
      </c>
      <c r="O229" s="69">
        <f>SUMIFS('BS Actual MTM - Aug 26'!H:H,'BS Actual MTM - Aug 26'!$R:$R,$C229)/10^6</f>
        <v>3069.8788144</v>
      </c>
      <c r="P229" s="69">
        <f>SUMIFS('BS Actual MTM - Aug 26'!I:I,'BS Actual MTM - Aug 26'!$R:$R,$C229)/10^6</f>
        <v>3808.97872418</v>
      </c>
      <c r="Q229" s="69">
        <f>SUMIFS('BS Actual MTM - Aug 26'!J:J,'BS Actual MTM - Aug 26'!$R:$R,$C229)/10^6</f>
        <v>3458.05579188</v>
      </c>
      <c r="R229" s="69">
        <f>SUMIFS('BS Actual MTM - Aug 26'!K:K,'BS Actual MTM - Aug 26'!$R:$R,$C229)/10^6</f>
        <v>2721.7323577500001</v>
      </c>
      <c r="S229" s="69">
        <f>SUMIFS('BS Actual MTM - Aug 26'!L:L,'BS Actual MTM - Aug 26'!$R:$R,$C229)/10^6</f>
        <v>3718.7909086499999</v>
      </c>
      <c r="T229" s="69">
        <f t="shared" ref="T229:AI229" si="151">-T64*T$281/DAY(T$5)</f>
        <v>3381.3084993187431</v>
      </c>
      <c r="U229" s="69">
        <f t="shared" si="151"/>
        <v>3308.8568702138064</v>
      </c>
      <c r="V229" s="69">
        <f t="shared" si="151"/>
        <v>3450.0759836154339</v>
      </c>
      <c r="W229" s="69">
        <f t="shared" si="151"/>
        <v>3340.0123591738516</v>
      </c>
      <c r="X229" s="69">
        <f t="shared" si="151"/>
        <v>3340.003717930832</v>
      </c>
      <c r="Y229" s="69">
        <f t="shared" si="151"/>
        <v>3696.1366559515927</v>
      </c>
      <c r="Z229" s="69">
        <f t="shared" si="151"/>
        <v>3338.7819478758461</v>
      </c>
      <c r="AA229" s="69">
        <f t="shared" si="151"/>
        <v>3447.5185666375869</v>
      </c>
      <c r="AB229" s="69">
        <f t="shared" si="151"/>
        <v>3336.099260927806</v>
      </c>
      <c r="AC229" s="69">
        <f t="shared" si="151"/>
        <v>3446.5996272780735</v>
      </c>
      <c r="AD229" s="69">
        <f t="shared" si="151"/>
        <v>3335.0340987187251</v>
      </c>
      <c r="AE229" s="69">
        <f t="shared" si="151"/>
        <v>3334.4728030794745</v>
      </c>
      <c r="AF229" s="69">
        <f t="shared" si="151"/>
        <v>3445.6302420722282</v>
      </c>
      <c r="AG229" s="69">
        <f t="shared" si="151"/>
        <v>3334.2257033184956</v>
      </c>
      <c r="AH229" s="69">
        <f t="shared" si="151"/>
        <v>3445.3700917870415</v>
      </c>
      <c r="AI229" s="69">
        <f t="shared" si="151"/>
        <v>3334.0797811595721</v>
      </c>
    </row>
    <row r="230" spans="1:35" ht="14.25" customHeight="1" x14ac:dyDescent="0.35">
      <c r="A230" s="66"/>
      <c r="B230" s="66"/>
      <c r="C230" s="70" t="s">
        <v>199</v>
      </c>
      <c r="D230" s="66"/>
      <c r="E230" s="66"/>
      <c r="F230" s="66"/>
      <c r="G230" s="66"/>
      <c r="H230" s="67" t="s">
        <v>19</v>
      </c>
      <c r="I230" s="66"/>
      <c r="J230" s="69"/>
      <c r="K230" s="69">
        <f t="shared" si="148"/>
        <v>0</v>
      </c>
      <c r="L230" s="69">
        <f>SUMIFS('BS Actual MTM - Aug 26'!E:E,'BS Actual MTM - Aug 26'!$R:$R,$C230)/10^6</f>
        <v>0</v>
      </c>
      <c r="M230" s="69">
        <f>SUMIFS('BS Actual MTM - Aug 26'!F:F,'BS Actual MTM - Aug 26'!$R:$R,$C230)/10^6</f>
        <v>0</v>
      </c>
      <c r="N230" s="69">
        <f>SUMIFS('BS Actual MTM - Aug 26'!G:G,'BS Actual MTM - Aug 26'!$R:$R,$C230)/10^6</f>
        <v>0</v>
      </c>
      <c r="O230" s="69">
        <f>SUMIFS('BS Actual MTM - Aug 26'!H:H,'BS Actual MTM - Aug 26'!$R:$R,$C230)/10^6</f>
        <v>0</v>
      </c>
      <c r="P230" s="69">
        <f>SUMIFS('BS Actual MTM - Aug 26'!I:I,'BS Actual MTM - Aug 26'!$R:$R,$C230)/10^6</f>
        <v>0</v>
      </c>
      <c r="Q230" s="69">
        <f>SUMIFS('BS Actual MTM - Aug 26'!J:J,'BS Actual MTM - Aug 26'!$R:$R,$C230)/10^6</f>
        <v>0</v>
      </c>
      <c r="R230" s="69">
        <f>SUMIFS('BS Actual MTM - Aug 26'!K:K,'BS Actual MTM - Aug 26'!$R:$R,$C230)/10^6</f>
        <v>0</v>
      </c>
      <c r="S230" s="69">
        <f>SUMIFS('BS Actual MTM - Aug 26'!L:L,'BS Actual MTM - Aug 26'!$R:$R,$C230)/10^6</f>
        <v>0</v>
      </c>
      <c r="T230" s="69">
        <f t="shared" ref="T230:AI230" si="152">S230</f>
        <v>0</v>
      </c>
      <c r="U230" s="69">
        <f t="shared" si="152"/>
        <v>0</v>
      </c>
      <c r="V230" s="69">
        <f t="shared" si="152"/>
        <v>0</v>
      </c>
      <c r="W230" s="69">
        <f t="shared" si="152"/>
        <v>0</v>
      </c>
      <c r="X230" s="69">
        <f t="shared" si="152"/>
        <v>0</v>
      </c>
      <c r="Y230" s="69">
        <f t="shared" si="152"/>
        <v>0</v>
      </c>
      <c r="Z230" s="69">
        <f t="shared" si="152"/>
        <v>0</v>
      </c>
      <c r="AA230" s="69">
        <f t="shared" si="152"/>
        <v>0</v>
      </c>
      <c r="AB230" s="69">
        <f t="shared" si="152"/>
        <v>0</v>
      </c>
      <c r="AC230" s="69">
        <f t="shared" si="152"/>
        <v>0</v>
      </c>
      <c r="AD230" s="69">
        <f t="shared" si="152"/>
        <v>0</v>
      </c>
      <c r="AE230" s="69">
        <f t="shared" si="152"/>
        <v>0</v>
      </c>
      <c r="AF230" s="69">
        <f t="shared" si="152"/>
        <v>0</v>
      </c>
      <c r="AG230" s="69">
        <f t="shared" si="152"/>
        <v>0</v>
      </c>
      <c r="AH230" s="69">
        <f t="shared" si="152"/>
        <v>0</v>
      </c>
      <c r="AI230" s="69">
        <f t="shared" si="152"/>
        <v>0</v>
      </c>
    </row>
    <row r="231" spans="1:35" ht="14.25" customHeight="1" x14ac:dyDescent="0.35">
      <c r="A231" s="21"/>
      <c r="B231" s="21"/>
      <c r="C231" s="21" t="s">
        <v>200</v>
      </c>
      <c r="D231" s="21"/>
      <c r="E231" s="21"/>
      <c r="F231" s="21"/>
      <c r="G231" s="21"/>
      <c r="H231" s="22"/>
      <c r="I231" s="21"/>
      <c r="J231" s="31"/>
      <c r="K231" s="69">
        <f t="shared" si="148"/>
        <v>530.07948503</v>
      </c>
      <c r="L231" s="31">
        <f t="shared" ref="L231:AI231" si="153">SUM(L232:L233)</f>
        <v>714.14192254999989</v>
      </c>
      <c r="M231" s="31">
        <f t="shared" si="153"/>
        <v>597.89194710000004</v>
      </c>
      <c r="N231" s="31">
        <f t="shared" si="153"/>
        <v>459.76996100000002</v>
      </c>
      <c r="O231" s="31">
        <f t="shared" si="153"/>
        <v>585.32089461999999</v>
      </c>
      <c r="P231" s="31">
        <f t="shared" si="153"/>
        <v>573.21854882000002</v>
      </c>
      <c r="Q231" s="31">
        <f t="shared" si="153"/>
        <v>448.51418536000006</v>
      </c>
      <c r="R231" s="31">
        <f t="shared" si="153"/>
        <v>464.05229186000003</v>
      </c>
      <c r="S231" s="31">
        <f t="shared" si="153"/>
        <v>530.07948503</v>
      </c>
      <c r="T231" s="31">
        <f t="shared" si="153"/>
        <v>530.07948503</v>
      </c>
      <c r="U231" s="31">
        <f t="shared" si="153"/>
        <v>530.07948503</v>
      </c>
      <c r="V231" s="31">
        <f t="shared" si="153"/>
        <v>530.07948503</v>
      </c>
      <c r="W231" s="31">
        <f t="shared" si="153"/>
        <v>530.07948503</v>
      </c>
      <c r="X231" s="31">
        <f t="shared" si="153"/>
        <v>530.07948503</v>
      </c>
      <c r="Y231" s="31">
        <f t="shared" si="153"/>
        <v>530.07948503</v>
      </c>
      <c r="Z231" s="31">
        <f t="shared" si="153"/>
        <v>530.07948503</v>
      </c>
      <c r="AA231" s="31">
        <f t="shared" si="153"/>
        <v>530.07948503</v>
      </c>
      <c r="AB231" s="31">
        <f t="shared" si="153"/>
        <v>530.07948503</v>
      </c>
      <c r="AC231" s="31">
        <f t="shared" si="153"/>
        <v>530.07948503</v>
      </c>
      <c r="AD231" s="31">
        <f t="shared" si="153"/>
        <v>530.07948503</v>
      </c>
      <c r="AE231" s="31">
        <f t="shared" si="153"/>
        <v>530.07948503</v>
      </c>
      <c r="AF231" s="31">
        <f t="shared" si="153"/>
        <v>530.07948503</v>
      </c>
      <c r="AG231" s="31">
        <f t="shared" si="153"/>
        <v>530.07948503</v>
      </c>
      <c r="AH231" s="31">
        <f t="shared" si="153"/>
        <v>530.07948503</v>
      </c>
      <c r="AI231" s="31">
        <f t="shared" si="153"/>
        <v>530.07948503</v>
      </c>
    </row>
    <row r="232" spans="1:35" ht="14.25" customHeight="1" x14ac:dyDescent="0.35">
      <c r="A232" s="66"/>
      <c r="B232" s="66"/>
      <c r="C232" s="70" t="s">
        <v>201</v>
      </c>
      <c r="D232" s="66"/>
      <c r="E232" s="66"/>
      <c r="F232" s="66"/>
      <c r="G232" s="66"/>
      <c r="H232" s="67" t="s">
        <v>19</v>
      </c>
      <c r="I232" s="66"/>
      <c r="J232" s="69"/>
      <c r="K232" s="69">
        <f t="shared" si="148"/>
        <v>530.07948503</v>
      </c>
      <c r="L232" s="69">
        <f>SUMIFS('BS Actual MTM - Aug 26'!E:E,'BS Actual MTM - Aug 26'!$R:$R,$C232)/10^6</f>
        <v>712.37651054999992</v>
      </c>
      <c r="M232" s="69">
        <f>SUMIFS('BS Actual MTM - Aug 26'!F:F,'BS Actual MTM - Aug 26'!$R:$R,$C232)/10^6</f>
        <v>597.39425410000001</v>
      </c>
      <c r="N232" s="69">
        <f>SUMIFS('BS Actual MTM - Aug 26'!G:G,'BS Actual MTM - Aug 26'!$R:$R,$C232)/10^6</f>
        <v>427.86582375</v>
      </c>
      <c r="O232" s="69">
        <f>SUMIFS('BS Actual MTM - Aug 26'!H:H,'BS Actual MTM - Aug 26'!$R:$R,$C232)/10^6</f>
        <v>585.32747861999997</v>
      </c>
      <c r="P232" s="69">
        <f>SUMIFS('BS Actual MTM - Aug 26'!I:I,'BS Actual MTM - Aug 26'!$R:$R,$C232)/10^6</f>
        <v>573.22513282</v>
      </c>
      <c r="Q232" s="69">
        <f>SUMIFS('BS Actual MTM - Aug 26'!J:J,'BS Actual MTM - Aug 26'!$R:$R,$C232)/10^6</f>
        <v>448.52076936000003</v>
      </c>
      <c r="R232" s="69">
        <f>SUMIFS('BS Actual MTM - Aug 26'!K:K,'BS Actual MTM - Aug 26'!$R:$R,$C232)/10^6</f>
        <v>460.79767586000003</v>
      </c>
      <c r="S232" s="69">
        <f>SUMIFS('BS Actual MTM - Aug 26'!L:L,'BS Actual MTM - Aug 26'!$R:$R,$C232)/10^6</f>
        <v>530.07948503</v>
      </c>
      <c r="T232" s="69">
        <f t="shared" ref="T232:AI232" si="154">S232</f>
        <v>530.07948503</v>
      </c>
      <c r="U232" s="69">
        <f t="shared" si="154"/>
        <v>530.07948503</v>
      </c>
      <c r="V232" s="69">
        <f t="shared" si="154"/>
        <v>530.07948503</v>
      </c>
      <c r="W232" s="69">
        <f t="shared" si="154"/>
        <v>530.07948503</v>
      </c>
      <c r="X232" s="69">
        <f t="shared" si="154"/>
        <v>530.07948503</v>
      </c>
      <c r="Y232" s="69">
        <f t="shared" si="154"/>
        <v>530.07948503</v>
      </c>
      <c r="Z232" s="69">
        <f t="shared" si="154"/>
        <v>530.07948503</v>
      </c>
      <c r="AA232" s="69">
        <f t="shared" si="154"/>
        <v>530.07948503</v>
      </c>
      <c r="AB232" s="69">
        <f t="shared" si="154"/>
        <v>530.07948503</v>
      </c>
      <c r="AC232" s="69">
        <f t="shared" si="154"/>
        <v>530.07948503</v>
      </c>
      <c r="AD232" s="69">
        <f t="shared" si="154"/>
        <v>530.07948503</v>
      </c>
      <c r="AE232" s="69">
        <f t="shared" si="154"/>
        <v>530.07948503</v>
      </c>
      <c r="AF232" s="69">
        <f t="shared" si="154"/>
        <v>530.07948503</v>
      </c>
      <c r="AG232" s="69">
        <f t="shared" si="154"/>
        <v>530.07948503</v>
      </c>
      <c r="AH232" s="69">
        <f t="shared" si="154"/>
        <v>530.07948503</v>
      </c>
      <c r="AI232" s="69">
        <f t="shared" si="154"/>
        <v>530.07948503</v>
      </c>
    </row>
    <row r="233" spans="1:35" ht="14.25" customHeight="1" x14ac:dyDescent="0.35">
      <c r="A233" s="66"/>
      <c r="B233" s="66"/>
      <c r="C233" s="70" t="s">
        <v>202</v>
      </c>
      <c r="D233" s="66"/>
      <c r="E233" s="66"/>
      <c r="F233" s="66"/>
      <c r="G233" s="66"/>
      <c r="H233" s="67" t="s">
        <v>19</v>
      </c>
      <c r="I233" s="66"/>
      <c r="J233" s="69"/>
      <c r="K233" s="69">
        <f t="shared" si="148"/>
        <v>0</v>
      </c>
      <c r="L233" s="69">
        <f>SUMIFS('BS Actual MTM - Aug 26'!E:E,'BS Actual MTM - Aug 26'!$R:$R,$C233)/10^6</f>
        <v>1.765412</v>
      </c>
      <c r="M233" s="69">
        <f>SUMIFS('BS Actual MTM - Aug 26'!F:F,'BS Actual MTM - Aug 26'!$R:$R,$C233)/10^6</f>
        <v>0.497693</v>
      </c>
      <c r="N233" s="69">
        <f>SUMIFS('BS Actual MTM - Aug 26'!G:G,'BS Actual MTM - Aug 26'!$R:$R,$C233)/10^6</f>
        <v>31.904137250000002</v>
      </c>
      <c r="O233" s="69">
        <f>SUMIFS('BS Actual MTM - Aug 26'!H:H,'BS Actual MTM - Aug 26'!$R:$R,$C233)/10^6</f>
        <v>-6.5839999999999996E-3</v>
      </c>
      <c r="P233" s="69">
        <f>SUMIFS('BS Actual MTM - Aug 26'!I:I,'BS Actual MTM - Aug 26'!$R:$R,$C233)/10^6</f>
        <v>-6.5839999999999996E-3</v>
      </c>
      <c r="Q233" s="69">
        <f>SUMIFS('BS Actual MTM - Aug 26'!J:J,'BS Actual MTM - Aug 26'!$R:$R,$C233)/10^6</f>
        <v>-6.5839999999999996E-3</v>
      </c>
      <c r="R233" s="69">
        <f>SUMIFS('BS Actual MTM - Aug 26'!K:K,'BS Actual MTM - Aug 26'!$R:$R,$C233)/10^6</f>
        <v>3.254616</v>
      </c>
      <c r="S233" s="69">
        <f>SUMIFS('BS Actual MTM - Aug 26'!L:L,'BS Actual MTM - Aug 26'!$R:$R,$C233)/10^6</f>
        <v>0</v>
      </c>
      <c r="T233" s="69">
        <f t="shared" ref="T233:AI233" si="155">S233</f>
        <v>0</v>
      </c>
      <c r="U233" s="69">
        <f t="shared" si="155"/>
        <v>0</v>
      </c>
      <c r="V233" s="69">
        <f t="shared" si="155"/>
        <v>0</v>
      </c>
      <c r="W233" s="69">
        <f t="shared" si="155"/>
        <v>0</v>
      </c>
      <c r="X233" s="69">
        <f t="shared" si="155"/>
        <v>0</v>
      </c>
      <c r="Y233" s="69">
        <f t="shared" si="155"/>
        <v>0</v>
      </c>
      <c r="Z233" s="69">
        <f t="shared" si="155"/>
        <v>0</v>
      </c>
      <c r="AA233" s="69">
        <f t="shared" si="155"/>
        <v>0</v>
      </c>
      <c r="AB233" s="69">
        <f t="shared" si="155"/>
        <v>0</v>
      </c>
      <c r="AC233" s="69">
        <f t="shared" si="155"/>
        <v>0</v>
      </c>
      <c r="AD233" s="69">
        <f t="shared" si="155"/>
        <v>0</v>
      </c>
      <c r="AE233" s="69">
        <f t="shared" si="155"/>
        <v>0</v>
      </c>
      <c r="AF233" s="69">
        <f t="shared" si="155"/>
        <v>0</v>
      </c>
      <c r="AG233" s="69">
        <f t="shared" si="155"/>
        <v>0</v>
      </c>
      <c r="AH233" s="69">
        <f t="shared" si="155"/>
        <v>0</v>
      </c>
      <c r="AI233" s="69">
        <f t="shared" si="155"/>
        <v>0</v>
      </c>
    </row>
    <row r="234" spans="1:35" ht="14.25" customHeight="1" x14ac:dyDescent="0.35">
      <c r="A234" s="21"/>
      <c r="B234" s="21"/>
      <c r="C234" s="21" t="s">
        <v>203</v>
      </c>
      <c r="D234" s="21"/>
      <c r="E234" s="21"/>
      <c r="F234" s="21"/>
      <c r="G234" s="21"/>
      <c r="H234" s="22"/>
      <c r="I234" s="21"/>
      <c r="J234" s="31"/>
      <c r="K234" s="69">
        <f t="shared" si="148"/>
        <v>929.42960703649385</v>
      </c>
      <c r="L234" s="31">
        <f t="shared" ref="L234:AI234" si="156">SUM(L235:L240)</f>
        <v>1240.95088781</v>
      </c>
      <c r="M234" s="31">
        <f t="shared" si="156"/>
        <v>972.86940406999997</v>
      </c>
      <c r="N234" s="31">
        <f t="shared" si="156"/>
        <v>1018.6882921499999</v>
      </c>
      <c r="O234" s="31">
        <f t="shared" si="156"/>
        <v>726.34815833999994</v>
      </c>
      <c r="P234" s="31">
        <f t="shared" si="156"/>
        <v>817.7678780199999</v>
      </c>
      <c r="Q234" s="31">
        <f t="shared" si="156"/>
        <v>778.62472544000002</v>
      </c>
      <c r="R234" s="31">
        <f t="shared" si="156"/>
        <v>882.06917707999992</v>
      </c>
      <c r="S234" s="31">
        <f t="shared" si="156"/>
        <v>1263.1170124699997</v>
      </c>
      <c r="T234" s="31">
        <f t="shared" si="156"/>
        <v>960.40312727104367</v>
      </c>
      <c r="U234" s="31">
        <f t="shared" si="156"/>
        <v>929.42960703649385</v>
      </c>
      <c r="V234" s="31">
        <f t="shared" si="156"/>
        <v>960.40312727104367</v>
      </c>
      <c r="W234" s="31">
        <f t="shared" si="156"/>
        <v>929.42960703649385</v>
      </c>
      <c r="X234" s="31">
        <f t="shared" si="156"/>
        <v>929.42960703649385</v>
      </c>
      <c r="Y234" s="31">
        <f t="shared" si="156"/>
        <v>1028.9873506475467</v>
      </c>
      <c r="Z234" s="31">
        <f t="shared" si="156"/>
        <v>929.42960703649385</v>
      </c>
      <c r="AA234" s="31">
        <f t="shared" si="156"/>
        <v>960.40312727104367</v>
      </c>
      <c r="AB234" s="31">
        <f t="shared" si="156"/>
        <v>929.42960703649385</v>
      </c>
      <c r="AC234" s="31">
        <f t="shared" si="156"/>
        <v>960.40312727104367</v>
      </c>
      <c r="AD234" s="31">
        <f t="shared" si="156"/>
        <v>929.42960703649385</v>
      </c>
      <c r="AE234" s="31">
        <f t="shared" si="156"/>
        <v>929.42960703649385</v>
      </c>
      <c r="AF234" s="31">
        <f t="shared" si="156"/>
        <v>960.40312727104367</v>
      </c>
      <c r="AG234" s="31">
        <f t="shared" si="156"/>
        <v>929.42960703649385</v>
      </c>
      <c r="AH234" s="31">
        <f t="shared" si="156"/>
        <v>960.40312727104367</v>
      </c>
      <c r="AI234" s="31">
        <f t="shared" si="156"/>
        <v>929.42960703649385</v>
      </c>
    </row>
    <row r="235" spans="1:35" s="69" customFormat="1" ht="14.25" customHeight="1" x14ac:dyDescent="0.3">
      <c r="A235" s="75"/>
      <c r="B235" s="75"/>
      <c r="C235" s="70" t="s">
        <v>204</v>
      </c>
      <c r="D235" s="75"/>
      <c r="E235" s="75"/>
      <c r="F235" s="75"/>
      <c r="G235" s="75"/>
      <c r="H235" s="22" t="s">
        <v>19</v>
      </c>
      <c r="I235" s="75"/>
      <c r="J235" s="76"/>
      <c r="K235" s="69">
        <f t="shared" si="148"/>
        <v>10.729035387559451</v>
      </c>
      <c r="L235" s="69">
        <f>SUMIFS('BS Actual MTM - Aug 26'!E:E,'BS Actual MTM - Aug 26'!$R:$R,$C235)/10^6</f>
        <v>5.1608627499999997</v>
      </c>
      <c r="M235" s="69">
        <f>SUMIFS('BS Actual MTM - Aug 26'!F:F,'BS Actual MTM - Aug 26'!$R:$R,$C235)/10^6</f>
        <v>20.819553249999998</v>
      </c>
      <c r="N235" s="69">
        <f>SUMIFS('BS Actual MTM - Aug 26'!G:G,'BS Actual MTM - Aug 26'!$R:$R,$C235)/10^6</f>
        <v>192.07800900000001</v>
      </c>
      <c r="O235" s="69">
        <f>SUMIFS('BS Actual MTM - Aug 26'!H:H,'BS Actual MTM - Aug 26'!$R:$R,$C235)/10^6</f>
        <v>10.499381</v>
      </c>
      <c r="P235" s="69">
        <f>SUMIFS('BS Actual MTM - Aug 26'!I:I,'BS Actual MTM - Aug 26'!$R:$R,$C235)/10^6</f>
        <v>13.088139999999999</v>
      </c>
      <c r="Q235" s="69">
        <f>SUMIFS('BS Actual MTM - Aug 26'!J:J,'BS Actual MTM - Aug 26'!$R:$R,$C235)/10^6</f>
        <v>10.894769999999999</v>
      </c>
      <c r="R235" s="69">
        <f>SUMIFS('BS Actual MTM - Aug 26'!K:K,'BS Actual MTM - Aug 26'!$R:$R,$C235)/10^6</f>
        <v>11.156440999999999</v>
      </c>
      <c r="S235" s="69">
        <f>SUMIFS('BS Actual MTM - Aug 26'!L:L,'BS Actual MTM - Aug 26'!$R:$R,$C235)/10^6</f>
        <v>11.335889</v>
      </c>
      <c r="T235" s="69">
        <f t="shared" ref="T235:AI235" si="157">T17*T$286/DAY(T$5)</f>
        <v>11.086669900478098</v>
      </c>
      <c r="U235" s="69">
        <f t="shared" si="157"/>
        <v>10.729035387559451</v>
      </c>
      <c r="V235" s="69">
        <f t="shared" si="157"/>
        <v>11.086669900478098</v>
      </c>
      <c r="W235" s="69">
        <f t="shared" si="157"/>
        <v>10.729035387559451</v>
      </c>
      <c r="X235" s="69">
        <f t="shared" si="157"/>
        <v>10.729035387559451</v>
      </c>
      <c r="Y235" s="69">
        <f t="shared" si="157"/>
        <v>11.878574893369391</v>
      </c>
      <c r="Z235" s="69">
        <f t="shared" si="157"/>
        <v>10.729035387559451</v>
      </c>
      <c r="AA235" s="69">
        <f t="shared" si="157"/>
        <v>11.086669900478098</v>
      </c>
      <c r="AB235" s="69">
        <f t="shared" si="157"/>
        <v>10.729035387559451</v>
      </c>
      <c r="AC235" s="69">
        <f t="shared" si="157"/>
        <v>11.086669900478098</v>
      </c>
      <c r="AD235" s="69">
        <f t="shared" si="157"/>
        <v>10.729035387559451</v>
      </c>
      <c r="AE235" s="69">
        <f t="shared" si="157"/>
        <v>10.729035387559451</v>
      </c>
      <c r="AF235" s="69">
        <f t="shared" si="157"/>
        <v>11.086669900478098</v>
      </c>
      <c r="AG235" s="69">
        <f t="shared" si="157"/>
        <v>10.729035387559451</v>
      </c>
      <c r="AH235" s="69">
        <f t="shared" si="157"/>
        <v>11.086669900478098</v>
      </c>
      <c r="AI235" s="69">
        <f t="shared" si="157"/>
        <v>10.729035387559451</v>
      </c>
    </row>
    <row r="236" spans="1:35" s="69" customFormat="1" ht="14.25" customHeight="1" x14ac:dyDescent="0.3">
      <c r="A236" s="75"/>
      <c r="B236" s="75"/>
      <c r="C236" s="70" t="s">
        <v>205</v>
      </c>
      <c r="D236" s="75"/>
      <c r="E236" s="75"/>
      <c r="F236" s="75"/>
      <c r="G236" s="75"/>
      <c r="H236" s="22" t="s">
        <v>19</v>
      </c>
      <c r="I236" s="75"/>
      <c r="J236" s="76"/>
      <c r="K236" s="69">
        <f t="shared" si="148"/>
        <v>7.3410607853572616</v>
      </c>
      <c r="L236" s="69">
        <f>SUMIFS('BS Actual MTM - Aug 26'!E:E,'BS Actual MTM - Aug 26'!$R:$R,$C236)/10^6</f>
        <v>5.6528491999999604</v>
      </c>
      <c r="M236" s="69">
        <f>SUMIFS('BS Actual MTM - Aug 26'!F:F,'BS Actual MTM - Aug 26'!$R:$R,$C236)/10^6</f>
        <v>5.3389515799999501</v>
      </c>
      <c r="N236" s="69">
        <f>SUMIFS('BS Actual MTM - Aug 26'!G:G,'BS Actual MTM - Aug 26'!$R:$R,$C236)/10^6</f>
        <v>3.9756054699999499</v>
      </c>
      <c r="O236" s="69">
        <f>SUMIFS('BS Actual MTM - Aug 26'!H:H,'BS Actual MTM - Aug 26'!$R:$R,$C236)/10^6</f>
        <v>4.6649145199999502</v>
      </c>
      <c r="P236" s="69">
        <f>SUMIFS('BS Actual MTM - Aug 26'!I:I,'BS Actual MTM - Aug 26'!$R:$R,$C236)/10^6</f>
        <v>5.7356775299999398</v>
      </c>
      <c r="Q236" s="69">
        <f>SUMIFS('BS Actual MTM - Aug 26'!J:J,'BS Actual MTM - Aug 26'!$R:$R,$C236)/10^6</f>
        <v>7.0712592499999403</v>
      </c>
      <c r="R236" s="69">
        <f>SUMIFS('BS Actual MTM - Aug 26'!K:K,'BS Actual MTM - Aug 26'!$R:$R,$C236)/10^6</f>
        <v>7.1290925899999298</v>
      </c>
      <c r="S236" s="69">
        <f>SUMIFS('BS Actual MTM - Aug 26'!L:L,'BS Actual MTM - Aug 26'!$R:$R,$C236)/10^6</f>
        <v>8.7482354399999309</v>
      </c>
      <c r="T236" s="69">
        <f t="shared" ref="T236:AI236" si="158">T17*T$287/DAY(T$5)</f>
        <v>7.5857628115358375</v>
      </c>
      <c r="U236" s="69">
        <f t="shared" si="158"/>
        <v>7.3410607853572616</v>
      </c>
      <c r="V236" s="69">
        <f t="shared" si="158"/>
        <v>7.5857628115358375</v>
      </c>
      <c r="W236" s="69">
        <f t="shared" si="158"/>
        <v>7.3410607853572616</v>
      </c>
      <c r="X236" s="69">
        <f t="shared" si="158"/>
        <v>7.3410607853572616</v>
      </c>
      <c r="Y236" s="69">
        <f t="shared" si="158"/>
        <v>8.1276030123598257</v>
      </c>
      <c r="Z236" s="69">
        <f t="shared" si="158"/>
        <v>7.3410607853572616</v>
      </c>
      <c r="AA236" s="69">
        <f t="shared" si="158"/>
        <v>7.5857628115358375</v>
      </c>
      <c r="AB236" s="69">
        <f t="shared" si="158"/>
        <v>7.3410607853572616</v>
      </c>
      <c r="AC236" s="69">
        <f t="shared" si="158"/>
        <v>7.5857628115358375</v>
      </c>
      <c r="AD236" s="69">
        <f t="shared" si="158"/>
        <v>7.3410607853572616</v>
      </c>
      <c r="AE236" s="69">
        <f t="shared" si="158"/>
        <v>7.3410607853572616</v>
      </c>
      <c r="AF236" s="69">
        <f t="shared" si="158"/>
        <v>7.5857628115358375</v>
      </c>
      <c r="AG236" s="69">
        <f t="shared" si="158"/>
        <v>7.3410607853572616</v>
      </c>
      <c r="AH236" s="69">
        <f t="shared" si="158"/>
        <v>7.5857628115358375</v>
      </c>
      <c r="AI236" s="69">
        <f t="shared" si="158"/>
        <v>7.3410607853572616</v>
      </c>
    </row>
    <row r="237" spans="1:35" s="69" customFormat="1" ht="14.25" customHeight="1" x14ac:dyDescent="0.3">
      <c r="A237" s="75"/>
      <c r="B237" s="75"/>
      <c r="C237" s="70" t="s">
        <v>206</v>
      </c>
      <c r="D237" s="75"/>
      <c r="E237" s="75"/>
      <c r="F237" s="75"/>
      <c r="G237" s="75"/>
      <c r="H237" s="22" t="s">
        <v>19</v>
      </c>
      <c r="I237" s="75"/>
      <c r="J237" s="76"/>
      <c r="K237" s="69">
        <f t="shared" si="148"/>
        <v>5.4598139402429657</v>
      </c>
      <c r="L237" s="69">
        <f>SUMIFS('BS Actual MTM - Aug 26'!E:E,'BS Actual MTM - Aug 26'!$R:$R,$C237)/10^6</f>
        <v>5.28594586</v>
      </c>
      <c r="M237" s="69">
        <f>SUMIFS('BS Actual MTM - Aug 26'!F:F,'BS Actual MTM - Aug 26'!$R:$R,$C237)/10^6</f>
        <v>4.9231472400000005</v>
      </c>
      <c r="N237" s="69">
        <f>SUMIFS('BS Actual MTM - Aug 26'!G:G,'BS Actual MTM - Aug 26'!$R:$R,$C237)/10^6</f>
        <v>4.1875676799999999</v>
      </c>
      <c r="O237" s="69">
        <f>SUMIFS('BS Actual MTM - Aug 26'!H:H,'BS Actual MTM - Aug 26'!$R:$R,$C237)/10^6</f>
        <v>5.2277368200000005</v>
      </c>
      <c r="P237" s="69">
        <f>SUMIFS('BS Actual MTM - Aug 26'!I:I,'BS Actual MTM - Aug 26'!$R:$R,$C237)/10^6</f>
        <v>5.8241174899999999</v>
      </c>
      <c r="Q237" s="69">
        <f>SUMIFS('BS Actual MTM - Aug 26'!J:J,'BS Actual MTM - Aug 26'!$R:$R,$C237)/10^6</f>
        <v>5.66330519</v>
      </c>
      <c r="R237" s="69">
        <f>SUMIFS('BS Actual MTM - Aug 26'!K:K,'BS Actual MTM - Aug 26'!$R:$R,$C237)/10^6</f>
        <v>6.1522954900000002</v>
      </c>
      <c r="S237" s="69">
        <f>SUMIFS('BS Actual MTM - Aug 26'!L:L,'BS Actual MTM - Aug 26'!$R:$R,$C237)/10^6</f>
        <v>5.1106800300000002</v>
      </c>
      <c r="T237" s="69">
        <f t="shared" ref="T237:AI237" si="159">T17*T$288/DAY(T$5)</f>
        <v>5.6418077382510647</v>
      </c>
      <c r="U237" s="69">
        <f t="shared" si="159"/>
        <v>5.4598139402429657</v>
      </c>
      <c r="V237" s="69">
        <f t="shared" si="159"/>
        <v>5.6418077382510647</v>
      </c>
      <c r="W237" s="69">
        <f t="shared" si="159"/>
        <v>5.4598139402429657</v>
      </c>
      <c r="X237" s="69">
        <f t="shared" si="159"/>
        <v>5.4598139402429657</v>
      </c>
      <c r="Y237" s="69">
        <f t="shared" si="159"/>
        <v>6.0447940052689981</v>
      </c>
      <c r="Z237" s="69">
        <f t="shared" si="159"/>
        <v>5.4598139402429657</v>
      </c>
      <c r="AA237" s="69">
        <f t="shared" si="159"/>
        <v>5.6418077382510647</v>
      </c>
      <c r="AB237" s="69">
        <f t="shared" si="159"/>
        <v>5.4598139402429657</v>
      </c>
      <c r="AC237" s="69">
        <f t="shared" si="159"/>
        <v>5.6418077382510647</v>
      </c>
      <c r="AD237" s="69">
        <f t="shared" si="159"/>
        <v>5.4598139402429657</v>
      </c>
      <c r="AE237" s="69">
        <f t="shared" si="159"/>
        <v>5.4598139402429657</v>
      </c>
      <c r="AF237" s="69">
        <f t="shared" si="159"/>
        <v>5.6418077382510647</v>
      </c>
      <c r="AG237" s="69">
        <f t="shared" si="159"/>
        <v>5.4598139402429657</v>
      </c>
      <c r="AH237" s="69">
        <f t="shared" si="159"/>
        <v>5.6418077382510647</v>
      </c>
      <c r="AI237" s="69">
        <f t="shared" si="159"/>
        <v>5.4598139402429657</v>
      </c>
    </row>
    <row r="238" spans="1:35" s="69" customFormat="1" ht="14.25" customHeight="1" x14ac:dyDescent="0.3">
      <c r="A238" s="75"/>
      <c r="B238" s="75"/>
      <c r="C238" s="70" t="s">
        <v>207</v>
      </c>
      <c r="D238" s="75"/>
      <c r="E238" s="75"/>
      <c r="F238" s="75"/>
      <c r="G238" s="75"/>
      <c r="H238" s="22" t="s">
        <v>19</v>
      </c>
      <c r="I238" s="75"/>
      <c r="J238" s="76"/>
      <c r="K238" s="69">
        <f t="shared" si="148"/>
        <v>86.885620815043481</v>
      </c>
      <c r="L238" s="69">
        <f>SUMIFS('BS Actual MTM - Aug 26'!E:E,'BS Actual MTM - Aug 26'!$R:$R,$C238)/10^6</f>
        <v>267.62081799999999</v>
      </c>
      <c r="M238" s="69">
        <f>SUMIFS('BS Actual MTM - Aug 26'!F:F,'BS Actual MTM - Aug 26'!$R:$R,$C238)/10^6</f>
        <v>267.62081799999999</v>
      </c>
      <c r="N238" s="69">
        <f>SUMIFS('BS Actual MTM - Aug 26'!G:G,'BS Actual MTM - Aug 26'!$R:$R,$C238)/10^6</f>
        <v>267.62081799999999</v>
      </c>
      <c r="O238" s="69">
        <f>SUMIFS('BS Actual MTM - Aug 26'!H:H,'BS Actual MTM - Aug 26'!$R:$R,$C238)/10^6</f>
        <v>160.45442299999999</v>
      </c>
      <c r="P238" s="69">
        <f>SUMIFS('BS Actual MTM - Aug 26'!I:I,'BS Actual MTM - Aug 26'!$R:$R,$C238)/10^6</f>
        <v>160.45442299999999</v>
      </c>
      <c r="Q238" s="69">
        <f>SUMIFS('BS Actual MTM - Aug 26'!J:J,'BS Actual MTM - Aug 26'!$R:$R,$C238)/10^6</f>
        <v>0</v>
      </c>
      <c r="R238" s="69">
        <f>SUMIFS('BS Actual MTM - Aug 26'!K:K,'BS Actual MTM - Aug 26'!$R:$R,$C238)/10^6</f>
        <v>119.60577000000001</v>
      </c>
      <c r="S238" s="69">
        <f>SUMIFS('BS Actual MTM - Aug 26'!L:L,'BS Actual MTM - Aug 26'!$R:$R,$C238)/10^6</f>
        <v>160.45442299999999</v>
      </c>
      <c r="T238" s="69">
        <f t="shared" ref="T238:AI238" si="160">T17*T$289/DAY(T$5)</f>
        <v>89.781808175544924</v>
      </c>
      <c r="U238" s="69">
        <f t="shared" si="160"/>
        <v>86.885620815043481</v>
      </c>
      <c r="V238" s="69">
        <f t="shared" si="160"/>
        <v>89.781808175544924</v>
      </c>
      <c r="W238" s="69">
        <f t="shared" si="160"/>
        <v>86.885620815043481</v>
      </c>
      <c r="X238" s="69">
        <f t="shared" si="160"/>
        <v>86.885620815043481</v>
      </c>
      <c r="Y238" s="69">
        <f t="shared" si="160"/>
        <v>96.194794473798126</v>
      </c>
      <c r="Z238" s="69">
        <f t="shared" si="160"/>
        <v>86.885620815043481</v>
      </c>
      <c r="AA238" s="69">
        <f t="shared" si="160"/>
        <v>89.781808175544924</v>
      </c>
      <c r="AB238" s="69">
        <f t="shared" si="160"/>
        <v>86.885620815043481</v>
      </c>
      <c r="AC238" s="69">
        <f t="shared" si="160"/>
        <v>89.781808175544924</v>
      </c>
      <c r="AD238" s="69">
        <f t="shared" si="160"/>
        <v>86.885620815043481</v>
      </c>
      <c r="AE238" s="69">
        <f t="shared" si="160"/>
        <v>86.885620815043481</v>
      </c>
      <c r="AF238" s="69">
        <f t="shared" si="160"/>
        <v>89.781808175544924</v>
      </c>
      <c r="AG238" s="69">
        <f t="shared" si="160"/>
        <v>86.885620815043481</v>
      </c>
      <c r="AH238" s="69">
        <f t="shared" si="160"/>
        <v>89.781808175544924</v>
      </c>
      <c r="AI238" s="69">
        <f t="shared" si="160"/>
        <v>86.885620815043481</v>
      </c>
    </row>
    <row r="239" spans="1:35" s="69" customFormat="1" ht="14.25" customHeight="1" x14ac:dyDescent="0.3">
      <c r="A239" s="75"/>
      <c r="B239" s="75"/>
      <c r="C239" s="70" t="s">
        <v>208</v>
      </c>
      <c r="D239" s="75"/>
      <c r="E239" s="75"/>
      <c r="F239" s="75"/>
      <c r="G239" s="75"/>
      <c r="H239" s="22" t="s">
        <v>19</v>
      </c>
      <c r="I239" s="75"/>
      <c r="J239" s="76"/>
      <c r="K239" s="69">
        <f t="shared" si="148"/>
        <v>818.79007610829069</v>
      </c>
      <c r="L239" s="69">
        <f>SUMIFS('BS Actual MTM - Aug 26'!E:E,'BS Actual MTM - Aug 26'!$R:$R,$C239)/10^6</f>
        <v>957.230412</v>
      </c>
      <c r="M239" s="69">
        <f>SUMIFS('BS Actual MTM - Aug 26'!F:F,'BS Actual MTM - Aug 26'!$R:$R,$C239)/10^6</f>
        <v>674.16693399999997</v>
      </c>
      <c r="N239" s="69">
        <f>SUMIFS('BS Actual MTM - Aug 26'!G:G,'BS Actual MTM - Aug 26'!$R:$R,$C239)/10^6</f>
        <v>547.82629199999997</v>
      </c>
      <c r="O239" s="69">
        <f>SUMIFS('BS Actual MTM - Aug 26'!H:H,'BS Actual MTM - Aug 26'!$R:$R,$C239)/10^6</f>
        <v>545.50170300000002</v>
      </c>
      <c r="P239" s="69">
        <f>SUMIFS('BS Actual MTM - Aug 26'!I:I,'BS Actual MTM - Aug 26'!$R:$R,$C239)/10^6</f>
        <v>632.66552000000001</v>
      </c>
      <c r="Q239" s="69">
        <f>SUMIFS('BS Actual MTM - Aug 26'!J:J,'BS Actual MTM - Aug 26'!$R:$R,$C239)/10^6</f>
        <v>754.99539100000004</v>
      </c>
      <c r="R239" s="69">
        <f>SUMIFS('BS Actual MTM - Aug 26'!K:K,'BS Actual MTM - Aug 26'!$R:$R,$C239)/10^6</f>
        <v>737.80357800000002</v>
      </c>
      <c r="S239" s="69">
        <f>SUMIFS('BS Actual MTM - Aug 26'!L:L,'BS Actual MTM - Aug 26'!$R:$R,$C239)/10^6</f>
        <v>1077.2437849999999</v>
      </c>
      <c r="T239" s="69">
        <f t="shared" ref="T239:AI239" si="161">T17*T$290/DAY(T$5)</f>
        <v>846.08307864523374</v>
      </c>
      <c r="U239" s="69">
        <f t="shared" si="161"/>
        <v>818.79007610829069</v>
      </c>
      <c r="V239" s="69">
        <f t="shared" si="161"/>
        <v>846.08307864523374</v>
      </c>
      <c r="W239" s="69">
        <f t="shared" si="161"/>
        <v>818.79007610829069</v>
      </c>
      <c r="X239" s="69">
        <f t="shared" si="161"/>
        <v>818.79007610829069</v>
      </c>
      <c r="Y239" s="69">
        <f t="shared" si="161"/>
        <v>906.51758426275046</v>
      </c>
      <c r="Z239" s="69">
        <f t="shared" si="161"/>
        <v>818.79007610829069</v>
      </c>
      <c r="AA239" s="69">
        <f t="shared" si="161"/>
        <v>846.08307864523374</v>
      </c>
      <c r="AB239" s="69">
        <f t="shared" si="161"/>
        <v>818.79007610829069</v>
      </c>
      <c r="AC239" s="69">
        <f t="shared" si="161"/>
        <v>846.08307864523374</v>
      </c>
      <c r="AD239" s="69">
        <f t="shared" si="161"/>
        <v>818.79007610829069</v>
      </c>
      <c r="AE239" s="69">
        <f t="shared" si="161"/>
        <v>818.79007610829069</v>
      </c>
      <c r="AF239" s="69">
        <f t="shared" si="161"/>
        <v>846.08307864523374</v>
      </c>
      <c r="AG239" s="69">
        <f t="shared" si="161"/>
        <v>818.79007610829069</v>
      </c>
      <c r="AH239" s="69">
        <f t="shared" si="161"/>
        <v>846.08307864523374</v>
      </c>
      <c r="AI239" s="69">
        <f t="shared" si="161"/>
        <v>818.79007610829069</v>
      </c>
    </row>
    <row r="240" spans="1:35" s="69" customFormat="1" ht="14.25" customHeight="1" x14ac:dyDescent="0.3">
      <c r="A240" s="75"/>
      <c r="B240" s="75"/>
      <c r="C240" s="70" t="s">
        <v>209</v>
      </c>
      <c r="D240" s="75"/>
      <c r="E240" s="75"/>
      <c r="F240" s="75"/>
      <c r="G240" s="75"/>
      <c r="H240" s="22" t="s">
        <v>19</v>
      </c>
      <c r="I240" s="75"/>
      <c r="J240" s="76"/>
      <c r="K240" s="69">
        <f t="shared" si="148"/>
        <v>0.224</v>
      </c>
      <c r="L240" s="69">
        <f>SUMIFS('BS Actual MTM - Aug 26'!E:E,'BS Actual MTM - Aug 26'!$R:$R,$C240)/10^6</f>
        <v>0</v>
      </c>
      <c r="M240" s="69">
        <f>SUMIFS('BS Actual MTM - Aug 26'!F:F,'BS Actual MTM - Aug 26'!$R:$R,$C240)/10^6</f>
        <v>0</v>
      </c>
      <c r="N240" s="69">
        <f>SUMIFS('BS Actual MTM - Aug 26'!G:G,'BS Actual MTM - Aug 26'!$R:$R,$C240)/10^6</f>
        <v>3</v>
      </c>
      <c r="O240" s="69">
        <f>SUMIFS('BS Actual MTM - Aug 26'!H:H,'BS Actual MTM - Aug 26'!$R:$R,$C240)/10^6</f>
        <v>0</v>
      </c>
      <c r="P240" s="69">
        <f>SUMIFS('BS Actual MTM - Aug 26'!I:I,'BS Actual MTM - Aug 26'!$R:$R,$C240)/10^6</f>
        <v>0</v>
      </c>
      <c r="Q240" s="69">
        <f>SUMIFS('BS Actual MTM - Aug 26'!J:J,'BS Actual MTM - Aug 26'!$R:$R,$C240)/10^6</f>
        <v>0</v>
      </c>
      <c r="R240" s="69">
        <f>SUMIFS('BS Actual MTM - Aug 26'!K:K,'BS Actual MTM - Aug 26'!$R:$R,$C240)/10^6</f>
        <v>0.222</v>
      </c>
      <c r="S240" s="69">
        <f>SUMIFS('BS Actual MTM - Aug 26'!L:L,'BS Actual MTM - Aug 26'!$R:$R,$C240)/10^6</f>
        <v>0.224</v>
      </c>
      <c r="T240" s="69">
        <f t="shared" ref="T240:AI240" si="162">S240</f>
        <v>0.224</v>
      </c>
      <c r="U240" s="69">
        <f t="shared" si="162"/>
        <v>0.224</v>
      </c>
      <c r="V240" s="69">
        <f t="shared" si="162"/>
        <v>0.224</v>
      </c>
      <c r="W240" s="69">
        <f t="shared" si="162"/>
        <v>0.224</v>
      </c>
      <c r="X240" s="69">
        <f t="shared" si="162"/>
        <v>0.224</v>
      </c>
      <c r="Y240" s="69">
        <f t="shared" si="162"/>
        <v>0.224</v>
      </c>
      <c r="Z240" s="69">
        <f t="shared" si="162"/>
        <v>0.224</v>
      </c>
      <c r="AA240" s="69">
        <f t="shared" si="162"/>
        <v>0.224</v>
      </c>
      <c r="AB240" s="69">
        <f t="shared" si="162"/>
        <v>0.224</v>
      </c>
      <c r="AC240" s="69">
        <f t="shared" si="162"/>
        <v>0.224</v>
      </c>
      <c r="AD240" s="69">
        <f t="shared" si="162"/>
        <v>0.224</v>
      </c>
      <c r="AE240" s="69">
        <f t="shared" si="162"/>
        <v>0.224</v>
      </c>
      <c r="AF240" s="69">
        <f t="shared" si="162"/>
        <v>0.224</v>
      </c>
      <c r="AG240" s="69">
        <f t="shared" si="162"/>
        <v>0.224</v>
      </c>
      <c r="AH240" s="69">
        <f t="shared" si="162"/>
        <v>0.224</v>
      </c>
      <c r="AI240" s="69">
        <f t="shared" si="162"/>
        <v>0.224</v>
      </c>
    </row>
    <row r="241" spans="1:35" s="69" customFormat="1" ht="14.25" customHeight="1" x14ac:dyDescent="0.3">
      <c r="A241" s="21"/>
      <c r="B241" s="21"/>
      <c r="C241" s="21" t="s">
        <v>210</v>
      </c>
      <c r="D241" s="21"/>
      <c r="E241" s="21"/>
      <c r="F241" s="21"/>
      <c r="G241" s="21"/>
      <c r="H241" s="22" t="s">
        <v>19</v>
      </c>
      <c r="I241" s="21"/>
      <c r="J241" s="31"/>
      <c r="K241" s="69">
        <f t="shared" si="148"/>
        <v>0.42491400000011403</v>
      </c>
      <c r="L241" s="69">
        <f>SUMIFS('BS Actual MTM - Aug 26'!E:E,'BS Actual MTM - Aug 26'!$R:$R,$C241)/10^6</f>
        <v>0.200000000000114</v>
      </c>
      <c r="M241" s="69">
        <f>SUMIFS('BS Actual MTM - Aug 26'!F:F,'BS Actual MTM - Aug 26'!$R:$R,$C241)/10^6</f>
        <v>0.16710000000011399</v>
      </c>
      <c r="N241" s="69">
        <f>SUMIFS('BS Actual MTM - Aug 26'!G:G,'BS Actual MTM - Aug 26'!$R:$R,$C241)/10^6</f>
        <v>0.16710000000011399</v>
      </c>
      <c r="O241" s="69">
        <f>SUMIFS('BS Actual MTM - Aug 26'!H:H,'BS Actual MTM - Aug 26'!$R:$R,$C241)/10^6</f>
        <v>0.16710000000011399</v>
      </c>
      <c r="P241" s="69">
        <f>SUMIFS('BS Actual MTM - Aug 26'!I:I,'BS Actual MTM - Aug 26'!$R:$R,$C241)/10^6</f>
        <v>0.42491400000011403</v>
      </c>
      <c r="Q241" s="69">
        <f>SUMIFS('BS Actual MTM - Aug 26'!J:J,'BS Actual MTM - Aug 26'!$R:$R,$C241)/10^6</f>
        <v>0.42491400000011403</v>
      </c>
      <c r="R241" s="69">
        <f>SUMIFS('BS Actual MTM - Aug 26'!K:K,'BS Actual MTM - Aug 26'!$R:$R,$C241)/10^6</f>
        <v>0.42491400000011403</v>
      </c>
      <c r="S241" s="69">
        <f>SUMIFS('BS Actual MTM - Aug 26'!L:L,'BS Actual MTM - Aug 26'!$R:$R,$C241)/10^6</f>
        <v>0.42491400000011403</v>
      </c>
      <c r="T241" s="69">
        <f t="shared" ref="T241:AI241" si="163">S241</f>
        <v>0.42491400000011403</v>
      </c>
      <c r="U241" s="69">
        <f t="shared" si="163"/>
        <v>0.42491400000011403</v>
      </c>
      <c r="V241" s="69">
        <f t="shared" si="163"/>
        <v>0.42491400000011403</v>
      </c>
      <c r="W241" s="69">
        <f t="shared" si="163"/>
        <v>0.42491400000011403</v>
      </c>
      <c r="X241" s="69">
        <f t="shared" si="163"/>
        <v>0.42491400000011403</v>
      </c>
      <c r="Y241" s="69">
        <f t="shared" si="163"/>
        <v>0.42491400000011403</v>
      </c>
      <c r="Z241" s="69">
        <f t="shared" si="163"/>
        <v>0.42491400000011403</v>
      </c>
      <c r="AA241" s="69">
        <f t="shared" si="163"/>
        <v>0.42491400000011403</v>
      </c>
      <c r="AB241" s="69">
        <f t="shared" si="163"/>
        <v>0.42491400000011403</v>
      </c>
      <c r="AC241" s="69">
        <f t="shared" si="163"/>
        <v>0.42491400000011403</v>
      </c>
      <c r="AD241" s="69">
        <f t="shared" si="163"/>
        <v>0.42491400000011403</v>
      </c>
      <c r="AE241" s="69">
        <f t="shared" si="163"/>
        <v>0.42491400000011403</v>
      </c>
      <c r="AF241" s="69">
        <f t="shared" si="163"/>
        <v>0.42491400000011403</v>
      </c>
      <c r="AG241" s="69">
        <f t="shared" si="163"/>
        <v>0.42491400000011403</v>
      </c>
      <c r="AH241" s="69">
        <f t="shared" si="163"/>
        <v>0.42491400000011403</v>
      </c>
      <c r="AI241" s="69">
        <f t="shared" si="163"/>
        <v>0.42491400000011403</v>
      </c>
    </row>
    <row r="242" spans="1:35" ht="14.25" customHeight="1" x14ac:dyDescent="0.35">
      <c r="A242" s="21"/>
      <c r="B242" s="21"/>
      <c r="C242" s="21" t="s">
        <v>211</v>
      </c>
      <c r="D242" s="21"/>
      <c r="E242" s="21"/>
      <c r="F242" s="21"/>
      <c r="G242" s="21"/>
      <c r="H242" s="22"/>
      <c r="I242" s="21"/>
      <c r="J242" s="31"/>
      <c r="K242" s="69">
        <f t="shared" si="148"/>
        <v>2593.2312569999999</v>
      </c>
      <c r="L242" s="31">
        <f t="shared" ref="L242:AI242" si="164">SUM(L243:L247)</f>
        <v>2390.7676230000002</v>
      </c>
      <c r="M242" s="31">
        <f t="shared" si="164"/>
        <v>2530.028084</v>
      </c>
      <c r="N242" s="31">
        <f t="shared" si="164"/>
        <v>2508.4244760000001</v>
      </c>
      <c r="O242" s="31">
        <f t="shared" si="164"/>
        <v>2588.6565000000001</v>
      </c>
      <c r="P242" s="31">
        <f t="shared" si="164"/>
        <v>2725.6794150000001</v>
      </c>
      <c r="Q242" s="31">
        <f t="shared" si="164"/>
        <v>2854.5508419999996</v>
      </c>
      <c r="R242" s="31">
        <f t="shared" si="164"/>
        <v>2565.2916359999999</v>
      </c>
      <c r="S242" s="31">
        <f t="shared" si="164"/>
        <v>2593.2312569999999</v>
      </c>
      <c r="T242" s="31">
        <f t="shared" si="164"/>
        <v>2593.2312569999999</v>
      </c>
      <c r="U242" s="31">
        <f t="shared" si="164"/>
        <v>2593.2312569999999</v>
      </c>
      <c r="V242" s="31">
        <f t="shared" si="164"/>
        <v>2593.2312569999999</v>
      </c>
      <c r="W242" s="31">
        <f t="shared" si="164"/>
        <v>2593.2312569999999</v>
      </c>
      <c r="X242" s="31">
        <f t="shared" si="164"/>
        <v>2593.2312569999999</v>
      </c>
      <c r="Y242" s="31">
        <f t="shared" si="164"/>
        <v>2593.2312569999999</v>
      </c>
      <c r="Z242" s="31">
        <f t="shared" si="164"/>
        <v>2593.2312569999999</v>
      </c>
      <c r="AA242" s="31">
        <f t="shared" si="164"/>
        <v>2593.2312569999999</v>
      </c>
      <c r="AB242" s="31">
        <f t="shared" si="164"/>
        <v>2593.2312569999999</v>
      </c>
      <c r="AC242" s="31">
        <f t="shared" si="164"/>
        <v>2593.2312569999999</v>
      </c>
      <c r="AD242" s="31">
        <f t="shared" si="164"/>
        <v>2593.2312569999999</v>
      </c>
      <c r="AE242" s="31">
        <f t="shared" si="164"/>
        <v>2593.2312569999999</v>
      </c>
      <c r="AF242" s="31">
        <f t="shared" si="164"/>
        <v>2593.2312569999999</v>
      </c>
      <c r="AG242" s="31">
        <f t="shared" si="164"/>
        <v>2593.2312569999999</v>
      </c>
      <c r="AH242" s="31">
        <f t="shared" si="164"/>
        <v>2593.2312569999999</v>
      </c>
      <c r="AI242" s="31">
        <f t="shared" si="164"/>
        <v>2593.2312569999999</v>
      </c>
    </row>
    <row r="243" spans="1:35" ht="14.25" customHeight="1" x14ac:dyDescent="0.35">
      <c r="A243" s="75"/>
      <c r="B243" s="75"/>
      <c r="C243" s="70" t="s">
        <v>212</v>
      </c>
      <c r="D243" s="75"/>
      <c r="E243" s="75"/>
      <c r="F243" s="75"/>
      <c r="G243" s="75"/>
      <c r="H243" s="22" t="s">
        <v>19</v>
      </c>
      <c r="I243" s="75"/>
      <c r="J243" s="76"/>
      <c r="K243" s="69">
        <f t="shared" si="148"/>
        <v>0</v>
      </c>
      <c r="L243" s="69">
        <f>SUMIFS('BS Actual MTM - Aug 26'!E:E,'BS Actual MTM - Aug 26'!$R:$R,$C243)/10^6</f>
        <v>0</v>
      </c>
      <c r="M243" s="69">
        <f>SUMIFS('BS Actual MTM - Aug 26'!F:F,'BS Actual MTM - Aug 26'!$R:$R,$C243)/10^6</f>
        <v>0</v>
      </c>
      <c r="N243" s="69">
        <f>SUMIFS('BS Actual MTM - Aug 26'!G:G,'BS Actual MTM - Aug 26'!$R:$R,$C243)/10^6</f>
        <v>0</v>
      </c>
      <c r="O243" s="69">
        <f>SUMIFS('BS Actual MTM - Aug 26'!H:H,'BS Actual MTM - Aug 26'!$R:$R,$C243)/10^6</f>
        <v>0</v>
      </c>
      <c r="P243" s="69">
        <f>SUMIFS('BS Actual MTM - Aug 26'!I:I,'BS Actual MTM - Aug 26'!$R:$R,$C243)/10^6</f>
        <v>0</v>
      </c>
      <c r="Q243" s="69">
        <f>SUMIFS('BS Actual MTM - Aug 26'!J:J,'BS Actual MTM - Aug 26'!$R:$R,$C243)/10^6</f>
        <v>0</v>
      </c>
      <c r="R243" s="69">
        <f>SUMIFS('BS Actual MTM - Aug 26'!K:K,'BS Actual MTM - Aug 26'!$R:$R,$C243)/10^6</f>
        <v>0</v>
      </c>
      <c r="S243" s="69">
        <f>SUMIFS('BS Actual MTM - Aug 26'!L:L,'BS Actual MTM - Aug 26'!$R:$R,$C243)/10^6</f>
        <v>0</v>
      </c>
      <c r="T243" s="69">
        <f t="shared" ref="T243:AI243" si="165">S243</f>
        <v>0</v>
      </c>
      <c r="U243" s="69">
        <f t="shared" si="165"/>
        <v>0</v>
      </c>
      <c r="V243" s="69">
        <f t="shared" si="165"/>
        <v>0</v>
      </c>
      <c r="W243" s="69">
        <f t="shared" si="165"/>
        <v>0</v>
      </c>
      <c r="X243" s="69">
        <f t="shared" si="165"/>
        <v>0</v>
      </c>
      <c r="Y243" s="69">
        <f t="shared" si="165"/>
        <v>0</v>
      </c>
      <c r="Z243" s="69">
        <f t="shared" si="165"/>
        <v>0</v>
      </c>
      <c r="AA243" s="69">
        <f t="shared" si="165"/>
        <v>0</v>
      </c>
      <c r="AB243" s="69">
        <f t="shared" si="165"/>
        <v>0</v>
      </c>
      <c r="AC243" s="69">
        <f t="shared" si="165"/>
        <v>0</v>
      </c>
      <c r="AD243" s="69">
        <f t="shared" si="165"/>
        <v>0</v>
      </c>
      <c r="AE243" s="69">
        <f t="shared" si="165"/>
        <v>0</v>
      </c>
      <c r="AF243" s="69">
        <f t="shared" si="165"/>
        <v>0</v>
      </c>
      <c r="AG243" s="69">
        <f t="shared" si="165"/>
        <v>0</v>
      </c>
      <c r="AH243" s="69">
        <f t="shared" si="165"/>
        <v>0</v>
      </c>
      <c r="AI243" s="69">
        <f t="shared" si="165"/>
        <v>0</v>
      </c>
    </row>
    <row r="244" spans="1:35" ht="14.25" customHeight="1" x14ac:dyDescent="0.35">
      <c r="A244" s="75"/>
      <c r="B244" s="75"/>
      <c r="C244" s="70" t="s">
        <v>213</v>
      </c>
      <c r="D244" s="75"/>
      <c r="E244" s="75"/>
      <c r="F244" s="75"/>
      <c r="G244" s="75"/>
      <c r="H244" s="22" t="s">
        <v>19</v>
      </c>
      <c r="I244" s="75"/>
      <c r="J244" s="76"/>
      <c r="K244" s="69">
        <f t="shared" si="148"/>
        <v>2592.692877</v>
      </c>
      <c r="L244" s="69">
        <f>SUMIFS('BS Actual MTM - Aug 26'!E:E,'BS Actual MTM - Aug 26'!$R:$R,$C244)/10^6</f>
        <v>2326.9348380000001</v>
      </c>
      <c r="M244" s="69">
        <f>SUMIFS('BS Actual MTM - Aug 26'!F:F,'BS Actual MTM - Aug 26'!$R:$R,$C244)/10^6</f>
        <v>2475.6903809999999</v>
      </c>
      <c r="N244" s="69">
        <f>SUMIFS('BS Actual MTM - Aug 26'!G:G,'BS Actual MTM - Aug 26'!$R:$R,$C244)/10^6</f>
        <v>2465.7485080000001</v>
      </c>
      <c r="O244" s="69">
        <f>SUMIFS('BS Actual MTM - Aug 26'!H:H,'BS Actual MTM - Aug 26'!$R:$R,$C244)/10^6</f>
        <v>2538.0732830000002</v>
      </c>
      <c r="P244" s="69">
        <f>SUMIFS('BS Actual MTM - Aug 26'!I:I,'BS Actual MTM - Aug 26'!$R:$R,$C244)/10^6</f>
        <v>2671.2203279999999</v>
      </c>
      <c r="Q244" s="69">
        <f>SUMIFS('BS Actual MTM - Aug 26'!J:J,'BS Actual MTM - Aug 26'!$R:$R,$C244)/10^6</f>
        <v>2797.7386029999998</v>
      </c>
      <c r="R244" s="69">
        <f>SUMIFS('BS Actual MTM - Aug 26'!K:K,'BS Actual MTM - Aug 26'!$R:$R,$C244)/10^6</f>
        <v>2506.1180279999999</v>
      </c>
      <c r="S244" s="69">
        <f>SUMIFS('BS Actual MTM - Aug 26'!L:L,'BS Actual MTM - Aug 26'!$R:$R,$C244)/10^6</f>
        <v>2592.692877</v>
      </c>
      <c r="T244" s="69">
        <f t="shared" ref="T244:AI244" si="166">S244</f>
        <v>2592.692877</v>
      </c>
      <c r="U244" s="69">
        <f t="shared" si="166"/>
        <v>2592.692877</v>
      </c>
      <c r="V244" s="69">
        <f t="shared" si="166"/>
        <v>2592.692877</v>
      </c>
      <c r="W244" s="69">
        <f t="shared" si="166"/>
        <v>2592.692877</v>
      </c>
      <c r="X244" s="69">
        <f t="shared" si="166"/>
        <v>2592.692877</v>
      </c>
      <c r="Y244" s="69">
        <f t="shared" si="166"/>
        <v>2592.692877</v>
      </c>
      <c r="Z244" s="69">
        <f t="shared" si="166"/>
        <v>2592.692877</v>
      </c>
      <c r="AA244" s="69">
        <f t="shared" si="166"/>
        <v>2592.692877</v>
      </c>
      <c r="AB244" s="69">
        <f t="shared" si="166"/>
        <v>2592.692877</v>
      </c>
      <c r="AC244" s="69">
        <f t="shared" si="166"/>
        <v>2592.692877</v>
      </c>
      <c r="AD244" s="69">
        <f t="shared" si="166"/>
        <v>2592.692877</v>
      </c>
      <c r="AE244" s="69">
        <f t="shared" si="166"/>
        <v>2592.692877</v>
      </c>
      <c r="AF244" s="69">
        <f t="shared" si="166"/>
        <v>2592.692877</v>
      </c>
      <c r="AG244" s="69">
        <f t="shared" si="166"/>
        <v>2592.692877</v>
      </c>
      <c r="AH244" s="69">
        <f t="shared" si="166"/>
        <v>2592.692877</v>
      </c>
      <c r="AI244" s="69">
        <f t="shared" si="166"/>
        <v>2592.692877</v>
      </c>
    </row>
    <row r="245" spans="1:35" ht="14.25" customHeight="1" x14ac:dyDescent="0.35">
      <c r="A245" s="75"/>
      <c r="B245" s="75"/>
      <c r="C245" s="70" t="s">
        <v>214</v>
      </c>
      <c r="D245" s="75"/>
      <c r="E245" s="75"/>
      <c r="F245" s="75"/>
      <c r="G245" s="75"/>
      <c r="H245" s="22" t="s">
        <v>19</v>
      </c>
      <c r="I245" s="75"/>
      <c r="J245" s="76"/>
      <c r="K245" s="69">
        <f t="shared" si="148"/>
        <v>0</v>
      </c>
      <c r="L245" s="69">
        <f>SUMIFS('BS Actual MTM - Aug 26'!E:E,'BS Actual MTM - Aug 26'!$R:$R,$C245)/10^6</f>
        <v>0</v>
      </c>
      <c r="M245" s="69">
        <f>SUMIFS('BS Actual MTM - Aug 26'!F:F,'BS Actual MTM - Aug 26'!$R:$R,$C245)/10^6</f>
        <v>0</v>
      </c>
      <c r="N245" s="69">
        <f>SUMIFS('BS Actual MTM - Aug 26'!G:G,'BS Actual MTM - Aug 26'!$R:$R,$C245)/10^6</f>
        <v>0</v>
      </c>
      <c r="O245" s="69">
        <f>SUMIFS('BS Actual MTM - Aug 26'!H:H,'BS Actual MTM - Aug 26'!$R:$R,$C245)/10^6</f>
        <v>0</v>
      </c>
      <c r="P245" s="69">
        <f>SUMIFS('BS Actual MTM - Aug 26'!I:I,'BS Actual MTM - Aug 26'!$R:$R,$C245)/10^6</f>
        <v>0</v>
      </c>
      <c r="Q245" s="69">
        <f>SUMIFS('BS Actual MTM - Aug 26'!J:J,'BS Actual MTM - Aug 26'!$R:$R,$C245)/10^6</f>
        <v>0</v>
      </c>
      <c r="R245" s="69">
        <f>SUMIFS('BS Actual MTM - Aug 26'!K:K,'BS Actual MTM - Aug 26'!$R:$R,$C245)/10^6</f>
        <v>0</v>
      </c>
      <c r="S245" s="69">
        <f>SUMIFS('BS Actual MTM - Aug 26'!L:L,'BS Actual MTM - Aug 26'!$R:$R,$C245)/10^6</f>
        <v>0</v>
      </c>
      <c r="T245" s="69">
        <f t="shared" ref="T245:AI245" si="167">S245</f>
        <v>0</v>
      </c>
      <c r="U245" s="69">
        <f t="shared" si="167"/>
        <v>0</v>
      </c>
      <c r="V245" s="69">
        <f t="shared" si="167"/>
        <v>0</v>
      </c>
      <c r="W245" s="69">
        <f t="shared" si="167"/>
        <v>0</v>
      </c>
      <c r="X245" s="69">
        <f t="shared" si="167"/>
        <v>0</v>
      </c>
      <c r="Y245" s="69">
        <f t="shared" si="167"/>
        <v>0</v>
      </c>
      <c r="Z245" s="69">
        <f t="shared" si="167"/>
        <v>0</v>
      </c>
      <c r="AA245" s="69">
        <f t="shared" si="167"/>
        <v>0</v>
      </c>
      <c r="AB245" s="69">
        <f t="shared" si="167"/>
        <v>0</v>
      </c>
      <c r="AC245" s="69">
        <f t="shared" si="167"/>
        <v>0</v>
      </c>
      <c r="AD245" s="69">
        <f t="shared" si="167"/>
        <v>0</v>
      </c>
      <c r="AE245" s="69">
        <f t="shared" si="167"/>
        <v>0</v>
      </c>
      <c r="AF245" s="69">
        <f t="shared" si="167"/>
        <v>0</v>
      </c>
      <c r="AG245" s="69">
        <f t="shared" si="167"/>
        <v>0</v>
      </c>
      <c r="AH245" s="69">
        <f t="shared" si="167"/>
        <v>0</v>
      </c>
      <c r="AI245" s="69">
        <f t="shared" si="167"/>
        <v>0</v>
      </c>
    </row>
    <row r="246" spans="1:35" ht="14.25" customHeight="1" x14ac:dyDescent="0.35">
      <c r="A246" s="75"/>
      <c r="B246" s="75"/>
      <c r="C246" s="70" t="s">
        <v>215</v>
      </c>
      <c r="D246" s="75"/>
      <c r="E246" s="75"/>
      <c r="F246" s="75"/>
      <c r="G246" s="75"/>
      <c r="H246" s="22" t="s">
        <v>19</v>
      </c>
      <c r="I246" s="75"/>
      <c r="J246" s="76"/>
      <c r="K246" s="69">
        <f t="shared" si="148"/>
        <v>0.53837999999999997</v>
      </c>
      <c r="L246" s="69">
        <f>SUMIFS('BS Actual MTM - Aug 26'!E:E,'BS Actual MTM - Aug 26'!$R:$R,$C246)/10^6</f>
        <v>63.832785000000001</v>
      </c>
      <c r="M246" s="69">
        <f>SUMIFS('BS Actual MTM - Aug 26'!F:F,'BS Actual MTM - Aug 26'!$R:$R,$C246)/10^6</f>
        <v>54.337702999999998</v>
      </c>
      <c r="N246" s="69">
        <f>SUMIFS('BS Actual MTM - Aug 26'!G:G,'BS Actual MTM - Aug 26'!$R:$R,$C246)/10^6</f>
        <v>42.675967999999997</v>
      </c>
      <c r="O246" s="69">
        <f>SUMIFS('BS Actual MTM - Aug 26'!H:H,'BS Actual MTM - Aug 26'!$R:$R,$C246)/10^6</f>
        <v>50.583216999999998</v>
      </c>
      <c r="P246" s="69">
        <f>SUMIFS('BS Actual MTM - Aug 26'!I:I,'BS Actual MTM - Aug 26'!$R:$R,$C246)/10^6</f>
        <v>54.459086999999997</v>
      </c>
      <c r="Q246" s="69">
        <f>SUMIFS('BS Actual MTM - Aug 26'!J:J,'BS Actual MTM - Aug 26'!$R:$R,$C246)/10^6</f>
        <v>56.812238999999998</v>
      </c>
      <c r="R246" s="69">
        <f>SUMIFS('BS Actual MTM - Aug 26'!K:K,'BS Actual MTM - Aug 26'!$R:$R,$C246)/10^6</f>
        <v>59.173608000000002</v>
      </c>
      <c r="S246" s="69">
        <f>SUMIFS('BS Actual MTM - Aug 26'!L:L,'BS Actual MTM - Aug 26'!$R:$R,$C246)/10^6</f>
        <v>0.53837999999999997</v>
      </c>
      <c r="T246" s="69">
        <f t="shared" ref="T246:AI246" si="168">S246</f>
        <v>0.53837999999999997</v>
      </c>
      <c r="U246" s="69">
        <f t="shared" si="168"/>
        <v>0.53837999999999997</v>
      </c>
      <c r="V246" s="69">
        <f t="shared" si="168"/>
        <v>0.53837999999999997</v>
      </c>
      <c r="W246" s="69">
        <f t="shared" si="168"/>
        <v>0.53837999999999997</v>
      </c>
      <c r="X246" s="69">
        <f t="shared" si="168"/>
        <v>0.53837999999999997</v>
      </c>
      <c r="Y246" s="69">
        <f t="shared" si="168"/>
        <v>0.53837999999999997</v>
      </c>
      <c r="Z246" s="69">
        <f t="shared" si="168"/>
        <v>0.53837999999999997</v>
      </c>
      <c r="AA246" s="69">
        <f t="shared" si="168"/>
        <v>0.53837999999999997</v>
      </c>
      <c r="AB246" s="69">
        <f t="shared" si="168"/>
        <v>0.53837999999999997</v>
      </c>
      <c r="AC246" s="69">
        <f t="shared" si="168"/>
        <v>0.53837999999999997</v>
      </c>
      <c r="AD246" s="69">
        <f t="shared" si="168"/>
        <v>0.53837999999999997</v>
      </c>
      <c r="AE246" s="69">
        <f t="shared" si="168"/>
        <v>0.53837999999999997</v>
      </c>
      <c r="AF246" s="69">
        <f t="shared" si="168"/>
        <v>0.53837999999999997</v>
      </c>
      <c r="AG246" s="69">
        <f t="shared" si="168"/>
        <v>0.53837999999999997</v>
      </c>
      <c r="AH246" s="69">
        <f t="shared" si="168"/>
        <v>0.53837999999999997</v>
      </c>
      <c r="AI246" s="69">
        <f t="shared" si="168"/>
        <v>0.53837999999999997</v>
      </c>
    </row>
    <row r="247" spans="1:35" ht="14.25" customHeight="1" x14ac:dyDescent="0.35">
      <c r="A247" s="75"/>
      <c r="B247" s="75"/>
      <c r="C247" s="70" t="s">
        <v>216</v>
      </c>
      <c r="D247" s="75"/>
      <c r="E247" s="75"/>
      <c r="F247" s="75"/>
      <c r="G247" s="75"/>
      <c r="H247" s="22" t="s">
        <v>19</v>
      </c>
      <c r="I247" s="75"/>
      <c r="J247" s="76"/>
      <c r="K247" s="69">
        <f t="shared" si="148"/>
        <v>0</v>
      </c>
      <c r="L247" s="69">
        <f>SUMIFS('BS Actual MTM - Aug 26'!E:E,'BS Actual MTM - Aug 26'!$R:$R,$C247)/10^6</f>
        <v>0</v>
      </c>
      <c r="M247" s="69">
        <f>SUMIFS('BS Actual MTM - Aug 26'!F:F,'BS Actual MTM - Aug 26'!$R:$R,$C247)/10^6</f>
        <v>0</v>
      </c>
      <c r="N247" s="69">
        <f>SUMIFS('BS Actual MTM - Aug 26'!G:G,'BS Actual MTM - Aug 26'!$R:$R,$C247)/10^6</f>
        <v>0</v>
      </c>
      <c r="O247" s="69">
        <f>SUMIFS('BS Actual MTM - Aug 26'!H:H,'BS Actual MTM - Aug 26'!$R:$R,$C247)/10^6</f>
        <v>0</v>
      </c>
      <c r="P247" s="69">
        <f>SUMIFS('BS Actual MTM - Aug 26'!I:I,'BS Actual MTM - Aug 26'!$R:$R,$C247)/10^6</f>
        <v>0</v>
      </c>
      <c r="Q247" s="69">
        <f>SUMIFS('BS Actual MTM - Aug 26'!J:J,'BS Actual MTM - Aug 26'!$R:$R,$C247)/10^6</f>
        <v>0</v>
      </c>
      <c r="R247" s="69">
        <f>SUMIFS('BS Actual MTM - Aug 26'!K:K,'BS Actual MTM - Aug 26'!$R:$R,$C247)/10^6</f>
        <v>0</v>
      </c>
      <c r="S247" s="69">
        <f>SUMIFS('BS Actual MTM - Aug 26'!L:L,'BS Actual MTM - Aug 26'!$R:$R,$C247)/10^6</f>
        <v>0</v>
      </c>
      <c r="T247" s="69">
        <f t="shared" ref="T247:AI247" si="169">S247</f>
        <v>0</v>
      </c>
      <c r="U247" s="69">
        <f t="shared" si="169"/>
        <v>0</v>
      </c>
      <c r="V247" s="69">
        <f t="shared" si="169"/>
        <v>0</v>
      </c>
      <c r="W247" s="69">
        <f t="shared" si="169"/>
        <v>0</v>
      </c>
      <c r="X247" s="69">
        <f t="shared" si="169"/>
        <v>0</v>
      </c>
      <c r="Y247" s="69">
        <f t="shared" si="169"/>
        <v>0</v>
      </c>
      <c r="Z247" s="69">
        <f t="shared" si="169"/>
        <v>0</v>
      </c>
      <c r="AA247" s="69">
        <f t="shared" si="169"/>
        <v>0</v>
      </c>
      <c r="AB247" s="69">
        <f t="shared" si="169"/>
        <v>0</v>
      </c>
      <c r="AC247" s="69">
        <f t="shared" si="169"/>
        <v>0</v>
      </c>
      <c r="AD247" s="69">
        <f t="shared" si="169"/>
        <v>0</v>
      </c>
      <c r="AE247" s="69">
        <f t="shared" si="169"/>
        <v>0</v>
      </c>
      <c r="AF247" s="69">
        <f t="shared" si="169"/>
        <v>0</v>
      </c>
      <c r="AG247" s="69">
        <f t="shared" si="169"/>
        <v>0</v>
      </c>
      <c r="AH247" s="69">
        <f t="shared" si="169"/>
        <v>0</v>
      </c>
      <c r="AI247" s="69">
        <f t="shared" si="169"/>
        <v>0</v>
      </c>
    </row>
    <row r="248" spans="1:35" ht="14.25" customHeight="1" x14ac:dyDescent="0.35">
      <c r="A248" s="21"/>
      <c r="B248" s="21"/>
      <c r="C248" s="77" t="s">
        <v>217</v>
      </c>
      <c r="D248" s="77"/>
      <c r="E248" s="21"/>
      <c r="F248" s="21"/>
      <c r="G248" s="21"/>
      <c r="H248" s="22"/>
      <c r="I248" s="21"/>
      <c r="J248" s="31"/>
      <c r="K248" s="69">
        <f t="shared" si="148"/>
        <v>0</v>
      </c>
      <c r="L248" s="31">
        <f t="shared" ref="L248:AI248" si="170">SUM(L249:L249)</f>
        <v>127.8</v>
      </c>
      <c r="M248" s="31">
        <f t="shared" si="170"/>
        <v>127.8</v>
      </c>
      <c r="N248" s="31">
        <f t="shared" si="170"/>
        <v>127.8</v>
      </c>
      <c r="O248" s="31">
        <f t="shared" si="170"/>
        <v>127.8</v>
      </c>
      <c r="P248" s="31">
        <f t="shared" si="170"/>
        <v>127.8</v>
      </c>
      <c r="Q248" s="31">
        <f t="shared" si="170"/>
        <v>127.8</v>
      </c>
      <c r="R248" s="31">
        <f t="shared" si="170"/>
        <v>127.8</v>
      </c>
      <c r="S248" s="31">
        <f t="shared" si="170"/>
        <v>0</v>
      </c>
      <c r="T248" s="31">
        <f t="shared" si="170"/>
        <v>0</v>
      </c>
      <c r="U248" s="31">
        <f t="shared" si="170"/>
        <v>0</v>
      </c>
      <c r="V248" s="31">
        <f t="shared" si="170"/>
        <v>0</v>
      </c>
      <c r="W248" s="31">
        <f t="shared" si="170"/>
        <v>0</v>
      </c>
      <c r="X248" s="31">
        <f t="shared" si="170"/>
        <v>0</v>
      </c>
      <c r="Y248" s="31">
        <f t="shared" si="170"/>
        <v>0</v>
      </c>
      <c r="Z248" s="31">
        <f t="shared" si="170"/>
        <v>0</v>
      </c>
      <c r="AA248" s="31">
        <f t="shared" si="170"/>
        <v>0</v>
      </c>
      <c r="AB248" s="31">
        <f t="shared" si="170"/>
        <v>0</v>
      </c>
      <c r="AC248" s="31">
        <f t="shared" si="170"/>
        <v>0</v>
      </c>
      <c r="AD248" s="31">
        <f t="shared" si="170"/>
        <v>0</v>
      </c>
      <c r="AE248" s="31">
        <f t="shared" si="170"/>
        <v>0</v>
      </c>
      <c r="AF248" s="31">
        <f t="shared" si="170"/>
        <v>0</v>
      </c>
      <c r="AG248" s="31">
        <f t="shared" si="170"/>
        <v>0</v>
      </c>
      <c r="AH248" s="31">
        <f t="shared" si="170"/>
        <v>0</v>
      </c>
      <c r="AI248" s="31">
        <f t="shared" si="170"/>
        <v>0</v>
      </c>
    </row>
    <row r="249" spans="1:35" ht="14.25" customHeight="1" x14ac:dyDescent="0.35">
      <c r="A249" s="21"/>
      <c r="B249" s="21"/>
      <c r="C249" s="36" t="s">
        <v>218</v>
      </c>
      <c r="D249" s="36"/>
      <c r="E249" s="21"/>
      <c r="F249" s="21"/>
      <c r="G249" s="21"/>
      <c r="H249" s="22" t="s">
        <v>19</v>
      </c>
      <c r="I249" s="68"/>
      <c r="J249" s="31"/>
      <c r="K249" s="69">
        <f t="shared" si="148"/>
        <v>0</v>
      </c>
      <c r="L249" s="69">
        <f>SUMIFS('BS Actual MTM - Aug 26'!E:E,'BS Actual MTM - Aug 26'!$R:$R,$C249)/10^6</f>
        <v>127.8</v>
      </c>
      <c r="M249" s="69">
        <f>SUMIFS('BS Actual MTM - Aug 26'!F:F,'BS Actual MTM - Aug 26'!$R:$R,$C249)/10^6</f>
        <v>127.8</v>
      </c>
      <c r="N249" s="69">
        <f>SUMIFS('BS Actual MTM - Aug 26'!G:G,'BS Actual MTM - Aug 26'!$R:$R,$C249)/10^6</f>
        <v>127.8</v>
      </c>
      <c r="O249" s="69">
        <f>SUMIFS('BS Actual MTM - Aug 26'!H:H,'BS Actual MTM - Aug 26'!$R:$R,$C249)/10^6</f>
        <v>127.8</v>
      </c>
      <c r="P249" s="69">
        <f>SUMIFS('BS Actual MTM - Aug 26'!I:I,'BS Actual MTM - Aug 26'!$R:$R,$C249)/10^6</f>
        <v>127.8</v>
      </c>
      <c r="Q249" s="69">
        <f>SUMIFS('BS Actual MTM - Aug 26'!J:J,'BS Actual MTM - Aug 26'!$R:$R,$C249)/10^6</f>
        <v>127.8</v>
      </c>
      <c r="R249" s="69">
        <f>SUMIFS('BS Actual MTM - Aug 26'!K:K,'BS Actual MTM - Aug 26'!$R:$R,$C249)/10^6</f>
        <v>127.8</v>
      </c>
      <c r="S249" s="69">
        <f>SUMIFS('BS Actual MTM - Aug 26'!L:L,'BS Actual MTM - Aug 26'!$R:$R,$C249)/10^6</f>
        <v>0</v>
      </c>
      <c r="T249" s="69">
        <f t="shared" ref="T249:AI249" si="171">S249+T324+T169</f>
        <v>0</v>
      </c>
      <c r="U249" s="69">
        <f t="shared" si="171"/>
        <v>0</v>
      </c>
      <c r="V249" s="69">
        <f t="shared" si="171"/>
        <v>0</v>
      </c>
      <c r="W249" s="69">
        <f t="shared" si="171"/>
        <v>0</v>
      </c>
      <c r="X249" s="69">
        <f t="shared" si="171"/>
        <v>0</v>
      </c>
      <c r="Y249" s="69">
        <f t="shared" si="171"/>
        <v>0</v>
      </c>
      <c r="Z249" s="69">
        <f t="shared" si="171"/>
        <v>0</v>
      </c>
      <c r="AA249" s="69">
        <f t="shared" si="171"/>
        <v>0</v>
      </c>
      <c r="AB249" s="69">
        <f t="shared" si="171"/>
        <v>0</v>
      </c>
      <c r="AC249" s="69">
        <f t="shared" si="171"/>
        <v>0</v>
      </c>
      <c r="AD249" s="69">
        <f t="shared" si="171"/>
        <v>0</v>
      </c>
      <c r="AE249" s="69">
        <f t="shared" si="171"/>
        <v>0</v>
      </c>
      <c r="AF249" s="69">
        <f t="shared" si="171"/>
        <v>0</v>
      </c>
      <c r="AG249" s="69">
        <f t="shared" si="171"/>
        <v>0</v>
      </c>
      <c r="AH249" s="69">
        <f t="shared" si="171"/>
        <v>0</v>
      </c>
      <c r="AI249" s="69">
        <f t="shared" si="171"/>
        <v>0</v>
      </c>
    </row>
    <row r="250" spans="1:35" ht="14.25" customHeight="1" x14ac:dyDescent="0.35">
      <c r="A250" s="21"/>
      <c r="B250" s="21"/>
      <c r="C250" s="28" t="s">
        <v>219</v>
      </c>
      <c r="D250" s="28"/>
      <c r="E250" s="28"/>
      <c r="F250" s="28"/>
      <c r="G250" s="28"/>
      <c r="H250" s="56" t="s">
        <v>19</v>
      </c>
      <c r="I250" s="28"/>
      <c r="J250" s="41"/>
      <c r="K250" s="41">
        <f t="shared" ref="K250:AI250" si="172">SUM(K227,K229:K230,K232:K233,K235:K241,K243:K247,K249)</f>
        <v>7393.177622240346</v>
      </c>
      <c r="L250" s="41">
        <f t="shared" si="172"/>
        <v>8135.9161146999995</v>
      </c>
      <c r="M250" s="41">
        <f t="shared" si="172"/>
        <v>8044.6609094199994</v>
      </c>
      <c r="N250" s="41">
        <f t="shared" si="172"/>
        <v>6702.9597247599995</v>
      </c>
      <c r="O250" s="41">
        <f t="shared" si="172"/>
        <v>7116.1711443599997</v>
      </c>
      <c r="P250" s="41">
        <f t="shared" si="172"/>
        <v>8053.869480020001</v>
      </c>
      <c r="Q250" s="41">
        <f t="shared" si="172"/>
        <v>17662.777645680002</v>
      </c>
      <c r="R250" s="41">
        <f t="shared" si="172"/>
        <v>6761.3703766900007</v>
      </c>
      <c r="S250" s="41">
        <f t="shared" si="172"/>
        <v>8105.6435771500001</v>
      </c>
      <c r="T250" s="41">
        <f t="shared" si="172"/>
        <v>7465.4472826197871</v>
      </c>
      <c r="U250" s="41">
        <f t="shared" si="172"/>
        <v>7362.0221332803012</v>
      </c>
      <c r="V250" s="41">
        <f t="shared" si="172"/>
        <v>7534.2147669164769</v>
      </c>
      <c r="W250" s="41">
        <f t="shared" si="172"/>
        <v>7393.177622240346</v>
      </c>
      <c r="X250" s="41">
        <f t="shared" si="172"/>
        <v>7393.1689809973268</v>
      </c>
      <c r="Y250" s="41">
        <f t="shared" si="172"/>
        <v>7848.8596626291401</v>
      </c>
      <c r="Z250" s="41">
        <f t="shared" si="172"/>
        <v>7391.9472109423405</v>
      </c>
      <c r="AA250" s="41">
        <f t="shared" si="172"/>
        <v>7531.6573499386304</v>
      </c>
      <c r="AB250" s="41">
        <f t="shared" si="172"/>
        <v>7389.2645239942995</v>
      </c>
      <c r="AC250" s="41">
        <f t="shared" si="172"/>
        <v>7530.738410579117</v>
      </c>
      <c r="AD250" s="41">
        <f t="shared" si="172"/>
        <v>7388.1993617852186</v>
      </c>
      <c r="AE250" s="41">
        <f t="shared" si="172"/>
        <v>7387.638066145968</v>
      </c>
      <c r="AF250" s="41">
        <f t="shared" si="172"/>
        <v>7529.7690253732726</v>
      </c>
      <c r="AG250" s="41">
        <f t="shared" si="172"/>
        <v>7387.39096638499</v>
      </c>
      <c r="AH250" s="41">
        <f t="shared" si="172"/>
        <v>7529.5088750880859</v>
      </c>
      <c r="AI250" s="41">
        <f t="shared" si="172"/>
        <v>7387.245044226067</v>
      </c>
    </row>
    <row r="251" spans="1:35" ht="14.25" customHeight="1" x14ac:dyDescent="0.35">
      <c r="A251" s="21"/>
      <c r="B251" s="21"/>
      <c r="C251" s="21" t="s">
        <v>220</v>
      </c>
      <c r="D251" s="21"/>
      <c r="E251" s="28"/>
      <c r="F251" s="28"/>
      <c r="G251" s="28"/>
      <c r="H251" s="22" t="s">
        <v>19</v>
      </c>
      <c r="I251" s="28"/>
      <c r="J251" s="31"/>
      <c r="K251" s="69">
        <f>W251</f>
        <v>1318.2623880000001</v>
      </c>
      <c r="L251" s="69">
        <f>SUMIFS('BS Actual MTM - Aug 26'!E:E,'BS Actual MTM - Aug 26'!$R:$R,$C251)/10^6</f>
        <v>1318.2623880000001</v>
      </c>
      <c r="M251" s="69">
        <f>SUMIFS('BS Actual MTM - Aug 26'!F:F,'BS Actual MTM - Aug 26'!$R:$R,$C251)/10^6</f>
        <v>1318.2623880000001</v>
      </c>
      <c r="N251" s="69">
        <f>SUMIFS('BS Actual MTM - Aug 26'!G:G,'BS Actual MTM - Aug 26'!$R:$R,$C251)/10^6</f>
        <v>1318.2623880000001</v>
      </c>
      <c r="O251" s="69">
        <f>SUMIFS('BS Actual MTM - Aug 26'!H:H,'BS Actual MTM - Aug 26'!$R:$R,$C251)/10^6</f>
        <v>1318.2623880000001</v>
      </c>
      <c r="P251" s="69">
        <f>SUMIFS('BS Actual MTM - Aug 26'!I:I,'BS Actual MTM - Aug 26'!$R:$R,$C251)/10^6</f>
        <v>1318.2623880000001</v>
      </c>
      <c r="Q251" s="69">
        <f>SUMIFS('BS Actual MTM - Aug 26'!J:J,'BS Actual MTM - Aug 26'!$R:$R,$C251)/10^6</f>
        <v>1318.2623880000001</v>
      </c>
      <c r="R251" s="69">
        <f>SUMIFS('BS Actual MTM - Aug 26'!K:K,'BS Actual MTM - Aug 26'!$R:$R,$C251)/10^6</f>
        <v>1318.2623880000001</v>
      </c>
      <c r="S251" s="69">
        <f>SUMIFS('BS Actual MTM - Aug 26'!L:L,'BS Actual MTM - Aug 26'!$R:$R,$C251)/10^6</f>
        <v>1318.2623880000001</v>
      </c>
      <c r="T251" s="69">
        <f t="shared" ref="T251:AI251" si="173">S251</f>
        <v>1318.2623880000001</v>
      </c>
      <c r="U251" s="69">
        <f t="shared" si="173"/>
        <v>1318.2623880000001</v>
      </c>
      <c r="V251" s="69">
        <f t="shared" si="173"/>
        <v>1318.2623880000001</v>
      </c>
      <c r="W251" s="69">
        <f t="shared" si="173"/>
        <v>1318.2623880000001</v>
      </c>
      <c r="X251" s="69">
        <f t="shared" si="173"/>
        <v>1318.2623880000001</v>
      </c>
      <c r="Y251" s="69">
        <f t="shared" si="173"/>
        <v>1318.2623880000001</v>
      </c>
      <c r="Z251" s="69">
        <f t="shared" si="173"/>
        <v>1318.2623880000001</v>
      </c>
      <c r="AA251" s="69">
        <f t="shared" si="173"/>
        <v>1318.2623880000001</v>
      </c>
      <c r="AB251" s="69">
        <f t="shared" si="173"/>
        <v>1318.2623880000001</v>
      </c>
      <c r="AC251" s="69">
        <f t="shared" si="173"/>
        <v>1318.2623880000001</v>
      </c>
      <c r="AD251" s="69">
        <f t="shared" si="173"/>
        <v>1318.2623880000001</v>
      </c>
      <c r="AE251" s="69">
        <f t="shared" si="173"/>
        <v>1318.2623880000001</v>
      </c>
      <c r="AF251" s="69">
        <f t="shared" si="173"/>
        <v>1318.2623880000001</v>
      </c>
      <c r="AG251" s="69">
        <f t="shared" si="173"/>
        <v>1318.2623880000001</v>
      </c>
      <c r="AH251" s="69">
        <f t="shared" si="173"/>
        <v>1318.2623880000001</v>
      </c>
      <c r="AI251" s="69">
        <f t="shared" si="173"/>
        <v>1318.2623880000001</v>
      </c>
    </row>
    <row r="252" spans="1:35" ht="14.25" customHeight="1" x14ac:dyDescent="0.35">
      <c r="A252" s="21"/>
      <c r="B252" s="21"/>
      <c r="C252" s="28" t="s">
        <v>221</v>
      </c>
      <c r="D252" s="28"/>
      <c r="E252" s="28"/>
      <c r="F252" s="28"/>
      <c r="G252" s="28"/>
      <c r="H252" s="56" t="s">
        <v>19</v>
      </c>
      <c r="I252" s="28"/>
      <c r="J252" s="41"/>
      <c r="K252" s="41">
        <f t="shared" ref="K252:AI252" si="174">SUM(K251:K251)</f>
        <v>1318.2623880000001</v>
      </c>
      <c r="L252" s="41">
        <f t="shared" si="174"/>
        <v>1318.2623880000001</v>
      </c>
      <c r="M252" s="41">
        <f t="shared" si="174"/>
        <v>1318.2623880000001</v>
      </c>
      <c r="N252" s="41">
        <f t="shared" si="174"/>
        <v>1318.2623880000001</v>
      </c>
      <c r="O252" s="41">
        <f t="shared" si="174"/>
        <v>1318.2623880000001</v>
      </c>
      <c r="P252" s="41">
        <f t="shared" si="174"/>
        <v>1318.2623880000001</v>
      </c>
      <c r="Q252" s="41">
        <f t="shared" si="174"/>
        <v>1318.2623880000001</v>
      </c>
      <c r="R252" s="41">
        <f t="shared" si="174"/>
        <v>1318.2623880000001</v>
      </c>
      <c r="S252" s="41">
        <f t="shared" si="174"/>
        <v>1318.2623880000001</v>
      </c>
      <c r="T252" s="41">
        <f t="shared" si="174"/>
        <v>1318.2623880000001</v>
      </c>
      <c r="U252" s="41">
        <f t="shared" si="174"/>
        <v>1318.2623880000001</v>
      </c>
      <c r="V252" s="41">
        <f t="shared" si="174"/>
        <v>1318.2623880000001</v>
      </c>
      <c r="W252" s="41">
        <f t="shared" si="174"/>
        <v>1318.2623880000001</v>
      </c>
      <c r="X252" s="41">
        <f t="shared" si="174"/>
        <v>1318.2623880000001</v>
      </c>
      <c r="Y252" s="41">
        <f t="shared" si="174"/>
        <v>1318.2623880000001</v>
      </c>
      <c r="Z252" s="41">
        <f t="shared" si="174"/>
        <v>1318.2623880000001</v>
      </c>
      <c r="AA252" s="41">
        <f t="shared" si="174"/>
        <v>1318.2623880000001</v>
      </c>
      <c r="AB252" s="41">
        <f t="shared" si="174"/>
        <v>1318.2623880000001</v>
      </c>
      <c r="AC252" s="41">
        <f t="shared" si="174"/>
        <v>1318.2623880000001</v>
      </c>
      <c r="AD252" s="41">
        <f t="shared" si="174"/>
        <v>1318.2623880000001</v>
      </c>
      <c r="AE252" s="41">
        <f t="shared" si="174"/>
        <v>1318.2623880000001</v>
      </c>
      <c r="AF252" s="41">
        <f t="shared" si="174"/>
        <v>1318.2623880000001</v>
      </c>
      <c r="AG252" s="41">
        <f t="shared" si="174"/>
        <v>1318.2623880000001</v>
      </c>
      <c r="AH252" s="41">
        <f t="shared" si="174"/>
        <v>1318.2623880000001</v>
      </c>
      <c r="AI252" s="41">
        <f t="shared" si="174"/>
        <v>1318.2623880000001</v>
      </c>
    </row>
    <row r="253" spans="1:35" ht="14.25" customHeight="1" x14ac:dyDescent="0.35">
      <c r="A253" s="21"/>
      <c r="B253" s="21"/>
      <c r="C253" s="37" t="s">
        <v>222</v>
      </c>
      <c r="D253" s="37"/>
      <c r="E253" s="37"/>
      <c r="F253" s="37"/>
      <c r="G253" s="37"/>
      <c r="H253" s="38" t="s">
        <v>19</v>
      </c>
      <c r="I253" s="37"/>
      <c r="J253" s="40"/>
      <c r="K253" s="40">
        <f t="shared" ref="K253:AI253" si="175">K252+K250</f>
        <v>8711.4400102403451</v>
      </c>
      <c r="L253" s="40">
        <f t="shared" si="175"/>
        <v>9454.1785027000005</v>
      </c>
      <c r="M253" s="40">
        <f t="shared" si="175"/>
        <v>9362.9232974199986</v>
      </c>
      <c r="N253" s="40">
        <f t="shared" si="175"/>
        <v>8021.2221127599996</v>
      </c>
      <c r="O253" s="40">
        <f t="shared" si="175"/>
        <v>8434.4335323599989</v>
      </c>
      <c r="P253" s="40">
        <f t="shared" si="175"/>
        <v>9372.131868020002</v>
      </c>
      <c r="Q253" s="40">
        <f t="shared" si="175"/>
        <v>18981.040033680001</v>
      </c>
      <c r="R253" s="40">
        <f t="shared" si="175"/>
        <v>8079.6327646900008</v>
      </c>
      <c r="S253" s="40">
        <f t="shared" si="175"/>
        <v>9423.9059651499992</v>
      </c>
      <c r="T253" s="40">
        <f t="shared" si="175"/>
        <v>8783.7096706197881</v>
      </c>
      <c r="U253" s="40">
        <f t="shared" si="175"/>
        <v>8680.2845212803004</v>
      </c>
      <c r="V253" s="40">
        <f t="shared" si="175"/>
        <v>8852.4771549164761</v>
      </c>
      <c r="W253" s="40">
        <f t="shared" si="175"/>
        <v>8711.4400102403451</v>
      </c>
      <c r="X253" s="40">
        <f t="shared" si="175"/>
        <v>8711.4313689973278</v>
      </c>
      <c r="Y253" s="40">
        <f t="shared" si="175"/>
        <v>9167.1220506291393</v>
      </c>
      <c r="Z253" s="40">
        <f t="shared" si="175"/>
        <v>8710.2095989423397</v>
      </c>
      <c r="AA253" s="40">
        <f t="shared" si="175"/>
        <v>8849.9197379386314</v>
      </c>
      <c r="AB253" s="40">
        <f t="shared" si="175"/>
        <v>8707.5269119943005</v>
      </c>
      <c r="AC253" s="40">
        <f t="shared" si="175"/>
        <v>8849.0007985791162</v>
      </c>
      <c r="AD253" s="40">
        <f t="shared" si="175"/>
        <v>8706.4617497852196</v>
      </c>
      <c r="AE253" s="40">
        <f t="shared" si="175"/>
        <v>8705.900454145969</v>
      </c>
      <c r="AF253" s="40">
        <f t="shared" si="175"/>
        <v>8848.0314133732718</v>
      </c>
      <c r="AG253" s="40">
        <f t="shared" si="175"/>
        <v>8705.653354384991</v>
      </c>
      <c r="AH253" s="40">
        <f t="shared" si="175"/>
        <v>8847.7712630880851</v>
      </c>
      <c r="AI253" s="40">
        <f t="shared" si="175"/>
        <v>8705.5074322260662</v>
      </c>
    </row>
    <row r="254" spans="1:35" ht="14.25" customHeight="1" x14ac:dyDescent="0.35">
      <c r="A254" s="21"/>
      <c r="B254" s="21"/>
      <c r="C254" s="37" t="s">
        <v>3</v>
      </c>
      <c r="D254" s="37"/>
      <c r="E254" s="37"/>
      <c r="F254" s="37"/>
      <c r="G254" s="37"/>
      <c r="H254" s="38" t="s">
        <v>19</v>
      </c>
      <c r="I254" s="37"/>
      <c r="J254" s="40"/>
      <c r="K254" s="40">
        <f t="shared" ref="K254:AI254" si="176">K226-K253</f>
        <v>37397.125896216392</v>
      </c>
      <c r="L254" s="40">
        <f t="shared" si="176"/>
        <v>32629.977322800012</v>
      </c>
      <c r="M254" s="40">
        <f t="shared" si="176"/>
        <v>33670.885960550033</v>
      </c>
      <c r="N254" s="40">
        <f t="shared" si="176"/>
        <v>32855.825702920039</v>
      </c>
      <c r="O254" s="40">
        <f t="shared" si="176"/>
        <v>33110.294031800018</v>
      </c>
      <c r="P254" s="40">
        <f t="shared" si="176"/>
        <v>33589.778240610016</v>
      </c>
      <c r="Q254" s="40">
        <f t="shared" si="176"/>
        <v>34023.062491820005</v>
      </c>
      <c r="R254" s="40">
        <f t="shared" si="176"/>
        <v>34570.856919810016</v>
      </c>
      <c r="S254" s="40">
        <f t="shared" si="176"/>
        <v>35641.211919769034</v>
      </c>
      <c r="T254" s="40">
        <f t="shared" si="176"/>
        <v>36174.520359809016</v>
      </c>
      <c r="U254" s="40">
        <f t="shared" si="176"/>
        <v>36629.68188941769</v>
      </c>
      <c r="V254" s="40">
        <f t="shared" si="176"/>
        <v>37015.857233222065</v>
      </c>
      <c r="W254" s="40">
        <f t="shared" si="176"/>
        <v>37397.125896216392</v>
      </c>
      <c r="X254" s="40">
        <f t="shared" si="176"/>
        <v>37695.670640261182</v>
      </c>
      <c r="Y254" s="40">
        <f t="shared" si="176"/>
        <v>37996.913859503285</v>
      </c>
      <c r="Z254" s="40">
        <f t="shared" si="176"/>
        <v>38297.478244780228</v>
      </c>
      <c r="AA254" s="40">
        <f t="shared" si="176"/>
        <v>38603.264567204533</v>
      </c>
      <c r="AB254" s="40">
        <f t="shared" si="176"/>
        <v>38909.361442778783</v>
      </c>
      <c r="AC254" s="40">
        <f t="shared" si="176"/>
        <v>39216.652601488226</v>
      </c>
      <c r="AD254" s="40">
        <f t="shared" si="176"/>
        <v>39524.866515645277</v>
      </c>
      <c r="AE254" s="40">
        <f t="shared" si="176"/>
        <v>39834.106703092009</v>
      </c>
      <c r="AF254" s="40">
        <f t="shared" si="176"/>
        <v>40143.624233691909</v>
      </c>
      <c r="AG254" s="40">
        <f t="shared" si="176"/>
        <v>40454.392915400123</v>
      </c>
      <c r="AH254" s="40">
        <f t="shared" si="176"/>
        <v>40765.231108898653</v>
      </c>
      <c r="AI254" s="40">
        <f t="shared" si="176"/>
        <v>41076.338404069567</v>
      </c>
    </row>
    <row r="255" spans="1:35" ht="14.25" customHeight="1" x14ac:dyDescent="0.35">
      <c r="A255" s="21"/>
      <c r="B255" s="21"/>
      <c r="C255" s="21" t="s">
        <v>223</v>
      </c>
      <c r="D255" s="21"/>
      <c r="E255" s="21"/>
      <c r="F255" s="21"/>
      <c r="G255" s="21"/>
      <c r="H255" s="22" t="s">
        <v>19</v>
      </c>
      <c r="I255" s="21"/>
      <c r="J255" s="31"/>
      <c r="K255" s="69">
        <f t="shared" ref="K255:K261" si="177">W255</f>
        <v>1000.000001</v>
      </c>
      <c r="L255" s="31">
        <f>'BS Actual MTM - Aug 26'!E191/10^6</f>
        <v>1000.000001</v>
      </c>
      <c r="M255" s="31">
        <f>'BS Actual MTM - Aug 26'!F191/10^6</f>
        <v>1000.000001</v>
      </c>
      <c r="N255" s="31">
        <f>'BS Actual MTM - Aug 26'!G191/10^6</f>
        <v>1000.000001</v>
      </c>
      <c r="O255" s="31">
        <f>'BS Actual MTM - Aug 26'!H191/10^6</f>
        <v>1000.000001</v>
      </c>
      <c r="P255" s="31">
        <f>'BS Actual MTM - Aug 26'!I191/10^6</f>
        <v>1000.000001</v>
      </c>
      <c r="Q255" s="31">
        <f>'BS Actual MTM - Aug 26'!J191/10^6</f>
        <v>1000.000001</v>
      </c>
      <c r="R255" s="31">
        <f>'BS Actual MTM - Aug 26'!K191/10^6</f>
        <v>1000.000001</v>
      </c>
      <c r="S255" s="31">
        <f>'BS Actual MTM - Aug 26'!L191/10^6</f>
        <v>1000.000001</v>
      </c>
      <c r="T255" s="31">
        <f t="shared" ref="T255:AI255" si="178">S255+T175</f>
        <v>1000.000001</v>
      </c>
      <c r="U255" s="31">
        <f t="shared" si="178"/>
        <v>1000.000001</v>
      </c>
      <c r="V255" s="31">
        <f t="shared" si="178"/>
        <v>1000.000001</v>
      </c>
      <c r="W255" s="31">
        <f t="shared" si="178"/>
        <v>1000.000001</v>
      </c>
      <c r="X255" s="31">
        <f t="shared" si="178"/>
        <v>1000.000001</v>
      </c>
      <c r="Y255" s="31">
        <f t="shared" si="178"/>
        <v>1000.000001</v>
      </c>
      <c r="Z255" s="31">
        <f t="shared" si="178"/>
        <v>1000.000001</v>
      </c>
      <c r="AA255" s="31">
        <f t="shared" si="178"/>
        <v>1000.000001</v>
      </c>
      <c r="AB255" s="31">
        <f t="shared" si="178"/>
        <v>1000.000001</v>
      </c>
      <c r="AC255" s="31">
        <f t="shared" si="178"/>
        <v>1000.000001</v>
      </c>
      <c r="AD255" s="31">
        <f t="shared" si="178"/>
        <v>1000.000001</v>
      </c>
      <c r="AE255" s="31">
        <f t="shared" si="178"/>
        <v>1000.000001</v>
      </c>
      <c r="AF255" s="31">
        <f t="shared" si="178"/>
        <v>1000.000001</v>
      </c>
      <c r="AG255" s="31">
        <f t="shared" si="178"/>
        <v>1000.000001</v>
      </c>
      <c r="AH255" s="31">
        <f t="shared" si="178"/>
        <v>1000.000001</v>
      </c>
      <c r="AI255" s="31">
        <f t="shared" si="178"/>
        <v>1000.000001</v>
      </c>
    </row>
    <row r="256" spans="1:35" ht="14.25" customHeight="1" x14ac:dyDescent="0.35">
      <c r="A256" s="21"/>
      <c r="B256" s="21"/>
      <c r="C256" s="21" t="s">
        <v>224</v>
      </c>
      <c r="D256" s="21"/>
      <c r="E256" s="21"/>
      <c r="F256" s="21"/>
      <c r="G256" s="21"/>
      <c r="H256" s="22" t="s">
        <v>19</v>
      </c>
      <c r="I256" s="21"/>
      <c r="J256" s="31"/>
      <c r="K256" s="69">
        <f t="shared" si="177"/>
        <v>0</v>
      </c>
      <c r="L256" s="31">
        <f>0</f>
        <v>0</v>
      </c>
      <c r="M256" s="31">
        <f t="shared" ref="M256:AI256" si="179">L256</f>
        <v>0</v>
      </c>
      <c r="N256" s="31">
        <f t="shared" si="179"/>
        <v>0</v>
      </c>
      <c r="O256" s="31">
        <f t="shared" si="179"/>
        <v>0</v>
      </c>
      <c r="P256" s="31">
        <f t="shared" si="179"/>
        <v>0</v>
      </c>
      <c r="Q256" s="31">
        <f t="shared" si="179"/>
        <v>0</v>
      </c>
      <c r="R256" s="31">
        <f t="shared" si="179"/>
        <v>0</v>
      </c>
      <c r="S256" s="31">
        <f t="shared" si="179"/>
        <v>0</v>
      </c>
      <c r="T256" s="31">
        <f t="shared" si="179"/>
        <v>0</v>
      </c>
      <c r="U256" s="31">
        <f t="shared" si="179"/>
        <v>0</v>
      </c>
      <c r="V256" s="31">
        <f t="shared" si="179"/>
        <v>0</v>
      </c>
      <c r="W256" s="31">
        <f t="shared" si="179"/>
        <v>0</v>
      </c>
      <c r="X256" s="31">
        <f t="shared" si="179"/>
        <v>0</v>
      </c>
      <c r="Y256" s="31">
        <f t="shared" si="179"/>
        <v>0</v>
      </c>
      <c r="Z256" s="31">
        <f t="shared" si="179"/>
        <v>0</v>
      </c>
      <c r="AA256" s="31">
        <f t="shared" si="179"/>
        <v>0</v>
      </c>
      <c r="AB256" s="31">
        <f t="shared" si="179"/>
        <v>0</v>
      </c>
      <c r="AC256" s="31">
        <f t="shared" si="179"/>
        <v>0</v>
      </c>
      <c r="AD256" s="31">
        <f t="shared" si="179"/>
        <v>0</v>
      </c>
      <c r="AE256" s="31">
        <f t="shared" si="179"/>
        <v>0</v>
      </c>
      <c r="AF256" s="31">
        <f t="shared" si="179"/>
        <v>0</v>
      </c>
      <c r="AG256" s="31">
        <f t="shared" si="179"/>
        <v>0</v>
      </c>
      <c r="AH256" s="31">
        <f t="shared" si="179"/>
        <v>0</v>
      </c>
      <c r="AI256" s="31">
        <f t="shared" si="179"/>
        <v>0</v>
      </c>
    </row>
    <row r="257" spans="1:35" ht="14.25" customHeight="1" x14ac:dyDescent="0.35">
      <c r="A257" s="21"/>
      <c r="B257" s="21"/>
      <c r="C257" s="21" t="s">
        <v>225</v>
      </c>
      <c r="D257" s="21"/>
      <c r="E257" s="21"/>
      <c r="F257" s="21"/>
      <c r="G257" s="21"/>
      <c r="H257" s="22" t="s">
        <v>19</v>
      </c>
      <c r="I257" s="21"/>
      <c r="J257" s="31"/>
      <c r="K257" s="69">
        <f t="shared" si="177"/>
        <v>41611.853187449306</v>
      </c>
      <c r="L257" s="31">
        <f>'BS Actual MTM - Aug 26'!E192/10^6</f>
        <v>41611.853187449306</v>
      </c>
      <c r="M257" s="31">
        <f>'BS Actual MTM - Aug 26'!F192/10^6</f>
        <v>41611.853187449306</v>
      </c>
      <c r="N257" s="31">
        <f>'BS Actual MTM - Aug 26'!G192/10^6</f>
        <v>41611.853187449306</v>
      </c>
      <c r="O257" s="31">
        <f>'BS Actual MTM - Aug 26'!H192/10^6</f>
        <v>41611.853187449306</v>
      </c>
      <c r="P257" s="31">
        <f>'BS Actual MTM - Aug 26'!I192/10^6</f>
        <v>41611.853187449306</v>
      </c>
      <c r="Q257" s="31">
        <f>'BS Actual MTM - Aug 26'!J192/10^6</f>
        <v>41611.853187449306</v>
      </c>
      <c r="R257" s="31">
        <f>'BS Actual MTM - Aug 26'!K192/10^6</f>
        <v>41611.853187449306</v>
      </c>
      <c r="S257" s="31">
        <f>'BS Actual MTM - Aug 26'!L192/10^6</f>
        <v>41611.853187449306</v>
      </c>
      <c r="T257" s="31">
        <f>S257</f>
        <v>41611.853187449306</v>
      </c>
      <c r="U257" s="31">
        <f>T257</f>
        <v>41611.853187449306</v>
      </c>
      <c r="V257" s="31">
        <f>U257</f>
        <v>41611.853187449306</v>
      </c>
      <c r="W257" s="31">
        <f>V257</f>
        <v>41611.853187449306</v>
      </c>
      <c r="X257" s="31">
        <f>W257</f>
        <v>41611.853187449306</v>
      </c>
      <c r="Y257" s="31">
        <f>X257+X258</f>
        <v>48378.302669464261</v>
      </c>
      <c r="Z257" s="31">
        <f t="shared" ref="Z257:AI257" si="180">Y257</f>
        <v>48378.302669464261</v>
      </c>
      <c r="AA257" s="31">
        <f t="shared" si="180"/>
        <v>48378.302669464261</v>
      </c>
      <c r="AB257" s="31">
        <f t="shared" si="180"/>
        <v>48378.302669464261</v>
      </c>
      <c r="AC257" s="31">
        <f t="shared" si="180"/>
        <v>48378.302669464261</v>
      </c>
      <c r="AD257" s="31">
        <f t="shared" si="180"/>
        <v>48378.302669464261</v>
      </c>
      <c r="AE257" s="31">
        <f t="shared" si="180"/>
        <v>48378.302669464261</v>
      </c>
      <c r="AF257" s="31">
        <f t="shared" si="180"/>
        <v>48378.302669464261</v>
      </c>
      <c r="AG257" s="31">
        <f t="shared" si="180"/>
        <v>48378.302669464261</v>
      </c>
      <c r="AH257" s="31">
        <f t="shared" si="180"/>
        <v>48378.302669464261</v>
      </c>
      <c r="AI257" s="31">
        <f t="shared" si="180"/>
        <v>48378.302669464261</v>
      </c>
    </row>
    <row r="258" spans="1:35" ht="14.25" customHeight="1" x14ac:dyDescent="0.35">
      <c r="A258" s="21"/>
      <c r="B258" s="21"/>
      <c r="C258" s="21" t="s">
        <v>226</v>
      </c>
      <c r="D258" s="21"/>
      <c r="E258" s="21"/>
      <c r="F258" s="21"/>
      <c r="G258" s="21"/>
      <c r="H258" s="22" t="s">
        <v>19</v>
      </c>
      <c r="I258" s="68"/>
      <c r="J258" s="31"/>
      <c r="K258" s="69">
        <f t="shared" si="177"/>
        <v>6467.9047379701597</v>
      </c>
      <c r="L258" s="31">
        <f>L120</f>
        <v>1700.7561645537894</v>
      </c>
      <c r="M258" s="31">
        <f t="shared" ref="M258:X258" si="181">L258+M120</f>
        <v>2741.6648713576014</v>
      </c>
      <c r="N258" s="31">
        <f t="shared" si="181"/>
        <v>1926.6045877456709</v>
      </c>
      <c r="O258" s="31">
        <f t="shared" si="181"/>
        <v>2181.0728762142303</v>
      </c>
      <c r="P258" s="31">
        <f t="shared" si="181"/>
        <v>2660.5570533816976</v>
      </c>
      <c r="Q258" s="31">
        <f t="shared" si="181"/>
        <v>3093.8412480483007</v>
      </c>
      <c r="R258" s="31">
        <f t="shared" si="181"/>
        <v>3641.6356989782062</v>
      </c>
      <c r="S258" s="31">
        <f t="shared" si="181"/>
        <v>4711.990775269569</v>
      </c>
      <c r="T258" s="31">
        <f t="shared" si="181"/>
        <v>5245.2992015627897</v>
      </c>
      <c r="U258" s="31">
        <f t="shared" si="181"/>
        <v>5700.4607311714535</v>
      </c>
      <c r="V258" s="31">
        <f t="shared" si="181"/>
        <v>6086.6360749758214</v>
      </c>
      <c r="W258" s="31">
        <f t="shared" si="181"/>
        <v>6467.9047379701597</v>
      </c>
      <c r="X258" s="31">
        <f t="shared" si="181"/>
        <v>6766.4494820149521</v>
      </c>
      <c r="Y258" s="31">
        <f>Y120</f>
        <v>301.24321924209448</v>
      </c>
      <c r="Z258" s="31">
        <f t="shared" ref="Z258:AI258" si="182">Y258+Z120</f>
        <v>601.80760451903734</v>
      </c>
      <c r="AA258" s="31">
        <f t="shared" si="182"/>
        <v>907.59392694335361</v>
      </c>
      <c r="AB258" s="31">
        <f t="shared" si="182"/>
        <v>1213.6908025175912</v>
      </c>
      <c r="AC258" s="31">
        <f t="shared" si="182"/>
        <v>1520.9819612270214</v>
      </c>
      <c r="AD258" s="31">
        <f t="shared" si="182"/>
        <v>1829.1958753840831</v>
      </c>
      <c r="AE258" s="31">
        <f t="shared" si="182"/>
        <v>2138.4360628308291</v>
      </c>
      <c r="AF258" s="31">
        <f t="shared" si="182"/>
        <v>2447.9535934307351</v>
      </c>
      <c r="AG258" s="31">
        <f t="shared" si="182"/>
        <v>2758.7222751389422</v>
      </c>
      <c r="AH258" s="31">
        <f t="shared" si="182"/>
        <v>3069.560468637465</v>
      </c>
      <c r="AI258" s="31">
        <f t="shared" si="182"/>
        <v>3380.6677638083634</v>
      </c>
    </row>
    <row r="259" spans="1:35" ht="14.25" customHeight="1" x14ac:dyDescent="0.35">
      <c r="A259" s="21"/>
      <c r="B259" s="21"/>
      <c r="C259" s="21" t="s">
        <v>227</v>
      </c>
      <c r="D259" s="21"/>
      <c r="E259" s="21"/>
      <c r="F259" s="21"/>
      <c r="G259" s="21"/>
      <c r="H259" s="22" t="s">
        <v>19</v>
      </c>
      <c r="I259" s="21"/>
      <c r="J259" s="31"/>
      <c r="K259" s="69">
        <f t="shared" si="177"/>
        <v>100</v>
      </c>
      <c r="L259" s="31">
        <f>'BS Actual MTM - Aug 26'!E197/10^6</f>
        <v>100</v>
      </c>
      <c r="M259" s="31">
        <f>'BS Actual MTM - Aug 26'!F197/10^6</f>
        <v>100</v>
      </c>
      <c r="N259" s="31">
        <f>'BS Actual MTM - Aug 26'!G197/10^6</f>
        <v>100</v>
      </c>
      <c r="O259" s="31">
        <f>'BS Actual MTM - Aug 26'!H197/10^6</f>
        <v>100</v>
      </c>
      <c r="P259" s="31">
        <f>'BS Actual MTM - Aug 26'!I197/10^6</f>
        <v>100</v>
      </c>
      <c r="Q259" s="31">
        <f>'BS Actual MTM - Aug 26'!J197/10^6</f>
        <v>100</v>
      </c>
      <c r="R259" s="31">
        <f>'BS Actual MTM - Aug 26'!K197/10^6</f>
        <v>100</v>
      </c>
      <c r="S259" s="31">
        <f>'BS Actual MTM - Aug 26'!L197/10^6</f>
        <v>100</v>
      </c>
      <c r="T259" s="31">
        <f t="shared" ref="T259:AI259" si="183">S259</f>
        <v>100</v>
      </c>
      <c r="U259" s="31">
        <f t="shared" si="183"/>
        <v>100</v>
      </c>
      <c r="V259" s="31">
        <f t="shared" si="183"/>
        <v>100</v>
      </c>
      <c r="W259" s="31">
        <f t="shared" si="183"/>
        <v>100</v>
      </c>
      <c r="X259" s="31">
        <f t="shared" si="183"/>
        <v>100</v>
      </c>
      <c r="Y259" s="31">
        <f t="shared" si="183"/>
        <v>100</v>
      </c>
      <c r="Z259" s="31">
        <f t="shared" si="183"/>
        <v>100</v>
      </c>
      <c r="AA259" s="31">
        <f t="shared" si="183"/>
        <v>100</v>
      </c>
      <c r="AB259" s="31">
        <f t="shared" si="183"/>
        <v>100</v>
      </c>
      <c r="AC259" s="31">
        <f t="shared" si="183"/>
        <v>100</v>
      </c>
      <c r="AD259" s="31">
        <f t="shared" si="183"/>
        <v>100</v>
      </c>
      <c r="AE259" s="31">
        <f t="shared" si="183"/>
        <v>100</v>
      </c>
      <c r="AF259" s="31">
        <f t="shared" si="183"/>
        <v>100</v>
      </c>
      <c r="AG259" s="31">
        <f t="shared" si="183"/>
        <v>100</v>
      </c>
      <c r="AH259" s="31">
        <f t="shared" si="183"/>
        <v>100</v>
      </c>
      <c r="AI259" s="31">
        <f t="shared" si="183"/>
        <v>100</v>
      </c>
    </row>
    <row r="260" spans="1:35" ht="14.25" customHeight="1" x14ac:dyDescent="0.35">
      <c r="A260" s="21"/>
      <c r="B260" s="21"/>
      <c r="C260" s="21" t="s">
        <v>228</v>
      </c>
      <c r="D260" s="21"/>
      <c r="E260" s="21"/>
      <c r="F260" s="21"/>
      <c r="G260" s="21"/>
      <c r="H260" s="22" t="s">
        <v>19</v>
      </c>
      <c r="I260" s="21"/>
      <c r="J260" s="31"/>
      <c r="K260" s="69">
        <f t="shared" si="177"/>
        <v>-11000</v>
      </c>
      <c r="L260" s="31">
        <f>'BS Actual MTM - Aug 26'!E196/10^6</f>
        <v>-11000</v>
      </c>
      <c r="M260" s="31">
        <f>'BS Actual MTM - Aug 26'!F196/10^6</f>
        <v>-11000</v>
      </c>
      <c r="N260" s="31">
        <f>'BS Actual MTM - Aug 26'!G196/10^6</f>
        <v>-11000</v>
      </c>
      <c r="O260" s="31">
        <f>'BS Actual MTM - Aug 26'!H196/10^6</f>
        <v>-11000</v>
      </c>
      <c r="P260" s="31">
        <f>'BS Actual MTM - Aug 26'!I196/10^6</f>
        <v>-11000</v>
      </c>
      <c r="Q260" s="31">
        <f>'BS Actual MTM - Aug 26'!J196/10^6</f>
        <v>-11000</v>
      </c>
      <c r="R260" s="31">
        <f>'BS Actual MTM - Aug 26'!K196/10^6</f>
        <v>-11000</v>
      </c>
      <c r="S260" s="31">
        <f>'BS Actual MTM - Aug 26'!L196/10^6</f>
        <v>-11000</v>
      </c>
      <c r="T260" s="31">
        <f t="shared" ref="T260:AI260" si="184">S260+T176</f>
        <v>-11000</v>
      </c>
      <c r="U260" s="31">
        <f t="shared" si="184"/>
        <v>-11000</v>
      </c>
      <c r="V260" s="31">
        <f t="shared" si="184"/>
        <v>-11000</v>
      </c>
      <c r="W260" s="31">
        <f t="shared" si="184"/>
        <v>-11000</v>
      </c>
      <c r="X260" s="31">
        <f t="shared" si="184"/>
        <v>-11000</v>
      </c>
      <c r="Y260" s="31">
        <f t="shared" si="184"/>
        <v>-11000</v>
      </c>
      <c r="Z260" s="31">
        <f t="shared" si="184"/>
        <v>-11000</v>
      </c>
      <c r="AA260" s="31">
        <f t="shared" si="184"/>
        <v>-11000</v>
      </c>
      <c r="AB260" s="31">
        <f t="shared" si="184"/>
        <v>-11000</v>
      </c>
      <c r="AC260" s="31">
        <f t="shared" si="184"/>
        <v>-11000</v>
      </c>
      <c r="AD260" s="31">
        <f t="shared" si="184"/>
        <v>-11000</v>
      </c>
      <c r="AE260" s="31">
        <f t="shared" si="184"/>
        <v>-11000</v>
      </c>
      <c r="AF260" s="31">
        <f t="shared" si="184"/>
        <v>-11000</v>
      </c>
      <c r="AG260" s="31">
        <f t="shared" si="184"/>
        <v>-11000</v>
      </c>
      <c r="AH260" s="31">
        <f t="shared" si="184"/>
        <v>-11000</v>
      </c>
      <c r="AI260" s="31">
        <f t="shared" si="184"/>
        <v>-11000</v>
      </c>
    </row>
    <row r="261" spans="1:35" ht="14.25" customHeight="1" x14ac:dyDescent="0.35">
      <c r="A261" s="21"/>
      <c r="B261" s="21"/>
      <c r="C261" s="21" t="s">
        <v>229</v>
      </c>
      <c r="D261" s="21"/>
      <c r="E261" s="21"/>
      <c r="F261" s="21"/>
      <c r="G261" s="21"/>
      <c r="H261" s="22"/>
      <c r="I261" s="21"/>
      <c r="J261" s="31"/>
      <c r="K261" s="69">
        <f t="shared" si="177"/>
        <v>-782.63189799999998</v>
      </c>
      <c r="L261" s="31">
        <f>'BS Actual MTM - Aug 26'!E193/10^6</f>
        <v>-782.63189799999998</v>
      </c>
      <c r="M261" s="31">
        <f>'BS Actual MTM - Aug 26'!F193/10^6</f>
        <v>-782.63189799999998</v>
      </c>
      <c r="N261" s="31">
        <f>'BS Actual MTM - Aug 26'!G193/10^6</f>
        <v>-782.63189799999998</v>
      </c>
      <c r="O261" s="31">
        <f>'BS Actual MTM - Aug 26'!H193/10^6</f>
        <v>-782.63189799999998</v>
      </c>
      <c r="P261" s="31">
        <f>'BS Actual MTM - Aug 26'!I193/10^6</f>
        <v>-782.63189799999998</v>
      </c>
      <c r="Q261" s="31">
        <f>'BS Actual MTM - Aug 26'!J193/10^6</f>
        <v>-782.63189799999998</v>
      </c>
      <c r="R261" s="31">
        <f>'BS Actual MTM - Aug 26'!K193/10^6</f>
        <v>-782.63189799999998</v>
      </c>
      <c r="S261" s="31">
        <f>'BS Actual MTM - Aug 26'!L193/10^6</f>
        <v>-782.63189799999998</v>
      </c>
      <c r="T261" s="31">
        <f t="shared" ref="T261:AI261" si="185">S261</f>
        <v>-782.63189799999998</v>
      </c>
      <c r="U261" s="31">
        <f t="shared" si="185"/>
        <v>-782.63189799999998</v>
      </c>
      <c r="V261" s="31">
        <f t="shared" si="185"/>
        <v>-782.63189799999998</v>
      </c>
      <c r="W261" s="31">
        <f t="shared" si="185"/>
        <v>-782.63189799999998</v>
      </c>
      <c r="X261" s="31">
        <f t="shared" si="185"/>
        <v>-782.63189799999998</v>
      </c>
      <c r="Y261" s="31">
        <f t="shared" si="185"/>
        <v>-782.63189799999998</v>
      </c>
      <c r="Z261" s="31">
        <f t="shared" si="185"/>
        <v>-782.63189799999998</v>
      </c>
      <c r="AA261" s="31">
        <f t="shared" si="185"/>
        <v>-782.63189799999998</v>
      </c>
      <c r="AB261" s="31">
        <f t="shared" si="185"/>
        <v>-782.63189799999998</v>
      </c>
      <c r="AC261" s="31">
        <f t="shared" si="185"/>
        <v>-782.63189799999998</v>
      </c>
      <c r="AD261" s="31">
        <f t="shared" si="185"/>
        <v>-782.63189799999998</v>
      </c>
      <c r="AE261" s="31">
        <f t="shared" si="185"/>
        <v>-782.63189799999998</v>
      </c>
      <c r="AF261" s="31">
        <f t="shared" si="185"/>
        <v>-782.63189799999998</v>
      </c>
      <c r="AG261" s="31">
        <f t="shared" si="185"/>
        <v>-782.63189799999998</v>
      </c>
      <c r="AH261" s="31">
        <f t="shared" si="185"/>
        <v>-782.63189799999998</v>
      </c>
      <c r="AI261" s="31">
        <f t="shared" si="185"/>
        <v>-782.63189799999998</v>
      </c>
    </row>
    <row r="262" spans="1:35" ht="14.25" customHeight="1" x14ac:dyDescent="0.35">
      <c r="A262" s="21"/>
      <c r="B262" s="21"/>
      <c r="C262" s="37" t="s">
        <v>230</v>
      </c>
      <c r="D262" s="37"/>
      <c r="E262" s="37"/>
      <c r="F262" s="37"/>
      <c r="G262" s="37"/>
      <c r="H262" s="38" t="s">
        <v>19</v>
      </c>
      <c r="I262" s="37"/>
      <c r="J262" s="40"/>
      <c r="K262" s="40">
        <f t="shared" ref="K262:AI262" si="186">SUM(K255:K261)</f>
        <v>37397.126028419465</v>
      </c>
      <c r="L262" s="40">
        <f t="shared" si="186"/>
        <v>32629.977455003092</v>
      </c>
      <c r="M262" s="40">
        <f t="shared" si="186"/>
        <v>33670.886161806906</v>
      </c>
      <c r="N262" s="40">
        <f t="shared" si="186"/>
        <v>32855.825878194977</v>
      </c>
      <c r="O262" s="40">
        <f t="shared" si="186"/>
        <v>33110.294166663538</v>
      </c>
      <c r="P262" s="40">
        <f t="shared" si="186"/>
        <v>33589.778343831007</v>
      </c>
      <c r="Q262" s="40">
        <f t="shared" si="186"/>
        <v>34023.062538497608</v>
      </c>
      <c r="R262" s="40">
        <f t="shared" si="186"/>
        <v>34570.856989427513</v>
      </c>
      <c r="S262" s="40">
        <f t="shared" si="186"/>
        <v>35641.212065718872</v>
      </c>
      <c r="T262" s="40">
        <f t="shared" si="186"/>
        <v>36174.520492012096</v>
      </c>
      <c r="U262" s="40">
        <f t="shared" si="186"/>
        <v>36629.682021620763</v>
      </c>
      <c r="V262" s="40">
        <f t="shared" si="186"/>
        <v>37015.85736542513</v>
      </c>
      <c r="W262" s="40">
        <f t="shared" si="186"/>
        <v>37397.126028419465</v>
      </c>
      <c r="X262" s="40">
        <f t="shared" si="186"/>
        <v>37695.670772464255</v>
      </c>
      <c r="Y262" s="40">
        <f t="shared" si="186"/>
        <v>37996.913991706359</v>
      </c>
      <c r="Z262" s="40">
        <f t="shared" si="186"/>
        <v>38297.478376983301</v>
      </c>
      <c r="AA262" s="40">
        <f t="shared" si="186"/>
        <v>38603.264699407613</v>
      </c>
      <c r="AB262" s="40">
        <f t="shared" si="186"/>
        <v>38909.361574981856</v>
      </c>
      <c r="AC262" s="40">
        <f t="shared" si="186"/>
        <v>39216.652733691284</v>
      </c>
      <c r="AD262" s="40">
        <f t="shared" si="186"/>
        <v>39524.866647848343</v>
      </c>
      <c r="AE262" s="40">
        <f t="shared" si="186"/>
        <v>39834.10683529509</v>
      </c>
      <c r="AF262" s="40">
        <f t="shared" si="186"/>
        <v>40143.624365894997</v>
      </c>
      <c r="AG262" s="40">
        <f t="shared" si="186"/>
        <v>40454.393047603204</v>
      </c>
      <c r="AH262" s="40">
        <f t="shared" si="186"/>
        <v>40765.231241101726</v>
      </c>
      <c r="AI262" s="40">
        <f t="shared" si="186"/>
        <v>41076.338536272626</v>
      </c>
    </row>
    <row r="263" spans="1:35" ht="14.25" customHeight="1" x14ac:dyDescent="0.35">
      <c r="A263" s="21"/>
      <c r="B263" s="21"/>
      <c r="C263" s="21"/>
      <c r="D263" s="21"/>
      <c r="E263" s="21"/>
      <c r="F263" s="21"/>
      <c r="G263" s="21"/>
      <c r="H263" s="22"/>
      <c r="I263" s="21"/>
      <c r="J263" s="31"/>
      <c r="K263" s="31">
        <f t="shared" ref="K263:AI263" si="187">K254-K262</f>
        <v>-1.3220307300798595E-4</v>
      </c>
      <c r="L263" s="31">
        <f t="shared" si="187"/>
        <v>-1.3220308028394356E-4</v>
      </c>
      <c r="M263" s="31">
        <f t="shared" si="187"/>
        <v>-2.0125687296967953E-4</v>
      </c>
      <c r="N263" s="31">
        <f t="shared" si="187"/>
        <v>-1.7527493764646351E-4</v>
      </c>
      <c r="O263" s="31">
        <f t="shared" si="187"/>
        <v>-1.3486351963365451E-4</v>
      </c>
      <c r="P263" s="31">
        <f t="shared" si="187"/>
        <v>-1.0322099115001038E-4</v>
      </c>
      <c r="Q263" s="31">
        <f t="shared" si="187"/>
        <v>-4.667760367738083E-5</v>
      </c>
      <c r="R263" s="31">
        <f t="shared" si="187"/>
        <v>-6.9617497501894832E-5</v>
      </c>
      <c r="S263" s="31">
        <f t="shared" si="187"/>
        <v>-1.4594983804272488E-4</v>
      </c>
      <c r="T263" s="31">
        <f t="shared" si="187"/>
        <v>-1.3220308028394356E-4</v>
      </c>
      <c r="U263" s="31">
        <f t="shared" si="187"/>
        <v>-1.3220307300798595E-4</v>
      </c>
      <c r="V263" s="31">
        <f t="shared" si="187"/>
        <v>-1.3220306573202834E-4</v>
      </c>
      <c r="W263" s="31">
        <f t="shared" si="187"/>
        <v>-1.3220307300798595E-4</v>
      </c>
      <c r="X263" s="31">
        <f t="shared" si="187"/>
        <v>-1.3220307300798595E-4</v>
      </c>
      <c r="Y263" s="31">
        <f t="shared" si="187"/>
        <v>-1.3220307300798595E-4</v>
      </c>
      <c r="Z263" s="31">
        <f t="shared" si="187"/>
        <v>-1.3220307300798595E-4</v>
      </c>
      <c r="AA263" s="31">
        <f t="shared" si="187"/>
        <v>-1.3220308028394356E-4</v>
      </c>
      <c r="AB263" s="31">
        <f t="shared" si="187"/>
        <v>-1.3220307300798595E-4</v>
      </c>
      <c r="AC263" s="31">
        <f t="shared" si="187"/>
        <v>-1.3220305845607072E-4</v>
      </c>
      <c r="AD263" s="31">
        <f t="shared" si="187"/>
        <v>-1.3220306573202834E-4</v>
      </c>
      <c r="AE263" s="31">
        <f t="shared" si="187"/>
        <v>-1.3220308028394356E-4</v>
      </c>
      <c r="AF263" s="31">
        <f t="shared" si="187"/>
        <v>-1.3220308755990118E-4</v>
      </c>
      <c r="AG263" s="31">
        <f t="shared" si="187"/>
        <v>-1.3220308028394356E-4</v>
      </c>
      <c r="AH263" s="31">
        <f t="shared" si="187"/>
        <v>-1.3220307300798595E-4</v>
      </c>
      <c r="AI263" s="31">
        <f t="shared" si="187"/>
        <v>-1.3220305845607072E-4</v>
      </c>
    </row>
    <row r="264" spans="1:35" ht="14.25" customHeight="1" x14ac:dyDescent="0.35">
      <c r="A264" s="21"/>
      <c r="B264" s="21"/>
      <c r="C264" s="21"/>
      <c r="D264" s="21"/>
      <c r="E264" s="21"/>
      <c r="F264" s="21"/>
      <c r="G264" s="21"/>
      <c r="H264" s="22"/>
      <c r="I264" s="21"/>
      <c r="J264" s="31"/>
      <c r="K264" s="2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</row>
    <row r="265" spans="1:35" ht="14.25" customHeight="1" x14ac:dyDescent="0.35">
      <c r="A265" s="21"/>
      <c r="B265" s="21"/>
      <c r="C265" s="21" t="s">
        <v>231</v>
      </c>
      <c r="D265" s="21"/>
      <c r="E265" s="21"/>
      <c r="F265" s="21"/>
      <c r="G265" s="21"/>
      <c r="H265" s="22"/>
      <c r="I265" s="21"/>
      <c r="J265" s="31"/>
      <c r="K265" s="21"/>
      <c r="L265" s="78">
        <f t="shared" ref="L265:AI265" si="188">L181-L184</f>
        <v>0</v>
      </c>
      <c r="M265" s="78">
        <f t="shared" si="188"/>
        <v>6.9053803599672392E-5</v>
      </c>
      <c r="N265" s="78">
        <f t="shared" si="188"/>
        <v>4.3071868276456371E-5</v>
      </c>
      <c r="O265" s="78">
        <f t="shared" si="188"/>
        <v>2.6604375307215378E-6</v>
      </c>
      <c r="P265" s="78">
        <f t="shared" si="188"/>
        <v>-2.8982097319385502E-5</v>
      </c>
      <c r="Q265" s="78">
        <f t="shared" si="188"/>
        <v>-8.5525476606562734E-5</v>
      </c>
      <c r="R265" s="78">
        <f t="shared" si="188"/>
        <v>-6.2585570958617609E-5</v>
      </c>
      <c r="S265" s="78">
        <f t="shared" si="188"/>
        <v>1.374678140564356E-5</v>
      </c>
      <c r="T265" s="78">
        <f t="shared" si="188"/>
        <v>0</v>
      </c>
      <c r="U265" s="78">
        <f t="shared" si="188"/>
        <v>0</v>
      </c>
      <c r="V265" s="78">
        <f t="shared" si="188"/>
        <v>0</v>
      </c>
      <c r="W265" s="78">
        <f t="shared" si="188"/>
        <v>0</v>
      </c>
      <c r="X265" s="78">
        <f t="shared" si="188"/>
        <v>0</v>
      </c>
      <c r="Y265" s="78">
        <f t="shared" si="188"/>
        <v>0</v>
      </c>
      <c r="Z265" s="78">
        <f t="shared" si="188"/>
        <v>0</v>
      </c>
      <c r="AA265" s="78">
        <f t="shared" si="188"/>
        <v>0</v>
      </c>
      <c r="AB265" s="78">
        <f t="shared" si="188"/>
        <v>0</v>
      </c>
      <c r="AC265" s="78">
        <f t="shared" si="188"/>
        <v>0</v>
      </c>
      <c r="AD265" s="78">
        <f t="shared" si="188"/>
        <v>0</v>
      </c>
      <c r="AE265" s="78">
        <f t="shared" si="188"/>
        <v>0</v>
      </c>
      <c r="AF265" s="78">
        <f t="shared" si="188"/>
        <v>0</v>
      </c>
      <c r="AG265" s="78">
        <f t="shared" si="188"/>
        <v>0</v>
      </c>
      <c r="AH265" s="78">
        <f t="shared" si="188"/>
        <v>0</v>
      </c>
      <c r="AI265" s="78">
        <f t="shared" si="188"/>
        <v>0</v>
      </c>
    </row>
    <row r="266" spans="1:35" ht="14.25" customHeight="1" x14ac:dyDescent="0.35">
      <c r="A266" s="21"/>
      <c r="B266" s="21"/>
      <c r="C266" s="21" t="s">
        <v>232</v>
      </c>
      <c r="D266" s="21"/>
      <c r="E266" s="21"/>
      <c r="F266" s="21"/>
      <c r="G266" s="21"/>
      <c r="H266" s="22"/>
      <c r="I266" s="21"/>
      <c r="J266" s="31"/>
      <c r="K266" s="21"/>
      <c r="L266" s="78">
        <f t="shared" ref="L266:AI266" si="189">L263</f>
        <v>-1.3220308028394356E-4</v>
      </c>
      <c r="M266" s="78">
        <f t="shared" si="189"/>
        <v>-2.0125687296967953E-4</v>
      </c>
      <c r="N266" s="78">
        <f t="shared" si="189"/>
        <v>-1.7527493764646351E-4</v>
      </c>
      <c r="O266" s="78">
        <f t="shared" si="189"/>
        <v>-1.3486351963365451E-4</v>
      </c>
      <c r="P266" s="78">
        <f t="shared" si="189"/>
        <v>-1.0322099115001038E-4</v>
      </c>
      <c r="Q266" s="78">
        <f t="shared" si="189"/>
        <v>-4.667760367738083E-5</v>
      </c>
      <c r="R266" s="78">
        <f t="shared" si="189"/>
        <v>-6.9617497501894832E-5</v>
      </c>
      <c r="S266" s="78">
        <f t="shared" si="189"/>
        <v>-1.4594983804272488E-4</v>
      </c>
      <c r="T266" s="78">
        <f t="shared" si="189"/>
        <v>-1.3220308028394356E-4</v>
      </c>
      <c r="U266" s="78">
        <f t="shared" si="189"/>
        <v>-1.3220307300798595E-4</v>
      </c>
      <c r="V266" s="78">
        <f t="shared" si="189"/>
        <v>-1.3220306573202834E-4</v>
      </c>
      <c r="W266" s="78">
        <f t="shared" si="189"/>
        <v>-1.3220307300798595E-4</v>
      </c>
      <c r="X266" s="78">
        <f t="shared" si="189"/>
        <v>-1.3220307300798595E-4</v>
      </c>
      <c r="Y266" s="78">
        <f t="shared" si="189"/>
        <v>-1.3220307300798595E-4</v>
      </c>
      <c r="Z266" s="78">
        <f t="shared" si="189"/>
        <v>-1.3220307300798595E-4</v>
      </c>
      <c r="AA266" s="78">
        <f t="shared" si="189"/>
        <v>-1.3220308028394356E-4</v>
      </c>
      <c r="AB266" s="78">
        <f t="shared" si="189"/>
        <v>-1.3220307300798595E-4</v>
      </c>
      <c r="AC266" s="78">
        <f t="shared" si="189"/>
        <v>-1.3220305845607072E-4</v>
      </c>
      <c r="AD266" s="78">
        <f t="shared" si="189"/>
        <v>-1.3220306573202834E-4</v>
      </c>
      <c r="AE266" s="78">
        <f t="shared" si="189"/>
        <v>-1.3220308028394356E-4</v>
      </c>
      <c r="AF266" s="78">
        <f t="shared" si="189"/>
        <v>-1.3220308755990118E-4</v>
      </c>
      <c r="AG266" s="78">
        <f t="shared" si="189"/>
        <v>-1.3220308028394356E-4</v>
      </c>
      <c r="AH266" s="78">
        <f t="shared" si="189"/>
        <v>-1.3220307300798595E-4</v>
      </c>
      <c r="AI266" s="78">
        <f t="shared" si="189"/>
        <v>-1.3220305845607072E-4</v>
      </c>
    </row>
    <row r="267" spans="1:35" ht="14.25" customHeight="1" x14ac:dyDescent="0.35">
      <c r="A267" s="21"/>
      <c r="B267" s="28">
        <v>1.4</v>
      </c>
      <c r="C267" s="28" t="s">
        <v>233</v>
      </c>
      <c r="D267" s="28"/>
      <c r="E267" s="28"/>
      <c r="F267" s="28"/>
      <c r="G267" s="21"/>
      <c r="H267" s="22"/>
      <c r="I267" s="21"/>
      <c r="J267" s="21"/>
      <c r="K267" s="2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</row>
    <row r="268" spans="1:35" ht="14.25" customHeight="1" x14ac:dyDescent="0.35">
      <c r="A268" s="21"/>
      <c r="B268" s="21"/>
      <c r="C268" s="79" t="s">
        <v>234</v>
      </c>
      <c r="D268" s="21"/>
      <c r="E268" s="21"/>
      <c r="F268" s="21"/>
      <c r="G268" s="21"/>
      <c r="H268" s="22"/>
      <c r="I268" s="21"/>
      <c r="J268" s="21"/>
      <c r="K268" s="2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</row>
    <row r="269" spans="1:35" ht="14.25" customHeight="1" x14ac:dyDescent="0.35">
      <c r="A269" s="21"/>
      <c r="B269" s="21"/>
      <c r="C269" s="79"/>
      <c r="D269" s="79" t="s">
        <v>235</v>
      </c>
      <c r="E269" s="21"/>
      <c r="F269" s="21"/>
      <c r="G269" s="21"/>
      <c r="H269" s="22"/>
      <c r="I269" s="21"/>
      <c r="J269" s="21"/>
      <c r="K269" s="21"/>
      <c r="L269" s="80">
        <f t="shared" ref="L269:S269" si="190">IF(L17=0,0,L186/(L17*1.11)*DAY(L$5))</f>
        <v>24.977379735345281</v>
      </c>
      <c r="M269" s="80">
        <f t="shared" si="190"/>
        <v>26.643781771277663</v>
      </c>
      <c r="N269" s="80">
        <f t="shared" si="190"/>
        <v>25.903784168429159</v>
      </c>
      <c r="O269" s="80">
        <f t="shared" si="190"/>
        <v>22.560821388555357</v>
      </c>
      <c r="P269" s="80">
        <f t="shared" si="190"/>
        <v>26.97096292897826</v>
      </c>
      <c r="Q269" s="80">
        <f t="shared" si="190"/>
        <v>22.461350939066822</v>
      </c>
      <c r="R269" s="80">
        <f t="shared" si="190"/>
        <v>24.28007029273698</v>
      </c>
      <c r="S269" s="80">
        <f t="shared" si="190"/>
        <v>23.227374648712289</v>
      </c>
      <c r="T269" s="81">
        <f t="shared" ref="T269:AI269" si="191">AVERAGE($Q$269:$S$269)</f>
        <v>23.322931960172028</v>
      </c>
      <c r="U269" s="81">
        <f t="shared" si="191"/>
        <v>23.322931960172028</v>
      </c>
      <c r="V269" s="81">
        <f t="shared" si="191"/>
        <v>23.322931960172028</v>
      </c>
      <c r="W269" s="81">
        <f t="shared" si="191"/>
        <v>23.322931960172028</v>
      </c>
      <c r="X269" s="81">
        <f t="shared" si="191"/>
        <v>23.322931960172028</v>
      </c>
      <c r="Y269" s="81">
        <f t="shared" si="191"/>
        <v>23.322931960172028</v>
      </c>
      <c r="Z269" s="81">
        <f t="shared" si="191"/>
        <v>23.322931960172028</v>
      </c>
      <c r="AA269" s="81">
        <f t="shared" si="191"/>
        <v>23.322931960172028</v>
      </c>
      <c r="AB269" s="81">
        <f t="shared" si="191"/>
        <v>23.322931960172028</v>
      </c>
      <c r="AC269" s="81">
        <f t="shared" si="191"/>
        <v>23.322931960172028</v>
      </c>
      <c r="AD269" s="81">
        <f t="shared" si="191"/>
        <v>23.322931960172028</v>
      </c>
      <c r="AE269" s="81">
        <f t="shared" si="191"/>
        <v>23.322931960172028</v>
      </c>
      <c r="AF269" s="81">
        <f t="shared" si="191"/>
        <v>23.322931960172028</v>
      </c>
      <c r="AG269" s="81">
        <f t="shared" si="191"/>
        <v>23.322931960172028</v>
      </c>
      <c r="AH269" s="81">
        <f t="shared" si="191"/>
        <v>23.322931960172028</v>
      </c>
      <c r="AI269" s="81">
        <f t="shared" si="191"/>
        <v>23.322931960172028</v>
      </c>
    </row>
    <row r="270" spans="1:35" ht="14.25" customHeight="1" x14ac:dyDescent="0.35">
      <c r="A270" s="21"/>
      <c r="B270" s="21"/>
      <c r="C270" s="79"/>
      <c r="D270" s="79" t="s">
        <v>236</v>
      </c>
      <c r="E270" s="21"/>
      <c r="F270" s="21"/>
      <c r="G270" s="21"/>
      <c r="H270" s="22"/>
      <c r="I270" s="21"/>
      <c r="J270" s="21"/>
      <c r="K270" s="2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</row>
    <row r="271" spans="1:35" ht="14.25" customHeight="1" x14ac:dyDescent="0.35">
      <c r="A271" s="79"/>
      <c r="B271" s="79"/>
      <c r="C271" s="79" t="s">
        <v>237</v>
      </c>
      <c r="D271" s="79" t="s">
        <v>238</v>
      </c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  <c r="AI271" s="79"/>
    </row>
    <row r="272" spans="1:35" ht="14.25" customHeight="1" x14ac:dyDescent="0.35">
      <c r="A272" s="79"/>
      <c r="B272" s="79"/>
      <c r="C272" s="79"/>
      <c r="D272" s="79" t="s">
        <v>239</v>
      </c>
      <c r="E272" s="79"/>
      <c r="F272" s="79"/>
      <c r="G272" s="79"/>
      <c r="H272" s="79"/>
      <c r="I272" s="79"/>
      <c r="J272" s="79"/>
      <c r="K272" s="79"/>
      <c r="L272" s="82">
        <f t="shared" ref="L272:S272" si="192">IF(L64=0,0,L192/(-L64)*DAY(L$5))</f>
        <v>11.394002633649217</v>
      </c>
      <c r="M272" s="82">
        <f t="shared" si="192"/>
        <v>10.613258831442245</v>
      </c>
      <c r="N272" s="82">
        <f t="shared" si="192"/>
        <v>13.101311244182721</v>
      </c>
      <c r="O272" s="82">
        <f t="shared" si="192"/>
        <v>12.365141059519885</v>
      </c>
      <c r="P272" s="82">
        <f t="shared" si="192"/>
        <v>12.527340349262744</v>
      </c>
      <c r="Q272" s="82">
        <f t="shared" si="192"/>
        <v>9.8082417537202033</v>
      </c>
      <c r="R272" s="82">
        <f t="shared" si="192"/>
        <v>9.3755588943219372</v>
      </c>
      <c r="S272" s="82">
        <f t="shared" si="192"/>
        <v>10.253027192928226</v>
      </c>
      <c r="T272" s="83">
        <f t="shared" ref="T272:AI272" si="193">AVERAGE($Q$272:$S$272)</f>
        <v>9.8122759469901215</v>
      </c>
      <c r="U272" s="83">
        <f t="shared" si="193"/>
        <v>9.8122759469901215</v>
      </c>
      <c r="V272" s="83">
        <f t="shared" si="193"/>
        <v>9.8122759469901215</v>
      </c>
      <c r="W272" s="83">
        <f t="shared" si="193"/>
        <v>9.8122759469901215</v>
      </c>
      <c r="X272" s="83">
        <f t="shared" si="193"/>
        <v>9.8122759469901215</v>
      </c>
      <c r="Y272" s="83">
        <f t="shared" si="193"/>
        <v>9.8122759469901215</v>
      </c>
      <c r="Z272" s="83">
        <f t="shared" si="193"/>
        <v>9.8122759469901215</v>
      </c>
      <c r="AA272" s="83">
        <f t="shared" si="193"/>
        <v>9.8122759469901215</v>
      </c>
      <c r="AB272" s="83">
        <f t="shared" si="193"/>
        <v>9.8122759469901215</v>
      </c>
      <c r="AC272" s="83">
        <f t="shared" si="193"/>
        <v>9.8122759469901215</v>
      </c>
      <c r="AD272" s="83">
        <f t="shared" si="193"/>
        <v>9.8122759469901215</v>
      </c>
      <c r="AE272" s="83">
        <f t="shared" si="193"/>
        <v>9.8122759469901215</v>
      </c>
      <c r="AF272" s="83">
        <f t="shared" si="193"/>
        <v>9.8122759469901215</v>
      </c>
      <c r="AG272" s="83">
        <f t="shared" si="193"/>
        <v>9.8122759469901215</v>
      </c>
      <c r="AH272" s="83">
        <f t="shared" si="193"/>
        <v>9.8122759469901215</v>
      </c>
      <c r="AI272" s="83">
        <f t="shared" si="193"/>
        <v>9.8122759469901215</v>
      </c>
    </row>
    <row r="273" spans="1:35" ht="14.25" customHeight="1" x14ac:dyDescent="0.35">
      <c r="A273" s="79"/>
      <c r="B273" s="79"/>
      <c r="C273" s="79"/>
      <c r="D273" s="79" t="s">
        <v>240</v>
      </c>
      <c r="E273" s="79"/>
      <c r="F273" s="79"/>
      <c r="G273" s="79"/>
      <c r="H273" s="79"/>
      <c r="I273" s="79"/>
      <c r="J273" s="79"/>
      <c r="K273" s="79"/>
      <c r="L273" s="84">
        <f t="shared" ref="L273:AI273" si="194">L192</f>
        <v>2450.5125622000201</v>
      </c>
      <c r="M273" s="84">
        <f t="shared" si="194"/>
        <v>2498.6459673900108</v>
      </c>
      <c r="N273" s="84">
        <f t="shared" si="194"/>
        <v>2202.6070065700069</v>
      </c>
      <c r="O273" s="84">
        <f t="shared" si="194"/>
        <v>2422.2741765100041</v>
      </c>
      <c r="P273" s="84">
        <f t="shared" si="194"/>
        <v>2677.1647083800081</v>
      </c>
      <c r="Q273" s="84">
        <f t="shared" si="194"/>
        <v>2338.3548702600042</v>
      </c>
      <c r="R273" s="84">
        <f t="shared" si="194"/>
        <v>2297.5629936000009</v>
      </c>
      <c r="S273" s="84">
        <f t="shared" si="194"/>
        <v>2593.7333307600061</v>
      </c>
      <c r="T273" s="84">
        <f t="shared" si="194"/>
        <v>2123.6863196636214</v>
      </c>
      <c r="U273" s="84">
        <f t="shared" si="194"/>
        <v>2111.0863409489739</v>
      </c>
      <c r="V273" s="84">
        <f t="shared" si="194"/>
        <v>2110.7792377656892</v>
      </c>
      <c r="W273" s="84">
        <f t="shared" si="194"/>
        <v>2109.9185264752787</v>
      </c>
      <c r="X273" s="84">
        <f t="shared" si="194"/>
        <v>2108.8095791113774</v>
      </c>
      <c r="Y273" s="84">
        <f t="shared" si="194"/>
        <v>2107.7787147331906</v>
      </c>
      <c r="Z273" s="84">
        <f t="shared" si="194"/>
        <v>2107.2686903007693</v>
      </c>
      <c r="AA273" s="84">
        <f t="shared" si="194"/>
        <v>2106.5569524564144</v>
      </c>
      <c r="AB273" s="84">
        <f t="shared" si="194"/>
        <v>2106.1467025302181</v>
      </c>
      <c r="AC273" s="84">
        <f t="shared" si="194"/>
        <v>2105.9531960937752</v>
      </c>
      <c r="AD273" s="84">
        <f t="shared" si="194"/>
        <v>2105.7995785927083</v>
      </c>
      <c r="AE273" s="84">
        <f t="shared" si="194"/>
        <v>2105.6441516027367</v>
      </c>
      <c r="AF273" s="84">
        <f t="shared" si="194"/>
        <v>2105.5427537213218</v>
      </c>
      <c r="AG273" s="84">
        <f t="shared" si="194"/>
        <v>2105.4370296101088</v>
      </c>
      <c r="AH273" s="84">
        <f t="shared" si="194"/>
        <v>2105.3699224271431</v>
      </c>
      <c r="AI273" s="84">
        <f t="shared" si="194"/>
        <v>2105.2987177996461</v>
      </c>
    </row>
    <row r="274" spans="1:35" ht="14.25" customHeight="1" x14ac:dyDescent="0.35">
      <c r="A274" s="79"/>
      <c r="B274" s="79"/>
      <c r="C274" s="79" t="s">
        <v>241</v>
      </c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  <c r="AI274" s="79"/>
    </row>
    <row r="275" spans="1:35" ht="14.25" customHeight="1" x14ac:dyDescent="0.35">
      <c r="A275" s="79"/>
      <c r="B275" s="79"/>
      <c r="C275" s="79"/>
      <c r="D275" s="79" t="s">
        <v>242</v>
      </c>
      <c r="E275" s="79"/>
      <c r="F275" s="79"/>
      <c r="G275" s="79"/>
      <c r="H275" s="79"/>
      <c r="I275" s="79"/>
      <c r="J275" s="79"/>
      <c r="K275" s="79"/>
      <c r="L275" s="82">
        <f t="shared" ref="L275:S275" si="195">IF(L17=0,0,L204/(L17)*DAY(L$5))</f>
        <v>7.3953567162647391E-17</v>
      </c>
      <c r="M275" s="82">
        <f t="shared" si="195"/>
        <v>7.2272494138635809E-17</v>
      </c>
      <c r="N275" s="82">
        <f t="shared" si="195"/>
        <v>1.0685448811841837E-16</v>
      </c>
      <c r="O275" s="82">
        <f t="shared" si="195"/>
        <v>9.7883285131298626E-17</v>
      </c>
      <c r="P275" s="82">
        <f t="shared" si="195"/>
        <v>8.9924271174312023E-17</v>
      </c>
      <c r="Q275" s="82">
        <f t="shared" si="195"/>
        <v>8.083532163199336E-17</v>
      </c>
      <c r="R275" s="82">
        <f t="shared" si="195"/>
        <v>7.7731401220210211E-17</v>
      </c>
      <c r="S275" s="82">
        <f t="shared" si="195"/>
        <v>7.0754122257074032E-17</v>
      </c>
      <c r="T275" s="83">
        <f t="shared" ref="T275:AI275" si="196">AVERAGE($Q$275:$S$275)</f>
        <v>7.644028170309253E-17</v>
      </c>
      <c r="U275" s="83">
        <f t="shared" si="196"/>
        <v>7.644028170309253E-17</v>
      </c>
      <c r="V275" s="83">
        <f t="shared" si="196"/>
        <v>7.644028170309253E-17</v>
      </c>
      <c r="W275" s="83">
        <f t="shared" si="196"/>
        <v>7.644028170309253E-17</v>
      </c>
      <c r="X275" s="83">
        <f t="shared" si="196"/>
        <v>7.644028170309253E-17</v>
      </c>
      <c r="Y275" s="83">
        <f t="shared" si="196"/>
        <v>7.644028170309253E-17</v>
      </c>
      <c r="Z275" s="83">
        <f t="shared" si="196"/>
        <v>7.644028170309253E-17</v>
      </c>
      <c r="AA275" s="83">
        <f t="shared" si="196"/>
        <v>7.644028170309253E-17</v>
      </c>
      <c r="AB275" s="83">
        <f t="shared" si="196"/>
        <v>7.644028170309253E-17</v>
      </c>
      <c r="AC275" s="83">
        <f t="shared" si="196"/>
        <v>7.644028170309253E-17</v>
      </c>
      <c r="AD275" s="83">
        <f t="shared" si="196"/>
        <v>7.644028170309253E-17</v>
      </c>
      <c r="AE275" s="83">
        <f t="shared" si="196"/>
        <v>7.644028170309253E-17</v>
      </c>
      <c r="AF275" s="83">
        <f t="shared" si="196"/>
        <v>7.644028170309253E-17</v>
      </c>
      <c r="AG275" s="83">
        <f t="shared" si="196"/>
        <v>7.644028170309253E-17</v>
      </c>
      <c r="AH275" s="83">
        <f t="shared" si="196"/>
        <v>7.644028170309253E-17</v>
      </c>
      <c r="AI275" s="83">
        <f t="shared" si="196"/>
        <v>7.644028170309253E-17</v>
      </c>
    </row>
    <row r="276" spans="1:35" ht="14.25" customHeight="1" x14ac:dyDescent="0.35">
      <c r="A276" s="79"/>
      <c r="B276" s="79"/>
      <c r="C276" s="79"/>
      <c r="D276" s="79" t="s">
        <v>243</v>
      </c>
      <c r="E276" s="79"/>
      <c r="F276" s="79"/>
      <c r="G276" s="79"/>
      <c r="H276" s="79"/>
      <c r="I276" s="79"/>
      <c r="J276" s="79"/>
      <c r="K276" s="79"/>
      <c r="L276" s="82">
        <f t="shared" ref="L276:S276" si="197">IF(L17=0,0,L205/(L17)*DAY(L$5))</f>
        <v>0</v>
      </c>
      <c r="M276" s="82">
        <f t="shared" si="197"/>
        <v>2.5231320171426819E-2</v>
      </c>
      <c r="N276" s="82">
        <f t="shared" si="197"/>
        <v>3.7304369160112497E-2</v>
      </c>
      <c r="O276" s="82">
        <f t="shared" si="197"/>
        <v>3.4172399002051046E-2</v>
      </c>
      <c r="P276" s="82">
        <f t="shared" si="197"/>
        <v>3.1831515978411634E-2</v>
      </c>
      <c r="Q276" s="82">
        <f t="shared" si="197"/>
        <v>2.8614197241154639E-2</v>
      </c>
      <c r="R276" s="82">
        <f t="shared" si="197"/>
        <v>2.7515467266553326E-2</v>
      </c>
      <c r="S276" s="82">
        <f t="shared" si="197"/>
        <v>2.5045640556805689E-2</v>
      </c>
      <c r="T276" s="83">
        <f t="shared" ref="T276:AI276" si="198">AVERAGE($Q$276:$S$276)</f>
        <v>2.7058435021504554E-2</v>
      </c>
      <c r="U276" s="83">
        <f t="shared" si="198"/>
        <v>2.7058435021504554E-2</v>
      </c>
      <c r="V276" s="83">
        <f t="shared" si="198"/>
        <v>2.7058435021504554E-2</v>
      </c>
      <c r="W276" s="83">
        <f t="shared" si="198"/>
        <v>2.7058435021504554E-2</v>
      </c>
      <c r="X276" s="83">
        <f t="shared" si="198"/>
        <v>2.7058435021504554E-2</v>
      </c>
      <c r="Y276" s="83">
        <f t="shared" si="198"/>
        <v>2.7058435021504554E-2</v>
      </c>
      <c r="Z276" s="83">
        <f t="shared" si="198"/>
        <v>2.7058435021504554E-2</v>
      </c>
      <c r="AA276" s="83">
        <f t="shared" si="198"/>
        <v>2.7058435021504554E-2</v>
      </c>
      <c r="AB276" s="83">
        <f t="shared" si="198"/>
        <v>2.7058435021504554E-2</v>
      </c>
      <c r="AC276" s="83">
        <f t="shared" si="198"/>
        <v>2.7058435021504554E-2</v>
      </c>
      <c r="AD276" s="83">
        <f t="shared" si="198"/>
        <v>2.7058435021504554E-2</v>
      </c>
      <c r="AE276" s="83">
        <f t="shared" si="198"/>
        <v>2.7058435021504554E-2</v>
      </c>
      <c r="AF276" s="83">
        <f t="shared" si="198"/>
        <v>2.7058435021504554E-2</v>
      </c>
      <c r="AG276" s="83">
        <f t="shared" si="198"/>
        <v>2.7058435021504554E-2</v>
      </c>
      <c r="AH276" s="83">
        <f t="shared" si="198"/>
        <v>2.7058435021504554E-2</v>
      </c>
      <c r="AI276" s="83">
        <f t="shared" si="198"/>
        <v>2.7058435021504554E-2</v>
      </c>
    </row>
    <row r="277" spans="1:35" ht="14.25" customHeight="1" x14ac:dyDescent="0.35">
      <c r="A277" s="79"/>
      <c r="B277" s="79"/>
      <c r="C277" s="79"/>
      <c r="D277" s="79" t="s">
        <v>244</v>
      </c>
      <c r="E277" s="79"/>
      <c r="F277" s="79"/>
      <c r="G277" s="79"/>
      <c r="H277" s="79"/>
      <c r="I277" s="79"/>
      <c r="J277" s="79"/>
      <c r="K277" s="79"/>
      <c r="L277" s="82">
        <f t="shared" ref="L277:S277" si="199">IF(L17=0,0,L206/(L17)*DAY(L$5))</f>
        <v>5.2165825038462113E-3</v>
      </c>
      <c r="M277" s="82">
        <f t="shared" si="199"/>
        <v>5.216555155752995E-3</v>
      </c>
      <c r="N277" s="82">
        <f t="shared" si="199"/>
        <v>7.7126483256580759E-3</v>
      </c>
      <c r="O277" s="82">
        <f t="shared" si="199"/>
        <v>7.0651160140431614E-3</v>
      </c>
      <c r="P277" s="82">
        <f t="shared" si="199"/>
        <v>1.1995699212838381E-2</v>
      </c>
      <c r="Q277" s="82">
        <f t="shared" si="199"/>
        <v>1.1799778728399764E-2</v>
      </c>
      <c r="R277" s="82">
        <f t="shared" si="199"/>
        <v>1.2622411532918881E-2</v>
      </c>
      <c r="S277" s="82">
        <f t="shared" si="199"/>
        <v>2.9830104451337339E-2</v>
      </c>
      <c r="T277" s="83">
        <f t="shared" ref="T277:AI277" si="200">AVERAGE($Q$277:$S$277)</f>
        <v>1.8084098237551995E-2</v>
      </c>
      <c r="U277" s="83">
        <f t="shared" si="200"/>
        <v>1.8084098237551995E-2</v>
      </c>
      <c r="V277" s="83">
        <f t="shared" si="200"/>
        <v>1.8084098237551995E-2</v>
      </c>
      <c r="W277" s="83">
        <f t="shared" si="200"/>
        <v>1.8084098237551995E-2</v>
      </c>
      <c r="X277" s="83">
        <f t="shared" si="200"/>
        <v>1.8084098237551995E-2</v>
      </c>
      <c r="Y277" s="83">
        <f t="shared" si="200"/>
        <v>1.8084098237551995E-2</v>
      </c>
      <c r="Z277" s="83">
        <f t="shared" si="200"/>
        <v>1.8084098237551995E-2</v>
      </c>
      <c r="AA277" s="83">
        <f t="shared" si="200"/>
        <v>1.8084098237551995E-2</v>
      </c>
      <c r="AB277" s="83">
        <f t="shared" si="200"/>
        <v>1.8084098237551995E-2</v>
      </c>
      <c r="AC277" s="83">
        <f t="shared" si="200"/>
        <v>1.8084098237551995E-2</v>
      </c>
      <c r="AD277" s="83">
        <f t="shared" si="200"/>
        <v>1.8084098237551995E-2</v>
      </c>
      <c r="AE277" s="83">
        <f t="shared" si="200"/>
        <v>1.8084098237551995E-2</v>
      </c>
      <c r="AF277" s="83">
        <f t="shared" si="200"/>
        <v>1.8084098237551995E-2</v>
      </c>
      <c r="AG277" s="83">
        <f t="shared" si="200"/>
        <v>1.8084098237551995E-2</v>
      </c>
      <c r="AH277" s="83">
        <f t="shared" si="200"/>
        <v>1.8084098237551995E-2</v>
      </c>
      <c r="AI277" s="83">
        <f t="shared" si="200"/>
        <v>1.8084098237551995E-2</v>
      </c>
    </row>
    <row r="278" spans="1:35" ht="14.25" customHeight="1" x14ac:dyDescent="0.35">
      <c r="A278" s="79"/>
      <c r="B278" s="79"/>
      <c r="C278" s="79"/>
      <c r="D278" s="79" t="s">
        <v>245</v>
      </c>
      <c r="E278" s="79"/>
      <c r="F278" s="79"/>
      <c r="G278" s="79"/>
      <c r="H278" s="79"/>
      <c r="I278" s="79"/>
      <c r="J278" s="79"/>
      <c r="K278" s="79"/>
      <c r="L278" s="82">
        <f t="shared" ref="L278:S278" si="201">IF(L17=0,0,L207/(L17)*DAY(L$5))</f>
        <v>0.88545735376457657</v>
      </c>
      <c r="M278" s="82">
        <f t="shared" si="201"/>
        <v>1.0797625011143011</v>
      </c>
      <c r="N278" s="82">
        <f t="shared" si="201"/>
        <v>1.9134608240705184</v>
      </c>
      <c r="O278" s="82">
        <f t="shared" si="201"/>
        <v>2.4554778900502758</v>
      </c>
      <c r="P278" s="82">
        <f t="shared" si="201"/>
        <v>2.9013510865175607</v>
      </c>
      <c r="Q278" s="82">
        <f t="shared" si="201"/>
        <v>2.6081017414237024</v>
      </c>
      <c r="R278" s="82">
        <f t="shared" si="201"/>
        <v>2.9239019568634106</v>
      </c>
      <c r="S278" s="82">
        <f t="shared" si="201"/>
        <v>3.1693646449174313</v>
      </c>
      <c r="T278" s="83">
        <f t="shared" ref="T278:AI278" si="202">AVERAGE($Q$278:$S$278)</f>
        <v>2.9004561144015146</v>
      </c>
      <c r="U278" s="83">
        <f t="shared" si="202"/>
        <v>2.9004561144015146</v>
      </c>
      <c r="V278" s="83">
        <f t="shared" si="202"/>
        <v>2.9004561144015146</v>
      </c>
      <c r="W278" s="83">
        <f t="shared" si="202"/>
        <v>2.9004561144015146</v>
      </c>
      <c r="X278" s="83">
        <f t="shared" si="202"/>
        <v>2.9004561144015146</v>
      </c>
      <c r="Y278" s="83">
        <f t="shared" si="202"/>
        <v>2.9004561144015146</v>
      </c>
      <c r="Z278" s="83">
        <f t="shared" si="202"/>
        <v>2.9004561144015146</v>
      </c>
      <c r="AA278" s="83">
        <f t="shared" si="202"/>
        <v>2.9004561144015146</v>
      </c>
      <c r="AB278" s="83">
        <f t="shared" si="202"/>
        <v>2.9004561144015146</v>
      </c>
      <c r="AC278" s="83">
        <f t="shared" si="202"/>
        <v>2.9004561144015146</v>
      </c>
      <c r="AD278" s="83">
        <f t="shared" si="202"/>
        <v>2.9004561144015146</v>
      </c>
      <c r="AE278" s="83">
        <f t="shared" si="202"/>
        <v>2.9004561144015146</v>
      </c>
      <c r="AF278" s="83">
        <f t="shared" si="202"/>
        <v>2.9004561144015146</v>
      </c>
      <c r="AG278" s="83">
        <f t="shared" si="202"/>
        <v>2.9004561144015146</v>
      </c>
      <c r="AH278" s="83">
        <f t="shared" si="202"/>
        <v>2.9004561144015146</v>
      </c>
      <c r="AI278" s="83">
        <f t="shared" si="202"/>
        <v>2.9004561144015146</v>
      </c>
    </row>
    <row r="279" spans="1:35" ht="14.25" customHeight="1" x14ac:dyDescent="0.35">
      <c r="A279" s="79"/>
      <c r="B279" s="79"/>
      <c r="C279" s="79"/>
      <c r="D279" s="79" t="s">
        <v>246</v>
      </c>
      <c r="E279" s="79"/>
      <c r="F279" s="79"/>
      <c r="G279" s="79"/>
      <c r="H279" s="79"/>
      <c r="I279" s="79"/>
      <c r="J279" s="79"/>
      <c r="K279" s="79"/>
      <c r="L279" s="82">
        <f t="shared" ref="L279:S279" si="203">IF(L17=0,0,L203/(L17)*DAY(L$5))</f>
        <v>0</v>
      </c>
      <c r="M279" s="82">
        <f t="shared" si="203"/>
        <v>0</v>
      </c>
      <c r="N279" s="82">
        <f t="shared" si="203"/>
        <v>0</v>
      </c>
      <c r="O279" s="82">
        <f t="shared" si="203"/>
        <v>0</v>
      </c>
      <c r="P279" s="82">
        <f t="shared" si="203"/>
        <v>0</v>
      </c>
      <c r="Q279" s="82">
        <f t="shared" si="203"/>
        <v>0</v>
      </c>
      <c r="R279" s="82">
        <f t="shared" si="203"/>
        <v>0</v>
      </c>
      <c r="S279" s="82">
        <f t="shared" si="203"/>
        <v>0.69485275271017832</v>
      </c>
      <c r="T279" s="83">
        <f t="shared" ref="T279:AI279" si="204">AVERAGE($Q$279:$S$279)</f>
        <v>0.2316175842367261</v>
      </c>
      <c r="U279" s="83">
        <f t="shared" si="204"/>
        <v>0.2316175842367261</v>
      </c>
      <c r="V279" s="83">
        <f t="shared" si="204"/>
        <v>0.2316175842367261</v>
      </c>
      <c r="W279" s="83">
        <f t="shared" si="204"/>
        <v>0.2316175842367261</v>
      </c>
      <c r="X279" s="83">
        <f t="shared" si="204"/>
        <v>0.2316175842367261</v>
      </c>
      <c r="Y279" s="83">
        <f t="shared" si="204"/>
        <v>0.2316175842367261</v>
      </c>
      <c r="Z279" s="83">
        <f t="shared" si="204"/>
        <v>0.2316175842367261</v>
      </c>
      <c r="AA279" s="83">
        <f t="shared" si="204"/>
        <v>0.2316175842367261</v>
      </c>
      <c r="AB279" s="83">
        <f t="shared" si="204"/>
        <v>0.2316175842367261</v>
      </c>
      <c r="AC279" s="83">
        <f t="shared" si="204"/>
        <v>0.2316175842367261</v>
      </c>
      <c r="AD279" s="83">
        <f t="shared" si="204"/>
        <v>0.2316175842367261</v>
      </c>
      <c r="AE279" s="83">
        <f t="shared" si="204"/>
        <v>0.2316175842367261</v>
      </c>
      <c r="AF279" s="83">
        <f t="shared" si="204"/>
        <v>0.2316175842367261</v>
      </c>
      <c r="AG279" s="83">
        <f t="shared" si="204"/>
        <v>0.2316175842367261</v>
      </c>
      <c r="AH279" s="83">
        <f t="shared" si="204"/>
        <v>0.2316175842367261</v>
      </c>
      <c r="AI279" s="83">
        <f t="shared" si="204"/>
        <v>0.2316175842367261</v>
      </c>
    </row>
    <row r="280" spans="1:35" ht="14.25" customHeight="1" x14ac:dyDescent="0.35">
      <c r="A280" s="79"/>
      <c r="B280" s="79"/>
      <c r="C280" s="79" t="s">
        <v>247</v>
      </c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  <c r="AC280" s="79"/>
      <c r="AD280" s="79"/>
      <c r="AE280" s="79"/>
      <c r="AF280" s="79"/>
      <c r="AG280" s="79"/>
      <c r="AH280" s="79"/>
      <c r="AI280" s="79"/>
    </row>
    <row r="281" spans="1:35" ht="14.25" customHeight="1" x14ac:dyDescent="0.35">
      <c r="A281" s="79"/>
      <c r="B281" s="79"/>
      <c r="C281" s="79"/>
      <c r="D281" s="79" t="s">
        <v>248</v>
      </c>
      <c r="E281" s="79"/>
      <c r="F281" s="79"/>
      <c r="G281" s="79"/>
      <c r="H281" s="79"/>
      <c r="I281" s="79"/>
      <c r="J281" s="79"/>
      <c r="K281" s="79"/>
      <c r="L281" s="82">
        <f t="shared" ref="L281:S281" si="205">IF(L64=0,0,L229/(-L64)*DAY(L$5))</f>
        <v>17.027242676241485</v>
      </c>
      <c r="M281" s="82">
        <f t="shared" si="205"/>
        <v>16.20845102847915</v>
      </c>
      <c r="N281" s="82">
        <f t="shared" si="205"/>
        <v>15.39431826712395</v>
      </c>
      <c r="O281" s="82">
        <f t="shared" si="205"/>
        <v>15.671010715384593</v>
      </c>
      <c r="P281" s="82">
        <f t="shared" si="205"/>
        <v>17.823472986754457</v>
      </c>
      <c r="Q281" s="82">
        <f t="shared" si="205"/>
        <v>14.504833135459922</v>
      </c>
      <c r="R281" s="82">
        <f t="shared" si="205"/>
        <v>11.106447172829682</v>
      </c>
      <c r="S281" s="82">
        <f t="shared" si="205"/>
        <v>14.700379510498998</v>
      </c>
      <c r="T281" s="83">
        <f t="shared" ref="T281:AI281" si="206">AVERAGE($Q$281:$S$281)</f>
        <v>13.437219939596199</v>
      </c>
      <c r="U281" s="83">
        <f t="shared" si="206"/>
        <v>13.437219939596199</v>
      </c>
      <c r="V281" s="83">
        <f t="shared" si="206"/>
        <v>13.437219939596199</v>
      </c>
      <c r="W281" s="83">
        <f t="shared" si="206"/>
        <v>13.437219939596199</v>
      </c>
      <c r="X281" s="83">
        <f t="shared" si="206"/>
        <v>13.437219939596199</v>
      </c>
      <c r="Y281" s="83">
        <f t="shared" si="206"/>
        <v>13.437219939596199</v>
      </c>
      <c r="Z281" s="83">
        <f t="shared" si="206"/>
        <v>13.437219939596199</v>
      </c>
      <c r="AA281" s="83">
        <f t="shared" si="206"/>
        <v>13.437219939596199</v>
      </c>
      <c r="AB281" s="83">
        <f t="shared" si="206"/>
        <v>13.437219939596199</v>
      </c>
      <c r="AC281" s="83">
        <f t="shared" si="206"/>
        <v>13.437219939596199</v>
      </c>
      <c r="AD281" s="83">
        <f t="shared" si="206"/>
        <v>13.437219939596199</v>
      </c>
      <c r="AE281" s="83">
        <f t="shared" si="206"/>
        <v>13.437219939596199</v>
      </c>
      <c r="AF281" s="83">
        <f t="shared" si="206"/>
        <v>13.437219939596199</v>
      </c>
      <c r="AG281" s="83">
        <f t="shared" si="206"/>
        <v>13.437219939596199</v>
      </c>
      <c r="AH281" s="83">
        <f t="shared" si="206"/>
        <v>13.437219939596199</v>
      </c>
      <c r="AI281" s="83">
        <f t="shared" si="206"/>
        <v>13.437219939596199</v>
      </c>
    </row>
    <row r="282" spans="1:35" ht="14.25" customHeight="1" x14ac:dyDescent="0.35">
      <c r="A282" s="79"/>
      <c r="B282" s="79"/>
      <c r="C282" s="79"/>
      <c r="D282" s="79" t="s">
        <v>249</v>
      </c>
      <c r="E282" s="79"/>
      <c r="F282" s="79"/>
      <c r="G282" s="79"/>
      <c r="H282" s="79"/>
      <c r="I282" s="79"/>
      <c r="J282" s="79"/>
      <c r="K282" s="79"/>
      <c r="L282" s="84">
        <f t="shared" ref="L282:AI282" si="207">L231</f>
        <v>714.14192254999989</v>
      </c>
      <c r="M282" s="84">
        <f t="shared" si="207"/>
        <v>597.89194710000004</v>
      </c>
      <c r="N282" s="84">
        <f t="shared" si="207"/>
        <v>459.76996100000002</v>
      </c>
      <c r="O282" s="84">
        <f t="shared" si="207"/>
        <v>585.32089461999999</v>
      </c>
      <c r="P282" s="84">
        <f t="shared" si="207"/>
        <v>573.21854882000002</v>
      </c>
      <c r="Q282" s="84">
        <f t="shared" si="207"/>
        <v>448.51418536000006</v>
      </c>
      <c r="R282" s="84">
        <f t="shared" si="207"/>
        <v>464.05229186000003</v>
      </c>
      <c r="S282" s="84">
        <f t="shared" si="207"/>
        <v>530.07948503</v>
      </c>
      <c r="T282" s="84">
        <f t="shared" si="207"/>
        <v>530.07948503</v>
      </c>
      <c r="U282" s="84">
        <f t="shared" si="207"/>
        <v>530.07948503</v>
      </c>
      <c r="V282" s="84">
        <f t="shared" si="207"/>
        <v>530.07948503</v>
      </c>
      <c r="W282" s="84">
        <f t="shared" si="207"/>
        <v>530.07948503</v>
      </c>
      <c r="X282" s="84">
        <f t="shared" si="207"/>
        <v>530.07948503</v>
      </c>
      <c r="Y282" s="84">
        <f t="shared" si="207"/>
        <v>530.07948503</v>
      </c>
      <c r="Z282" s="84">
        <f t="shared" si="207"/>
        <v>530.07948503</v>
      </c>
      <c r="AA282" s="84">
        <f t="shared" si="207"/>
        <v>530.07948503</v>
      </c>
      <c r="AB282" s="84">
        <f t="shared" si="207"/>
        <v>530.07948503</v>
      </c>
      <c r="AC282" s="84">
        <f t="shared" si="207"/>
        <v>530.07948503</v>
      </c>
      <c r="AD282" s="84">
        <f t="shared" si="207"/>
        <v>530.07948503</v>
      </c>
      <c r="AE282" s="84">
        <f t="shared" si="207"/>
        <v>530.07948503</v>
      </c>
      <c r="AF282" s="84">
        <f t="shared" si="207"/>
        <v>530.07948503</v>
      </c>
      <c r="AG282" s="84">
        <f t="shared" si="207"/>
        <v>530.07948503</v>
      </c>
      <c r="AH282" s="84">
        <f t="shared" si="207"/>
        <v>530.07948503</v>
      </c>
      <c r="AI282" s="84">
        <f t="shared" si="207"/>
        <v>530.07948503</v>
      </c>
    </row>
    <row r="283" spans="1:35" ht="14.25" customHeight="1" x14ac:dyDescent="0.35">
      <c r="A283" s="79"/>
      <c r="B283" s="79"/>
      <c r="C283" s="79"/>
      <c r="D283" s="79" t="s">
        <v>250</v>
      </c>
      <c r="E283" s="79"/>
      <c r="F283" s="79"/>
      <c r="G283" s="79"/>
      <c r="H283" s="79"/>
      <c r="I283" s="79"/>
      <c r="J283" s="79"/>
      <c r="K283" s="79"/>
      <c r="L283" s="84">
        <f t="shared" ref="L283:AI283" si="208">L242</f>
        <v>2390.7676230000002</v>
      </c>
      <c r="M283" s="84">
        <f t="shared" si="208"/>
        <v>2530.028084</v>
      </c>
      <c r="N283" s="84">
        <f t="shared" si="208"/>
        <v>2508.4244760000001</v>
      </c>
      <c r="O283" s="84">
        <f t="shared" si="208"/>
        <v>2588.6565000000001</v>
      </c>
      <c r="P283" s="84">
        <f t="shared" si="208"/>
        <v>2725.6794150000001</v>
      </c>
      <c r="Q283" s="84">
        <f t="shared" si="208"/>
        <v>2854.5508419999996</v>
      </c>
      <c r="R283" s="84">
        <f t="shared" si="208"/>
        <v>2565.2916359999999</v>
      </c>
      <c r="S283" s="84">
        <f t="shared" si="208"/>
        <v>2593.2312569999999</v>
      </c>
      <c r="T283" s="84">
        <f t="shared" si="208"/>
        <v>2593.2312569999999</v>
      </c>
      <c r="U283" s="84">
        <f t="shared" si="208"/>
        <v>2593.2312569999999</v>
      </c>
      <c r="V283" s="84">
        <f t="shared" si="208"/>
        <v>2593.2312569999999</v>
      </c>
      <c r="W283" s="84">
        <f t="shared" si="208"/>
        <v>2593.2312569999999</v>
      </c>
      <c r="X283" s="84">
        <f t="shared" si="208"/>
        <v>2593.2312569999999</v>
      </c>
      <c r="Y283" s="84">
        <f t="shared" si="208"/>
        <v>2593.2312569999999</v>
      </c>
      <c r="Z283" s="84">
        <f t="shared" si="208"/>
        <v>2593.2312569999999</v>
      </c>
      <c r="AA283" s="84">
        <f t="shared" si="208"/>
        <v>2593.2312569999999</v>
      </c>
      <c r="AB283" s="84">
        <f t="shared" si="208"/>
        <v>2593.2312569999999</v>
      </c>
      <c r="AC283" s="84">
        <f t="shared" si="208"/>
        <v>2593.2312569999999</v>
      </c>
      <c r="AD283" s="84">
        <f t="shared" si="208"/>
        <v>2593.2312569999999</v>
      </c>
      <c r="AE283" s="84">
        <f t="shared" si="208"/>
        <v>2593.2312569999999</v>
      </c>
      <c r="AF283" s="84">
        <f t="shared" si="208"/>
        <v>2593.2312569999999</v>
      </c>
      <c r="AG283" s="84">
        <f t="shared" si="208"/>
        <v>2593.2312569999999</v>
      </c>
      <c r="AH283" s="84">
        <f t="shared" si="208"/>
        <v>2593.2312569999999</v>
      </c>
      <c r="AI283" s="84">
        <f t="shared" si="208"/>
        <v>2593.2312569999999</v>
      </c>
    </row>
    <row r="284" spans="1:35" ht="14.25" customHeight="1" x14ac:dyDescent="0.35">
      <c r="A284" s="79"/>
      <c r="B284" s="79"/>
      <c r="C284" s="79" t="s">
        <v>251</v>
      </c>
      <c r="D284" s="79" t="s">
        <v>252</v>
      </c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>
        <v>60</v>
      </c>
      <c r="U284" s="79">
        <v>60</v>
      </c>
      <c r="V284" s="79">
        <v>60</v>
      </c>
      <c r="W284" s="79">
        <v>60</v>
      </c>
      <c r="X284" s="79">
        <v>60</v>
      </c>
      <c r="Y284" s="79">
        <v>60</v>
      </c>
      <c r="Z284" s="79">
        <v>60</v>
      </c>
      <c r="AA284" s="79">
        <v>60</v>
      </c>
      <c r="AB284" s="79">
        <v>60</v>
      </c>
      <c r="AC284" s="79">
        <v>60</v>
      </c>
      <c r="AD284" s="79">
        <v>60</v>
      </c>
      <c r="AE284" s="79">
        <v>60</v>
      </c>
      <c r="AF284" s="79">
        <v>60</v>
      </c>
      <c r="AG284" s="79">
        <v>60</v>
      </c>
      <c r="AH284" s="79">
        <v>60</v>
      </c>
      <c r="AI284" s="79">
        <v>60</v>
      </c>
    </row>
    <row r="285" spans="1:35" ht="14.25" customHeight="1" x14ac:dyDescent="0.35">
      <c r="A285" s="79"/>
      <c r="B285" s="79"/>
      <c r="C285" s="79" t="s">
        <v>253</v>
      </c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9"/>
      <c r="AD285" s="79"/>
      <c r="AE285" s="79"/>
      <c r="AF285" s="79"/>
      <c r="AG285" s="79"/>
      <c r="AH285" s="79"/>
      <c r="AI285" s="79"/>
    </row>
    <row r="286" spans="1:35" ht="14.25" customHeight="1" x14ac:dyDescent="0.35">
      <c r="A286" s="79"/>
      <c r="B286" s="79"/>
      <c r="C286" s="79"/>
      <c r="D286" s="79" t="s">
        <v>254</v>
      </c>
      <c r="E286" s="79"/>
      <c r="F286" s="79"/>
      <c r="G286" s="79"/>
      <c r="H286" s="79"/>
      <c r="I286" s="79"/>
      <c r="J286" s="79"/>
      <c r="K286" s="79"/>
      <c r="L286" s="82">
        <f t="shared" ref="L286:S286" si="209">IF(L17=0,0,L235/(L17)*DAY(L$5))</f>
        <v>1.707536770834164E-2</v>
      </c>
      <c r="M286" s="82">
        <f t="shared" si="209"/>
        <v>6.7318290194766275E-2</v>
      </c>
      <c r="N286" s="82">
        <f t="shared" si="209"/>
        <v>0.91824599275632257</v>
      </c>
      <c r="O286" s="82">
        <f t="shared" si="209"/>
        <v>4.5979141748561977E-2</v>
      </c>
      <c r="P286" s="82">
        <f t="shared" si="209"/>
        <v>5.2655469159602189E-2</v>
      </c>
      <c r="Q286" s="82">
        <f t="shared" si="209"/>
        <v>3.9401056315897715E-2</v>
      </c>
      <c r="R286" s="82">
        <f t="shared" si="209"/>
        <v>3.8798130350568553E-2</v>
      </c>
      <c r="S286" s="82">
        <f t="shared" si="209"/>
        <v>3.5883596173689351E-2</v>
      </c>
      <c r="T286" s="83">
        <f t="shared" ref="T286:AI286" si="210">AVERAGE($Q$286:$S$286)</f>
        <v>3.8027594280051875E-2</v>
      </c>
      <c r="U286" s="83">
        <f t="shared" si="210"/>
        <v>3.8027594280051875E-2</v>
      </c>
      <c r="V286" s="83">
        <f t="shared" si="210"/>
        <v>3.8027594280051875E-2</v>
      </c>
      <c r="W286" s="83">
        <f t="shared" si="210"/>
        <v>3.8027594280051875E-2</v>
      </c>
      <c r="X286" s="83">
        <f t="shared" si="210"/>
        <v>3.8027594280051875E-2</v>
      </c>
      <c r="Y286" s="83">
        <f t="shared" si="210"/>
        <v>3.8027594280051875E-2</v>
      </c>
      <c r="Z286" s="83">
        <f t="shared" si="210"/>
        <v>3.8027594280051875E-2</v>
      </c>
      <c r="AA286" s="83">
        <f t="shared" si="210"/>
        <v>3.8027594280051875E-2</v>
      </c>
      <c r="AB286" s="83">
        <f t="shared" si="210"/>
        <v>3.8027594280051875E-2</v>
      </c>
      <c r="AC286" s="83">
        <f t="shared" si="210"/>
        <v>3.8027594280051875E-2</v>
      </c>
      <c r="AD286" s="83">
        <f t="shared" si="210"/>
        <v>3.8027594280051875E-2</v>
      </c>
      <c r="AE286" s="83">
        <f t="shared" si="210"/>
        <v>3.8027594280051875E-2</v>
      </c>
      <c r="AF286" s="83">
        <f t="shared" si="210"/>
        <v>3.8027594280051875E-2</v>
      </c>
      <c r="AG286" s="83">
        <f t="shared" si="210"/>
        <v>3.8027594280051875E-2</v>
      </c>
      <c r="AH286" s="83">
        <f t="shared" si="210"/>
        <v>3.8027594280051875E-2</v>
      </c>
      <c r="AI286" s="83">
        <f t="shared" si="210"/>
        <v>3.8027594280051875E-2</v>
      </c>
    </row>
    <row r="287" spans="1:35" ht="14.25" customHeight="1" x14ac:dyDescent="0.35">
      <c r="A287" s="79"/>
      <c r="B287" s="79"/>
      <c r="C287" s="79"/>
      <c r="D287" s="79" t="s">
        <v>255</v>
      </c>
      <c r="E287" s="79"/>
      <c r="F287" s="79"/>
      <c r="G287" s="79"/>
      <c r="H287" s="79"/>
      <c r="I287" s="79"/>
      <c r="J287" s="79"/>
      <c r="K287" s="79"/>
      <c r="L287" s="82">
        <f t="shared" ref="L287:S287" si="211">IF(L17=0,0,L236/(L17)*DAY(L$5))</f>
        <v>1.8703167157430065E-2</v>
      </c>
      <c r="M287" s="82">
        <f t="shared" si="211"/>
        <v>1.726305495043428E-2</v>
      </c>
      <c r="N287" s="82">
        <f t="shared" si="211"/>
        <v>1.9005735277105928E-2</v>
      </c>
      <c r="O287" s="82">
        <f t="shared" si="211"/>
        <v>2.0428705840849347E-2</v>
      </c>
      <c r="P287" s="82">
        <f t="shared" si="211"/>
        <v>2.3075455434487642E-2</v>
      </c>
      <c r="Q287" s="82">
        <f t="shared" si="211"/>
        <v>2.5573287360225162E-2</v>
      </c>
      <c r="R287" s="82">
        <f t="shared" si="211"/>
        <v>2.4792446227976255E-2</v>
      </c>
      <c r="S287" s="82">
        <f t="shared" si="211"/>
        <v>2.7692415456901095E-2</v>
      </c>
      <c r="T287" s="83">
        <f t="shared" ref="T287:AI287" si="212">AVERAGE($Q$287:$S$287)</f>
        <v>2.6019383015034172E-2</v>
      </c>
      <c r="U287" s="83">
        <f t="shared" si="212"/>
        <v>2.6019383015034172E-2</v>
      </c>
      <c r="V287" s="83">
        <f t="shared" si="212"/>
        <v>2.6019383015034172E-2</v>
      </c>
      <c r="W287" s="83">
        <f t="shared" si="212"/>
        <v>2.6019383015034172E-2</v>
      </c>
      <c r="X287" s="83">
        <f t="shared" si="212"/>
        <v>2.6019383015034172E-2</v>
      </c>
      <c r="Y287" s="83">
        <f t="shared" si="212"/>
        <v>2.6019383015034172E-2</v>
      </c>
      <c r="Z287" s="83">
        <f t="shared" si="212"/>
        <v>2.6019383015034172E-2</v>
      </c>
      <c r="AA287" s="83">
        <f t="shared" si="212"/>
        <v>2.6019383015034172E-2</v>
      </c>
      <c r="AB287" s="83">
        <f t="shared" si="212"/>
        <v>2.6019383015034172E-2</v>
      </c>
      <c r="AC287" s="83">
        <f t="shared" si="212"/>
        <v>2.6019383015034172E-2</v>
      </c>
      <c r="AD287" s="83">
        <f t="shared" si="212"/>
        <v>2.6019383015034172E-2</v>
      </c>
      <c r="AE287" s="83">
        <f t="shared" si="212"/>
        <v>2.6019383015034172E-2</v>
      </c>
      <c r="AF287" s="83">
        <f t="shared" si="212"/>
        <v>2.6019383015034172E-2</v>
      </c>
      <c r="AG287" s="83">
        <f t="shared" si="212"/>
        <v>2.6019383015034172E-2</v>
      </c>
      <c r="AH287" s="83">
        <f t="shared" si="212"/>
        <v>2.6019383015034172E-2</v>
      </c>
      <c r="AI287" s="83">
        <f t="shared" si="212"/>
        <v>2.6019383015034172E-2</v>
      </c>
    </row>
    <row r="288" spans="1:35" ht="14.25" customHeight="1" x14ac:dyDescent="0.35">
      <c r="A288" s="79"/>
      <c r="B288" s="79"/>
      <c r="C288" s="79"/>
      <c r="D288" s="79" t="s">
        <v>256</v>
      </c>
      <c r="E288" s="79"/>
      <c r="F288" s="79"/>
      <c r="G288" s="79"/>
      <c r="H288" s="79"/>
      <c r="I288" s="79"/>
      <c r="J288" s="79"/>
      <c r="K288" s="79"/>
      <c r="L288" s="82">
        <f t="shared" ref="L288:S288" si="213">IF(L17=0,0,L237/(L17)*DAY(L$5))</f>
        <v>1.7489221011716731E-2</v>
      </c>
      <c r="M288" s="82">
        <f t="shared" si="213"/>
        <v>1.591858627292508E-2</v>
      </c>
      <c r="N288" s="82">
        <f t="shared" si="213"/>
        <v>2.001903945993052E-2</v>
      </c>
      <c r="O288" s="82">
        <f t="shared" si="213"/>
        <v>2.2893430790915832E-2</v>
      </c>
      <c r="P288" s="82">
        <f t="shared" si="213"/>
        <v>2.3431262110322374E-2</v>
      </c>
      <c r="Q288" s="82">
        <f t="shared" si="213"/>
        <v>2.0481405915435187E-2</v>
      </c>
      <c r="R288" s="82">
        <f t="shared" si="213"/>
        <v>2.1395493632443811E-2</v>
      </c>
      <c r="S288" s="82">
        <f t="shared" si="213"/>
        <v>1.6177785294956448E-2</v>
      </c>
      <c r="T288" s="83">
        <f t="shared" ref="T288:AI288" si="214">AVERAGE($Q$288:$S$288)</f>
        <v>1.9351561614278482E-2</v>
      </c>
      <c r="U288" s="83">
        <f t="shared" si="214"/>
        <v>1.9351561614278482E-2</v>
      </c>
      <c r="V288" s="83">
        <f t="shared" si="214"/>
        <v>1.9351561614278482E-2</v>
      </c>
      <c r="W288" s="83">
        <f t="shared" si="214"/>
        <v>1.9351561614278482E-2</v>
      </c>
      <c r="X288" s="83">
        <f t="shared" si="214"/>
        <v>1.9351561614278482E-2</v>
      </c>
      <c r="Y288" s="83">
        <f t="shared" si="214"/>
        <v>1.9351561614278482E-2</v>
      </c>
      <c r="Z288" s="83">
        <f t="shared" si="214"/>
        <v>1.9351561614278482E-2</v>
      </c>
      <c r="AA288" s="83">
        <f t="shared" si="214"/>
        <v>1.9351561614278482E-2</v>
      </c>
      <c r="AB288" s="83">
        <f t="shared" si="214"/>
        <v>1.9351561614278482E-2</v>
      </c>
      <c r="AC288" s="83">
        <f t="shared" si="214"/>
        <v>1.9351561614278482E-2</v>
      </c>
      <c r="AD288" s="83">
        <f t="shared" si="214"/>
        <v>1.9351561614278482E-2</v>
      </c>
      <c r="AE288" s="83">
        <f t="shared" si="214"/>
        <v>1.9351561614278482E-2</v>
      </c>
      <c r="AF288" s="83">
        <f t="shared" si="214"/>
        <v>1.9351561614278482E-2</v>
      </c>
      <c r="AG288" s="83">
        <f t="shared" si="214"/>
        <v>1.9351561614278482E-2</v>
      </c>
      <c r="AH288" s="83">
        <f t="shared" si="214"/>
        <v>1.9351561614278482E-2</v>
      </c>
      <c r="AI288" s="83">
        <f t="shared" si="214"/>
        <v>1.9351561614278482E-2</v>
      </c>
    </row>
    <row r="289" spans="1:35" ht="14.25" customHeight="1" x14ac:dyDescent="0.35">
      <c r="A289" s="79"/>
      <c r="B289" s="79"/>
      <c r="C289" s="79"/>
      <c r="D289" s="79" t="s">
        <v>257</v>
      </c>
      <c r="E289" s="79"/>
      <c r="F289" s="79"/>
      <c r="G289" s="79"/>
      <c r="H289" s="79"/>
      <c r="I289" s="79"/>
      <c r="J289" s="79"/>
      <c r="K289" s="79"/>
      <c r="L289" s="82">
        <f t="shared" ref="L289:S289" si="215">IF(L17=0,0,L238/(L17)*DAY(L$5))</f>
        <v>0.88545735376457657</v>
      </c>
      <c r="M289" s="82">
        <f t="shared" si="215"/>
        <v>0.86532960971603612</v>
      </c>
      <c r="N289" s="82">
        <f t="shared" si="215"/>
        <v>1.2793851049688312</v>
      </c>
      <c r="O289" s="82">
        <f t="shared" si="215"/>
        <v>0.7026658675688332</v>
      </c>
      <c r="P289" s="82">
        <f t="shared" si="215"/>
        <v>0.64553121542085157</v>
      </c>
      <c r="Q289" s="82">
        <f t="shared" si="215"/>
        <v>0</v>
      </c>
      <c r="R289" s="82">
        <f t="shared" si="215"/>
        <v>0.41594629103852404</v>
      </c>
      <c r="S289" s="82">
        <f t="shared" si="215"/>
        <v>0.50791620482648803</v>
      </c>
      <c r="T289" s="83">
        <f t="shared" ref="T289:AI289" si="216">AVERAGE($Q$289:$S$289)</f>
        <v>0.30795416528833736</v>
      </c>
      <c r="U289" s="83">
        <f t="shared" si="216"/>
        <v>0.30795416528833736</v>
      </c>
      <c r="V289" s="83">
        <f t="shared" si="216"/>
        <v>0.30795416528833736</v>
      </c>
      <c r="W289" s="83">
        <f t="shared" si="216"/>
        <v>0.30795416528833736</v>
      </c>
      <c r="X289" s="83">
        <f t="shared" si="216"/>
        <v>0.30795416528833736</v>
      </c>
      <c r="Y289" s="83">
        <f t="shared" si="216"/>
        <v>0.30795416528833736</v>
      </c>
      <c r="Z289" s="83">
        <f t="shared" si="216"/>
        <v>0.30795416528833736</v>
      </c>
      <c r="AA289" s="83">
        <f t="shared" si="216"/>
        <v>0.30795416528833736</v>
      </c>
      <c r="AB289" s="83">
        <f t="shared" si="216"/>
        <v>0.30795416528833736</v>
      </c>
      <c r="AC289" s="83">
        <f t="shared" si="216"/>
        <v>0.30795416528833736</v>
      </c>
      <c r="AD289" s="83">
        <f t="shared" si="216"/>
        <v>0.30795416528833736</v>
      </c>
      <c r="AE289" s="83">
        <f t="shared" si="216"/>
        <v>0.30795416528833736</v>
      </c>
      <c r="AF289" s="83">
        <f t="shared" si="216"/>
        <v>0.30795416528833736</v>
      </c>
      <c r="AG289" s="83">
        <f t="shared" si="216"/>
        <v>0.30795416528833736</v>
      </c>
      <c r="AH289" s="83">
        <f t="shared" si="216"/>
        <v>0.30795416528833736</v>
      </c>
      <c r="AI289" s="83">
        <f t="shared" si="216"/>
        <v>0.30795416528833736</v>
      </c>
    </row>
    <row r="290" spans="1:35" ht="14.25" customHeight="1" x14ac:dyDescent="0.35">
      <c r="A290" s="79"/>
      <c r="B290" s="79"/>
      <c r="C290" s="79"/>
      <c r="D290" s="79" t="s">
        <v>258</v>
      </c>
      <c r="E290" s="79"/>
      <c r="F290" s="79"/>
      <c r="G290" s="79"/>
      <c r="H290" s="79"/>
      <c r="I290" s="79"/>
      <c r="J290" s="79"/>
      <c r="K290" s="79"/>
      <c r="L290" s="82">
        <f t="shared" ref="L290:S290" si="217">IF(L17=0,0,L239/(L17)*DAY(L$5))</f>
        <v>3.1671179913682779</v>
      </c>
      <c r="M290" s="82">
        <f t="shared" si="217"/>
        <v>2.1798625915629506</v>
      </c>
      <c r="N290" s="82">
        <f t="shared" si="217"/>
        <v>2.6189322763937803</v>
      </c>
      <c r="O290" s="82">
        <f t="shared" si="217"/>
        <v>2.3888741751841334</v>
      </c>
      <c r="P290" s="82">
        <f t="shared" si="217"/>
        <v>2.5453043577394254</v>
      </c>
      <c r="Q290" s="82">
        <f t="shared" si="217"/>
        <v>2.7304491897519831</v>
      </c>
      <c r="R290" s="82">
        <f t="shared" si="217"/>
        <v>2.5658182024500351</v>
      </c>
      <c r="S290" s="82">
        <f t="shared" si="217"/>
        <v>3.409999953383156</v>
      </c>
      <c r="T290" s="83">
        <f t="shared" ref="T290:AI290" si="218">AVERAGE($Q$290:$S$290)</f>
        <v>2.9020891151950585</v>
      </c>
      <c r="U290" s="83">
        <f t="shared" si="218"/>
        <v>2.9020891151950585</v>
      </c>
      <c r="V290" s="83">
        <f t="shared" si="218"/>
        <v>2.9020891151950585</v>
      </c>
      <c r="W290" s="83">
        <f t="shared" si="218"/>
        <v>2.9020891151950585</v>
      </c>
      <c r="X290" s="83">
        <f t="shared" si="218"/>
        <v>2.9020891151950585</v>
      </c>
      <c r="Y290" s="83">
        <f t="shared" si="218"/>
        <v>2.9020891151950585</v>
      </c>
      <c r="Z290" s="83">
        <f t="shared" si="218"/>
        <v>2.9020891151950585</v>
      </c>
      <c r="AA290" s="83">
        <f t="shared" si="218"/>
        <v>2.9020891151950585</v>
      </c>
      <c r="AB290" s="83">
        <f t="shared" si="218"/>
        <v>2.9020891151950585</v>
      </c>
      <c r="AC290" s="83">
        <f t="shared" si="218"/>
        <v>2.9020891151950585</v>
      </c>
      <c r="AD290" s="83">
        <f t="shared" si="218"/>
        <v>2.9020891151950585</v>
      </c>
      <c r="AE290" s="83">
        <f t="shared" si="218"/>
        <v>2.9020891151950585</v>
      </c>
      <c r="AF290" s="83">
        <f t="shared" si="218"/>
        <v>2.9020891151950585</v>
      </c>
      <c r="AG290" s="83">
        <f t="shared" si="218"/>
        <v>2.9020891151950585</v>
      </c>
      <c r="AH290" s="83">
        <f t="shared" si="218"/>
        <v>2.9020891151950585</v>
      </c>
      <c r="AI290" s="83">
        <f t="shared" si="218"/>
        <v>2.9020891151950585</v>
      </c>
    </row>
    <row r="291" spans="1:35" ht="14.25" customHeight="1" x14ac:dyDescent="0.35">
      <c r="A291" s="79"/>
      <c r="B291" s="79"/>
      <c r="C291" s="79"/>
      <c r="D291" s="79" t="s">
        <v>259</v>
      </c>
      <c r="E291" s="79"/>
      <c r="F291" s="79"/>
      <c r="G291" s="79"/>
      <c r="H291" s="79" t="s">
        <v>13</v>
      </c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85">
        <v>0.22</v>
      </c>
      <c r="U291" s="85">
        <v>0.22</v>
      </c>
      <c r="V291" s="85">
        <v>0.22</v>
      </c>
      <c r="W291" s="85">
        <v>0.22</v>
      </c>
      <c r="X291" s="85">
        <v>0.22</v>
      </c>
      <c r="Y291" s="85">
        <v>0.22</v>
      </c>
      <c r="Z291" s="85">
        <v>0.22</v>
      </c>
      <c r="AA291" s="85">
        <v>0.22</v>
      </c>
      <c r="AB291" s="85">
        <v>0.22</v>
      </c>
      <c r="AC291" s="85">
        <v>0.22</v>
      </c>
      <c r="AD291" s="85">
        <v>0.22</v>
      </c>
      <c r="AE291" s="85">
        <v>0.22</v>
      </c>
      <c r="AF291" s="85">
        <v>0.22</v>
      </c>
      <c r="AG291" s="85">
        <v>0.22</v>
      </c>
      <c r="AH291" s="85">
        <v>0.22</v>
      </c>
      <c r="AI291" s="85">
        <v>0.22</v>
      </c>
    </row>
    <row r="292" spans="1:35" ht="14.25" customHeight="1" x14ac:dyDescent="0.35">
      <c r="A292" s="21"/>
      <c r="B292" s="28">
        <v>1.5</v>
      </c>
      <c r="C292" s="28" t="s">
        <v>260</v>
      </c>
      <c r="D292" s="28"/>
      <c r="E292" s="28"/>
      <c r="F292" s="28"/>
      <c r="G292" s="21"/>
      <c r="H292" s="22"/>
      <c r="I292" s="21"/>
      <c r="J292" s="21"/>
      <c r="K292" s="2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</row>
    <row r="293" spans="1:35" ht="14.25" customHeight="1" x14ac:dyDescent="0.35">
      <c r="A293" s="79"/>
      <c r="B293" s="79"/>
      <c r="C293" s="79" t="s">
        <v>261</v>
      </c>
      <c r="D293" s="79" t="s">
        <v>262</v>
      </c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  <c r="AI293" s="79"/>
    </row>
    <row r="294" spans="1:35" ht="14.25" customHeight="1" x14ac:dyDescent="0.35">
      <c r="A294" s="79"/>
      <c r="B294" s="79"/>
      <c r="C294" s="79"/>
      <c r="D294" s="79" t="s">
        <v>263</v>
      </c>
      <c r="E294" s="79"/>
      <c r="F294" s="79"/>
      <c r="G294" s="79"/>
      <c r="H294" s="79"/>
      <c r="I294" s="79"/>
      <c r="J294" s="79"/>
      <c r="K294" s="79"/>
      <c r="L294" s="84"/>
      <c r="M294" s="84">
        <f t="shared" ref="M294:AI294" si="219">(L209-L184)-(M209-M184)</f>
        <v>-611.09094589000051</v>
      </c>
      <c r="N294" s="84">
        <f t="shared" si="219"/>
        <v>1621.8781019599992</v>
      </c>
      <c r="O294" s="84">
        <f t="shared" si="219"/>
        <v>-733.17222704999222</v>
      </c>
      <c r="P294" s="84">
        <f t="shared" si="219"/>
        <v>-1897.0910548500051</v>
      </c>
      <c r="Q294" s="84">
        <f t="shared" si="219"/>
        <v>-970.53756120000071</v>
      </c>
      <c r="R294" s="84">
        <f t="shared" si="219"/>
        <v>-2899.5799451299972</v>
      </c>
      <c r="S294" s="84">
        <f t="shared" si="219"/>
        <v>-1918.2293741100111</v>
      </c>
      <c r="T294" s="84">
        <f t="shared" si="219"/>
        <v>1379.0742945756392</v>
      </c>
      <c r="U294" s="84">
        <f t="shared" si="219"/>
        <v>285.95113812919226</v>
      </c>
      <c r="V294" s="84">
        <f t="shared" si="219"/>
        <v>-273.04405623126513</v>
      </c>
      <c r="W294" s="84">
        <f t="shared" si="219"/>
        <v>274.2118707049558</v>
      </c>
      <c r="X294" s="84">
        <f t="shared" si="219"/>
        <v>1.1089473639040079</v>
      </c>
      <c r="Y294" s="84">
        <f t="shared" si="219"/>
        <v>-877.59786231140606</v>
      </c>
      <c r="Z294" s="84">
        <f t="shared" si="219"/>
        <v>879.13875112200913</v>
      </c>
      <c r="AA294" s="84">
        <f t="shared" si="219"/>
        <v>-272.63942157018028</v>
      </c>
      <c r="AB294" s="84">
        <f t="shared" si="219"/>
        <v>273.76140934073192</v>
      </c>
      <c r="AC294" s="84">
        <f t="shared" si="219"/>
        <v>-273.1576529781014</v>
      </c>
      <c r="AD294" s="84">
        <f t="shared" si="219"/>
        <v>273.50477691561173</v>
      </c>
      <c r="AE294" s="84">
        <f t="shared" si="219"/>
        <v>0.15542698997523985</v>
      </c>
      <c r="AF294" s="84">
        <f t="shared" si="219"/>
        <v>-273.24976153313037</v>
      </c>
      <c r="AG294" s="84">
        <f t="shared" si="219"/>
        <v>273.45688352575598</v>
      </c>
      <c r="AH294" s="84">
        <f t="shared" si="219"/>
        <v>-273.28405223157824</v>
      </c>
      <c r="AI294" s="84">
        <f t="shared" si="219"/>
        <v>273.42236404203504</v>
      </c>
    </row>
    <row r="295" spans="1:35" ht="14.25" customHeight="1" x14ac:dyDescent="0.35">
      <c r="A295" s="79"/>
      <c r="B295" s="79"/>
      <c r="C295" s="79"/>
      <c r="D295" s="79" t="s">
        <v>264</v>
      </c>
      <c r="E295" s="79"/>
      <c r="F295" s="79"/>
      <c r="G295" s="79"/>
      <c r="H295" s="79"/>
      <c r="I295" s="79"/>
      <c r="J295" s="79"/>
      <c r="K295" s="79"/>
      <c r="L295" s="86"/>
      <c r="M295" s="86">
        <f t="shared" ref="M295:AI295" si="220">(M250-M227-M249)-(L250-L227-L249)</f>
        <v>-91.255205280000155</v>
      </c>
      <c r="N295" s="86">
        <f t="shared" si="220"/>
        <v>-1341.7011846599999</v>
      </c>
      <c r="O295" s="86">
        <f t="shared" si="220"/>
        <v>395.21174260000043</v>
      </c>
      <c r="P295" s="86">
        <f t="shared" si="220"/>
        <v>955.69801266000104</v>
      </c>
      <c r="Q295" s="86">
        <f t="shared" si="220"/>
        <v>-385.89902133999931</v>
      </c>
      <c r="R295" s="86">
        <f t="shared" si="220"/>
        <v>-906.60008199000094</v>
      </c>
      <c r="S295" s="86">
        <f t="shared" si="220"/>
        <v>1472.0732004599995</v>
      </c>
      <c r="T295" s="86">
        <f t="shared" si="220"/>
        <v>-640.19629453021298</v>
      </c>
      <c r="U295" s="86">
        <f t="shared" si="220"/>
        <v>-103.42514933948587</v>
      </c>
      <c r="V295" s="86">
        <f t="shared" si="220"/>
        <v>172.19263363617574</v>
      </c>
      <c r="W295" s="86">
        <f t="shared" si="220"/>
        <v>-141.03714467613099</v>
      </c>
      <c r="X295" s="86">
        <f t="shared" si="220"/>
        <v>-8.6412430191558087E-3</v>
      </c>
      <c r="Y295" s="86">
        <f t="shared" si="220"/>
        <v>455.69068163181328</v>
      </c>
      <c r="Z295" s="86">
        <f t="shared" si="220"/>
        <v>-456.91245168679961</v>
      </c>
      <c r="AA295" s="86">
        <f t="shared" si="220"/>
        <v>139.71013899628997</v>
      </c>
      <c r="AB295" s="86">
        <f t="shared" si="220"/>
        <v>-142.39282594433098</v>
      </c>
      <c r="AC295" s="86">
        <f t="shared" si="220"/>
        <v>141.47388658481759</v>
      </c>
      <c r="AD295" s="86">
        <f t="shared" si="220"/>
        <v>-142.53904879389847</v>
      </c>
      <c r="AE295" s="86">
        <f t="shared" si="220"/>
        <v>-0.56129563925060211</v>
      </c>
      <c r="AF295" s="86">
        <f t="shared" si="220"/>
        <v>142.13095922730463</v>
      </c>
      <c r="AG295" s="86">
        <f t="shared" si="220"/>
        <v>-142.37805898828265</v>
      </c>
      <c r="AH295" s="86">
        <f t="shared" si="220"/>
        <v>142.11790870309596</v>
      </c>
      <c r="AI295" s="86">
        <f t="shared" si="220"/>
        <v>-142.26383086201895</v>
      </c>
    </row>
    <row r="296" spans="1:35" ht="14.25" customHeight="1" x14ac:dyDescent="0.35">
      <c r="A296" s="79"/>
      <c r="B296" s="79"/>
      <c r="C296" s="79"/>
      <c r="D296" s="79" t="s">
        <v>265</v>
      </c>
      <c r="E296" s="79"/>
      <c r="F296" s="79"/>
      <c r="G296" s="79"/>
      <c r="H296" s="79"/>
      <c r="I296" s="79"/>
      <c r="J296" s="79"/>
      <c r="K296" s="79"/>
      <c r="L296" s="84"/>
      <c r="M296" s="84">
        <f t="shared" ref="M296:AI296" si="221">SUM(M294:M295)</f>
        <v>-702.34615117000067</v>
      </c>
      <c r="N296" s="84">
        <f t="shared" si="221"/>
        <v>280.17691729999933</v>
      </c>
      <c r="O296" s="84">
        <f t="shared" si="221"/>
        <v>-337.96048444999178</v>
      </c>
      <c r="P296" s="84">
        <f t="shared" si="221"/>
        <v>-941.39304219000405</v>
      </c>
      <c r="Q296" s="84">
        <f t="shared" si="221"/>
        <v>-1356.43658254</v>
      </c>
      <c r="R296" s="84">
        <f t="shared" si="221"/>
        <v>-3806.1800271199982</v>
      </c>
      <c r="S296" s="84">
        <f t="shared" si="221"/>
        <v>-446.15617365001162</v>
      </c>
      <c r="T296" s="84">
        <f t="shared" si="221"/>
        <v>738.87800004542623</v>
      </c>
      <c r="U296" s="84">
        <f t="shared" si="221"/>
        <v>182.52598878970639</v>
      </c>
      <c r="V296" s="84">
        <f t="shared" si="221"/>
        <v>-100.85142259508939</v>
      </c>
      <c r="W296" s="84">
        <f t="shared" si="221"/>
        <v>133.17472602882481</v>
      </c>
      <c r="X296" s="84">
        <f t="shared" si="221"/>
        <v>1.1003061208848521</v>
      </c>
      <c r="Y296" s="84">
        <f t="shared" si="221"/>
        <v>-421.90718067959278</v>
      </c>
      <c r="Z296" s="84">
        <f t="shared" si="221"/>
        <v>422.22629943520951</v>
      </c>
      <c r="AA296" s="84">
        <f t="shared" si="221"/>
        <v>-132.9292825738903</v>
      </c>
      <c r="AB296" s="84">
        <f t="shared" si="221"/>
        <v>131.36858339640094</v>
      </c>
      <c r="AC296" s="84">
        <f t="shared" si="221"/>
        <v>-131.6837663932838</v>
      </c>
      <c r="AD296" s="84">
        <f t="shared" si="221"/>
        <v>130.96572812171325</v>
      </c>
      <c r="AE296" s="84">
        <f t="shared" si="221"/>
        <v>-0.40586864927536226</v>
      </c>
      <c r="AF296" s="84">
        <f t="shared" si="221"/>
        <v>-131.11880230582574</v>
      </c>
      <c r="AG296" s="84">
        <f t="shared" si="221"/>
        <v>131.07882453747334</v>
      </c>
      <c r="AH296" s="84">
        <f t="shared" si="221"/>
        <v>-131.16614352848228</v>
      </c>
      <c r="AI296" s="84">
        <f t="shared" si="221"/>
        <v>131.15853318001609</v>
      </c>
    </row>
    <row r="297" spans="1:35" ht="14.25" customHeight="1" x14ac:dyDescent="0.35">
      <c r="A297" s="79"/>
      <c r="B297" s="79"/>
      <c r="C297" s="79"/>
      <c r="D297" s="79" t="s">
        <v>266</v>
      </c>
      <c r="E297" s="79"/>
      <c r="F297" s="79"/>
      <c r="G297" s="79"/>
      <c r="H297" s="79"/>
      <c r="I297" s="79"/>
      <c r="J297" s="79"/>
      <c r="K297" s="79"/>
      <c r="L297" s="87"/>
      <c r="M297" s="87">
        <f t="shared" ref="M297:AI297" si="222">M296-(SUM(M136:M139)+SUM(M145:M149)+M155+M156+(M234-L234))</f>
        <v>1.3642420526593924E-12</v>
      </c>
      <c r="N297" s="87">
        <f t="shared" si="222"/>
        <v>-5.1159076974727213E-12</v>
      </c>
      <c r="O297" s="87">
        <f t="shared" si="222"/>
        <v>6.1390892369672656E-12</v>
      </c>
      <c r="P297" s="87">
        <f t="shared" si="222"/>
        <v>0</v>
      </c>
      <c r="Q297" s="87">
        <f t="shared" si="222"/>
        <v>-2.7284841053187847E-12</v>
      </c>
      <c r="R297" s="87">
        <f t="shared" si="222"/>
        <v>0</v>
      </c>
      <c r="S297" s="87">
        <f t="shared" si="222"/>
        <v>-6.3664629124104977E-12</v>
      </c>
      <c r="T297" s="87">
        <f t="shared" si="222"/>
        <v>6.4801497501321137E-12</v>
      </c>
      <c r="U297" s="87">
        <f t="shared" si="222"/>
        <v>5.2295945351943374E-12</v>
      </c>
      <c r="V297" s="87">
        <f t="shared" si="222"/>
        <v>-1.1141310096718371E-11</v>
      </c>
      <c r="W297" s="87">
        <f t="shared" si="222"/>
        <v>6.1390892369672656E-12</v>
      </c>
      <c r="X297" s="87">
        <f t="shared" si="222"/>
        <v>3.1832314562052488E-12</v>
      </c>
      <c r="Y297" s="87">
        <f t="shared" si="222"/>
        <v>0</v>
      </c>
      <c r="Z297" s="87">
        <f t="shared" si="222"/>
        <v>-5.1159076974727213E-12</v>
      </c>
      <c r="AA297" s="87">
        <f t="shared" si="222"/>
        <v>4.3200998334214091E-12</v>
      </c>
      <c r="AB297" s="87">
        <f t="shared" si="222"/>
        <v>-4.7748471843078732E-12</v>
      </c>
      <c r="AC297" s="87">
        <f t="shared" si="222"/>
        <v>-3.865352482534945E-12</v>
      </c>
      <c r="AD297" s="87">
        <f t="shared" si="222"/>
        <v>4.3200998334214091E-12</v>
      </c>
      <c r="AE297" s="87">
        <f t="shared" si="222"/>
        <v>3.637978807091713E-12</v>
      </c>
      <c r="AF297" s="87">
        <f t="shared" si="222"/>
        <v>-3.865352482534945E-12</v>
      </c>
      <c r="AG297" s="87">
        <f t="shared" si="222"/>
        <v>2.5011104298755527E-12</v>
      </c>
      <c r="AH297" s="87">
        <f t="shared" si="222"/>
        <v>-3.4106051316484809E-12</v>
      </c>
      <c r="AI297" s="87">
        <f t="shared" si="222"/>
        <v>-2.0463630789890885E-12</v>
      </c>
    </row>
    <row r="298" spans="1:35" ht="14.25" customHeight="1" x14ac:dyDescent="0.35">
      <c r="A298" s="79"/>
      <c r="B298" s="79"/>
      <c r="C298" s="79" t="s">
        <v>267</v>
      </c>
      <c r="D298" s="79" t="s">
        <v>268</v>
      </c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  <c r="AI298" s="79"/>
    </row>
    <row r="299" spans="1:35" ht="14.25" customHeight="1" x14ac:dyDescent="0.35">
      <c r="A299" s="79"/>
      <c r="B299" s="79"/>
      <c r="C299" s="79"/>
      <c r="D299" s="79" t="s">
        <v>269</v>
      </c>
      <c r="E299" s="79" t="s">
        <v>270</v>
      </c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  <c r="AD299" s="79"/>
      <c r="AE299" s="79"/>
      <c r="AF299" s="79"/>
      <c r="AG299" s="79"/>
      <c r="AH299" s="79"/>
      <c r="AI299" s="79"/>
    </row>
    <row r="300" spans="1:35" ht="14.25" customHeight="1" x14ac:dyDescent="0.35">
      <c r="A300" s="79"/>
      <c r="B300" s="79"/>
      <c r="C300" s="79"/>
      <c r="D300" s="79" t="s">
        <v>271</v>
      </c>
      <c r="E300" s="79" t="s">
        <v>272</v>
      </c>
      <c r="F300" s="79"/>
      <c r="G300" s="79"/>
      <c r="H300" s="79"/>
      <c r="I300" s="79"/>
      <c r="J300" s="79"/>
      <c r="K300" s="79"/>
      <c r="L300" s="84"/>
      <c r="M300" s="84">
        <f t="shared" ref="M300:AI300" si="223">SUM(L212:L216)</f>
        <v>53474.079822109998</v>
      </c>
      <c r="N300" s="84">
        <f t="shared" si="223"/>
        <v>53916.017896840014</v>
      </c>
      <c r="O300" s="84">
        <f t="shared" si="223"/>
        <v>53983.219714150007</v>
      </c>
      <c r="P300" s="84">
        <f t="shared" si="223"/>
        <v>53984.437814150006</v>
      </c>
      <c r="Q300" s="84">
        <f t="shared" si="223"/>
        <v>54029.452137150009</v>
      </c>
      <c r="R300" s="84">
        <f t="shared" si="223"/>
        <v>54040.517430150008</v>
      </c>
      <c r="S300" s="84">
        <f t="shared" si="223"/>
        <v>54079.553465150006</v>
      </c>
      <c r="T300" s="84">
        <f t="shared" si="223"/>
        <v>54237.546304069008</v>
      </c>
      <c r="U300" s="84">
        <f t="shared" si="223"/>
        <v>54237.546304069008</v>
      </c>
      <c r="V300" s="84">
        <f t="shared" si="223"/>
        <v>54237.546304069008</v>
      </c>
      <c r="W300" s="84">
        <f t="shared" si="223"/>
        <v>54237.546304069008</v>
      </c>
      <c r="X300" s="84">
        <f t="shared" si="223"/>
        <v>54237.546304069008</v>
      </c>
      <c r="Y300" s="84">
        <f t="shared" si="223"/>
        <v>54237.546304069008</v>
      </c>
      <c r="Z300" s="84">
        <f t="shared" si="223"/>
        <v>54237.546304069008</v>
      </c>
      <c r="AA300" s="84">
        <f t="shared" si="223"/>
        <v>54237.546304069008</v>
      </c>
      <c r="AB300" s="84">
        <f t="shared" si="223"/>
        <v>54237.546304069008</v>
      </c>
      <c r="AC300" s="84">
        <f t="shared" si="223"/>
        <v>54237.546304069008</v>
      </c>
      <c r="AD300" s="84">
        <f t="shared" si="223"/>
        <v>54237.546304069008</v>
      </c>
      <c r="AE300" s="84">
        <f t="shared" si="223"/>
        <v>54237.546304069008</v>
      </c>
      <c r="AF300" s="84">
        <f t="shared" si="223"/>
        <v>54237.546304069008</v>
      </c>
      <c r="AG300" s="84">
        <f t="shared" si="223"/>
        <v>54237.546304069008</v>
      </c>
      <c r="AH300" s="84">
        <f t="shared" si="223"/>
        <v>54237.546304069008</v>
      </c>
      <c r="AI300" s="84">
        <f t="shared" si="223"/>
        <v>54237.546304069008</v>
      </c>
    </row>
    <row r="301" spans="1:35" ht="14.25" customHeight="1" x14ac:dyDescent="0.35">
      <c r="A301" s="79"/>
      <c r="B301" s="79"/>
      <c r="C301" s="79"/>
      <c r="D301" s="79" t="s">
        <v>273</v>
      </c>
      <c r="E301" s="79" t="s">
        <v>274</v>
      </c>
      <c r="F301" s="79"/>
      <c r="G301" s="79"/>
      <c r="H301" s="79"/>
      <c r="I301" s="79"/>
      <c r="J301" s="79"/>
      <c r="K301" s="79"/>
      <c r="L301" s="86">
        <f t="shared" ref="L301:AI301" si="224">SUM(L212:L216)</f>
        <v>53474.079822109998</v>
      </c>
      <c r="M301" s="86">
        <f t="shared" si="224"/>
        <v>53916.017896840014</v>
      </c>
      <c r="N301" s="86">
        <f t="shared" si="224"/>
        <v>53983.219714150007</v>
      </c>
      <c r="O301" s="86">
        <f t="shared" si="224"/>
        <v>53984.437814150006</v>
      </c>
      <c r="P301" s="86">
        <f t="shared" si="224"/>
        <v>54029.452137150009</v>
      </c>
      <c r="Q301" s="86">
        <f t="shared" si="224"/>
        <v>54040.517430150008</v>
      </c>
      <c r="R301" s="86">
        <f t="shared" si="224"/>
        <v>54079.553465150006</v>
      </c>
      <c r="S301" s="86">
        <f t="shared" si="224"/>
        <v>54237.546304069008</v>
      </c>
      <c r="T301" s="86">
        <f t="shared" si="224"/>
        <v>54237.546304069008</v>
      </c>
      <c r="U301" s="86">
        <f t="shared" si="224"/>
        <v>54237.546304069008</v>
      </c>
      <c r="V301" s="86">
        <f t="shared" si="224"/>
        <v>54237.546304069008</v>
      </c>
      <c r="W301" s="86">
        <f t="shared" si="224"/>
        <v>54237.546304069008</v>
      </c>
      <c r="X301" s="86">
        <f t="shared" si="224"/>
        <v>54237.546304069008</v>
      </c>
      <c r="Y301" s="86">
        <f t="shared" si="224"/>
        <v>54237.546304069008</v>
      </c>
      <c r="Z301" s="86">
        <f t="shared" si="224"/>
        <v>54237.546304069008</v>
      </c>
      <c r="AA301" s="86">
        <f t="shared" si="224"/>
        <v>54237.546304069008</v>
      </c>
      <c r="AB301" s="86">
        <f t="shared" si="224"/>
        <v>54237.546304069008</v>
      </c>
      <c r="AC301" s="86">
        <f t="shared" si="224"/>
        <v>54237.546304069008</v>
      </c>
      <c r="AD301" s="86">
        <f t="shared" si="224"/>
        <v>54237.546304069008</v>
      </c>
      <c r="AE301" s="86">
        <f t="shared" si="224"/>
        <v>54237.546304069008</v>
      </c>
      <c r="AF301" s="86">
        <f t="shared" si="224"/>
        <v>54237.546304069008</v>
      </c>
      <c r="AG301" s="86">
        <f t="shared" si="224"/>
        <v>54237.546304069008</v>
      </c>
      <c r="AH301" s="86">
        <f t="shared" si="224"/>
        <v>54237.546304069008</v>
      </c>
      <c r="AI301" s="86">
        <f t="shared" si="224"/>
        <v>54237.546304069008</v>
      </c>
    </row>
    <row r="302" spans="1:35" ht="14.25" customHeight="1" x14ac:dyDescent="0.35">
      <c r="A302" s="79"/>
      <c r="B302" s="79"/>
      <c r="C302" s="79"/>
      <c r="D302" s="79" t="s">
        <v>275</v>
      </c>
      <c r="E302" s="79" t="s">
        <v>276</v>
      </c>
      <c r="F302" s="79"/>
      <c r="G302" s="79"/>
      <c r="H302" s="79"/>
      <c r="I302" s="79"/>
      <c r="J302" s="79"/>
      <c r="K302" s="79"/>
      <c r="L302" s="84"/>
      <c r="M302" s="84">
        <f t="shared" ref="M302:AI302" si="225">M301-M300</f>
        <v>441.93807473001652</v>
      </c>
      <c r="N302" s="84">
        <f t="shared" si="225"/>
        <v>67.201817309993203</v>
      </c>
      <c r="O302" s="84">
        <f t="shared" si="225"/>
        <v>1.2180999999982305</v>
      </c>
      <c r="P302" s="84">
        <f t="shared" si="225"/>
        <v>45.01432300000306</v>
      </c>
      <c r="Q302" s="84">
        <f t="shared" si="225"/>
        <v>11.065292999999656</v>
      </c>
      <c r="R302" s="84">
        <f t="shared" si="225"/>
        <v>39.036034999997355</v>
      </c>
      <c r="S302" s="84">
        <f t="shared" si="225"/>
        <v>157.99283891900268</v>
      </c>
      <c r="T302" s="84">
        <f t="shared" si="225"/>
        <v>0</v>
      </c>
      <c r="U302" s="84">
        <f t="shared" si="225"/>
        <v>0</v>
      </c>
      <c r="V302" s="84">
        <f t="shared" si="225"/>
        <v>0</v>
      </c>
      <c r="W302" s="84">
        <f t="shared" si="225"/>
        <v>0</v>
      </c>
      <c r="X302" s="84">
        <f t="shared" si="225"/>
        <v>0</v>
      </c>
      <c r="Y302" s="84">
        <f t="shared" si="225"/>
        <v>0</v>
      </c>
      <c r="Z302" s="84">
        <f t="shared" si="225"/>
        <v>0</v>
      </c>
      <c r="AA302" s="84">
        <f t="shared" si="225"/>
        <v>0</v>
      </c>
      <c r="AB302" s="84">
        <f t="shared" si="225"/>
        <v>0</v>
      </c>
      <c r="AC302" s="84">
        <f t="shared" si="225"/>
        <v>0</v>
      </c>
      <c r="AD302" s="84">
        <f t="shared" si="225"/>
        <v>0</v>
      </c>
      <c r="AE302" s="84">
        <f t="shared" si="225"/>
        <v>0</v>
      </c>
      <c r="AF302" s="84">
        <f t="shared" si="225"/>
        <v>0</v>
      </c>
      <c r="AG302" s="84">
        <f t="shared" si="225"/>
        <v>0</v>
      </c>
      <c r="AH302" s="84">
        <f t="shared" si="225"/>
        <v>0</v>
      </c>
      <c r="AI302" s="84">
        <f t="shared" si="225"/>
        <v>0</v>
      </c>
    </row>
    <row r="303" spans="1:35" ht="14.25" customHeight="1" x14ac:dyDescent="0.35">
      <c r="A303" s="79"/>
      <c r="B303" s="79"/>
      <c r="C303" s="79"/>
      <c r="D303" s="79" t="s">
        <v>277</v>
      </c>
      <c r="E303" s="79" t="s">
        <v>278</v>
      </c>
      <c r="F303" s="79"/>
      <c r="G303" s="79"/>
      <c r="H303" s="79"/>
      <c r="I303" s="79"/>
      <c r="J303" s="79"/>
      <c r="K303" s="79"/>
      <c r="L303" s="84">
        <f t="shared" ref="L303:AI303" si="226">-L167</f>
        <v>0</v>
      </c>
      <c r="M303" s="84">
        <f t="shared" si="226"/>
        <v>441.93807473000629</v>
      </c>
      <c r="N303" s="84">
        <f t="shared" si="226"/>
        <v>67.201817310004117</v>
      </c>
      <c r="O303" s="84">
        <f t="shared" si="226"/>
        <v>1.2181000000000495</v>
      </c>
      <c r="P303" s="84">
        <f t="shared" si="226"/>
        <v>45.014323000000559</v>
      </c>
      <c r="Q303" s="84">
        <f t="shared" si="226"/>
        <v>11.065292999991925</v>
      </c>
      <c r="R303" s="84">
        <f t="shared" si="226"/>
        <v>39.036034999999856</v>
      </c>
      <c r="S303" s="84">
        <f t="shared" si="226"/>
        <v>157.99283891900404</v>
      </c>
      <c r="T303" s="84">
        <f t="shared" si="226"/>
        <v>0</v>
      </c>
      <c r="U303" s="84">
        <f t="shared" si="226"/>
        <v>0</v>
      </c>
      <c r="V303" s="84">
        <f t="shared" si="226"/>
        <v>0</v>
      </c>
      <c r="W303" s="84">
        <f t="shared" si="226"/>
        <v>0</v>
      </c>
      <c r="X303" s="84">
        <f t="shared" si="226"/>
        <v>0</v>
      </c>
      <c r="Y303" s="84">
        <f t="shared" si="226"/>
        <v>0</v>
      </c>
      <c r="Z303" s="84">
        <f t="shared" si="226"/>
        <v>0</v>
      </c>
      <c r="AA303" s="84">
        <f t="shared" si="226"/>
        <v>0</v>
      </c>
      <c r="AB303" s="84">
        <f t="shared" si="226"/>
        <v>0</v>
      </c>
      <c r="AC303" s="84">
        <f t="shared" si="226"/>
        <v>0</v>
      </c>
      <c r="AD303" s="84">
        <f t="shared" si="226"/>
        <v>0</v>
      </c>
      <c r="AE303" s="84">
        <f t="shared" si="226"/>
        <v>0</v>
      </c>
      <c r="AF303" s="84">
        <f t="shared" si="226"/>
        <v>0</v>
      </c>
      <c r="AG303" s="84">
        <f t="shared" si="226"/>
        <v>0</v>
      </c>
      <c r="AH303" s="84">
        <f t="shared" si="226"/>
        <v>0</v>
      </c>
      <c r="AI303" s="84">
        <f t="shared" si="226"/>
        <v>0</v>
      </c>
    </row>
    <row r="304" spans="1:35" ht="14.25" customHeight="1" x14ac:dyDescent="0.35">
      <c r="A304" s="79"/>
      <c r="B304" s="79"/>
      <c r="C304" s="79"/>
      <c r="D304" s="79" t="s">
        <v>279</v>
      </c>
      <c r="E304" s="79" t="s">
        <v>280</v>
      </c>
      <c r="F304" s="79"/>
      <c r="G304" s="79"/>
      <c r="H304" s="79"/>
      <c r="I304" s="79"/>
      <c r="J304" s="79"/>
      <c r="K304" s="79"/>
      <c r="L304" s="84">
        <f>0</f>
        <v>0</v>
      </c>
      <c r="M304" s="84">
        <f>0</f>
        <v>0</v>
      </c>
      <c r="N304" s="84">
        <f>0</f>
        <v>0</v>
      </c>
      <c r="O304" s="84">
        <f>0</f>
        <v>0</v>
      </c>
      <c r="P304" s="84">
        <f>0</f>
        <v>0</v>
      </c>
      <c r="Q304" s="84">
        <f>0</f>
        <v>0</v>
      </c>
      <c r="R304" s="84">
        <f>0</f>
        <v>0</v>
      </c>
      <c r="S304" s="84">
        <f>0</f>
        <v>0</v>
      </c>
      <c r="T304" s="84">
        <f>0</f>
        <v>0</v>
      </c>
      <c r="U304" s="84">
        <f>0</f>
        <v>0</v>
      </c>
      <c r="V304" s="84">
        <f>0</f>
        <v>0</v>
      </c>
      <c r="W304" s="84">
        <f>0</f>
        <v>0</v>
      </c>
      <c r="X304" s="84">
        <f>0</f>
        <v>0</v>
      </c>
      <c r="Y304" s="84">
        <f>0</f>
        <v>0</v>
      </c>
      <c r="Z304" s="84">
        <f>0</f>
        <v>0</v>
      </c>
      <c r="AA304" s="84">
        <f>0</f>
        <v>0</v>
      </c>
      <c r="AB304" s="84">
        <f>0</f>
        <v>0</v>
      </c>
      <c r="AC304" s="84">
        <f>0</f>
        <v>0</v>
      </c>
      <c r="AD304" s="84">
        <f>0</f>
        <v>0</v>
      </c>
      <c r="AE304" s="84">
        <f>0</f>
        <v>0</v>
      </c>
      <c r="AF304" s="84">
        <f>0</f>
        <v>0</v>
      </c>
      <c r="AG304" s="84">
        <f>0</f>
        <v>0</v>
      </c>
      <c r="AH304" s="84">
        <f>0</f>
        <v>0</v>
      </c>
      <c r="AI304" s="84">
        <f>0</f>
        <v>0</v>
      </c>
    </row>
    <row r="305" spans="1:35" ht="14.25" customHeight="1" x14ac:dyDescent="0.35">
      <c r="A305" s="79"/>
      <c r="B305" s="79"/>
      <c r="C305" s="79"/>
      <c r="D305" s="79" t="s">
        <v>281</v>
      </c>
      <c r="E305" s="79" t="s">
        <v>282</v>
      </c>
      <c r="F305" s="79"/>
      <c r="G305" s="79"/>
      <c r="H305" s="79"/>
      <c r="I305" s="79"/>
      <c r="J305" s="79"/>
      <c r="K305" s="79"/>
      <c r="L305" s="84">
        <f t="shared" ref="L305:AI305" si="227">L324</f>
        <v>0</v>
      </c>
      <c r="M305" s="84">
        <f t="shared" si="227"/>
        <v>0</v>
      </c>
      <c r="N305" s="84">
        <f t="shared" si="227"/>
        <v>0</v>
      </c>
      <c r="O305" s="84">
        <f t="shared" si="227"/>
        <v>0</v>
      </c>
      <c r="P305" s="84">
        <f t="shared" si="227"/>
        <v>0</v>
      </c>
      <c r="Q305" s="84">
        <f t="shared" si="227"/>
        <v>0</v>
      </c>
      <c r="R305" s="84">
        <f t="shared" si="227"/>
        <v>0</v>
      </c>
      <c r="S305" s="84">
        <f t="shared" si="227"/>
        <v>0</v>
      </c>
      <c r="T305" s="84">
        <f t="shared" si="227"/>
        <v>0</v>
      </c>
      <c r="U305" s="84">
        <f t="shared" si="227"/>
        <v>0</v>
      </c>
      <c r="V305" s="84">
        <f t="shared" si="227"/>
        <v>0</v>
      </c>
      <c r="W305" s="84">
        <f t="shared" si="227"/>
        <v>0</v>
      </c>
      <c r="X305" s="84">
        <f t="shared" si="227"/>
        <v>0</v>
      </c>
      <c r="Y305" s="84">
        <f t="shared" si="227"/>
        <v>0</v>
      </c>
      <c r="Z305" s="84">
        <f t="shared" si="227"/>
        <v>0</v>
      </c>
      <c r="AA305" s="84">
        <f t="shared" si="227"/>
        <v>0</v>
      </c>
      <c r="AB305" s="84">
        <f t="shared" si="227"/>
        <v>0</v>
      </c>
      <c r="AC305" s="84">
        <f t="shared" si="227"/>
        <v>0</v>
      </c>
      <c r="AD305" s="84">
        <f t="shared" si="227"/>
        <v>0</v>
      </c>
      <c r="AE305" s="84">
        <f t="shared" si="227"/>
        <v>0</v>
      </c>
      <c r="AF305" s="84">
        <f t="shared" si="227"/>
        <v>0</v>
      </c>
      <c r="AG305" s="84">
        <f t="shared" si="227"/>
        <v>0</v>
      </c>
      <c r="AH305" s="84">
        <f t="shared" si="227"/>
        <v>0</v>
      </c>
      <c r="AI305" s="84">
        <f t="shared" si="227"/>
        <v>0</v>
      </c>
    </row>
    <row r="306" spans="1:35" ht="14.25" customHeight="1" x14ac:dyDescent="0.35">
      <c r="A306" s="79"/>
      <c r="B306" s="79"/>
      <c r="C306" s="79"/>
      <c r="D306" s="79" t="s">
        <v>283</v>
      </c>
      <c r="E306" s="79" t="s">
        <v>284</v>
      </c>
      <c r="F306" s="79"/>
      <c r="G306" s="79"/>
      <c r="H306" s="79"/>
      <c r="I306" s="79"/>
      <c r="J306" s="79"/>
      <c r="K306" s="79"/>
      <c r="L306" s="87"/>
      <c r="M306" s="87">
        <f t="shared" ref="M306:AI306" si="228">M302-M303-M305</f>
        <v>1.0231815394945443E-11</v>
      </c>
      <c r="N306" s="87">
        <f t="shared" si="228"/>
        <v>-1.0913936421275139E-11</v>
      </c>
      <c r="O306" s="87">
        <f t="shared" si="228"/>
        <v>-1.8189894035458565E-12</v>
      </c>
      <c r="P306" s="87">
        <f t="shared" si="228"/>
        <v>2.5011104298755527E-12</v>
      </c>
      <c r="Q306" s="87">
        <f t="shared" si="228"/>
        <v>7.73070496506989E-12</v>
      </c>
      <c r="R306" s="87">
        <f t="shared" si="228"/>
        <v>-2.5011104298755527E-12</v>
      </c>
      <c r="S306" s="87">
        <f t="shared" si="228"/>
        <v>-1.3642420526593924E-12</v>
      </c>
      <c r="T306" s="87">
        <f t="shared" si="228"/>
        <v>0</v>
      </c>
      <c r="U306" s="87">
        <f t="shared" si="228"/>
        <v>0</v>
      </c>
      <c r="V306" s="87">
        <f t="shared" si="228"/>
        <v>0</v>
      </c>
      <c r="W306" s="87">
        <f t="shared" si="228"/>
        <v>0</v>
      </c>
      <c r="X306" s="87">
        <f t="shared" si="228"/>
        <v>0</v>
      </c>
      <c r="Y306" s="87">
        <f t="shared" si="228"/>
        <v>0</v>
      </c>
      <c r="Z306" s="87">
        <f t="shared" si="228"/>
        <v>0</v>
      </c>
      <c r="AA306" s="87">
        <f t="shared" si="228"/>
        <v>0</v>
      </c>
      <c r="AB306" s="87">
        <f t="shared" si="228"/>
        <v>0</v>
      </c>
      <c r="AC306" s="87">
        <f t="shared" si="228"/>
        <v>0</v>
      </c>
      <c r="AD306" s="87">
        <f t="shared" si="228"/>
        <v>0</v>
      </c>
      <c r="AE306" s="87">
        <f t="shared" si="228"/>
        <v>0</v>
      </c>
      <c r="AF306" s="87">
        <f t="shared" si="228"/>
        <v>0</v>
      </c>
      <c r="AG306" s="87">
        <f t="shared" si="228"/>
        <v>0</v>
      </c>
      <c r="AH306" s="87">
        <f t="shared" si="228"/>
        <v>0</v>
      </c>
      <c r="AI306" s="87">
        <f t="shared" si="228"/>
        <v>0</v>
      </c>
    </row>
    <row r="307" spans="1:35" ht="14.25" customHeight="1" x14ac:dyDescent="0.35">
      <c r="A307" s="79"/>
      <c r="B307" s="79"/>
      <c r="C307" s="79"/>
      <c r="D307" s="79" t="s">
        <v>285</v>
      </c>
      <c r="E307" s="79" t="s">
        <v>286</v>
      </c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  <c r="AD307" s="79"/>
      <c r="AE307" s="79"/>
      <c r="AF307" s="79"/>
      <c r="AG307" s="79"/>
      <c r="AH307" s="79"/>
      <c r="AI307" s="79"/>
    </row>
    <row r="308" spans="1:35" ht="14.25" customHeight="1" x14ac:dyDescent="0.35">
      <c r="A308" s="79"/>
      <c r="B308" s="79"/>
      <c r="C308" s="79"/>
      <c r="D308" s="79"/>
      <c r="E308" s="88" t="s">
        <v>287</v>
      </c>
      <c r="F308" s="88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  <c r="AD308" s="79"/>
      <c r="AE308" s="79"/>
      <c r="AF308" s="79"/>
      <c r="AG308" s="79"/>
      <c r="AH308" s="79"/>
      <c r="AI308" s="79"/>
    </row>
    <row r="309" spans="1:35" ht="14.25" customHeight="1" x14ac:dyDescent="0.35">
      <c r="A309" s="79"/>
      <c r="B309" s="79"/>
      <c r="C309" s="79"/>
      <c r="D309" s="79" t="s">
        <v>288</v>
      </c>
      <c r="E309" s="79" t="s">
        <v>289</v>
      </c>
      <c r="F309" s="79"/>
      <c r="G309" s="79"/>
      <c r="H309" s="79"/>
      <c r="I309" s="79"/>
      <c r="J309" s="79"/>
      <c r="K309" s="79"/>
      <c r="L309" s="84"/>
      <c r="M309" s="84">
        <f t="shared" ref="M309:AI309" si="229">SUM(L218:L222)</f>
        <v>-32430.936875139974</v>
      </c>
      <c r="N309" s="84">
        <f t="shared" si="229"/>
        <v>-32743.850160019974</v>
      </c>
      <c r="O309" s="84">
        <f t="shared" si="229"/>
        <v>-33049.832254329973</v>
      </c>
      <c r="P309" s="84">
        <f t="shared" si="229"/>
        <v>-33352.903184069968</v>
      </c>
      <c r="Q309" s="84">
        <f t="shared" si="229"/>
        <v>-33048.254699149969</v>
      </c>
      <c r="R309" s="84">
        <f t="shared" si="229"/>
        <v>-33358.698325489968</v>
      </c>
      <c r="S309" s="84">
        <f t="shared" si="229"/>
        <v>-33669.772378029971</v>
      </c>
      <c r="T309" s="84">
        <f t="shared" si="229"/>
        <v>-33982.257259039972</v>
      </c>
      <c r="U309" s="84">
        <f t="shared" si="229"/>
        <v>-34294.494224448725</v>
      </c>
      <c r="V309" s="84">
        <f t="shared" si="229"/>
        <v>-34606.453794027468</v>
      </c>
      <c r="W309" s="84">
        <f t="shared" si="229"/>
        <v>-34915.825702623726</v>
      </c>
      <c r="X309" s="84">
        <f t="shared" si="229"/>
        <v>-35222.670329115805</v>
      </c>
      <c r="Y309" s="84">
        <f t="shared" si="229"/>
        <v>-35528.396336982885</v>
      </c>
      <c r="Z309" s="84">
        <f t="shared" si="229"/>
        <v>-35833.66333443331</v>
      </c>
      <c r="AA309" s="84">
        <f t="shared" si="229"/>
        <v>-36138.265420737895</v>
      </c>
      <c r="AB309" s="84">
        <f t="shared" si="229"/>
        <v>-36434.524446625808</v>
      </c>
      <c r="AC309" s="84">
        <f t="shared" si="229"/>
        <v>-36730.202132347062</v>
      </c>
      <c r="AD309" s="84">
        <f t="shared" si="229"/>
        <v>-37025.16019306831</v>
      </c>
      <c r="AE309" s="84">
        <f t="shared" si="229"/>
        <v>-37319.699650997893</v>
      </c>
      <c r="AF309" s="84">
        <f t="shared" si="229"/>
        <v>-37613.174525594142</v>
      </c>
      <c r="AG309" s="84">
        <f t="shared" si="229"/>
        <v>-37906.13722935706</v>
      </c>
      <c r="AH309" s="84">
        <f t="shared" si="229"/>
        <v>-38197.427272640809</v>
      </c>
      <c r="AI309" s="84">
        <f t="shared" si="229"/>
        <v>-38488.514932299979</v>
      </c>
    </row>
    <row r="310" spans="1:35" ht="14.25" customHeight="1" x14ac:dyDescent="0.35">
      <c r="A310" s="79"/>
      <c r="B310" s="79"/>
      <c r="C310" s="79"/>
      <c r="D310" s="79" t="s">
        <v>290</v>
      </c>
      <c r="E310" s="79" t="s">
        <v>291</v>
      </c>
      <c r="F310" s="79"/>
      <c r="G310" s="79"/>
      <c r="H310" s="79"/>
      <c r="I310" s="79"/>
      <c r="J310" s="79"/>
      <c r="K310" s="79"/>
      <c r="L310" s="86">
        <f t="shared" ref="L310:AI310" si="230">SUM(L218:L222)</f>
        <v>-32430.936875139974</v>
      </c>
      <c r="M310" s="86">
        <f t="shared" si="230"/>
        <v>-32743.850160019974</v>
      </c>
      <c r="N310" s="86">
        <f t="shared" si="230"/>
        <v>-33049.832254329973</v>
      </c>
      <c r="O310" s="86">
        <f t="shared" si="230"/>
        <v>-33352.903184069968</v>
      </c>
      <c r="P310" s="86">
        <f t="shared" si="230"/>
        <v>-33048.254699149969</v>
      </c>
      <c r="Q310" s="86">
        <f t="shared" si="230"/>
        <v>-33358.698325489968</v>
      </c>
      <c r="R310" s="86">
        <f t="shared" si="230"/>
        <v>-33669.772378029971</v>
      </c>
      <c r="S310" s="86">
        <f t="shared" si="230"/>
        <v>-33982.257259039972</v>
      </c>
      <c r="T310" s="86">
        <f t="shared" si="230"/>
        <v>-34294.494224448725</v>
      </c>
      <c r="U310" s="86">
        <f t="shared" si="230"/>
        <v>-34606.453794027468</v>
      </c>
      <c r="V310" s="86">
        <f t="shared" si="230"/>
        <v>-34915.825702623726</v>
      </c>
      <c r="W310" s="86">
        <f t="shared" si="230"/>
        <v>-35222.670329115805</v>
      </c>
      <c r="X310" s="86">
        <f t="shared" si="230"/>
        <v>-35528.396336982885</v>
      </c>
      <c r="Y310" s="86">
        <f t="shared" si="230"/>
        <v>-35833.66333443331</v>
      </c>
      <c r="Z310" s="86">
        <f t="shared" si="230"/>
        <v>-36138.265420737895</v>
      </c>
      <c r="AA310" s="86">
        <f t="shared" si="230"/>
        <v>-36434.524446625808</v>
      </c>
      <c r="AB310" s="86">
        <f t="shared" si="230"/>
        <v>-36730.202132347062</v>
      </c>
      <c r="AC310" s="86">
        <f t="shared" si="230"/>
        <v>-37025.16019306831</v>
      </c>
      <c r="AD310" s="86">
        <f t="shared" si="230"/>
        <v>-37319.699650997893</v>
      </c>
      <c r="AE310" s="86">
        <f t="shared" si="230"/>
        <v>-37613.174525594142</v>
      </c>
      <c r="AF310" s="86">
        <f t="shared" si="230"/>
        <v>-37906.13722935706</v>
      </c>
      <c r="AG310" s="86">
        <f t="shared" si="230"/>
        <v>-38197.427272640809</v>
      </c>
      <c r="AH310" s="86">
        <f t="shared" si="230"/>
        <v>-38488.514932299979</v>
      </c>
      <c r="AI310" s="86">
        <f t="shared" si="230"/>
        <v>-38779.066133625813</v>
      </c>
    </row>
    <row r="311" spans="1:35" ht="14.25" customHeight="1" x14ac:dyDescent="0.35">
      <c r="A311" s="79"/>
      <c r="B311" s="79"/>
      <c r="C311" s="79"/>
      <c r="D311" s="79" t="s">
        <v>292</v>
      </c>
      <c r="E311" s="79" t="s">
        <v>293</v>
      </c>
      <c r="F311" s="79"/>
      <c r="G311" s="79"/>
      <c r="H311" s="79"/>
      <c r="I311" s="79"/>
      <c r="J311" s="79"/>
      <c r="K311" s="79"/>
      <c r="L311" s="84"/>
      <c r="M311" s="84">
        <f t="shared" ref="M311:AI311" si="231">M309-M310</f>
        <v>312.91328487999999</v>
      </c>
      <c r="N311" s="84">
        <f t="shared" si="231"/>
        <v>305.9820943099985</v>
      </c>
      <c r="O311" s="84">
        <f t="shared" si="231"/>
        <v>303.07092973999534</v>
      </c>
      <c r="P311" s="84">
        <f t="shared" si="231"/>
        <v>-304.64848491999874</v>
      </c>
      <c r="Q311" s="84">
        <f t="shared" si="231"/>
        <v>310.44362633999845</v>
      </c>
      <c r="R311" s="84">
        <f t="shared" si="231"/>
        <v>311.07405254000332</v>
      </c>
      <c r="S311" s="84">
        <f t="shared" si="231"/>
        <v>312.48488101000112</v>
      </c>
      <c r="T311" s="84">
        <f t="shared" si="231"/>
        <v>312.23696540875244</v>
      </c>
      <c r="U311" s="84">
        <f t="shared" si="231"/>
        <v>311.95956957874296</v>
      </c>
      <c r="V311" s="84">
        <f t="shared" si="231"/>
        <v>309.37190859625844</v>
      </c>
      <c r="W311" s="84">
        <f t="shared" si="231"/>
        <v>306.84462649207853</v>
      </c>
      <c r="X311" s="84">
        <f t="shared" si="231"/>
        <v>305.72600786708063</v>
      </c>
      <c r="Y311" s="84">
        <f t="shared" si="231"/>
        <v>305.26699745042424</v>
      </c>
      <c r="Z311" s="84">
        <f t="shared" si="231"/>
        <v>304.6020863045851</v>
      </c>
      <c r="AA311" s="84">
        <f t="shared" si="231"/>
        <v>296.25902588791359</v>
      </c>
      <c r="AB311" s="84">
        <f t="shared" si="231"/>
        <v>295.67768572125351</v>
      </c>
      <c r="AC311" s="84">
        <f t="shared" si="231"/>
        <v>294.95806072124833</v>
      </c>
      <c r="AD311" s="84">
        <f t="shared" si="231"/>
        <v>294.53945792958257</v>
      </c>
      <c r="AE311" s="84">
        <f t="shared" si="231"/>
        <v>293.47487459624972</v>
      </c>
      <c r="AF311" s="84">
        <f t="shared" si="231"/>
        <v>292.96270376291795</v>
      </c>
      <c r="AG311" s="84">
        <f t="shared" si="231"/>
        <v>291.29004328374867</v>
      </c>
      <c r="AH311" s="84">
        <f t="shared" si="231"/>
        <v>291.08765965916973</v>
      </c>
      <c r="AI311" s="84">
        <f t="shared" si="231"/>
        <v>290.55120132583397</v>
      </c>
    </row>
    <row r="312" spans="1:35" ht="14.25" customHeight="1" x14ac:dyDescent="0.35">
      <c r="A312" s="79"/>
      <c r="B312" s="79"/>
      <c r="C312" s="79"/>
      <c r="D312" s="79" t="s">
        <v>294</v>
      </c>
      <c r="E312" s="79" t="s">
        <v>284</v>
      </c>
      <c r="F312" s="79" t="s">
        <v>295</v>
      </c>
      <c r="G312" s="79"/>
      <c r="H312" s="79"/>
      <c r="I312" s="79"/>
      <c r="J312" s="79"/>
      <c r="K312" s="79"/>
      <c r="L312" s="87">
        <f t="shared" ref="L312:AI312" si="232">L311+L82+L109</f>
        <v>-308.85892916</v>
      </c>
      <c r="M312" s="87">
        <f t="shared" si="232"/>
        <v>0</v>
      </c>
      <c r="N312" s="87">
        <f t="shared" si="232"/>
        <v>-1.5489831639570184E-12</v>
      </c>
      <c r="O312" s="87">
        <f t="shared" si="232"/>
        <v>-4.6611603465862572E-12</v>
      </c>
      <c r="P312" s="87">
        <f t="shared" si="232"/>
        <v>-615.00000099999875</v>
      </c>
      <c r="Q312" s="87">
        <f t="shared" si="232"/>
        <v>-1.5489831639570184E-12</v>
      </c>
      <c r="R312" s="87">
        <f t="shared" si="232"/>
        <v>3.3253400033572689E-12</v>
      </c>
      <c r="S312" s="87">
        <f t="shared" si="232"/>
        <v>1.1226575225009583E-12</v>
      </c>
      <c r="T312" s="87">
        <f t="shared" si="232"/>
        <v>2.4016344468691386E-12</v>
      </c>
      <c r="U312" s="87">
        <f t="shared" si="232"/>
        <v>-7.0201622293097898E-12</v>
      </c>
      <c r="V312" s="87">
        <f t="shared" si="232"/>
        <v>8.3844042819691822E-12</v>
      </c>
      <c r="W312" s="87">
        <f t="shared" si="232"/>
        <v>-4.7748471843078732E-12</v>
      </c>
      <c r="X312" s="87">
        <f t="shared" si="232"/>
        <v>-2.7000623958883807E-12</v>
      </c>
      <c r="Y312" s="87">
        <f t="shared" si="232"/>
        <v>7.560174708487466E-12</v>
      </c>
      <c r="Z312" s="87">
        <f t="shared" si="232"/>
        <v>1.7763568394002505E-12</v>
      </c>
      <c r="AA312" s="87">
        <f t="shared" si="232"/>
        <v>-3.0695446184836328E-12</v>
      </c>
      <c r="AB312" s="87">
        <f t="shared" si="232"/>
        <v>3.5527136788005009E-12</v>
      </c>
      <c r="AC312" s="87">
        <f t="shared" si="232"/>
        <v>-1.7053025658242404E-12</v>
      </c>
      <c r="AD312" s="87">
        <f t="shared" si="232"/>
        <v>-7.3896444519050419E-13</v>
      </c>
      <c r="AE312" s="87">
        <f t="shared" si="232"/>
        <v>-2.5579538487363607E-13</v>
      </c>
      <c r="AF312" s="87">
        <f t="shared" si="232"/>
        <v>1.2789769243681803E-12</v>
      </c>
      <c r="AG312" s="87">
        <f t="shared" si="232"/>
        <v>-1.3216094885137863E-12</v>
      </c>
      <c r="AH312" s="87">
        <f t="shared" si="232"/>
        <v>3.1121771826292388E-12</v>
      </c>
      <c r="AI312" s="87">
        <f t="shared" si="232"/>
        <v>6.9633188104489818E-13</v>
      </c>
    </row>
    <row r="313" spans="1:35" ht="14.25" customHeight="1" x14ac:dyDescent="0.35">
      <c r="A313" s="79"/>
      <c r="B313" s="79"/>
      <c r="C313" s="79"/>
      <c r="D313" s="79"/>
      <c r="E313" s="88" t="s">
        <v>296</v>
      </c>
      <c r="F313" s="88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  <c r="AD313" s="79"/>
      <c r="AE313" s="79"/>
      <c r="AF313" s="79"/>
      <c r="AG313" s="79"/>
      <c r="AH313" s="79"/>
      <c r="AI313" s="79"/>
    </row>
    <row r="314" spans="1:35" ht="14.25" customHeight="1" x14ac:dyDescent="0.35">
      <c r="A314" s="79"/>
      <c r="B314" s="79"/>
      <c r="C314" s="79"/>
      <c r="D314" s="79"/>
      <c r="E314" s="79" t="s">
        <v>272</v>
      </c>
      <c r="F314" s="79"/>
      <c r="G314" s="79"/>
      <c r="H314" s="79"/>
      <c r="I314" s="79"/>
      <c r="J314" s="79"/>
      <c r="K314" s="79"/>
      <c r="L314" s="89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</row>
    <row r="315" spans="1:35" ht="14.25" customHeight="1" x14ac:dyDescent="0.35">
      <c r="A315" s="79"/>
      <c r="B315" s="79"/>
      <c r="C315" s="79"/>
      <c r="D315" s="79"/>
      <c r="E315" s="79" t="s">
        <v>274</v>
      </c>
      <c r="F315" s="79"/>
      <c r="G315" s="79"/>
      <c r="H315" s="79"/>
      <c r="I315" s="79"/>
      <c r="J315" s="79"/>
      <c r="K315" s="79"/>
      <c r="L315" s="90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</row>
    <row r="316" spans="1:35" ht="14.25" customHeight="1" x14ac:dyDescent="0.35">
      <c r="A316" s="79"/>
      <c r="B316" s="79"/>
      <c r="C316" s="79"/>
      <c r="D316" s="79"/>
      <c r="E316" s="79" t="s">
        <v>276</v>
      </c>
      <c r="F316" s="79"/>
      <c r="G316" s="79"/>
      <c r="H316" s="79"/>
      <c r="I316" s="79"/>
      <c r="J316" s="79"/>
      <c r="K316" s="79"/>
      <c r="L316" s="89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</row>
    <row r="317" spans="1:35" ht="14.25" customHeight="1" x14ac:dyDescent="0.35">
      <c r="A317" s="79"/>
      <c r="B317" s="79"/>
      <c r="C317" s="79"/>
      <c r="D317" s="79"/>
      <c r="E317" s="79" t="s">
        <v>284</v>
      </c>
      <c r="F317" s="79"/>
      <c r="G317" s="79"/>
      <c r="H317" s="79"/>
      <c r="I317" s="79"/>
      <c r="J317" s="79"/>
      <c r="K317" s="79"/>
      <c r="L317" s="89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</row>
    <row r="318" spans="1:35" ht="14.25" customHeight="1" x14ac:dyDescent="0.35">
      <c r="A318" s="79"/>
      <c r="B318" s="79"/>
      <c r="C318" s="79"/>
      <c r="D318" s="79"/>
      <c r="E318" s="91" t="s">
        <v>183</v>
      </c>
      <c r="F318" s="91"/>
      <c r="G318" s="79"/>
      <c r="H318" s="79"/>
      <c r="I318" s="79"/>
      <c r="J318" s="79"/>
      <c r="K318" s="79"/>
      <c r="L318" s="8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  <c r="AD318" s="79"/>
      <c r="AE318" s="79"/>
      <c r="AF318" s="79"/>
      <c r="AG318" s="79"/>
      <c r="AH318" s="79"/>
      <c r="AI318" s="79"/>
    </row>
    <row r="319" spans="1:35" ht="14.25" customHeight="1" x14ac:dyDescent="0.35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</row>
    <row r="320" spans="1:35" ht="14.25" customHeight="1" x14ac:dyDescent="0.35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</row>
    <row r="321" spans="1:36" ht="14.25" customHeight="1" x14ac:dyDescent="0.35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</row>
    <row r="322" spans="1:36" ht="14.25" customHeight="1" x14ac:dyDescent="0.35">
      <c r="A322" s="79"/>
      <c r="B322" s="79"/>
      <c r="C322" s="79" t="s">
        <v>297</v>
      </c>
      <c r="D322" s="79" t="s">
        <v>298</v>
      </c>
      <c r="E322" s="79"/>
      <c r="F322" s="79"/>
      <c r="G322" s="79"/>
      <c r="H322" s="79"/>
      <c r="I322" s="79"/>
      <c r="J322" s="79"/>
      <c r="K322" s="79"/>
      <c r="L322" s="84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  <c r="AD322" s="79"/>
      <c r="AE322" s="79"/>
      <c r="AF322" s="79"/>
      <c r="AG322" s="79"/>
      <c r="AH322" s="79"/>
      <c r="AI322" s="79"/>
    </row>
    <row r="323" spans="1:36" ht="14.25" customHeight="1" x14ac:dyDescent="0.35">
      <c r="A323" s="79"/>
      <c r="B323" s="79"/>
      <c r="C323" s="79"/>
      <c r="D323" s="79" t="s">
        <v>299</v>
      </c>
      <c r="E323" s="79"/>
      <c r="F323" s="79"/>
      <c r="G323" s="79"/>
      <c r="H323" s="79"/>
      <c r="I323" s="79"/>
      <c r="J323" s="79"/>
      <c r="K323" s="79"/>
      <c r="L323" s="84"/>
      <c r="M323" s="84">
        <f t="shared" ref="M323:AI323" si="233">L249</f>
        <v>127.8</v>
      </c>
      <c r="N323" s="84">
        <f t="shared" si="233"/>
        <v>127.8</v>
      </c>
      <c r="O323" s="84">
        <f t="shared" si="233"/>
        <v>127.8</v>
      </c>
      <c r="P323" s="84">
        <f t="shared" si="233"/>
        <v>127.8</v>
      </c>
      <c r="Q323" s="84">
        <f t="shared" si="233"/>
        <v>127.8</v>
      </c>
      <c r="R323" s="84">
        <f t="shared" si="233"/>
        <v>127.8</v>
      </c>
      <c r="S323" s="84">
        <f t="shared" si="233"/>
        <v>127.8</v>
      </c>
      <c r="T323" s="84">
        <f t="shared" si="233"/>
        <v>0</v>
      </c>
      <c r="U323" s="84">
        <f t="shared" si="233"/>
        <v>0</v>
      </c>
      <c r="V323" s="84">
        <f t="shared" si="233"/>
        <v>0</v>
      </c>
      <c r="W323" s="84">
        <f t="shared" si="233"/>
        <v>0</v>
      </c>
      <c r="X323" s="84">
        <f t="shared" si="233"/>
        <v>0</v>
      </c>
      <c r="Y323" s="84">
        <f t="shared" si="233"/>
        <v>0</v>
      </c>
      <c r="Z323" s="84">
        <f t="shared" si="233"/>
        <v>0</v>
      </c>
      <c r="AA323" s="84">
        <f t="shared" si="233"/>
        <v>0</v>
      </c>
      <c r="AB323" s="84">
        <f t="shared" si="233"/>
        <v>0</v>
      </c>
      <c r="AC323" s="84">
        <f t="shared" si="233"/>
        <v>0</v>
      </c>
      <c r="AD323" s="84">
        <f t="shared" si="233"/>
        <v>0</v>
      </c>
      <c r="AE323" s="84">
        <f t="shared" si="233"/>
        <v>0</v>
      </c>
      <c r="AF323" s="84">
        <f t="shared" si="233"/>
        <v>0</v>
      </c>
      <c r="AG323" s="84">
        <f t="shared" si="233"/>
        <v>0</v>
      </c>
      <c r="AH323" s="84">
        <f t="shared" si="233"/>
        <v>0</v>
      </c>
      <c r="AI323" s="84">
        <f t="shared" si="233"/>
        <v>0</v>
      </c>
    </row>
    <row r="324" spans="1:36" ht="14.25" customHeight="1" x14ac:dyDescent="0.35">
      <c r="A324" s="79"/>
      <c r="B324" s="79"/>
      <c r="C324" s="79"/>
      <c r="D324" s="79" t="s">
        <v>300</v>
      </c>
      <c r="E324" s="79"/>
      <c r="F324" s="79"/>
      <c r="G324" s="79"/>
      <c r="H324" s="79"/>
      <c r="I324" s="79"/>
      <c r="J324" s="79"/>
      <c r="K324" s="79"/>
      <c r="L324" s="84">
        <f>0</f>
        <v>0</v>
      </c>
      <c r="M324" s="84">
        <f>0</f>
        <v>0</v>
      </c>
      <c r="N324" s="84">
        <f>0</f>
        <v>0</v>
      </c>
      <c r="O324" s="84">
        <f>0</f>
        <v>0</v>
      </c>
      <c r="P324" s="84">
        <f>0</f>
        <v>0</v>
      </c>
      <c r="Q324" s="84">
        <f>0</f>
        <v>0</v>
      </c>
      <c r="R324" s="84">
        <f>0</f>
        <v>0</v>
      </c>
      <c r="S324" s="84">
        <f>0</f>
        <v>0</v>
      </c>
      <c r="T324" s="92">
        <v>0</v>
      </c>
      <c r="U324" s="92">
        <v>0</v>
      </c>
      <c r="V324" s="92">
        <v>0</v>
      </c>
      <c r="W324" s="92">
        <v>0</v>
      </c>
      <c r="X324" s="92">
        <v>0</v>
      </c>
      <c r="Y324" s="92">
        <v>0</v>
      </c>
      <c r="Z324" s="92">
        <v>0</v>
      </c>
      <c r="AA324" s="92">
        <v>0</v>
      </c>
      <c r="AB324" s="92">
        <v>0</v>
      </c>
      <c r="AC324" s="92">
        <v>0</v>
      </c>
      <c r="AD324" s="92">
        <v>0</v>
      </c>
      <c r="AE324" s="92">
        <v>0</v>
      </c>
      <c r="AF324" s="92">
        <v>0</v>
      </c>
      <c r="AG324" s="92">
        <v>0</v>
      </c>
      <c r="AH324" s="92">
        <v>0</v>
      </c>
      <c r="AI324" s="92">
        <v>0</v>
      </c>
    </row>
    <row r="325" spans="1:36" ht="14.25" customHeight="1" x14ac:dyDescent="0.35">
      <c r="A325" s="79"/>
      <c r="B325" s="79"/>
      <c r="C325" s="79"/>
      <c r="D325" s="79" t="s">
        <v>301</v>
      </c>
      <c r="E325" s="79"/>
      <c r="F325" s="79"/>
      <c r="G325" s="79"/>
      <c r="H325" s="79"/>
      <c r="I325" s="79"/>
      <c r="J325" s="79"/>
      <c r="K325" s="79"/>
      <c r="L325" s="86">
        <f t="shared" ref="L325:AI325" si="234">L249</f>
        <v>127.8</v>
      </c>
      <c r="M325" s="86">
        <f t="shared" si="234"/>
        <v>127.8</v>
      </c>
      <c r="N325" s="86">
        <f t="shared" si="234"/>
        <v>127.8</v>
      </c>
      <c r="O325" s="86">
        <f t="shared" si="234"/>
        <v>127.8</v>
      </c>
      <c r="P325" s="86">
        <f t="shared" si="234"/>
        <v>127.8</v>
      </c>
      <c r="Q325" s="86">
        <f t="shared" si="234"/>
        <v>127.8</v>
      </c>
      <c r="R325" s="86">
        <f t="shared" si="234"/>
        <v>127.8</v>
      </c>
      <c r="S325" s="86">
        <f t="shared" si="234"/>
        <v>0</v>
      </c>
      <c r="T325" s="86">
        <f t="shared" si="234"/>
        <v>0</v>
      </c>
      <c r="U325" s="86">
        <f t="shared" si="234"/>
        <v>0</v>
      </c>
      <c r="V325" s="86">
        <f t="shared" si="234"/>
        <v>0</v>
      </c>
      <c r="W325" s="86">
        <f t="shared" si="234"/>
        <v>0</v>
      </c>
      <c r="X325" s="86">
        <f t="shared" si="234"/>
        <v>0</v>
      </c>
      <c r="Y325" s="86">
        <f t="shared" si="234"/>
        <v>0</v>
      </c>
      <c r="Z325" s="86">
        <f t="shared" si="234"/>
        <v>0</v>
      </c>
      <c r="AA325" s="86">
        <f t="shared" si="234"/>
        <v>0</v>
      </c>
      <c r="AB325" s="86">
        <f t="shared" si="234"/>
        <v>0</v>
      </c>
      <c r="AC325" s="86">
        <f t="shared" si="234"/>
        <v>0</v>
      </c>
      <c r="AD325" s="86">
        <f t="shared" si="234"/>
        <v>0</v>
      </c>
      <c r="AE325" s="86">
        <f t="shared" si="234"/>
        <v>0</v>
      </c>
      <c r="AF325" s="86">
        <f t="shared" si="234"/>
        <v>0</v>
      </c>
      <c r="AG325" s="86">
        <f t="shared" si="234"/>
        <v>0</v>
      </c>
      <c r="AH325" s="86">
        <f t="shared" si="234"/>
        <v>0</v>
      </c>
      <c r="AI325" s="86">
        <f t="shared" si="234"/>
        <v>0</v>
      </c>
    </row>
    <row r="326" spans="1:36" ht="14.25" customHeight="1" x14ac:dyDescent="0.35">
      <c r="A326" s="79"/>
      <c r="B326" s="79"/>
      <c r="C326" s="79"/>
      <c r="D326" s="79" t="s">
        <v>302</v>
      </c>
      <c r="E326" s="79"/>
      <c r="F326" s="79"/>
      <c r="G326" s="79"/>
      <c r="H326" s="79"/>
      <c r="I326" s="79"/>
      <c r="J326" s="79"/>
      <c r="K326" s="79"/>
      <c r="L326" s="84"/>
      <c r="M326" s="84">
        <f t="shared" ref="M326:AI326" si="235">M323+M324-M325</f>
        <v>0</v>
      </c>
      <c r="N326" s="84">
        <f t="shared" si="235"/>
        <v>0</v>
      </c>
      <c r="O326" s="84">
        <f t="shared" si="235"/>
        <v>0</v>
      </c>
      <c r="P326" s="84">
        <f t="shared" si="235"/>
        <v>0</v>
      </c>
      <c r="Q326" s="84">
        <f t="shared" si="235"/>
        <v>0</v>
      </c>
      <c r="R326" s="84">
        <f t="shared" si="235"/>
        <v>0</v>
      </c>
      <c r="S326" s="84">
        <f t="shared" si="235"/>
        <v>127.8</v>
      </c>
      <c r="T326" s="84">
        <f t="shared" si="235"/>
        <v>0</v>
      </c>
      <c r="U326" s="84">
        <f t="shared" si="235"/>
        <v>0</v>
      </c>
      <c r="V326" s="84">
        <f t="shared" si="235"/>
        <v>0</v>
      </c>
      <c r="W326" s="84">
        <f t="shared" si="235"/>
        <v>0</v>
      </c>
      <c r="X326" s="84">
        <f t="shared" si="235"/>
        <v>0</v>
      </c>
      <c r="Y326" s="84">
        <f t="shared" si="235"/>
        <v>0</v>
      </c>
      <c r="Z326" s="84">
        <f t="shared" si="235"/>
        <v>0</v>
      </c>
      <c r="AA326" s="84">
        <f t="shared" si="235"/>
        <v>0</v>
      </c>
      <c r="AB326" s="84">
        <f t="shared" si="235"/>
        <v>0</v>
      </c>
      <c r="AC326" s="84">
        <f t="shared" si="235"/>
        <v>0</v>
      </c>
      <c r="AD326" s="84">
        <f t="shared" si="235"/>
        <v>0</v>
      </c>
      <c r="AE326" s="84">
        <f t="shared" si="235"/>
        <v>0</v>
      </c>
      <c r="AF326" s="84">
        <f t="shared" si="235"/>
        <v>0</v>
      </c>
      <c r="AG326" s="84">
        <f t="shared" si="235"/>
        <v>0</v>
      </c>
      <c r="AH326" s="84">
        <f t="shared" si="235"/>
        <v>0</v>
      </c>
      <c r="AI326" s="84">
        <f t="shared" si="235"/>
        <v>0</v>
      </c>
    </row>
    <row r="327" spans="1:36" ht="14.25" customHeight="1" x14ac:dyDescent="0.35">
      <c r="A327" s="79"/>
      <c r="B327" s="79"/>
      <c r="C327" s="79"/>
      <c r="D327" s="79" t="s">
        <v>303</v>
      </c>
      <c r="E327" s="79"/>
      <c r="F327" s="79"/>
      <c r="G327" s="79"/>
      <c r="H327" s="79"/>
      <c r="I327" s="79"/>
      <c r="J327" s="79"/>
      <c r="K327" s="79"/>
      <c r="L327" s="87"/>
      <c r="M327" s="87">
        <f t="shared" ref="M327:AI327" si="236">M326+M169</f>
        <v>0</v>
      </c>
      <c r="N327" s="87">
        <f t="shared" si="236"/>
        <v>0</v>
      </c>
      <c r="O327" s="87">
        <f t="shared" si="236"/>
        <v>0</v>
      </c>
      <c r="P327" s="87">
        <f t="shared" si="236"/>
        <v>0</v>
      </c>
      <c r="Q327" s="87">
        <f t="shared" si="236"/>
        <v>0</v>
      </c>
      <c r="R327" s="87">
        <f t="shared" si="236"/>
        <v>0</v>
      </c>
      <c r="S327" s="87">
        <f t="shared" si="236"/>
        <v>0</v>
      </c>
      <c r="T327" s="87">
        <f t="shared" si="236"/>
        <v>0</v>
      </c>
      <c r="U327" s="87">
        <f t="shared" si="236"/>
        <v>0</v>
      </c>
      <c r="V327" s="87">
        <f t="shared" si="236"/>
        <v>0</v>
      </c>
      <c r="W327" s="87">
        <f t="shared" si="236"/>
        <v>0</v>
      </c>
      <c r="X327" s="87">
        <f t="shared" si="236"/>
        <v>0</v>
      </c>
      <c r="Y327" s="87">
        <f t="shared" si="236"/>
        <v>0</v>
      </c>
      <c r="Z327" s="87">
        <f t="shared" si="236"/>
        <v>0</v>
      </c>
      <c r="AA327" s="87">
        <f t="shared" si="236"/>
        <v>0</v>
      </c>
      <c r="AB327" s="87">
        <f t="shared" si="236"/>
        <v>0</v>
      </c>
      <c r="AC327" s="87">
        <f t="shared" si="236"/>
        <v>0</v>
      </c>
      <c r="AD327" s="87">
        <f t="shared" si="236"/>
        <v>0</v>
      </c>
      <c r="AE327" s="87">
        <f t="shared" si="236"/>
        <v>0</v>
      </c>
      <c r="AF327" s="87">
        <f t="shared" si="236"/>
        <v>0</v>
      </c>
      <c r="AG327" s="87">
        <f t="shared" si="236"/>
        <v>0</v>
      </c>
      <c r="AH327" s="87">
        <f t="shared" si="236"/>
        <v>0</v>
      </c>
      <c r="AI327" s="87">
        <f t="shared" si="236"/>
        <v>0</v>
      </c>
    </row>
    <row r="328" spans="1:36" ht="14.25" customHeight="1" x14ac:dyDescent="0.35">
      <c r="A328" s="79"/>
      <c r="B328" s="79"/>
      <c r="C328" s="79" t="s">
        <v>304</v>
      </c>
      <c r="D328" s="79" t="s">
        <v>305</v>
      </c>
      <c r="E328" s="79"/>
      <c r="F328" s="79"/>
      <c r="G328" s="79"/>
      <c r="H328" s="79"/>
      <c r="I328" s="79"/>
      <c r="J328" s="79"/>
      <c r="K328" s="79"/>
      <c r="L328" s="84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  <c r="AD328" s="79"/>
      <c r="AE328" s="79"/>
      <c r="AF328" s="79"/>
      <c r="AG328" s="79"/>
      <c r="AH328" s="79"/>
      <c r="AI328" s="79"/>
    </row>
    <row r="329" spans="1:36" ht="14.25" customHeight="1" x14ac:dyDescent="0.35">
      <c r="A329" s="79"/>
      <c r="B329" s="79"/>
      <c r="C329" s="79"/>
      <c r="D329" s="79" t="s">
        <v>306</v>
      </c>
      <c r="E329" s="79"/>
      <c r="F329" s="79"/>
      <c r="G329" s="79"/>
      <c r="H329" s="79"/>
      <c r="I329" s="79"/>
      <c r="J329" s="79"/>
      <c r="K329" s="79"/>
      <c r="L329" s="84"/>
      <c r="M329" s="84">
        <f t="shared" ref="M329:AI329" si="237">L227</f>
        <v>0</v>
      </c>
      <c r="N329" s="84">
        <f t="shared" si="237"/>
        <v>0</v>
      </c>
      <c r="O329" s="84">
        <f t="shared" si="237"/>
        <v>0</v>
      </c>
      <c r="P329" s="84">
        <f t="shared" si="237"/>
        <v>17.999676999999998</v>
      </c>
      <c r="Q329" s="84">
        <f t="shared" si="237"/>
        <v>0</v>
      </c>
      <c r="R329" s="84">
        <f t="shared" si="237"/>
        <v>9994.8071870000003</v>
      </c>
      <c r="S329" s="84">
        <f t="shared" si="237"/>
        <v>0</v>
      </c>
      <c r="T329" s="84">
        <f t="shared" si="237"/>
        <v>0</v>
      </c>
      <c r="U329" s="84">
        <f t="shared" si="237"/>
        <v>0</v>
      </c>
      <c r="V329" s="84">
        <f t="shared" si="237"/>
        <v>0</v>
      </c>
      <c r="W329" s="84">
        <f t="shared" si="237"/>
        <v>0</v>
      </c>
      <c r="X329" s="84">
        <f t="shared" si="237"/>
        <v>0</v>
      </c>
      <c r="Y329" s="84">
        <f t="shared" si="237"/>
        <v>0</v>
      </c>
      <c r="Z329" s="84">
        <f t="shared" si="237"/>
        <v>0</v>
      </c>
      <c r="AA329" s="84">
        <f t="shared" si="237"/>
        <v>0</v>
      </c>
      <c r="AB329" s="84">
        <f t="shared" si="237"/>
        <v>0</v>
      </c>
      <c r="AC329" s="84">
        <f t="shared" si="237"/>
        <v>0</v>
      </c>
      <c r="AD329" s="84">
        <f t="shared" si="237"/>
        <v>0</v>
      </c>
      <c r="AE329" s="84">
        <f t="shared" si="237"/>
        <v>0</v>
      </c>
      <c r="AF329" s="84">
        <f t="shared" si="237"/>
        <v>0</v>
      </c>
      <c r="AG329" s="84">
        <f t="shared" si="237"/>
        <v>0</v>
      </c>
      <c r="AH329" s="84">
        <f t="shared" si="237"/>
        <v>0</v>
      </c>
      <c r="AI329" s="84">
        <f t="shared" si="237"/>
        <v>0</v>
      </c>
    </row>
    <row r="330" spans="1:36" ht="14.25" customHeight="1" x14ac:dyDescent="0.35">
      <c r="A330" s="79"/>
      <c r="B330" s="79"/>
      <c r="C330" s="79"/>
      <c r="D330" s="79" t="s">
        <v>307</v>
      </c>
      <c r="E330" s="79"/>
      <c r="F330" s="79"/>
      <c r="G330" s="79"/>
      <c r="H330" s="79"/>
      <c r="I330" s="79"/>
      <c r="J330" s="79"/>
      <c r="K330" s="79"/>
      <c r="L330" s="84">
        <f t="shared" ref="L330:AI330" si="238">L170</f>
        <v>0</v>
      </c>
      <c r="M330" s="84">
        <f t="shared" si="238"/>
        <v>0</v>
      </c>
      <c r="N330" s="84">
        <f t="shared" si="238"/>
        <v>0</v>
      </c>
      <c r="O330" s="84">
        <f t="shared" si="238"/>
        <v>17.999676999999998</v>
      </c>
      <c r="P330" s="84">
        <f t="shared" si="238"/>
        <v>-17.999676999999998</v>
      </c>
      <c r="Q330" s="84">
        <f t="shared" si="238"/>
        <v>9994.8071870000003</v>
      </c>
      <c r="R330" s="84">
        <f t="shared" si="238"/>
        <v>-9994.8071870000003</v>
      </c>
      <c r="S330" s="84">
        <f t="shared" si="238"/>
        <v>0</v>
      </c>
      <c r="T330" s="84">
        <f t="shared" si="238"/>
        <v>0</v>
      </c>
      <c r="U330" s="84">
        <f t="shared" si="238"/>
        <v>0</v>
      </c>
      <c r="V330" s="84">
        <f t="shared" si="238"/>
        <v>0</v>
      </c>
      <c r="W330" s="84">
        <f t="shared" si="238"/>
        <v>0</v>
      </c>
      <c r="X330" s="84">
        <f t="shared" si="238"/>
        <v>0</v>
      </c>
      <c r="Y330" s="84">
        <f t="shared" si="238"/>
        <v>0</v>
      </c>
      <c r="Z330" s="84">
        <f t="shared" si="238"/>
        <v>0</v>
      </c>
      <c r="AA330" s="84">
        <f t="shared" si="238"/>
        <v>0</v>
      </c>
      <c r="AB330" s="84">
        <f t="shared" si="238"/>
        <v>0</v>
      </c>
      <c r="AC330" s="84">
        <f t="shared" si="238"/>
        <v>0</v>
      </c>
      <c r="AD330" s="84">
        <f t="shared" si="238"/>
        <v>0</v>
      </c>
      <c r="AE330" s="84">
        <f t="shared" si="238"/>
        <v>0</v>
      </c>
      <c r="AF330" s="84">
        <f t="shared" si="238"/>
        <v>0</v>
      </c>
      <c r="AG330" s="84">
        <f t="shared" si="238"/>
        <v>0</v>
      </c>
      <c r="AH330" s="84">
        <f t="shared" si="238"/>
        <v>0</v>
      </c>
      <c r="AI330" s="84">
        <f t="shared" si="238"/>
        <v>0</v>
      </c>
    </row>
    <row r="331" spans="1:36" ht="14.25" customHeight="1" x14ac:dyDescent="0.35">
      <c r="A331" s="79"/>
      <c r="B331" s="79"/>
      <c r="C331" s="79"/>
      <c r="D331" s="79" t="s">
        <v>308</v>
      </c>
      <c r="E331" s="79"/>
      <c r="F331" s="79"/>
      <c r="G331" s="79"/>
      <c r="H331" s="79"/>
      <c r="I331" s="79"/>
      <c r="J331" s="79"/>
      <c r="K331" s="79"/>
      <c r="L331" s="86">
        <f t="shared" ref="L331:AI331" si="239">L227</f>
        <v>0</v>
      </c>
      <c r="M331" s="86">
        <f t="shared" si="239"/>
        <v>0</v>
      </c>
      <c r="N331" s="86">
        <f t="shared" si="239"/>
        <v>0</v>
      </c>
      <c r="O331" s="86">
        <f t="shared" si="239"/>
        <v>17.999676999999998</v>
      </c>
      <c r="P331" s="86">
        <f t="shared" si="239"/>
        <v>0</v>
      </c>
      <c r="Q331" s="86">
        <f t="shared" si="239"/>
        <v>9994.8071870000003</v>
      </c>
      <c r="R331" s="86">
        <f t="shared" si="239"/>
        <v>0</v>
      </c>
      <c r="S331" s="86">
        <f t="shared" si="239"/>
        <v>0</v>
      </c>
      <c r="T331" s="86">
        <f t="shared" si="239"/>
        <v>0</v>
      </c>
      <c r="U331" s="86">
        <f t="shared" si="239"/>
        <v>0</v>
      </c>
      <c r="V331" s="86">
        <f t="shared" si="239"/>
        <v>0</v>
      </c>
      <c r="W331" s="86">
        <f t="shared" si="239"/>
        <v>0</v>
      </c>
      <c r="X331" s="86">
        <f t="shared" si="239"/>
        <v>0</v>
      </c>
      <c r="Y331" s="86">
        <f t="shared" si="239"/>
        <v>0</v>
      </c>
      <c r="Z331" s="86">
        <f t="shared" si="239"/>
        <v>0</v>
      </c>
      <c r="AA331" s="86">
        <f t="shared" si="239"/>
        <v>0</v>
      </c>
      <c r="AB331" s="86">
        <f t="shared" si="239"/>
        <v>0</v>
      </c>
      <c r="AC331" s="86">
        <f t="shared" si="239"/>
        <v>0</v>
      </c>
      <c r="AD331" s="86">
        <f t="shared" si="239"/>
        <v>0</v>
      </c>
      <c r="AE331" s="86">
        <f t="shared" si="239"/>
        <v>0</v>
      </c>
      <c r="AF331" s="86">
        <f t="shared" si="239"/>
        <v>0</v>
      </c>
      <c r="AG331" s="86">
        <f t="shared" si="239"/>
        <v>0</v>
      </c>
      <c r="AH331" s="86">
        <f t="shared" si="239"/>
        <v>0</v>
      </c>
      <c r="AI331" s="86">
        <f t="shared" si="239"/>
        <v>0</v>
      </c>
    </row>
    <row r="332" spans="1:36" ht="14.25" customHeight="1" x14ac:dyDescent="0.35">
      <c r="A332" s="79"/>
      <c r="B332" s="79"/>
      <c r="C332" s="79"/>
      <c r="D332" s="79" t="s">
        <v>309</v>
      </c>
      <c r="E332" s="79"/>
      <c r="F332" s="79"/>
      <c r="G332" s="79"/>
      <c r="H332" s="79"/>
      <c r="I332" s="79"/>
      <c r="J332" s="79"/>
      <c r="K332" s="79"/>
      <c r="L332" s="84"/>
      <c r="M332" s="84">
        <f t="shared" ref="M332:AI332" si="240">M329+M330-M331</f>
        <v>0</v>
      </c>
      <c r="N332" s="84">
        <f t="shared" si="240"/>
        <v>0</v>
      </c>
      <c r="O332" s="84">
        <f t="shared" si="240"/>
        <v>0</v>
      </c>
      <c r="P332" s="84">
        <f t="shared" si="240"/>
        <v>0</v>
      </c>
      <c r="Q332" s="84">
        <f t="shared" si="240"/>
        <v>0</v>
      </c>
      <c r="R332" s="84">
        <f t="shared" si="240"/>
        <v>0</v>
      </c>
      <c r="S332" s="84">
        <f t="shared" si="240"/>
        <v>0</v>
      </c>
      <c r="T332" s="84">
        <f t="shared" si="240"/>
        <v>0</v>
      </c>
      <c r="U332" s="84">
        <f t="shared" si="240"/>
        <v>0</v>
      </c>
      <c r="V332" s="84">
        <f t="shared" si="240"/>
        <v>0</v>
      </c>
      <c r="W332" s="84">
        <f t="shared" si="240"/>
        <v>0</v>
      </c>
      <c r="X332" s="84">
        <f t="shared" si="240"/>
        <v>0</v>
      </c>
      <c r="Y332" s="84">
        <f t="shared" si="240"/>
        <v>0</v>
      </c>
      <c r="Z332" s="84">
        <f t="shared" si="240"/>
        <v>0</v>
      </c>
      <c r="AA332" s="84">
        <f t="shared" si="240"/>
        <v>0</v>
      </c>
      <c r="AB332" s="84">
        <f t="shared" si="240"/>
        <v>0</v>
      </c>
      <c r="AC332" s="84">
        <f t="shared" si="240"/>
        <v>0</v>
      </c>
      <c r="AD332" s="84">
        <f t="shared" si="240"/>
        <v>0</v>
      </c>
      <c r="AE332" s="84">
        <f t="shared" si="240"/>
        <v>0</v>
      </c>
      <c r="AF332" s="84">
        <f t="shared" si="240"/>
        <v>0</v>
      </c>
      <c r="AG332" s="84">
        <f t="shared" si="240"/>
        <v>0</v>
      </c>
      <c r="AH332" s="84">
        <f t="shared" si="240"/>
        <v>0</v>
      </c>
      <c r="AI332" s="84">
        <f t="shared" si="240"/>
        <v>0</v>
      </c>
    </row>
    <row r="333" spans="1:36" ht="14.25" customHeight="1" x14ac:dyDescent="0.35">
      <c r="A333" s="79"/>
      <c r="B333" s="79"/>
      <c r="C333" s="79"/>
      <c r="D333" s="79" t="s">
        <v>310</v>
      </c>
      <c r="E333" s="79"/>
      <c r="F333" s="79"/>
      <c r="G333" s="79"/>
      <c r="H333" s="79"/>
      <c r="I333" s="79"/>
      <c r="J333" s="79"/>
      <c r="K333" s="79"/>
      <c r="L333" s="87"/>
      <c r="M333" s="87">
        <f t="shared" ref="M333:AI333" si="241">M332+M173</f>
        <v>0</v>
      </c>
      <c r="N333" s="87">
        <f t="shared" si="241"/>
        <v>0</v>
      </c>
      <c r="O333" s="87">
        <f t="shared" si="241"/>
        <v>0</v>
      </c>
      <c r="P333" s="87">
        <f t="shared" si="241"/>
        <v>0</v>
      </c>
      <c r="Q333" s="87">
        <f t="shared" si="241"/>
        <v>0</v>
      </c>
      <c r="R333" s="87">
        <f t="shared" si="241"/>
        <v>0</v>
      </c>
      <c r="S333" s="87">
        <f t="shared" si="241"/>
        <v>0</v>
      </c>
      <c r="T333" s="87">
        <f t="shared" si="241"/>
        <v>0</v>
      </c>
      <c r="U333" s="87">
        <f t="shared" si="241"/>
        <v>0</v>
      </c>
      <c r="V333" s="87">
        <f t="shared" si="241"/>
        <v>0</v>
      </c>
      <c r="W333" s="87">
        <f t="shared" si="241"/>
        <v>0</v>
      </c>
      <c r="X333" s="87">
        <f t="shared" si="241"/>
        <v>0</v>
      </c>
      <c r="Y333" s="87">
        <f t="shared" si="241"/>
        <v>0</v>
      </c>
      <c r="Z333" s="87">
        <f t="shared" si="241"/>
        <v>0</v>
      </c>
      <c r="AA333" s="87">
        <f t="shared" si="241"/>
        <v>0</v>
      </c>
      <c r="AB333" s="87">
        <f t="shared" si="241"/>
        <v>0</v>
      </c>
      <c r="AC333" s="87">
        <f t="shared" si="241"/>
        <v>0</v>
      </c>
      <c r="AD333" s="87">
        <f t="shared" si="241"/>
        <v>0</v>
      </c>
      <c r="AE333" s="87">
        <f t="shared" si="241"/>
        <v>0</v>
      </c>
      <c r="AF333" s="87">
        <f t="shared" si="241"/>
        <v>0</v>
      </c>
      <c r="AG333" s="87">
        <f t="shared" si="241"/>
        <v>0</v>
      </c>
      <c r="AH333" s="87">
        <f t="shared" si="241"/>
        <v>0</v>
      </c>
      <c r="AI333" s="87">
        <f t="shared" si="241"/>
        <v>0</v>
      </c>
    </row>
    <row r="334" spans="1:36" hidden="1" x14ac:dyDescent="0.35"/>
    <row r="335" spans="1:36" hidden="1" x14ac:dyDescent="0.35"/>
    <row r="336" spans="1:36" ht="14.25" hidden="1" customHeight="1" x14ac:dyDescent="0.35">
      <c r="D336" s="7" t="s">
        <v>28</v>
      </c>
      <c r="H336" t="s">
        <v>19</v>
      </c>
      <c r="K336" s="93">
        <f t="shared" ref="K336:K342" si="242">SUM(L336:W336)</f>
        <v>91359.87480801667</v>
      </c>
      <c r="L336" s="93">
        <f>'Business Plan - Model Details'!J76/10^6</f>
        <v>8886.2491000000009</v>
      </c>
      <c r="M336" s="93">
        <f>'Business Plan - Model Details'!K76/10^6</f>
        <v>8445.7559999999994</v>
      </c>
      <c r="N336" s="93">
        <f>'Business Plan - Model Details'!L76/10^6</f>
        <v>6030.7778870900001</v>
      </c>
      <c r="O336" s="93">
        <f>'Business Plan - Model Details'!M76/10^6</f>
        <v>6031.6083170200009</v>
      </c>
      <c r="P336" s="93">
        <f>'Business Plan - Model Details'!N76/10^6</f>
        <v>7011.3169500000004</v>
      </c>
      <c r="Q336" s="93">
        <f>'Business Plan - Model Details'!O76/10^6</f>
        <v>6784.4551499999998</v>
      </c>
      <c r="R336" s="93">
        <f>'Business Plan - Model Details'!P76/10^6</f>
        <v>7725.5491499999998</v>
      </c>
      <c r="S336" s="93">
        <f>'Business Plan - Model Details'!Q76/10^6</f>
        <v>8598.2319499999994</v>
      </c>
      <c r="T336" s="93">
        <f>'Business Plan - Model Details'!R76/10^6</f>
        <v>7961.4825759766654</v>
      </c>
      <c r="U336" s="93">
        <f>'Business Plan - Model Details'!S76/10^6</f>
        <v>7961.4825759766654</v>
      </c>
      <c r="V336" s="93">
        <f>'Business Plan - Model Details'!T76/10^6</f>
        <v>7961.4825759766654</v>
      </c>
      <c r="W336" s="93">
        <f>'Business Plan - Model Details'!U76/10^6</f>
        <v>7961.4825759766654</v>
      </c>
      <c r="X336" s="93">
        <f>'Business Plan - Model Details'!V76/10^6</f>
        <v>7961.4825759766654</v>
      </c>
      <c r="Y336" s="93">
        <f>'Business Plan - Model Details'!W76/10^6</f>
        <v>7961.4825759766654</v>
      </c>
      <c r="Z336" s="93">
        <f>'Business Plan - Model Details'!X76/10^6</f>
        <v>7961.4825759766654</v>
      </c>
      <c r="AA336" s="93">
        <f>'Business Plan - Model Details'!Y76/10^6</f>
        <v>7961.4825759766654</v>
      </c>
      <c r="AB336" s="93">
        <f>'Business Plan - Model Details'!Z76/10^6</f>
        <v>7961.4825759766654</v>
      </c>
      <c r="AC336" s="93">
        <f>'Business Plan - Model Details'!AA76/10^6</f>
        <v>7961.4825759766654</v>
      </c>
      <c r="AD336" s="93">
        <f>'Business Plan - Model Details'!AB76/10^6</f>
        <v>7961.4825759766654</v>
      </c>
      <c r="AE336" s="93">
        <f>'Business Plan - Model Details'!AC76/10^6</f>
        <v>7961.4825759766654</v>
      </c>
      <c r="AF336" s="93">
        <f>'Business Plan - Model Details'!AD76/10^6</f>
        <v>7961.4825759766654</v>
      </c>
      <c r="AG336" s="93">
        <f>'Business Plan - Model Details'!AE76/10^6</f>
        <v>7961.4825759766654</v>
      </c>
      <c r="AH336" s="93">
        <f>'Business Plan - Model Details'!AF76/10^6</f>
        <v>7961.4825759766654</v>
      </c>
      <c r="AI336" s="93">
        <f>'Business Plan - Model Details'!AG76/10^6</f>
        <v>7961.4825759766654</v>
      </c>
      <c r="AJ336" s="93">
        <f t="shared" ref="AJ336:AJ342" si="243">SUM(X336:AI336)</f>
        <v>95537.790911720003</v>
      </c>
    </row>
    <row r="337" spans="3:36" ht="14.25" hidden="1" customHeight="1" x14ac:dyDescent="0.35">
      <c r="D337" s="7" t="s">
        <v>311</v>
      </c>
      <c r="H337" t="s">
        <v>19</v>
      </c>
      <c r="K337" s="93">
        <f t="shared" si="242"/>
        <v>-79243.625098593388</v>
      </c>
      <c r="L337" s="93">
        <f t="shared" ref="L337:AI337" si="244">L18</f>
        <v>-6689.2956175673971</v>
      </c>
      <c r="M337" s="93">
        <f t="shared" si="244"/>
        <v>-6206.1888860333765</v>
      </c>
      <c r="N337" s="93">
        <f t="shared" si="244"/>
        <v>-5128.5947267418778</v>
      </c>
      <c r="O337" s="93">
        <f t="shared" si="244"/>
        <v>-5575.0518867549863</v>
      </c>
      <c r="P337" s="93">
        <f t="shared" si="244"/>
        <v>-6145.355499997996</v>
      </c>
      <c r="Q337" s="93">
        <f t="shared" si="244"/>
        <v>-6472.8107109728498</v>
      </c>
      <c r="R337" s="93">
        <f t="shared" si="244"/>
        <v>-6798.4327169768594</v>
      </c>
      <c r="S337" s="93">
        <f t="shared" si="244"/>
        <v>-7437.8718582666643</v>
      </c>
      <c r="T337" s="93">
        <f t="shared" si="244"/>
        <v>-7106.9300139296856</v>
      </c>
      <c r="U337" s="93">
        <f t="shared" si="244"/>
        <v>-7183.4280434316006</v>
      </c>
      <c r="V337" s="93">
        <f t="shared" si="244"/>
        <v>-7249.0645168545816</v>
      </c>
      <c r="W337" s="93">
        <f t="shared" si="244"/>
        <v>-7250.6006210655205</v>
      </c>
      <c r="X337" s="93">
        <f t="shared" si="244"/>
        <v>-7250.067610939187</v>
      </c>
      <c r="Y337" s="93">
        <f t="shared" si="244"/>
        <v>-7246.3027286627448</v>
      </c>
      <c r="Z337" s="93">
        <f t="shared" si="244"/>
        <v>-7247.0164379917587</v>
      </c>
      <c r="AA337" s="93">
        <f t="shared" si="244"/>
        <v>-7241.7170635321854</v>
      </c>
      <c r="AB337" s="93">
        <f t="shared" si="244"/>
        <v>-7241.2659413101264</v>
      </c>
      <c r="AC337" s="93">
        <f t="shared" si="244"/>
        <v>-7239.739155987636</v>
      </c>
      <c r="AD337" s="93">
        <f t="shared" si="244"/>
        <v>-7238.8709350655326</v>
      </c>
      <c r="AE337" s="93">
        <f t="shared" si="244"/>
        <v>-7237.6277883755083</v>
      </c>
      <c r="AF337" s="93">
        <f t="shared" si="244"/>
        <v>-7237.6628809771519</v>
      </c>
      <c r="AG337" s="93">
        <f t="shared" si="244"/>
        <v>-7237.1078288689459</v>
      </c>
      <c r="AH337" s="93">
        <f t="shared" si="244"/>
        <v>-7237.1321499117093</v>
      </c>
      <c r="AI337" s="93">
        <f t="shared" si="244"/>
        <v>-7236.8157722688438</v>
      </c>
      <c r="AJ337" s="93">
        <f t="shared" si="243"/>
        <v>-86891.326293891325</v>
      </c>
    </row>
    <row r="338" spans="3:36" ht="14.25" hidden="1" customHeight="1" x14ac:dyDescent="0.35">
      <c r="D338" s="7" t="s">
        <v>312</v>
      </c>
      <c r="H338" t="s">
        <v>19</v>
      </c>
      <c r="K338" s="93">
        <f t="shared" si="242"/>
        <v>-62141.990384048629</v>
      </c>
      <c r="L338" s="93">
        <f t="shared" ref="L338:AI338" si="245">SUM(L20:L24)</f>
        <v>-5227.8959066579901</v>
      </c>
      <c r="M338" s="93">
        <f t="shared" si="245"/>
        <v>-4768.4245128426055</v>
      </c>
      <c r="N338" s="93">
        <f t="shared" si="245"/>
        <v>-3784.0974013373047</v>
      </c>
      <c r="O338" s="93">
        <f t="shared" si="245"/>
        <v>-3962.7409631988489</v>
      </c>
      <c r="P338" s="93">
        <f t="shared" si="245"/>
        <v>-4709.4222145232889</v>
      </c>
      <c r="Q338" s="93">
        <f t="shared" si="245"/>
        <v>-5073.699963373384</v>
      </c>
      <c r="R338" s="93">
        <f t="shared" si="245"/>
        <v>-5334.5507846456212</v>
      </c>
      <c r="S338" s="93">
        <f t="shared" si="245"/>
        <v>-6019.5322989620927</v>
      </c>
      <c r="T338" s="93">
        <f t="shared" si="245"/>
        <v>-5737.343713946223</v>
      </c>
      <c r="U338" s="93">
        <f t="shared" si="245"/>
        <v>-5790.8547747473012</v>
      </c>
      <c r="V338" s="93">
        <f t="shared" si="245"/>
        <v>-5865.0690901358766</v>
      </c>
      <c r="W338" s="93">
        <f t="shared" si="245"/>
        <v>-5868.3587596780908</v>
      </c>
      <c r="X338" s="93">
        <f t="shared" si="245"/>
        <v>-5868.3560956701749</v>
      </c>
      <c r="Y338" s="93">
        <f t="shared" si="245"/>
        <v>-5865.6902427741352</v>
      </c>
      <c r="Z338" s="93">
        <f t="shared" si="245"/>
        <v>-5866.5440883094343</v>
      </c>
      <c r="AA338" s="93">
        <f t="shared" si="245"/>
        <v>-5866.2962546460512</v>
      </c>
      <c r="AB338" s="93">
        <f t="shared" si="245"/>
        <v>-5865.8154388697349</v>
      </c>
      <c r="AC338" s="93">
        <f t="shared" si="245"/>
        <v>-5865.9803311639953</v>
      </c>
      <c r="AD338" s="93">
        <f t="shared" si="245"/>
        <v>-5865.8689280077597</v>
      </c>
      <c r="AE338" s="93">
        <f t="shared" si="245"/>
        <v>-5865.7757769465225</v>
      </c>
      <c r="AF338" s="93">
        <f t="shared" si="245"/>
        <v>-5865.7953502821128</v>
      </c>
      <c r="AG338" s="93">
        <f t="shared" si="245"/>
        <v>-5865.7561124771364</v>
      </c>
      <c r="AH338" s="93">
        <f t="shared" si="245"/>
        <v>-5865.7341823376464</v>
      </c>
      <c r="AI338" s="93">
        <f t="shared" si="245"/>
        <v>-5865.7314661807177</v>
      </c>
      <c r="AJ338" s="93">
        <f t="shared" si="243"/>
        <v>-70393.344267665438</v>
      </c>
    </row>
    <row r="339" spans="3:36" ht="14.25" hidden="1" customHeight="1" x14ac:dyDescent="0.35">
      <c r="D339" s="7" t="s">
        <v>313</v>
      </c>
      <c r="H339" t="s">
        <v>19</v>
      </c>
      <c r="K339" s="93">
        <f t="shared" si="242"/>
        <v>1.5982875514224686</v>
      </c>
      <c r="L339" s="93">
        <f t="shared" ref="L339:AI339" si="246">L29+L30</f>
        <v>0</v>
      </c>
      <c r="M339" s="93">
        <f t="shared" si="246"/>
        <v>0</v>
      </c>
      <c r="N339" s="93">
        <f t="shared" si="246"/>
        <v>0</v>
      </c>
      <c r="O339" s="93">
        <f t="shared" si="246"/>
        <v>0</v>
      </c>
      <c r="P339" s="93">
        <f t="shared" si="246"/>
        <v>0</v>
      </c>
      <c r="Q339" s="93">
        <f t="shared" si="246"/>
        <v>0</v>
      </c>
      <c r="R339" s="93">
        <f t="shared" si="246"/>
        <v>0</v>
      </c>
      <c r="S339" s="93">
        <f t="shared" si="246"/>
        <v>0</v>
      </c>
      <c r="T339" s="93">
        <f t="shared" si="246"/>
        <v>1.423328494512222</v>
      </c>
      <c r="U339" s="93">
        <f t="shared" si="246"/>
        <v>6.2276981351107707E-2</v>
      </c>
      <c r="V339" s="93">
        <f t="shared" si="246"/>
        <v>0.1108982530638567</v>
      </c>
      <c r="W339" s="93">
        <f t="shared" si="246"/>
        <v>1.7838224952821946E-3</v>
      </c>
      <c r="X339" s="93">
        <f t="shared" si="246"/>
        <v>-3.4741278876957438E-3</v>
      </c>
      <c r="Y339" s="93">
        <f t="shared" si="246"/>
        <v>-3.6679886007284779E-4</v>
      </c>
      <c r="Z339" s="93">
        <f t="shared" si="246"/>
        <v>-7.6604686343628714E-4</v>
      </c>
      <c r="AA339" s="93">
        <f t="shared" si="246"/>
        <v>-1.3067757344515485E-2</v>
      </c>
      <c r="AB339" s="93">
        <f t="shared" si="246"/>
        <v>-2.4436406258043775E-3</v>
      </c>
      <c r="AC339" s="93">
        <f t="shared" si="246"/>
        <v>1.0062624485787097E-3</v>
      </c>
      <c r="AD339" s="93">
        <f t="shared" si="246"/>
        <v>8.1432249063340123E-4</v>
      </c>
      <c r="AE339" s="93">
        <f t="shared" si="246"/>
        <v>-8.0264961883536046E-4</v>
      </c>
      <c r="AF339" s="93">
        <f t="shared" si="246"/>
        <v>-4.6349438568782375E-4</v>
      </c>
      <c r="AG339" s="93">
        <f t="shared" si="246"/>
        <v>-1.0019823187903398E-3</v>
      </c>
      <c r="AH339" s="93">
        <f t="shared" si="246"/>
        <v>-4.2945528173454761E-4</v>
      </c>
      <c r="AI339" s="93">
        <f t="shared" si="246"/>
        <v>-9.7811469983888344E-4</v>
      </c>
      <c r="AJ339" s="93">
        <f t="shared" si="243"/>
        <v>-2.1973482947199585E-2</v>
      </c>
    </row>
    <row r="340" spans="3:36" ht="14.25" hidden="1" customHeight="1" x14ac:dyDescent="0.35">
      <c r="D340" s="7" t="s">
        <v>314</v>
      </c>
      <c r="H340" t="s">
        <v>19</v>
      </c>
      <c r="K340" s="93">
        <f t="shared" si="242"/>
        <v>31.422595628479172</v>
      </c>
      <c r="L340" s="93">
        <f t="shared" ref="L340:AI340" si="247">L31+L32</f>
        <v>0</v>
      </c>
      <c r="M340" s="93">
        <f t="shared" si="247"/>
        <v>0</v>
      </c>
      <c r="N340" s="93">
        <f t="shared" si="247"/>
        <v>0</v>
      </c>
      <c r="O340" s="93">
        <f t="shared" si="247"/>
        <v>0</v>
      </c>
      <c r="P340" s="93">
        <f t="shared" si="247"/>
        <v>0</v>
      </c>
      <c r="Q340" s="93">
        <f t="shared" si="247"/>
        <v>0</v>
      </c>
      <c r="R340" s="93">
        <f t="shared" si="247"/>
        <v>0</v>
      </c>
      <c r="S340" s="93">
        <f t="shared" si="247"/>
        <v>0</v>
      </c>
      <c r="T340" s="93">
        <f t="shared" si="247"/>
        <v>27.295625058182878</v>
      </c>
      <c r="U340" s="93">
        <f t="shared" si="247"/>
        <v>1.8665516439342582</v>
      </c>
      <c r="V340" s="93">
        <f t="shared" si="247"/>
        <v>2.1726999477033644</v>
      </c>
      <c r="W340" s="93">
        <f t="shared" si="247"/>
        <v>8.7718978658671176E-2</v>
      </c>
      <c r="X340" s="93">
        <f t="shared" si="247"/>
        <v>-6.4464040264141431E-2</v>
      </c>
      <c r="Y340" s="93">
        <f t="shared" si="247"/>
        <v>-8.6218587789517187E-3</v>
      </c>
      <c r="Z340" s="93">
        <f t="shared" si="247"/>
        <v>-1.4903058022497362E-2</v>
      </c>
      <c r="AA340" s="93">
        <f t="shared" si="247"/>
        <v>-0.25097142900753511</v>
      </c>
      <c r="AB340" s="93">
        <f t="shared" si="247"/>
        <v>-5.3043464138028185E-2</v>
      </c>
      <c r="AC340" s="93">
        <f t="shared" si="247"/>
        <v>1.7991029332165454E-2</v>
      </c>
      <c r="AD340" s="93">
        <f t="shared" si="247"/>
        <v>1.6059602006919249E-2</v>
      </c>
      <c r="AE340" s="93">
        <f t="shared" si="247"/>
        <v>-1.4997136047384174E-2</v>
      </c>
      <c r="AF340" s="93">
        <f t="shared" si="247"/>
        <v>-9.2579291038532574E-3</v>
      </c>
      <c r="AG340" s="93">
        <f t="shared" si="247"/>
        <v>-1.944333000275833E-2</v>
      </c>
      <c r="AH340" s="93">
        <f t="shared" si="247"/>
        <v>-8.7146533069812904E-3</v>
      </c>
      <c r="AI340" s="93">
        <f t="shared" si="247"/>
        <v>-1.8972233333585109E-2</v>
      </c>
      <c r="AJ340" s="93">
        <f t="shared" si="243"/>
        <v>-0.42933850066663126</v>
      </c>
    </row>
    <row r="341" spans="3:36" ht="14.25" hidden="1" customHeight="1" x14ac:dyDescent="0.35">
      <c r="D341" s="7" t="s">
        <v>315</v>
      </c>
      <c r="H341" t="s">
        <v>19</v>
      </c>
      <c r="K341" s="93">
        <f t="shared" si="242"/>
        <v>-17568.499460061805</v>
      </c>
      <c r="L341" s="93">
        <f t="shared" ref="L341:AI341" si="248">L25+L26</f>
        <v>-1461.3997109094066</v>
      </c>
      <c r="M341" s="93">
        <f t="shared" si="248"/>
        <v>-1437.764373190771</v>
      </c>
      <c r="N341" s="93">
        <f t="shared" si="248"/>
        <v>-1344.4973254045735</v>
      </c>
      <c r="O341" s="93">
        <f t="shared" si="248"/>
        <v>-1612.3109235561381</v>
      </c>
      <c r="P341" s="93">
        <f t="shared" si="248"/>
        <v>-1435.9332854747072</v>
      </c>
      <c r="Q341" s="93">
        <f t="shared" si="248"/>
        <v>-1399.1107475994659</v>
      </c>
      <c r="R341" s="93">
        <f t="shared" si="248"/>
        <v>-1463.8819323312387</v>
      </c>
      <c r="S341" s="93">
        <f t="shared" si="248"/>
        <v>-1418.3395593045716</v>
      </c>
      <c r="T341" s="93">
        <f t="shared" si="248"/>
        <v>-1500.9138831929504</v>
      </c>
      <c r="U341" s="93">
        <f t="shared" si="248"/>
        <v>-1501.7634332567477</v>
      </c>
      <c r="V341" s="93">
        <f t="shared" si="248"/>
        <v>-1496.6824054316003</v>
      </c>
      <c r="W341" s="93">
        <f t="shared" si="248"/>
        <v>-1495.9018804096333</v>
      </c>
      <c r="X341" s="93">
        <f t="shared" si="248"/>
        <v>-1494.8160122572904</v>
      </c>
      <c r="Y341" s="93">
        <f t="shared" si="248"/>
        <v>-1494.020959052481</v>
      </c>
      <c r="Z341" s="93">
        <f t="shared" si="248"/>
        <v>-1493.939249396833</v>
      </c>
      <c r="AA341" s="93">
        <f t="shared" si="248"/>
        <v>-1486.67103123532</v>
      </c>
      <c r="AB341" s="93">
        <f t="shared" si="248"/>
        <v>-1486.0653339766397</v>
      </c>
      <c r="AC341" s="93">
        <f t="shared" si="248"/>
        <v>-1485.4563266088837</v>
      </c>
      <c r="AD341" s="93">
        <f t="shared" si="248"/>
        <v>-1485.2660484952448</v>
      </c>
      <c r="AE341" s="93">
        <f t="shared" si="248"/>
        <v>-1484.3024410865764</v>
      </c>
      <c r="AF341" s="93">
        <f t="shared" si="248"/>
        <v>-1484.1879612765315</v>
      </c>
      <c r="AG341" s="93">
        <f t="shared" si="248"/>
        <v>-1483.5587254702186</v>
      </c>
      <c r="AH341" s="93">
        <f t="shared" si="248"/>
        <v>-1483.465145621974</v>
      </c>
      <c r="AI341" s="93">
        <f t="shared" si="248"/>
        <v>-1482.9656197982529</v>
      </c>
      <c r="AJ341" s="93">
        <f t="shared" si="243"/>
        <v>-17844.714854276244</v>
      </c>
    </row>
    <row r="342" spans="3:36" ht="14.25" hidden="1" customHeight="1" x14ac:dyDescent="0.35">
      <c r="D342" s="7" t="s">
        <v>316</v>
      </c>
      <c r="H342" t="s">
        <v>19</v>
      </c>
      <c r="K342" s="93">
        <f t="shared" si="242"/>
        <v>12116.249709423266</v>
      </c>
      <c r="L342" s="93">
        <f t="shared" ref="L342:AI342" si="249">L336+L337</f>
        <v>2196.9534824326038</v>
      </c>
      <c r="M342" s="93">
        <f t="shared" si="249"/>
        <v>2239.5671139666229</v>
      </c>
      <c r="N342" s="93">
        <f t="shared" si="249"/>
        <v>902.18316034812233</v>
      </c>
      <c r="O342" s="93">
        <f t="shared" si="249"/>
        <v>456.55643026501457</v>
      </c>
      <c r="P342" s="93">
        <f t="shared" si="249"/>
        <v>865.96145000200431</v>
      </c>
      <c r="Q342" s="93">
        <f t="shared" si="249"/>
        <v>311.64443902714993</v>
      </c>
      <c r="R342" s="93">
        <f t="shared" si="249"/>
        <v>927.11643302314042</v>
      </c>
      <c r="S342" s="93">
        <f t="shared" si="249"/>
        <v>1160.3600917333351</v>
      </c>
      <c r="T342" s="93">
        <f t="shared" si="249"/>
        <v>854.5525620469798</v>
      </c>
      <c r="U342" s="93">
        <f t="shared" si="249"/>
        <v>778.05453254506483</v>
      </c>
      <c r="V342" s="93">
        <f t="shared" si="249"/>
        <v>712.41805912208383</v>
      </c>
      <c r="W342" s="93">
        <f t="shared" si="249"/>
        <v>710.88195491114493</v>
      </c>
      <c r="X342" s="93">
        <f t="shared" si="249"/>
        <v>711.4149650374784</v>
      </c>
      <c r="Y342" s="93">
        <f t="shared" si="249"/>
        <v>715.17984731392062</v>
      </c>
      <c r="Z342" s="93">
        <f t="shared" si="249"/>
        <v>714.46613798490671</v>
      </c>
      <c r="AA342" s="93">
        <f t="shared" si="249"/>
        <v>719.76551244448001</v>
      </c>
      <c r="AB342" s="93">
        <f t="shared" si="249"/>
        <v>720.21663466653899</v>
      </c>
      <c r="AC342" s="93">
        <f t="shared" si="249"/>
        <v>721.74341998902946</v>
      </c>
      <c r="AD342" s="93">
        <f t="shared" si="249"/>
        <v>722.61164091113278</v>
      </c>
      <c r="AE342" s="93">
        <f t="shared" si="249"/>
        <v>723.85478760115711</v>
      </c>
      <c r="AF342" s="93">
        <f t="shared" si="249"/>
        <v>723.81969499951356</v>
      </c>
      <c r="AG342" s="93">
        <f t="shared" si="249"/>
        <v>724.37474710771949</v>
      </c>
      <c r="AH342" s="93">
        <f t="shared" si="249"/>
        <v>724.35042606495608</v>
      </c>
      <c r="AI342" s="93">
        <f t="shared" si="249"/>
        <v>724.6668037078216</v>
      </c>
      <c r="AJ342" s="93">
        <f t="shared" si="243"/>
        <v>8646.4646178286548</v>
      </c>
    </row>
    <row r="343" spans="3:36" ht="14.25" hidden="1" customHeight="1" x14ac:dyDescent="0.35">
      <c r="D343" s="7" t="s">
        <v>317</v>
      </c>
      <c r="H343" t="s">
        <v>13</v>
      </c>
      <c r="K343" s="94">
        <f t="shared" ref="K343:AJ343" si="250">IFERROR(K342/K336,0)</f>
        <v>0.13262112863972628</v>
      </c>
      <c r="L343" s="94">
        <f t="shared" si="250"/>
        <v>0.24723068841639873</v>
      </c>
      <c r="M343" s="94">
        <f t="shared" si="250"/>
        <v>0.26517070987684499</v>
      </c>
      <c r="N343" s="94">
        <f t="shared" si="250"/>
        <v>0.14959648278199947</v>
      </c>
      <c r="O343" s="94">
        <f t="shared" si="250"/>
        <v>7.5693978499350334E-2</v>
      </c>
      <c r="P343" s="94">
        <f t="shared" si="250"/>
        <v>0.12350910052668554</v>
      </c>
      <c r="Q343" s="94">
        <f t="shared" si="250"/>
        <v>4.5935072476254772E-2</v>
      </c>
      <c r="R343" s="94">
        <f t="shared" si="250"/>
        <v>0.1200065412855655</v>
      </c>
      <c r="S343" s="94">
        <f t="shared" si="250"/>
        <v>0.13495333674190252</v>
      </c>
      <c r="T343" s="94">
        <f t="shared" si="250"/>
        <v>0.10733585784958508</v>
      </c>
      <c r="U343" s="94">
        <f t="shared" si="250"/>
        <v>9.772734225316293E-2</v>
      </c>
      <c r="V343" s="94">
        <f t="shared" si="250"/>
        <v>8.9483089653648942E-2</v>
      </c>
      <c r="W343" s="94">
        <f t="shared" si="250"/>
        <v>8.929014767377523E-2</v>
      </c>
      <c r="X343" s="94">
        <f t="shared" si="250"/>
        <v>8.9357096275527098E-2</v>
      </c>
      <c r="Y343" s="94">
        <f t="shared" si="250"/>
        <v>8.9829983359121623E-2</v>
      </c>
      <c r="Z343" s="94">
        <f t="shared" si="250"/>
        <v>8.9740338079840665E-2</v>
      </c>
      <c r="AA343" s="94">
        <f t="shared" si="250"/>
        <v>9.040596466496488E-2</v>
      </c>
      <c r="AB343" s="94">
        <f t="shared" si="250"/>
        <v>9.0462627757266337E-2</v>
      </c>
      <c r="AC343" s="94">
        <f t="shared" si="250"/>
        <v>9.0654399240519656E-2</v>
      </c>
      <c r="AD343" s="94">
        <f t="shared" si="250"/>
        <v>9.0763451909267948E-2</v>
      </c>
      <c r="AE343" s="94">
        <f t="shared" si="250"/>
        <v>9.091959703401839E-2</v>
      </c>
      <c r="AF343" s="94">
        <f t="shared" si="250"/>
        <v>9.0915189236688093E-2</v>
      </c>
      <c r="AG343" s="94">
        <f t="shared" si="250"/>
        <v>9.0984906415983419E-2</v>
      </c>
      <c r="AH343" s="94">
        <f t="shared" si="250"/>
        <v>9.0981851577574699E-2</v>
      </c>
      <c r="AI343" s="94">
        <f t="shared" si="250"/>
        <v>9.1021590111176498E-2</v>
      </c>
      <c r="AJ343" s="94">
        <f t="shared" si="250"/>
        <v>9.0503082971829088E-2</v>
      </c>
    </row>
    <row r="344" spans="3:36" ht="14.25" hidden="1" customHeight="1" x14ac:dyDescent="0.35">
      <c r="D344" s="7" t="s">
        <v>318</v>
      </c>
      <c r="H344" t="s">
        <v>319</v>
      </c>
      <c r="K344" s="95">
        <f>SUM(L344:W344)</f>
        <v>1198417.5889467269</v>
      </c>
      <c r="L344" s="95">
        <f>'Business Plan - Model Details'!J519</f>
        <v>0</v>
      </c>
      <c r="M344" s="95">
        <f>'Business Plan - Model Details'!K519</f>
        <v>0</v>
      </c>
      <c r="N344" s="95">
        <f>'Business Plan - Model Details'!L519</f>
        <v>0</v>
      </c>
      <c r="O344" s="95">
        <f>'Business Plan - Model Details'!M519</f>
        <v>0</v>
      </c>
      <c r="P344" s="95">
        <f>'Business Plan - Model Details'!N519</f>
        <v>0</v>
      </c>
      <c r="Q344" s="95">
        <f>'Business Plan - Model Details'!O519</f>
        <v>0</v>
      </c>
      <c r="R344" s="95">
        <f>'Business Plan - Model Details'!P519</f>
        <v>0</v>
      </c>
      <c r="S344" s="95">
        <f>'Business Plan - Model Details'!Q519</f>
        <v>0</v>
      </c>
      <c r="T344" s="95">
        <f>'Business Plan - Model Details'!R519</f>
        <v>299474.51325571077</v>
      </c>
      <c r="U344" s="95">
        <f>'Business Plan - Model Details'!S519</f>
        <v>299979.69068898493</v>
      </c>
      <c r="V344" s="95">
        <f>'Business Plan - Model Details'!T519</f>
        <v>299359.16944823531</v>
      </c>
      <c r="W344" s="95">
        <f>'Business Plan - Model Details'!U519</f>
        <v>299604.21555379598</v>
      </c>
      <c r="X344" s="95">
        <f>'Business Plan - Model Details'!V519</f>
        <v>299647.47462299187</v>
      </c>
      <c r="Y344" s="95">
        <f>'Business Plan - Model Details'!W519</f>
        <v>299536.89939248498</v>
      </c>
      <c r="Z344" s="95">
        <f>'Business Plan - Model Details'!X519</f>
        <v>299596.18961363262</v>
      </c>
      <c r="AA344" s="95">
        <f>'Business Plan - Model Details'!Y519</f>
        <v>299593.51439580077</v>
      </c>
      <c r="AB344" s="95">
        <f>'Business Plan - Model Details'!Z519</f>
        <v>299575.53197185806</v>
      </c>
      <c r="AC344" s="95">
        <f>'Business Plan - Model Details'!AA519</f>
        <v>299588.41171290516</v>
      </c>
      <c r="AD344" s="95">
        <f>'Business Plan - Model Details'!AB519</f>
        <v>299585.81916907273</v>
      </c>
      <c r="AE344" s="95">
        <f>'Business Plan - Model Details'!AC519</f>
        <v>299583.25418134319</v>
      </c>
      <c r="AF344" s="95">
        <f>'Business Plan - Model Details'!AD519</f>
        <v>299585.82833964191</v>
      </c>
      <c r="AG344" s="95">
        <f>'Business Plan - Model Details'!AE519</f>
        <v>299584.96722512157</v>
      </c>
      <c r="AH344" s="95">
        <f>'Business Plan - Model Details'!AF519</f>
        <v>299584.68324488116</v>
      </c>
      <c r="AI344" s="95">
        <f>'Business Plan - Model Details'!AG519</f>
        <v>299585.15960242361</v>
      </c>
      <c r="AJ344" s="95">
        <f>SUM(X344:AI344)</f>
        <v>3595047.7334721577</v>
      </c>
    </row>
    <row r="345" spans="3:36" ht="14.25" hidden="1" customHeight="1" x14ac:dyDescent="0.35">
      <c r="D345" s="7" t="s">
        <v>320</v>
      </c>
      <c r="H345" t="s">
        <v>319</v>
      </c>
      <c r="K345" s="95">
        <f>SUM(L345:W345)</f>
        <v>3337385.4965701629</v>
      </c>
      <c r="L345" s="95">
        <f>'Business Plan - Model Details'!J513</f>
        <v>333120.13</v>
      </c>
      <c r="M345" s="95">
        <f>'Business Plan - Model Details'!K513</f>
        <v>319330</v>
      </c>
      <c r="N345" s="95">
        <f>'Business Plan - Model Details'!L513</f>
        <v>233585.7</v>
      </c>
      <c r="O345" s="95">
        <f>'Business Plan - Model Details'!M513</f>
        <v>230362</v>
      </c>
      <c r="P345" s="95">
        <f>'Business Plan - Model Details'!N513</f>
        <v>256294.5</v>
      </c>
      <c r="Q345" s="95">
        <f>'Business Plan - Model Details'!O513</f>
        <v>262525.09999999998</v>
      </c>
      <c r="R345" s="95">
        <f>'Business Plan - Model Details'!P513</f>
        <v>270961.5</v>
      </c>
      <c r="S345" s="95">
        <f>'Business Plan - Model Details'!Q513</f>
        <v>317712.5</v>
      </c>
      <c r="T345" s="95">
        <f>'Business Plan - Model Details'!R513</f>
        <v>278373.51664254075</v>
      </c>
      <c r="U345" s="95">
        <f>'Business Plan - Model Details'!S513</f>
        <v>278373.51664254075</v>
      </c>
      <c r="V345" s="95">
        <f>'Business Plan - Model Details'!T513</f>
        <v>278373.51664254075</v>
      </c>
      <c r="W345" s="95">
        <f>'Business Plan - Model Details'!U513</f>
        <v>278373.51664254075</v>
      </c>
      <c r="X345" s="95">
        <f>'Business Plan - Model Details'!V513</f>
        <v>278373.51664254075</v>
      </c>
      <c r="Y345" s="95">
        <f>'Business Plan - Model Details'!W513</f>
        <v>278373.51664254075</v>
      </c>
      <c r="Z345" s="95">
        <f>'Business Plan - Model Details'!X513</f>
        <v>278373.51664254075</v>
      </c>
      <c r="AA345" s="95">
        <f>'Business Plan - Model Details'!Y513</f>
        <v>278373.51664254075</v>
      </c>
      <c r="AB345" s="95">
        <f>'Business Plan - Model Details'!Z513</f>
        <v>278373.51664254075</v>
      </c>
      <c r="AC345" s="95">
        <f>'Business Plan - Model Details'!AA513</f>
        <v>278373.51664254075</v>
      </c>
      <c r="AD345" s="95">
        <f>'Business Plan - Model Details'!AB513</f>
        <v>278373.51664254075</v>
      </c>
      <c r="AE345" s="95">
        <f>'Business Plan - Model Details'!AC513</f>
        <v>278373.51664254075</v>
      </c>
      <c r="AF345" s="95">
        <f>'Business Plan - Model Details'!AD513</f>
        <v>278373.51664254075</v>
      </c>
      <c r="AG345" s="95">
        <f>'Business Plan - Model Details'!AE513</f>
        <v>278373.51664254075</v>
      </c>
      <c r="AH345" s="95">
        <f>'Business Plan - Model Details'!AF513</f>
        <v>278373.51664254075</v>
      </c>
      <c r="AI345" s="95">
        <f>'Business Plan - Model Details'!AG513</f>
        <v>278373.51664254075</v>
      </c>
      <c r="AJ345" s="95">
        <f>SUM(X345:AI345)</f>
        <v>3340482.1997104888</v>
      </c>
    </row>
    <row r="346" spans="3:36" hidden="1" x14ac:dyDescent="0.35"/>
    <row r="347" spans="3:36" ht="14.25" hidden="1" customHeight="1" x14ac:dyDescent="0.35">
      <c r="C347" s="6" t="s">
        <v>21</v>
      </c>
    </row>
    <row r="348" spans="3:36" ht="14.25" hidden="1" customHeight="1" x14ac:dyDescent="0.35">
      <c r="D348" s="7" t="s">
        <v>28</v>
      </c>
      <c r="H348" t="s">
        <v>19</v>
      </c>
      <c r="K348" s="93">
        <f t="shared" ref="K348:K354" si="251">SUM(L348:W348)</f>
        <v>3399.4831675462842</v>
      </c>
      <c r="L348" s="93">
        <f>'Business Plan - Model Details'!J77/10^6</f>
        <v>30.560210999999999</v>
      </c>
      <c r="M348" s="93">
        <f>'Business Plan - Model Details'!K77/10^6</f>
        <v>0.26674999999999999</v>
      </c>
      <c r="N348" s="93">
        <f>'Business Plan - Model Details'!L77/10^6</f>
        <v>150.97565</v>
      </c>
      <c r="O348" s="93">
        <f>'Business Plan - Model Details'!M77/10^6</f>
        <v>273.68549999999999</v>
      </c>
      <c r="P348" s="93">
        <f>'Business Plan - Model Details'!N77/10^6</f>
        <v>241.821</v>
      </c>
      <c r="Q348" s="93">
        <f>'Business Plan - Model Details'!O77/10^6</f>
        <v>684.21375</v>
      </c>
      <c r="R348" s="93">
        <f>'Business Plan - Model Details'!P77/10^6</f>
        <v>430.26774999999998</v>
      </c>
      <c r="S348" s="93">
        <f>'Business Plan - Model Details'!Q77/10^6</f>
        <v>349.70925</v>
      </c>
      <c r="T348" s="93">
        <f>'Business Plan - Model Details'!R77/10^6</f>
        <v>309.49582663657105</v>
      </c>
      <c r="U348" s="93">
        <f>'Business Plan - Model Details'!S77/10^6</f>
        <v>309.49582663657105</v>
      </c>
      <c r="V348" s="93">
        <f>'Business Plan - Model Details'!T77/10^6</f>
        <v>309.49582663657105</v>
      </c>
      <c r="W348" s="93">
        <f>'Business Plan - Model Details'!U77/10^6</f>
        <v>309.49582663657105</v>
      </c>
      <c r="X348" s="93">
        <f>'Business Plan - Model Details'!V77/10^6</f>
        <v>309.49582663657105</v>
      </c>
      <c r="Y348" s="93">
        <f>'Business Plan - Model Details'!W77/10^6</f>
        <v>309.49582663657105</v>
      </c>
      <c r="Z348" s="93">
        <f>'Business Plan - Model Details'!X77/10^6</f>
        <v>309.49582663657105</v>
      </c>
      <c r="AA348" s="93">
        <f>'Business Plan - Model Details'!Y77/10^6</f>
        <v>309.49582663657105</v>
      </c>
      <c r="AB348" s="93">
        <f>'Business Plan - Model Details'!Z77/10^6</f>
        <v>309.49582663657105</v>
      </c>
      <c r="AC348" s="93">
        <f>'Business Plan - Model Details'!AA77/10^6</f>
        <v>309.49582663657105</v>
      </c>
      <c r="AD348" s="93">
        <f>'Business Plan - Model Details'!AB77/10^6</f>
        <v>309.49582663657105</v>
      </c>
      <c r="AE348" s="93">
        <f>'Business Plan - Model Details'!AC77/10^6</f>
        <v>309.49582663657105</v>
      </c>
      <c r="AF348" s="93">
        <f>'Business Plan - Model Details'!AD77/10^6</f>
        <v>309.49582663657105</v>
      </c>
      <c r="AG348" s="93">
        <f>'Business Plan - Model Details'!AE77/10^6</f>
        <v>309.49582663657105</v>
      </c>
      <c r="AH348" s="93">
        <f>'Business Plan - Model Details'!AF77/10^6</f>
        <v>309.49582663657105</v>
      </c>
      <c r="AI348" s="93">
        <f>'Business Plan - Model Details'!AG77/10^6</f>
        <v>309.49582663657105</v>
      </c>
      <c r="AJ348" s="93">
        <f t="shared" ref="AJ348:AJ354" si="252">SUM(X348:AI348)</f>
        <v>3713.9499196388529</v>
      </c>
    </row>
    <row r="349" spans="3:36" ht="14.25" hidden="1" customHeight="1" x14ac:dyDescent="0.35">
      <c r="D349" s="7" t="s">
        <v>311</v>
      </c>
      <c r="H349" t="s">
        <v>19</v>
      </c>
      <c r="K349" s="93">
        <f t="shared" si="251"/>
        <v>-2951.3292942708017</v>
      </c>
      <c r="L349" s="93">
        <f t="shared" ref="L349:AI349" si="253">L33</f>
        <v>-132.00801927789286</v>
      </c>
      <c r="M349" s="93">
        <f t="shared" si="253"/>
        <v>-88.083959867732716</v>
      </c>
      <c r="N349" s="93">
        <f t="shared" si="253"/>
        <v>-44.79594406487292</v>
      </c>
      <c r="O349" s="93">
        <f t="shared" si="253"/>
        <v>-253.58467592699026</v>
      </c>
      <c r="P349" s="93">
        <f t="shared" si="253"/>
        <v>-204.31367965678939</v>
      </c>
      <c r="Q349" s="93">
        <f t="shared" si="253"/>
        <v>-570.04226084642539</v>
      </c>
      <c r="R349" s="93">
        <f t="shared" si="253"/>
        <v>-325.14223156299249</v>
      </c>
      <c r="S349" s="93">
        <f t="shared" si="253"/>
        <v>-458.97133332558803</v>
      </c>
      <c r="T349" s="93">
        <f t="shared" si="253"/>
        <v>-212.60033428840023</v>
      </c>
      <c r="U349" s="93">
        <f t="shared" si="253"/>
        <v>-218.26534598600719</v>
      </c>
      <c r="V349" s="93">
        <f t="shared" si="253"/>
        <v>-221.12654609987356</v>
      </c>
      <c r="W349" s="93">
        <f t="shared" si="253"/>
        <v>-222.39496336723673</v>
      </c>
      <c r="X349" s="93">
        <f t="shared" si="253"/>
        <v>-222.90440569144576</v>
      </c>
      <c r="Y349" s="93">
        <f t="shared" si="253"/>
        <v>-223.09775101752842</v>
      </c>
      <c r="Z349" s="93">
        <f t="shared" si="253"/>
        <v>-223.16571081425411</v>
      </c>
      <c r="AA349" s="93">
        <f t="shared" si="253"/>
        <v>-223.18861872435315</v>
      </c>
      <c r="AB349" s="93">
        <f t="shared" si="253"/>
        <v>-223.18771882283738</v>
      </c>
      <c r="AC349" s="93">
        <f t="shared" si="253"/>
        <v>-223.17987326648984</v>
      </c>
      <c r="AD349" s="93">
        <f t="shared" si="253"/>
        <v>-223.17478837704047</v>
      </c>
      <c r="AE349" s="93">
        <f t="shared" si="253"/>
        <v>-223.16301829576855</v>
      </c>
      <c r="AF349" s="93">
        <f t="shared" si="253"/>
        <v>-223.15408032672673</v>
      </c>
      <c r="AG349" s="93">
        <f t="shared" si="253"/>
        <v>-223.13961316169733</v>
      </c>
      <c r="AH349" s="93">
        <f t="shared" si="253"/>
        <v>-223.12983755880535</v>
      </c>
      <c r="AI349" s="93">
        <f t="shared" si="253"/>
        <v>-223.11707357078046</v>
      </c>
      <c r="AJ349" s="93">
        <f t="shared" si="252"/>
        <v>-2677.6024896277272</v>
      </c>
    </row>
    <row r="350" spans="3:36" ht="14.25" hidden="1" customHeight="1" x14ac:dyDescent="0.35">
      <c r="D350" s="7" t="s">
        <v>312</v>
      </c>
      <c r="H350" t="s">
        <v>19</v>
      </c>
      <c r="K350" s="93">
        <f t="shared" si="251"/>
        <v>-2435.4090116506313</v>
      </c>
      <c r="L350" s="93">
        <f t="shared" ref="L350:AI350" si="254">SUM(L35:L39)</f>
        <v>-85.395773482046494</v>
      </c>
      <c r="M350" s="93">
        <f t="shared" si="254"/>
        <v>-62.680568260398658</v>
      </c>
      <c r="N350" s="93">
        <f t="shared" si="254"/>
        <v>-35.002189508043315</v>
      </c>
      <c r="O350" s="93">
        <f t="shared" si="254"/>
        <v>-192.60690153331873</v>
      </c>
      <c r="P350" s="93">
        <f t="shared" si="254"/>
        <v>-162.29316838872819</v>
      </c>
      <c r="Q350" s="93">
        <f t="shared" si="254"/>
        <v>-478.24704052453438</v>
      </c>
      <c r="R350" s="93">
        <f t="shared" si="254"/>
        <v>-259.72039357989007</v>
      </c>
      <c r="S350" s="93">
        <f t="shared" si="254"/>
        <v>-379.02920396646937</v>
      </c>
      <c r="T350" s="93">
        <f t="shared" si="254"/>
        <v>-195.2200092180839</v>
      </c>
      <c r="U350" s="93">
        <f t="shared" si="254"/>
        <v>-195.09965681629825</v>
      </c>
      <c r="V350" s="93">
        <f t="shared" si="254"/>
        <v>-195.06425772540641</v>
      </c>
      <c r="W350" s="93">
        <f t="shared" si="254"/>
        <v>-195.04984864741354</v>
      </c>
      <c r="X350" s="93">
        <f t="shared" si="254"/>
        <v>-195.04328759862022</v>
      </c>
      <c r="Y350" s="93">
        <f t="shared" si="254"/>
        <v>-195.0401565001151</v>
      </c>
      <c r="Z350" s="93">
        <f t="shared" si="254"/>
        <v>-195.03860999894312</v>
      </c>
      <c r="AA350" s="93">
        <f t="shared" si="254"/>
        <v>-195.03782003535588</v>
      </c>
      <c r="AB350" s="93">
        <f t="shared" si="254"/>
        <v>-195.03740000835467</v>
      </c>
      <c r="AC350" s="93">
        <f t="shared" si="254"/>
        <v>-195.03716682821761</v>
      </c>
      <c r="AD350" s="93">
        <f t="shared" si="254"/>
        <v>-195.0370317639435</v>
      </c>
      <c r="AE350" s="93">
        <f t="shared" si="254"/>
        <v>-195.03695038884837</v>
      </c>
      <c r="AF350" s="93">
        <f t="shared" si="254"/>
        <v>-195.03689969674835</v>
      </c>
      <c r="AG350" s="93">
        <f t="shared" si="254"/>
        <v>-195.03686727197277</v>
      </c>
      <c r="AH350" s="93">
        <f t="shared" si="254"/>
        <v>-195.03684611204213</v>
      </c>
      <c r="AI350" s="93">
        <f t="shared" si="254"/>
        <v>-195.03683210198253</v>
      </c>
      <c r="AJ350" s="93">
        <f t="shared" si="252"/>
        <v>-2340.4558683051441</v>
      </c>
    </row>
    <row r="351" spans="3:36" ht="14.25" hidden="1" customHeight="1" x14ac:dyDescent="0.35">
      <c r="D351" s="7" t="s">
        <v>313</v>
      </c>
      <c r="H351" t="s">
        <v>19</v>
      </c>
      <c r="K351" s="93">
        <f t="shared" si="251"/>
        <v>13.843974213803918</v>
      </c>
      <c r="L351" s="93">
        <f t="shared" ref="L351:AI351" si="255">L44+L45</f>
        <v>0</v>
      </c>
      <c r="M351" s="93">
        <f t="shared" si="255"/>
        <v>0</v>
      </c>
      <c r="N351" s="93">
        <f t="shared" si="255"/>
        <v>0</v>
      </c>
      <c r="O351" s="93">
        <f t="shared" si="255"/>
        <v>0</v>
      </c>
      <c r="P351" s="93">
        <f t="shared" si="255"/>
        <v>0</v>
      </c>
      <c r="Q351" s="93">
        <f t="shared" si="255"/>
        <v>0</v>
      </c>
      <c r="R351" s="93">
        <f t="shared" si="255"/>
        <v>0</v>
      </c>
      <c r="S351" s="93">
        <f t="shared" si="255"/>
        <v>0</v>
      </c>
      <c r="T351" s="93">
        <f t="shared" si="255"/>
        <v>8.8298165828054067</v>
      </c>
      <c r="U351" s="93">
        <f t="shared" si="255"/>
        <v>3.3328504985711902</v>
      </c>
      <c r="V351" s="93">
        <f t="shared" si="255"/>
        <v>1.2157878795721331</v>
      </c>
      <c r="W351" s="93">
        <f t="shared" si="255"/>
        <v>0.46551925285518791</v>
      </c>
      <c r="X351" s="93">
        <f t="shared" si="255"/>
        <v>0.16214573289880718</v>
      </c>
      <c r="Y351" s="93">
        <f t="shared" si="255"/>
        <v>5.5669365879765564E-2</v>
      </c>
      <c r="Z351" s="93">
        <f t="shared" si="255"/>
        <v>1.6599832012730076E-2</v>
      </c>
      <c r="AA351" s="93">
        <f t="shared" si="255"/>
        <v>5.0099627804058855E-3</v>
      </c>
      <c r="AB351" s="93">
        <f t="shared" si="255"/>
        <v>-5.4859729601162144E-3</v>
      </c>
      <c r="AC351" s="93">
        <f t="shared" si="255"/>
        <v>-6.358500187957361E-3</v>
      </c>
      <c r="AD351" s="93">
        <f t="shared" si="255"/>
        <v>-2.6232878349787825E-3</v>
      </c>
      <c r="AE351" s="93">
        <f t="shared" si="255"/>
        <v>-8.7455322631910803E-3</v>
      </c>
      <c r="AF351" s="93">
        <f t="shared" si="255"/>
        <v>-5.0223223250611682E-3</v>
      </c>
      <c r="AG351" s="93">
        <f t="shared" si="255"/>
        <v>-1.0197707084216745E-2</v>
      </c>
      <c r="AH351" s="93">
        <f t="shared" si="255"/>
        <v>-5.1642938994405085E-3</v>
      </c>
      <c r="AI351" s="93">
        <f t="shared" si="255"/>
        <v>-8.6073987698398469E-3</v>
      </c>
      <c r="AJ351" s="93">
        <f t="shared" si="252"/>
        <v>0.187219878246907</v>
      </c>
    </row>
    <row r="352" spans="3:36" ht="14.25" hidden="1" customHeight="1" x14ac:dyDescent="0.35">
      <c r="D352" s="7" t="s">
        <v>314</v>
      </c>
      <c r="H352" t="s">
        <v>19</v>
      </c>
      <c r="K352" s="93">
        <f t="shared" si="251"/>
        <v>5.4388165734848144</v>
      </c>
      <c r="L352" s="93">
        <f t="shared" ref="L352:AI352" si="256">L46+L47</f>
        <v>0</v>
      </c>
      <c r="M352" s="93">
        <f t="shared" si="256"/>
        <v>0</v>
      </c>
      <c r="N352" s="93">
        <f t="shared" si="256"/>
        <v>0</v>
      </c>
      <c r="O352" s="93">
        <f t="shared" si="256"/>
        <v>0</v>
      </c>
      <c r="P352" s="93">
        <f t="shared" si="256"/>
        <v>0</v>
      </c>
      <c r="Q352" s="93">
        <f t="shared" si="256"/>
        <v>0</v>
      </c>
      <c r="R352" s="93">
        <f t="shared" si="256"/>
        <v>0</v>
      </c>
      <c r="S352" s="93">
        <f t="shared" si="256"/>
        <v>0</v>
      </c>
      <c r="T352" s="93">
        <f t="shared" si="256"/>
        <v>2.2102498668094341</v>
      </c>
      <c r="U352" s="93">
        <f t="shared" si="256"/>
        <v>1.8650407678226628</v>
      </c>
      <c r="V352" s="93">
        <f t="shared" si="256"/>
        <v>0.94444720798307458</v>
      </c>
      <c r="W352" s="93">
        <f t="shared" si="256"/>
        <v>0.41907873086964287</v>
      </c>
      <c r="X352" s="93">
        <f t="shared" si="256"/>
        <v>0.16844888312778039</v>
      </c>
      <c r="Y352" s="93">
        <f t="shared" si="256"/>
        <v>6.3961439328849679E-2</v>
      </c>
      <c r="Z352" s="93">
        <f t="shared" si="256"/>
        <v>2.2497829430491834E-2</v>
      </c>
      <c r="AA352" s="93">
        <f t="shared" si="256"/>
        <v>7.5866815713965252E-3</v>
      </c>
      <c r="AB352" s="93">
        <f t="shared" si="256"/>
        <v>-2.6997326656896803E-4</v>
      </c>
      <c r="AC352" s="93">
        <f t="shared" si="256"/>
        <v>-2.5736767906607838E-3</v>
      </c>
      <c r="AD352" s="93">
        <f t="shared" si="256"/>
        <v>-1.6760058940263889E-3</v>
      </c>
      <c r="AE352" s="93">
        <f t="shared" si="256"/>
        <v>-3.8652982214415488E-3</v>
      </c>
      <c r="AF352" s="93">
        <f t="shared" si="256"/>
        <v>-2.9438193783732913E-3</v>
      </c>
      <c r="AG352" s="93">
        <f t="shared" si="256"/>
        <v>-4.7539487160150884E-3</v>
      </c>
      <c r="AH352" s="93">
        <f t="shared" si="256"/>
        <v>-3.2214470726898981E-3</v>
      </c>
      <c r="AI352" s="93">
        <f t="shared" si="256"/>
        <v>-4.1963478346787042E-3</v>
      </c>
      <c r="AJ352" s="93">
        <f t="shared" si="252"/>
        <v>0.23899431628406376</v>
      </c>
    </row>
    <row r="353" spans="3:36" ht="14.25" hidden="1" customHeight="1" x14ac:dyDescent="0.35">
      <c r="D353" s="7" t="s">
        <v>315</v>
      </c>
      <c r="H353" t="s">
        <v>19</v>
      </c>
      <c r="K353" s="93">
        <f t="shared" si="251"/>
        <v>-535.20307340745944</v>
      </c>
      <c r="L353" s="93">
        <f t="shared" ref="L353:AI353" si="257">L40+L41</f>
        <v>-46.61224579584637</v>
      </c>
      <c r="M353" s="93">
        <f t="shared" si="257"/>
        <v>-25.403391607334068</v>
      </c>
      <c r="N353" s="93">
        <f t="shared" si="257"/>
        <v>-9.793754556829608</v>
      </c>
      <c r="O353" s="93">
        <f t="shared" si="257"/>
        <v>-60.977774393671545</v>
      </c>
      <c r="P353" s="93">
        <f t="shared" si="257"/>
        <v>-42.020511268061206</v>
      </c>
      <c r="Q353" s="93">
        <f t="shared" si="257"/>
        <v>-91.795220321891037</v>
      </c>
      <c r="R353" s="93">
        <f t="shared" si="257"/>
        <v>-65.421837983102421</v>
      </c>
      <c r="S353" s="93">
        <f t="shared" si="257"/>
        <v>-79.942129359118667</v>
      </c>
      <c r="T353" s="93">
        <f t="shared" si="257"/>
        <v>-28.420391519931222</v>
      </c>
      <c r="U353" s="93">
        <f t="shared" si="257"/>
        <v>-28.363580436102772</v>
      </c>
      <c r="V353" s="93">
        <f t="shared" si="257"/>
        <v>-28.222523462022401</v>
      </c>
      <c r="W353" s="93">
        <f t="shared" si="257"/>
        <v>-28.229712703548053</v>
      </c>
      <c r="X353" s="93">
        <f t="shared" si="257"/>
        <v>-28.191712708852101</v>
      </c>
      <c r="Y353" s="93">
        <f t="shared" si="257"/>
        <v>-28.177225322621872</v>
      </c>
      <c r="Z353" s="93">
        <f t="shared" si="257"/>
        <v>-28.166198476754168</v>
      </c>
      <c r="AA353" s="93">
        <f t="shared" si="257"/>
        <v>-28.163395333349104</v>
      </c>
      <c r="AB353" s="93">
        <f t="shared" si="257"/>
        <v>-28.144562868256013</v>
      </c>
      <c r="AC353" s="93">
        <f t="shared" si="257"/>
        <v>-28.133774261293659</v>
      </c>
      <c r="AD353" s="93">
        <f t="shared" si="257"/>
        <v>-28.133457319367963</v>
      </c>
      <c r="AE353" s="93">
        <f t="shared" si="257"/>
        <v>-28.113457076435537</v>
      </c>
      <c r="AF353" s="93">
        <f t="shared" si="257"/>
        <v>-28.109214488274876</v>
      </c>
      <c r="AG353" s="93">
        <f t="shared" si="257"/>
        <v>-28.087794233924321</v>
      </c>
      <c r="AH353" s="93">
        <f t="shared" si="257"/>
        <v>-28.084605705791049</v>
      </c>
      <c r="AI353" s="93">
        <f t="shared" si="257"/>
        <v>-28.067437722193468</v>
      </c>
      <c r="AJ353" s="93">
        <f t="shared" si="252"/>
        <v>-337.57283551711413</v>
      </c>
    </row>
    <row r="354" spans="3:36" ht="14.25" hidden="1" customHeight="1" x14ac:dyDescent="0.35">
      <c r="D354" s="7" t="s">
        <v>316</v>
      </c>
      <c r="H354" t="s">
        <v>19</v>
      </c>
      <c r="K354" s="93">
        <f t="shared" si="251"/>
        <v>448.1538732754824</v>
      </c>
      <c r="L354" s="93">
        <f t="shared" ref="L354:AI354" si="258">L348+L349</f>
        <v>-101.44780827789286</v>
      </c>
      <c r="M354" s="93">
        <f t="shared" si="258"/>
        <v>-87.817209867732714</v>
      </c>
      <c r="N354" s="93">
        <f t="shared" si="258"/>
        <v>106.17970593512709</v>
      </c>
      <c r="O354" s="93">
        <f t="shared" si="258"/>
        <v>20.100824073009733</v>
      </c>
      <c r="P354" s="93">
        <f t="shared" si="258"/>
        <v>37.507320343210608</v>
      </c>
      <c r="Q354" s="93">
        <f t="shared" si="258"/>
        <v>114.17148915357461</v>
      </c>
      <c r="R354" s="93">
        <f t="shared" si="258"/>
        <v>105.12551843700749</v>
      </c>
      <c r="S354" s="93">
        <f t="shared" si="258"/>
        <v>-109.26208332558804</v>
      </c>
      <c r="T354" s="93">
        <f t="shared" si="258"/>
        <v>96.895492348170819</v>
      </c>
      <c r="U354" s="93">
        <f t="shared" si="258"/>
        <v>91.230480650563862</v>
      </c>
      <c r="V354" s="93">
        <f t="shared" si="258"/>
        <v>88.369280536697488</v>
      </c>
      <c r="W354" s="93">
        <f t="shared" si="258"/>
        <v>87.100863269334326</v>
      </c>
      <c r="X354" s="93">
        <f t="shared" si="258"/>
        <v>86.591420945125293</v>
      </c>
      <c r="Y354" s="93">
        <f t="shared" si="258"/>
        <v>86.398075619042629</v>
      </c>
      <c r="Z354" s="93">
        <f t="shared" si="258"/>
        <v>86.330115822316941</v>
      </c>
      <c r="AA354" s="93">
        <f t="shared" si="258"/>
        <v>86.307207912217905</v>
      </c>
      <c r="AB354" s="93">
        <f t="shared" si="258"/>
        <v>86.30810781373367</v>
      </c>
      <c r="AC354" s="93">
        <f t="shared" si="258"/>
        <v>86.315953370081218</v>
      </c>
      <c r="AD354" s="93">
        <f t="shared" si="258"/>
        <v>86.321038259530582</v>
      </c>
      <c r="AE354" s="93">
        <f t="shared" si="258"/>
        <v>86.332808340802501</v>
      </c>
      <c r="AF354" s="93">
        <f t="shared" si="258"/>
        <v>86.341746309844325</v>
      </c>
      <c r="AG354" s="93">
        <f t="shared" si="258"/>
        <v>86.356213474873726</v>
      </c>
      <c r="AH354" s="93">
        <f t="shared" si="258"/>
        <v>86.365989077765704</v>
      </c>
      <c r="AI354" s="93">
        <f t="shared" si="258"/>
        <v>86.37875306579059</v>
      </c>
      <c r="AJ354" s="93">
        <f t="shared" si="252"/>
        <v>1036.3474300111252</v>
      </c>
    </row>
    <row r="355" spans="3:36" ht="14.25" hidden="1" customHeight="1" x14ac:dyDescent="0.35">
      <c r="D355" s="7" t="s">
        <v>317</v>
      </c>
      <c r="H355" t="s">
        <v>13</v>
      </c>
      <c r="K355" s="94">
        <f t="shared" ref="K355:AJ355" si="259">IFERROR(K354/K348,0)</f>
        <v>0.1318300021467545</v>
      </c>
      <c r="L355" s="94">
        <f t="shared" si="259"/>
        <v>-3.3196043141813667</v>
      </c>
      <c r="M355" s="94">
        <f t="shared" si="259"/>
        <v>-329.21165836075994</v>
      </c>
      <c r="N355" s="94">
        <f t="shared" si="259"/>
        <v>0.70329027187580972</v>
      </c>
      <c r="O355" s="94">
        <f t="shared" si="259"/>
        <v>7.3444972689491156E-2</v>
      </c>
      <c r="P355" s="94">
        <f t="shared" si="259"/>
        <v>0.15510365246695121</v>
      </c>
      <c r="Q355" s="94">
        <f t="shared" si="259"/>
        <v>0.16686523641709131</v>
      </c>
      <c r="R355" s="94">
        <f t="shared" si="259"/>
        <v>0.24432581441906229</v>
      </c>
      <c r="S355" s="94">
        <f t="shared" si="259"/>
        <v>-0.31243692674868634</v>
      </c>
      <c r="T355" s="94">
        <f t="shared" si="259"/>
        <v>0.31307527924100714</v>
      </c>
      <c r="U355" s="94">
        <f t="shared" si="259"/>
        <v>0.29477127896038574</v>
      </c>
      <c r="V355" s="94">
        <f t="shared" si="259"/>
        <v>0.28552656588958181</v>
      </c>
      <c r="W355" s="94">
        <f t="shared" si="259"/>
        <v>0.2814282318953964</v>
      </c>
      <c r="X355" s="94">
        <f t="shared" si="259"/>
        <v>0.27978219249723918</v>
      </c>
      <c r="Y355" s="94">
        <f t="shared" si="259"/>
        <v>0.27915748188907419</v>
      </c>
      <c r="Z355" s="94">
        <f t="shared" si="259"/>
        <v>0.2789378996172735</v>
      </c>
      <c r="AA355" s="94">
        <f t="shared" si="259"/>
        <v>0.27886388275459723</v>
      </c>
      <c r="AB355" s="94">
        <f t="shared" si="259"/>
        <v>0.27886679039159368</v>
      </c>
      <c r="AC355" s="94">
        <f t="shared" si="259"/>
        <v>0.27889213986539046</v>
      </c>
      <c r="AD355" s="94">
        <f t="shared" si="259"/>
        <v>0.27890856945510295</v>
      </c>
      <c r="AE355" s="94">
        <f t="shared" si="259"/>
        <v>0.27894659930965648</v>
      </c>
      <c r="AF355" s="94">
        <f t="shared" si="259"/>
        <v>0.27897547843587595</v>
      </c>
      <c r="AG355" s="94">
        <f t="shared" si="259"/>
        <v>0.27902222273348609</v>
      </c>
      <c r="AH355" s="94">
        <f t="shared" si="259"/>
        <v>0.27905380830605492</v>
      </c>
      <c r="AI355" s="94">
        <f t="shared" si="259"/>
        <v>0.27909504953429248</v>
      </c>
      <c r="AJ355" s="94">
        <f t="shared" si="259"/>
        <v>0.27904184289913642</v>
      </c>
    </row>
    <row r="356" spans="3:36" ht="14.25" hidden="1" customHeight="1" x14ac:dyDescent="0.35">
      <c r="D356" s="7" t="s">
        <v>318</v>
      </c>
      <c r="H356" t="s">
        <v>319</v>
      </c>
      <c r="K356" s="95">
        <f>SUM(L356:W356)</f>
        <v>25810.101010101011</v>
      </c>
      <c r="L356" s="95">
        <f>'Business Plan - Model Details'!J675</f>
        <v>0</v>
      </c>
      <c r="M356" s="95">
        <f>'Business Plan - Model Details'!K675</f>
        <v>0</v>
      </c>
      <c r="N356" s="95">
        <f>'Business Plan - Model Details'!L675</f>
        <v>0</v>
      </c>
      <c r="O356" s="95">
        <f>'Business Plan - Model Details'!M675</f>
        <v>0</v>
      </c>
      <c r="P356" s="95">
        <f>'Business Plan - Model Details'!N675</f>
        <v>0</v>
      </c>
      <c r="Q356" s="95">
        <f>'Business Plan - Model Details'!O675</f>
        <v>0</v>
      </c>
      <c r="R356" s="95">
        <f>'Business Plan - Model Details'!P675</f>
        <v>0</v>
      </c>
      <c r="S356" s="95">
        <f>'Business Plan - Model Details'!Q675</f>
        <v>0</v>
      </c>
      <c r="T356" s="95">
        <f>'Business Plan - Model Details'!R675</f>
        <v>6452.5252525252527</v>
      </c>
      <c r="U356" s="95">
        <f>'Business Plan - Model Details'!S675</f>
        <v>6452.5252525252527</v>
      </c>
      <c r="V356" s="95">
        <f>'Business Plan - Model Details'!T675</f>
        <v>6452.5252525252527</v>
      </c>
      <c r="W356" s="95">
        <f>'Business Plan - Model Details'!U675</f>
        <v>6452.5252525252527</v>
      </c>
      <c r="X356" s="95">
        <f>'Business Plan - Model Details'!V675</f>
        <v>6452.5252525252527</v>
      </c>
      <c r="Y356" s="95">
        <f>'Business Plan - Model Details'!W675</f>
        <v>6452.5252525252527</v>
      </c>
      <c r="Z356" s="95">
        <f>'Business Plan - Model Details'!X675</f>
        <v>6452.5252525252527</v>
      </c>
      <c r="AA356" s="95">
        <f>'Business Plan - Model Details'!Y675</f>
        <v>6452.5252525252527</v>
      </c>
      <c r="AB356" s="95">
        <f>'Business Plan - Model Details'!Z675</f>
        <v>6452.5252525252527</v>
      </c>
      <c r="AC356" s="95">
        <f>'Business Plan - Model Details'!AA675</f>
        <v>6452.5252525252527</v>
      </c>
      <c r="AD356" s="95">
        <f>'Business Plan - Model Details'!AB675</f>
        <v>6452.5252525252527</v>
      </c>
      <c r="AE356" s="95">
        <f>'Business Plan - Model Details'!AC675</f>
        <v>6452.5252525252527</v>
      </c>
      <c r="AF356" s="95">
        <f>'Business Plan - Model Details'!AD675</f>
        <v>6452.5252525252527</v>
      </c>
      <c r="AG356" s="95">
        <f>'Business Plan - Model Details'!AE675</f>
        <v>6452.5252525252527</v>
      </c>
      <c r="AH356" s="95">
        <f>'Business Plan - Model Details'!AF675</f>
        <v>6452.5252525252527</v>
      </c>
      <c r="AI356" s="95">
        <f>'Business Plan - Model Details'!AG675</f>
        <v>6452.5252525252527</v>
      </c>
      <c r="AJ356" s="95">
        <f>SUM(X356:AI356)</f>
        <v>77430.303030303025</v>
      </c>
    </row>
    <row r="357" spans="3:36" ht="14.25" hidden="1" customHeight="1" x14ac:dyDescent="0.35">
      <c r="D357" s="7" t="s">
        <v>320</v>
      </c>
      <c r="H357" t="s">
        <v>319</v>
      </c>
      <c r="K357" s="95">
        <f>SUM(L357:W357)</f>
        <v>76652.649999999994</v>
      </c>
      <c r="L357" s="95">
        <f>'Business Plan - Model Details'!J669</f>
        <v>0</v>
      </c>
      <c r="M357" s="95">
        <f>'Business Plan - Model Details'!K669</f>
        <v>1985.4</v>
      </c>
      <c r="N357" s="95">
        <f>'Business Plan - Model Details'!L669</f>
        <v>1287</v>
      </c>
      <c r="O357" s="95">
        <f>'Business Plan - Model Details'!M669</f>
        <v>5966.25</v>
      </c>
      <c r="P357" s="95">
        <f>'Business Plan - Model Details'!N669</f>
        <v>4986</v>
      </c>
      <c r="Q357" s="95">
        <f>'Business Plan - Model Details'!O669</f>
        <v>14778.5</v>
      </c>
      <c r="R357" s="95">
        <f>'Business Plan - Model Details'!P669</f>
        <v>8721.5</v>
      </c>
      <c r="S357" s="95">
        <f>'Business Plan - Model Details'!Q669</f>
        <v>13376</v>
      </c>
      <c r="T357" s="95">
        <f>'Business Plan - Model Details'!R669</f>
        <v>6388</v>
      </c>
      <c r="U357" s="95">
        <f>'Business Plan - Model Details'!S669</f>
        <v>6388</v>
      </c>
      <c r="V357" s="95">
        <f>'Business Plan - Model Details'!T669</f>
        <v>6388</v>
      </c>
      <c r="W357" s="95">
        <f>'Business Plan - Model Details'!U669</f>
        <v>6388</v>
      </c>
      <c r="X357" s="95">
        <f>'Business Plan - Model Details'!V669</f>
        <v>6388</v>
      </c>
      <c r="Y357" s="95">
        <f>'Business Plan - Model Details'!W669</f>
        <v>6388</v>
      </c>
      <c r="Z357" s="95">
        <f>'Business Plan - Model Details'!X669</f>
        <v>6388</v>
      </c>
      <c r="AA357" s="95">
        <f>'Business Plan - Model Details'!Y669</f>
        <v>6388</v>
      </c>
      <c r="AB357" s="95">
        <f>'Business Plan - Model Details'!Z669</f>
        <v>6388</v>
      </c>
      <c r="AC357" s="95">
        <f>'Business Plan - Model Details'!AA669</f>
        <v>6388</v>
      </c>
      <c r="AD357" s="95">
        <f>'Business Plan - Model Details'!AB669</f>
        <v>6388</v>
      </c>
      <c r="AE357" s="95">
        <f>'Business Plan - Model Details'!AC669</f>
        <v>6388</v>
      </c>
      <c r="AF357" s="95">
        <f>'Business Plan - Model Details'!AD669</f>
        <v>6388</v>
      </c>
      <c r="AG357" s="95">
        <f>'Business Plan - Model Details'!AE669</f>
        <v>6388</v>
      </c>
      <c r="AH357" s="95">
        <f>'Business Plan - Model Details'!AF669</f>
        <v>6388</v>
      </c>
      <c r="AI357" s="95">
        <f>'Business Plan - Model Details'!AG669</f>
        <v>6388</v>
      </c>
      <c r="AJ357" s="95">
        <f>SUM(X357:AI357)</f>
        <v>76656</v>
      </c>
    </row>
    <row r="358" spans="3:36" hidden="1" x14ac:dyDescent="0.35"/>
    <row r="359" spans="3:36" ht="14.25" hidden="1" customHeight="1" x14ac:dyDescent="0.35">
      <c r="C359" s="6" t="s">
        <v>22</v>
      </c>
    </row>
    <row r="360" spans="3:36" ht="14.25" hidden="1" customHeight="1" x14ac:dyDescent="0.35">
      <c r="D360" s="7" t="s">
        <v>28</v>
      </c>
      <c r="H360" t="s">
        <v>19</v>
      </c>
      <c r="K360" s="93">
        <f t="shared" ref="K360:K366" si="260">SUM(L360:W360)</f>
        <v>3177.5583753081237</v>
      </c>
      <c r="L360" s="93">
        <f>'Business Plan - Model Details'!J78/10^6</f>
        <v>25.717483000000001</v>
      </c>
      <c r="M360" s="93">
        <f>'Business Plan - Model Details'!K78/10^6</f>
        <v>0.49815999999999999</v>
      </c>
      <c r="N360" s="93">
        <f>'Business Plan - Model Details'!L78/10^6</f>
        <v>150.95685</v>
      </c>
      <c r="O360" s="93">
        <f>'Business Plan - Model Details'!M78/10^6</f>
        <v>264.00085000000001</v>
      </c>
      <c r="P360" s="93">
        <f>'Business Plan - Model Details'!N78/10^6</f>
        <v>255.54650000000001</v>
      </c>
      <c r="Q360" s="93">
        <f>'Business Plan - Model Details'!O78/10^6</f>
        <v>653.88289999999995</v>
      </c>
      <c r="R360" s="93">
        <f>'Business Plan - Model Details'!P78/10^6</f>
        <v>404.6592</v>
      </c>
      <c r="S360" s="93">
        <f>'Business Plan - Model Details'!Q78/10^6</f>
        <v>354.6037</v>
      </c>
      <c r="T360" s="93">
        <f>'Business Plan - Model Details'!R78/10^6</f>
        <v>266.92318307703073</v>
      </c>
      <c r="U360" s="93">
        <f>'Business Plan - Model Details'!S78/10^6</f>
        <v>266.92318307703073</v>
      </c>
      <c r="V360" s="93">
        <f>'Business Plan - Model Details'!T78/10^6</f>
        <v>266.92318307703073</v>
      </c>
      <c r="W360" s="93">
        <f>'Business Plan - Model Details'!U78/10^6</f>
        <v>266.92318307703073</v>
      </c>
      <c r="X360" s="93">
        <f>'Business Plan - Model Details'!V78/10^6</f>
        <v>266.92318307703073</v>
      </c>
      <c r="Y360" s="93">
        <f>'Business Plan - Model Details'!W78/10^6</f>
        <v>266.92318307703073</v>
      </c>
      <c r="Z360" s="93">
        <f>'Business Plan - Model Details'!X78/10^6</f>
        <v>266.92318307703073</v>
      </c>
      <c r="AA360" s="93">
        <f>'Business Plan - Model Details'!Y78/10^6</f>
        <v>266.92318307703073</v>
      </c>
      <c r="AB360" s="93">
        <f>'Business Plan - Model Details'!Z78/10^6</f>
        <v>266.92318307703073</v>
      </c>
      <c r="AC360" s="93">
        <f>'Business Plan - Model Details'!AA78/10^6</f>
        <v>266.92318307703073</v>
      </c>
      <c r="AD360" s="93">
        <f>'Business Plan - Model Details'!AB78/10^6</f>
        <v>266.92318307703073</v>
      </c>
      <c r="AE360" s="93">
        <f>'Business Plan - Model Details'!AC78/10^6</f>
        <v>266.92318307703073</v>
      </c>
      <c r="AF360" s="93">
        <f>'Business Plan - Model Details'!AD78/10^6</f>
        <v>266.92318307703073</v>
      </c>
      <c r="AG360" s="93">
        <f>'Business Plan - Model Details'!AE78/10^6</f>
        <v>266.92318307703073</v>
      </c>
      <c r="AH360" s="93">
        <f>'Business Plan - Model Details'!AF78/10^6</f>
        <v>266.92318307703073</v>
      </c>
      <c r="AI360" s="93">
        <f>'Business Plan - Model Details'!AG78/10^6</f>
        <v>266.92318307703073</v>
      </c>
      <c r="AJ360" s="93">
        <f t="shared" ref="AJ360:AJ366" si="261">SUM(X360:AI360)</f>
        <v>3203.0781969243694</v>
      </c>
    </row>
    <row r="361" spans="3:36" ht="14.25" hidden="1" customHeight="1" x14ac:dyDescent="0.35">
      <c r="D361" s="7" t="s">
        <v>311</v>
      </c>
      <c r="H361" t="s">
        <v>19</v>
      </c>
      <c r="K361" s="93">
        <f t="shared" si="260"/>
        <v>-2374.1797177322119</v>
      </c>
      <c r="L361" s="93">
        <f t="shared" ref="L361:AI361" si="262">L48</f>
        <v>0</v>
      </c>
      <c r="M361" s="93">
        <f t="shared" si="262"/>
        <v>-153.98799191578996</v>
      </c>
      <c r="N361" s="93">
        <f t="shared" si="262"/>
        <v>0</v>
      </c>
      <c r="O361" s="93">
        <f t="shared" si="262"/>
        <v>-230.39068274323296</v>
      </c>
      <c r="P361" s="93">
        <f t="shared" si="262"/>
        <v>-194.76968933134802</v>
      </c>
      <c r="Q361" s="93">
        <f t="shared" si="262"/>
        <v>-485.12357856661885</v>
      </c>
      <c r="R361" s="93">
        <f t="shared" si="262"/>
        <v>-315.92518681841733</v>
      </c>
      <c r="S361" s="93">
        <f t="shared" si="262"/>
        <v>-235.48817570249093</v>
      </c>
      <c r="T361" s="93">
        <f t="shared" si="262"/>
        <v>-187.72042371603715</v>
      </c>
      <c r="U361" s="93">
        <f t="shared" si="262"/>
        <v>-189.89201532173249</v>
      </c>
      <c r="V361" s="93">
        <f t="shared" si="262"/>
        <v>-190.38210756247864</v>
      </c>
      <c r="W361" s="93">
        <f t="shared" si="262"/>
        <v>-190.49986605406568</v>
      </c>
      <c r="X361" s="93">
        <f t="shared" si="262"/>
        <v>-190.50520397574053</v>
      </c>
      <c r="Y361" s="93">
        <f t="shared" si="262"/>
        <v>-190.49704084282314</v>
      </c>
      <c r="Z361" s="93">
        <f t="shared" si="262"/>
        <v>-190.48704217315503</v>
      </c>
      <c r="AA361" s="93">
        <f t="shared" si="262"/>
        <v>-190.43863385503784</v>
      </c>
      <c r="AB361" s="93">
        <f t="shared" si="262"/>
        <v>-190.41397114974819</v>
      </c>
      <c r="AC361" s="93">
        <f t="shared" si="262"/>
        <v>-190.39841349525636</v>
      </c>
      <c r="AD361" s="93">
        <f t="shared" si="262"/>
        <v>-190.39291270897388</v>
      </c>
      <c r="AE361" s="93">
        <f t="shared" si="262"/>
        <v>-190.37698964541926</v>
      </c>
      <c r="AF361" s="93">
        <f t="shared" si="262"/>
        <v>-190.37004813340189</v>
      </c>
      <c r="AG361" s="93">
        <f t="shared" si="262"/>
        <v>-190.35514232514242</v>
      </c>
      <c r="AH361" s="93">
        <f t="shared" si="262"/>
        <v>-190.34914032316277</v>
      </c>
      <c r="AI361" s="93">
        <f t="shared" si="262"/>
        <v>-190.33706810890652</v>
      </c>
      <c r="AJ361" s="93">
        <f t="shared" si="261"/>
        <v>-2284.9216067367674</v>
      </c>
    </row>
    <row r="362" spans="3:36" ht="14.25" hidden="1" customHeight="1" x14ac:dyDescent="0.35">
      <c r="D362" s="7" t="s">
        <v>312</v>
      </c>
      <c r="H362" t="s">
        <v>19</v>
      </c>
      <c r="K362" s="93">
        <f t="shared" si="260"/>
        <v>-1958.5236758920998</v>
      </c>
      <c r="L362" s="93">
        <f t="shared" ref="L362:AI362" si="263">SUM(L50:L54)</f>
        <v>0</v>
      </c>
      <c r="M362" s="93">
        <f t="shared" si="263"/>
        <v>-118.06389979199604</v>
      </c>
      <c r="N362" s="93">
        <f t="shared" si="263"/>
        <v>0</v>
      </c>
      <c r="O362" s="93">
        <f t="shared" si="263"/>
        <v>-181.43393469165073</v>
      </c>
      <c r="P362" s="93">
        <f t="shared" si="263"/>
        <v>-156.78062375872906</v>
      </c>
      <c r="Q362" s="93">
        <f t="shared" si="263"/>
        <v>-405.59507589232999</v>
      </c>
      <c r="R362" s="93">
        <f t="shared" si="263"/>
        <v>-248.1371117201893</v>
      </c>
      <c r="S362" s="93">
        <f t="shared" si="263"/>
        <v>-192.85305673258767</v>
      </c>
      <c r="T362" s="93">
        <f t="shared" si="263"/>
        <v>-164.01344300053546</v>
      </c>
      <c r="U362" s="93">
        <f t="shared" si="263"/>
        <v>-163.90621232496093</v>
      </c>
      <c r="V362" s="93">
        <f t="shared" si="263"/>
        <v>-163.87604775907448</v>
      </c>
      <c r="W362" s="93">
        <f t="shared" si="263"/>
        <v>-163.86427022004619</v>
      </c>
      <c r="X362" s="93">
        <f t="shared" si="263"/>
        <v>-163.85914454619663</v>
      </c>
      <c r="Y362" s="93">
        <f t="shared" si="263"/>
        <v>-163.85683921934549</v>
      </c>
      <c r="Z362" s="93">
        <f t="shared" si="263"/>
        <v>-163.85578906267259</v>
      </c>
      <c r="AA362" s="93">
        <f t="shared" si="263"/>
        <v>-163.85530726783682</v>
      </c>
      <c r="AB362" s="93">
        <f t="shared" si="263"/>
        <v>-163.85508393916439</v>
      </c>
      <c r="AC362" s="93">
        <f t="shared" si="263"/>
        <v>-163.85497895899869</v>
      </c>
      <c r="AD362" s="93">
        <f t="shared" si="263"/>
        <v>-163.85492867183393</v>
      </c>
      <c r="AE362" s="93">
        <f t="shared" si="263"/>
        <v>-163.85490395978945</v>
      </c>
      <c r="AF362" s="93">
        <f t="shared" si="263"/>
        <v>-163.85489141673546</v>
      </c>
      <c r="AG362" s="93">
        <f t="shared" si="263"/>
        <v>-163.85488480101412</v>
      </c>
      <c r="AH362" s="93">
        <f t="shared" si="263"/>
        <v>-163.8548811603028</v>
      </c>
      <c r="AI362" s="93">
        <f t="shared" si="263"/>
        <v>-163.85487906861539</v>
      </c>
      <c r="AJ362" s="93">
        <f t="shared" si="261"/>
        <v>-1966.2665120725057</v>
      </c>
    </row>
    <row r="363" spans="3:36" ht="14.25" hidden="1" customHeight="1" x14ac:dyDescent="0.35">
      <c r="D363" s="7" t="s">
        <v>313</v>
      </c>
      <c r="H363" t="s">
        <v>19</v>
      </c>
      <c r="K363" s="93">
        <f t="shared" si="260"/>
        <v>1.3504177331924439E-14</v>
      </c>
      <c r="L363" s="93">
        <f t="shared" ref="L363:AI363" si="264">L59+L60</f>
        <v>0</v>
      </c>
      <c r="M363" s="93">
        <f t="shared" si="264"/>
        <v>0</v>
      </c>
      <c r="N363" s="93">
        <f t="shared" si="264"/>
        <v>0</v>
      </c>
      <c r="O363" s="93">
        <f t="shared" si="264"/>
        <v>0</v>
      </c>
      <c r="P363" s="93">
        <f t="shared" si="264"/>
        <v>0</v>
      </c>
      <c r="Q363" s="93">
        <f t="shared" si="264"/>
        <v>0</v>
      </c>
      <c r="R363" s="93">
        <f t="shared" si="264"/>
        <v>0</v>
      </c>
      <c r="S363" s="93">
        <f t="shared" si="264"/>
        <v>0</v>
      </c>
      <c r="T363" s="93">
        <f t="shared" si="264"/>
        <v>1.9557774066925048E-14</v>
      </c>
      <c r="U363" s="93">
        <f t="shared" si="264"/>
        <v>-1.9557774066925048E-14</v>
      </c>
      <c r="V363" s="93">
        <f t="shared" si="264"/>
        <v>1.2572854757308959E-14</v>
      </c>
      <c r="W363" s="93">
        <f t="shared" si="264"/>
        <v>9.3132257461547907E-16</v>
      </c>
      <c r="X363" s="93">
        <f t="shared" si="264"/>
        <v>5.3551048040390023E-15</v>
      </c>
      <c r="Y363" s="93">
        <f t="shared" si="264"/>
        <v>-1.8859282135963441E-14</v>
      </c>
      <c r="Z363" s="93">
        <f t="shared" si="264"/>
        <v>6.2864273786544797E-15</v>
      </c>
      <c r="AA363" s="93">
        <f t="shared" si="264"/>
        <v>2.6542693376541139E-14</v>
      </c>
      <c r="AB363" s="93">
        <f t="shared" si="264"/>
        <v>-6.5192580223083535E-15</v>
      </c>
      <c r="AC363" s="93">
        <f t="shared" si="264"/>
        <v>1.6996636986732483E-14</v>
      </c>
      <c r="AD363" s="93">
        <f t="shared" si="264"/>
        <v>-4.7031790018081666E-14</v>
      </c>
      <c r="AE363" s="93">
        <f t="shared" si="264"/>
        <v>-1.6298145055770876E-15</v>
      </c>
      <c r="AF363" s="93">
        <f t="shared" si="264"/>
        <v>1.6065314412117004E-14</v>
      </c>
      <c r="AG363" s="93">
        <f t="shared" si="264"/>
        <v>-2.4680048227310181E-14</v>
      </c>
      <c r="AH363" s="93">
        <f t="shared" si="264"/>
        <v>2.6542693376541139E-14</v>
      </c>
      <c r="AI363" s="93">
        <f t="shared" si="264"/>
        <v>8.3819031715393084E-15</v>
      </c>
      <c r="AJ363" s="93">
        <f t="shared" si="261"/>
        <v>7.4505805969238262E-15</v>
      </c>
    </row>
    <row r="364" spans="3:36" ht="14.25" hidden="1" customHeight="1" x14ac:dyDescent="0.35">
      <c r="D364" s="7" t="s">
        <v>314</v>
      </c>
      <c r="H364" t="s">
        <v>19</v>
      </c>
      <c r="K364" s="93">
        <f t="shared" si="260"/>
        <v>4.2227533536529904</v>
      </c>
      <c r="L364" s="93">
        <f t="shared" ref="L364:AI364" si="265">L61+L62</f>
        <v>0</v>
      </c>
      <c r="M364" s="93">
        <f t="shared" si="265"/>
        <v>0</v>
      </c>
      <c r="N364" s="93">
        <f t="shared" si="265"/>
        <v>0</v>
      </c>
      <c r="O364" s="93">
        <f t="shared" si="265"/>
        <v>0</v>
      </c>
      <c r="P364" s="93">
        <f t="shared" si="265"/>
        <v>0</v>
      </c>
      <c r="Q364" s="93">
        <f t="shared" si="265"/>
        <v>0</v>
      </c>
      <c r="R364" s="93">
        <f t="shared" si="265"/>
        <v>0</v>
      </c>
      <c r="S364" s="93">
        <f t="shared" si="265"/>
        <v>0</v>
      </c>
      <c r="T364" s="93">
        <f t="shared" si="265"/>
        <v>3.1610261726670927</v>
      </c>
      <c r="U364" s="93">
        <f t="shared" si="265"/>
        <v>0.82914083930138816</v>
      </c>
      <c r="V364" s="93">
        <f t="shared" si="265"/>
        <v>0.18756329004412464</v>
      </c>
      <c r="W364" s="93">
        <f t="shared" si="265"/>
        <v>4.5023051640384892E-2</v>
      </c>
      <c r="X364" s="93">
        <f t="shared" si="265"/>
        <v>2.1796768731263683E-3</v>
      </c>
      <c r="Y364" s="93">
        <f t="shared" si="265"/>
        <v>-3.0633387367515752E-3</v>
      </c>
      <c r="Z364" s="93">
        <f t="shared" si="265"/>
        <v>-3.7739421124172168E-3</v>
      </c>
      <c r="AA364" s="93">
        <f t="shared" si="265"/>
        <v>-1.8229423686165092E-2</v>
      </c>
      <c r="AB364" s="93">
        <f t="shared" si="265"/>
        <v>-9.3493681155791819E-3</v>
      </c>
      <c r="AC364" s="93">
        <f t="shared" si="265"/>
        <v>-5.8895686480155973E-3</v>
      </c>
      <c r="AD364" s="93">
        <f t="shared" si="265"/>
        <v>-2.092220720285809E-3</v>
      </c>
      <c r="AE364" s="93">
        <f t="shared" si="265"/>
        <v>-5.9994817318624882E-3</v>
      </c>
      <c r="AF364" s="93">
        <f t="shared" si="265"/>
        <v>-2.6347546903764396E-3</v>
      </c>
      <c r="AG364" s="93">
        <f t="shared" si="265"/>
        <v>-5.6187710245865219E-3</v>
      </c>
      <c r="AH364" s="93">
        <f t="shared" si="265"/>
        <v>-2.2797888894956486E-3</v>
      </c>
      <c r="AI364" s="93">
        <f t="shared" si="265"/>
        <v>-4.5511972500094089E-3</v>
      </c>
      <c r="AJ364" s="93">
        <f t="shared" si="261"/>
        <v>-6.1302178732418611E-2</v>
      </c>
    </row>
    <row r="365" spans="3:36" ht="14.25" hidden="1" customHeight="1" x14ac:dyDescent="0.35">
      <c r="D365" s="7" t="s">
        <v>315</v>
      </c>
      <c r="H365" t="s">
        <v>19</v>
      </c>
      <c r="K365" s="93">
        <f t="shared" si="260"/>
        <v>-419.87879519376503</v>
      </c>
      <c r="L365" s="93">
        <f t="shared" ref="L365:AI365" si="266">L55+L56</f>
        <v>0</v>
      </c>
      <c r="M365" s="93">
        <f t="shared" si="266"/>
        <v>-35.924092123793905</v>
      </c>
      <c r="N365" s="93">
        <f t="shared" si="266"/>
        <v>0</v>
      </c>
      <c r="O365" s="93">
        <f t="shared" si="266"/>
        <v>-48.956748051582224</v>
      </c>
      <c r="P365" s="93">
        <f t="shared" si="266"/>
        <v>-37.989065572618941</v>
      </c>
      <c r="Q365" s="93">
        <f t="shared" si="266"/>
        <v>-79.528502674288859</v>
      </c>
      <c r="R365" s="93">
        <f t="shared" si="266"/>
        <v>-67.788075098228049</v>
      </c>
      <c r="S365" s="93">
        <f t="shared" si="266"/>
        <v>-42.635118969903246</v>
      </c>
      <c r="T365" s="93">
        <f t="shared" si="266"/>
        <v>-26.868006888168814</v>
      </c>
      <c r="U365" s="93">
        <f t="shared" si="266"/>
        <v>-26.814943836072938</v>
      </c>
      <c r="V365" s="93">
        <f t="shared" si="266"/>
        <v>-26.693623093448277</v>
      </c>
      <c r="W365" s="93">
        <f t="shared" si="266"/>
        <v>-26.680618885659847</v>
      </c>
      <c r="X365" s="93">
        <f t="shared" si="266"/>
        <v>-26.648239106417019</v>
      </c>
      <c r="Y365" s="93">
        <f t="shared" si="266"/>
        <v>-26.637138284740875</v>
      </c>
      <c r="Z365" s="93">
        <f t="shared" si="266"/>
        <v>-26.627479168370016</v>
      </c>
      <c r="AA365" s="93">
        <f t="shared" si="266"/>
        <v>-26.565097163514878</v>
      </c>
      <c r="AB365" s="93">
        <f t="shared" si="266"/>
        <v>-26.549537842468208</v>
      </c>
      <c r="AC365" s="93">
        <f t="shared" si="266"/>
        <v>-26.537544967609676</v>
      </c>
      <c r="AD365" s="93">
        <f t="shared" si="266"/>
        <v>-26.535891816419614</v>
      </c>
      <c r="AE365" s="93">
        <f t="shared" si="266"/>
        <v>-26.516086203897956</v>
      </c>
      <c r="AF365" s="93">
        <f t="shared" si="266"/>
        <v>-26.512521961976056</v>
      </c>
      <c r="AG365" s="93">
        <f t="shared" si="266"/>
        <v>-26.494638753103757</v>
      </c>
      <c r="AH365" s="93">
        <f t="shared" si="266"/>
        <v>-26.491979373970494</v>
      </c>
      <c r="AI365" s="93">
        <f t="shared" si="266"/>
        <v>-26.477637843041158</v>
      </c>
      <c r="AJ365" s="93">
        <f t="shared" si="261"/>
        <v>-318.59379248552972</v>
      </c>
    </row>
    <row r="366" spans="3:36" ht="14.25" hidden="1" customHeight="1" x14ac:dyDescent="0.35">
      <c r="D366" s="7" t="s">
        <v>316</v>
      </c>
      <c r="H366" t="s">
        <v>19</v>
      </c>
      <c r="K366" s="93">
        <f t="shared" si="260"/>
        <v>803.37865757591101</v>
      </c>
      <c r="L366" s="93">
        <f t="shared" ref="L366:AI366" si="267">L360+L361</f>
        <v>25.717483000000001</v>
      </c>
      <c r="M366" s="93">
        <f t="shared" si="267"/>
        <v>-153.48983191578995</v>
      </c>
      <c r="N366" s="93">
        <f t="shared" si="267"/>
        <v>150.95685</v>
      </c>
      <c r="O366" s="93">
        <f t="shared" si="267"/>
        <v>33.610167256767056</v>
      </c>
      <c r="P366" s="93">
        <f t="shared" si="267"/>
        <v>60.77681066865199</v>
      </c>
      <c r="Q366" s="93">
        <f t="shared" si="267"/>
        <v>168.7593214333811</v>
      </c>
      <c r="R366" s="93">
        <f t="shared" si="267"/>
        <v>88.734013181582668</v>
      </c>
      <c r="S366" s="93">
        <f t="shared" si="267"/>
        <v>119.11552429750907</v>
      </c>
      <c r="T366" s="93">
        <f t="shared" si="267"/>
        <v>79.202759360993582</v>
      </c>
      <c r="U366" s="93">
        <f t="shared" si="267"/>
        <v>77.031167755298242</v>
      </c>
      <c r="V366" s="93">
        <f t="shared" si="267"/>
        <v>76.541075514552091</v>
      </c>
      <c r="W366" s="93">
        <f t="shared" si="267"/>
        <v>76.423317022965051</v>
      </c>
      <c r="X366" s="93">
        <f t="shared" si="267"/>
        <v>76.4179791012902</v>
      </c>
      <c r="Y366" s="93">
        <f t="shared" si="267"/>
        <v>76.426142234207589</v>
      </c>
      <c r="Z366" s="93">
        <f t="shared" si="267"/>
        <v>76.436140903875696</v>
      </c>
      <c r="AA366" s="93">
        <f t="shared" si="267"/>
        <v>76.484549221992893</v>
      </c>
      <c r="AB366" s="93">
        <f t="shared" si="267"/>
        <v>76.509211927282536</v>
      </c>
      <c r="AC366" s="93">
        <f t="shared" si="267"/>
        <v>76.524769581774365</v>
      </c>
      <c r="AD366" s="93">
        <f t="shared" si="267"/>
        <v>76.530270368056847</v>
      </c>
      <c r="AE366" s="93">
        <f t="shared" si="267"/>
        <v>76.546193431611471</v>
      </c>
      <c r="AF366" s="93">
        <f t="shared" si="267"/>
        <v>76.553134943628834</v>
      </c>
      <c r="AG366" s="93">
        <f t="shared" si="267"/>
        <v>76.568040751888304</v>
      </c>
      <c r="AH366" s="93">
        <f t="shared" si="267"/>
        <v>76.574042753867957</v>
      </c>
      <c r="AI366" s="93">
        <f t="shared" si="267"/>
        <v>76.586114968124207</v>
      </c>
      <c r="AJ366" s="93">
        <f t="shared" si="261"/>
        <v>918.15659018760107</v>
      </c>
    </row>
    <row r="367" spans="3:36" ht="14.25" hidden="1" customHeight="1" x14ac:dyDescent="0.35">
      <c r="D367" s="7" t="s">
        <v>317</v>
      </c>
      <c r="H367" t="s">
        <v>13</v>
      </c>
      <c r="K367" s="94">
        <f t="shared" ref="K367:AJ367" si="268">IFERROR(K366/K360,0)</f>
        <v>0.25282892167103255</v>
      </c>
      <c r="L367" s="94">
        <f t="shared" si="268"/>
        <v>1</v>
      </c>
      <c r="M367" s="94">
        <f t="shared" si="268"/>
        <v>-308.1135215910349</v>
      </c>
      <c r="N367" s="94">
        <f t="shared" si="268"/>
        <v>1</v>
      </c>
      <c r="O367" s="94">
        <f t="shared" si="268"/>
        <v>0.12731082970667351</v>
      </c>
      <c r="P367" s="94">
        <f t="shared" si="268"/>
        <v>0.23783073009668296</v>
      </c>
      <c r="Q367" s="94">
        <f t="shared" si="268"/>
        <v>0.25808798705912195</v>
      </c>
      <c r="R367" s="94">
        <f t="shared" si="268"/>
        <v>0.21928084961761074</v>
      </c>
      <c r="S367" s="94">
        <f t="shared" si="268"/>
        <v>0.33591167914353143</v>
      </c>
      <c r="T367" s="94">
        <f t="shared" si="268"/>
        <v>0.29672491706401033</v>
      </c>
      <c r="U367" s="94">
        <f t="shared" si="268"/>
        <v>0.28858927451448829</v>
      </c>
      <c r="V367" s="94">
        <f t="shared" si="268"/>
        <v>0.2867531948038522</v>
      </c>
      <c r="W367" s="94">
        <f t="shared" si="268"/>
        <v>0.28631202483791085</v>
      </c>
      <c r="X367" s="94">
        <f t="shared" si="268"/>
        <v>0.28629202686840777</v>
      </c>
      <c r="Y367" s="94">
        <f t="shared" si="268"/>
        <v>0.2863226091985871</v>
      </c>
      <c r="Z367" s="94">
        <f t="shared" si="268"/>
        <v>0.28636006817668275</v>
      </c>
      <c r="AA367" s="94">
        <f t="shared" si="268"/>
        <v>0.2865414249159482</v>
      </c>
      <c r="AB367" s="94">
        <f t="shared" si="268"/>
        <v>0.28663382118144054</v>
      </c>
      <c r="AC367" s="94">
        <f t="shared" si="268"/>
        <v>0.28669210631918124</v>
      </c>
      <c r="AD367" s="94">
        <f t="shared" si="268"/>
        <v>0.28671271444403224</v>
      </c>
      <c r="AE367" s="94">
        <f t="shared" si="268"/>
        <v>0.28677236854889893</v>
      </c>
      <c r="AF367" s="94">
        <f t="shared" si="268"/>
        <v>0.28679837420317494</v>
      </c>
      <c r="AG367" s="94">
        <f t="shared" si="268"/>
        <v>0.28685421726666477</v>
      </c>
      <c r="AH367" s="94">
        <f t="shared" si="268"/>
        <v>0.28687670314410135</v>
      </c>
      <c r="AI367" s="94">
        <f t="shared" si="268"/>
        <v>0.28692193044177211</v>
      </c>
      <c r="AJ367" s="94">
        <f t="shared" si="268"/>
        <v>0.28664819705907429</v>
      </c>
    </row>
    <row r="368" spans="3:36" ht="14.25" hidden="1" customHeight="1" x14ac:dyDescent="0.35">
      <c r="D368" s="7" t="s">
        <v>318</v>
      </c>
      <c r="H368" t="s">
        <v>319</v>
      </c>
      <c r="K368" s="95">
        <f>SUM(L368:W368)</f>
        <v>22482.525252525254</v>
      </c>
      <c r="L368" s="95">
        <f>'Business Plan - Model Details'!J839</f>
        <v>0</v>
      </c>
      <c r="M368" s="95">
        <f>'Business Plan - Model Details'!K839</f>
        <v>0</v>
      </c>
      <c r="N368" s="95">
        <f>'Business Plan - Model Details'!L839</f>
        <v>0</v>
      </c>
      <c r="O368" s="95">
        <f>'Business Plan - Model Details'!M839</f>
        <v>0</v>
      </c>
      <c r="P368" s="95">
        <f>'Business Plan - Model Details'!N839</f>
        <v>0</v>
      </c>
      <c r="Q368" s="95">
        <f>'Business Plan - Model Details'!O839</f>
        <v>0</v>
      </c>
      <c r="R368" s="95">
        <f>'Business Plan - Model Details'!P839</f>
        <v>0</v>
      </c>
      <c r="S368" s="95">
        <f>'Business Plan - Model Details'!Q839</f>
        <v>0</v>
      </c>
      <c r="T368" s="95">
        <f>'Business Plan - Model Details'!R839</f>
        <v>5620.6313131313136</v>
      </c>
      <c r="U368" s="95">
        <f>'Business Plan - Model Details'!S839</f>
        <v>5620.6313131313136</v>
      </c>
      <c r="V368" s="95">
        <f>'Business Plan - Model Details'!T839</f>
        <v>5620.6313131313136</v>
      </c>
      <c r="W368" s="95">
        <f>'Business Plan - Model Details'!U839</f>
        <v>5620.6313131313136</v>
      </c>
      <c r="X368" s="95">
        <f>'Business Plan - Model Details'!V839</f>
        <v>5620.6313131313136</v>
      </c>
      <c r="Y368" s="95">
        <f>'Business Plan - Model Details'!W839</f>
        <v>5620.6313131313136</v>
      </c>
      <c r="Z368" s="95">
        <f>'Business Plan - Model Details'!X839</f>
        <v>5620.6313131313136</v>
      </c>
      <c r="AA368" s="95">
        <f>'Business Plan - Model Details'!Y839</f>
        <v>5620.6313131313136</v>
      </c>
      <c r="AB368" s="95">
        <f>'Business Plan - Model Details'!Z839</f>
        <v>5620.6313131313136</v>
      </c>
      <c r="AC368" s="95">
        <f>'Business Plan - Model Details'!AA839</f>
        <v>5620.6313131313136</v>
      </c>
      <c r="AD368" s="95">
        <f>'Business Plan - Model Details'!AB839</f>
        <v>5620.6313131313136</v>
      </c>
      <c r="AE368" s="95">
        <f>'Business Plan - Model Details'!AC839</f>
        <v>5620.6313131313136</v>
      </c>
      <c r="AF368" s="95">
        <f>'Business Plan - Model Details'!AD839</f>
        <v>5620.6313131313136</v>
      </c>
      <c r="AG368" s="95">
        <f>'Business Plan - Model Details'!AE839</f>
        <v>5620.6313131313136</v>
      </c>
      <c r="AH368" s="95">
        <f>'Business Plan - Model Details'!AF839</f>
        <v>5620.6313131313136</v>
      </c>
      <c r="AI368" s="95">
        <f>'Business Plan - Model Details'!AG839</f>
        <v>5620.6313131313136</v>
      </c>
      <c r="AJ368" s="95">
        <f>SUM(X368:AI368)</f>
        <v>67447.57575757576</v>
      </c>
    </row>
    <row r="369" spans="3:36" ht="14.25" hidden="1" customHeight="1" x14ac:dyDescent="0.35">
      <c r="D369" s="7" t="s">
        <v>320</v>
      </c>
      <c r="H369" t="s">
        <v>319</v>
      </c>
      <c r="K369" s="95">
        <f>SUM(L369:W369)</f>
        <v>66241.100000000006</v>
      </c>
      <c r="L369" s="95">
        <f>'Business Plan - Model Details'!J833</f>
        <v>473</v>
      </c>
      <c r="M369" s="95">
        <f>'Business Plan - Model Details'!K833</f>
        <v>10.4</v>
      </c>
      <c r="N369" s="95">
        <f>'Business Plan - Model Details'!L833</f>
        <v>3151.5</v>
      </c>
      <c r="O369" s="95">
        <f>'Business Plan - Model Details'!M833</f>
        <v>5511.5</v>
      </c>
      <c r="P369" s="95">
        <f>'Business Plan - Model Details'!N833</f>
        <v>5335</v>
      </c>
      <c r="Q369" s="95">
        <f>'Business Plan - Model Details'!O833</f>
        <v>13651</v>
      </c>
      <c r="R369" s="95">
        <f>'Business Plan - Model Details'!P833</f>
        <v>8448</v>
      </c>
      <c r="S369" s="95">
        <f>'Business Plan - Model Details'!Q833</f>
        <v>7403</v>
      </c>
      <c r="T369" s="95">
        <f>'Business Plan - Model Details'!R833</f>
        <v>5564.4250000000002</v>
      </c>
      <c r="U369" s="95">
        <f>'Business Plan - Model Details'!S833</f>
        <v>5564.4250000000002</v>
      </c>
      <c r="V369" s="95">
        <f>'Business Plan - Model Details'!T833</f>
        <v>5564.4250000000002</v>
      </c>
      <c r="W369" s="95">
        <f>'Business Plan - Model Details'!U833</f>
        <v>5564.4250000000002</v>
      </c>
      <c r="X369" s="95">
        <f>'Business Plan - Model Details'!V833</f>
        <v>5564.4250000000002</v>
      </c>
      <c r="Y369" s="95">
        <f>'Business Plan - Model Details'!W833</f>
        <v>5564.4250000000002</v>
      </c>
      <c r="Z369" s="95">
        <f>'Business Plan - Model Details'!X833</f>
        <v>5564.4250000000002</v>
      </c>
      <c r="AA369" s="95">
        <f>'Business Plan - Model Details'!Y833</f>
        <v>5564.4250000000002</v>
      </c>
      <c r="AB369" s="95">
        <f>'Business Plan - Model Details'!Z833</f>
        <v>5564.4250000000002</v>
      </c>
      <c r="AC369" s="95">
        <f>'Business Plan - Model Details'!AA833</f>
        <v>5564.4250000000002</v>
      </c>
      <c r="AD369" s="95">
        <f>'Business Plan - Model Details'!AB833</f>
        <v>5564.4250000000002</v>
      </c>
      <c r="AE369" s="95">
        <f>'Business Plan - Model Details'!AC833</f>
        <v>5564.4250000000002</v>
      </c>
      <c r="AF369" s="95">
        <f>'Business Plan - Model Details'!AD833</f>
        <v>5564.4250000000002</v>
      </c>
      <c r="AG369" s="95">
        <f>'Business Plan - Model Details'!AE833</f>
        <v>5564.4250000000002</v>
      </c>
      <c r="AH369" s="95">
        <f>'Business Plan - Model Details'!AF833</f>
        <v>5564.4250000000002</v>
      </c>
      <c r="AI369" s="95">
        <f>'Business Plan - Model Details'!AG833</f>
        <v>5564.4250000000002</v>
      </c>
      <c r="AJ369" s="95">
        <f>SUM(X369:AI369)</f>
        <v>66773.10000000002</v>
      </c>
    </row>
    <row r="370" spans="3:36" hidden="1" x14ac:dyDescent="0.35"/>
    <row r="371" spans="3:36" ht="14.25" hidden="1" customHeight="1" x14ac:dyDescent="0.35">
      <c r="C371" s="6" t="s">
        <v>321</v>
      </c>
    </row>
    <row r="372" spans="3:36" ht="14.25" hidden="1" customHeight="1" x14ac:dyDescent="0.35">
      <c r="D372" s="7" t="s">
        <v>28</v>
      </c>
      <c r="H372" t="s">
        <v>19</v>
      </c>
      <c r="K372" s="93">
        <f t="shared" ref="K372:K378" si="269">SUM(L372:W372)</f>
        <v>3073.3863138350134</v>
      </c>
      <c r="L372" s="93">
        <f>'Business Plan - Model Details'!J83/10^6</f>
        <v>429.98576683999801</v>
      </c>
      <c r="M372" s="93">
        <f>'Business Plan - Model Details'!K83/10^6</f>
        <v>216.98376517001</v>
      </c>
      <c r="N372" s="93">
        <f>'Business Plan - Model Details'!L83/10^6</f>
        <v>92.358781049998299</v>
      </c>
      <c r="O372" s="93">
        <f>'Business Plan - Model Details'!M83/10^6</f>
        <v>283.67812673999998</v>
      </c>
      <c r="P372" s="93">
        <f>'Business Plan - Model Details'!N83/10^6</f>
        <v>196.73241315999903</v>
      </c>
      <c r="Q372" s="93">
        <f>'Business Plan - Model Details'!O83/10^6</f>
        <v>175.60695522</v>
      </c>
      <c r="R372" s="93">
        <f>'Business Plan - Model Details'!P83/10^6</f>
        <v>353.60475583000397</v>
      </c>
      <c r="S372" s="93">
        <f>'Business Plan - Model Details'!Q83/10^6</f>
        <v>490.91055205999999</v>
      </c>
      <c r="T372" s="93">
        <f>'Business Plan - Model Details'!R83/10^6</f>
        <v>208.381299441251</v>
      </c>
      <c r="U372" s="93">
        <f>'Business Plan - Model Details'!S83/10^6</f>
        <v>208.381299441251</v>
      </c>
      <c r="V372" s="93">
        <f>'Business Plan - Model Details'!T83/10^6</f>
        <v>208.381299441251</v>
      </c>
      <c r="W372" s="93">
        <f>'Business Plan - Model Details'!U83/10^6</f>
        <v>208.381299441251</v>
      </c>
      <c r="X372" s="93">
        <f>'Business Plan - Model Details'!V83/10^6</f>
        <v>208.381299441251</v>
      </c>
      <c r="Y372" s="93">
        <f>'Business Plan - Model Details'!W83/10^6</f>
        <v>208.381299441251</v>
      </c>
      <c r="Z372" s="93">
        <f>'Business Plan - Model Details'!X83/10^6</f>
        <v>208.381299441251</v>
      </c>
      <c r="AA372" s="93">
        <f>'Business Plan - Model Details'!Y83/10^6</f>
        <v>208.381299441251</v>
      </c>
      <c r="AB372" s="93">
        <f>'Business Plan - Model Details'!Z83/10^6</f>
        <v>208.381299441251</v>
      </c>
      <c r="AC372" s="93">
        <f>'Business Plan - Model Details'!AA83/10^6</f>
        <v>208.381299441251</v>
      </c>
      <c r="AD372" s="93">
        <f>'Business Plan - Model Details'!AB83/10^6</f>
        <v>208.381299441251</v>
      </c>
      <c r="AE372" s="93">
        <f>'Business Plan - Model Details'!AC83/10^6</f>
        <v>208.381299441251</v>
      </c>
      <c r="AF372" s="93">
        <f>'Business Plan - Model Details'!AD83/10^6</f>
        <v>208.381299441251</v>
      </c>
      <c r="AG372" s="93">
        <f>'Business Plan - Model Details'!AE83/10^6</f>
        <v>208.381299441251</v>
      </c>
      <c r="AH372" s="93">
        <f>'Business Plan - Model Details'!AF83/10^6</f>
        <v>208.381299441251</v>
      </c>
      <c r="AI372" s="93">
        <f>'Business Plan - Model Details'!AG83/10^6</f>
        <v>208.381299441251</v>
      </c>
      <c r="AJ372" s="93">
        <f t="shared" ref="AJ372:AJ378" si="270">SUM(X372:AI372)</f>
        <v>2500.5755932950119</v>
      </c>
    </row>
    <row r="373" spans="3:36" ht="14.25" hidden="1" customHeight="1" x14ac:dyDescent="0.35">
      <c r="D373" s="7" t="s">
        <v>311</v>
      </c>
      <c r="H373" t="s">
        <v>19</v>
      </c>
      <c r="K373" s="93">
        <f t="shared" si="269"/>
        <v>-661.94379696765918</v>
      </c>
      <c r="L373" s="93">
        <f t="shared" ref="L373:AI373" si="271">L63</f>
        <v>-83.81810123330223</v>
      </c>
      <c r="M373" s="93">
        <f t="shared" si="271"/>
        <v>-70.947391730463082</v>
      </c>
      <c r="N373" s="93">
        <f t="shared" si="271"/>
        <v>-29.180851799045808</v>
      </c>
      <c r="O373" s="93">
        <f t="shared" si="271"/>
        <v>-42.436041391068223</v>
      </c>
      <c r="P373" s="93">
        <f t="shared" si="271"/>
        <v>-57.906749130788157</v>
      </c>
      <c r="Q373" s="93">
        <f t="shared" si="271"/>
        <v>-23.87985969113744</v>
      </c>
      <c r="R373" s="93">
        <f t="shared" si="271"/>
        <v>-109.06666123732332</v>
      </c>
      <c r="S373" s="93">
        <f t="shared" si="271"/>
        <v>-76.725653200982535</v>
      </c>
      <c r="T373" s="93">
        <f t="shared" si="271"/>
        <v>-41.874377133775511</v>
      </c>
      <c r="U373" s="93">
        <f t="shared" si="271"/>
        <v>-42.029542230892652</v>
      </c>
      <c r="V373" s="93">
        <f t="shared" si="271"/>
        <v>-42.082585192410157</v>
      </c>
      <c r="W373" s="93">
        <f t="shared" si="271"/>
        <v>-41.995982996470048</v>
      </c>
      <c r="X373" s="93">
        <f t="shared" si="271"/>
        <v>-41.994277314742106</v>
      </c>
      <c r="Y373" s="93">
        <f t="shared" si="271"/>
        <v>-41.980310744628937</v>
      </c>
      <c r="Z373" s="93">
        <f t="shared" si="271"/>
        <v>-41.983653092800758</v>
      </c>
      <c r="AA373" s="93">
        <f t="shared" si="271"/>
        <v>-41.601738507787601</v>
      </c>
      <c r="AB373" s="93">
        <f t="shared" si="271"/>
        <v>-41.596187398358794</v>
      </c>
      <c r="AC373" s="93">
        <f t="shared" si="271"/>
        <v>-41.576983563729478</v>
      </c>
      <c r="AD373" s="93">
        <f t="shared" si="271"/>
        <v>-41.567826868908007</v>
      </c>
      <c r="AE373" s="93">
        <f t="shared" si="271"/>
        <v>-41.543743728990719</v>
      </c>
      <c r="AF373" s="93">
        <f t="shared" si="271"/>
        <v>-41.543162937436335</v>
      </c>
      <c r="AG373" s="93">
        <f t="shared" si="271"/>
        <v>-41.53889040669894</v>
      </c>
      <c r="AH373" s="93">
        <f t="shared" si="271"/>
        <v>-41.538231839215022</v>
      </c>
      <c r="AI373" s="93">
        <f t="shared" si="271"/>
        <v>-41.534914770578077</v>
      </c>
      <c r="AJ373" s="93">
        <f t="shared" si="270"/>
        <v>-499.99992117387478</v>
      </c>
    </row>
    <row r="374" spans="3:36" ht="14.25" hidden="1" customHeight="1" x14ac:dyDescent="0.35">
      <c r="D374" s="7" t="s">
        <v>312</v>
      </c>
      <c r="H374" t="s">
        <v>19</v>
      </c>
      <c r="K374" s="93">
        <f t="shared" si="269"/>
        <v>-299.00336120582637</v>
      </c>
      <c r="L374" s="93">
        <f>-SUM('Business Plan - Model Details'!J930:J939)/10^6</f>
        <v>-45.593288148555182</v>
      </c>
      <c r="M374" s="93">
        <f>-SUM('Business Plan - Model Details'!K930:K939)/10^6</f>
        <v>-38.765747042362037</v>
      </c>
      <c r="N374" s="93">
        <f>-SUM('Business Plan - Model Details'!L930:L939)/10^6</f>
        <v>-11.920870780448901</v>
      </c>
      <c r="O374" s="93">
        <f>-SUM('Business Plan - Model Details'!M930:M939)/10^6</f>
        <v>-18.248645382460136</v>
      </c>
      <c r="P374" s="93">
        <f>-SUM('Business Plan - Model Details'!N930:N939)/10^6</f>
        <v>-13.104352616175749</v>
      </c>
      <c r="Q374" s="93">
        <f>-SUM('Business Plan - Model Details'!O930:O939)/10^6</f>
        <v>-10.653809256783299</v>
      </c>
      <c r="R374" s="93">
        <f>-SUM('Business Plan - Model Details'!P930:P939)/10^6</f>
        <v>-43.763612019892548</v>
      </c>
      <c r="S374" s="93">
        <f>-SUM('Business Plan - Model Details'!Q930:Q939)/10^6</f>
        <v>-10.989701914576241</v>
      </c>
      <c r="T374" s="93">
        <f>-SUM('Business Plan - Model Details'!R930:R939)/10^6</f>
        <v>-26.303411774095849</v>
      </c>
      <c r="U374" s="93">
        <f>-SUM('Business Plan - Model Details'!S930:S939)/10^6</f>
        <v>-26.45465010337335</v>
      </c>
      <c r="V374" s="93">
        <f>-SUM('Business Plan - Model Details'!T930:T939)/10^6</f>
        <v>-26.59175668663196</v>
      </c>
      <c r="W374" s="93">
        <f>-SUM('Business Plan - Model Details'!U930:U939)/10^6</f>
        <v>-26.613515480471126</v>
      </c>
      <c r="X374" s="93">
        <f>-SUM('Business Plan - Model Details'!V930:V939)/10^6</f>
        <v>-26.617356656261915</v>
      </c>
      <c r="Y374" s="93">
        <f>-SUM('Business Plan - Model Details'!W930:W939)/10^6</f>
        <v>-26.607538162559198</v>
      </c>
      <c r="Z374" s="93">
        <f>-SUM('Business Plan - Model Details'!X930:X939)/10^6</f>
        <v>-26.612802819574178</v>
      </c>
      <c r="AA374" s="93">
        <f>-SUM('Business Plan - Model Details'!Y930:Y939)/10^6</f>
        <v>-26.612565274426675</v>
      </c>
      <c r="AB374" s="93">
        <f>-SUM('Business Plan - Model Details'!Z930:Z939)/10^6</f>
        <v>-26.610968530604175</v>
      </c>
      <c r="AC374" s="93">
        <f>-SUM('Business Plan - Model Details'!AA930:AA939)/10^6</f>
        <v>-26.612112183262916</v>
      </c>
      <c r="AD374" s="93">
        <f>-SUM('Business Plan - Model Details'!AB930:AB939)/10^6</f>
        <v>-26.611881979127922</v>
      </c>
      <c r="AE374" s="93">
        <f>-SUM('Business Plan - Model Details'!AC930:AC939)/10^6</f>
        <v>-26.611654221828552</v>
      </c>
      <c r="AF374" s="93">
        <f>-SUM('Business Plan - Model Details'!AD930:AD939)/10^6</f>
        <v>-26.611882793425774</v>
      </c>
      <c r="AG374" s="93">
        <f>-SUM('Business Plan - Model Details'!AE930:AE939)/10^6</f>
        <v>-26.611806331025853</v>
      </c>
      <c r="AH374" s="93">
        <f>-SUM('Business Plan - Model Details'!AF930:AF939)/10^6</f>
        <v>-26.61178111508746</v>
      </c>
      <c r="AI374" s="93">
        <f>-SUM('Business Plan - Model Details'!AG930:AG939)/10^6</f>
        <v>-26.611823413109423</v>
      </c>
      <c r="AJ374" s="93">
        <f t="shared" si="270"/>
        <v>-319.3441734802941</v>
      </c>
    </row>
    <row r="375" spans="3:36" ht="14.25" hidden="1" customHeight="1" x14ac:dyDescent="0.35">
      <c r="D375" s="7" t="s">
        <v>313</v>
      </c>
      <c r="H375" t="s">
        <v>19</v>
      </c>
      <c r="K375" s="93">
        <f t="shared" si="269"/>
        <v>0</v>
      </c>
      <c r="L375" s="93">
        <f>-('Business Plan - Model Details'!J950+'Business Plan - Model Details'!J951)/10^6</f>
        <v>0</v>
      </c>
      <c r="M375" s="93">
        <f>-('Business Plan - Model Details'!K950+'Business Plan - Model Details'!K951)/10^6</f>
        <v>0</v>
      </c>
      <c r="N375" s="93">
        <f>-('Business Plan - Model Details'!L950+'Business Plan - Model Details'!L951)/10^6</f>
        <v>0</v>
      </c>
      <c r="O375" s="93">
        <f>-('Business Plan - Model Details'!M950+'Business Plan - Model Details'!M951)/10^6</f>
        <v>0</v>
      </c>
      <c r="P375" s="93">
        <f>-('Business Plan - Model Details'!N950+'Business Plan - Model Details'!N951)/10^6</f>
        <v>0</v>
      </c>
      <c r="Q375" s="93">
        <f>-('Business Plan - Model Details'!O950+'Business Plan - Model Details'!O951)/10^6</f>
        <v>0</v>
      </c>
      <c r="R375" s="93">
        <f>-('Business Plan - Model Details'!P950+'Business Plan - Model Details'!P951)/10^6</f>
        <v>0</v>
      </c>
      <c r="S375" s="93">
        <f>-('Business Plan - Model Details'!Q950+'Business Plan - Model Details'!Q951)/10^6</f>
        <v>0</v>
      </c>
      <c r="T375" s="93">
        <f>-('Business Plan - Model Details'!R950+'Business Plan - Model Details'!R951)/10^6</f>
        <v>0</v>
      </c>
      <c r="U375" s="93">
        <f>-('Business Plan - Model Details'!S950+'Business Plan - Model Details'!S951)/10^6</f>
        <v>0</v>
      </c>
      <c r="V375" s="93">
        <f>-('Business Plan - Model Details'!T950+'Business Plan - Model Details'!T951)/10^6</f>
        <v>0</v>
      </c>
      <c r="W375" s="93">
        <f>-('Business Plan - Model Details'!U950+'Business Plan - Model Details'!U951)/10^6</f>
        <v>0</v>
      </c>
      <c r="X375" s="93">
        <f>-('Business Plan - Model Details'!V950+'Business Plan - Model Details'!V951)/10^6</f>
        <v>0</v>
      </c>
      <c r="Y375" s="93">
        <f>-('Business Plan - Model Details'!W950+'Business Plan - Model Details'!W951)/10^6</f>
        <v>0</v>
      </c>
      <c r="Z375" s="93">
        <f>-('Business Plan - Model Details'!X950+'Business Plan - Model Details'!X951)/10^6</f>
        <v>0</v>
      </c>
      <c r="AA375" s="93">
        <f>-('Business Plan - Model Details'!Y950+'Business Plan - Model Details'!Y951)/10^6</f>
        <v>0</v>
      </c>
      <c r="AB375" s="93">
        <f>-('Business Plan - Model Details'!Z950+'Business Plan - Model Details'!Z951)/10^6</f>
        <v>0</v>
      </c>
      <c r="AC375" s="93">
        <f>-('Business Plan - Model Details'!AA950+'Business Plan - Model Details'!AA951)/10^6</f>
        <v>0</v>
      </c>
      <c r="AD375" s="93">
        <f>-('Business Plan - Model Details'!AB950+'Business Plan - Model Details'!AB951)/10^6</f>
        <v>0</v>
      </c>
      <c r="AE375" s="93">
        <f>-('Business Plan - Model Details'!AC950+'Business Plan - Model Details'!AC951)/10^6</f>
        <v>0</v>
      </c>
      <c r="AF375" s="93">
        <f>-('Business Plan - Model Details'!AD950+'Business Plan - Model Details'!AD951)/10^6</f>
        <v>0</v>
      </c>
      <c r="AG375" s="93">
        <f>-('Business Plan - Model Details'!AE950+'Business Plan - Model Details'!AE951)/10^6</f>
        <v>0</v>
      </c>
      <c r="AH375" s="93">
        <f>-('Business Plan - Model Details'!AF950+'Business Plan - Model Details'!AF951)/10^6</f>
        <v>0</v>
      </c>
      <c r="AI375" s="93">
        <f>-('Business Plan - Model Details'!AG950+'Business Plan - Model Details'!AG951)/10^6</f>
        <v>0</v>
      </c>
      <c r="AJ375" s="93">
        <f t="shared" si="270"/>
        <v>0</v>
      </c>
    </row>
    <row r="376" spans="3:36" ht="14.25" hidden="1" customHeight="1" x14ac:dyDescent="0.35">
      <c r="D376" s="7" t="s">
        <v>314</v>
      </c>
      <c r="H376" t="s">
        <v>19</v>
      </c>
      <c r="K376" s="93">
        <f t="shared" si="269"/>
        <v>0</v>
      </c>
      <c r="L376" s="93">
        <f>-('Business Plan - Model Details'!J953+'Business Plan - Model Details'!J954)/10^6</f>
        <v>0</v>
      </c>
      <c r="M376" s="93">
        <f>-('Business Plan - Model Details'!K953+'Business Plan - Model Details'!K954)/10^6</f>
        <v>0</v>
      </c>
      <c r="N376" s="93">
        <f>-('Business Plan - Model Details'!L953+'Business Plan - Model Details'!L954)/10^6</f>
        <v>0</v>
      </c>
      <c r="O376" s="93">
        <f>-('Business Plan - Model Details'!M953+'Business Plan - Model Details'!M954)/10^6</f>
        <v>0</v>
      </c>
      <c r="P376" s="93">
        <f>-('Business Plan - Model Details'!N953+'Business Plan - Model Details'!N954)/10^6</f>
        <v>0</v>
      </c>
      <c r="Q376" s="93">
        <f>-('Business Plan - Model Details'!O953+'Business Plan - Model Details'!O954)/10^6</f>
        <v>0</v>
      </c>
      <c r="R376" s="93">
        <f>-('Business Plan - Model Details'!P953+'Business Plan - Model Details'!P954)/10^6</f>
        <v>0</v>
      </c>
      <c r="S376" s="93">
        <f>-('Business Plan - Model Details'!Q953+'Business Plan - Model Details'!Q954)/10^6</f>
        <v>0</v>
      </c>
      <c r="T376" s="93">
        <f>-('Business Plan - Model Details'!R953+'Business Plan - Model Details'!R954)/10^6</f>
        <v>0</v>
      </c>
      <c r="U376" s="93">
        <f>-('Business Plan - Model Details'!S953+'Business Plan - Model Details'!S954)/10^6</f>
        <v>0</v>
      </c>
      <c r="V376" s="93">
        <f>-('Business Plan - Model Details'!T953+'Business Plan - Model Details'!T954)/10^6</f>
        <v>0</v>
      </c>
      <c r="W376" s="93">
        <f>-('Business Plan - Model Details'!U953+'Business Plan - Model Details'!U954)/10^6</f>
        <v>0</v>
      </c>
      <c r="X376" s="93">
        <f>-('Business Plan - Model Details'!V953+'Business Plan - Model Details'!V954)/10^6</f>
        <v>0</v>
      </c>
      <c r="Y376" s="93">
        <f>-('Business Plan - Model Details'!W953+'Business Plan - Model Details'!W954)/10^6</f>
        <v>0</v>
      </c>
      <c r="Z376" s="93">
        <f>-('Business Plan - Model Details'!X953+'Business Plan - Model Details'!X954)/10^6</f>
        <v>0</v>
      </c>
      <c r="AA376" s="93">
        <f>-('Business Plan - Model Details'!Y953+'Business Plan - Model Details'!Y954)/10^6</f>
        <v>0</v>
      </c>
      <c r="AB376" s="93">
        <f>-('Business Plan - Model Details'!Z953+'Business Plan - Model Details'!Z954)/10^6</f>
        <v>0</v>
      </c>
      <c r="AC376" s="93">
        <f>-('Business Plan - Model Details'!AA953+'Business Plan - Model Details'!AA954)/10^6</f>
        <v>0</v>
      </c>
      <c r="AD376" s="93">
        <f>-('Business Plan - Model Details'!AB953+'Business Plan - Model Details'!AB954)/10^6</f>
        <v>0</v>
      </c>
      <c r="AE376" s="93">
        <f>-('Business Plan - Model Details'!AC953+'Business Plan - Model Details'!AC954)/10^6</f>
        <v>0</v>
      </c>
      <c r="AF376" s="93">
        <f>-('Business Plan - Model Details'!AD953+'Business Plan - Model Details'!AD954)/10^6</f>
        <v>0</v>
      </c>
      <c r="AG376" s="93">
        <f>-('Business Plan - Model Details'!AE953+'Business Plan - Model Details'!AE954)/10^6</f>
        <v>0</v>
      </c>
      <c r="AH376" s="93">
        <f>-('Business Plan - Model Details'!AF953+'Business Plan - Model Details'!AF954)/10^6</f>
        <v>0</v>
      </c>
      <c r="AI376" s="93">
        <f>-('Business Plan - Model Details'!AG953+'Business Plan - Model Details'!AG954)/10^6</f>
        <v>0</v>
      </c>
      <c r="AJ376" s="93">
        <f t="shared" si="270"/>
        <v>0</v>
      </c>
    </row>
    <row r="377" spans="3:36" ht="14.25" hidden="1" customHeight="1" x14ac:dyDescent="0.35">
      <c r="D377" s="7" t="s">
        <v>315</v>
      </c>
      <c r="H377" t="s">
        <v>19</v>
      </c>
      <c r="K377" s="93">
        <f t="shared" si="269"/>
        <v>-362.94043576183287</v>
      </c>
      <c r="L377" s="93">
        <f>-SUM('Business Plan - Model Details'!J944:J948)/10^6</f>
        <v>-38.224813084747055</v>
      </c>
      <c r="M377" s="93">
        <f>-SUM('Business Plan - Model Details'!K944:K948)/10^6</f>
        <v>-32.181644688101052</v>
      </c>
      <c r="N377" s="93">
        <f>-SUM('Business Plan - Model Details'!L944:L948)/10^6</f>
        <v>-17.259981018596907</v>
      </c>
      <c r="O377" s="93">
        <f>-SUM('Business Plan - Model Details'!M944:M948)/10^6</f>
        <v>-24.187396008608083</v>
      </c>
      <c r="P377" s="93">
        <f>-SUM('Business Plan - Model Details'!N944:N948)/10^6</f>
        <v>-44.802396514612404</v>
      </c>
      <c r="Q377" s="93">
        <f>-SUM('Business Plan - Model Details'!O944:O948)/10^6</f>
        <v>-13.226050434354143</v>
      </c>
      <c r="R377" s="93">
        <f>-SUM('Business Plan - Model Details'!P944:P948)/10^6</f>
        <v>-65.303049217430768</v>
      </c>
      <c r="S377" s="93">
        <f>-SUM('Business Plan - Model Details'!Q944:Q948)/10^6</f>
        <v>-65.735951286406305</v>
      </c>
      <c r="T377" s="93">
        <f>-SUM('Business Plan - Model Details'!R944:R948)/10^6</f>
        <v>-15.570965359679661</v>
      </c>
      <c r="U377" s="93">
        <f>-SUM('Business Plan - Model Details'!S944:S948)/10^6</f>
        <v>-15.5748921275193</v>
      </c>
      <c r="V377" s="93">
        <f>-SUM('Business Plan - Model Details'!T944:T948)/10^6</f>
        <v>-15.490828505778193</v>
      </c>
      <c r="W377" s="93">
        <f>-SUM('Business Plan - Model Details'!U944:U948)/10^6</f>
        <v>-15.382467515998924</v>
      </c>
      <c r="X377" s="93">
        <f>-SUM('Business Plan - Model Details'!V944:V948)/10^6</f>
        <v>-15.37692065848019</v>
      </c>
      <c r="Y377" s="93">
        <f>-SUM('Business Plan - Model Details'!W944:W948)/10^6</f>
        <v>-15.372772582069741</v>
      </c>
      <c r="Z377" s="93">
        <f>-SUM('Business Plan - Model Details'!X944:X948)/10^6</f>
        <v>-15.37085027322658</v>
      </c>
      <c r="AA377" s="93">
        <f>-SUM('Business Plan - Model Details'!Y944:Y948)/10^6</f>
        <v>-14.989173233360928</v>
      </c>
      <c r="AB377" s="93">
        <f>-SUM('Business Plan - Model Details'!Z944:Z948)/10^6</f>
        <v>-14.985218867754616</v>
      </c>
      <c r="AC377" s="93">
        <f>-SUM('Business Plan - Model Details'!AA944:AA948)/10^6</f>
        <v>-14.964871380466564</v>
      </c>
      <c r="AD377" s="93">
        <f>-SUM('Business Plan - Model Details'!AB944:AB948)/10^6</f>
        <v>-14.955944889780088</v>
      </c>
      <c r="AE377" s="93">
        <f>-SUM('Business Plan - Model Details'!AC944:AC948)/10^6</f>
        <v>-14.932089507162164</v>
      </c>
      <c r="AF377" s="93">
        <f>-SUM('Business Plan - Model Details'!AD944:AD948)/10^6</f>
        <v>-14.931280144010559</v>
      </c>
      <c r="AG377" s="93">
        <f>-SUM('Business Plan - Model Details'!AE944:AE948)/10^6</f>
        <v>-14.927084075673086</v>
      </c>
      <c r="AH377" s="93">
        <f>-SUM('Business Plan - Model Details'!AF944:AF948)/10^6</f>
        <v>-14.926450724127566</v>
      </c>
      <c r="AI377" s="93">
        <f>-SUM('Business Plan - Model Details'!AG944:AG948)/10^6</f>
        <v>-14.923091357468657</v>
      </c>
      <c r="AJ377" s="93">
        <f t="shared" si="270"/>
        <v>-180.65574769358074</v>
      </c>
    </row>
    <row r="378" spans="3:36" ht="14.25" hidden="1" customHeight="1" x14ac:dyDescent="0.35">
      <c r="D378" s="7" t="s">
        <v>316</v>
      </c>
      <c r="H378" t="s">
        <v>19</v>
      </c>
      <c r="K378" s="93">
        <f t="shared" si="269"/>
        <v>2411.4425168673542</v>
      </c>
      <c r="L378" s="93">
        <f t="shared" ref="L378:AI378" si="272">L372+L373</f>
        <v>346.16766560669578</v>
      </c>
      <c r="M378" s="93">
        <f t="shared" si="272"/>
        <v>146.03637343954694</v>
      </c>
      <c r="N378" s="93">
        <f t="shared" si="272"/>
        <v>63.177929250952488</v>
      </c>
      <c r="O378" s="93">
        <f t="shared" si="272"/>
        <v>241.24208534893177</v>
      </c>
      <c r="P378" s="93">
        <f t="shared" si="272"/>
        <v>138.82566402921088</v>
      </c>
      <c r="Q378" s="93">
        <f t="shared" si="272"/>
        <v>151.72709552886255</v>
      </c>
      <c r="R378" s="93">
        <f t="shared" si="272"/>
        <v>244.53809459268064</v>
      </c>
      <c r="S378" s="93">
        <f t="shared" si="272"/>
        <v>414.18489885901744</v>
      </c>
      <c r="T378" s="93">
        <f t="shared" si="272"/>
        <v>166.50692230747549</v>
      </c>
      <c r="U378" s="93">
        <f t="shared" si="272"/>
        <v>166.35175721035836</v>
      </c>
      <c r="V378" s="93">
        <f t="shared" si="272"/>
        <v>166.29871424884084</v>
      </c>
      <c r="W378" s="93">
        <f t="shared" si="272"/>
        <v>166.38531644478095</v>
      </c>
      <c r="X378" s="93">
        <f t="shared" si="272"/>
        <v>166.3870221265089</v>
      </c>
      <c r="Y378" s="93">
        <f t="shared" si="272"/>
        <v>166.40098869662205</v>
      </c>
      <c r="Z378" s="93">
        <f t="shared" si="272"/>
        <v>166.39764634845025</v>
      </c>
      <c r="AA378" s="93">
        <f t="shared" si="272"/>
        <v>166.77956093346342</v>
      </c>
      <c r="AB378" s="93">
        <f t="shared" si="272"/>
        <v>166.78511204289219</v>
      </c>
      <c r="AC378" s="93">
        <f t="shared" si="272"/>
        <v>166.80431587752153</v>
      </c>
      <c r="AD378" s="93">
        <f t="shared" si="272"/>
        <v>166.81347257234299</v>
      </c>
      <c r="AE378" s="93">
        <f t="shared" si="272"/>
        <v>166.83755571226027</v>
      </c>
      <c r="AF378" s="93">
        <f t="shared" si="272"/>
        <v>166.83813650381467</v>
      </c>
      <c r="AG378" s="93">
        <f t="shared" si="272"/>
        <v>166.84240903455208</v>
      </c>
      <c r="AH378" s="93">
        <f t="shared" si="272"/>
        <v>166.84306760203597</v>
      </c>
      <c r="AI378" s="93">
        <f t="shared" si="272"/>
        <v>166.84638467067293</v>
      </c>
      <c r="AJ378" s="93">
        <f t="shared" si="270"/>
        <v>2000.5756721211371</v>
      </c>
    </row>
    <row r="379" spans="3:36" ht="14.25" hidden="1" customHeight="1" x14ac:dyDescent="0.35">
      <c r="D379" s="7" t="s">
        <v>317</v>
      </c>
      <c r="H379" t="s">
        <v>13</v>
      </c>
      <c r="K379" s="94">
        <f t="shared" ref="K379:AJ379" si="273">IFERROR(K378/K372,0)</f>
        <v>0.78462069867758455</v>
      </c>
      <c r="L379" s="94">
        <f t="shared" si="273"/>
        <v>0.80506773084772409</v>
      </c>
      <c r="M379" s="94">
        <f t="shared" si="273"/>
        <v>0.67302903203437947</v>
      </c>
      <c r="N379" s="94">
        <f t="shared" si="273"/>
        <v>0.68404897220060978</v>
      </c>
      <c r="O379" s="94">
        <f t="shared" si="273"/>
        <v>0.85040777772069043</v>
      </c>
      <c r="P379" s="94">
        <f t="shared" si="273"/>
        <v>0.70565730272574045</v>
      </c>
      <c r="Q379" s="94">
        <f t="shared" si="273"/>
        <v>0.8640152967675977</v>
      </c>
      <c r="R379" s="94">
        <f t="shared" si="273"/>
        <v>0.69155770831951902</v>
      </c>
      <c r="S379" s="94">
        <f t="shared" si="273"/>
        <v>0.84370746793072604</v>
      </c>
      <c r="T379" s="94">
        <f t="shared" si="273"/>
        <v>0.79904925611819999</v>
      </c>
      <c r="U379" s="94">
        <f t="shared" si="273"/>
        <v>0.79830463509158578</v>
      </c>
      <c r="V379" s="94">
        <f t="shared" si="273"/>
        <v>0.79805008748266049</v>
      </c>
      <c r="W379" s="94">
        <f t="shared" si="273"/>
        <v>0.7984656823377283</v>
      </c>
      <c r="X379" s="94">
        <f t="shared" si="273"/>
        <v>0.79847386772544071</v>
      </c>
      <c r="Y379" s="94">
        <f t="shared" si="273"/>
        <v>0.79854089183053356</v>
      </c>
      <c r="Z379" s="94">
        <f t="shared" si="273"/>
        <v>0.79852485225221848</v>
      </c>
      <c r="AA379" s="94">
        <f t="shared" si="273"/>
        <v>0.8003576202886844</v>
      </c>
      <c r="AB379" s="94">
        <f t="shared" si="273"/>
        <v>0.80038425948060643</v>
      </c>
      <c r="AC379" s="94">
        <f t="shared" si="273"/>
        <v>0.80047641666880343</v>
      </c>
      <c r="AD379" s="94">
        <f t="shared" si="273"/>
        <v>0.80052035868685401</v>
      </c>
      <c r="AE379" s="94">
        <f t="shared" si="273"/>
        <v>0.80063593114936316</v>
      </c>
      <c r="AF379" s="94">
        <f t="shared" si="273"/>
        <v>0.80063871830711653</v>
      </c>
      <c r="AG379" s="94">
        <f t="shared" si="273"/>
        <v>0.80065922173400206</v>
      </c>
      <c r="AH379" s="94">
        <f t="shared" si="273"/>
        <v>0.80066238213028362</v>
      </c>
      <c r="AI379" s="94">
        <f t="shared" si="273"/>
        <v>0.80067830039476251</v>
      </c>
      <c r="AJ379" s="94">
        <f t="shared" si="273"/>
        <v>0.80004606838738912</v>
      </c>
    </row>
    <row r="380" spans="3:36" ht="14.25" hidden="1" customHeight="1" x14ac:dyDescent="0.35">
      <c r="F380" s="96"/>
      <c r="L380" s="97">
        <f t="shared" ref="L380:AI380" si="274">SUM(L10:L13)-L9</f>
        <v>61.324416209996343</v>
      </c>
      <c r="M380" s="97">
        <f t="shared" si="274"/>
        <v>63.171349990001545</v>
      </c>
      <c r="N380" s="97">
        <f t="shared" si="274"/>
        <v>-91.319492910001827</v>
      </c>
      <c r="O380" s="97">
        <f t="shared" si="274"/>
        <v>63.623553920000631</v>
      </c>
      <c r="P380" s="97">
        <f t="shared" si="274"/>
        <v>61.520878999999695</v>
      </c>
      <c r="Q380" s="97">
        <f t="shared" si="274"/>
        <v>98.949836140000116</v>
      </c>
      <c r="R380" s="97">
        <f t="shared" si="274"/>
        <v>82.512014350004392</v>
      </c>
      <c r="S380" s="97">
        <f t="shared" si="274"/>
        <v>107.88490795000143</v>
      </c>
      <c r="T380" s="97">
        <f t="shared" si="274"/>
        <v>0</v>
      </c>
      <c r="U380" s="97">
        <f t="shared" si="274"/>
        <v>0</v>
      </c>
      <c r="V380" s="97">
        <f t="shared" si="274"/>
        <v>0</v>
      </c>
      <c r="W380" s="97">
        <f t="shared" si="274"/>
        <v>0</v>
      </c>
      <c r="X380" s="97">
        <f t="shared" si="274"/>
        <v>0</v>
      </c>
      <c r="Y380" s="97">
        <f t="shared" si="274"/>
        <v>0</v>
      </c>
      <c r="Z380" s="97">
        <f t="shared" si="274"/>
        <v>0</v>
      </c>
      <c r="AA380" s="97">
        <f t="shared" si="274"/>
        <v>0</v>
      </c>
      <c r="AB380" s="97">
        <f t="shared" si="274"/>
        <v>0</v>
      </c>
      <c r="AC380" s="97">
        <f t="shared" si="274"/>
        <v>0</v>
      </c>
      <c r="AD380" s="97">
        <f t="shared" si="274"/>
        <v>0</v>
      </c>
      <c r="AE380" s="97">
        <f t="shared" si="274"/>
        <v>0</v>
      </c>
      <c r="AF380" s="97">
        <f t="shared" si="274"/>
        <v>0</v>
      </c>
      <c r="AG380" s="97">
        <f t="shared" si="274"/>
        <v>0</v>
      </c>
      <c r="AH380" s="97">
        <f t="shared" si="274"/>
        <v>0</v>
      </c>
      <c r="AI380" s="97">
        <f t="shared" si="274"/>
        <v>0</v>
      </c>
    </row>
    <row r="381" spans="3:36" ht="14.25" hidden="1" customHeight="1" x14ac:dyDescent="0.35">
      <c r="C381" s="6" t="s">
        <v>1</v>
      </c>
    </row>
    <row r="382" spans="3:36" ht="14.25" hidden="1" customHeight="1" x14ac:dyDescent="0.35">
      <c r="D382" s="7" t="s">
        <v>322</v>
      </c>
      <c r="H382" t="s">
        <v>19</v>
      </c>
      <c r="L382" s="98">
        <f>'Business Plan - Model Details'!J84/10^6-L17</f>
        <v>0</v>
      </c>
      <c r="M382" s="98">
        <f>'Business Plan - Model Details'!K84/10^6-M17</f>
        <v>0</v>
      </c>
      <c r="N382" s="98">
        <f>'Business Plan - Model Details'!L84/10^6-N17</f>
        <v>0</v>
      </c>
      <c r="O382" s="98">
        <f>'Business Plan - Model Details'!M84/10^6-O17</f>
        <v>0</v>
      </c>
      <c r="P382" s="98">
        <f>'Business Plan - Model Details'!N84/10^6-P17</f>
        <v>0</v>
      </c>
      <c r="Q382" s="98">
        <f>'Business Plan - Model Details'!O84/10^6-Q17</f>
        <v>0</v>
      </c>
      <c r="R382" s="98">
        <f>'Business Plan - Model Details'!P84/10^6-R17</f>
        <v>0</v>
      </c>
      <c r="S382" s="98">
        <f>'Business Plan - Model Details'!Q84/10^6-S17</f>
        <v>0</v>
      </c>
      <c r="T382" s="98">
        <f>'Business Plan - Model Details'!R84/10^6-T17</f>
        <v>0</v>
      </c>
      <c r="U382" s="98">
        <f>'Business Plan - Model Details'!S84/10^6-U17</f>
        <v>0</v>
      </c>
      <c r="V382" s="98">
        <f>'Business Plan - Model Details'!T84/10^6-V17</f>
        <v>0</v>
      </c>
      <c r="W382" s="98">
        <f>'Business Plan - Model Details'!U84/10^6-W17</f>
        <v>0</v>
      </c>
      <c r="X382" s="98">
        <f>'Business Plan - Model Details'!V84/10^6-X17</f>
        <v>0</v>
      </c>
      <c r="Y382" s="98">
        <f>'Business Plan - Model Details'!W84/10^6-Y17</f>
        <v>0</v>
      </c>
      <c r="Z382" s="98">
        <f>'Business Plan - Model Details'!X84/10^6-Z17</f>
        <v>0</v>
      </c>
      <c r="AA382" s="98">
        <f>'Business Plan - Model Details'!Y84/10^6-AA17</f>
        <v>0</v>
      </c>
      <c r="AB382" s="98">
        <f>'Business Plan - Model Details'!Z84/10^6-AB17</f>
        <v>0</v>
      </c>
      <c r="AC382" s="98">
        <f>'Business Plan - Model Details'!AA84/10^6-AC17</f>
        <v>0</v>
      </c>
      <c r="AD382" s="98">
        <f>'Business Plan - Model Details'!AB84/10^6-AD17</f>
        <v>0</v>
      </c>
      <c r="AE382" s="98">
        <f>'Business Plan - Model Details'!AC84/10^6-AE17</f>
        <v>0</v>
      </c>
      <c r="AF382" s="98">
        <f>'Business Plan - Model Details'!AD84/10^6-AF17</f>
        <v>0</v>
      </c>
      <c r="AG382" s="98">
        <f>'Business Plan - Model Details'!AE84/10^6-AG17</f>
        <v>0</v>
      </c>
      <c r="AH382" s="98">
        <f>'Business Plan - Model Details'!AF84/10^6-AH17</f>
        <v>0</v>
      </c>
      <c r="AI382" s="98">
        <f>'Business Plan - Model Details'!AG84/10^6-AI17</f>
        <v>0</v>
      </c>
    </row>
    <row r="383" spans="3:36" ht="14.25" hidden="1" customHeight="1" x14ac:dyDescent="0.35">
      <c r="D383" s="7" t="s">
        <v>323</v>
      </c>
      <c r="H383" t="s">
        <v>19</v>
      </c>
      <c r="L383" s="98">
        <f t="shared" ref="L383:AI383" si="275">SUM(L337,L349,L361,L373)+L83-L64</f>
        <v>0</v>
      </c>
      <c r="M383" s="98">
        <f t="shared" si="275"/>
        <v>0</v>
      </c>
      <c r="N383" s="98">
        <f t="shared" si="275"/>
        <v>0</v>
      </c>
      <c r="O383" s="98">
        <f t="shared" si="275"/>
        <v>0</v>
      </c>
      <c r="P383" s="98">
        <f t="shared" si="275"/>
        <v>0</v>
      </c>
      <c r="Q383" s="98">
        <f t="shared" si="275"/>
        <v>0</v>
      </c>
      <c r="R383" s="98">
        <f t="shared" si="275"/>
        <v>0</v>
      </c>
      <c r="S383" s="98">
        <f t="shared" si="275"/>
        <v>0</v>
      </c>
      <c r="T383" s="98">
        <f t="shared" si="275"/>
        <v>0</v>
      </c>
      <c r="U383" s="98">
        <f t="shared" si="275"/>
        <v>0</v>
      </c>
      <c r="V383" s="98">
        <f t="shared" si="275"/>
        <v>0</v>
      </c>
      <c r="W383" s="98">
        <f t="shared" si="275"/>
        <v>0</v>
      </c>
      <c r="X383" s="98">
        <f t="shared" si="275"/>
        <v>0</v>
      </c>
      <c r="Y383" s="98">
        <f t="shared" si="275"/>
        <v>0</v>
      </c>
      <c r="Z383" s="98">
        <f t="shared" si="275"/>
        <v>0</v>
      </c>
      <c r="AA383" s="98">
        <f t="shared" si="275"/>
        <v>0</v>
      </c>
      <c r="AB383" s="98">
        <f t="shared" si="275"/>
        <v>0</v>
      </c>
      <c r="AC383" s="98">
        <f t="shared" si="275"/>
        <v>0</v>
      </c>
      <c r="AD383" s="98">
        <f t="shared" si="275"/>
        <v>0</v>
      </c>
      <c r="AE383" s="98">
        <f t="shared" si="275"/>
        <v>0</v>
      </c>
      <c r="AF383" s="98">
        <f t="shared" si="275"/>
        <v>0</v>
      </c>
      <c r="AG383" s="98">
        <f t="shared" si="275"/>
        <v>0</v>
      </c>
      <c r="AH383" s="98">
        <f t="shared" si="275"/>
        <v>0</v>
      </c>
      <c r="AI383" s="98">
        <f t="shared" si="275"/>
        <v>0</v>
      </c>
    </row>
    <row r="384" spans="3:36" hidden="1" x14ac:dyDescent="0.3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048287"/>
  <sheetViews>
    <sheetView tabSelected="1" zoomScale="69" zoomScaleNormal="85" workbookViewId="0">
      <pane xSplit="9" ySplit="8" topLeftCell="J147" activePane="bottomRight" state="frozen"/>
      <selection pane="topRight" activeCell="Q1" sqref="Q1"/>
      <selection pane="bottomLeft" activeCell="A249" sqref="A249"/>
      <selection pane="bottomRight" activeCell="J150" sqref="J150"/>
    </sheetView>
  </sheetViews>
  <sheetFormatPr defaultColWidth="0" defaultRowHeight="14.5" zeroHeight="1" outlineLevelRow="1" x14ac:dyDescent="0.35"/>
  <cols>
    <col min="1" max="1" width="2.90625" customWidth="1"/>
    <col min="2" max="2" width="3.26953125" customWidth="1"/>
    <col min="3" max="3" width="3.36328125" customWidth="1"/>
    <col min="4" max="4" width="2.6328125" customWidth="1"/>
    <col min="5" max="5" width="3.90625" customWidth="1"/>
    <col min="6" max="6" width="11" customWidth="1"/>
    <col min="7" max="7" width="12.6328125" customWidth="1"/>
    <col min="8" max="8" width="10.453125" customWidth="1"/>
    <col min="9" max="9" width="8.90625"/>
    <col min="10" max="11" width="9.36328125" customWidth="1"/>
    <col min="12" max="16" width="9" customWidth="1"/>
    <col min="17" max="17" width="10.90625" customWidth="1"/>
    <col min="18" max="33" width="10.81640625" customWidth="1"/>
    <col min="34" max="37" width="11.54296875" hidden="1" customWidth="1"/>
    <col min="38" max="16384" width="8.90625" hidden="1"/>
  </cols>
  <sheetData>
    <row r="1" spans="1:33" ht="14.25" customHeight="1" x14ac:dyDescent="0.35">
      <c r="A1" s="111" t="s">
        <v>324</v>
      </c>
      <c r="B1" s="112"/>
      <c r="C1" s="113"/>
      <c r="D1" s="112"/>
      <c r="E1" s="112"/>
      <c r="F1" s="112"/>
      <c r="G1" s="112"/>
      <c r="H1" s="112"/>
      <c r="I1" s="114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</row>
    <row r="2" spans="1:33" ht="14.25" customHeight="1" x14ac:dyDescent="0.35">
      <c r="A2" s="111" t="s">
        <v>3848</v>
      </c>
      <c r="B2" s="112"/>
      <c r="C2" s="113"/>
      <c r="D2" s="112"/>
      <c r="E2" s="112"/>
      <c r="F2" s="112"/>
      <c r="G2" s="112"/>
      <c r="H2" s="112"/>
      <c r="I2" s="114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</row>
    <row r="3" spans="1:33" ht="14.25" customHeight="1" x14ac:dyDescent="0.35">
      <c r="A3" s="111" t="s">
        <v>3849</v>
      </c>
      <c r="B3" s="112"/>
      <c r="C3" s="113"/>
      <c r="D3" s="112"/>
      <c r="E3" s="112"/>
      <c r="F3" s="112"/>
      <c r="G3" s="112"/>
      <c r="H3" s="112"/>
      <c r="I3" s="114"/>
      <c r="J3" s="18" t="s">
        <v>8</v>
      </c>
      <c r="K3" s="18" t="s">
        <v>8</v>
      </c>
      <c r="L3" s="18" t="s">
        <v>8</v>
      </c>
      <c r="M3" s="18" t="s">
        <v>8</v>
      </c>
      <c r="N3" s="18" t="s">
        <v>8</v>
      </c>
      <c r="O3" s="18" t="s">
        <v>8</v>
      </c>
      <c r="P3" s="18" t="s">
        <v>8</v>
      </c>
      <c r="Q3" s="18" t="s">
        <v>8</v>
      </c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5"/>
      <c r="AE3" s="115"/>
      <c r="AF3" s="115"/>
      <c r="AG3" s="115"/>
    </row>
    <row r="4" spans="1:33" ht="14.25" customHeight="1" x14ac:dyDescent="0.35">
      <c r="A4" s="112"/>
      <c r="B4" s="112"/>
      <c r="C4" s="113"/>
      <c r="D4" s="112"/>
      <c r="E4" s="112"/>
      <c r="F4" s="112"/>
      <c r="G4" s="112"/>
      <c r="H4" s="112"/>
      <c r="I4" s="116" t="s">
        <v>12</v>
      </c>
      <c r="J4" s="117">
        <v>46053</v>
      </c>
      <c r="K4" s="117">
        <f t="shared" ref="K4:AG4" si="0">EOMONTH(J4,1)</f>
        <v>46081</v>
      </c>
      <c r="L4" s="117">
        <f t="shared" si="0"/>
        <v>46112</v>
      </c>
      <c r="M4" s="117">
        <f t="shared" si="0"/>
        <v>46142</v>
      </c>
      <c r="N4" s="117">
        <f t="shared" si="0"/>
        <v>46173</v>
      </c>
      <c r="O4" s="117">
        <f t="shared" si="0"/>
        <v>46203</v>
      </c>
      <c r="P4" s="117">
        <f t="shared" si="0"/>
        <v>46234</v>
      </c>
      <c r="Q4" s="117">
        <f t="shared" si="0"/>
        <v>46265</v>
      </c>
      <c r="R4" s="118">
        <f t="shared" si="0"/>
        <v>46295</v>
      </c>
      <c r="S4" s="118">
        <f t="shared" si="0"/>
        <v>46326</v>
      </c>
      <c r="T4" s="118">
        <f t="shared" si="0"/>
        <v>46356</v>
      </c>
      <c r="U4" s="118">
        <f t="shared" si="0"/>
        <v>46387</v>
      </c>
      <c r="V4" s="118">
        <f t="shared" si="0"/>
        <v>46418</v>
      </c>
      <c r="W4" s="118">
        <f t="shared" si="0"/>
        <v>46446</v>
      </c>
      <c r="X4" s="118">
        <f t="shared" si="0"/>
        <v>46477</v>
      </c>
      <c r="Y4" s="118">
        <f t="shared" si="0"/>
        <v>46507</v>
      </c>
      <c r="Z4" s="118">
        <f t="shared" si="0"/>
        <v>46538</v>
      </c>
      <c r="AA4" s="118">
        <f t="shared" si="0"/>
        <v>46568</v>
      </c>
      <c r="AB4" s="118">
        <f t="shared" si="0"/>
        <v>46599</v>
      </c>
      <c r="AC4" s="118">
        <f t="shared" si="0"/>
        <v>46630</v>
      </c>
      <c r="AD4" s="118">
        <f t="shared" si="0"/>
        <v>46660</v>
      </c>
      <c r="AE4" s="118">
        <f t="shared" si="0"/>
        <v>46691</v>
      </c>
      <c r="AF4" s="118">
        <f t="shared" si="0"/>
        <v>46721</v>
      </c>
      <c r="AG4" s="118">
        <f t="shared" si="0"/>
        <v>46752</v>
      </c>
    </row>
    <row r="5" spans="1:33" ht="14.25" customHeight="1" x14ac:dyDescent="0.35">
      <c r="A5" s="21"/>
      <c r="B5" s="21"/>
      <c r="C5" s="21"/>
      <c r="D5" s="21"/>
      <c r="E5" s="21"/>
      <c r="F5" s="21"/>
      <c r="G5" s="21"/>
      <c r="H5" s="21"/>
      <c r="I5" s="22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</row>
    <row r="6" spans="1:33" ht="14.25" customHeight="1" x14ac:dyDescent="0.35">
      <c r="A6" s="119">
        <v>1</v>
      </c>
      <c r="B6" s="119" t="s">
        <v>3850</v>
      </c>
      <c r="C6" s="119"/>
      <c r="D6" s="119"/>
      <c r="E6" s="119"/>
      <c r="F6" s="119"/>
      <c r="G6" s="119"/>
      <c r="H6" s="119"/>
      <c r="I6" s="120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</row>
    <row r="7" spans="1:33" ht="14.25" customHeight="1" x14ac:dyDescent="0.35">
      <c r="A7" s="21"/>
      <c r="B7" s="21"/>
      <c r="C7" s="21"/>
      <c r="D7" s="21"/>
      <c r="E7" s="21"/>
      <c r="F7" s="21"/>
      <c r="G7" s="21"/>
      <c r="H7" s="21"/>
      <c r="I7" s="22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</row>
    <row r="8" spans="1:33" ht="14.25" customHeight="1" x14ac:dyDescent="0.35">
      <c r="A8" s="21"/>
      <c r="B8" s="28" t="s">
        <v>3851</v>
      </c>
      <c r="C8" s="28" t="s">
        <v>3852</v>
      </c>
      <c r="D8" s="21"/>
      <c r="E8" s="21"/>
      <c r="F8" s="21"/>
      <c r="G8" s="21"/>
      <c r="H8" s="21"/>
      <c r="I8" s="22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</row>
    <row r="9" spans="1:33" ht="14.25" customHeight="1" x14ac:dyDescent="0.35">
      <c r="A9" s="21"/>
      <c r="B9" s="21"/>
      <c r="C9" s="21" t="s">
        <v>3853</v>
      </c>
      <c r="D9" s="21"/>
      <c r="E9" s="21"/>
      <c r="F9" s="21"/>
      <c r="G9" s="21"/>
      <c r="H9" s="21"/>
      <c r="I9" s="22" t="s">
        <v>3854</v>
      </c>
      <c r="J9" s="122"/>
      <c r="K9" s="122"/>
      <c r="L9" s="122"/>
      <c r="M9" s="122"/>
      <c r="N9" s="122"/>
      <c r="O9" s="122"/>
      <c r="P9" s="122"/>
      <c r="Q9" s="122"/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Z9" s="123">
        <v>0</v>
      </c>
      <c r="AA9" s="123">
        <v>0</v>
      </c>
      <c r="AB9" s="123">
        <v>0</v>
      </c>
      <c r="AC9" s="123">
        <v>0</v>
      </c>
      <c r="AD9" s="123">
        <v>0</v>
      </c>
      <c r="AE9" s="123">
        <v>0</v>
      </c>
      <c r="AF9" s="123">
        <v>0</v>
      </c>
      <c r="AG9" s="123">
        <v>0</v>
      </c>
    </row>
    <row r="10" spans="1:33" ht="14.25" customHeight="1" x14ac:dyDescent="0.35">
      <c r="A10" s="21"/>
      <c r="B10" s="21"/>
      <c r="C10" s="21" t="s">
        <v>3855</v>
      </c>
      <c r="D10" s="21"/>
      <c r="E10" s="21"/>
      <c r="F10" s="21"/>
      <c r="G10" s="21"/>
      <c r="H10" s="21"/>
      <c r="I10" s="22" t="s">
        <v>3856</v>
      </c>
      <c r="J10" s="124"/>
      <c r="K10" s="124"/>
      <c r="L10" s="124"/>
      <c r="M10" s="124"/>
      <c r="N10" s="124"/>
      <c r="O10" s="124"/>
      <c r="P10" s="124"/>
      <c r="Q10" s="124"/>
      <c r="R10" s="125">
        <f>(1+R9)^(1/12)</f>
        <v>1</v>
      </c>
      <c r="S10" s="125">
        <f t="shared" ref="S10:AG10" si="1">R10*(1+S9)^(1/12)</f>
        <v>1</v>
      </c>
      <c r="T10" s="125">
        <f t="shared" si="1"/>
        <v>1</v>
      </c>
      <c r="U10" s="125">
        <f t="shared" si="1"/>
        <v>1</v>
      </c>
      <c r="V10" s="125">
        <f t="shared" si="1"/>
        <v>1</v>
      </c>
      <c r="W10" s="125">
        <f t="shared" si="1"/>
        <v>1</v>
      </c>
      <c r="X10" s="125">
        <f t="shared" si="1"/>
        <v>1</v>
      </c>
      <c r="Y10" s="125">
        <f t="shared" si="1"/>
        <v>1</v>
      </c>
      <c r="Z10" s="125">
        <f t="shared" si="1"/>
        <v>1</v>
      </c>
      <c r="AA10" s="125">
        <f t="shared" si="1"/>
        <v>1</v>
      </c>
      <c r="AB10" s="125">
        <f t="shared" si="1"/>
        <v>1</v>
      </c>
      <c r="AC10" s="125">
        <f t="shared" si="1"/>
        <v>1</v>
      </c>
      <c r="AD10" s="125">
        <f t="shared" si="1"/>
        <v>1</v>
      </c>
      <c r="AE10" s="125">
        <f t="shared" si="1"/>
        <v>1</v>
      </c>
      <c r="AF10" s="125">
        <f t="shared" si="1"/>
        <v>1</v>
      </c>
      <c r="AG10" s="125">
        <f t="shared" si="1"/>
        <v>1</v>
      </c>
    </row>
    <row r="11" spans="1:33" ht="14.25" customHeight="1" x14ac:dyDescent="0.35">
      <c r="A11" s="21"/>
      <c r="B11" s="21"/>
      <c r="C11" s="21" t="s">
        <v>3857</v>
      </c>
      <c r="D11" s="21"/>
      <c r="E11" s="21"/>
      <c r="F11" s="21"/>
      <c r="G11" s="21"/>
      <c r="H11" s="21"/>
      <c r="I11" s="22" t="s">
        <v>3854</v>
      </c>
      <c r="J11" s="122"/>
      <c r="K11" s="122"/>
      <c r="L11" s="122"/>
      <c r="M11" s="122"/>
      <c r="N11" s="122"/>
      <c r="O11" s="122"/>
      <c r="P11" s="122"/>
      <c r="Q11" s="122"/>
      <c r="R11" s="123">
        <v>0</v>
      </c>
      <c r="S11" s="123">
        <v>0</v>
      </c>
      <c r="T11" s="123">
        <v>0</v>
      </c>
      <c r="U11" s="123">
        <v>0</v>
      </c>
      <c r="V11" s="123">
        <v>0</v>
      </c>
      <c r="W11" s="123">
        <v>0</v>
      </c>
      <c r="X11" s="123">
        <v>0</v>
      </c>
      <c r="Y11" s="123">
        <v>0</v>
      </c>
      <c r="Z11" s="123">
        <v>0</v>
      </c>
      <c r="AA11" s="123">
        <v>0</v>
      </c>
      <c r="AB11" s="123">
        <v>0</v>
      </c>
      <c r="AC11" s="123">
        <v>0</v>
      </c>
      <c r="AD11" s="123">
        <v>0</v>
      </c>
      <c r="AE11" s="123">
        <v>0</v>
      </c>
      <c r="AF11" s="123">
        <v>0</v>
      </c>
      <c r="AG11" s="123">
        <v>0</v>
      </c>
    </row>
    <row r="12" spans="1:33" ht="14.25" customHeight="1" x14ac:dyDescent="0.35">
      <c r="A12" s="21"/>
      <c r="B12" s="21"/>
      <c r="C12" s="21" t="s">
        <v>3858</v>
      </c>
      <c r="D12" s="21" t="s">
        <v>3859</v>
      </c>
      <c r="E12" s="21"/>
      <c r="F12" s="21"/>
      <c r="G12" s="21"/>
      <c r="H12" s="21"/>
      <c r="I12" s="22" t="s">
        <v>3856</v>
      </c>
      <c r="J12" s="122"/>
      <c r="K12" s="122"/>
      <c r="L12" s="122"/>
      <c r="M12" s="122"/>
      <c r="N12" s="122"/>
      <c r="O12" s="122"/>
      <c r="P12" s="122"/>
      <c r="Q12" s="122"/>
      <c r="R12" s="126">
        <f>(1+R11)^(1/12)</f>
        <v>1</v>
      </c>
      <c r="S12" s="126">
        <f t="shared" ref="S12:AG12" si="2">R12*(1+S11)^(1/12)</f>
        <v>1</v>
      </c>
      <c r="T12" s="126">
        <f t="shared" si="2"/>
        <v>1</v>
      </c>
      <c r="U12" s="126">
        <f t="shared" si="2"/>
        <v>1</v>
      </c>
      <c r="V12" s="126">
        <f t="shared" si="2"/>
        <v>1</v>
      </c>
      <c r="W12" s="126">
        <f t="shared" si="2"/>
        <v>1</v>
      </c>
      <c r="X12" s="126">
        <f t="shared" si="2"/>
        <v>1</v>
      </c>
      <c r="Y12" s="126">
        <f t="shared" si="2"/>
        <v>1</v>
      </c>
      <c r="Z12" s="126">
        <f t="shared" si="2"/>
        <v>1</v>
      </c>
      <c r="AA12" s="126">
        <f t="shared" si="2"/>
        <v>1</v>
      </c>
      <c r="AB12" s="126">
        <f t="shared" si="2"/>
        <v>1</v>
      </c>
      <c r="AC12" s="126">
        <f t="shared" si="2"/>
        <v>1</v>
      </c>
      <c r="AD12" s="126">
        <f t="shared" si="2"/>
        <v>1</v>
      </c>
      <c r="AE12" s="126">
        <f t="shared" si="2"/>
        <v>1</v>
      </c>
      <c r="AF12" s="126">
        <f t="shared" si="2"/>
        <v>1</v>
      </c>
      <c r="AG12" s="126">
        <f t="shared" si="2"/>
        <v>1</v>
      </c>
    </row>
    <row r="13" spans="1:33" ht="14.25" customHeight="1" x14ac:dyDescent="0.35">
      <c r="A13" s="21"/>
      <c r="B13" s="21"/>
      <c r="C13" s="21" t="s">
        <v>3860</v>
      </c>
      <c r="D13" s="21"/>
      <c r="E13" s="21"/>
      <c r="F13" s="21"/>
      <c r="G13" s="21"/>
      <c r="H13" s="21"/>
      <c r="I13" s="22" t="s">
        <v>3861</v>
      </c>
      <c r="J13" s="124">
        <v>16786</v>
      </c>
      <c r="K13" s="124">
        <v>16758</v>
      </c>
      <c r="L13" s="124">
        <v>16993</v>
      </c>
      <c r="M13" s="124">
        <v>17324</v>
      </c>
      <c r="N13" s="124">
        <v>17789</v>
      </c>
      <c r="O13" s="124">
        <v>17856</v>
      </c>
      <c r="P13" s="124">
        <v>18078</v>
      </c>
      <c r="Q13" s="124">
        <v>17703</v>
      </c>
      <c r="R13" s="127">
        <f>'Input Operasional'!Q156</f>
        <v>18000</v>
      </c>
      <c r="S13" s="127">
        <f>'Input Operasional'!R156</f>
        <v>18000</v>
      </c>
      <c r="T13" s="127">
        <f>'Input Operasional'!S156</f>
        <v>18000</v>
      </c>
      <c r="U13" s="127">
        <f>'Input Operasional'!T156</f>
        <v>18000</v>
      </c>
      <c r="V13" s="127">
        <f>'Input Operasional'!U156</f>
        <v>18000</v>
      </c>
      <c r="W13" s="127">
        <f>'Input Operasional'!V156</f>
        <v>18000</v>
      </c>
      <c r="X13" s="127">
        <f>'Input Operasional'!W156</f>
        <v>18000</v>
      </c>
      <c r="Y13" s="127">
        <f>'Input Operasional'!X156</f>
        <v>18000</v>
      </c>
      <c r="Z13" s="127">
        <f>'Input Operasional'!Y156</f>
        <v>18000</v>
      </c>
      <c r="AA13" s="127">
        <f>'Input Operasional'!Z156</f>
        <v>18000</v>
      </c>
      <c r="AB13" s="127">
        <f>'Input Operasional'!AA156</f>
        <v>18000</v>
      </c>
      <c r="AC13" s="127">
        <f>'Input Operasional'!AB156</f>
        <v>18000</v>
      </c>
      <c r="AD13" s="127">
        <f>'Input Operasional'!AC156</f>
        <v>18000</v>
      </c>
      <c r="AE13" s="127">
        <f>'Input Operasional'!AD156</f>
        <v>18000</v>
      </c>
      <c r="AF13" s="127">
        <f>'Input Operasional'!AE156</f>
        <v>18000</v>
      </c>
      <c r="AG13" s="127">
        <f>'Input Operasional'!AF156</f>
        <v>18000</v>
      </c>
    </row>
    <row r="14" spans="1:33" ht="14.25" customHeight="1" x14ac:dyDescent="0.35">
      <c r="A14" s="21"/>
      <c r="B14" s="21"/>
      <c r="C14" s="21"/>
      <c r="D14" s="128"/>
      <c r="E14" s="128"/>
      <c r="F14" s="21"/>
      <c r="G14" s="21"/>
      <c r="H14" s="21"/>
      <c r="I14" s="22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</row>
    <row r="15" spans="1:33" ht="14.25" customHeight="1" x14ac:dyDescent="0.35">
      <c r="A15" s="21"/>
      <c r="B15" s="28" t="s">
        <v>3862</v>
      </c>
      <c r="C15" s="28" t="s">
        <v>3863</v>
      </c>
      <c r="D15" s="21"/>
      <c r="E15" s="21"/>
      <c r="F15" s="21"/>
      <c r="G15" s="21"/>
      <c r="H15" s="21"/>
      <c r="I15" s="22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</row>
    <row r="16" spans="1:33" ht="14.25" customHeight="1" x14ac:dyDescent="0.35">
      <c r="A16" s="21"/>
      <c r="B16" s="21"/>
      <c r="C16" s="21" t="s">
        <v>3864</v>
      </c>
      <c r="D16" s="21"/>
      <c r="E16" s="21"/>
      <c r="F16" s="21"/>
      <c r="G16" s="21"/>
      <c r="H16" s="21"/>
      <c r="I16" s="22" t="s">
        <v>3854</v>
      </c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30">
        <v>4.4999999999999998E-2</v>
      </c>
      <c r="AD16" s="130">
        <v>4.4999999999999998E-2</v>
      </c>
      <c r="AE16" s="130">
        <v>4.4999999999999998E-2</v>
      </c>
      <c r="AF16" s="130">
        <v>4.4999999999999998E-2</v>
      </c>
      <c r="AG16" s="130">
        <v>4.4999999999999998E-2</v>
      </c>
    </row>
    <row r="17" spans="1:33" ht="14.25" customHeight="1" x14ac:dyDescent="0.35">
      <c r="A17" s="21"/>
      <c r="B17" s="21"/>
      <c r="C17" s="21" t="s">
        <v>3865</v>
      </c>
      <c r="D17" s="21"/>
      <c r="E17" s="21"/>
      <c r="F17" s="21"/>
      <c r="G17" s="21"/>
      <c r="H17" s="21"/>
      <c r="I17" s="22" t="s">
        <v>3866</v>
      </c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  <c r="AC17" s="131">
        <v>1</v>
      </c>
      <c r="AD17" s="131">
        <v>1</v>
      </c>
      <c r="AE17" s="131">
        <v>1</v>
      </c>
      <c r="AF17" s="131">
        <v>1</v>
      </c>
      <c r="AG17" s="131">
        <v>1</v>
      </c>
    </row>
    <row r="18" spans="1:33" ht="14.25" customHeight="1" x14ac:dyDescent="0.35">
      <c r="A18" s="21"/>
      <c r="B18" s="21"/>
      <c r="C18" s="21" t="s">
        <v>3867</v>
      </c>
      <c r="D18" s="21"/>
      <c r="E18" s="21"/>
      <c r="F18" s="21"/>
      <c r="G18" s="21"/>
      <c r="H18" s="21"/>
      <c r="I18" s="22" t="s">
        <v>3866</v>
      </c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31">
        <v>2.5</v>
      </c>
      <c r="AD18" s="131">
        <v>3.5</v>
      </c>
      <c r="AE18" s="131">
        <v>4.5</v>
      </c>
      <c r="AF18" s="131">
        <v>5.5</v>
      </c>
      <c r="AG18" s="131">
        <v>6.5</v>
      </c>
    </row>
    <row r="19" spans="1:33" ht="14.25" customHeight="1" x14ac:dyDescent="0.35">
      <c r="A19" s="21"/>
      <c r="B19" s="21"/>
      <c r="C19" s="21" t="s">
        <v>3868</v>
      </c>
      <c r="D19" s="21"/>
      <c r="E19" s="21"/>
      <c r="F19" s="21"/>
      <c r="G19" s="21"/>
      <c r="H19" s="21"/>
      <c r="I19" s="22" t="s">
        <v>3869</v>
      </c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3">
        <v>12</v>
      </c>
      <c r="AD19" s="133">
        <v>12</v>
      </c>
      <c r="AE19" s="133">
        <v>12</v>
      </c>
      <c r="AF19" s="133">
        <v>12</v>
      </c>
      <c r="AG19" s="133">
        <v>12</v>
      </c>
    </row>
    <row r="20" spans="1:33" ht="14.25" customHeight="1" x14ac:dyDescent="0.35">
      <c r="A20" s="21"/>
      <c r="B20" s="21"/>
      <c r="C20" s="21"/>
      <c r="D20" s="21"/>
      <c r="E20" s="21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</row>
    <row r="21" spans="1:33" ht="14.25" customHeight="1" x14ac:dyDescent="0.35">
      <c r="A21" s="119">
        <v>2</v>
      </c>
      <c r="B21" s="119" t="s">
        <v>3870</v>
      </c>
      <c r="C21" s="119"/>
      <c r="D21" s="119"/>
      <c r="E21" s="119"/>
      <c r="F21" s="119"/>
      <c r="G21" s="119"/>
      <c r="H21" s="119"/>
      <c r="I21" s="120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</row>
    <row r="22" spans="1:33" ht="14.25" customHeight="1" x14ac:dyDescent="0.35">
      <c r="A22" s="21"/>
      <c r="B22" s="21"/>
      <c r="C22" s="21"/>
      <c r="D22" s="21"/>
      <c r="E22" s="21"/>
      <c r="F22" s="21"/>
      <c r="G22" s="21"/>
      <c r="H22" s="21"/>
      <c r="I22" s="22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</row>
    <row r="23" spans="1:33" ht="14.25" customHeight="1" x14ac:dyDescent="0.35">
      <c r="A23" s="21"/>
      <c r="B23" s="134" t="s">
        <v>3871</v>
      </c>
      <c r="C23" s="28" t="s">
        <v>3872</v>
      </c>
      <c r="D23" s="21"/>
      <c r="E23" s="21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4.25" customHeight="1" x14ac:dyDescent="0.35">
      <c r="A24" s="21"/>
      <c r="B24" s="28"/>
      <c r="C24" s="128" t="s">
        <v>3873</v>
      </c>
      <c r="D24" s="28"/>
      <c r="E24" s="28"/>
      <c r="F24" s="21"/>
      <c r="G24" s="21"/>
      <c r="H24" s="21"/>
      <c r="I24" s="22" t="s">
        <v>3874</v>
      </c>
      <c r="J24" s="135">
        <f t="shared" ref="J24:AG24" si="3">DAY(J4)</f>
        <v>31</v>
      </c>
      <c r="K24" s="135">
        <f t="shared" si="3"/>
        <v>28</v>
      </c>
      <c r="L24" s="135">
        <f t="shared" si="3"/>
        <v>31</v>
      </c>
      <c r="M24" s="135">
        <f t="shared" si="3"/>
        <v>30</v>
      </c>
      <c r="N24" s="135">
        <f t="shared" si="3"/>
        <v>31</v>
      </c>
      <c r="O24" s="135">
        <f t="shared" si="3"/>
        <v>30</v>
      </c>
      <c r="P24" s="135">
        <f t="shared" si="3"/>
        <v>31</v>
      </c>
      <c r="Q24" s="135">
        <f t="shared" si="3"/>
        <v>31</v>
      </c>
      <c r="R24" s="135">
        <f t="shared" si="3"/>
        <v>30</v>
      </c>
      <c r="S24" s="135">
        <f t="shared" si="3"/>
        <v>31</v>
      </c>
      <c r="T24" s="135">
        <f t="shared" si="3"/>
        <v>30</v>
      </c>
      <c r="U24" s="135">
        <f t="shared" si="3"/>
        <v>31</v>
      </c>
      <c r="V24" s="135">
        <f t="shared" si="3"/>
        <v>31</v>
      </c>
      <c r="W24" s="135">
        <f t="shared" si="3"/>
        <v>28</v>
      </c>
      <c r="X24" s="135">
        <f t="shared" si="3"/>
        <v>31</v>
      </c>
      <c r="Y24" s="135">
        <f t="shared" si="3"/>
        <v>30</v>
      </c>
      <c r="Z24" s="135">
        <f t="shared" si="3"/>
        <v>31</v>
      </c>
      <c r="AA24" s="135">
        <f t="shared" si="3"/>
        <v>30</v>
      </c>
      <c r="AB24" s="135">
        <f t="shared" si="3"/>
        <v>31</v>
      </c>
      <c r="AC24" s="135">
        <f t="shared" si="3"/>
        <v>31</v>
      </c>
      <c r="AD24" s="135">
        <f t="shared" si="3"/>
        <v>30</v>
      </c>
      <c r="AE24" s="135">
        <f t="shared" si="3"/>
        <v>31</v>
      </c>
      <c r="AF24" s="135">
        <f t="shared" si="3"/>
        <v>30</v>
      </c>
      <c r="AG24" s="135">
        <f t="shared" si="3"/>
        <v>31</v>
      </c>
    </row>
    <row r="25" spans="1:33" ht="14.25" customHeight="1" x14ac:dyDescent="0.35">
      <c r="A25" s="21"/>
      <c r="B25" s="28"/>
      <c r="C25" s="128" t="s">
        <v>3875</v>
      </c>
      <c r="D25" s="28"/>
      <c r="E25" s="28"/>
      <c r="F25" s="21"/>
      <c r="G25" s="21"/>
      <c r="H25" s="21"/>
      <c r="I25" s="22" t="s">
        <v>3874</v>
      </c>
      <c r="J25" s="135">
        <v>4</v>
      </c>
      <c r="K25" s="135">
        <v>4</v>
      </c>
      <c r="L25" s="135">
        <v>4</v>
      </c>
      <c r="M25" s="135">
        <v>4</v>
      </c>
      <c r="N25" s="135">
        <v>4</v>
      </c>
      <c r="O25" s="135">
        <v>4</v>
      </c>
      <c r="P25" s="135">
        <v>4</v>
      </c>
      <c r="Q25" s="135">
        <v>4</v>
      </c>
      <c r="R25" s="136">
        <f>'Input Operasional'!Q157</f>
        <v>4</v>
      </c>
      <c r="S25" s="136">
        <f>'Input Operasional'!R157</f>
        <v>4</v>
      </c>
      <c r="T25" s="136">
        <f>'Input Operasional'!S157</f>
        <v>4</v>
      </c>
      <c r="U25" s="136">
        <f>'Input Operasional'!T157</f>
        <v>4</v>
      </c>
      <c r="V25" s="136">
        <f>'Input Operasional'!U157</f>
        <v>4</v>
      </c>
      <c r="W25" s="136">
        <f>'Input Operasional'!V157</f>
        <v>4</v>
      </c>
      <c r="X25" s="136">
        <f>'Input Operasional'!W157</f>
        <v>4</v>
      </c>
      <c r="Y25" s="136">
        <f>'Input Operasional'!X157</f>
        <v>4</v>
      </c>
      <c r="Z25" s="136">
        <f>'Input Operasional'!Y157</f>
        <v>4</v>
      </c>
      <c r="AA25" s="136">
        <f>'Input Operasional'!Z157</f>
        <v>4</v>
      </c>
      <c r="AB25" s="136">
        <f>'Input Operasional'!AA157</f>
        <v>4</v>
      </c>
      <c r="AC25" s="136">
        <f>'Input Operasional'!AB157</f>
        <v>4</v>
      </c>
      <c r="AD25" s="136">
        <f>'Input Operasional'!AC157</f>
        <v>4</v>
      </c>
      <c r="AE25" s="136">
        <f>'Input Operasional'!AD157</f>
        <v>4</v>
      </c>
      <c r="AF25" s="136">
        <f>'Input Operasional'!AE157</f>
        <v>4</v>
      </c>
      <c r="AG25" s="136">
        <f>'Input Operasional'!AF157</f>
        <v>4</v>
      </c>
    </row>
    <row r="26" spans="1:33" ht="14.25" customHeight="1" x14ac:dyDescent="0.35">
      <c r="A26" s="21"/>
      <c r="B26" s="28"/>
      <c r="C26" s="128" t="s">
        <v>3876</v>
      </c>
      <c r="D26" s="28"/>
      <c r="E26" s="28"/>
      <c r="F26" s="21"/>
      <c r="G26" s="21"/>
      <c r="H26" s="21"/>
      <c r="I26" s="22" t="s">
        <v>3874</v>
      </c>
      <c r="J26" s="135">
        <f t="shared" ref="J26:AG26" si="4">J24-J25</f>
        <v>27</v>
      </c>
      <c r="K26" s="135">
        <f t="shared" si="4"/>
        <v>24</v>
      </c>
      <c r="L26" s="135">
        <f t="shared" si="4"/>
        <v>27</v>
      </c>
      <c r="M26" s="135">
        <f t="shared" si="4"/>
        <v>26</v>
      </c>
      <c r="N26" s="135">
        <f t="shared" si="4"/>
        <v>27</v>
      </c>
      <c r="O26" s="135">
        <f t="shared" si="4"/>
        <v>26</v>
      </c>
      <c r="P26" s="135">
        <f t="shared" si="4"/>
        <v>27</v>
      </c>
      <c r="Q26" s="135">
        <f t="shared" si="4"/>
        <v>27</v>
      </c>
      <c r="R26" s="135">
        <f t="shared" si="4"/>
        <v>26</v>
      </c>
      <c r="S26" s="135">
        <f t="shared" si="4"/>
        <v>27</v>
      </c>
      <c r="T26" s="135">
        <f t="shared" si="4"/>
        <v>26</v>
      </c>
      <c r="U26" s="135">
        <f t="shared" si="4"/>
        <v>27</v>
      </c>
      <c r="V26" s="135">
        <f t="shared" si="4"/>
        <v>27</v>
      </c>
      <c r="W26" s="135">
        <f t="shared" si="4"/>
        <v>24</v>
      </c>
      <c r="X26" s="135">
        <f t="shared" si="4"/>
        <v>27</v>
      </c>
      <c r="Y26" s="135">
        <f t="shared" si="4"/>
        <v>26</v>
      </c>
      <c r="Z26" s="135">
        <f t="shared" si="4"/>
        <v>27</v>
      </c>
      <c r="AA26" s="135">
        <f t="shared" si="4"/>
        <v>26</v>
      </c>
      <c r="AB26" s="135">
        <f t="shared" si="4"/>
        <v>27</v>
      </c>
      <c r="AC26" s="135">
        <f t="shared" si="4"/>
        <v>27</v>
      </c>
      <c r="AD26" s="135">
        <f t="shared" si="4"/>
        <v>26</v>
      </c>
      <c r="AE26" s="135">
        <f t="shared" si="4"/>
        <v>27</v>
      </c>
      <c r="AF26" s="135">
        <f t="shared" si="4"/>
        <v>26</v>
      </c>
      <c r="AG26" s="135">
        <f t="shared" si="4"/>
        <v>27</v>
      </c>
    </row>
    <row r="27" spans="1:33" ht="14.25" customHeight="1" x14ac:dyDescent="0.35">
      <c r="A27" s="21"/>
      <c r="B27" s="28"/>
      <c r="C27" s="28"/>
      <c r="D27" s="21"/>
      <c r="E27" s="21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</row>
    <row r="28" spans="1:33" ht="14.25" customHeight="1" x14ac:dyDescent="0.35">
      <c r="A28" s="21"/>
      <c r="B28" s="28" t="s">
        <v>3877</v>
      </c>
      <c r="C28" s="28" t="s">
        <v>3878</v>
      </c>
      <c r="D28" s="21"/>
      <c r="E28" s="21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ht="14.25" customHeight="1" x14ac:dyDescent="0.35">
      <c r="A29" s="21"/>
      <c r="B29" s="28"/>
      <c r="C29" s="128" t="s">
        <v>3879</v>
      </c>
      <c r="D29" s="28"/>
      <c r="E29" s="28"/>
      <c r="F29" s="21"/>
      <c r="G29" s="21"/>
      <c r="H29" s="21"/>
      <c r="I29" s="22" t="s">
        <v>3880</v>
      </c>
      <c r="J29" s="135">
        <v>48000</v>
      </c>
      <c r="K29" s="135">
        <v>48000</v>
      </c>
      <c r="L29" s="135">
        <v>48000</v>
      </c>
      <c r="M29" s="135">
        <v>48000</v>
      </c>
      <c r="N29" s="137">
        <v>48000</v>
      </c>
      <c r="O29" s="137">
        <v>48000</v>
      </c>
      <c r="P29" s="137">
        <v>48000</v>
      </c>
      <c r="Q29" s="137">
        <v>48000</v>
      </c>
      <c r="R29" s="136">
        <f>'Input Operasional'!Q158</f>
        <v>48000</v>
      </c>
      <c r="S29" s="136">
        <f>'Input Operasional'!R158</f>
        <v>48000</v>
      </c>
      <c r="T29" s="136">
        <f>'Input Operasional'!S158</f>
        <v>48000</v>
      </c>
      <c r="U29" s="136">
        <f>'Input Operasional'!T158</f>
        <v>48000</v>
      </c>
      <c r="V29" s="136">
        <f>'Input Operasional'!U158</f>
        <v>48000</v>
      </c>
      <c r="W29" s="136">
        <f>'Input Operasional'!V158</f>
        <v>48000</v>
      </c>
      <c r="X29" s="136">
        <f>'Input Operasional'!W158</f>
        <v>48000</v>
      </c>
      <c r="Y29" s="136">
        <f>'Input Operasional'!X158</f>
        <v>48000</v>
      </c>
      <c r="Z29" s="136">
        <f>'Input Operasional'!Y158</f>
        <v>48000</v>
      </c>
      <c r="AA29" s="136">
        <f>'Input Operasional'!Z158</f>
        <v>48000</v>
      </c>
      <c r="AB29" s="136">
        <f>'Input Operasional'!AA158</f>
        <v>48000</v>
      </c>
      <c r="AC29" s="136">
        <f>'Input Operasional'!AB158</f>
        <v>48000</v>
      </c>
      <c r="AD29" s="136">
        <f>'Input Operasional'!AC158</f>
        <v>48000</v>
      </c>
      <c r="AE29" s="136">
        <f>'Input Operasional'!AD158</f>
        <v>48000</v>
      </c>
      <c r="AF29" s="136">
        <f>'Input Operasional'!AE158</f>
        <v>48000</v>
      </c>
      <c r="AG29" s="136">
        <f>'Input Operasional'!AF158</f>
        <v>48000</v>
      </c>
    </row>
    <row r="30" spans="1:33" ht="14.25" customHeight="1" x14ac:dyDescent="0.35">
      <c r="A30" s="21"/>
      <c r="B30" s="28"/>
      <c r="C30" s="128" t="s">
        <v>3881</v>
      </c>
      <c r="D30" s="28"/>
      <c r="E30" s="28"/>
      <c r="F30" s="21"/>
      <c r="G30" s="21"/>
      <c r="H30" s="21"/>
      <c r="I30" s="22" t="s">
        <v>3880</v>
      </c>
      <c r="J30" s="135">
        <f t="shared" ref="J30:AG30" si="5">J29</f>
        <v>48000</v>
      </c>
      <c r="K30" s="135">
        <f t="shared" si="5"/>
        <v>48000</v>
      </c>
      <c r="L30" s="135">
        <f t="shared" si="5"/>
        <v>48000</v>
      </c>
      <c r="M30" s="135">
        <f t="shared" si="5"/>
        <v>48000</v>
      </c>
      <c r="N30" s="137">
        <f t="shared" si="5"/>
        <v>48000</v>
      </c>
      <c r="O30" s="137">
        <f t="shared" si="5"/>
        <v>48000</v>
      </c>
      <c r="P30" s="137">
        <f t="shared" si="5"/>
        <v>48000</v>
      </c>
      <c r="Q30" s="137">
        <f t="shared" si="5"/>
        <v>48000</v>
      </c>
      <c r="R30" s="137">
        <f t="shared" si="5"/>
        <v>48000</v>
      </c>
      <c r="S30" s="137">
        <f t="shared" si="5"/>
        <v>48000</v>
      </c>
      <c r="T30" s="137">
        <f t="shared" si="5"/>
        <v>48000</v>
      </c>
      <c r="U30" s="137">
        <f t="shared" si="5"/>
        <v>48000</v>
      </c>
      <c r="V30" s="137">
        <f t="shared" si="5"/>
        <v>48000</v>
      </c>
      <c r="W30" s="137">
        <f t="shared" si="5"/>
        <v>48000</v>
      </c>
      <c r="X30" s="137">
        <f t="shared" si="5"/>
        <v>48000</v>
      </c>
      <c r="Y30" s="137">
        <f t="shared" si="5"/>
        <v>48000</v>
      </c>
      <c r="Z30" s="137">
        <f t="shared" si="5"/>
        <v>48000</v>
      </c>
      <c r="AA30" s="137">
        <f t="shared" si="5"/>
        <v>48000</v>
      </c>
      <c r="AB30" s="137">
        <f t="shared" si="5"/>
        <v>48000</v>
      </c>
      <c r="AC30" s="137">
        <f t="shared" si="5"/>
        <v>48000</v>
      </c>
      <c r="AD30" s="137">
        <f t="shared" si="5"/>
        <v>48000</v>
      </c>
      <c r="AE30" s="137">
        <f t="shared" si="5"/>
        <v>48000</v>
      </c>
      <c r="AF30" s="137">
        <f t="shared" si="5"/>
        <v>48000</v>
      </c>
      <c r="AG30" s="137">
        <f t="shared" si="5"/>
        <v>48000</v>
      </c>
    </row>
    <row r="31" spans="1:33" ht="14.25" customHeight="1" x14ac:dyDescent="0.35">
      <c r="A31" s="21"/>
      <c r="B31" s="28"/>
      <c r="C31" s="128" t="s">
        <v>3882</v>
      </c>
      <c r="D31" s="28"/>
      <c r="E31" s="28"/>
      <c r="F31" s="21"/>
      <c r="G31" s="21"/>
      <c r="H31" s="21"/>
      <c r="I31" s="22" t="s">
        <v>3883</v>
      </c>
      <c r="J31" s="135">
        <f t="shared" ref="J31:AG31" si="6">J30/3.33</f>
        <v>14414.414414414414</v>
      </c>
      <c r="K31" s="135">
        <f t="shared" si="6"/>
        <v>14414.414414414414</v>
      </c>
      <c r="L31" s="135">
        <f t="shared" si="6"/>
        <v>14414.414414414414</v>
      </c>
      <c r="M31" s="135">
        <f t="shared" si="6"/>
        <v>14414.414414414414</v>
      </c>
      <c r="N31" s="135">
        <f t="shared" si="6"/>
        <v>14414.414414414414</v>
      </c>
      <c r="O31" s="135">
        <f t="shared" si="6"/>
        <v>14414.414414414414</v>
      </c>
      <c r="P31" s="135">
        <f t="shared" si="6"/>
        <v>14414.414414414414</v>
      </c>
      <c r="Q31" s="135">
        <f t="shared" si="6"/>
        <v>14414.414414414414</v>
      </c>
      <c r="R31" s="135">
        <f t="shared" si="6"/>
        <v>14414.414414414414</v>
      </c>
      <c r="S31" s="135">
        <f t="shared" si="6"/>
        <v>14414.414414414414</v>
      </c>
      <c r="T31" s="135">
        <f t="shared" si="6"/>
        <v>14414.414414414414</v>
      </c>
      <c r="U31" s="135">
        <f t="shared" si="6"/>
        <v>14414.414414414414</v>
      </c>
      <c r="V31" s="135">
        <f t="shared" si="6"/>
        <v>14414.414414414414</v>
      </c>
      <c r="W31" s="135">
        <f t="shared" si="6"/>
        <v>14414.414414414414</v>
      </c>
      <c r="X31" s="135">
        <f t="shared" si="6"/>
        <v>14414.414414414414</v>
      </c>
      <c r="Y31" s="135">
        <f t="shared" si="6"/>
        <v>14414.414414414414</v>
      </c>
      <c r="Z31" s="135">
        <f t="shared" si="6"/>
        <v>14414.414414414414</v>
      </c>
      <c r="AA31" s="135">
        <f t="shared" si="6"/>
        <v>14414.414414414414</v>
      </c>
      <c r="AB31" s="135">
        <f t="shared" si="6"/>
        <v>14414.414414414414</v>
      </c>
      <c r="AC31" s="135">
        <f t="shared" si="6"/>
        <v>14414.414414414414</v>
      </c>
      <c r="AD31" s="135">
        <f t="shared" si="6"/>
        <v>14414.414414414414</v>
      </c>
      <c r="AE31" s="135">
        <f t="shared" si="6"/>
        <v>14414.414414414414</v>
      </c>
      <c r="AF31" s="135">
        <f t="shared" si="6"/>
        <v>14414.414414414414</v>
      </c>
      <c r="AG31" s="135">
        <f t="shared" si="6"/>
        <v>14414.414414414414</v>
      </c>
    </row>
    <row r="32" spans="1:33" ht="14.25" customHeight="1" x14ac:dyDescent="0.35">
      <c r="A32" s="21"/>
      <c r="B32" s="28"/>
      <c r="C32" s="28"/>
      <c r="D32" s="21"/>
      <c r="E32" s="21"/>
      <c r="F32" s="21"/>
      <c r="G32" s="21"/>
      <c r="H32" s="21"/>
      <c r="I32" s="22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</row>
    <row r="33" spans="1:33" ht="14.25" customHeight="1" x14ac:dyDescent="0.35">
      <c r="A33" s="21"/>
      <c r="B33" s="28" t="s">
        <v>3884</v>
      </c>
      <c r="C33" s="28" t="s">
        <v>3885</v>
      </c>
      <c r="D33" s="21"/>
      <c r="E33" s="21"/>
      <c r="F33" s="21"/>
      <c r="G33" s="21"/>
      <c r="H33" s="21"/>
      <c r="I33" s="22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</row>
    <row r="34" spans="1:33" ht="14.25" customHeight="1" x14ac:dyDescent="0.35">
      <c r="A34" s="21"/>
      <c r="B34" s="28"/>
      <c r="C34" s="128" t="s">
        <v>3879</v>
      </c>
      <c r="D34" s="28"/>
      <c r="E34" s="28"/>
      <c r="F34" s="21"/>
      <c r="G34" s="21"/>
      <c r="H34" s="21"/>
      <c r="I34" s="22" t="s">
        <v>3886</v>
      </c>
      <c r="J34" s="135">
        <f>J26*J29/10^3</f>
        <v>1296</v>
      </c>
      <c r="K34" s="135">
        <f t="shared" ref="K34:AG34" si="7">K36*3.3</f>
        <v>1141.6216216216214</v>
      </c>
      <c r="L34" s="135">
        <f t="shared" si="7"/>
        <v>1284.3243243243242</v>
      </c>
      <c r="M34" s="135">
        <f t="shared" si="7"/>
        <v>1236.7567567567567</v>
      </c>
      <c r="N34" s="137">
        <f t="shared" si="7"/>
        <v>1284.3243243243242</v>
      </c>
      <c r="O34" s="137">
        <f t="shared" si="7"/>
        <v>1236.7567567567567</v>
      </c>
      <c r="P34" s="137">
        <f t="shared" si="7"/>
        <v>1284.3243243243242</v>
      </c>
      <c r="Q34" s="137">
        <f t="shared" si="7"/>
        <v>1284.3243243243242</v>
      </c>
      <c r="R34" s="137">
        <f t="shared" si="7"/>
        <v>1236.7567567567567</v>
      </c>
      <c r="S34" s="137">
        <f t="shared" si="7"/>
        <v>1284.3243243243242</v>
      </c>
      <c r="T34" s="137">
        <f t="shared" si="7"/>
        <v>1236.7567567567567</v>
      </c>
      <c r="U34" s="137">
        <f t="shared" si="7"/>
        <v>1284.3243243243242</v>
      </c>
      <c r="V34" s="137">
        <f t="shared" si="7"/>
        <v>1284.3243243243242</v>
      </c>
      <c r="W34" s="137">
        <f t="shared" si="7"/>
        <v>1141.6216216216214</v>
      </c>
      <c r="X34" s="137">
        <f t="shared" si="7"/>
        <v>1284.3243243243242</v>
      </c>
      <c r="Y34" s="137">
        <f t="shared" si="7"/>
        <v>1236.7567567567567</v>
      </c>
      <c r="Z34" s="137">
        <f t="shared" si="7"/>
        <v>1284.3243243243242</v>
      </c>
      <c r="AA34" s="137">
        <f t="shared" si="7"/>
        <v>1236.7567567567567</v>
      </c>
      <c r="AB34" s="137">
        <f t="shared" si="7"/>
        <v>1284.3243243243242</v>
      </c>
      <c r="AC34" s="137">
        <f t="shared" si="7"/>
        <v>1284.3243243243242</v>
      </c>
      <c r="AD34" s="137">
        <f t="shared" si="7"/>
        <v>1236.7567567567567</v>
      </c>
      <c r="AE34" s="137">
        <f t="shared" si="7"/>
        <v>1284.3243243243242</v>
      </c>
      <c r="AF34" s="137">
        <f t="shared" si="7"/>
        <v>1236.7567567567567</v>
      </c>
      <c r="AG34" s="137">
        <f t="shared" si="7"/>
        <v>1284.3243243243242</v>
      </c>
    </row>
    <row r="35" spans="1:33" ht="14.25" customHeight="1" x14ac:dyDescent="0.35">
      <c r="A35" s="21"/>
      <c r="B35" s="28"/>
      <c r="C35" s="128" t="s">
        <v>3881</v>
      </c>
      <c r="D35" s="28"/>
      <c r="E35" s="28"/>
      <c r="F35" s="21"/>
      <c r="G35" s="21"/>
      <c r="H35" s="21"/>
      <c r="I35" s="22" t="s">
        <v>3886</v>
      </c>
      <c r="J35" s="135">
        <f>J26*J30/10^3</f>
        <v>1296</v>
      </c>
      <c r="K35" s="135">
        <f t="shared" ref="K35:AG35" si="8">K34</f>
        <v>1141.6216216216214</v>
      </c>
      <c r="L35" s="135">
        <f t="shared" si="8"/>
        <v>1284.3243243243242</v>
      </c>
      <c r="M35" s="135">
        <f t="shared" si="8"/>
        <v>1236.7567567567567</v>
      </c>
      <c r="N35" s="137">
        <f t="shared" si="8"/>
        <v>1284.3243243243242</v>
      </c>
      <c r="O35" s="137">
        <f t="shared" si="8"/>
        <v>1236.7567567567567</v>
      </c>
      <c r="P35" s="137">
        <f t="shared" si="8"/>
        <v>1284.3243243243242</v>
      </c>
      <c r="Q35" s="137">
        <f t="shared" si="8"/>
        <v>1284.3243243243242</v>
      </c>
      <c r="R35" s="137">
        <f t="shared" si="8"/>
        <v>1236.7567567567567</v>
      </c>
      <c r="S35" s="137">
        <f t="shared" si="8"/>
        <v>1284.3243243243242</v>
      </c>
      <c r="T35" s="137">
        <f t="shared" si="8"/>
        <v>1236.7567567567567</v>
      </c>
      <c r="U35" s="137">
        <f t="shared" si="8"/>
        <v>1284.3243243243242</v>
      </c>
      <c r="V35" s="137">
        <f t="shared" si="8"/>
        <v>1284.3243243243242</v>
      </c>
      <c r="W35" s="137">
        <f t="shared" si="8"/>
        <v>1141.6216216216214</v>
      </c>
      <c r="X35" s="137">
        <f t="shared" si="8"/>
        <v>1284.3243243243242</v>
      </c>
      <c r="Y35" s="137">
        <f t="shared" si="8"/>
        <v>1236.7567567567567</v>
      </c>
      <c r="Z35" s="137">
        <f t="shared" si="8"/>
        <v>1284.3243243243242</v>
      </c>
      <c r="AA35" s="137">
        <f t="shared" si="8"/>
        <v>1236.7567567567567</v>
      </c>
      <c r="AB35" s="137">
        <f t="shared" si="8"/>
        <v>1284.3243243243242</v>
      </c>
      <c r="AC35" s="137">
        <f t="shared" si="8"/>
        <v>1284.3243243243242</v>
      </c>
      <c r="AD35" s="137">
        <f t="shared" si="8"/>
        <v>1236.7567567567567</v>
      </c>
      <c r="AE35" s="137">
        <f t="shared" si="8"/>
        <v>1284.3243243243242</v>
      </c>
      <c r="AF35" s="137">
        <f t="shared" si="8"/>
        <v>1236.7567567567567</v>
      </c>
      <c r="AG35" s="137">
        <f t="shared" si="8"/>
        <v>1284.3243243243242</v>
      </c>
    </row>
    <row r="36" spans="1:33" ht="14.25" customHeight="1" x14ac:dyDescent="0.35">
      <c r="A36" s="21"/>
      <c r="B36" s="28"/>
      <c r="C36" s="128" t="s">
        <v>3882</v>
      </c>
      <c r="D36" s="28"/>
      <c r="E36" s="28"/>
      <c r="F36" s="21"/>
      <c r="G36" s="21"/>
      <c r="H36" s="21"/>
      <c r="I36" s="22" t="s">
        <v>3887</v>
      </c>
      <c r="J36" s="135">
        <f t="shared" ref="J36:AG36" si="9">J26*J31/10^3</f>
        <v>389.18918918918916</v>
      </c>
      <c r="K36" s="135">
        <f t="shared" si="9"/>
        <v>345.94594594594594</v>
      </c>
      <c r="L36" s="135">
        <f t="shared" si="9"/>
        <v>389.18918918918916</v>
      </c>
      <c r="M36" s="135">
        <f t="shared" si="9"/>
        <v>374.77477477477476</v>
      </c>
      <c r="N36" s="135">
        <f t="shared" si="9"/>
        <v>389.18918918918916</v>
      </c>
      <c r="O36" s="135">
        <f t="shared" si="9"/>
        <v>374.77477477477476</v>
      </c>
      <c r="P36" s="135">
        <f t="shared" si="9"/>
        <v>389.18918918918916</v>
      </c>
      <c r="Q36" s="135">
        <f t="shared" si="9"/>
        <v>389.18918918918916</v>
      </c>
      <c r="R36" s="135">
        <f t="shared" si="9"/>
        <v>374.77477477477476</v>
      </c>
      <c r="S36" s="135">
        <f t="shared" si="9"/>
        <v>389.18918918918916</v>
      </c>
      <c r="T36" s="135">
        <f t="shared" si="9"/>
        <v>374.77477477477476</v>
      </c>
      <c r="U36" s="135">
        <f t="shared" si="9"/>
        <v>389.18918918918916</v>
      </c>
      <c r="V36" s="135">
        <f t="shared" si="9"/>
        <v>389.18918918918916</v>
      </c>
      <c r="W36" s="135">
        <f t="shared" si="9"/>
        <v>345.94594594594594</v>
      </c>
      <c r="X36" s="135">
        <f t="shared" si="9"/>
        <v>389.18918918918916</v>
      </c>
      <c r="Y36" s="135">
        <f t="shared" si="9"/>
        <v>374.77477477477476</v>
      </c>
      <c r="Z36" s="135">
        <f t="shared" si="9"/>
        <v>389.18918918918916</v>
      </c>
      <c r="AA36" s="135">
        <f t="shared" si="9"/>
        <v>374.77477477477476</v>
      </c>
      <c r="AB36" s="135">
        <f t="shared" si="9"/>
        <v>389.18918918918916</v>
      </c>
      <c r="AC36" s="135">
        <f t="shared" si="9"/>
        <v>389.18918918918916</v>
      </c>
      <c r="AD36" s="135">
        <f t="shared" si="9"/>
        <v>374.77477477477476</v>
      </c>
      <c r="AE36" s="135">
        <f t="shared" si="9"/>
        <v>389.18918918918916</v>
      </c>
      <c r="AF36" s="135">
        <f t="shared" si="9"/>
        <v>374.77477477477476</v>
      </c>
      <c r="AG36" s="135">
        <f t="shared" si="9"/>
        <v>389.18918918918916</v>
      </c>
    </row>
    <row r="37" spans="1:33" ht="14.25" customHeight="1" x14ac:dyDescent="0.35">
      <c r="A37" s="21"/>
      <c r="B37" s="28"/>
      <c r="C37" s="28"/>
      <c r="D37" s="21"/>
      <c r="E37" s="21"/>
      <c r="F37" s="21"/>
      <c r="G37" s="21"/>
      <c r="H37" s="21"/>
      <c r="I37" s="22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</row>
    <row r="38" spans="1:33" ht="14.25" customHeight="1" x14ac:dyDescent="0.35">
      <c r="A38" s="21"/>
      <c r="B38" s="134" t="s">
        <v>3884</v>
      </c>
      <c r="C38" s="28" t="s">
        <v>3888</v>
      </c>
      <c r="D38" s="21"/>
      <c r="E38" s="21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</row>
    <row r="39" spans="1:33" ht="14.25" customHeight="1" x14ac:dyDescent="0.35">
      <c r="A39" s="21"/>
      <c r="B39" s="28"/>
      <c r="C39" s="128" t="s">
        <v>3879</v>
      </c>
      <c r="D39" s="28"/>
      <c r="E39" s="28"/>
      <c r="F39" s="21"/>
      <c r="G39" s="21"/>
      <c r="H39" s="21"/>
      <c r="I39" s="22" t="s">
        <v>3889</v>
      </c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</row>
    <row r="40" spans="1:33" ht="14.25" customHeight="1" x14ac:dyDescent="0.35">
      <c r="A40" s="21"/>
      <c r="B40" s="28"/>
      <c r="C40" s="128" t="s">
        <v>3881</v>
      </c>
      <c r="D40" s="28"/>
      <c r="E40" s="28"/>
      <c r="F40" s="21"/>
      <c r="G40" s="21"/>
      <c r="H40" s="21"/>
      <c r="I40" s="22" t="s">
        <v>3889</v>
      </c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</row>
    <row r="41" spans="1:33" ht="14.25" customHeight="1" x14ac:dyDescent="0.35">
      <c r="A41" s="21"/>
      <c r="B41" s="28"/>
      <c r="C41" s="128" t="s">
        <v>3882</v>
      </c>
      <c r="D41" s="28"/>
      <c r="E41" s="28"/>
      <c r="F41" s="21"/>
      <c r="G41" s="21"/>
      <c r="H41" s="21"/>
      <c r="I41" s="22" t="s">
        <v>3889</v>
      </c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</row>
    <row r="42" spans="1:33" ht="14.25" customHeight="1" x14ac:dyDescent="0.35">
      <c r="A42" s="21"/>
      <c r="B42" s="28" t="s">
        <v>3890</v>
      </c>
      <c r="C42" s="28" t="s">
        <v>3891</v>
      </c>
      <c r="D42" s="28"/>
      <c r="E42" s="28"/>
      <c r="F42" s="21"/>
      <c r="G42" s="21"/>
      <c r="H42" s="21"/>
      <c r="I42" s="22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</row>
    <row r="43" spans="1:33" ht="14.25" customHeight="1" x14ac:dyDescent="0.35">
      <c r="A43" s="21"/>
      <c r="B43" s="28"/>
      <c r="C43" s="21" t="s">
        <v>3892</v>
      </c>
      <c r="D43" s="21"/>
      <c r="E43" s="21"/>
      <c r="F43" s="21"/>
      <c r="G43" s="21"/>
      <c r="H43" s="21"/>
      <c r="I43" s="22" t="s">
        <v>3893</v>
      </c>
      <c r="J43" s="139">
        <f>'Data Aktual'!K43</f>
        <v>680</v>
      </c>
      <c r="K43" s="139">
        <f>'Data Aktual'!L43</f>
        <v>656</v>
      </c>
      <c r="L43" s="139">
        <f>'Data Aktual'!M43</f>
        <v>512</v>
      </c>
      <c r="M43" s="139">
        <f>'Data Aktual'!N43</f>
        <v>512</v>
      </c>
      <c r="N43" s="139">
        <f>'Data Aktual'!O43</f>
        <v>688</v>
      </c>
      <c r="O43" s="139">
        <f>'Data Aktual'!P43</f>
        <v>688</v>
      </c>
      <c r="P43" s="139">
        <f>'Data Aktual'!Q43</f>
        <v>688</v>
      </c>
      <c r="Q43" s="139">
        <f>'Data Aktual'!R43</f>
        <v>696</v>
      </c>
      <c r="R43" s="140">
        <v>632.5</v>
      </c>
      <c r="S43" s="140">
        <v>632.5</v>
      </c>
      <c r="T43" s="140">
        <v>632.5</v>
      </c>
      <c r="U43" s="140">
        <v>632.5</v>
      </c>
      <c r="V43" s="140">
        <v>632.5</v>
      </c>
      <c r="W43" s="140">
        <v>632.5</v>
      </c>
      <c r="X43" s="140">
        <v>632.5</v>
      </c>
      <c r="Y43" s="140">
        <v>632.5</v>
      </c>
      <c r="Z43" s="140">
        <v>632.5</v>
      </c>
      <c r="AA43" s="140">
        <v>632.5</v>
      </c>
      <c r="AB43" s="140">
        <v>632.5</v>
      </c>
      <c r="AC43" s="140">
        <v>632.5</v>
      </c>
      <c r="AD43" s="140">
        <v>632.5</v>
      </c>
      <c r="AE43" s="140">
        <v>632.5</v>
      </c>
      <c r="AF43" s="140">
        <v>632.5</v>
      </c>
      <c r="AG43" s="140">
        <v>632.5</v>
      </c>
    </row>
    <row r="44" spans="1:33" ht="14.25" customHeight="1" x14ac:dyDescent="0.35">
      <c r="A44" s="21"/>
      <c r="B44" s="28"/>
      <c r="C44" s="21" t="s">
        <v>3894</v>
      </c>
      <c r="D44" s="21"/>
      <c r="E44" s="21"/>
      <c r="F44" s="21"/>
      <c r="G44" s="21"/>
      <c r="H44" s="21"/>
      <c r="I44" s="22" t="s">
        <v>3893</v>
      </c>
      <c r="J44" s="139">
        <f>'Data Aktual'!K43</f>
        <v>680</v>
      </c>
      <c r="K44" s="139">
        <f>'Data Aktual'!L43</f>
        <v>656</v>
      </c>
      <c r="L44" s="139">
        <f>'Data Aktual'!M43</f>
        <v>512</v>
      </c>
      <c r="M44" s="139">
        <f>'Data Aktual'!N43</f>
        <v>512</v>
      </c>
      <c r="N44" s="139">
        <f>'Data Aktual'!O43</f>
        <v>688</v>
      </c>
      <c r="O44" s="139">
        <f>'Data Aktual'!P43</f>
        <v>688</v>
      </c>
      <c r="P44" s="139">
        <f>'Data Aktual'!Q43</f>
        <v>688</v>
      </c>
      <c r="Q44" s="139">
        <f>'Data Aktual'!R43</f>
        <v>696</v>
      </c>
      <c r="R44" s="140">
        <v>632.5</v>
      </c>
      <c r="S44" s="140">
        <v>632.5</v>
      </c>
      <c r="T44" s="140">
        <v>632.5</v>
      </c>
      <c r="U44" s="140">
        <v>632.5</v>
      </c>
      <c r="V44" s="140">
        <v>632.5</v>
      </c>
      <c r="W44" s="140">
        <v>632.5</v>
      </c>
      <c r="X44" s="140">
        <v>632.5</v>
      </c>
      <c r="Y44" s="140">
        <v>632.5</v>
      </c>
      <c r="Z44" s="140">
        <v>632.5</v>
      </c>
      <c r="AA44" s="140">
        <v>632.5</v>
      </c>
      <c r="AB44" s="140">
        <v>632.5</v>
      </c>
      <c r="AC44" s="140">
        <v>632.5</v>
      </c>
      <c r="AD44" s="140">
        <v>632.5</v>
      </c>
      <c r="AE44" s="140">
        <v>632.5</v>
      </c>
      <c r="AF44" s="140">
        <v>632.5</v>
      </c>
      <c r="AG44" s="140">
        <v>632.5</v>
      </c>
    </row>
    <row r="45" spans="1:33" ht="14.25" customHeight="1" x14ac:dyDescent="0.35">
      <c r="A45" s="21"/>
      <c r="B45" s="28"/>
      <c r="C45" s="21" t="s">
        <v>3895</v>
      </c>
      <c r="D45" s="21"/>
      <c r="E45" s="21"/>
      <c r="F45" s="21"/>
      <c r="G45" s="21"/>
      <c r="H45" s="21"/>
      <c r="I45" s="22" t="s">
        <v>3893</v>
      </c>
      <c r="J45" s="139">
        <f>'Data Aktual'!K43</f>
        <v>680</v>
      </c>
      <c r="K45" s="139">
        <f>'Data Aktual'!L43</f>
        <v>656</v>
      </c>
      <c r="L45" s="139">
        <f>'Data Aktual'!M43</f>
        <v>512</v>
      </c>
      <c r="M45" s="139">
        <f>'Data Aktual'!N43</f>
        <v>512</v>
      </c>
      <c r="N45" s="139">
        <f>'Data Aktual'!O43</f>
        <v>688</v>
      </c>
      <c r="O45" s="139">
        <f>'Data Aktual'!P43</f>
        <v>688</v>
      </c>
      <c r="P45" s="139">
        <f>'Data Aktual'!Q43</f>
        <v>688</v>
      </c>
      <c r="Q45" s="139">
        <f>'Data Aktual'!R43</f>
        <v>696</v>
      </c>
      <c r="R45" s="140">
        <v>632.5</v>
      </c>
      <c r="S45" s="140">
        <v>632.5</v>
      </c>
      <c r="T45" s="140">
        <v>632.5</v>
      </c>
      <c r="U45" s="140">
        <v>632.5</v>
      </c>
      <c r="V45" s="140">
        <v>632.5</v>
      </c>
      <c r="W45" s="140">
        <v>632.5</v>
      </c>
      <c r="X45" s="140">
        <v>632.5</v>
      </c>
      <c r="Y45" s="140">
        <v>632.5</v>
      </c>
      <c r="Z45" s="140">
        <v>632.5</v>
      </c>
      <c r="AA45" s="140">
        <v>632.5</v>
      </c>
      <c r="AB45" s="140">
        <v>632.5</v>
      </c>
      <c r="AC45" s="140">
        <v>632.5</v>
      </c>
      <c r="AD45" s="140">
        <v>632.5</v>
      </c>
      <c r="AE45" s="140">
        <v>632.5</v>
      </c>
      <c r="AF45" s="140">
        <v>632.5</v>
      </c>
      <c r="AG45" s="140">
        <v>632.5</v>
      </c>
    </row>
    <row r="46" spans="1:33" ht="14.25" customHeight="1" x14ac:dyDescent="0.35">
      <c r="A46" s="21"/>
      <c r="B46" s="28"/>
      <c r="C46" s="21" t="s">
        <v>3896</v>
      </c>
      <c r="D46" s="21"/>
      <c r="E46" s="21"/>
      <c r="F46" s="21"/>
      <c r="G46" s="21"/>
      <c r="H46" s="21"/>
      <c r="I46" s="22" t="s">
        <v>3897</v>
      </c>
      <c r="J46" s="139">
        <v>600.60060060060061</v>
      </c>
      <c r="K46" s="139">
        <v>600.60060060060061</v>
      </c>
      <c r="L46" s="139">
        <v>600.60060060060061</v>
      </c>
      <c r="M46" s="139">
        <v>600.60060060060061</v>
      </c>
      <c r="N46" s="139">
        <v>600.60060060060061</v>
      </c>
      <c r="O46" s="139">
        <v>600.60060060060061</v>
      </c>
      <c r="P46" s="139">
        <v>600.60060060060061</v>
      </c>
      <c r="Q46" s="139">
        <v>600.60060060060061</v>
      </c>
      <c r="R46" s="140">
        <v>600.60060060060061</v>
      </c>
      <c r="S46" s="140">
        <v>600.60060060060061</v>
      </c>
      <c r="T46" s="140">
        <v>600.60060060060061</v>
      </c>
      <c r="U46" s="140">
        <v>600.60060060060061</v>
      </c>
      <c r="V46" s="140">
        <v>600.60060060060061</v>
      </c>
      <c r="W46" s="140">
        <v>600.60060060060061</v>
      </c>
      <c r="X46" s="140">
        <v>600.60060060060061</v>
      </c>
      <c r="Y46" s="140">
        <v>600.60060060060061</v>
      </c>
      <c r="Z46" s="140">
        <v>600.60060060060061</v>
      </c>
      <c r="AA46" s="140">
        <v>600.60060060060061</v>
      </c>
      <c r="AB46" s="140">
        <v>600.60060060060061</v>
      </c>
      <c r="AC46" s="140">
        <v>600.60060060060061</v>
      </c>
      <c r="AD46" s="140">
        <v>600.60060060060061</v>
      </c>
      <c r="AE46" s="140">
        <v>600.60060060060061</v>
      </c>
      <c r="AF46" s="140">
        <v>600.60060060060061</v>
      </c>
      <c r="AG46" s="140">
        <v>600.60060060060061</v>
      </c>
    </row>
    <row r="47" spans="1:33" ht="14.25" customHeight="1" x14ac:dyDescent="0.35">
      <c r="A47" s="21"/>
      <c r="B47" s="28"/>
      <c r="C47" s="21" t="s">
        <v>3898</v>
      </c>
      <c r="D47" s="21"/>
      <c r="E47" s="21"/>
      <c r="F47" s="21"/>
      <c r="G47" s="21"/>
      <c r="H47" s="21"/>
      <c r="I47" s="22" t="s">
        <v>3883</v>
      </c>
      <c r="J47" s="139">
        <f t="shared" ref="J47:AG47" si="10">J45*J46</f>
        <v>408408.4084084084</v>
      </c>
      <c r="K47" s="139">
        <f t="shared" si="10"/>
        <v>393993.99399399402</v>
      </c>
      <c r="L47" s="139">
        <f t="shared" si="10"/>
        <v>307507.50750750751</v>
      </c>
      <c r="M47" s="139">
        <f t="shared" si="10"/>
        <v>307507.50750750751</v>
      </c>
      <c r="N47" s="139">
        <f t="shared" si="10"/>
        <v>413213.2132132132</v>
      </c>
      <c r="O47" s="139">
        <f t="shared" si="10"/>
        <v>413213.2132132132</v>
      </c>
      <c r="P47" s="139">
        <f t="shared" si="10"/>
        <v>413213.2132132132</v>
      </c>
      <c r="Q47" s="139">
        <f t="shared" si="10"/>
        <v>418018.01801801805</v>
      </c>
      <c r="R47" s="140">
        <f t="shared" si="10"/>
        <v>379879.87987987988</v>
      </c>
      <c r="S47" s="140">
        <f t="shared" si="10"/>
        <v>379879.87987987988</v>
      </c>
      <c r="T47" s="140">
        <f t="shared" si="10"/>
        <v>379879.87987987988</v>
      </c>
      <c r="U47" s="140">
        <f t="shared" si="10"/>
        <v>379879.87987987988</v>
      </c>
      <c r="V47" s="140">
        <f t="shared" si="10"/>
        <v>379879.87987987988</v>
      </c>
      <c r="W47" s="140">
        <f t="shared" si="10"/>
        <v>379879.87987987988</v>
      </c>
      <c r="X47" s="140">
        <f t="shared" si="10"/>
        <v>379879.87987987988</v>
      </c>
      <c r="Y47" s="140">
        <f t="shared" si="10"/>
        <v>379879.87987987988</v>
      </c>
      <c r="Z47" s="140">
        <f t="shared" si="10"/>
        <v>379879.87987987988</v>
      </c>
      <c r="AA47" s="140">
        <f t="shared" si="10"/>
        <v>379879.87987987988</v>
      </c>
      <c r="AB47" s="140">
        <f t="shared" si="10"/>
        <v>379879.87987987988</v>
      </c>
      <c r="AC47" s="140">
        <f t="shared" si="10"/>
        <v>379879.87987987988</v>
      </c>
      <c r="AD47" s="140">
        <f t="shared" si="10"/>
        <v>379879.87987987988</v>
      </c>
      <c r="AE47" s="140">
        <f t="shared" si="10"/>
        <v>379879.87987987988</v>
      </c>
      <c r="AF47" s="140">
        <f t="shared" si="10"/>
        <v>379879.87987987988</v>
      </c>
      <c r="AG47" s="140">
        <f t="shared" si="10"/>
        <v>379879.87987987988</v>
      </c>
    </row>
    <row r="48" spans="1:33" ht="14.25" customHeight="1" x14ac:dyDescent="0.35">
      <c r="A48" s="21"/>
      <c r="B48" s="28"/>
      <c r="C48" s="21" t="s">
        <v>3899</v>
      </c>
      <c r="D48" s="21"/>
      <c r="E48" s="21"/>
      <c r="F48" s="21"/>
      <c r="G48" s="21"/>
      <c r="H48" s="21"/>
      <c r="I48" s="22" t="s">
        <v>3900</v>
      </c>
      <c r="J48" s="139">
        <f t="shared" ref="J48:Q48" si="11">J421+J582+J741+J892</f>
        <v>350705.13</v>
      </c>
      <c r="K48" s="139">
        <f t="shared" si="11"/>
        <v>343801.80000000005</v>
      </c>
      <c r="L48" s="139">
        <f t="shared" si="11"/>
        <v>249392.6</v>
      </c>
      <c r="M48" s="139">
        <f t="shared" si="11"/>
        <v>259914.75</v>
      </c>
      <c r="N48" s="139">
        <f t="shared" si="11"/>
        <v>286092.5</v>
      </c>
      <c r="O48" s="139">
        <f t="shared" si="11"/>
        <v>309896.59999999998</v>
      </c>
      <c r="P48" s="139">
        <f t="shared" si="11"/>
        <v>310829</v>
      </c>
      <c r="Q48" s="139">
        <f t="shared" si="11"/>
        <v>361606.5</v>
      </c>
      <c r="R48" s="140">
        <f t="shared" ref="R48:AG48" si="12">R421+R581+R741+R892</f>
        <v>305038.93825571076</v>
      </c>
      <c r="S48" s="140">
        <f t="shared" si="12"/>
        <v>305544.11568898492</v>
      </c>
      <c r="T48" s="140">
        <f t="shared" si="12"/>
        <v>304923.59444823529</v>
      </c>
      <c r="U48" s="140">
        <f t="shared" si="12"/>
        <v>305168.64055379597</v>
      </c>
      <c r="V48" s="140">
        <f t="shared" si="12"/>
        <v>305211.89962299186</v>
      </c>
      <c r="W48" s="140">
        <f t="shared" si="12"/>
        <v>305101.32439248497</v>
      </c>
      <c r="X48" s="140">
        <f t="shared" si="12"/>
        <v>305160.61461363261</v>
      </c>
      <c r="Y48" s="140">
        <f t="shared" si="12"/>
        <v>305157.93939580076</v>
      </c>
      <c r="Z48" s="140">
        <f t="shared" si="12"/>
        <v>305139.95697185805</v>
      </c>
      <c r="AA48" s="140">
        <f t="shared" si="12"/>
        <v>305152.83671290515</v>
      </c>
      <c r="AB48" s="140">
        <f t="shared" si="12"/>
        <v>305150.24416907271</v>
      </c>
      <c r="AC48" s="140">
        <f t="shared" si="12"/>
        <v>305147.67918134318</v>
      </c>
      <c r="AD48" s="140">
        <f t="shared" si="12"/>
        <v>305150.2533396419</v>
      </c>
      <c r="AE48" s="140">
        <f t="shared" si="12"/>
        <v>305149.39222512156</v>
      </c>
      <c r="AF48" s="140">
        <f t="shared" si="12"/>
        <v>305149.10824488115</v>
      </c>
      <c r="AG48" s="140">
        <f t="shared" si="12"/>
        <v>305149.58460242359</v>
      </c>
    </row>
    <row r="49" spans="1:33" ht="14.25" customHeight="1" x14ac:dyDescent="0.35">
      <c r="A49" s="21"/>
      <c r="B49" s="28"/>
      <c r="C49" s="21" t="s">
        <v>3901</v>
      </c>
      <c r="D49" s="21"/>
      <c r="E49" s="21"/>
      <c r="F49" s="21"/>
      <c r="G49" s="21"/>
      <c r="H49" s="21"/>
      <c r="I49" s="22" t="s">
        <v>13</v>
      </c>
      <c r="J49" s="141">
        <f t="shared" ref="J49:AG49" si="13">IF(J47=0,0,J48/J47)</f>
        <v>0.85871182566176474</v>
      </c>
      <c r="K49" s="141">
        <f t="shared" si="13"/>
        <v>0.87260670274390251</v>
      </c>
      <c r="L49" s="141">
        <f t="shared" si="13"/>
        <v>0.81101304492187498</v>
      </c>
      <c r="M49" s="141">
        <f t="shared" si="13"/>
        <v>0.8452305834960937</v>
      </c>
      <c r="N49" s="141">
        <f t="shared" si="13"/>
        <v>0.69236048328488375</v>
      </c>
      <c r="O49" s="141">
        <f t="shared" si="13"/>
        <v>0.74996778924418606</v>
      </c>
      <c r="P49" s="141">
        <f t="shared" si="13"/>
        <v>0.75222425145348837</v>
      </c>
      <c r="Q49" s="141">
        <f t="shared" si="13"/>
        <v>0.86505003232758615</v>
      </c>
      <c r="R49" s="126">
        <f t="shared" si="13"/>
        <v>0.80298787698934138</v>
      </c>
      <c r="S49" s="126">
        <f t="shared" si="13"/>
        <v>0.80431771165558874</v>
      </c>
      <c r="T49" s="126">
        <f t="shared" si="13"/>
        <v>0.80268424467401067</v>
      </c>
      <c r="U49" s="126">
        <f t="shared" si="13"/>
        <v>0.80332930675426129</v>
      </c>
      <c r="V49" s="126">
        <f t="shared" si="13"/>
        <v>0.80344318240676904</v>
      </c>
      <c r="W49" s="126">
        <f t="shared" si="13"/>
        <v>0.8031521029462253</v>
      </c>
      <c r="X49" s="126">
        <f t="shared" si="13"/>
        <v>0.80330817918055064</v>
      </c>
      <c r="Y49" s="126">
        <f t="shared" si="13"/>
        <v>0.80330113690752292</v>
      </c>
      <c r="Z49" s="126">
        <f t="shared" si="13"/>
        <v>0.8032537997757212</v>
      </c>
      <c r="AA49" s="126">
        <f t="shared" si="13"/>
        <v>0.8032877045485961</v>
      </c>
      <c r="AB49" s="126">
        <f t="shared" si="13"/>
        <v>0.80328087990751951</v>
      </c>
      <c r="AC49" s="126">
        <f t="shared" si="13"/>
        <v>0.80327412780543306</v>
      </c>
      <c r="AD49" s="126">
        <f t="shared" si="13"/>
        <v>0.80328090404822727</v>
      </c>
      <c r="AE49" s="126">
        <f t="shared" si="13"/>
        <v>0.80327863724083381</v>
      </c>
      <c r="AF49" s="126">
        <f t="shared" si="13"/>
        <v>0.80327788968810609</v>
      </c>
      <c r="AG49" s="126">
        <f t="shared" si="13"/>
        <v>0.80327914365697273</v>
      </c>
    </row>
    <row r="50" spans="1:33" ht="14.25" customHeight="1" x14ac:dyDescent="0.35">
      <c r="A50" s="21"/>
      <c r="B50" s="28"/>
      <c r="C50" s="21" t="s">
        <v>3902</v>
      </c>
      <c r="D50" s="21"/>
      <c r="E50" s="21"/>
      <c r="F50" s="21"/>
      <c r="G50" s="21"/>
      <c r="H50" s="21"/>
      <c r="I50" s="22" t="s">
        <v>3883</v>
      </c>
      <c r="J50" s="139">
        <f t="shared" ref="J50:AG50" si="14">J47-J48</f>
        <v>57703.278408408398</v>
      </c>
      <c r="K50" s="139">
        <f t="shared" si="14"/>
        <v>50192.193993993977</v>
      </c>
      <c r="L50" s="139">
        <f t="shared" si="14"/>
        <v>58114.907507507509</v>
      </c>
      <c r="M50" s="139">
        <f t="shared" si="14"/>
        <v>47592.757507507515</v>
      </c>
      <c r="N50" s="139">
        <f t="shared" si="14"/>
        <v>127120.7132132132</v>
      </c>
      <c r="O50" s="139">
        <f t="shared" si="14"/>
        <v>103316.61321321322</v>
      </c>
      <c r="P50" s="139">
        <f t="shared" si="14"/>
        <v>102384.2132132132</v>
      </c>
      <c r="Q50" s="139">
        <f t="shared" si="14"/>
        <v>56411.518018018047</v>
      </c>
      <c r="R50" s="140">
        <f t="shared" si="14"/>
        <v>74840.941624169121</v>
      </c>
      <c r="S50" s="140">
        <f t="shared" si="14"/>
        <v>74335.764190894959</v>
      </c>
      <c r="T50" s="140">
        <f t="shared" si="14"/>
        <v>74956.285431644588</v>
      </c>
      <c r="U50" s="140">
        <f t="shared" si="14"/>
        <v>74711.239326083916</v>
      </c>
      <c r="V50" s="140">
        <f t="shared" si="14"/>
        <v>74667.980256888026</v>
      </c>
      <c r="W50" s="140">
        <f t="shared" si="14"/>
        <v>74778.555487394915</v>
      </c>
      <c r="X50" s="140">
        <f t="shared" si="14"/>
        <v>74719.265266247268</v>
      </c>
      <c r="Y50" s="140">
        <f t="shared" si="14"/>
        <v>74721.940484079125</v>
      </c>
      <c r="Z50" s="140">
        <f t="shared" si="14"/>
        <v>74739.922908021836</v>
      </c>
      <c r="AA50" s="140">
        <f t="shared" si="14"/>
        <v>74727.043166974734</v>
      </c>
      <c r="AB50" s="140">
        <f t="shared" si="14"/>
        <v>74729.635710807168</v>
      </c>
      <c r="AC50" s="140">
        <f t="shared" si="14"/>
        <v>74732.200698536704</v>
      </c>
      <c r="AD50" s="140">
        <f t="shared" si="14"/>
        <v>74729.626540237979</v>
      </c>
      <c r="AE50" s="140">
        <f t="shared" si="14"/>
        <v>74730.487654758326</v>
      </c>
      <c r="AF50" s="140">
        <f t="shared" si="14"/>
        <v>74730.771634998731</v>
      </c>
      <c r="AG50" s="140">
        <f t="shared" si="14"/>
        <v>74730.295277456287</v>
      </c>
    </row>
    <row r="51" spans="1:33" ht="14.25" customHeight="1" x14ac:dyDescent="0.35">
      <c r="A51" s="21"/>
      <c r="B51" s="28"/>
      <c r="C51" s="128"/>
      <c r="D51" s="128"/>
      <c r="E51" s="128"/>
      <c r="F51" s="21"/>
      <c r="G51" s="21"/>
      <c r="H51" s="21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</row>
    <row r="52" spans="1:33" ht="14.25" customHeight="1" x14ac:dyDescent="0.35">
      <c r="A52" s="119">
        <v>3</v>
      </c>
      <c r="B52" s="119" t="s">
        <v>28</v>
      </c>
      <c r="C52" s="119"/>
      <c r="D52" s="119"/>
      <c r="E52" s="119"/>
      <c r="F52" s="119"/>
      <c r="G52" s="119"/>
      <c r="H52" s="119"/>
      <c r="I52" s="120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</row>
    <row r="53" spans="1:33" ht="14.25" customHeight="1" x14ac:dyDescent="0.35">
      <c r="A53" s="21"/>
      <c r="B53" s="28"/>
      <c r="C53" s="128"/>
      <c r="D53" s="28"/>
      <c r="E53" s="28"/>
      <c r="F53" s="21"/>
      <c r="G53" s="21"/>
      <c r="H53" s="21"/>
      <c r="I53" s="22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</row>
    <row r="54" spans="1:33" ht="14.25" customHeight="1" x14ac:dyDescent="0.35">
      <c r="A54" s="21"/>
      <c r="B54" s="21"/>
      <c r="C54" s="21" t="s">
        <v>3903</v>
      </c>
      <c r="D54" s="21"/>
      <c r="E54" s="21"/>
      <c r="F54" s="21"/>
      <c r="G54" s="21"/>
      <c r="H54" s="21"/>
      <c r="I54" s="22" t="s">
        <v>3900</v>
      </c>
      <c r="J54" s="21"/>
      <c r="K54" s="21"/>
      <c r="L54" s="21"/>
      <c r="M54" s="21"/>
      <c r="N54" s="21"/>
      <c r="O54" s="21"/>
      <c r="P54" s="60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</row>
    <row r="55" spans="1:33" ht="14.25" customHeight="1" x14ac:dyDescent="0.35">
      <c r="A55" s="21"/>
      <c r="B55" s="21"/>
      <c r="C55" s="21"/>
      <c r="D55" s="128" t="s">
        <v>3904</v>
      </c>
      <c r="E55" s="128"/>
      <c r="F55" s="21"/>
      <c r="G55" s="21"/>
      <c r="H55" s="21"/>
      <c r="I55" s="22" t="s">
        <v>3900</v>
      </c>
      <c r="J55" s="132">
        <f>'Input Operasional'!I9</f>
        <v>337068.5</v>
      </c>
      <c r="K55" s="132">
        <f>'Input Operasional'!J9</f>
        <v>319330</v>
      </c>
      <c r="L55" s="132">
        <f>'Input Operasional'!K9</f>
        <v>227535.88</v>
      </c>
      <c r="M55" s="132">
        <f>'Input Operasional'!L9</f>
        <v>226963</v>
      </c>
      <c r="N55" s="132">
        <f>'Input Operasional'!M9</f>
        <v>263224.5</v>
      </c>
      <c r="O55" s="132">
        <f>'Input Operasional'!N9</f>
        <v>255491.5</v>
      </c>
      <c r="P55" s="132">
        <f>'Input Operasional'!O9</f>
        <v>277436.5</v>
      </c>
      <c r="Q55" s="132">
        <f>'Input Operasional'!P9</f>
        <v>301075.5</v>
      </c>
      <c r="R55" s="140">
        <f>'Input Operasional'!Q9</f>
        <v>278373.51664254075</v>
      </c>
      <c r="S55" s="140">
        <f>'Input Operasional'!R9</f>
        <v>278373.51664254075</v>
      </c>
      <c r="T55" s="140">
        <f>'Input Operasional'!S9</f>
        <v>278373.51664254075</v>
      </c>
      <c r="U55" s="140">
        <f>'Input Operasional'!T9</f>
        <v>278373.51664254075</v>
      </c>
      <c r="V55" s="140">
        <f>'Input Operasional'!U9</f>
        <v>278373.51664254075</v>
      </c>
      <c r="W55" s="140">
        <f>'Input Operasional'!V9</f>
        <v>278373.51664254075</v>
      </c>
      <c r="X55" s="140">
        <f>'Input Operasional'!W9</f>
        <v>278373.51664254075</v>
      </c>
      <c r="Y55" s="140">
        <f>'Input Operasional'!X9</f>
        <v>278373.51664254075</v>
      </c>
      <c r="Z55" s="140">
        <f>'Input Operasional'!Y9</f>
        <v>278373.51664254075</v>
      </c>
      <c r="AA55" s="140">
        <f>'Input Operasional'!Z9</f>
        <v>278373.51664254075</v>
      </c>
      <c r="AB55" s="140">
        <f>'Input Operasional'!AA9</f>
        <v>278373.51664254075</v>
      </c>
      <c r="AC55" s="140">
        <f>'Input Operasional'!AB9</f>
        <v>278373.51664254075</v>
      </c>
      <c r="AD55" s="140">
        <f>'Input Operasional'!AC9</f>
        <v>278373.51664254075</v>
      </c>
      <c r="AE55" s="140">
        <f>'Input Operasional'!AD9</f>
        <v>278373.51664254075</v>
      </c>
      <c r="AF55" s="140">
        <f>'Input Operasional'!AE9</f>
        <v>278373.51664254075</v>
      </c>
      <c r="AG55" s="140">
        <f>'Input Operasional'!AF9</f>
        <v>278373.51664254075</v>
      </c>
    </row>
    <row r="56" spans="1:33" ht="14.25" customHeight="1" x14ac:dyDescent="0.35">
      <c r="A56" s="21"/>
      <c r="B56" s="21"/>
      <c r="C56" s="21"/>
      <c r="D56" s="128" t="s">
        <v>3905</v>
      </c>
      <c r="E56" s="128"/>
      <c r="F56" s="21"/>
      <c r="G56" s="21"/>
      <c r="H56" s="21"/>
      <c r="I56" s="22" t="s">
        <v>3900</v>
      </c>
      <c r="J56" s="132">
        <f>'Input Operasional'!I10</f>
        <v>676.5</v>
      </c>
      <c r="K56" s="132">
        <f>'Input Operasional'!J10</f>
        <v>5.5</v>
      </c>
      <c r="L56" s="132">
        <f>'Input Operasional'!K10</f>
        <v>3112.9</v>
      </c>
      <c r="M56" s="132">
        <f>'Input Operasional'!L10</f>
        <v>5643</v>
      </c>
      <c r="N56" s="132">
        <f>'Input Operasional'!M10</f>
        <v>4986</v>
      </c>
      <c r="O56" s="132">
        <f>'Input Operasional'!N10</f>
        <v>14107.5</v>
      </c>
      <c r="P56" s="132">
        <f>'Input Operasional'!O10</f>
        <v>8871.5</v>
      </c>
      <c r="Q56" s="132">
        <f>'Input Operasional'!P10</f>
        <v>7210.5</v>
      </c>
      <c r="R56" s="140">
        <f>'Input Operasional'!Q10</f>
        <v>6388</v>
      </c>
      <c r="S56" s="140">
        <f>'Input Operasional'!R10</f>
        <v>6388</v>
      </c>
      <c r="T56" s="140">
        <f>'Input Operasional'!S10</f>
        <v>6388</v>
      </c>
      <c r="U56" s="140">
        <f>'Input Operasional'!T10</f>
        <v>6388</v>
      </c>
      <c r="V56" s="140">
        <f>'Input Operasional'!U10</f>
        <v>6388</v>
      </c>
      <c r="W56" s="140">
        <f>'Input Operasional'!V10</f>
        <v>6388</v>
      </c>
      <c r="X56" s="140">
        <f>'Input Operasional'!W10</f>
        <v>6388</v>
      </c>
      <c r="Y56" s="140">
        <f>'Input Operasional'!X10</f>
        <v>6388</v>
      </c>
      <c r="Z56" s="140">
        <f>'Input Operasional'!Y10</f>
        <v>6388</v>
      </c>
      <c r="AA56" s="140">
        <f>'Input Operasional'!Z10</f>
        <v>6388</v>
      </c>
      <c r="AB56" s="140">
        <f>'Input Operasional'!AA10</f>
        <v>6388</v>
      </c>
      <c r="AC56" s="140">
        <f>'Input Operasional'!AB10</f>
        <v>6388</v>
      </c>
      <c r="AD56" s="140">
        <f>'Input Operasional'!AC10</f>
        <v>6388</v>
      </c>
      <c r="AE56" s="140">
        <f>'Input Operasional'!AD10</f>
        <v>6388</v>
      </c>
      <c r="AF56" s="140">
        <f>'Input Operasional'!AE10</f>
        <v>6388</v>
      </c>
      <c r="AG56" s="140">
        <f>'Input Operasional'!AF10</f>
        <v>6388</v>
      </c>
    </row>
    <row r="57" spans="1:33" ht="14.25" customHeight="1" x14ac:dyDescent="0.35">
      <c r="A57" s="21"/>
      <c r="B57" s="21"/>
      <c r="C57" s="21"/>
      <c r="D57" s="128" t="s">
        <v>3906</v>
      </c>
      <c r="E57" s="128"/>
      <c r="F57" s="21"/>
      <c r="G57" s="21"/>
      <c r="H57" s="21"/>
      <c r="I57" s="22" t="s">
        <v>3900</v>
      </c>
      <c r="J57" s="132">
        <f>'Input Operasional'!I11</f>
        <v>473</v>
      </c>
      <c r="K57" s="132">
        <f>'Input Operasional'!J11</f>
        <v>10.4</v>
      </c>
      <c r="L57" s="132">
        <f>'Input Operasional'!K11</f>
        <v>3151.5</v>
      </c>
      <c r="M57" s="132">
        <f>'Input Operasional'!L11</f>
        <v>5511.5</v>
      </c>
      <c r="N57" s="132">
        <f>'Input Operasional'!M11</f>
        <v>5335</v>
      </c>
      <c r="O57" s="132">
        <f>'Input Operasional'!N11</f>
        <v>13651</v>
      </c>
      <c r="P57" s="132">
        <f>'Input Operasional'!O11</f>
        <v>8448</v>
      </c>
      <c r="Q57" s="132">
        <f>'Input Operasional'!P11</f>
        <v>7403</v>
      </c>
      <c r="R57" s="140">
        <f>'Input Operasional'!Q11</f>
        <v>5564.4250000000002</v>
      </c>
      <c r="S57" s="140">
        <f>'Input Operasional'!R11</f>
        <v>5564.4250000000002</v>
      </c>
      <c r="T57" s="140">
        <f>'Input Operasional'!S11</f>
        <v>5564.4250000000002</v>
      </c>
      <c r="U57" s="140">
        <f>'Input Operasional'!T11</f>
        <v>5564.4250000000002</v>
      </c>
      <c r="V57" s="140">
        <f>'Input Operasional'!U11</f>
        <v>5564.4250000000002</v>
      </c>
      <c r="W57" s="140">
        <f>'Input Operasional'!V11</f>
        <v>5564.4250000000002</v>
      </c>
      <c r="X57" s="140">
        <f>'Input Operasional'!W11</f>
        <v>5564.4250000000002</v>
      </c>
      <c r="Y57" s="140">
        <f>'Input Operasional'!X11</f>
        <v>5564.4250000000002</v>
      </c>
      <c r="Z57" s="140">
        <f>'Input Operasional'!Y11</f>
        <v>5564.4250000000002</v>
      </c>
      <c r="AA57" s="140">
        <f>'Input Operasional'!Z11</f>
        <v>5564.4250000000002</v>
      </c>
      <c r="AB57" s="140">
        <f>'Input Operasional'!AA11</f>
        <v>5564.4250000000002</v>
      </c>
      <c r="AC57" s="140">
        <f>'Input Operasional'!AB11</f>
        <v>5564.4250000000002</v>
      </c>
      <c r="AD57" s="140">
        <f>'Input Operasional'!AC11</f>
        <v>5564.4250000000002</v>
      </c>
      <c r="AE57" s="140">
        <f>'Input Operasional'!AD11</f>
        <v>5564.4250000000002</v>
      </c>
      <c r="AF57" s="140">
        <f>'Input Operasional'!AE11</f>
        <v>5564.4250000000002</v>
      </c>
      <c r="AG57" s="140">
        <f>'Input Operasional'!AF11</f>
        <v>5564.4250000000002</v>
      </c>
    </row>
    <row r="58" spans="1:33" ht="14.25" customHeight="1" x14ac:dyDescent="0.35">
      <c r="A58" s="21"/>
      <c r="B58" s="21"/>
      <c r="C58" s="21"/>
      <c r="D58" s="128" t="s">
        <v>3907</v>
      </c>
      <c r="E58" s="128"/>
      <c r="F58" s="21"/>
      <c r="G58" s="21"/>
      <c r="H58" s="21"/>
      <c r="I58" s="22" t="s">
        <v>3900</v>
      </c>
      <c r="J58" s="132">
        <f t="shared" ref="J58:AG58" si="15">SUM(J55:J57)</f>
        <v>338218</v>
      </c>
      <c r="K58" s="132">
        <f t="shared" si="15"/>
        <v>319345.90000000002</v>
      </c>
      <c r="L58" s="132">
        <f t="shared" si="15"/>
        <v>233800.28</v>
      </c>
      <c r="M58" s="132">
        <f t="shared" si="15"/>
        <v>238117.5</v>
      </c>
      <c r="N58" s="132">
        <f t="shared" si="15"/>
        <v>273545.5</v>
      </c>
      <c r="O58" s="132">
        <f t="shared" si="15"/>
        <v>283250</v>
      </c>
      <c r="P58" s="132">
        <f t="shared" si="15"/>
        <v>294756</v>
      </c>
      <c r="Q58" s="132">
        <f t="shared" si="15"/>
        <v>315689</v>
      </c>
      <c r="R58" s="140">
        <f t="shared" si="15"/>
        <v>290325.94164254074</v>
      </c>
      <c r="S58" s="140">
        <f t="shared" si="15"/>
        <v>290325.94164254074</v>
      </c>
      <c r="T58" s="140">
        <f t="shared" si="15"/>
        <v>290325.94164254074</v>
      </c>
      <c r="U58" s="140">
        <f t="shared" si="15"/>
        <v>290325.94164254074</v>
      </c>
      <c r="V58" s="140">
        <f t="shared" si="15"/>
        <v>290325.94164254074</v>
      </c>
      <c r="W58" s="140">
        <f t="shared" si="15"/>
        <v>290325.94164254074</v>
      </c>
      <c r="X58" s="140">
        <f t="shared" si="15"/>
        <v>290325.94164254074</v>
      </c>
      <c r="Y58" s="140">
        <f t="shared" si="15"/>
        <v>290325.94164254074</v>
      </c>
      <c r="Z58" s="140">
        <f t="shared" si="15"/>
        <v>290325.94164254074</v>
      </c>
      <c r="AA58" s="140">
        <f t="shared" si="15"/>
        <v>290325.94164254074</v>
      </c>
      <c r="AB58" s="140">
        <f t="shared" si="15"/>
        <v>290325.94164254074</v>
      </c>
      <c r="AC58" s="140">
        <f t="shared" si="15"/>
        <v>290325.94164254074</v>
      </c>
      <c r="AD58" s="140">
        <f t="shared" si="15"/>
        <v>290325.94164254074</v>
      </c>
      <c r="AE58" s="140">
        <f t="shared" si="15"/>
        <v>290325.94164254074</v>
      </c>
      <c r="AF58" s="140">
        <f t="shared" si="15"/>
        <v>290325.94164254074</v>
      </c>
      <c r="AG58" s="140">
        <f t="shared" si="15"/>
        <v>290325.94164254074</v>
      </c>
    </row>
    <row r="59" spans="1:33" ht="14.25" customHeight="1" x14ac:dyDescent="0.35">
      <c r="A59" s="21"/>
      <c r="B59" s="21"/>
      <c r="C59" s="21"/>
      <c r="D59" s="128" t="s">
        <v>3908</v>
      </c>
      <c r="E59" s="128"/>
      <c r="F59" s="21"/>
      <c r="G59" s="21"/>
      <c r="H59" s="21"/>
      <c r="I59" s="22" t="s">
        <v>3900</v>
      </c>
      <c r="J59" s="132"/>
      <c r="K59" s="132"/>
      <c r="L59" s="132"/>
      <c r="M59" s="132"/>
      <c r="N59" s="132"/>
      <c r="O59" s="132"/>
      <c r="P59" s="132"/>
      <c r="Q59" s="132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</row>
    <row r="60" spans="1:33" ht="14.25" customHeight="1" x14ac:dyDescent="0.35">
      <c r="A60" s="21"/>
      <c r="B60" s="21"/>
      <c r="C60" s="21"/>
      <c r="D60" s="128" t="s">
        <v>3909</v>
      </c>
      <c r="E60" s="128"/>
      <c r="F60" s="21"/>
      <c r="G60" s="21"/>
      <c r="H60" s="21"/>
      <c r="I60" s="22" t="s">
        <v>3900</v>
      </c>
      <c r="J60" s="132"/>
      <c r="K60" s="132"/>
      <c r="L60" s="132"/>
      <c r="M60" s="132">
        <v>459.9</v>
      </c>
      <c r="N60" s="132">
        <v>0</v>
      </c>
      <c r="O60" s="132">
        <v>0</v>
      </c>
      <c r="P60" s="132">
        <v>571.5</v>
      </c>
      <c r="Q60" s="132">
        <v>0</v>
      </c>
      <c r="R60" s="140">
        <v>0</v>
      </c>
      <c r="S60" s="140">
        <v>0</v>
      </c>
      <c r="T60" s="140">
        <v>0</v>
      </c>
      <c r="U60" s="140">
        <v>0</v>
      </c>
      <c r="V60" s="140">
        <v>0</v>
      </c>
      <c r="W60" s="140">
        <v>0</v>
      </c>
      <c r="X60" s="140">
        <v>0</v>
      </c>
      <c r="Y60" s="140">
        <v>0</v>
      </c>
      <c r="Z60" s="140">
        <v>0</v>
      </c>
      <c r="AA60" s="140">
        <v>0</v>
      </c>
      <c r="AB60" s="140">
        <v>0</v>
      </c>
      <c r="AC60" s="140">
        <v>0</v>
      </c>
      <c r="AD60" s="140">
        <v>0</v>
      </c>
      <c r="AE60" s="140">
        <v>0</v>
      </c>
      <c r="AF60" s="140">
        <v>0</v>
      </c>
      <c r="AG60" s="140">
        <v>0</v>
      </c>
    </row>
    <row r="61" spans="1:33" ht="14.25" customHeight="1" x14ac:dyDescent="0.35">
      <c r="A61" s="21"/>
      <c r="B61" s="21"/>
      <c r="C61" s="21"/>
      <c r="D61" s="128" t="s">
        <v>3910</v>
      </c>
      <c r="E61" s="128"/>
      <c r="F61" s="21"/>
      <c r="G61" s="21"/>
      <c r="H61" s="21"/>
      <c r="I61" s="22" t="s">
        <v>3900</v>
      </c>
      <c r="J61" s="132">
        <f t="shared" ref="J61:AG61" si="16">J58+J59+J60</f>
        <v>338218</v>
      </c>
      <c r="K61" s="132">
        <f t="shared" si="16"/>
        <v>319345.90000000002</v>
      </c>
      <c r="L61" s="132">
        <f t="shared" si="16"/>
        <v>233800.28</v>
      </c>
      <c r="M61" s="132">
        <f t="shared" si="16"/>
        <v>238577.4</v>
      </c>
      <c r="N61" s="132">
        <f t="shared" si="16"/>
        <v>273545.5</v>
      </c>
      <c r="O61" s="132">
        <f t="shared" si="16"/>
        <v>283250</v>
      </c>
      <c r="P61" s="132">
        <f t="shared" si="16"/>
        <v>295327.5</v>
      </c>
      <c r="Q61" s="132">
        <f t="shared" si="16"/>
        <v>315689</v>
      </c>
      <c r="R61" s="140">
        <f t="shared" si="16"/>
        <v>290325.94164254074</v>
      </c>
      <c r="S61" s="140">
        <f t="shared" si="16"/>
        <v>290325.94164254074</v>
      </c>
      <c r="T61" s="140">
        <f t="shared" si="16"/>
        <v>290325.94164254074</v>
      </c>
      <c r="U61" s="140">
        <f t="shared" si="16"/>
        <v>290325.94164254074</v>
      </c>
      <c r="V61" s="140">
        <f t="shared" si="16"/>
        <v>290325.94164254074</v>
      </c>
      <c r="W61" s="140">
        <f t="shared" si="16"/>
        <v>290325.94164254074</v>
      </c>
      <c r="X61" s="140">
        <f t="shared" si="16"/>
        <v>290325.94164254074</v>
      </c>
      <c r="Y61" s="140">
        <f t="shared" si="16"/>
        <v>290325.94164254074</v>
      </c>
      <c r="Z61" s="140">
        <f t="shared" si="16"/>
        <v>290325.94164254074</v>
      </c>
      <c r="AA61" s="140">
        <f t="shared" si="16"/>
        <v>290325.94164254074</v>
      </c>
      <c r="AB61" s="140">
        <f t="shared" si="16"/>
        <v>290325.94164254074</v>
      </c>
      <c r="AC61" s="140">
        <f t="shared" si="16"/>
        <v>290325.94164254074</v>
      </c>
      <c r="AD61" s="140">
        <f t="shared" si="16"/>
        <v>290325.94164254074</v>
      </c>
      <c r="AE61" s="140">
        <f t="shared" si="16"/>
        <v>290325.94164254074</v>
      </c>
      <c r="AF61" s="140">
        <f t="shared" si="16"/>
        <v>290325.94164254074</v>
      </c>
      <c r="AG61" s="140">
        <f t="shared" si="16"/>
        <v>290325.94164254074</v>
      </c>
    </row>
    <row r="62" spans="1:33" ht="14.25" customHeight="1" x14ac:dyDescent="0.35">
      <c r="A62" s="21"/>
      <c r="B62" s="21"/>
      <c r="C62" s="21"/>
      <c r="D62" s="128" t="s">
        <v>3911</v>
      </c>
      <c r="E62" s="128"/>
      <c r="F62" s="21"/>
      <c r="G62" s="21"/>
      <c r="H62" s="21"/>
      <c r="I62" s="22" t="s">
        <v>13</v>
      </c>
      <c r="J62" s="142">
        <v>0.70370999999999995</v>
      </c>
      <c r="K62" s="142">
        <v>0.65163599999999999</v>
      </c>
      <c r="L62" s="142">
        <v>0.59535700000000003</v>
      </c>
      <c r="M62" s="142">
        <v>0.52478999999999998</v>
      </c>
      <c r="N62" s="142">
        <v>0.46373700000000001</v>
      </c>
      <c r="O62" s="142">
        <v>0.54547599999999996</v>
      </c>
      <c r="P62" s="142">
        <v>0.45255000000000001</v>
      </c>
      <c r="Q62" s="142">
        <v>0.54164199999999996</v>
      </c>
      <c r="R62" s="126">
        <f>'Input Operasional'!Q14</f>
        <v>0.5</v>
      </c>
      <c r="S62" s="126">
        <f>'Input Operasional'!R14</f>
        <v>0.5</v>
      </c>
      <c r="T62" s="126">
        <f>'Input Operasional'!S14</f>
        <v>0.5</v>
      </c>
      <c r="U62" s="126">
        <f>'Input Operasional'!T14</f>
        <v>0.5</v>
      </c>
      <c r="V62" s="126">
        <f>'Input Operasional'!U14</f>
        <v>0.5</v>
      </c>
      <c r="W62" s="126">
        <f>'Input Operasional'!V14</f>
        <v>0.5</v>
      </c>
      <c r="X62" s="126">
        <f>'Input Operasional'!W14</f>
        <v>0.5</v>
      </c>
      <c r="Y62" s="126">
        <f>'Input Operasional'!X14</f>
        <v>0.5</v>
      </c>
      <c r="Z62" s="126">
        <f>'Input Operasional'!Y14</f>
        <v>0.5</v>
      </c>
      <c r="AA62" s="126">
        <f>'Input Operasional'!Z14</f>
        <v>0.5</v>
      </c>
      <c r="AB62" s="126">
        <f>'Input Operasional'!AA14</f>
        <v>0.5</v>
      </c>
      <c r="AC62" s="126">
        <f>'Input Operasional'!AB14</f>
        <v>0.5</v>
      </c>
      <c r="AD62" s="126">
        <f>'Input Operasional'!AC14</f>
        <v>0.5</v>
      </c>
      <c r="AE62" s="126">
        <f>'Input Operasional'!AD14</f>
        <v>0.5</v>
      </c>
      <c r="AF62" s="126">
        <f>'Input Operasional'!AE14</f>
        <v>0.5</v>
      </c>
      <c r="AG62" s="126">
        <f>'Input Operasional'!AF14</f>
        <v>0.5</v>
      </c>
    </row>
    <row r="63" spans="1:33" ht="14.25" customHeight="1" x14ac:dyDescent="0.35">
      <c r="A63" s="21"/>
      <c r="B63" s="21"/>
      <c r="C63" s="21"/>
      <c r="D63" s="128" t="s">
        <v>3912</v>
      </c>
      <c r="E63" s="128"/>
      <c r="F63" s="21"/>
      <c r="G63" s="21"/>
      <c r="H63" s="21"/>
      <c r="I63" s="22" t="s">
        <v>13</v>
      </c>
      <c r="J63" s="142">
        <v>0.29627100000000001</v>
      </c>
      <c r="K63" s="142">
        <v>0.34836400000000001</v>
      </c>
      <c r="L63" s="142">
        <v>0.40459099999999998</v>
      </c>
      <c r="M63" s="142">
        <v>0.475161</v>
      </c>
      <c r="N63" s="142">
        <v>0.53626300000000005</v>
      </c>
      <c r="O63" s="142">
        <v>0.45452399999999998</v>
      </c>
      <c r="P63" s="142">
        <v>0.54744999999999999</v>
      </c>
      <c r="Q63" s="142">
        <v>0.45832200000000001</v>
      </c>
      <c r="R63" s="126">
        <f>'Input Operasional'!Q15</f>
        <v>0.5</v>
      </c>
      <c r="S63" s="126">
        <f>'Input Operasional'!R15</f>
        <v>0.5</v>
      </c>
      <c r="T63" s="126">
        <f>'Input Operasional'!S15</f>
        <v>0.5</v>
      </c>
      <c r="U63" s="126">
        <f>'Input Operasional'!T15</f>
        <v>0.5</v>
      </c>
      <c r="V63" s="126">
        <f>'Input Operasional'!U15</f>
        <v>0.5</v>
      </c>
      <c r="W63" s="126">
        <f>'Input Operasional'!V15</f>
        <v>0.5</v>
      </c>
      <c r="X63" s="126">
        <f>'Input Operasional'!W15</f>
        <v>0.5</v>
      </c>
      <c r="Y63" s="126">
        <f>'Input Operasional'!X15</f>
        <v>0.5</v>
      </c>
      <c r="Z63" s="126">
        <f>'Input Operasional'!Y15</f>
        <v>0.5</v>
      </c>
      <c r="AA63" s="126">
        <f>'Input Operasional'!Z15</f>
        <v>0.5</v>
      </c>
      <c r="AB63" s="126">
        <f>'Input Operasional'!AA15</f>
        <v>0.5</v>
      </c>
      <c r="AC63" s="126">
        <f>'Input Operasional'!AB15</f>
        <v>0.5</v>
      </c>
      <c r="AD63" s="126">
        <f>'Input Operasional'!AC15</f>
        <v>0.5</v>
      </c>
      <c r="AE63" s="126">
        <f>'Input Operasional'!AD15</f>
        <v>0.5</v>
      </c>
      <c r="AF63" s="126">
        <f>'Input Operasional'!AE15</f>
        <v>0.5</v>
      </c>
      <c r="AG63" s="126">
        <f>'Input Operasional'!AF15</f>
        <v>0.5</v>
      </c>
    </row>
    <row r="64" spans="1:33" ht="14.25" customHeight="1" x14ac:dyDescent="0.35">
      <c r="A64" s="21"/>
      <c r="B64" s="21"/>
      <c r="C64" s="21" t="s">
        <v>3913</v>
      </c>
      <c r="D64" s="21"/>
      <c r="E64" s="21"/>
      <c r="F64" s="21"/>
      <c r="G64" s="21"/>
      <c r="H64" s="21"/>
      <c r="I64" s="22"/>
      <c r="J64" s="21"/>
      <c r="K64" s="21"/>
      <c r="L64" s="21"/>
      <c r="M64" s="21"/>
      <c r="N64" s="21"/>
      <c r="O64" s="21"/>
      <c r="P64" s="60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</row>
    <row r="65" spans="1:33" ht="14.25" customHeight="1" x14ac:dyDescent="0.35">
      <c r="A65" s="21"/>
      <c r="B65" s="21"/>
      <c r="C65" s="21"/>
      <c r="D65" s="128" t="s">
        <v>3914</v>
      </c>
      <c r="E65" s="128"/>
      <c r="F65" s="21"/>
      <c r="G65" s="21"/>
      <c r="H65" s="21"/>
      <c r="I65" s="22" t="s">
        <v>3915</v>
      </c>
      <c r="J65" s="132"/>
      <c r="K65" s="132"/>
      <c r="L65" s="132"/>
      <c r="M65" s="132"/>
      <c r="N65" s="132"/>
      <c r="O65" s="132"/>
      <c r="P65" s="132"/>
      <c r="Q65" s="132"/>
      <c r="R65" s="140">
        <f>'Input Operasional'!Q17</f>
        <v>28100</v>
      </c>
      <c r="S65" s="140">
        <f>'Input Operasional'!R17</f>
        <v>28100</v>
      </c>
      <c r="T65" s="140">
        <f>'Input Operasional'!S17</f>
        <v>28100</v>
      </c>
      <c r="U65" s="140">
        <f>'Input Operasional'!T17</f>
        <v>28100</v>
      </c>
      <c r="V65" s="140">
        <f>'Input Operasional'!U17</f>
        <v>28100</v>
      </c>
      <c r="W65" s="140">
        <f>'Input Operasional'!V17</f>
        <v>28100</v>
      </c>
      <c r="X65" s="140">
        <f>'Input Operasional'!W17</f>
        <v>28100</v>
      </c>
      <c r="Y65" s="140">
        <f>'Input Operasional'!X17</f>
        <v>28100</v>
      </c>
      <c r="Z65" s="140">
        <f>'Input Operasional'!Y17</f>
        <v>28100</v>
      </c>
      <c r="AA65" s="140">
        <f>'Input Operasional'!Z17</f>
        <v>28100</v>
      </c>
      <c r="AB65" s="140">
        <f>'Input Operasional'!AA17</f>
        <v>28100</v>
      </c>
      <c r="AC65" s="140">
        <f>'Input Operasional'!AB17</f>
        <v>28100</v>
      </c>
      <c r="AD65" s="140">
        <f>'Input Operasional'!AC17</f>
        <v>28100</v>
      </c>
      <c r="AE65" s="140">
        <f>'Input Operasional'!AD17</f>
        <v>28100</v>
      </c>
      <c r="AF65" s="140">
        <f>'Input Operasional'!AE17</f>
        <v>28100</v>
      </c>
      <c r="AG65" s="140">
        <f>'Input Operasional'!AF17</f>
        <v>28100</v>
      </c>
    </row>
    <row r="66" spans="1:33" ht="14.25" customHeight="1" x14ac:dyDescent="0.35">
      <c r="A66" s="21"/>
      <c r="B66" s="21"/>
      <c r="C66" s="21"/>
      <c r="D66" s="128" t="s">
        <v>3916</v>
      </c>
      <c r="E66" s="128"/>
      <c r="F66" s="21"/>
      <c r="G66" s="21"/>
      <c r="H66" s="21"/>
      <c r="I66" s="22" t="s">
        <v>3915</v>
      </c>
      <c r="J66" s="132"/>
      <c r="K66" s="132"/>
      <c r="L66" s="132"/>
      <c r="M66" s="132"/>
      <c r="N66" s="132"/>
      <c r="O66" s="132"/>
      <c r="P66" s="132"/>
      <c r="Q66" s="132"/>
      <c r="R66" s="140">
        <f>'Input Operasional'!Q18</f>
        <v>29100</v>
      </c>
      <c r="S66" s="140">
        <f>'Input Operasional'!R18</f>
        <v>29100</v>
      </c>
      <c r="T66" s="140">
        <f>'Input Operasional'!S18</f>
        <v>29100</v>
      </c>
      <c r="U66" s="140">
        <f>'Input Operasional'!T18</f>
        <v>29100</v>
      </c>
      <c r="V66" s="140">
        <f>'Input Operasional'!U18</f>
        <v>29100</v>
      </c>
      <c r="W66" s="140">
        <f>'Input Operasional'!V18</f>
        <v>29100</v>
      </c>
      <c r="X66" s="140">
        <f>'Input Operasional'!W18</f>
        <v>29100</v>
      </c>
      <c r="Y66" s="140">
        <f>'Input Operasional'!X18</f>
        <v>29100</v>
      </c>
      <c r="Z66" s="140">
        <f>'Input Operasional'!Y18</f>
        <v>29100</v>
      </c>
      <c r="AA66" s="140">
        <f>'Input Operasional'!Z18</f>
        <v>29100</v>
      </c>
      <c r="AB66" s="140">
        <f>'Input Operasional'!AA18</f>
        <v>29100</v>
      </c>
      <c r="AC66" s="140">
        <f>'Input Operasional'!AB18</f>
        <v>29100</v>
      </c>
      <c r="AD66" s="140">
        <f>'Input Operasional'!AC18</f>
        <v>29100</v>
      </c>
      <c r="AE66" s="140">
        <f>'Input Operasional'!AD18</f>
        <v>29100</v>
      </c>
      <c r="AF66" s="140">
        <f>'Input Operasional'!AE18</f>
        <v>29100</v>
      </c>
      <c r="AG66" s="140">
        <f>'Input Operasional'!AF18</f>
        <v>29100</v>
      </c>
    </row>
    <row r="67" spans="1:33" s="146" customFormat="1" ht="14.25" customHeight="1" x14ac:dyDescent="0.35">
      <c r="A67" s="28"/>
      <c r="B67" s="28"/>
      <c r="C67" s="28"/>
      <c r="D67" s="143" t="s">
        <v>3917</v>
      </c>
      <c r="E67" s="143"/>
      <c r="F67" s="28"/>
      <c r="G67" s="28"/>
      <c r="H67" s="28"/>
      <c r="I67" s="56" t="s">
        <v>3915</v>
      </c>
      <c r="J67" s="144">
        <f t="shared" ref="J67:Q67" si="17">IF(J55=0,0,J76/J55)</f>
        <v>26363.332972378019</v>
      </c>
      <c r="K67" s="144">
        <f t="shared" si="17"/>
        <v>26448.363761625904</v>
      </c>
      <c r="L67" s="144">
        <f t="shared" si="17"/>
        <v>26504.733614276571</v>
      </c>
      <c r="M67" s="144">
        <f t="shared" si="17"/>
        <v>26575.293404739983</v>
      </c>
      <c r="N67" s="144">
        <f t="shared" si="17"/>
        <v>26636.262771892434</v>
      </c>
      <c r="O67" s="144">
        <f t="shared" si="17"/>
        <v>26554.523927410501</v>
      </c>
      <c r="P67" s="144">
        <f t="shared" si="17"/>
        <v>27846.188767519776</v>
      </c>
      <c r="Q67" s="144">
        <f t="shared" si="17"/>
        <v>28558.391333735224</v>
      </c>
      <c r="R67" s="145">
        <f>SUM(R65*R62*R61,R66*R61*R63)/R61</f>
        <v>28600</v>
      </c>
      <c r="S67" s="145">
        <f t="shared" ref="S67:AG67" si="18">SUM(S65*S62*S61,S66*S61*S63)/S61</f>
        <v>28600</v>
      </c>
      <c r="T67" s="145">
        <f t="shared" si="18"/>
        <v>28600</v>
      </c>
      <c r="U67" s="145">
        <f t="shared" si="18"/>
        <v>28600</v>
      </c>
      <c r="V67" s="145">
        <f t="shared" si="18"/>
        <v>28600</v>
      </c>
      <c r="W67" s="145">
        <f t="shared" si="18"/>
        <v>28600</v>
      </c>
      <c r="X67" s="145">
        <f t="shared" si="18"/>
        <v>28600</v>
      </c>
      <c r="Y67" s="145">
        <f t="shared" si="18"/>
        <v>28600</v>
      </c>
      <c r="Z67" s="145">
        <f t="shared" si="18"/>
        <v>28600</v>
      </c>
      <c r="AA67" s="145">
        <f t="shared" si="18"/>
        <v>28600</v>
      </c>
      <c r="AB67" s="145">
        <f t="shared" si="18"/>
        <v>28600</v>
      </c>
      <c r="AC67" s="145">
        <f t="shared" si="18"/>
        <v>28600</v>
      </c>
      <c r="AD67" s="145">
        <f t="shared" si="18"/>
        <v>28600</v>
      </c>
      <c r="AE67" s="145">
        <f t="shared" si="18"/>
        <v>28600</v>
      </c>
      <c r="AF67" s="145">
        <f t="shared" si="18"/>
        <v>28600</v>
      </c>
      <c r="AG67" s="145">
        <f t="shared" si="18"/>
        <v>28600</v>
      </c>
    </row>
    <row r="68" spans="1:33" ht="14.25" customHeight="1" x14ac:dyDescent="0.35">
      <c r="A68" s="21"/>
      <c r="B68" s="21"/>
      <c r="C68" s="21"/>
      <c r="D68" s="128" t="s">
        <v>3905</v>
      </c>
      <c r="E68" s="128"/>
      <c r="F68" s="21"/>
      <c r="G68" s="21"/>
      <c r="H68" s="21"/>
      <c r="I68" s="22" t="s">
        <v>3915</v>
      </c>
      <c r="J68" s="132">
        <f>'Input Operasional'!I19</f>
        <v>25039.269892638102</v>
      </c>
      <c r="K68" s="132">
        <f>'Input Operasional'!J19</f>
        <v>25738.158206417102</v>
      </c>
      <c r="L68" s="132">
        <f>'Input Operasional'!K19</f>
        <v>26986.193223939601</v>
      </c>
      <c r="M68" s="132">
        <f>'Input Operasional'!L19</f>
        <v>26799.014327208799</v>
      </c>
      <c r="N68" s="132">
        <f>'Input Operasional'!M19</f>
        <v>27733.316281681</v>
      </c>
      <c r="O68" s="132">
        <f>'Input Operasional'!N19</f>
        <v>27716.846941349599</v>
      </c>
      <c r="P68" s="132">
        <f>'Input Operasional'!O19</f>
        <v>29478.020468178602</v>
      </c>
      <c r="Q68" s="132">
        <f>'Input Operasional'!P19</f>
        <v>27452.3900026265</v>
      </c>
      <c r="R68" s="140">
        <f>'Input Operasional'!Q19</f>
        <v>48449.565847929094</v>
      </c>
      <c r="S68" s="140">
        <f>'Input Operasional'!R19</f>
        <v>48449.565847929094</v>
      </c>
      <c r="T68" s="140">
        <f>'Input Operasional'!S19</f>
        <v>48449.565847929094</v>
      </c>
      <c r="U68" s="140">
        <f>'Input Operasional'!T19</f>
        <v>48449.565847929094</v>
      </c>
      <c r="V68" s="140">
        <f>'Input Operasional'!U19</f>
        <v>48449.565847929094</v>
      </c>
      <c r="W68" s="140">
        <f>'Input Operasional'!V19</f>
        <v>48449.565847929094</v>
      </c>
      <c r="X68" s="140">
        <f>'Input Operasional'!W19</f>
        <v>48449.565847929094</v>
      </c>
      <c r="Y68" s="140">
        <f>'Input Operasional'!X19</f>
        <v>48449.565847929094</v>
      </c>
      <c r="Z68" s="140">
        <f>'Input Operasional'!Y19</f>
        <v>48449.565847929094</v>
      </c>
      <c r="AA68" s="140">
        <f>'Input Operasional'!Z19</f>
        <v>48449.565847929094</v>
      </c>
      <c r="AB68" s="140">
        <f>'Input Operasional'!AA19</f>
        <v>48449.565847929094</v>
      </c>
      <c r="AC68" s="140">
        <f>'Input Operasional'!AB19</f>
        <v>48449.565847929094</v>
      </c>
      <c r="AD68" s="140">
        <f>'Input Operasional'!AC19</f>
        <v>48449.565847929094</v>
      </c>
      <c r="AE68" s="140">
        <f>'Input Operasional'!AD19</f>
        <v>48449.565847929094</v>
      </c>
      <c r="AF68" s="140">
        <f>'Input Operasional'!AE19</f>
        <v>48449.565847929094</v>
      </c>
      <c r="AG68" s="140">
        <f>'Input Operasional'!AF19</f>
        <v>48449.565847929094</v>
      </c>
    </row>
    <row r="69" spans="1:33" ht="14.25" customHeight="1" x14ac:dyDescent="0.35">
      <c r="A69" s="21"/>
      <c r="B69" s="21"/>
      <c r="C69" s="21"/>
      <c r="D69" s="128" t="s">
        <v>3906</v>
      </c>
      <c r="E69" s="128"/>
      <c r="F69" s="21"/>
      <c r="G69" s="21"/>
      <c r="H69" s="21"/>
      <c r="I69" s="22" t="s">
        <v>3915</v>
      </c>
      <c r="J69" s="132">
        <f>'Input Operasional'!I20</f>
        <v>25039.269892638102</v>
      </c>
      <c r="K69" s="132">
        <f>'Input Operasional'!J20</f>
        <v>25738.158206417102</v>
      </c>
      <c r="L69" s="132">
        <f>'Input Operasional'!K20</f>
        <v>26986.193223939601</v>
      </c>
      <c r="M69" s="132">
        <f>'Input Operasional'!L20</f>
        <v>26799.014327208799</v>
      </c>
      <c r="N69" s="132">
        <f>'Input Operasional'!M20</f>
        <v>27733.316281681</v>
      </c>
      <c r="O69" s="132">
        <f>'Input Operasional'!N20</f>
        <v>27716.846941349599</v>
      </c>
      <c r="P69" s="132">
        <f>'Input Operasional'!O20</f>
        <v>29478.020468178602</v>
      </c>
      <c r="Q69" s="132">
        <f>'Input Operasional'!P20</f>
        <v>27452.3900026265</v>
      </c>
      <c r="R69" s="140">
        <f>'Input Operasional'!Q20</f>
        <v>47969.589504222044</v>
      </c>
      <c r="S69" s="140">
        <f>'Input Operasional'!R20</f>
        <v>47969.589504222044</v>
      </c>
      <c r="T69" s="140">
        <f>'Input Operasional'!S20</f>
        <v>47969.589504222044</v>
      </c>
      <c r="U69" s="140">
        <f>'Input Operasional'!T20</f>
        <v>47969.589504222044</v>
      </c>
      <c r="V69" s="140">
        <f>'Input Operasional'!U20</f>
        <v>47969.589504222044</v>
      </c>
      <c r="W69" s="140">
        <f>'Input Operasional'!V20</f>
        <v>47969.589504222044</v>
      </c>
      <c r="X69" s="140">
        <f>'Input Operasional'!W20</f>
        <v>47969.589504222044</v>
      </c>
      <c r="Y69" s="140">
        <f>'Input Operasional'!X20</f>
        <v>47969.589504222044</v>
      </c>
      <c r="Z69" s="140">
        <f>'Input Operasional'!Y20</f>
        <v>47969.589504222044</v>
      </c>
      <c r="AA69" s="140">
        <f>'Input Operasional'!Z20</f>
        <v>47969.589504222044</v>
      </c>
      <c r="AB69" s="140">
        <f>'Input Operasional'!AA20</f>
        <v>47969.589504222044</v>
      </c>
      <c r="AC69" s="140">
        <f>'Input Operasional'!AB20</f>
        <v>47969.589504222044</v>
      </c>
      <c r="AD69" s="140">
        <f>'Input Operasional'!AC20</f>
        <v>47969.589504222044</v>
      </c>
      <c r="AE69" s="140">
        <f>'Input Operasional'!AD20</f>
        <v>47969.589504222044</v>
      </c>
      <c r="AF69" s="140">
        <f>'Input Operasional'!AE20</f>
        <v>47969.589504222044</v>
      </c>
      <c r="AG69" s="140">
        <f>'Input Operasional'!AF20</f>
        <v>47969.589504222044</v>
      </c>
    </row>
    <row r="70" spans="1:33" ht="14.25" customHeight="1" x14ac:dyDescent="0.35">
      <c r="A70" s="21"/>
      <c r="B70" s="21"/>
      <c r="D70" s="21" t="s">
        <v>3918</v>
      </c>
      <c r="E70" s="21"/>
      <c r="F70" s="21"/>
      <c r="G70" s="21"/>
      <c r="H70" s="21"/>
      <c r="I70" s="22" t="s">
        <v>3915</v>
      </c>
      <c r="J70" s="31">
        <f t="shared" ref="J70:AG70" si="19">IF(J58=0,0,J80/J58)</f>
        <v>26431.061605236864</v>
      </c>
      <c r="K70" s="31">
        <f t="shared" si="19"/>
        <v>26437.123194630021</v>
      </c>
      <c r="L70" s="31">
        <f t="shared" si="19"/>
        <v>27340.420635937655</v>
      </c>
      <c r="M70" s="31">
        <f t="shared" si="19"/>
        <v>27578.193832876626</v>
      </c>
      <c r="N70" s="31">
        <f t="shared" si="19"/>
        <v>27449.489938602535</v>
      </c>
      <c r="O70" s="31">
        <f t="shared" si="19"/>
        <v>28666.128155339808</v>
      </c>
      <c r="P70" s="31">
        <f t="shared" si="19"/>
        <v>29042.584714136439</v>
      </c>
      <c r="Q70" s="31">
        <f t="shared" si="19"/>
        <v>29466.389072789992</v>
      </c>
      <c r="R70" s="147">
        <f>IF(R58=0,0,R80/R58)</f>
        <v>29407.987234576594</v>
      </c>
      <c r="S70" s="147">
        <f t="shared" si="19"/>
        <v>29407.987234576594</v>
      </c>
      <c r="T70" s="147">
        <f t="shared" si="19"/>
        <v>29407.987234576594</v>
      </c>
      <c r="U70" s="147">
        <f t="shared" si="19"/>
        <v>29407.987234576594</v>
      </c>
      <c r="V70" s="147">
        <f t="shared" si="19"/>
        <v>29407.987234576594</v>
      </c>
      <c r="W70" s="147">
        <f t="shared" si="19"/>
        <v>29407.987234576594</v>
      </c>
      <c r="X70" s="147">
        <f t="shared" si="19"/>
        <v>29407.987234576594</v>
      </c>
      <c r="Y70" s="147">
        <f t="shared" si="19"/>
        <v>29407.987234576594</v>
      </c>
      <c r="Z70" s="147">
        <f t="shared" si="19"/>
        <v>29407.987234576594</v>
      </c>
      <c r="AA70" s="147">
        <f t="shared" si="19"/>
        <v>29407.987234576594</v>
      </c>
      <c r="AB70" s="147">
        <f t="shared" si="19"/>
        <v>29407.987234576594</v>
      </c>
      <c r="AC70" s="147">
        <f t="shared" si="19"/>
        <v>29407.987234576594</v>
      </c>
      <c r="AD70" s="147">
        <f t="shared" si="19"/>
        <v>29407.987234576594</v>
      </c>
      <c r="AE70" s="147">
        <f t="shared" si="19"/>
        <v>29407.987234576594</v>
      </c>
      <c r="AF70" s="147">
        <f t="shared" si="19"/>
        <v>29407.987234576594</v>
      </c>
      <c r="AG70" s="147">
        <f t="shared" si="19"/>
        <v>29407.987234576594</v>
      </c>
    </row>
    <row r="71" spans="1:33" ht="14.25" customHeight="1" x14ac:dyDescent="0.35">
      <c r="A71" s="21"/>
      <c r="B71" s="21"/>
      <c r="C71" s="21"/>
      <c r="D71" s="128" t="s">
        <v>3908</v>
      </c>
      <c r="E71" s="128"/>
      <c r="F71" s="21"/>
      <c r="G71" s="21"/>
      <c r="H71" s="21"/>
      <c r="I71" s="22" t="s">
        <v>3915</v>
      </c>
      <c r="J71" s="132">
        <f t="shared" ref="J71:AG71" si="20">IF(J59=0,0,J81/J59)</f>
        <v>0</v>
      </c>
      <c r="K71" s="132">
        <f t="shared" si="20"/>
        <v>0</v>
      </c>
      <c r="L71" s="132">
        <f t="shared" si="20"/>
        <v>0</v>
      </c>
      <c r="M71" s="132">
        <f t="shared" si="20"/>
        <v>0</v>
      </c>
      <c r="N71" s="132">
        <f t="shared" si="20"/>
        <v>0</v>
      </c>
      <c r="O71" s="132">
        <f t="shared" si="20"/>
        <v>0</v>
      </c>
      <c r="P71" s="132">
        <f t="shared" si="20"/>
        <v>0</v>
      </c>
      <c r="Q71" s="132">
        <f t="shared" si="20"/>
        <v>0</v>
      </c>
      <c r="R71" s="140">
        <f t="shared" si="20"/>
        <v>0</v>
      </c>
      <c r="S71" s="140">
        <f t="shared" si="20"/>
        <v>0</v>
      </c>
      <c r="T71" s="140">
        <f t="shared" si="20"/>
        <v>0</v>
      </c>
      <c r="U71" s="140">
        <f t="shared" si="20"/>
        <v>0</v>
      </c>
      <c r="V71" s="140">
        <f t="shared" si="20"/>
        <v>0</v>
      </c>
      <c r="W71" s="140">
        <f t="shared" si="20"/>
        <v>0</v>
      </c>
      <c r="X71" s="140">
        <f t="shared" si="20"/>
        <v>0</v>
      </c>
      <c r="Y71" s="140">
        <f t="shared" si="20"/>
        <v>0</v>
      </c>
      <c r="Z71" s="140">
        <f t="shared" si="20"/>
        <v>0</v>
      </c>
      <c r="AA71" s="140">
        <f t="shared" si="20"/>
        <v>0</v>
      </c>
      <c r="AB71" s="140">
        <f t="shared" si="20"/>
        <v>0</v>
      </c>
      <c r="AC71" s="140">
        <f t="shared" si="20"/>
        <v>0</v>
      </c>
      <c r="AD71" s="140">
        <f t="shared" si="20"/>
        <v>0</v>
      </c>
      <c r="AE71" s="140">
        <f t="shared" si="20"/>
        <v>0</v>
      </c>
      <c r="AF71" s="140">
        <f t="shared" si="20"/>
        <v>0</v>
      </c>
      <c r="AG71" s="140">
        <f t="shared" si="20"/>
        <v>0</v>
      </c>
    </row>
    <row r="72" spans="1:33" ht="14.25" customHeight="1" x14ac:dyDescent="0.35">
      <c r="A72" s="21"/>
      <c r="B72" s="21"/>
      <c r="C72" s="21"/>
      <c r="D72" s="128" t="s">
        <v>3919</v>
      </c>
      <c r="E72" s="128"/>
      <c r="F72" s="21"/>
      <c r="G72" s="21"/>
      <c r="H72" s="21"/>
      <c r="I72" s="22" t="s">
        <v>3915</v>
      </c>
      <c r="J72" s="132">
        <f t="shared" ref="J72:AG72" si="21">IF(J60=0,0,J83/J60)</f>
        <v>0</v>
      </c>
      <c r="K72" s="132">
        <f t="shared" si="21"/>
        <v>0</v>
      </c>
      <c r="L72" s="132">
        <f t="shared" si="21"/>
        <v>0</v>
      </c>
      <c r="M72" s="132">
        <f t="shared" si="21"/>
        <v>616825.67240704503</v>
      </c>
      <c r="N72" s="132">
        <f t="shared" si="21"/>
        <v>0</v>
      </c>
      <c r="O72" s="132">
        <f t="shared" si="21"/>
        <v>0</v>
      </c>
      <c r="P72" s="132">
        <f t="shared" si="21"/>
        <v>618730.98132984072</v>
      </c>
      <c r="Q72" s="132">
        <f t="shared" si="21"/>
        <v>0</v>
      </c>
      <c r="R72" s="140">
        <f t="shared" si="21"/>
        <v>0</v>
      </c>
      <c r="S72" s="140">
        <f t="shared" si="21"/>
        <v>0</v>
      </c>
      <c r="T72" s="140">
        <f t="shared" si="21"/>
        <v>0</v>
      </c>
      <c r="U72" s="140">
        <f t="shared" si="21"/>
        <v>0</v>
      </c>
      <c r="V72" s="140">
        <f t="shared" si="21"/>
        <v>0</v>
      </c>
      <c r="W72" s="140">
        <f t="shared" si="21"/>
        <v>0</v>
      </c>
      <c r="X72" s="140">
        <f t="shared" si="21"/>
        <v>0</v>
      </c>
      <c r="Y72" s="140">
        <f t="shared" si="21"/>
        <v>0</v>
      </c>
      <c r="Z72" s="140">
        <f t="shared" si="21"/>
        <v>0</v>
      </c>
      <c r="AA72" s="140">
        <f t="shared" si="21"/>
        <v>0</v>
      </c>
      <c r="AB72" s="140">
        <f t="shared" si="21"/>
        <v>0</v>
      </c>
      <c r="AC72" s="140">
        <f t="shared" si="21"/>
        <v>0</v>
      </c>
      <c r="AD72" s="140">
        <f t="shared" si="21"/>
        <v>0</v>
      </c>
      <c r="AE72" s="140">
        <f t="shared" si="21"/>
        <v>0</v>
      </c>
      <c r="AF72" s="140">
        <f t="shared" si="21"/>
        <v>0</v>
      </c>
      <c r="AG72" s="140">
        <f t="shared" si="21"/>
        <v>0</v>
      </c>
    </row>
    <row r="73" spans="1:33" ht="14.25" customHeight="1" x14ac:dyDescent="0.35">
      <c r="A73" s="21"/>
      <c r="B73" s="21"/>
      <c r="C73" s="21" t="s">
        <v>3920</v>
      </c>
      <c r="D73" s="21"/>
      <c r="E73" s="21"/>
      <c r="F73" s="21"/>
      <c r="G73" s="21"/>
      <c r="H73" s="21"/>
      <c r="I73" s="22"/>
      <c r="J73" s="21"/>
      <c r="K73" s="21"/>
      <c r="L73" s="21"/>
      <c r="M73" s="21"/>
      <c r="N73" s="21"/>
      <c r="O73" s="21"/>
      <c r="P73" s="60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</row>
    <row r="74" spans="1:33" ht="14.25" customHeight="1" x14ac:dyDescent="0.35">
      <c r="A74" s="21"/>
      <c r="B74" s="21"/>
      <c r="C74" s="21"/>
      <c r="D74" s="128" t="s">
        <v>3914</v>
      </c>
      <c r="E74" s="128"/>
      <c r="F74" s="21"/>
      <c r="G74" s="21"/>
      <c r="H74" s="21"/>
      <c r="I74" s="22" t="s">
        <v>3921</v>
      </c>
      <c r="J74" s="148"/>
      <c r="K74" s="148"/>
      <c r="L74" s="148"/>
      <c r="M74" s="148"/>
      <c r="N74" s="148"/>
      <c r="O74" s="148"/>
      <c r="P74" s="148"/>
      <c r="Q74" s="148"/>
      <c r="R74" s="149">
        <f t="shared" ref="R74:AG74" si="22">R55*R62*R65</f>
        <v>3911147908.8276978</v>
      </c>
      <c r="S74" s="149">
        <f t="shared" si="22"/>
        <v>3911147908.8276978</v>
      </c>
      <c r="T74" s="149">
        <f t="shared" si="22"/>
        <v>3911147908.8276978</v>
      </c>
      <c r="U74" s="149">
        <f t="shared" si="22"/>
        <v>3911147908.8276978</v>
      </c>
      <c r="V74" s="149">
        <f t="shared" si="22"/>
        <v>3911147908.8276978</v>
      </c>
      <c r="W74" s="149">
        <f t="shared" si="22"/>
        <v>3911147908.8276978</v>
      </c>
      <c r="X74" s="149">
        <f t="shared" si="22"/>
        <v>3911147908.8276978</v>
      </c>
      <c r="Y74" s="149">
        <f t="shared" si="22"/>
        <v>3911147908.8276978</v>
      </c>
      <c r="Z74" s="149">
        <f t="shared" si="22"/>
        <v>3911147908.8276978</v>
      </c>
      <c r="AA74" s="149">
        <f t="shared" si="22"/>
        <v>3911147908.8276978</v>
      </c>
      <c r="AB74" s="149">
        <f t="shared" si="22"/>
        <v>3911147908.8276978</v>
      </c>
      <c r="AC74" s="149">
        <f t="shared" si="22"/>
        <v>3911147908.8276978</v>
      </c>
      <c r="AD74" s="149">
        <f t="shared" si="22"/>
        <v>3911147908.8276978</v>
      </c>
      <c r="AE74" s="149">
        <f t="shared" si="22"/>
        <v>3911147908.8276978</v>
      </c>
      <c r="AF74" s="149">
        <f t="shared" si="22"/>
        <v>3911147908.8276978</v>
      </c>
      <c r="AG74" s="149">
        <f t="shared" si="22"/>
        <v>3911147908.8276978</v>
      </c>
    </row>
    <row r="75" spans="1:33" ht="14.25" customHeight="1" x14ac:dyDescent="0.35">
      <c r="A75" s="21"/>
      <c r="B75" s="21"/>
      <c r="C75" s="21"/>
      <c r="D75" s="128" t="s">
        <v>3916</v>
      </c>
      <c r="E75" s="128"/>
      <c r="F75" s="21"/>
      <c r="G75" s="21"/>
      <c r="H75" s="21"/>
      <c r="I75" s="22" t="s">
        <v>3921</v>
      </c>
      <c r="J75" s="148"/>
      <c r="K75" s="148"/>
      <c r="L75" s="148"/>
      <c r="M75" s="148"/>
      <c r="N75" s="148"/>
      <c r="O75" s="148"/>
      <c r="P75" s="148"/>
      <c r="Q75" s="148"/>
      <c r="R75" s="149">
        <f t="shared" ref="R75:AG75" si="23">R55*R63*R66</f>
        <v>4050334667.1489677</v>
      </c>
      <c r="S75" s="149">
        <f t="shared" si="23"/>
        <v>4050334667.1489677</v>
      </c>
      <c r="T75" s="149">
        <f t="shared" si="23"/>
        <v>4050334667.1489677</v>
      </c>
      <c r="U75" s="149">
        <f t="shared" si="23"/>
        <v>4050334667.1489677</v>
      </c>
      <c r="V75" s="149">
        <f t="shared" si="23"/>
        <v>4050334667.1489677</v>
      </c>
      <c r="W75" s="149">
        <f t="shared" si="23"/>
        <v>4050334667.1489677</v>
      </c>
      <c r="X75" s="149">
        <f t="shared" si="23"/>
        <v>4050334667.1489677</v>
      </c>
      <c r="Y75" s="149">
        <f t="shared" si="23"/>
        <v>4050334667.1489677</v>
      </c>
      <c r="Z75" s="149">
        <f t="shared" si="23"/>
        <v>4050334667.1489677</v>
      </c>
      <c r="AA75" s="149">
        <f t="shared" si="23"/>
        <v>4050334667.1489677</v>
      </c>
      <c r="AB75" s="149">
        <f t="shared" si="23"/>
        <v>4050334667.1489677</v>
      </c>
      <c r="AC75" s="149">
        <f t="shared" si="23"/>
        <v>4050334667.1489677</v>
      </c>
      <c r="AD75" s="149">
        <f t="shared" si="23"/>
        <v>4050334667.1489677</v>
      </c>
      <c r="AE75" s="149">
        <f t="shared" si="23"/>
        <v>4050334667.1489677</v>
      </c>
      <c r="AF75" s="149">
        <f t="shared" si="23"/>
        <v>4050334667.1489677</v>
      </c>
      <c r="AG75" s="149">
        <f t="shared" si="23"/>
        <v>4050334667.1489677</v>
      </c>
    </row>
    <row r="76" spans="1:33" ht="14.25" customHeight="1" x14ac:dyDescent="0.35">
      <c r="A76" s="21"/>
      <c r="B76" s="21"/>
      <c r="C76" s="21"/>
      <c r="D76" s="128" t="s">
        <v>3904</v>
      </c>
      <c r="E76" s="128"/>
      <c r="F76" s="21"/>
      <c r="G76" s="21"/>
      <c r="H76" s="21"/>
      <c r="I76" s="22" t="s">
        <v>3921</v>
      </c>
      <c r="J76" s="148">
        <f>'Data Aktual'!I63</f>
        <v>8886249100</v>
      </c>
      <c r="K76" s="148">
        <f>'Data Aktual'!J63</f>
        <v>8445756000</v>
      </c>
      <c r="L76" s="148">
        <f>'Data Aktual'!K63</f>
        <v>6030777887.0900002</v>
      </c>
      <c r="M76" s="148">
        <f>'Data Aktual'!L63</f>
        <v>6031608317.0200005</v>
      </c>
      <c r="N76" s="148">
        <f>'Data Aktual'!M63</f>
        <v>7011316950</v>
      </c>
      <c r="O76" s="148">
        <f>'Data Aktual'!N63</f>
        <v>6784455150</v>
      </c>
      <c r="P76" s="148">
        <f>'Data Aktual'!O63</f>
        <v>7725549150</v>
      </c>
      <c r="Q76" s="148">
        <f>'Data Aktual'!P63</f>
        <v>8598231950</v>
      </c>
      <c r="R76" s="150">
        <f t="shared" ref="R76:AG76" si="24">SUM(R74:R75)</f>
        <v>7961482575.9766655</v>
      </c>
      <c r="S76" s="150">
        <f t="shared" si="24"/>
        <v>7961482575.9766655</v>
      </c>
      <c r="T76" s="150">
        <f t="shared" si="24"/>
        <v>7961482575.9766655</v>
      </c>
      <c r="U76" s="150">
        <f t="shared" si="24"/>
        <v>7961482575.9766655</v>
      </c>
      <c r="V76" s="150">
        <f t="shared" si="24"/>
        <v>7961482575.9766655</v>
      </c>
      <c r="W76" s="150">
        <f t="shared" si="24"/>
        <v>7961482575.9766655</v>
      </c>
      <c r="X76" s="150">
        <f t="shared" si="24"/>
        <v>7961482575.9766655</v>
      </c>
      <c r="Y76" s="150">
        <f t="shared" si="24"/>
        <v>7961482575.9766655</v>
      </c>
      <c r="Z76" s="150">
        <f t="shared" si="24"/>
        <v>7961482575.9766655</v>
      </c>
      <c r="AA76" s="150">
        <f t="shared" si="24"/>
        <v>7961482575.9766655</v>
      </c>
      <c r="AB76" s="150">
        <f t="shared" si="24"/>
        <v>7961482575.9766655</v>
      </c>
      <c r="AC76" s="150">
        <f t="shared" si="24"/>
        <v>7961482575.9766655</v>
      </c>
      <c r="AD76" s="150">
        <f t="shared" si="24"/>
        <v>7961482575.9766655</v>
      </c>
      <c r="AE76" s="150">
        <f t="shared" si="24"/>
        <v>7961482575.9766655</v>
      </c>
      <c r="AF76" s="150">
        <f t="shared" si="24"/>
        <v>7961482575.9766655</v>
      </c>
      <c r="AG76" s="150">
        <f t="shared" si="24"/>
        <v>7961482575.9766655</v>
      </c>
    </row>
    <row r="77" spans="1:33" ht="14.25" customHeight="1" x14ac:dyDescent="0.35">
      <c r="A77" s="21"/>
      <c r="B77" s="21"/>
      <c r="C77" s="21"/>
      <c r="D77" s="128" t="s">
        <v>3905</v>
      </c>
      <c r="E77" s="128"/>
      <c r="F77" s="21"/>
      <c r="G77" s="21"/>
      <c r="H77" s="21"/>
      <c r="I77" s="22" t="s">
        <v>3921</v>
      </c>
      <c r="J77" s="148">
        <f>'Data Aktual'!I66</f>
        <v>30560211</v>
      </c>
      <c r="K77" s="148">
        <f>'Data Aktual'!J66</f>
        <v>266750</v>
      </c>
      <c r="L77" s="148">
        <f>'Data Aktual'!K66</f>
        <v>150975650</v>
      </c>
      <c r="M77" s="148">
        <f>'Data Aktual'!L66</f>
        <v>273685500</v>
      </c>
      <c r="N77" s="148">
        <f>'Data Aktual'!M66</f>
        <v>241821000</v>
      </c>
      <c r="O77" s="148">
        <f>'Data Aktual'!N66</f>
        <v>684213750</v>
      </c>
      <c r="P77" s="148">
        <f>'Data Aktual'!O66</f>
        <v>430267750</v>
      </c>
      <c r="Q77" s="148">
        <f>'Data Aktual'!P66</f>
        <v>349709250</v>
      </c>
      <c r="R77" s="149">
        <f t="shared" ref="R77:AG77" si="25">R56*R68</f>
        <v>309495826.63657105</v>
      </c>
      <c r="S77" s="149">
        <f t="shared" si="25"/>
        <v>309495826.63657105</v>
      </c>
      <c r="T77" s="149">
        <f t="shared" si="25"/>
        <v>309495826.63657105</v>
      </c>
      <c r="U77" s="149">
        <f t="shared" si="25"/>
        <v>309495826.63657105</v>
      </c>
      <c r="V77" s="149">
        <f t="shared" si="25"/>
        <v>309495826.63657105</v>
      </c>
      <c r="W77" s="149">
        <f t="shared" si="25"/>
        <v>309495826.63657105</v>
      </c>
      <c r="X77" s="149">
        <f t="shared" si="25"/>
        <v>309495826.63657105</v>
      </c>
      <c r="Y77" s="149">
        <f t="shared" si="25"/>
        <v>309495826.63657105</v>
      </c>
      <c r="Z77" s="149">
        <f t="shared" si="25"/>
        <v>309495826.63657105</v>
      </c>
      <c r="AA77" s="149">
        <f t="shared" si="25"/>
        <v>309495826.63657105</v>
      </c>
      <c r="AB77" s="149">
        <f t="shared" si="25"/>
        <v>309495826.63657105</v>
      </c>
      <c r="AC77" s="149">
        <f t="shared" si="25"/>
        <v>309495826.63657105</v>
      </c>
      <c r="AD77" s="149">
        <f t="shared" si="25"/>
        <v>309495826.63657105</v>
      </c>
      <c r="AE77" s="149">
        <f t="shared" si="25"/>
        <v>309495826.63657105</v>
      </c>
      <c r="AF77" s="149">
        <f t="shared" si="25"/>
        <v>309495826.63657105</v>
      </c>
      <c r="AG77" s="149">
        <f t="shared" si="25"/>
        <v>309495826.63657105</v>
      </c>
    </row>
    <row r="78" spans="1:33" ht="14.25" customHeight="1" x14ac:dyDescent="0.35">
      <c r="A78" s="21"/>
      <c r="B78" s="21"/>
      <c r="C78" s="21"/>
      <c r="D78" s="128" t="s">
        <v>3906</v>
      </c>
      <c r="E78" s="128"/>
      <c r="F78" s="21"/>
      <c r="G78" s="21"/>
      <c r="H78" s="21"/>
      <c r="I78" s="22" t="s">
        <v>3921</v>
      </c>
      <c r="J78" s="148">
        <f>'Data Aktual'!I67</f>
        <v>25717483</v>
      </c>
      <c r="K78" s="148">
        <f>'Data Aktual'!J67</f>
        <v>498160</v>
      </c>
      <c r="L78" s="148">
        <f>'Data Aktual'!K67</f>
        <v>150956850</v>
      </c>
      <c r="M78" s="148">
        <f>'Data Aktual'!L67</f>
        <v>264000850</v>
      </c>
      <c r="N78" s="148">
        <f>'Data Aktual'!M67</f>
        <v>255546500</v>
      </c>
      <c r="O78" s="148">
        <f>'Data Aktual'!N67</f>
        <v>653882900</v>
      </c>
      <c r="P78" s="148">
        <f>'Data Aktual'!O67</f>
        <v>404659200</v>
      </c>
      <c r="Q78" s="148">
        <f>'Data Aktual'!P67</f>
        <v>354603700</v>
      </c>
      <c r="R78" s="149">
        <f t="shared" ref="R78:AG78" si="26">R57*R69</f>
        <v>266923183.07703075</v>
      </c>
      <c r="S78" s="149">
        <f t="shared" si="26"/>
        <v>266923183.07703075</v>
      </c>
      <c r="T78" s="149">
        <f t="shared" si="26"/>
        <v>266923183.07703075</v>
      </c>
      <c r="U78" s="149">
        <f t="shared" si="26"/>
        <v>266923183.07703075</v>
      </c>
      <c r="V78" s="149">
        <f t="shared" si="26"/>
        <v>266923183.07703075</v>
      </c>
      <c r="W78" s="149">
        <f t="shared" si="26"/>
        <v>266923183.07703075</v>
      </c>
      <c r="X78" s="149">
        <f t="shared" si="26"/>
        <v>266923183.07703075</v>
      </c>
      <c r="Y78" s="149">
        <f t="shared" si="26"/>
        <v>266923183.07703075</v>
      </c>
      <c r="Z78" s="149">
        <f t="shared" si="26"/>
        <v>266923183.07703075</v>
      </c>
      <c r="AA78" s="149">
        <f t="shared" si="26"/>
        <v>266923183.07703075</v>
      </c>
      <c r="AB78" s="149">
        <f t="shared" si="26"/>
        <v>266923183.07703075</v>
      </c>
      <c r="AC78" s="149">
        <f t="shared" si="26"/>
        <v>266923183.07703075</v>
      </c>
      <c r="AD78" s="149">
        <f t="shared" si="26"/>
        <v>266923183.07703075</v>
      </c>
      <c r="AE78" s="149">
        <f t="shared" si="26"/>
        <v>266923183.07703075</v>
      </c>
      <c r="AF78" s="149">
        <f t="shared" si="26"/>
        <v>266923183.07703075</v>
      </c>
      <c r="AG78" s="149">
        <f t="shared" si="26"/>
        <v>266923183.07703075</v>
      </c>
    </row>
    <row r="79" spans="1:33" ht="14.25" customHeight="1" x14ac:dyDescent="0.35">
      <c r="A79" s="21"/>
      <c r="B79" s="21"/>
      <c r="C79" s="21"/>
      <c r="D79" s="128" t="s">
        <v>3922</v>
      </c>
      <c r="E79" s="128"/>
      <c r="F79" s="21"/>
      <c r="G79" s="21"/>
      <c r="H79" s="21"/>
      <c r="I79" s="22" t="s">
        <v>3921</v>
      </c>
      <c r="J79" s="151">
        <v>-3065999.9999980899</v>
      </c>
      <c r="K79" s="151">
        <v>-3934010</v>
      </c>
      <c r="L79" s="151">
        <v>59487612.910001799</v>
      </c>
      <c r="M79" s="151">
        <v>-2444097.0200004601</v>
      </c>
      <c r="N79" s="151">
        <v>0</v>
      </c>
      <c r="O79" s="151">
        <v>-2871000</v>
      </c>
      <c r="P79" s="151">
        <v>0</v>
      </c>
      <c r="Q79" s="151">
        <v>-330000</v>
      </c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</row>
    <row r="80" spans="1:33" ht="14.25" customHeight="1" x14ac:dyDescent="0.35">
      <c r="A80" s="21"/>
      <c r="B80" s="21"/>
      <c r="D80" s="21" t="s">
        <v>3923</v>
      </c>
      <c r="E80" s="128"/>
      <c r="F80" s="21"/>
      <c r="G80" s="21"/>
      <c r="H80" s="21"/>
      <c r="I80" s="22" t="s">
        <v>3921</v>
      </c>
      <c r="J80" s="153">
        <f t="shared" ref="J80:AG80" si="27">SUM(J76:J79)</f>
        <v>8939460794.0000019</v>
      </c>
      <c r="K80" s="153">
        <f t="shared" si="27"/>
        <v>8442586900</v>
      </c>
      <c r="L80" s="153">
        <f t="shared" si="27"/>
        <v>6392198000.0000019</v>
      </c>
      <c r="M80" s="153">
        <f t="shared" si="27"/>
        <v>6566850570</v>
      </c>
      <c r="N80" s="153">
        <f t="shared" si="27"/>
        <v>7508684450</v>
      </c>
      <c r="O80" s="153">
        <f t="shared" si="27"/>
        <v>8119680800</v>
      </c>
      <c r="P80" s="153">
        <f t="shared" si="27"/>
        <v>8560476100</v>
      </c>
      <c r="Q80" s="153">
        <f t="shared" si="27"/>
        <v>9302214900</v>
      </c>
      <c r="R80" s="154">
        <f t="shared" si="27"/>
        <v>8537901585.6902676</v>
      </c>
      <c r="S80" s="154">
        <f t="shared" si="27"/>
        <v>8537901585.6902676</v>
      </c>
      <c r="T80" s="154">
        <f t="shared" si="27"/>
        <v>8537901585.6902676</v>
      </c>
      <c r="U80" s="154">
        <f t="shared" si="27"/>
        <v>8537901585.6902676</v>
      </c>
      <c r="V80" s="154">
        <f t="shared" si="27"/>
        <v>8537901585.6902676</v>
      </c>
      <c r="W80" s="154">
        <f t="shared" si="27"/>
        <v>8537901585.6902676</v>
      </c>
      <c r="X80" s="154">
        <f t="shared" si="27"/>
        <v>8537901585.6902676</v>
      </c>
      <c r="Y80" s="154">
        <f t="shared" si="27"/>
        <v>8537901585.6902676</v>
      </c>
      <c r="Z80" s="154">
        <f t="shared" si="27"/>
        <v>8537901585.6902676</v>
      </c>
      <c r="AA80" s="154">
        <f t="shared" si="27"/>
        <v>8537901585.6902676</v>
      </c>
      <c r="AB80" s="154">
        <f t="shared" si="27"/>
        <v>8537901585.6902676</v>
      </c>
      <c r="AC80" s="154">
        <f t="shared" si="27"/>
        <v>8537901585.6902676</v>
      </c>
      <c r="AD80" s="154">
        <f t="shared" si="27"/>
        <v>8537901585.6902676</v>
      </c>
      <c r="AE80" s="154">
        <f t="shared" si="27"/>
        <v>8537901585.6902676</v>
      </c>
      <c r="AF80" s="154">
        <f t="shared" si="27"/>
        <v>8537901585.6902676</v>
      </c>
      <c r="AG80" s="154">
        <f t="shared" si="27"/>
        <v>8537901585.6902676</v>
      </c>
    </row>
    <row r="81" spans="1:33" ht="14.25" customHeight="1" x14ac:dyDescent="0.35">
      <c r="A81" s="21"/>
      <c r="B81" s="21"/>
      <c r="C81" s="21"/>
      <c r="D81" s="128" t="s">
        <v>3908</v>
      </c>
      <c r="E81" s="128"/>
      <c r="F81" s="21"/>
      <c r="G81" s="21"/>
      <c r="H81" s="21"/>
      <c r="I81" s="22" t="s">
        <v>3921</v>
      </c>
      <c r="J81" s="148">
        <f>'DATA - GL Aktual 2026'!C10</f>
        <v>0</v>
      </c>
      <c r="K81" s="148">
        <f>'DATA - GL Aktual 2026'!D10</f>
        <v>0</v>
      </c>
      <c r="L81" s="148">
        <f>'DATA - GL Aktual 2026'!E10</f>
        <v>0</v>
      </c>
      <c r="M81" s="148">
        <f>'DATA - GL Aktual 2026'!F10</f>
        <v>0</v>
      </c>
      <c r="N81" s="148">
        <f>'DATA - GL Aktual 2026'!G10</f>
        <v>0</v>
      </c>
      <c r="O81" s="148">
        <f>'DATA - GL Aktual 2026'!H10</f>
        <v>0</v>
      </c>
      <c r="P81" s="148">
        <f>'DATA - GL Aktual 2026'!I10</f>
        <v>0</v>
      </c>
      <c r="Q81" s="148">
        <f>'DATA - GL Aktual 2026'!J10</f>
        <v>0</v>
      </c>
      <c r="R81" s="149">
        <v>0</v>
      </c>
      <c r="S81" s="149">
        <v>0</v>
      </c>
      <c r="T81" s="149">
        <v>0</v>
      </c>
      <c r="U81" s="149">
        <v>0</v>
      </c>
      <c r="V81" s="149">
        <v>0</v>
      </c>
      <c r="W81" s="149">
        <v>0</v>
      </c>
      <c r="X81" s="149">
        <v>0</v>
      </c>
      <c r="Y81" s="149">
        <v>0</v>
      </c>
      <c r="Z81" s="149">
        <v>0</v>
      </c>
      <c r="AA81" s="149">
        <v>0</v>
      </c>
      <c r="AB81" s="149">
        <v>0</v>
      </c>
      <c r="AC81" s="149">
        <v>0</v>
      </c>
      <c r="AD81" s="149">
        <v>0</v>
      </c>
      <c r="AE81" s="149">
        <v>0</v>
      </c>
      <c r="AF81" s="149">
        <v>0</v>
      </c>
      <c r="AG81" s="149">
        <v>0</v>
      </c>
    </row>
    <row r="82" spans="1:33" ht="14.25" customHeight="1" x14ac:dyDescent="0.35">
      <c r="A82" s="21"/>
      <c r="B82" s="21"/>
      <c r="C82" s="21"/>
      <c r="D82" s="128" t="s">
        <v>3924</v>
      </c>
      <c r="E82" s="128"/>
      <c r="F82" s="21"/>
      <c r="G82" s="21"/>
      <c r="H82" s="21"/>
      <c r="I82" s="22"/>
      <c r="J82" s="148"/>
      <c r="K82" s="148"/>
      <c r="L82" s="148"/>
      <c r="M82" s="148"/>
      <c r="N82" s="148"/>
      <c r="O82" s="148"/>
      <c r="P82" s="148"/>
      <c r="Q82" s="148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  <c r="AC82" s="149"/>
      <c r="AD82" s="149"/>
      <c r="AE82" s="149"/>
      <c r="AF82" s="149"/>
      <c r="AG82" s="149"/>
    </row>
    <row r="83" spans="1:33" ht="14.25" customHeight="1" x14ac:dyDescent="0.35">
      <c r="A83" s="21"/>
      <c r="B83" s="21"/>
      <c r="C83" s="21"/>
      <c r="D83" s="128" t="s">
        <v>3909</v>
      </c>
      <c r="E83" s="128"/>
      <c r="F83" s="21"/>
      <c r="G83" s="21"/>
      <c r="H83" s="21"/>
      <c r="I83" s="22" t="s">
        <v>3921</v>
      </c>
      <c r="J83" s="148">
        <f>'DATA - GL Aktual 2026'!C11</f>
        <v>429985766.83999801</v>
      </c>
      <c r="K83" s="148">
        <f>'DATA - GL Aktual 2026'!D11</f>
        <v>216983765.17001</v>
      </c>
      <c r="L83" s="148">
        <f>'DATA - GL Aktual 2026'!E11</f>
        <v>92358781.049998298</v>
      </c>
      <c r="M83" s="148">
        <f>'DATA - GL Aktual 2026'!F11</f>
        <v>283678126.74000001</v>
      </c>
      <c r="N83" s="148">
        <f>'DATA - GL Aktual 2026'!G11</f>
        <v>196732413.15999901</v>
      </c>
      <c r="O83" s="148">
        <f>'DATA - GL Aktual 2026'!H11</f>
        <v>175606955.22</v>
      </c>
      <c r="P83" s="148">
        <f>'DATA - GL Aktual 2026'!I11</f>
        <v>353604755.83000398</v>
      </c>
      <c r="Q83" s="148">
        <f>'DATA - GL Aktual 2026'!J11</f>
        <v>490910552.06</v>
      </c>
      <c r="R83" s="149">
        <v>208381299.44125101</v>
      </c>
      <c r="S83" s="149">
        <v>208381299.44125101</v>
      </c>
      <c r="T83" s="149">
        <v>208381299.44125101</v>
      </c>
      <c r="U83" s="149">
        <v>208381299.44125101</v>
      </c>
      <c r="V83" s="149">
        <v>208381299.44125101</v>
      </c>
      <c r="W83" s="149">
        <v>208381299.44125101</v>
      </c>
      <c r="X83" s="149">
        <v>208381299.44125101</v>
      </c>
      <c r="Y83" s="149">
        <v>208381299.44125101</v>
      </c>
      <c r="Z83" s="149">
        <v>208381299.44125101</v>
      </c>
      <c r="AA83" s="149">
        <v>208381299.44125101</v>
      </c>
      <c r="AB83" s="149">
        <v>208381299.44125101</v>
      </c>
      <c r="AC83" s="149">
        <v>208381299.44125101</v>
      </c>
      <c r="AD83" s="149">
        <v>208381299.44125101</v>
      </c>
      <c r="AE83" s="149">
        <v>208381299.44125101</v>
      </c>
      <c r="AF83" s="149">
        <v>208381299.44125101</v>
      </c>
      <c r="AG83" s="149">
        <v>208381299.44125101</v>
      </c>
    </row>
    <row r="84" spans="1:33" ht="14.25" customHeight="1" x14ac:dyDescent="0.35">
      <c r="A84" s="21"/>
      <c r="B84" s="21"/>
      <c r="C84" s="21" t="s">
        <v>3925</v>
      </c>
      <c r="D84" s="21"/>
      <c r="E84" s="21"/>
      <c r="F84" s="21"/>
      <c r="G84" s="21"/>
      <c r="H84" s="21"/>
      <c r="I84" s="22" t="s">
        <v>3921</v>
      </c>
      <c r="J84" s="148">
        <f t="shared" ref="J84:AG84" si="28">SUM(J80:J83)</f>
        <v>9369446560.8400002</v>
      </c>
      <c r="K84" s="148">
        <f t="shared" si="28"/>
        <v>8659570665.1700096</v>
      </c>
      <c r="L84" s="148">
        <f t="shared" si="28"/>
        <v>6484556781.0500002</v>
      </c>
      <c r="M84" s="148">
        <f t="shared" si="28"/>
        <v>6850528696.7399998</v>
      </c>
      <c r="N84" s="148">
        <f t="shared" si="28"/>
        <v>7705416863.1599989</v>
      </c>
      <c r="O84" s="148">
        <f t="shared" si="28"/>
        <v>8295287755.2200003</v>
      </c>
      <c r="P84" s="148">
        <f t="shared" si="28"/>
        <v>8914080855.8300037</v>
      </c>
      <c r="Q84" s="148">
        <f t="shared" si="28"/>
        <v>9793125452.0599995</v>
      </c>
      <c r="R84" s="149">
        <f t="shared" si="28"/>
        <v>8746282885.1315193</v>
      </c>
      <c r="S84" s="149">
        <f t="shared" si="28"/>
        <v>8746282885.1315193</v>
      </c>
      <c r="T84" s="149">
        <f t="shared" si="28"/>
        <v>8746282885.1315193</v>
      </c>
      <c r="U84" s="149">
        <f t="shared" si="28"/>
        <v>8746282885.1315193</v>
      </c>
      <c r="V84" s="149">
        <f t="shared" si="28"/>
        <v>8746282885.1315193</v>
      </c>
      <c r="W84" s="149">
        <f t="shared" si="28"/>
        <v>8746282885.1315193</v>
      </c>
      <c r="X84" s="149">
        <f t="shared" si="28"/>
        <v>8746282885.1315193</v>
      </c>
      <c r="Y84" s="149">
        <f t="shared" si="28"/>
        <v>8746282885.1315193</v>
      </c>
      <c r="Z84" s="149">
        <f t="shared" si="28"/>
        <v>8746282885.1315193</v>
      </c>
      <c r="AA84" s="149">
        <f t="shared" si="28"/>
        <v>8746282885.1315193</v>
      </c>
      <c r="AB84" s="149">
        <f t="shared" si="28"/>
        <v>8746282885.1315193</v>
      </c>
      <c r="AC84" s="149">
        <f t="shared" si="28"/>
        <v>8746282885.1315193</v>
      </c>
      <c r="AD84" s="149">
        <f t="shared" si="28"/>
        <v>8746282885.1315193</v>
      </c>
      <c r="AE84" s="149">
        <f t="shared" si="28"/>
        <v>8746282885.1315193</v>
      </c>
      <c r="AF84" s="149">
        <f t="shared" si="28"/>
        <v>8746282885.1315193</v>
      </c>
      <c r="AG84" s="149">
        <f t="shared" si="28"/>
        <v>8746282885.1315193</v>
      </c>
    </row>
    <row r="85" spans="1:33" ht="14.25" customHeight="1" x14ac:dyDescent="0.35">
      <c r="A85" s="21"/>
      <c r="B85" s="21"/>
      <c r="C85" s="21"/>
      <c r="D85" s="128" t="s">
        <v>3926</v>
      </c>
      <c r="E85" s="128"/>
      <c r="F85" s="21"/>
      <c r="G85" s="21"/>
      <c r="H85" s="21"/>
      <c r="I85" s="22" t="s">
        <v>3921</v>
      </c>
      <c r="J85" s="148">
        <f>'DATA - GL Aktual 2026'!C12</f>
        <v>9369446560.8400002</v>
      </c>
      <c r="K85" s="148">
        <f>'DATA - GL Aktual 2026'!D12</f>
        <v>8659570665.1700096</v>
      </c>
      <c r="L85" s="148">
        <f>'DATA - GL Aktual 2026'!E12</f>
        <v>6484556781.0500002</v>
      </c>
      <c r="M85" s="148">
        <f>'DATA - GL Aktual 2026'!F12</f>
        <v>6850528696.7399998</v>
      </c>
      <c r="N85" s="148">
        <f>'DATA - GL Aktual 2026'!G12</f>
        <v>7705416863.1599998</v>
      </c>
      <c r="O85" s="148">
        <f>'DATA - GL Aktual 2026'!H12</f>
        <v>8295287755.2200003</v>
      </c>
      <c r="P85" s="148">
        <f>'DATA - GL Aktual 2026'!I12</f>
        <v>8914080855.8299999</v>
      </c>
      <c r="Q85" s="148">
        <f>'DATA - GL Aktual 2026'!J12</f>
        <v>9793125452.0599995</v>
      </c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</row>
    <row r="86" spans="1:33" ht="14.25" customHeight="1" x14ac:dyDescent="0.35">
      <c r="A86" s="21"/>
      <c r="B86" s="21"/>
      <c r="C86" s="21"/>
      <c r="D86" s="128" t="s">
        <v>3927</v>
      </c>
      <c r="E86" s="128"/>
      <c r="F86" s="21"/>
      <c r="G86" s="21"/>
      <c r="H86" s="21"/>
      <c r="I86" s="22" t="s">
        <v>3921</v>
      </c>
      <c r="J86" s="148">
        <f t="shared" ref="J86:Q86" si="29">J84-J85</f>
        <v>0</v>
      </c>
      <c r="K86" s="148">
        <f t="shared" si="29"/>
        <v>0</v>
      </c>
      <c r="L86" s="148">
        <f t="shared" si="29"/>
        <v>0</v>
      </c>
      <c r="M86" s="148">
        <f t="shared" si="29"/>
        <v>0</v>
      </c>
      <c r="N86" s="148">
        <f t="shared" si="29"/>
        <v>0</v>
      </c>
      <c r="O86" s="148">
        <f t="shared" si="29"/>
        <v>0</v>
      </c>
      <c r="P86" s="148">
        <f t="shared" si="29"/>
        <v>0</v>
      </c>
      <c r="Q86" s="148">
        <f t="shared" si="29"/>
        <v>0</v>
      </c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</row>
    <row r="87" spans="1:33" ht="14.25" customHeight="1" x14ac:dyDescent="0.35">
      <c r="A87" s="21"/>
      <c r="B87" s="21"/>
      <c r="C87" s="21" t="s">
        <v>3928</v>
      </c>
      <c r="D87" s="21"/>
      <c r="E87" s="21"/>
      <c r="F87" s="21"/>
      <c r="G87" s="21"/>
      <c r="H87" s="21"/>
      <c r="I87" s="22" t="s">
        <v>3921</v>
      </c>
      <c r="J87" s="60">
        <f t="array" ref="J87:Q87">-J86:Q86</f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60">
        <v>0</v>
      </c>
      <c r="Q87" s="21">
        <v>0</v>
      </c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</row>
    <row r="88" spans="1:33" ht="14.25" customHeight="1" x14ac:dyDescent="0.35">
      <c r="A88" s="21"/>
      <c r="B88" s="21"/>
      <c r="C88" s="21"/>
      <c r="D88" s="128" t="s">
        <v>3929</v>
      </c>
      <c r="E88" s="128"/>
      <c r="F88" s="21"/>
      <c r="G88" s="21"/>
      <c r="H88" s="21"/>
      <c r="I88" s="22" t="s">
        <v>3921</v>
      </c>
      <c r="J88" s="148"/>
      <c r="K88" s="148"/>
      <c r="L88" s="148"/>
      <c r="M88" s="148"/>
      <c r="N88" s="148"/>
      <c r="O88" s="148"/>
      <c r="P88" s="148"/>
      <c r="Q88" s="148"/>
      <c r="R88" s="149">
        <v>0</v>
      </c>
      <c r="S88" s="149">
        <v>0</v>
      </c>
      <c r="T88" s="149">
        <v>0</v>
      </c>
      <c r="U88" s="149">
        <v>0</v>
      </c>
      <c r="V88" s="149">
        <v>0</v>
      </c>
      <c r="W88" s="149">
        <v>0</v>
      </c>
      <c r="X88" s="149">
        <v>0</v>
      </c>
      <c r="Y88" s="149">
        <v>0</v>
      </c>
      <c r="Z88" s="149">
        <v>0</v>
      </c>
      <c r="AA88" s="149">
        <v>0</v>
      </c>
      <c r="AB88" s="149">
        <v>0</v>
      </c>
      <c r="AC88" s="149">
        <v>0</v>
      </c>
      <c r="AD88" s="149">
        <v>0</v>
      </c>
      <c r="AE88" s="149">
        <v>0</v>
      </c>
      <c r="AF88" s="149">
        <v>0</v>
      </c>
      <c r="AG88" s="149">
        <v>0</v>
      </c>
    </row>
    <row r="89" spans="1:33" ht="14.25" customHeight="1" x14ac:dyDescent="0.35">
      <c r="A89" s="21"/>
      <c r="B89" s="21"/>
      <c r="C89" s="21" t="s">
        <v>3930</v>
      </c>
      <c r="D89" s="21"/>
      <c r="E89" s="21"/>
      <c r="F89" s="21"/>
      <c r="G89" s="21"/>
      <c r="H89" s="21"/>
      <c r="I89" s="22" t="s">
        <v>3921</v>
      </c>
      <c r="J89" s="148">
        <f t="shared" ref="J89:AG89" si="30">J84+J88</f>
        <v>9369446560.8400002</v>
      </c>
      <c r="K89" s="148">
        <f t="shared" si="30"/>
        <v>8659570665.1700096</v>
      </c>
      <c r="L89" s="148">
        <f t="shared" si="30"/>
        <v>6484556781.0500002</v>
      </c>
      <c r="M89" s="148">
        <f t="shared" si="30"/>
        <v>6850528696.7399998</v>
      </c>
      <c r="N89" s="148">
        <f t="shared" si="30"/>
        <v>7705416863.1599989</v>
      </c>
      <c r="O89" s="148">
        <f t="shared" si="30"/>
        <v>8295287755.2200003</v>
      </c>
      <c r="P89" s="148">
        <f t="shared" si="30"/>
        <v>8914080855.8300037</v>
      </c>
      <c r="Q89" s="148">
        <f t="shared" si="30"/>
        <v>9793125452.0599995</v>
      </c>
      <c r="R89" s="149">
        <f t="shared" si="30"/>
        <v>8746282885.1315193</v>
      </c>
      <c r="S89" s="149">
        <f t="shared" si="30"/>
        <v>8746282885.1315193</v>
      </c>
      <c r="T89" s="149">
        <f t="shared" si="30"/>
        <v>8746282885.1315193</v>
      </c>
      <c r="U89" s="149">
        <f t="shared" si="30"/>
        <v>8746282885.1315193</v>
      </c>
      <c r="V89" s="149">
        <f t="shared" si="30"/>
        <v>8746282885.1315193</v>
      </c>
      <c r="W89" s="149">
        <f t="shared" si="30"/>
        <v>8746282885.1315193</v>
      </c>
      <c r="X89" s="149">
        <f t="shared" si="30"/>
        <v>8746282885.1315193</v>
      </c>
      <c r="Y89" s="149">
        <f t="shared" si="30"/>
        <v>8746282885.1315193</v>
      </c>
      <c r="Z89" s="149">
        <f t="shared" si="30"/>
        <v>8746282885.1315193</v>
      </c>
      <c r="AA89" s="149">
        <f t="shared" si="30"/>
        <v>8746282885.1315193</v>
      </c>
      <c r="AB89" s="149">
        <f t="shared" si="30"/>
        <v>8746282885.1315193</v>
      </c>
      <c r="AC89" s="149">
        <f t="shared" si="30"/>
        <v>8746282885.1315193</v>
      </c>
      <c r="AD89" s="149">
        <f t="shared" si="30"/>
        <v>8746282885.1315193</v>
      </c>
      <c r="AE89" s="149">
        <f t="shared" si="30"/>
        <v>8746282885.1315193</v>
      </c>
      <c r="AF89" s="149">
        <f t="shared" si="30"/>
        <v>8746282885.1315193</v>
      </c>
      <c r="AG89" s="149">
        <f t="shared" si="30"/>
        <v>8746282885.1315193</v>
      </c>
    </row>
    <row r="90" spans="1:33" ht="14.25" customHeight="1" x14ac:dyDescent="0.35">
      <c r="A90" s="21"/>
      <c r="B90" s="28"/>
      <c r="C90" s="128"/>
      <c r="D90" s="28"/>
      <c r="E90" s="28"/>
      <c r="F90" s="21"/>
      <c r="G90" s="21"/>
      <c r="H90" s="21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</row>
    <row r="91" spans="1:33" ht="14.25" customHeight="1" x14ac:dyDescent="0.35">
      <c r="A91" s="119">
        <v>4</v>
      </c>
      <c r="B91" s="119" t="s">
        <v>3931</v>
      </c>
      <c r="C91" s="119"/>
      <c r="D91" s="119"/>
      <c r="E91" s="119"/>
      <c r="F91" s="119"/>
      <c r="G91" s="119"/>
      <c r="H91" s="119"/>
      <c r="I91" s="120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</row>
    <row r="92" spans="1:33" ht="14.25" customHeight="1" x14ac:dyDescent="0.35">
      <c r="A92" s="21"/>
      <c r="B92" s="21"/>
      <c r="C92" s="21" t="s">
        <v>3932</v>
      </c>
      <c r="D92" s="21"/>
      <c r="E92" s="21"/>
      <c r="F92" s="21"/>
      <c r="G92" s="21"/>
      <c r="H92" s="21"/>
      <c r="I92" s="22" t="s">
        <v>3921</v>
      </c>
      <c r="J92" s="21"/>
      <c r="K92" s="21"/>
      <c r="L92" s="21"/>
      <c r="M92" s="21"/>
      <c r="N92" s="21"/>
      <c r="O92" s="21"/>
      <c r="P92" s="60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</row>
    <row r="93" spans="1:33" ht="14.25" customHeight="1" x14ac:dyDescent="0.35">
      <c r="A93" s="21"/>
      <c r="B93" s="21"/>
      <c r="C93" s="21"/>
      <c r="D93" s="128" t="s">
        <v>3933</v>
      </c>
      <c r="E93" s="21" t="s">
        <v>3934</v>
      </c>
      <c r="F93" s="21"/>
      <c r="G93" s="21" t="s">
        <v>3935</v>
      </c>
      <c r="H93" s="21" t="s">
        <v>3936</v>
      </c>
      <c r="I93" s="22" t="s">
        <v>3921</v>
      </c>
      <c r="J93" s="148">
        <f>'DATA - GL Aktual 2026'!C15</f>
        <v>836253454</v>
      </c>
      <c r="K93" s="148">
        <f>'DATA - GL Aktual 2026'!D15</f>
        <v>736842285</v>
      </c>
      <c r="L93" s="148">
        <f>'DATA - GL Aktual 2026'!E15</f>
        <v>610128896</v>
      </c>
      <c r="M93" s="148">
        <f>'DATA - GL Aktual 2026'!F15</f>
        <v>874743990</v>
      </c>
      <c r="N93" s="148">
        <f>'DATA - GL Aktual 2026'!G15</f>
        <v>937223872</v>
      </c>
      <c r="O93" s="148">
        <f>'DATA - GL Aktual 2026'!H15</f>
        <v>976098507</v>
      </c>
      <c r="P93" s="148">
        <f>'DATA - GL Aktual 2026'!I15</f>
        <v>1003243362</v>
      </c>
      <c r="Q93" s="148">
        <f>'DATA - GL Aktual 2026'!J15</f>
        <v>961759797</v>
      </c>
      <c r="R93" s="149">
        <f t="shared" ref="R93:AG93" si="31">R102+R117+R134</f>
        <v>881185774.96774197</v>
      </c>
      <c r="S93" s="149">
        <f t="shared" si="31"/>
        <v>881185774.96774197</v>
      </c>
      <c r="T93" s="149">
        <f t="shared" si="31"/>
        <v>881185774.96774197</v>
      </c>
      <c r="U93" s="149">
        <f t="shared" si="31"/>
        <v>881185774.96774197</v>
      </c>
      <c r="V93" s="149">
        <f t="shared" si="31"/>
        <v>881185774.96774197</v>
      </c>
      <c r="W93" s="149">
        <f t="shared" si="31"/>
        <v>881185774.96774197</v>
      </c>
      <c r="X93" s="149">
        <f t="shared" si="31"/>
        <v>881185774.96774197</v>
      </c>
      <c r="Y93" s="149">
        <f t="shared" si="31"/>
        <v>881185774.96774197</v>
      </c>
      <c r="Z93" s="149">
        <f t="shared" si="31"/>
        <v>881185774.96774197</v>
      </c>
      <c r="AA93" s="149">
        <f t="shared" si="31"/>
        <v>881185774.96774197</v>
      </c>
      <c r="AB93" s="149">
        <f t="shared" si="31"/>
        <v>881185774.96774197</v>
      </c>
      <c r="AC93" s="149">
        <f t="shared" si="31"/>
        <v>881185774.96774197</v>
      </c>
      <c r="AD93" s="149">
        <f t="shared" si="31"/>
        <v>881185774.96774197</v>
      </c>
      <c r="AE93" s="149">
        <f t="shared" si="31"/>
        <v>881185774.96774197</v>
      </c>
      <c r="AF93" s="149">
        <f t="shared" si="31"/>
        <v>881185774.96774197</v>
      </c>
      <c r="AG93" s="149">
        <f t="shared" si="31"/>
        <v>881185774.96774197</v>
      </c>
    </row>
    <row r="94" spans="1:33" ht="14.25" customHeight="1" x14ac:dyDescent="0.35">
      <c r="A94" s="21"/>
      <c r="B94" s="21"/>
      <c r="C94" s="21"/>
      <c r="D94" s="128"/>
      <c r="E94" s="21" t="s">
        <v>3937</v>
      </c>
      <c r="F94" s="21"/>
      <c r="G94" s="21"/>
      <c r="H94" s="21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</row>
    <row r="95" spans="1:33" ht="14.25" customHeight="1" x14ac:dyDescent="0.35">
      <c r="A95" s="21"/>
      <c r="B95" s="21"/>
      <c r="C95" s="21"/>
      <c r="D95" s="128"/>
      <c r="E95" s="155" t="s">
        <v>3938</v>
      </c>
      <c r="F95" s="21"/>
      <c r="G95" s="21"/>
      <c r="H95" s="21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</row>
    <row r="96" spans="1:33" ht="14.25" customHeight="1" x14ac:dyDescent="0.35">
      <c r="A96" s="21"/>
      <c r="B96" s="21"/>
      <c r="C96" s="21"/>
      <c r="D96" s="128"/>
      <c r="E96" s="128"/>
      <c r="F96" s="21" t="s">
        <v>3939</v>
      </c>
      <c r="G96" s="21" t="s">
        <v>3940</v>
      </c>
      <c r="H96" s="21" t="s">
        <v>338</v>
      </c>
      <c r="I96" s="21" t="s">
        <v>3941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</row>
    <row r="97" spans="1:33" ht="14.25" customHeight="1" x14ac:dyDescent="0.35">
      <c r="A97" s="21"/>
      <c r="B97" s="21"/>
      <c r="C97" s="21"/>
      <c r="D97" s="128"/>
      <c r="E97" s="128"/>
      <c r="F97" s="21" t="s">
        <v>3942</v>
      </c>
      <c r="G97" s="21" t="s">
        <v>3943</v>
      </c>
      <c r="H97" s="21" t="s">
        <v>3944</v>
      </c>
      <c r="I97" s="21" t="s">
        <v>35</v>
      </c>
      <c r="J97" s="148"/>
      <c r="K97" s="148"/>
      <c r="L97" s="148"/>
      <c r="M97" s="148"/>
      <c r="N97" s="148"/>
      <c r="O97" s="148"/>
      <c r="P97" s="148"/>
      <c r="Q97" s="148"/>
      <c r="R97" s="156">
        <v>100</v>
      </c>
      <c r="S97" s="156">
        <v>100</v>
      </c>
      <c r="T97" s="156">
        <v>100</v>
      </c>
      <c r="U97" s="156">
        <v>100</v>
      </c>
      <c r="V97" s="156">
        <v>100</v>
      </c>
      <c r="W97" s="156">
        <v>100</v>
      </c>
      <c r="X97" s="156">
        <v>100</v>
      </c>
      <c r="Y97" s="156">
        <v>100</v>
      </c>
      <c r="Z97" s="156">
        <v>100</v>
      </c>
      <c r="AA97" s="156">
        <v>100</v>
      </c>
      <c r="AB97" s="156">
        <v>100</v>
      </c>
      <c r="AC97" s="156">
        <v>100</v>
      </c>
      <c r="AD97" s="156">
        <v>100</v>
      </c>
      <c r="AE97" s="156">
        <v>100</v>
      </c>
      <c r="AF97" s="156">
        <v>100</v>
      </c>
      <c r="AG97" s="156">
        <v>100</v>
      </c>
    </row>
    <row r="98" spans="1:33" ht="14.25" customHeight="1" x14ac:dyDescent="0.35">
      <c r="A98" s="21"/>
      <c r="B98" s="21"/>
      <c r="C98" s="21"/>
      <c r="D98" s="128"/>
      <c r="E98" s="128"/>
      <c r="F98" s="21" t="s">
        <v>3942</v>
      </c>
      <c r="G98" s="21" t="s">
        <v>3945</v>
      </c>
      <c r="H98" s="21" t="s">
        <v>3944</v>
      </c>
      <c r="I98" s="21" t="s">
        <v>35</v>
      </c>
      <c r="J98" s="148"/>
      <c r="K98" s="148"/>
      <c r="L98" s="148"/>
      <c r="M98" s="148"/>
      <c r="N98" s="148"/>
      <c r="O98" s="148"/>
      <c r="P98" s="148"/>
      <c r="Q98" s="148"/>
      <c r="R98" s="156">
        <v>43</v>
      </c>
      <c r="S98" s="156">
        <v>43</v>
      </c>
      <c r="T98" s="156">
        <v>43</v>
      </c>
      <c r="U98" s="156">
        <v>43</v>
      </c>
      <c r="V98" s="156">
        <v>43</v>
      </c>
      <c r="W98" s="156">
        <v>43</v>
      </c>
      <c r="X98" s="156">
        <v>43</v>
      </c>
      <c r="Y98" s="156">
        <v>43</v>
      </c>
      <c r="Z98" s="156">
        <v>43</v>
      </c>
      <c r="AA98" s="156">
        <v>43</v>
      </c>
      <c r="AB98" s="156">
        <v>43</v>
      </c>
      <c r="AC98" s="156">
        <v>43</v>
      </c>
      <c r="AD98" s="156">
        <v>43</v>
      </c>
      <c r="AE98" s="156">
        <v>43</v>
      </c>
      <c r="AF98" s="156">
        <v>43</v>
      </c>
      <c r="AG98" s="156">
        <v>43</v>
      </c>
    </row>
    <row r="99" spans="1:33" ht="14.25" customHeight="1" x14ac:dyDescent="0.35">
      <c r="A99" s="21"/>
      <c r="B99" s="21"/>
      <c r="C99" s="21"/>
      <c r="D99" s="128"/>
      <c r="E99" s="128"/>
      <c r="F99" s="21" t="s">
        <v>3942</v>
      </c>
      <c r="G99" s="21" t="s">
        <v>3946</v>
      </c>
      <c r="H99" s="21" t="s">
        <v>3944</v>
      </c>
      <c r="I99" s="21" t="s">
        <v>35</v>
      </c>
      <c r="J99" s="148"/>
      <c r="K99" s="148"/>
      <c r="L99" s="148"/>
      <c r="M99" s="148"/>
      <c r="N99" s="148"/>
      <c r="O99" s="148"/>
      <c r="P99" s="148"/>
      <c r="Q99" s="148"/>
      <c r="R99" s="156">
        <v>16</v>
      </c>
      <c r="S99" s="156">
        <v>16</v>
      </c>
      <c r="T99" s="156">
        <v>16</v>
      </c>
      <c r="U99" s="156">
        <v>16</v>
      </c>
      <c r="V99" s="156">
        <v>16</v>
      </c>
      <c r="W99" s="156">
        <v>16</v>
      </c>
      <c r="X99" s="156">
        <v>16</v>
      </c>
      <c r="Y99" s="156">
        <v>16</v>
      </c>
      <c r="Z99" s="156">
        <v>16</v>
      </c>
      <c r="AA99" s="156">
        <v>16</v>
      </c>
      <c r="AB99" s="156">
        <v>16</v>
      </c>
      <c r="AC99" s="156">
        <v>16</v>
      </c>
      <c r="AD99" s="156">
        <v>16</v>
      </c>
      <c r="AE99" s="156">
        <v>16</v>
      </c>
      <c r="AF99" s="156">
        <v>16</v>
      </c>
      <c r="AG99" s="156">
        <v>16</v>
      </c>
    </row>
    <row r="100" spans="1:33" ht="14.25" customHeight="1" x14ac:dyDescent="0.35">
      <c r="A100" s="21"/>
      <c r="B100" s="21"/>
      <c r="C100" s="21"/>
      <c r="D100" s="128"/>
      <c r="E100" s="128" t="s">
        <v>3947</v>
      </c>
      <c r="F100" s="21"/>
      <c r="G100" s="21"/>
      <c r="H100" s="21"/>
      <c r="I100" s="21" t="s">
        <v>3861</v>
      </c>
      <c r="J100" s="290"/>
      <c r="K100" s="290"/>
      <c r="L100" s="290"/>
      <c r="M100" s="290"/>
      <c r="N100" s="290"/>
      <c r="O100" s="290"/>
      <c r="P100" s="290"/>
      <c r="Q100" s="290"/>
      <c r="R100" s="291">
        <v>141534</v>
      </c>
      <c r="S100" s="291">
        <v>141534</v>
      </c>
      <c r="T100" s="291">
        <v>141534</v>
      </c>
      <c r="U100" s="291">
        <v>141534</v>
      </c>
      <c r="V100" s="291">
        <v>141534</v>
      </c>
      <c r="W100" s="291">
        <v>141534</v>
      </c>
      <c r="X100" s="291">
        <v>141534</v>
      </c>
      <c r="Y100" s="291">
        <v>141534</v>
      </c>
      <c r="Z100" s="291">
        <v>141534</v>
      </c>
      <c r="AA100" s="291">
        <v>141534</v>
      </c>
      <c r="AB100" s="291">
        <v>141534</v>
      </c>
      <c r="AC100" s="291">
        <v>141534</v>
      </c>
      <c r="AD100" s="291">
        <v>141534</v>
      </c>
      <c r="AE100" s="291">
        <v>141534</v>
      </c>
      <c r="AF100" s="291">
        <v>141534</v>
      </c>
      <c r="AG100" s="291">
        <v>141534</v>
      </c>
    </row>
    <row r="101" spans="1:33" ht="14.25" customHeight="1" x14ac:dyDescent="0.35">
      <c r="A101" s="21"/>
      <c r="B101" s="21"/>
      <c r="C101" s="21"/>
      <c r="D101" s="128"/>
      <c r="E101" s="128" t="s">
        <v>3948</v>
      </c>
      <c r="F101" s="21"/>
      <c r="G101" s="21"/>
      <c r="H101" s="21"/>
      <c r="I101" s="21" t="s">
        <v>3874</v>
      </c>
      <c r="J101" s="290"/>
      <c r="K101" s="290"/>
      <c r="L101" s="290"/>
      <c r="M101" s="290"/>
      <c r="N101" s="290"/>
      <c r="O101" s="290"/>
      <c r="P101" s="290"/>
      <c r="Q101" s="290"/>
      <c r="R101" s="291">
        <v>24</v>
      </c>
      <c r="S101" s="291">
        <v>24</v>
      </c>
      <c r="T101" s="291">
        <v>24</v>
      </c>
      <c r="U101" s="291">
        <v>24</v>
      </c>
      <c r="V101" s="291">
        <v>24</v>
      </c>
      <c r="W101" s="291">
        <v>24</v>
      </c>
      <c r="X101" s="291">
        <v>24</v>
      </c>
      <c r="Y101" s="291">
        <v>24</v>
      </c>
      <c r="Z101" s="291">
        <v>24</v>
      </c>
      <c r="AA101" s="291">
        <v>24</v>
      </c>
      <c r="AB101" s="291">
        <v>24</v>
      </c>
      <c r="AC101" s="291">
        <v>24</v>
      </c>
      <c r="AD101" s="291">
        <v>24</v>
      </c>
      <c r="AE101" s="291">
        <v>24</v>
      </c>
      <c r="AF101" s="291">
        <v>24</v>
      </c>
      <c r="AG101" s="291">
        <v>24</v>
      </c>
    </row>
    <row r="102" spans="1:33" ht="14.25" customHeight="1" x14ac:dyDescent="0.35">
      <c r="A102" s="21"/>
      <c r="B102" s="21"/>
      <c r="C102" s="21"/>
      <c r="D102" s="21"/>
      <c r="E102" s="21" t="s">
        <v>3949</v>
      </c>
      <c r="F102" s="21"/>
      <c r="G102" s="21"/>
      <c r="H102" s="21"/>
      <c r="I102" s="22" t="s">
        <v>3921</v>
      </c>
      <c r="J102" s="148">
        <f t="shared" ref="J102:Q102" si="32">(J93-J134)*0.7366071429</f>
        <v>469803537.42911977</v>
      </c>
      <c r="K102" s="148">
        <f t="shared" si="32"/>
        <v>396576560.25968069</v>
      </c>
      <c r="L102" s="148">
        <f t="shared" si="32"/>
        <v>303238572.82121438</v>
      </c>
      <c r="M102" s="148">
        <f t="shared" si="32"/>
        <v>492739318.82331127</v>
      </c>
      <c r="N102" s="148">
        <f t="shared" si="32"/>
        <v>536965090.14284873</v>
      </c>
      <c r="O102" s="148">
        <f t="shared" si="32"/>
        <v>565528879.51951063</v>
      </c>
      <c r="P102" s="148">
        <f t="shared" si="32"/>
        <v>588678452.44496465</v>
      </c>
      <c r="Q102" s="148">
        <f t="shared" si="32"/>
        <v>586299573.78411198</v>
      </c>
      <c r="R102" s="149">
        <f t="shared" ref="R102:AG102" si="33">R101*R100*SUM(R97:R99)</f>
        <v>540093744</v>
      </c>
      <c r="S102" s="149">
        <f t="shared" si="33"/>
        <v>540093744</v>
      </c>
      <c r="T102" s="149">
        <f t="shared" si="33"/>
        <v>540093744</v>
      </c>
      <c r="U102" s="149">
        <f t="shared" si="33"/>
        <v>540093744</v>
      </c>
      <c r="V102" s="149">
        <f t="shared" si="33"/>
        <v>540093744</v>
      </c>
      <c r="W102" s="149">
        <f t="shared" si="33"/>
        <v>540093744</v>
      </c>
      <c r="X102" s="149">
        <f t="shared" si="33"/>
        <v>540093744</v>
      </c>
      <c r="Y102" s="149">
        <f t="shared" si="33"/>
        <v>540093744</v>
      </c>
      <c r="Z102" s="149">
        <f t="shared" si="33"/>
        <v>540093744</v>
      </c>
      <c r="AA102" s="149">
        <f t="shared" si="33"/>
        <v>540093744</v>
      </c>
      <c r="AB102" s="149">
        <f t="shared" si="33"/>
        <v>540093744</v>
      </c>
      <c r="AC102" s="149">
        <f t="shared" si="33"/>
        <v>540093744</v>
      </c>
      <c r="AD102" s="149">
        <f t="shared" si="33"/>
        <v>540093744</v>
      </c>
      <c r="AE102" s="149">
        <f t="shared" si="33"/>
        <v>540093744</v>
      </c>
      <c r="AF102" s="149">
        <f t="shared" si="33"/>
        <v>540093744</v>
      </c>
      <c r="AG102" s="149">
        <f t="shared" si="33"/>
        <v>540093744</v>
      </c>
    </row>
    <row r="103" spans="1:33" ht="14.25" customHeight="1" x14ac:dyDescent="0.35">
      <c r="A103" s="21"/>
      <c r="B103" s="21"/>
      <c r="C103" s="21"/>
      <c r="D103" s="128"/>
      <c r="E103" s="21" t="s">
        <v>3950</v>
      </c>
      <c r="F103" s="21"/>
      <c r="G103" s="21"/>
      <c r="H103" s="21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</row>
    <row r="104" spans="1:33" ht="14.25" customHeight="1" x14ac:dyDescent="0.35">
      <c r="A104" s="21"/>
      <c r="B104" s="21"/>
      <c r="C104" s="21"/>
      <c r="D104" s="128"/>
      <c r="E104" s="155" t="s">
        <v>3938</v>
      </c>
      <c r="F104" s="21"/>
      <c r="G104" s="21"/>
      <c r="H104" s="21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</row>
    <row r="105" spans="1:33" ht="14.25" customHeight="1" x14ac:dyDescent="0.35">
      <c r="A105" s="21"/>
      <c r="B105" s="21"/>
      <c r="C105" s="21"/>
      <c r="D105" s="128"/>
      <c r="E105" s="128"/>
      <c r="F105" s="21" t="s">
        <v>3939</v>
      </c>
      <c r="G105" s="21" t="s">
        <v>3940</v>
      </c>
      <c r="H105" s="21" t="s">
        <v>338</v>
      </c>
      <c r="I105" s="21" t="s">
        <v>3941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</row>
    <row r="106" spans="1:33" ht="14.25" customHeight="1" x14ac:dyDescent="0.35">
      <c r="A106" s="21"/>
      <c r="B106" s="21"/>
      <c r="C106" s="21"/>
      <c r="D106" s="128"/>
      <c r="E106" s="128"/>
      <c r="F106" s="21" t="s">
        <v>3942</v>
      </c>
      <c r="G106" s="21" t="s">
        <v>3943</v>
      </c>
      <c r="H106" s="21" t="s">
        <v>3944</v>
      </c>
      <c r="I106" s="21" t="s">
        <v>3951</v>
      </c>
      <c r="J106" s="148"/>
      <c r="K106" s="148"/>
      <c r="L106" s="148"/>
      <c r="M106" s="148"/>
      <c r="N106" s="148"/>
      <c r="O106" s="148"/>
      <c r="P106" s="148"/>
      <c r="Q106" s="148"/>
      <c r="R106" s="140">
        <f>'Input Operasional'!Q110</f>
        <v>14</v>
      </c>
      <c r="S106" s="140">
        <f>'Input Operasional'!R110</f>
        <v>14</v>
      </c>
      <c r="T106" s="140">
        <f>'Input Operasional'!S110</f>
        <v>14</v>
      </c>
      <c r="U106" s="140">
        <f>'Input Operasional'!T110</f>
        <v>14</v>
      </c>
      <c r="V106" s="140">
        <f>'Input Operasional'!U110</f>
        <v>14</v>
      </c>
      <c r="W106" s="140">
        <f>'Input Operasional'!V110</f>
        <v>14</v>
      </c>
      <c r="X106" s="140">
        <f>'Input Operasional'!W110</f>
        <v>14</v>
      </c>
      <c r="Y106" s="140">
        <f>'Input Operasional'!X110</f>
        <v>14</v>
      </c>
      <c r="Z106" s="140">
        <f>'Input Operasional'!Y110</f>
        <v>14</v>
      </c>
      <c r="AA106" s="140">
        <f>'Input Operasional'!Z110</f>
        <v>14</v>
      </c>
      <c r="AB106" s="140">
        <f>'Input Operasional'!AA110</f>
        <v>14</v>
      </c>
      <c r="AC106" s="140">
        <f>'Input Operasional'!AB110</f>
        <v>14</v>
      </c>
      <c r="AD106" s="140">
        <f>'Input Operasional'!AC110</f>
        <v>14</v>
      </c>
      <c r="AE106" s="140">
        <f>'Input Operasional'!AD110</f>
        <v>14</v>
      </c>
      <c r="AF106" s="140">
        <f>'Input Operasional'!AE110</f>
        <v>14</v>
      </c>
      <c r="AG106" s="140">
        <f>'Input Operasional'!AF110</f>
        <v>14</v>
      </c>
    </row>
    <row r="107" spans="1:33" ht="14.25" customHeight="1" x14ac:dyDescent="0.35">
      <c r="A107" s="21"/>
      <c r="B107" s="21"/>
      <c r="C107" s="21"/>
      <c r="D107" s="128"/>
      <c r="E107" s="128"/>
      <c r="F107" s="21" t="s">
        <v>3942</v>
      </c>
      <c r="G107" s="21" t="s">
        <v>3945</v>
      </c>
      <c r="H107" s="21" t="s">
        <v>3944</v>
      </c>
      <c r="I107" s="21" t="s">
        <v>3951</v>
      </c>
      <c r="J107" s="148"/>
      <c r="K107" s="148"/>
      <c r="L107" s="148"/>
      <c r="M107" s="148"/>
      <c r="N107" s="148"/>
      <c r="O107" s="148"/>
      <c r="P107" s="148"/>
      <c r="Q107" s="148"/>
      <c r="R107" s="140">
        <f>'Input Operasional'!Q111</f>
        <v>2</v>
      </c>
      <c r="S107" s="140">
        <f>'Input Operasional'!R111</f>
        <v>2</v>
      </c>
      <c r="T107" s="140">
        <f>'Input Operasional'!S111</f>
        <v>2</v>
      </c>
      <c r="U107" s="140">
        <f>'Input Operasional'!T111</f>
        <v>2</v>
      </c>
      <c r="V107" s="140">
        <f>'Input Operasional'!U111</f>
        <v>2</v>
      </c>
      <c r="W107" s="140">
        <f>'Input Operasional'!V111</f>
        <v>2</v>
      </c>
      <c r="X107" s="140">
        <f>'Input Operasional'!W111</f>
        <v>2</v>
      </c>
      <c r="Y107" s="140">
        <f>'Input Operasional'!X111</f>
        <v>2</v>
      </c>
      <c r="Z107" s="140">
        <f>'Input Operasional'!Y111</f>
        <v>2</v>
      </c>
      <c r="AA107" s="140">
        <f>'Input Operasional'!Z111</f>
        <v>2</v>
      </c>
      <c r="AB107" s="140">
        <f>'Input Operasional'!AA111</f>
        <v>2</v>
      </c>
      <c r="AC107" s="140">
        <f>'Input Operasional'!AB111</f>
        <v>2</v>
      </c>
      <c r="AD107" s="140">
        <f>'Input Operasional'!AC111</f>
        <v>2</v>
      </c>
      <c r="AE107" s="140">
        <f>'Input Operasional'!AD111</f>
        <v>2</v>
      </c>
      <c r="AF107" s="140">
        <f>'Input Operasional'!AE111</f>
        <v>2</v>
      </c>
      <c r="AG107" s="140">
        <f>'Input Operasional'!AF111</f>
        <v>2</v>
      </c>
    </row>
    <row r="108" spans="1:33" ht="14.25" customHeight="1" x14ac:dyDescent="0.35">
      <c r="A108" s="21"/>
      <c r="B108" s="21"/>
      <c r="C108" s="21"/>
      <c r="D108" s="128"/>
      <c r="E108" s="128"/>
      <c r="F108" s="21" t="s">
        <v>3942</v>
      </c>
      <c r="G108" s="21" t="s">
        <v>3946</v>
      </c>
      <c r="H108" s="21" t="s">
        <v>3944</v>
      </c>
      <c r="I108" s="21" t="s">
        <v>3951</v>
      </c>
      <c r="J108" s="148"/>
      <c r="K108" s="148"/>
      <c r="L108" s="148"/>
      <c r="M108" s="148"/>
      <c r="N108" s="148"/>
      <c r="O108" s="148"/>
      <c r="P108" s="148"/>
      <c r="Q108" s="148"/>
      <c r="R108" s="140">
        <f>'Input Operasional'!Q112</f>
        <v>8</v>
      </c>
      <c r="S108" s="140">
        <f>'Input Operasional'!R112</f>
        <v>8</v>
      </c>
      <c r="T108" s="140">
        <f>'Input Operasional'!S112</f>
        <v>8</v>
      </c>
      <c r="U108" s="140">
        <f>'Input Operasional'!T112</f>
        <v>8</v>
      </c>
      <c r="V108" s="140">
        <f>'Input Operasional'!U112</f>
        <v>8</v>
      </c>
      <c r="W108" s="140">
        <f>'Input Operasional'!V112</f>
        <v>8</v>
      </c>
      <c r="X108" s="140">
        <f>'Input Operasional'!W112</f>
        <v>8</v>
      </c>
      <c r="Y108" s="140">
        <f>'Input Operasional'!X112</f>
        <v>8</v>
      </c>
      <c r="Z108" s="140">
        <f>'Input Operasional'!Y112</f>
        <v>8</v>
      </c>
      <c r="AA108" s="140">
        <f>'Input Operasional'!Z112</f>
        <v>8</v>
      </c>
      <c r="AB108" s="140">
        <f>'Input Operasional'!AA112</f>
        <v>8</v>
      </c>
      <c r="AC108" s="140">
        <f>'Input Operasional'!AB112</f>
        <v>8</v>
      </c>
      <c r="AD108" s="140">
        <f>'Input Operasional'!AC112</f>
        <v>8</v>
      </c>
      <c r="AE108" s="140">
        <f>'Input Operasional'!AD112</f>
        <v>8</v>
      </c>
      <c r="AF108" s="140">
        <f>'Input Operasional'!AE112</f>
        <v>8</v>
      </c>
      <c r="AG108" s="140">
        <f>'Input Operasional'!AF112</f>
        <v>8</v>
      </c>
    </row>
    <row r="109" spans="1:33" ht="14.25" customHeight="1" x14ac:dyDescent="0.35">
      <c r="A109" s="21"/>
      <c r="B109" s="21"/>
      <c r="C109" s="21"/>
      <c r="D109" s="128"/>
      <c r="E109" s="128"/>
      <c r="F109" s="21" t="s">
        <v>3952</v>
      </c>
      <c r="G109" s="21" t="s">
        <v>3952</v>
      </c>
      <c r="H109" s="21" t="s">
        <v>3944</v>
      </c>
      <c r="I109" s="21" t="s">
        <v>3951</v>
      </c>
      <c r="J109" s="148"/>
      <c r="K109" s="148"/>
      <c r="L109" s="148"/>
      <c r="M109" s="148"/>
      <c r="N109" s="148"/>
      <c r="O109" s="148"/>
      <c r="P109" s="148"/>
      <c r="Q109" s="148"/>
      <c r="R109" s="140">
        <f>'Input Operasional'!Q113</f>
        <v>8</v>
      </c>
      <c r="S109" s="140">
        <f>'Input Operasional'!R113</f>
        <v>8</v>
      </c>
      <c r="T109" s="140">
        <f>'Input Operasional'!S113</f>
        <v>8</v>
      </c>
      <c r="U109" s="140">
        <f>'Input Operasional'!T113</f>
        <v>8</v>
      </c>
      <c r="V109" s="140">
        <f>'Input Operasional'!U113</f>
        <v>8</v>
      </c>
      <c r="W109" s="140">
        <f>'Input Operasional'!V113</f>
        <v>8</v>
      </c>
      <c r="X109" s="140">
        <f>'Input Operasional'!W113</f>
        <v>8</v>
      </c>
      <c r="Y109" s="140">
        <f>'Input Operasional'!X113</f>
        <v>8</v>
      </c>
      <c r="Z109" s="140">
        <f>'Input Operasional'!Y113</f>
        <v>8</v>
      </c>
      <c r="AA109" s="140">
        <f>'Input Operasional'!Z113</f>
        <v>8</v>
      </c>
      <c r="AB109" s="140">
        <f>'Input Operasional'!AA113</f>
        <v>8</v>
      </c>
      <c r="AC109" s="140">
        <f>'Input Operasional'!AB113</f>
        <v>8</v>
      </c>
      <c r="AD109" s="140">
        <f>'Input Operasional'!AC113</f>
        <v>8</v>
      </c>
      <c r="AE109" s="140">
        <f>'Input Operasional'!AD113</f>
        <v>8</v>
      </c>
      <c r="AF109" s="140">
        <f>'Input Operasional'!AE113</f>
        <v>8</v>
      </c>
      <c r="AG109" s="140">
        <f>'Input Operasional'!AF113</f>
        <v>8</v>
      </c>
    </row>
    <row r="110" spans="1:33" ht="14.25" customHeight="1" x14ac:dyDescent="0.35">
      <c r="A110" s="21"/>
      <c r="B110" s="21"/>
      <c r="C110" s="21"/>
      <c r="D110" s="128"/>
      <c r="E110" s="128"/>
      <c r="F110" s="21" t="s">
        <v>3953</v>
      </c>
      <c r="G110" s="21" t="s">
        <v>3953</v>
      </c>
      <c r="H110" s="21" t="s">
        <v>3944</v>
      </c>
      <c r="I110" s="21" t="s">
        <v>3951</v>
      </c>
      <c r="J110" s="148"/>
      <c r="K110" s="148"/>
      <c r="L110" s="148"/>
      <c r="M110" s="148"/>
      <c r="N110" s="148"/>
      <c r="O110" s="148"/>
      <c r="P110" s="148"/>
      <c r="Q110" s="148"/>
      <c r="R110" s="140">
        <f>'Input Operasional'!Q114</f>
        <v>3</v>
      </c>
      <c r="S110" s="140">
        <f>'Input Operasional'!R114</f>
        <v>3</v>
      </c>
      <c r="T110" s="140">
        <f>'Input Operasional'!S114</f>
        <v>3</v>
      </c>
      <c r="U110" s="140">
        <f>'Input Operasional'!T114</f>
        <v>3</v>
      </c>
      <c r="V110" s="140">
        <f>'Input Operasional'!U114</f>
        <v>3</v>
      </c>
      <c r="W110" s="140">
        <f>'Input Operasional'!V114</f>
        <v>3</v>
      </c>
      <c r="X110" s="140">
        <f>'Input Operasional'!W114</f>
        <v>3</v>
      </c>
      <c r="Y110" s="140">
        <f>'Input Operasional'!X114</f>
        <v>3</v>
      </c>
      <c r="Z110" s="140">
        <f>'Input Operasional'!Y114</f>
        <v>3</v>
      </c>
      <c r="AA110" s="140">
        <f>'Input Operasional'!Z114</f>
        <v>3</v>
      </c>
      <c r="AB110" s="140">
        <f>'Input Operasional'!AA114</f>
        <v>3</v>
      </c>
      <c r="AC110" s="140">
        <f>'Input Operasional'!AB114</f>
        <v>3</v>
      </c>
      <c r="AD110" s="140">
        <f>'Input Operasional'!AC114</f>
        <v>3</v>
      </c>
      <c r="AE110" s="140">
        <f>'Input Operasional'!AD114</f>
        <v>3</v>
      </c>
      <c r="AF110" s="140">
        <f>'Input Operasional'!AE114</f>
        <v>3</v>
      </c>
      <c r="AG110" s="140">
        <f>'Input Operasional'!AF114</f>
        <v>3</v>
      </c>
    </row>
    <row r="111" spans="1:33" ht="14.25" customHeight="1" x14ac:dyDescent="0.35">
      <c r="A111" s="21"/>
      <c r="B111" s="21"/>
      <c r="C111" s="21"/>
      <c r="D111" s="128"/>
      <c r="E111" s="128"/>
      <c r="F111" s="21" t="s">
        <v>3954</v>
      </c>
      <c r="G111" s="21" t="s">
        <v>3954</v>
      </c>
      <c r="H111" s="21" t="s">
        <v>3944</v>
      </c>
      <c r="I111" s="21" t="s">
        <v>3951</v>
      </c>
      <c r="J111" s="148"/>
      <c r="K111" s="148"/>
      <c r="L111" s="148"/>
      <c r="M111" s="148"/>
      <c r="N111" s="148"/>
      <c r="O111" s="148"/>
      <c r="P111" s="148"/>
      <c r="Q111" s="148"/>
      <c r="R111" s="140">
        <f>'Input Operasional'!Q115</f>
        <v>1</v>
      </c>
      <c r="S111" s="140">
        <f>'Input Operasional'!R115</f>
        <v>1</v>
      </c>
      <c r="T111" s="140">
        <f>'Input Operasional'!S115</f>
        <v>1</v>
      </c>
      <c r="U111" s="140">
        <f>'Input Operasional'!T115</f>
        <v>1</v>
      </c>
      <c r="V111" s="140">
        <f>'Input Operasional'!U115</f>
        <v>1</v>
      </c>
      <c r="W111" s="140">
        <f>'Input Operasional'!V115</f>
        <v>1</v>
      </c>
      <c r="X111" s="140">
        <f>'Input Operasional'!W115</f>
        <v>1</v>
      </c>
      <c r="Y111" s="140">
        <f>'Input Operasional'!X115</f>
        <v>1</v>
      </c>
      <c r="Z111" s="140">
        <f>'Input Operasional'!Y115</f>
        <v>1</v>
      </c>
      <c r="AA111" s="140">
        <f>'Input Operasional'!Z115</f>
        <v>1</v>
      </c>
      <c r="AB111" s="140">
        <f>'Input Operasional'!AA115</f>
        <v>1</v>
      </c>
      <c r="AC111" s="140">
        <f>'Input Operasional'!AB115</f>
        <v>1</v>
      </c>
      <c r="AD111" s="140">
        <f>'Input Operasional'!AC115</f>
        <v>1</v>
      </c>
      <c r="AE111" s="140">
        <f>'Input Operasional'!AD115</f>
        <v>1</v>
      </c>
      <c r="AF111" s="140">
        <f>'Input Operasional'!AE115</f>
        <v>1</v>
      </c>
      <c r="AG111" s="140">
        <f>'Input Operasional'!AF115</f>
        <v>1</v>
      </c>
    </row>
    <row r="112" spans="1:33" ht="14.25" customHeight="1" x14ac:dyDescent="0.35">
      <c r="A112" s="21"/>
      <c r="B112" s="21"/>
      <c r="C112" s="21"/>
      <c r="D112" s="128"/>
      <c r="E112" s="128"/>
      <c r="F112" s="21" t="s">
        <v>3942</v>
      </c>
      <c r="G112" s="21" t="s">
        <v>3955</v>
      </c>
      <c r="H112" s="21" t="s">
        <v>3944</v>
      </c>
      <c r="I112" s="21" t="s">
        <v>3951</v>
      </c>
      <c r="J112" s="148"/>
      <c r="K112" s="148"/>
      <c r="L112" s="148"/>
      <c r="M112" s="148"/>
      <c r="N112" s="148"/>
      <c r="O112" s="148"/>
      <c r="P112" s="148"/>
      <c r="Q112" s="148"/>
      <c r="R112" s="140">
        <f>'Input Operasional'!Q116</f>
        <v>1</v>
      </c>
      <c r="S112" s="140">
        <f>'Input Operasional'!R116</f>
        <v>1</v>
      </c>
      <c r="T112" s="140">
        <f>'Input Operasional'!S116</f>
        <v>1</v>
      </c>
      <c r="U112" s="140">
        <f>'Input Operasional'!T116</f>
        <v>1</v>
      </c>
      <c r="V112" s="140">
        <f>'Input Operasional'!U116</f>
        <v>1</v>
      </c>
      <c r="W112" s="140">
        <f>'Input Operasional'!V116</f>
        <v>1</v>
      </c>
      <c r="X112" s="140">
        <f>'Input Operasional'!W116</f>
        <v>1</v>
      </c>
      <c r="Y112" s="140">
        <f>'Input Operasional'!X116</f>
        <v>1</v>
      </c>
      <c r="Z112" s="140">
        <f>'Input Operasional'!Y116</f>
        <v>1</v>
      </c>
      <c r="AA112" s="140">
        <f>'Input Operasional'!Z116</f>
        <v>1</v>
      </c>
      <c r="AB112" s="140">
        <f>'Input Operasional'!AA116</f>
        <v>1</v>
      </c>
      <c r="AC112" s="140">
        <f>'Input Operasional'!AB116</f>
        <v>1</v>
      </c>
      <c r="AD112" s="140">
        <f>'Input Operasional'!AC116</f>
        <v>1</v>
      </c>
      <c r="AE112" s="140">
        <f>'Input Operasional'!AD116</f>
        <v>1</v>
      </c>
      <c r="AF112" s="140">
        <f>'Input Operasional'!AE116</f>
        <v>1</v>
      </c>
      <c r="AG112" s="140">
        <f>'Input Operasional'!AF116</f>
        <v>1</v>
      </c>
    </row>
    <row r="113" spans="1:33" ht="14.25" customHeight="1" x14ac:dyDescent="0.35">
      <c r="A113" s="21"/>
      <c r="B113" s="21"/>
      <c r="C113" s="21"/>
      <c r="D113" s="128"/>
      <c r="E113" s="128"/>
      <c r="F113" s="21" t="s">
        <v>3956</v>
      </c>
      <c r="G113" s="21" t="s">
        <v>3957</v>
      </c>
      <c r="H113" s="21" t="s">
        <v>3944</v>
      </c>
      <c r="I113" s="21" t="s">
        <v>3951</v>
      </c>
      <c r="J113" s="148"/>
      <c r="K113" s="148"/>
      <c r="L113" s="148"/>
      <c r="M113" s="148"/>
      <c r="N113" s="148"/>
      <c r="O113" s="148"/>
      <c r="P113" s="148"/>
      <c r="Q113" s="148"/>
      <c r="R113" s="140">
        <f>'Input Operasional'!Q117</f>
        <v>17</v>
      </c>
      <c r="S113" s="140">
        <f>'Input Operasional'!R117</f>
        <v>17</v>
      </c>
      <c r="T113" s="140">
        <f>'Input Operasional'!S117</f>
        <v>17</v>
      </c>
      <c r="U113" s="140">
        <f>'Input Operasional'!T117</f>
        <v>17</v>
      </c>
      <c r="V113" s="140">
        <f>'Input Operasional'!U117</f>
        <v>17</v>
      </c>
      <c r="W113" s="140">
        <f>'Input Operasional'!V117</f>
        <v>17</v>
      </c>
      <c r="X113" s="140">
        <f>'Input Operasional'!W117</f>
        <v>17</v>
      </c>
      <c r="Y113" s="140">
        <f>'Input Operasional'!X117</f>
        <v>17</v>
      </c>
      <c r="Z113" s="140">
        <f>'Input Operasional'!Y117</f>
        <v>17</v>
      </c>
      <c r="AA113" s="140">
        <f>'Input Operasional'!Z117</f>
        <v>17</v>
      </c>
      <c r="AB113" s="140">
        <f>'Input Operasional'!AA117</f>
        <v>17</v>
      </c>
      <c r="AC113" s="140">
        <f>'Input Operasional'!AB117</f>
        <v>17</v>
      </c>
      <c r="AD113" s="140">
        <f>'Input Operasional'!AC117</f>
        <v>17</v>
      </c>
      <c r="AE113" s="140">
        <f>'Input Operasional'!AD117</f>
        <v>17</v>
      </c>
      <c r="AF113" s="140">
        <f>'Input Operasional'!AE117</f>
        <v>17</v>
      </c>
      <c r="AG113" s="140">
        <f>'Input Operasional'!AF117</f>
        <v>17</v>
      </c>
    </row>
    <row r="114" spans="1:33" ht="14.25" customHeight="1" x14ac:dyDescent="0.35">
      <c r="A114" s="21"/>
      <c r="B114" s="21"/>
      <c r="C114" s="21"/>
      <c r="D114" s="128"/>
      <c r="E114" s="128"/>
      <c r="F114" s="21" t="s">
        <v>3958</v>
      </c>
      <c r="G114" s="21" t="s">
        <v>3958</v>
      </c>
      <c r="H114" s="21" t="s">
        <v>3944</v>
      </c>
      <c r="I114" s="21" t="s">
        <v>3951</v>
      </c>
      <c r="J114" s="148"/>
      <c r="K114" s="148"/>
      <c r="L114" s="148"/>
      <c r="M114" s="148"/>
      <c r="N114" s="148"/>
      <c r="O114" s="148"/>
      <c r="P114" s="148"/>
      <c r="Q114" s="148"/>
      <c r="R114" s="140">
        <f>'Input Operasional'!Q118</f>
        <v>5</v>
      </c>
      <c r="S114" s="140">
        <f>'Input Operasional'!R118</f>
        <v>5</v>
      </c>
      <c r="T114" s="140">
        <f>'Input Operasional'!S118</f>
        <v>5</v>
      </c>
      <c r="U114" s="140">
        <f>'Input Operasional'!T118</f>
        <v>5</v>
      </c>
      <c r="V114" s="140">
        <f>'Input Operasional'!U118</f>
        <v>5</v>
      </c>
      <c r="W114" s="140">
        <f>'Input Operasional'!V118</f>
        <v>5</v>
      </c>
      <c r="X114" s="140">
        <f>'Input Operasional'!W118</f>
        <v>5</v>
      </c>
      <c r="Y114" s="140">
        <f>'Input Operasional'!X118</f>
        <v>5</v>
      </c>
      <c r="Z114" s="140">
        <f>'Input Operasional'!Y118</f>
        <v>5</v>
      </c>
      <c r="AA114" s="140">
        <f>'Input Operasional'!Z118</f>
        <v>5</v>
      </c>
      <c r="AB114" s="140">
        <f>'Input Operasional'!AA118</f>
        <v>5</v>
      </c>
      <c r="AC114" s="140">
        <f>'Input Operasional'!AB118</f>
        <v>5</v>
      </c>
      <c r="AD114" s="140">
        <f>'Input Operasional'!AC118</f>
        <v>5</v>
      </c>
      <c r="AE114" s="140">
        <f>'Input Operasional'!AD118</f>
        <v>5</v>
      </c>
      <c r="AF114" s="140">
        <f>'Input Operasional'!AE118</f>
        <v>5</v>
      </c>
      <c r="AG114" s="140">
        <f>'Input Operasional'!AF118</f>
        <v>5</v>
      </c>
    </row>
    <row r="115" spans="1:33" ht="14.25" customHeight="1" x14ac:dyDescent="0.35">
      <c r="A115" s="21"/>
      <c r="B115" s="21"/>
      <c r="C115" s="21"/>
      <c r="D115" s="128"/>
      <c r="E115" s="128" t="s">
        <v>3947</v>
      </c>
      <c r="F115" s="21"/>
      <c r="G115" s="21"/>
      <c r="H115" s="21"/>
      <c r="I115" s="21" t="s">
        <v>3861</v>
      </c>
      <c r="J115" s="290"/>
      <c r="K115" s="290"/>
      <c r="L115" s="290"/>
      <c r="M115" s="290"/>
      <c r="N115" s="290"/>
      <c r="O115" s="290"/>
      <c r="P115" s="290"/>
      <c r="Q115" s="290"/>
      <c r="R115" s="291">
        <v>141534</v>
      </c>
      <c r="S115" s="291">
        <v>141534</v>
      </c>
      <c r="T115" s="291">
        <v>141534</v>
      </c>
      <c r="U115" s="291">
        <v>141534</v>
      </c>
      <c r="V115" s="291">
        <v>141534</v>
      </c>
      <c r="W115" s="291">
        <v>141534</v>
      </c>
      <c r="X115" s="291">
        <v>141534</v>
      </c>
      <c r="Y115" s="291">
        <v>141534</v>
      </c>
      <c r="Z115" s="291">
        <v>141534</v>
      </c>
      <c r="AA115" s="291">
        <v>141534</v>
      </c>
      <c r="AB115" s="291">
        <v>141534</v>
      </c>
      <c r="AC115" s="291">
        <v>141534</v>
      </c>
      <c r="AD115" s="291">
        <v>141534</v>
      </c>
      <c r="AE115" s="291">
        <v>141534</v>
      </c>
      <c r="AF115" s="291">
        <v>141534</v>
      </c>
      <c r="AG115" s="291">
        <v>141534</v>
      </c>
    </row>
    <row r="116" spans="1:33" ht="14.25" customHeight="1" x14ac:dyDescent="0.35">
      <c r="A116" s="21"/>
      <c r="B116" s="21"/>
      <c r="C116" s="21"/>
      <c r="D116" s="128"/>
      <c r="E116" s="128" t="s">
        <v>3948</v>
      </c>
      <c r="F116" s="21"/>
      <c r="G116" s="21"/>
      <c r="H116" s="21"/>
      <c r="I116" s="21" t="s">
        <v>3874</v>
      </c>
      <c r="J116" s="290"/>
      <c r="K116" s="290"/>
      <c r="L116" s="290"/>
      <c r="M116" s="290"/>
      <c r="N116" s="290"/>
      <c r="O116" s="290"/>
      <c r="P116" s="290"/>
      <c r="Q116" s="290"/>
      <c r="R116" s="291">
        <v>24</v>
      </c>
      <c r="S116" s="291">
        <v>24</v>
      </c>
      <c r="T116" s="291">
        <v>24</v>
      </c>
      <c r="U116" s="291">
        <v>24</v>
      </c>
      <c r="V116" s="291">
        <v>24</v>
      </c>
      <c r="W116" s="291">
        <v>24</v>
      </c>
      <c r="X116" s="291">
        <v>24</v>
      </c>
      <c r="Y116" s="291">
        <v>24</v>
      </c>
      <c r="Z116" s="291">
        <v>24</v>
      </c>
      <c r="AA116" s="291">
        <v>24</v>
      </c>
      <c r="AB116" s="291">
        <v>24</v>
      </c>
      <c r="AC116" s="291">
        <v>24</v>
      </c>
      <c r="AD116" s="291">
        <v>24</v>
      </c>
      <c r="AE116" s="291">
        <v>24</v>
      </c>
      <c r="AF116" s="291">
        <v>24</v>
      </c>
      <c r="AG116" s="291">
        <v>24</v>
      </c>
    </row>
    <row r="117" spans="1:33" ht="14.25" customHeight="1" x14ac:dyDescent="0.35">
      <c r="A117" s="21"/>
      <c r="B117" s="21"/>
      <c r="C117" s="21"/>
      <c r="D117" s="21"/>
      <c r="E117" s="21" t="s">
        <v>3949</v>
      </c>
      <c r="F117" s="21"/>
      <c r="G117" s="21"/>
      <c r="H117" s="21"/>
      <c r="I117" s="22" t="s">
        <v>3921</v>
      </c>
      <c r="J117" s="148">
        <f t="shared" ref="J117:Q117" si="34">J93-J134-J102</f>
        <v>167990355.77088028</v>
      </c>
      <c r="K117" s="148">
        <f t="shared" si="34"/>
        <v>141806163.94031936</v>
      </c>
      <c r="L117" s="148">
        <f t="shared" si="34"/>
        <v>108430762.37878561</v>
      </c>
      <c r="M117" s="148">
        <f t="shared" si="34"/>
        <v>176191635.17668873</v>
      </c>
      <c r="N117" s="148">
        <f t="shared" si="34"/>
        <v>192005698.85715127</v>
      </c>
      <c r="O117" s="148">
        <f t="shared" si="34"/>
        <v>202219417.48048937</v>
      </c>
      <c r="P117" s="148">
        <f t="shared" si="34"/>
        <v>210497143.55503535</v>
      </c>
      <c r="Q117" s="148">
        <f t="shared" si="34"/>
        <v>209646514.21588802</v>
      </c>
      <c r="R117" s="149">
        <f t="shared" ref="R117:AG117" si="35">SUM(R106:R114)*R115*R116</f>
        <v>200412144</v>
      </c>
      <c r="S117" s="149">
        <f t="shared" si="35"/>
        <v>200412144</v>
      </c>
      <c r="T117" s="149">
        <f t="shared" si="35"/>
        <v>200412144</v>
      </c>
      <c r="U117" s="149">
        <f t="shared" si="35"/>
        <v>200412144</v>
      </c>
      <c r="V117" s="149">
        <f t="shared" si="35"/>
        <v>200412144</v>
      </c>
      <c r="W117" s="149">
        <f t="shared" si="35"/>
        <v>200412144</v>
      </c>
      <c r="X117" s="149">
        <f t="shared" si="35"/>
        <v>200412144</v>
      </c>
      <c r="Y117" s="149">
        <f t="shared" si="35"/>
        <v>200412144</v>
      </c>
      <c r="Z117" s="149">
        <f t="shared" si="35"/>
        <v>200412144</v>
      </c>
      <c r="AA117" s="149">
        <f t="shared" si="35"/>
        <v>200412144</v>
      </c>
      <c r="AB117" s="149">
        <f t="shared" si="35"/>
        <v>200412144</v>
      </c>
      <c r="AC117" s="149">
        <f t="shared" si="35"/>
        <v>200412144</v>
      </c>
      <c r="AD117" s="149">
        <f t="shared" si="35"/>
        <v>200412144</v>
      </c>
      <c r="AE117" s="149">
        <f t="shared" si="35"/>
        <v>200412144</v>
      </c>
      <c r="AF117" s="149">
        <f t="shared" si="35"/>
        <v>200412144</v>
      </c>
      <c r="AG117" s="149">
        <f t="shared" si="35"/>
        <v>200412144</v>
      </c>
    </row>
    <row r="118" spans="1:33" ht="14.25" customHeight="1" x14ac:dyDescent="0.35">
      <c r="A118" s="21"/>
      <c r="B118" s="21"/>
      <c r="C118" s="21"/>
      <c r="D118" s="128"/>
      <c r="E118" s="21" t="s">
        <v>3959</v>
      </c>
      <c r="F118" s="21"/>
      <c r="G118" s="21"/>
      <c r="H118" s="21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</row>
    <row r="119" spans="1:33" ht="14.25" customHeight="1" x14ac:dyDescent="0.35">
      <c r="A119" s="21"/>
      <c r="B119" s="21"/>
      <c r="C119" s="21"/>
      <c r="D119" s="128"/>
      <c r="E119" s="155" t="s">
        <v>3938</v>
      </c>
      <c r="F119" s="21"/>
      <c r="G119" s="21"/>
      <c r="H119" s="21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</row>
    <row r="120" spans="1:33" ht="14.25" customHeight="1" x14ac:dyDescent="0.35">
      <c r="A120" s="21"/>
      <c r="B120" s="21"/>
      <c r="C120" s="21"/>
      <c r="D120" s="128"/>
      <c r="E120" s="128"/>
      <c r="F120" s="21" t="s">
        <v>3939</v>
      </c>
      <c r="G120" s="21" t="s">
        <v>3940</v>
      </c>
      <c r="H120" s="21" t="s">
        <v>338</v>
      </c>
      <c r="I120" s="21" t="s">
        <v>3889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</row>
    <row r="121" spans="1:33" ht="14.25" customHeight="1" x14ac:dyDescent="0.35">
      <c r="A121" s="21"/>
      <c r="B121" s="21"/>
      <c r="C121" s="21"/>
      <c r="D121" s="128"/>
      <c r="E121" s="128"/>
      <c r="F121" s="21" t="s">
        <v>3942</v>
      </c>
      <c r="G121" s="21" t="s">
        <v>3943</v>
      </c>
      <c r="H121" s="21" t="s">
        <v>3960</v>
      </c>
      <c r="I121" s="31">
        <f>'Input Operasional'!Q119</f>
        <v>1</v>
      </c>
      <c r="J121" s="148"/>
      <c r="K121" s="148"/>
      <c r="L121" s="148"/>
      <c r="M121" s="148"/>
      <c r="N121" s="148"/>
      <c r="O121" s="148"/>
      <c r="P121" s="148"/>
      <c r="Q121" s="157">
        <v>4198000</v>
      </c>
      <c r="R121" s="158">
        <f t="shared" ref="R121:AG121" si="36">Q121</f>
        <v>4198000</v>
      </c>
      <c r="S121" s="158">
        <f t="shared" si="36"/>
        <v>4198000</v>
      </c>
      <c r="T121" s="158">
        <f t="shared" si="36"/>
        <v>4198000</v>
      </c>
      <c r="U121" s="158">
        <f t="shared" si="36"/>
        <v>4198000</v>
      </c>
      <c r="V121" s="158">
        <f t="shared" si="36"/>
        <v>4198000</v>
      </c>
      <c r="W121" s="158">
        <f t="shared" si="36"/>
        <v>4198000</v>
      </c>
      <c r="X121" s="158">
        <f t="shared" si="36"/>
        <v>4198000</v>
      </c>
      <c r="Y121" s="158">
        <f t="shared" si="36"/>
        <v>4198000</v>
      </c>
      <c r="Z121" s="158">
        <f t="shared" si="36"/>
        <v>4198000</v>
      </c>
      <c r="AA121" s="158">
        <f t="shared" si="36"/>
        <v>4198000</v>
      </c>
      <c r="AB121" s="158">
        <f t="shared" si="36"/>
        <v>4198000</v>
      </c>
      <c r="AC121" s="158">
        <f t="shared" si="36"/>
        <v>4198000</v>
      </c>
      <c r="AD121" s="158">
        <f t="shared" si="36"/>
        <v>4198000</v>
      </c>
      <c r="AE121" s="158">
        <f t="shared" si="36"/>
        <v>4198000</v>
      </c>
      <c r="AF121" s="158">
        <f t="shared" si="36"/>
        <v>4198000</v>
      </c>
      <c r="AG121" s="158">
        <f t="shared" si="36"/>
        <v>4198000</v>
      </c>
    </row>
    <row r="122" spans="1:33" ht="14.25" customHeight="1" x14ac:dyDescent="0.35">
      <c r="A122" s="21"/>
      <c r="B122" s="21"/>
      <c r="C122" s="21"/>
      <c r="D122" s="128"/>
      <c r="E122" s="128"/>
      <c r="F122" s="21" t="s">
        <v>3942</v>
      </c>
      <c r="G122" s="21" t="s">
        <v>3945</v>
      </c>
      <c r="H122" s="21" t="s">
        <v>3960</v>
      </c>
      <c r="I122" s="31">
        <f>'Input Operasional'!Q120</f>
        <v>4</v>
      </c>
      <c r="J122" s="148"/>
      <c r="K122" s="148"/>
      <c r="L122" s="148"/>
      <c r="M122" s="148"/>
      <c r="N122" s="148"/>
      <c r="O122" s="148"/>
      <c r="P122" s="148"/>
      <c r="Q122" s="157">
        <v>15483994</v>
      </c>
      <c r="R122" s="158">
        <f t="shared" ref="R122:AG122" si="37">Q122</f>
        <v>15483994</v>
      </c>
      <c r="S122" s="158">
        <f t="shared" si="37"/>
        <v>15483994</v>
      </c>
      <c r="T122" s="158">
        <f t="shared" si="37"/>
        <v>15483994</v>
      </c>
      <c r="U122" s="158">
        <f t="shared" si="37"/>
        <v>15483994</v>
      </c>
      <c r="V122" s="158">
        <f t="shared" si="37"/>
        <v>15483994</v>
      </c>
      <c r="W122" s="158">
        <f t="shared" si="37"/>
        <v>15483994</v>
      </c>
      <c r="X122" s="158">
        <f t="shared" si="37"/>
        <v>15483994</v>
      </c>
      <c r="Y122" s="158">
        <f t="shared" si="37"/>
        <v>15483994</v>
      </c>
      <c r="Z122" s="158">
        <f t="shared" si="37"/>
        <v>15483994</v>
      </c>
      <c r="AA122" s="158">
        <f t="shared" si="37"/>
        <v>15483994</v>
      </c>
      <c r="AB122" s="158">
        <f t="shared" si="37"/>
        <v>15483994</v>
      </c>
      <c r="AC122" s="158">
        <f t="shared" si="37"/>
        <v>15483994</v>
      </c>
      <c r="AD122" s="158">
        <f t="shared" si="37"/>
        <v>15483994</v>
      </c>
      <c r="AE122" s="158">
        <f t="shared" si="37"/>
        <v>15483994</v>
      </c>
      <c r="AF122" s="158">
        <f t="shared" si="37"/>
        <v>15483994</v>
      </c>
      <c r="AG122" s="158">
        <f t="shared" si="37"/>
        <v>15483994</v>
      </c>
    </row>
    <row r="123" spans="1:33" ht="14.25" customHeight="1" x14ac:dyDescent="0.35">
      <c r="A123" s="21"/>
      <c r="B123" s="21"/>
      <c r="C123" s="21"/>
      <c r="D123" s="128"/>
      <c r="E123" s="128"/>
      <c r="F123" s="21" t="s">
        <v>3942</v>
      </c>
      <c r="G123" s="21" t="s">
        <v>3946</v>
      </c>
      <c r="H123" s="21" t="s">
        <v>3960</v>
      </c>
      <c r="I123" s="31">
        <f>'Input Operasional'!Q121</f>
        <v>2</v>
      </c>
      <c r="J123" s="148"/>
      <c r="K123" s="148"/>
      <c r="L123" s="148"/>
      <c r="M123" s="148"/>
      <c r="N123" s="148"/>
      <c r="O123" s="148"/>
      <c r="P123" s="148"/>
      <c r="Q123" s="157">
        <v>5062218.6451612897</v>
      </c>
      <c r="R123" s="158">
        <f t="shared" ref="R123:AG123" si="38">Q123</f>
        <v>5062218.6451612897</v>
      </c>
      <c r="S123" s="158">
        <f t="shared" si="38"/>
        <v>5062218.6451612897</v>
      </c>
      <c r="T123" s="158">
        <f t="shared" si="38"/>
        <v>5062218.6451612897</v>
      </c>
      <c r="U123" s="158">
        <f t="shared" si="38"/>
        <v>5062218.6451612897</v>
      </c>
      <c r="V123" s="158">
        <f t="shared" si="38"/>
        <v>5062218.6451612897</v>
      </c>
      <c r="W123" s="158">
        <f t="shared" si="38"/>
        <v>5062218.6451612897</v>
      </c>
      <c r="X123" s="158">
        <f t="shared" si="38"/>
        <v>5062218.6451612897</v>
      </c>
      <c r="Y123" s="158">
        <f t="shared" si="38"/>
        <v>5062218.6451612897</v>
      </c>
      <c r="Z123" s="158">
        <f t="shared" si="38"/>
        <v>5062218.6451612897</v>
      </c>
      <c r="AA123" s="158">
        <f t="shared" si="38"/>
        <v>5062218.6451612897</v>
      </c>
      <c r="AB123" s="158">
        <f t="shared" si="38"/>
        <v>5062218.6451612897</v>
      </c>
      <c r="AC123" s="158">
        <f t="shared" si="38"/>
        <v>5062218.6451612897</v>
      </c>
      <c r="AD123" s="158">
        <f t="shared" si="38"/>
        <v>5062218.6451612897</v>
      </c>
      <c r="AE123" s="158">
        <f t="shared" si="38"/>
        <v>5062218.6451612897</v>
      </c>
      <c r="AF123" s="158">
        <f t="shared" si="38"/>
        <v>5062218.6451612897</v>
      </c>
      <c r="AG123" s="158">
        <f t="shared" si="38"/>
        <v>5062218.6451612897</v>
      </c>
    </row>
    <row r="124" spans="1:33" ht="14.25" customHeight="1" x14ac:dyDescent="0.35">
      <c r="A124" s="21"/>
      <c r="B124" s="21"/>
      <c r="C124" s="21"/>
      <c r="D124" s="128"/>
      <c r="E124" s="128"/>
      <c r="F124" s="21" t="s">
        <v>3942</v>
      </c>
      <c r="G124" s="21" t="s">
        <v>3961</v>
      </c>
      <c r="H124" s="21" t="s">
        <v>3960</v>
      </c>
      <c r="I124" s="31">
        <f>'Input Operasional'!Q122</f>
        <v>1</v>
      </c>
      <c r="J124" s="148"/>
      <c r="K124" s="148"/>
      <c r="L124" s="148"/>
      <c r="M124" s="148"/>
      <c r="N124" s="148"/>
      <c r="O124" s="148"/>
      <c r="P124" s="148"/>
      <c r="Q124" s="157">
        <v>8506000</v>
      </c>
      <c r="R124" s="158">
        <f t="shared" ref="R124:AG124" si="39">Q124</f>
        <v>8506000</v>
      </c>
      <c r="S124" s="158">
        <f t="shared" si="39"/>
        <v>8506000</v>
      </c>
      <c r="T124" s="158">
        <f t="shared" si="39"/>
        <v>8506000</v>
      </c>
      <c r="U124" s="158">
        <f t="shared" si="39"/>
        <v>8506000</v>
      </c>
      <c r="V124" s="158">
        <f t="shared" si="39"/>
        <v>8506000</v>
      </c>
      <c r="W124" s="158">
        <f t="shared" si="39"/>
        <v>8506000</v>
      </c>
      <c r="X124" s="158">
        <f t="shared" si="39"/>
        <v>8506000</v>
      </c>
      <c r="Y124" s="158">
        <f t="shared" si="39"/>
        <v>8506000</v>
      </c>
      <c r="Z124" s="158">
        <f t="shared" si="39"/>
        <v>8506000</v>
      </c>
      <c r="AA124" s="158">
        <f t="shared" si="39"/>
        <v>8506000</v>
      </c>
      <c r="AB124" s="158">
        <f t="shared" si="39"/>
        <v>8506000</v>
      </c>
      <c r="AC124" s="158">
        <f t="shared" si="39"/>
        <v>8506000</v>
      </c>
      <c r="AD124" s="158">
        <f t="shared" si="39"/>
        <v>8506000</v>
      </c>
      <c r="AE124" s="158">
        <f t="shared" si="39"/>
        <v>8506000</v>
      </c>
      <c r="AF124" s="158">
        <f t="shared" si="39"/>
        <v>8506000</v>
      </c>
      <c r="AG124" s="158">
        <f t="shared" si="39"/>
        <v>8506000</v>
      </c>
    </row>
    <row r="125" spans="1:33" ht="14.25" customHeight="1" x14ac:dyDescent="0.35">
      <c r="A125" s="21"/>
      <c r="B125" s="21"/>
      <c r="C125" s="21"/>
      <c r="D125" s="128"/>
      <c r="E125" s="128"/>
      <c r="F125" s="21" t="s">
        <v>3962</v>
      </c>
      <c r="G125" s="21" t="s">
        <v>3962</v>
      </c>
      <c r="H125" s="21" t="s">
        <v>3960</v>
      </c>
      <c r="I125" s="31">
        <f>'Input Operasional'!Q123</f>
        <v>1</v>
      </c>
      <c r="J125" s="148"/>
      <c r="K125" s="148"/>
      <c r="L125" s="148"/>
      <c r="M125" s="148"/>
      <c r="N125" s="148"/>
      <c r="O125" s="148"/>
      <c r="P125" s="148"/>
      <c r="Q125" s="157">
        <v>3835000</v>
      </c>
      <c r="R125" s="158">
        <f t="shared" ref="R125:AG125" si="40">Q125</f>
        <v>3835000</v>
      </c>
      <c r="S125" s="158">
        <f t="shared" si="40"/>
        <v>3835000</v>
      </c>
      <c r="T125" s="158">
        <f t="shared" si="40"/>
        <v>3835000</v>
      </c>
      <c r="U125" s="158">
        <f t="shared" si="40"/>
        <v>3835000</v>
      </c>
      <c r="V125" s="158">
        <f t="shared" si="40"/>
        <v>3835000</v>
      </c>
      <c r="W125" s="158">
        <f t="shared" si="40"/>
        <v>3835000</v>
      </c>
      <c r="X125" s="158">
        <f t="shared" si="40"/>
        <v>3835000</v>
      </c>
      <c r="Y125" s="158">
        <f t="shared" si="40"/>
        <v>3835000</v>
      </c>
      <c r="Z125" s="158">
        <f t="shared" si="40"/>
        <v>3835000</v>
      </c>
      <c r="AA125" s="158">
        <f t="shared" si="40"/>
        <v>3835000</v>
      </c>
      <c r="AB125" s="158">
        <f t="shared" si="40"/>
        <v>3835000</v>
      </c>
      <c r="AC125" s="158">
        <f t="shared" si="40"/>
        <v>3835000</v>
      </c>
      <c r="AD125" s="158">
        <f t="shared" si="40"/>
        <v>3835000</v>
      </c>
      <c r="AE125" s="158">
        <f t="shared" si="40"/>
        <v>3835000</v>
      </c>
      <c r="AF125" s="158">
        <f t="shared" si="40"/>
        <v>3835000</v>
      </c>
      <c r="AG125" s="158">
        <f t="shared" si="40"/>
        <v>3835000</v>
      </c>
    </row>
    <row r="126" spans="1:33" ht="14.25" customHeight="1" x14ac:dyDescent="0.35">
      <c r="A126" s="21"/>
      <c r="B126" s="21"/>
      <c r="C126" s="21"/>
      <c r="D126" s="128"/>
      <c r="E126" s="128"/>
      <c r="F126" s="21" t="s">
        <v>3952</v>
      </c>
      <c r="G126" s="21" t="s">
        <v>3952</v>
      </c>
      <c r="H126" s="21" t="s">
        <v>3960</v>
      </c>
      <c r="I126" s="31">
        <f>'Input Operasional'!Q124</f>
        <v>6</v>
      </c>
      <c r="J126" s="148"/>
      <c r="K126" s="148"/>
      <c r="L126" s="148"/>
      <c r="M126" s="148"/>
      <c r="N126" s="148"/>
      <c r="O126" s="148"/>
      <c r="P126" s="148"/>
      <c r="Q126" s="157">
        <v>33006988</v>
      </c>
      <c r="R126" s="158">
        <f t="shared" ref="R126:AG126" si="41">Q126</f>
        <v>33006988</v>
      </c>
      <c r="S126" s="158">
        <f t="shared" si="41"/>
        <v>33006988</v>
      </c>
      <c r="T126" s="158">
        <f t="shared" si="41"/>
        <v>33006988</v>
      </c>
      <c r="U126" s="158">
        <f t="shared" si="41"/>
        <v>33006988</v>
      </c>
      <c r="V126" s="158">
        <f t="shared" si="41"/>
        <v>33006988</v>
      </c>
      <c r="W126" s="158">
        <f t="shared" si="41"/>
        <v>33006988</v>
      </c>
      <c r="X126" s="158">
        <f t="shared" si="41"/>
        <v>33006988</v>
      </c>
      <c r="Y126" s="158">
        <f t="shared" si="41"/>
        <v>33006988</v>
      </c>
      <c r="Z126" s="158">
        <f t="shared" si="41"/>
        <v>33006988</v>
      </c>
      <c r="AA126" s="158">
        <f t="shared" si="41"/>
        <v>33006988</v>
      </c>
      <c r="AB126" s="158">
        <f t="shared" si="41"/>
        <v>33006988</v>
      </c>
      <c r="AC126" s="158">
        <f t="shared" si="41"/>
        <v>33006988</v>
      </c>
      <c r="AD126" s="158">
        <f t="shared" si="41"/>
        <v>33006988</v>
      </c>
      <c r="AE126" s="158">
        <f t="shared" si="41"/>
        <v>33006988</v>
      </c>
      <c r="AF126" s="158">
        <f t="shared" si="41"/>
        <v>33006988</v>
      </c>
      <c r="AG126" s="158">
        <f t="shared" si="41"/>
        <v>33006988</v>
      </c>
    </row>
    <row r="127" spans="1:33" ht="14.25" customHeight="1" x14ac:dyDescent="0.35">
      <c r="A127" s="21"/>
      <c r="B127" s="21"/>
      <c r="C127" s="21"/>
      <c r="D127" s="128"/>
      <c r="E127" s="128"/>
      <c r="F127" s="21" t="s">
        <v>3953</v>
      </c>
      <c r="G127" s="21" t="s">
        <v>3953</v>
      </c>
      <c r="H127" s="21" t="s">
        <v>3960</v>
      </c>
      <c r="I127" s="31">
        <f>'Input Operasional'!Q125</f>
        <v>1</v>
      </c>
      <c r="J127" s="148"/>
      <c r="K127" s="148"/>
      <c r="L127" s="148"/>
      <c r="M127" s="148"/>
      <c r="N127" s="148"/>
      <c r="O127" s="148"/>
      <c r="P127" s="148"/>
      <c r="Q127" s="157">
        <v>3825000</v>
      </c>
      <c r="R127" s="158">
        <f t="shared" ref="R127:AG127" si="42">Q127</f>
        <v>3825000</v>
      </c>
      <c r="S127" s="158">
        <f t="shared" si="42"/>
        <v>3825000</v>
      </c>
      <c r="T127" s="158">
        <f t="shared" si="42"/>
        <v>3825000</v>
      </c>
      <c r="U127" s="158">
        <f t="shared" si="42"/>
        <v>3825000</v>
      </c>
      <c r="V127" s="158">
        <f t="shared" si="42"/>
        <v>3825000</v>
      </c>
      <c r="W127" s="158">
        <f t="shared" si="42"/>
        <v>3825000</v>
      </c>
      <c r="X127" s="158">
        <f t="shared" si="42"/>
        <v>3825000</v>
      </c>
      <c r="Y127" s="158">
        <f t="shared" si="42"/>
        <v>3825000</v>
      </c>
      <c r="Z127" s="158">
        <f t="shared" si="42"/>
        <v>3825000</v>
      </c>
      <c r="AA127" s="158">
        <f t="shared" si="42"/>
        <v>3825000</v>
      </c>
      <c r="AB127" s="158">
        <f t="shared" si="42"/>
        <v>3825000</v>
      </c>
      <c r="AC127" s="158">
        <f t="shared" si="42"/>
        <v>3825000</v>
      </c>
      <c r="AD127" s="158">
        <f t="shared" si="42"/>
        <v>3825000</v>
      </c>
      <c r="AE127" s="158">
        <f t="shared" si="42"/>
        <v>3825000</v>
      </c>
      <c r="AF127" s="158">
        <f t="shared" si="42"/>
        <v>3825000</v>
      </c>
      <c r="AG127" s="158">
        <f t="shared" si="42"/>
        <v>3825000</v>
      </c>
    </row>
    <row r="128" spans="1:33" ht="14.25" customHeight="1" x14ac:dyDescent="0.35">
      <c r="A128" s="21"/>
      <c r="B128" s="21"/>
      <c r="C128" s="21"/>
      <c r="D128" s="128"/>
      <c r="E128" s="128"/>
      <c r="F128" s="21" t="s">
        <v>3954</v>
      </c>
      <c r="G128" s="21" t="s">
        <v>3954</v>
      </c>
      <c r="H128" s="21" t="s">
        <v>3960</v>
      </c>
      <c r="I128" s="31">
        <f>'Input Operasional'!Q126</f>
        <v>1</v>
      </c>
      <c r="J128" s="148"/>
      <c r="K128" s="148"/>
      <c r="L128" s="148"/>
      <c r="M128" s="148"/>
      <c r="N128" s="148"/>
      <c r="O128" s="148"/>
      <c r="P128" s="148"/>
      <c r="Q128" s="157">
        <v>4565000</v>
      </c>
      <c r="R128" s="158">
        <f t="shared" ref="R128:AG128" si="43">Q128</f>
        <v>4565000</v>
      </c>
      <c r="S128" s="158">
        <f t="shared" si="43"/>
        <v>4565000</v>
      </c>
      <c r="T128" s="158">
        <f t="shared" si="43"/>
        <v>4565000</v>
      </c>
      <c r="U128" s="158">
        <f t="shared" si="43"/>
        <v>4565000</v>
      </c>
      <c r="V128" s="158">
        <f t="shared" si="43"/>
        <v>4565000</v>
      </c>
      <c r="W128" s="158">
        <f t="shared" si="43"/>
        <v>4565000</v>
      </c>
      <c r="X128" s="158">
        <f t="shared" si="43"/>
        <v>4565000</v>
      </c>
      <c r="Y128" s="158">
        <f t="shared" si="43"/>
        <v>4565000</v>
      </c>
      <c r="Z128" s="158">
        <f t="shared" si="43"/>
        <v>4565000</v>
      </c>
      <c r="AA128" s="158">
        <f t="shared" si="43"/>
        <v>4565000</v>
      </c>
      <c r="AB128" s="158">
        <f t="shared" si="43"/>
        <v>4565000</v>
      </c>
      <c r="AC128" s="158">
        <f t="shared" si="43"/>
        <v>4565000</v>
      </c>
      <c r="AD128" s="158">
        <f t="shared" si="43"/>
        <v>4565000</v>
      </c>
      <c r="AE128" s="158">
        <f t="shared" si="43"/>
        <v>4565000</v>
      </c>
      <c r="AF128" s="158">
        <f t="shared" si="43"/>
        <v>4565000</v>
      </c>
      <c r="AG128" s="158">
        <f t="shared" si="43"/>
        <v>4565000</v>
      </c>
    </row>
    <row r="129" spans="1:33" ht="14.25" customHeight="1" x14ac:dyDescent="0.35">
      <c r="A129" s="21"/>
      <c r="B129" s="21"/>
      <c r="C129" s="21"/>
      <c r="D129" s="128"/>
      <c r="E129" s="128"/>
      <c r="F129" s="21" t="s">
        <v>3963</v>
      </c>
      <c r="G129" s="21" t="s">
        <v>3963</v>
      </c>
      <c r="H129" s="21" t="s">
        <v>3960</v>
      </c>
      <c r="I129" s="31">
        <f>'Input Operasional'!Q127</f>
        <v>3</v>
      </c>
      <c r="J129" s="148"/>
      <c r="K129" s="148"/>
      <c r="L129" s="148"/>
      <c r="M129" s="148"/>
      <c r="N129" s="148"/>
      <c r="O129" s="148"/>
      <c r="P129" s="148"/>
      <c r="Q129" s="157">
        <v>11583994</v>
      </c>
      <c r="R129" s="158">
        <f t="shared" ref="R129:AG129" si="44">Q129</f>
        <v>11583994</v>
      </c>
      <c r="S129" s="158">
        <f t="shared" si="44"/>
        <v>11583994</v>
      </c>
      <c r="T129" s="158">
        <f t="shared" si="44"/>
        <v>11583994</v>
      </c>
      <c r="U129" s="158">
        <f t="shared" si="44"/>
        <v>11583994</v>
      </c>
      <c r="V129" s="158">
        <f t="shared" si="44"/>
        <v>11583994</v>
      </c>
      <c r="W129" s="158">
        <f t="shared" si="44"/>
        <v>11583994</v>
      </c>
      <c r="X129" s="158">
        <f t="shared" si="44"/>
        <v>11583994</v>
      </c>
      <c r="Y129" s="158">
        <f t="shared" si="44"/>
        <v>11583994</v>
      </c>
      <c r="Z129" s="158">
        <f t="shared" si="44"/>
        <v>11583994</v>
      </c>
      <c r="AA129" s="158">
        <f t="shared" si="44"/>
        <v>11583994</v>
      </c>
      <c r="AB129" s="158">
        <f t="shared" si="44"/>
        <v>11583994</v>
      </c>
      <c r="AC129" s="158">
        <f t="shared" si="44"/>
        <v>11583994</v>
      </c>
      <c r="AD129" s="158">
        <f t="shared" si="44"/>
        <v>11583994</v>
      </c>
      <c r="AE129" s="158">
        <f t="shared" si="44"/>
        <v>11583994</v>
      </c>
      <c r="AF129" s="158">
        <f t="shared" si="44"/>
        <v>11583994</v>
      </c>
      <c r="AG129" s="158">
        <f t="shared" si="44"/>
        <v>11583994</v>
      </c>
    </row>
    <row r="130" spans="1:33" ht="14.25" customHeight="1" x14ac:dyDescent="0.35">
      <c r="A130" s="21"/>
      <c r="B130" s="21"/>
      <c r="C130" s="21"/>
      <c r="D130" s="128"/>
      <c r="E130" s="128"/>
      <c r="F130" s="21" t="s">
        <v>3956</v>
      </c>
      <c r="G130" s="21" t="s">
        <v>3957</v>
      </c>
      <c r="H130" s="21" t="s">
        <v>3960</v>
      </c>
      <c r="I130" s="31">
        <f>'Input Operasional'!Q128</f>
        <v>4</v>
      </c>
      <c r="J130" s="148"/>
      <c r="K130" s="148"/>
      <c r="L130" s="148"/>
      <c r="M130" s="148"/>
      <c r="N130" s="148"/>
      <c r="O130" s="148"/>
      <c r="P130" s="148"/>
      <c r="Q130" s="157">
        <v>12139636.838709701</v>
      </c>
      <c r="R130" s="158">
        <f t="shared" ref="R130:AG130" si="45">Q130</f>
        <v>12139636.838709701</v>
      </c>
      <c r="S130" s="158">
        <f t="shared" si="45"/>
        <v>12139636.838709701</v>
      </c>
      <c r="T130" s="158">
        <f t="shared" si="45"/>
        <v>12139636.838709701</v>
      </c>
      <c r="U130" s="158">
        <f t="shared" si="45"/>
        <v>12139636.838709701</v>
      </c>
      <c r="V130" s="158">
        <f t="shared" si="45"/>
        <v>12139636.838709701</v>
      </c>
      <c r="W130" s="158">
        <f t="shared" si="45"/>
        <v>12139636.838709701</v>
      </c>
      <c r="X130" s="158">
        <f t="shared" si="45"/>
        <v>12139636.838709701</v>
      </c>
      <c r="Y130" s="158">
        <f t="shared" si="45"/>
        <v>12139636.838709701</v>
      </c>
      <c r="Z130" s="158">
        <f t="shared" si="45"/>
        <v>12139636.838709701</v>
      </c>
      <c r="AA130" s="158">
        <f t="shared" si="45"/>
        <v>12139636.838709701</v>
      </c>
      <c r="AB130" s="158">
        <f t="shared" si="45"/>
        <v>12139636.838709701</v>
      </c>
      <c r="AC130" s="158">
        <f t="shared" si="45"/>
        <v>12139636.838709701</v>
      </c>
      <c r="AD130" s="158">
        <f t="shared" si="45"/>
        <v>12139636.838709701</v>
      </c>
      <c r="AE130" s="158">
        <f t="shared" si="45"/>
        <v>12139636.838709701</v>
      </c>
      <c r="AF130" s="158">
        <f t="shared" si="45"/>
        <v>12139636.838709701</v>
      </c>
      <c r="AG130" s="158">
        <f t="shared" si="45"/>
        <v>12139636.838709701</v>
      </c>
    </row>
    <row r="131" spans="1:33" ht="14.25" customHeight="1" x14ac:dyDescent="0.35">
      <c r="A131" s="21"/>
      <c r="B131" s="21"/>
      <c r="C131" s="21"/>
      <c r="D131" s="128"/>
      <c r="E131" s="128"/>
      <c r="F131" s="21" t="s">
        <v>3956</v>
      </c>
      <c r="G131" s="21" t="s">
        <v>3964</v>
      </c>
      <c r="H131" s="21" t="s">
        <v>3960</v>
      </c>
      <c r="I131" s="31">
        <f>'Input Operasional'!Q129</f>
        <v>3</v>
      </c>
      <c r="J131" s="148"/>
      <c r="K131" s="148"/>
      <c r="L131" s="148"/>
      <c r="M131" s="148"/>
      <c r="N131" s="148"/>
      <c r="O131" s="148"/>
      <c r="P131" s="148"/>
      <c r="Q131" s="157">
        <v>8775573.4838709608</v>
      </c>
      <c r="R131" s="158">
        <f t="shared" ref="R131:AG131" si="46">Q131</f>
        <v>8775573.4838709608</v>
      </c>
      <c r="S131" s="158">
        <f t="shared" si="46"/>
        <v>8775573.4838709608</v>
      </c>
      <c r="T131" s="158">
        <f t="shared" si="46"/>
        <v>8775573.4838709608</v>
      </c>
      <c r="U131" s="158">
        <f t="shared" si="46"/>
        <v>8775573.4838709608</v>
      </c>
      <c r="V131" s="158">
        <f t="shared" si="46"/>
        <v>8775573.4838709608</v>
      </c>
      <c r="W131" s="158">
        <f t="shared" si="46"/>
        <v>8775573.4838709608</v>
      </c>
      <c r="X131" s="158">
        <f t="shared" si="46"/>
        <v>8775573.4838709608</v>
      </c>
      <c r="Y131" s="158">
        <f t="shared" si="46"/>
        <v>8775573.4838709608</v>
      </c>
      <c r="Z131" s="158">
        <f t="shared" si="46"/>
        <v>8775573.4838709608</v>
      </c>
      <c r="AA131" s="158">
        <f t="shared" si="46"/>
        <v>8775573.4838709608</v>
      </c>
      <c r="AB131" s="158">
        <f t="shared" si="46"/>
        <v>8775573.4838709608</v>
      </c>
      <c r="AC131" s="158">
        <f t="shared" si="46"/>
        <v>8775573.4838709608</v>
      </c>
      <c r="AD131" s="158">
        <f t="shared" si="46"/>
        <v>8775573.4838709608</v>
      </c>
      <c r="AE131" s="158">
        <f t="shared" si="46"/>
        <v>8775573.4838709608</v>
      </c>
      <c r="AF131" s="158">
        <f t="shared" si="46"/>
        <v>8775573.4838709608</v>
      </c>
      <c r="AG131" s="158">
        <f t="shared" si="46"/>
        <v>8775573.4838709608</v>
      </c>
    </row>
    <row r="132" spans="1:33" ht="14.25" customHeight="1" x14ac:dyDescent="0.35">
      <c r="A132" s="21"/>
      <c r="B132" s="21"/>
      <c r="C132" s="21"/>
      <c r="D132" s="128"/>
      <c r="E132" s="128"/>
      <c r="F132" s="21" t="s">
        <v>3965</v>
      </c>
      <c r="G132" s="21" t="s">
        <v>3965</v>
      </c>
      <c r="H132" s="21" t="s">
        <v>3960</v>
      </c>
      <c r="I132" s="31">
        <f>'Input Operasional'!Q130</f>
        <v>2</v>
      </c>
      <c r="J132" s="148"/>
      <c r="K132" s="148"/>
      <c r="L132" s="148"/>
      <c r="M132" s="148"/>
      <c r="N132" s="148"/>
      <c r="O132" s="148"/>
      <c r="P132" s="148"/>
      <c r="Q132" s="157">
        <v>10937000</v>
      </c>
      <c r="R132" s="158">
        <f t="shared" ref="R132:AG132" si="47">Q132</f>
        <v>10937000</v>
      </c>
      <c r="S132" s="158">
        <f t="shared" si="47"/>
        <v>10937000</v>
      </c>
      <c r="T132" s="158">
        <f t="shared" si="47"/>
        <v>10937000</v>
      </c>
      <c r="U132" s="158">
        <f t="shared" si="47"/>
        <v>10937000</v>
      </c>
      <c r="V132" s="158">
        <f t="shared" si="47"/>
        <v>10937000</v>
      </c>
      <c r="W132" s="158">
        <f t="shared" si="47"/>
        <v>10937000</v>
      </c>
      <c r="X132" s="158">
        <f t="shared" si="47"/>
        <v>10937000</v>
      </c>
      <c r="Y132" s="158">
        <f t="shared" si="47"/>
        <v>10937000</v>
      </c>
      <c r="Z132" s="158">
        <f t="shared" si="47"/>
        <v>10937000</v>
      </c>
      <c r="AA132" s="158">
        <f t="shared" si="47"/>
        <v>10937000</v>
      </c>
      <c r="AB132" s="158">
        <f t="shared" si="47"/>
        <v>10937000</v>
      </c>
      <c r="AC132" s="158">
        <f t="shared" si="47"/>
        <v>10937000</v>
      </c>
      <c r="AD132" s="158">
        <f t="shared" si="47"/>
        <v>10937000</v>
      </c>
      <c r="AE132" s="158">
        <f t="shared" si="47"/>
        <v>10937000</v>
      </c>
      <c r="AF132" s="158">
        <f t="shared" si="47"/>
        <v>10937000</v>
      </c>
      <c r="AG132" s="158">
        <f t="shared" si="47"/>
        <v>10937000</v>
      </c>
    </row>
    <row r="133" spans="1:33" ht="14.25" customHeight="1" x14ac:dyDescent="0.35">
      <c r="A133" s="21"/>
      <c r="B133" s="21"/>
      <c r="C133" s="21"/>
      <c r="D133" s="128"/>
      <c r="E133" s="128"/>
      <c r="F133" s="21" t="s">
        <v>3958</v>
      </c>
      <c r="G133" s="21" t="s">
        <v>3958</v>
      </c>
      <c r="H133" s="21" t="s">
        <v>3960</v>
      </c>
      <c r="I133" s="31">
        <f>'Input Operasional'!Q131</f>
        <v>5</v>
      </c>
      <c r="J133" s="148"/>
      <c r="K133" s="148"/>
      <c r="L133" s="148"/>
      <c r="M133" s="148"/>
      <c r="N133" s="148"/>
      <c r="O133" s="148"/>
      <c r="P133" s="148"/>
      <c r="Q133" s="157">
        <v>18761482</v>
      </c>
      <c r="R133" s="158">
        <f t="shared" ref="R133:AG133" si="48">Q133</f>
        <v>18761482</v>
      </c>
      <c r="S133" s="158">
        <f t="shared" si="48"/>
        <v>18761482</v>
      </c>
      <c r="T133" s="158">
        <f t="shared" si="48"/>
        <v>18761482</v>
      </c>
      <c r="U133" s="158">
        <f t="shared" si="48"/>
        <v>18761482</v>
      </c>
      <c r="V133" s="158">
        <f t="shared" si="48"/>
        <v>18761482</v>
      </c>
      <c r="W133" s="158">
        <f t="shared" si="48"/>
        <v>18761482</v>
      </c>
      <c r="X133" s="158">
        <f t="shared" si="48"/>
        <v>18761482</v>
      </c>
      <c r="Y133" s="158">
        <f t="shared" si="48"/>
        <v>18761482</v>
      </c>
      <c r="Z133" s="158">
        <f t="shared" si="48"/>
        <v>18761482</v>
      </c>
      <c r="AA133" s="158">
        <f t="shared" si="48"/>
        <v>18761482</v>
      </c>
      <c r="AB133" s="158">
        <f t="shared" si="48"/>
        <v>18761482</v>
      </c>
      <c r="AC133" s="158">
        <f t="shared" si="48"/>
        <v>18761482</v>
      </c>
      <c r="AD133" s="158">
        <f t="shared" si="48"/>
        <v>18761482</v>
      </c>
      <c r="AE133" s="158">
        <f t="shared" si="48"/>
        <v>18761482</v>
      </c>
      <c r="AF133" s="158">
        <f t="shared" si="48"/>
        <v>18761482</v>
      </c>
      <c r="AG133" s="158">
        <f t="shared" si="48"/>
        <v>18761482</v>
      </c>
    </row>
    <row r="134" spans="1:33" ht="14.25" customHeight="1" x14ac:dyDescent="0.35">
      <c r="A134" s="21"/>
      <c r="B134" s="21"/>
      <c r="C134" s="21"/>
      <c r="D134" s="128"/>
      <c r="E134" s="21" t="s">
        <v>3949</v>
      </c>
      <c r="F134" s="21"/>
      <c r="G134" s="21"/>
      <c r="H134" s="21"/>
      <c r="I134" s="22" t="s">
        <v>3921</v>
      </c>
      <c r="J134" s="148">
        <v>198459560.80000001</v>
      </c>
      <c r="K134" s="148">
        <v>198459560.80000001</v>
      </c>
      <c r="L134" s="148">
        <v>198459560.80000001</v>
      </c>
      <c r="M134" s="148">
        <v>205813036</v>
      </c>
      <c r="N134" s="148">
        <v>208253083</v>
      </c>
      <c r="O134" s="148">
        <v>208350210</v>
      </c>
      <c r="P134" s="148">
        <v>204067766</v>
      </c>
      <c r="Q134" s="148">
        <v>165813709</v>
      </c>
      <c r="R134" s="149">
        <f t="shared" ref="R134:AG134" si="49">SUM(R121:R133)</f>
        <v>140679886.96774194</v>
      </c>
      <c r="S134" s="149">
        <f t="shared" si="49"/>
        <v>140679886.96774194</v>
      </c>
      <c r="T134" s="149">
        <f t="shared" si="49"/>
        <v>140679886.96774194</v>
      </c>
      <c r="U134" s="149">
        <f t="shared" si="49"/>
        <v>140679886.96774194</v>
      </c>
      <c r="V134" s="149">
        <f t="shared" si="49"/>
        <v>140679886.96774194</v>
      </c>
      <c r="W134" s="149">
        <f t="shared" si="49"/>
        <v>140679886.96774194</v>
      </c>
      <c r="X134" s="149">
        <f t="shared" si="49"/>
        <v>140679886.96774194</v>
      </c>
      <c r="Y134" s="149">
        <f t="shared" si="49"/>
        <v>140679886.96774194</v>
      </c>
      <c r="Z134" s="149">
        <f t="shared" si="49"/>
        <v>140679886.96774194</v>
      </c>
      <c r="AA134" s="149">
        <f t="shared" si="49"/>
        <v>140679886.96774194</v>
      </c>
      <c r="AB134" s="149">
        <f t="shared" si="49"/>
        <v>140679886.96774194</v>
      </c>
      <c r="AC134" s="149">
        <f t="shared" si="49"/>
        <v>140679886.96774194</v>
      </c>
      <c r="AD134" s="149">
        <f t="shared" si="49"/>
        <v>140679886.96774194</v>
      </c>
      <c r="AE134" s="149">
        <f t="shared" si="49"/>
        <v>140679886.96774194</v>
      </c>
      <c r="AF134" s="149">
        <f t="shared" si="49"/>
        <v>140679886.96774194</v>
      </c>
      <c r="AG134" s="149">
        <f t="shared" si="49"/>
        <v>140679886.96774194</v>
      </c>
    </row>
    <row r="135" spans="1:33" ht="14.25" customHeight="1" x14ac:dyDescent="0.35">
      <c r="A135" s="21"/>
      <c r="B135" s="21"/>
      <c r="C135" s="21"/>
      <c r="E135" s="128" t="s">
        <v>3966</v>
      </c>
      <c r="F135" s="21"/>
      <c r="G135" s="21"/>
      <c r="H135" s="21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</row>
    <row r="136" spans="1:33" ht="14.25" customHeight="1" x14ac:dyDescent="0.35">
      <c r="A136" s="21"/>
      <c r="B136" s="21"/>
      <c r="C136" s="21"/>
      <c r="D136" s="128"/>
      <c r="E136" s="128"/>
      <c r="F136" s="21" t="s">
        <v>3967</v>
      </c>
      <c r="G136" s="21"/>
      <c r="H136" s="21"/>
      <c r="I136" s="22" t="s">
        <v>3856</v>
      </c>
      <c r="J136" s="148"/>
      <c r="K136" s="148"/>
      <c r="L136" s="148"/>
      <c r="M136" s="148"/>
      <c r="N136" s="148"/>
      <c r="O136" s="148"/>
      <c r="P136" s="148"/>
      <c r="Q136" s="148"/>
      <c r="R136" s="156">
        <v>1</v>
      </c>
      <c r="S136" s="156">
        <v>1</v>
      </c>
      <c r="T136" s="156">
        <v>1</v>
      </c>
      <c r="U136" s="156">
        <v>1</v>
      </c>
      <c r="V136" s="156">
        <v>1</v>
      </c>
      <c r="W136" s="156">
        <v>1</v>
      </c>
      <c r="X136" s="156">
        <v>1</v>
      </c>
      <c r="Y136" s="156">
        <v>1</v>
      </c>
      <c r="Z136" s="156">
        <v>1</v>
      </c>
      <c r="AA136" s="156">
        <v>1</v>
      </c>
      <c r="AB136" s="156">
        <v>1</v>
      </c>
      <c r="AC136" s="156">
        <v>1</v>
      </c>
      <c r="AD136" s="156">
        <v>1</v>
      </c>
      <c r="AE136" s="156">
        <v>1</v>
      </c>
      <c r="AF136" s="156">
        <v>1</v>
      </c>
      <c r="AG136" s="156">
        <v>1</v>
      </c>
    </row>
    <row r="137" spans="1:33" ht="14.25" customHeight="1" x14ac:dyDescent="0.35">
      <c r="A137" s="21"/>
      <c r="B137" s="21"/>
      <c r="C137" s="21"/>
      <c r="D137" s="128"/>
      <c r="E137" s="128"/>
      <c r="F137" s="21" t="s">
        <v>35</v>
      </c>
      <c r="G137" s="21"/>
      <c r="H137" s="21"/>
      <c r="I137" s="22" t="s">
        <v>3921</v>
      </c>
      <c r="J137" s="148">
        <f t="shared" ref="J137:Q137" si="50">IF(J93=0,0,J139*(J102+J117)/J93)</f>
        <v>90489590.68469815</v>
      </c>
      <c r="K137" s="148">
        <f t="shared" si="50"/>
        <v>86690751.288952872</v>
      </c>
      <c r="L137" s="148">
        <f t="shared" si="50"/>
        <v>40430223.654736355</v>
      </c>
      <c r="M137" s="148">
        <f t="shared" si="50"/>
        <v>89501467.25044623</v>
      </c>
      <c r="N137" s="148">
        <f t="shared" si="50"/>
        <v>65518170.179804735</v>
      </c>
      <c r="O137" s="148">
        <f t="shared" si="50"/>
        <v>49660379.99296204</v>
      </c>
      <c r="P137" s="148">
        <f t="shared" si="50"/>
        <v>50294528.815272383</v>
      </c>
      <c r="Q137" s="148">
        <f t="shared" si="50"/>
        <v>52251872.240772471</v>
      </c>
      <c r="R137" s="149">
        <f t="shared" ref="R137:AG137" si="51">SUM(R102,R117)/12</f>
        <v>61708824</v>
      </c>
      <c r="S137" s="149">
        <f t="shared" si="51"/>
        <v>61708824</v>
      </c>
      <c r="T137" s="149">
        <f t="shared" si="51"/>
        <v>61708824</v>
      </c>
      <c r="U137" s="149">
        <f t="shared" si="51"/>
        <v>61708824</v>
      </c>
      <c r="V137" s="149">
        <f t="shared" si="51"/>
        <v>61708824</v>
      </c>
      <c r="W137" s="149">
        <f t="shared" si="51"/>
        <v>61708824</v>
      </c>
      <c r="X137" s="149">
        <f t="shared" si="51"/>
        <v>61708824</v>
      </c>
      <c r="Y137" s="149">
        <f t="shared" si="51"/>
        <v>61708824</v>
      </c>
      <c r="Z137" s="149">
        <f t="shared" si="51"/>
        <v>61708824</v>
      </c>
      <c r="AA137" s="149">
        <f t="shared" si="51"/>
        <v>61708824</v>
      </c>
      <c r="AB137" s="149">
        <f t="shared" si="51"/>
        <v>61708824</v>
      </c>
      <c r="AC137" s="149">
        <f t="shared" si="51"/>
        <v>61708824</v>
      </c>
      <c r="AD137" s="149">
        <f t="shared" si="51"/>
        <v>61708824</v>
      </c>
      <c r="AE137" s="149">
        <f t="shared" si="51"/>
        <v>61708824</v>
      </c>
      <c r="AF137" s="149">
        <f t="shared" si="51"/>
        <v>61708824</v>
      </c>
      <c r="AG137" s="149">
        <f t="shared" si="51"/>
        <v>61708824</v>
      </c>
    </row>
    <row r="138" spans="1:33" ht="14.25" customHeight="1" x14ac:dyDescent="0.35">
      <c r="A138" s="21"/>
      <c r="B138" s="21"/>
      <c r="C138" s="21"/>
      <c r="D138" s="128"/>
      <c r="E138" s="128"/>
      <c r="F138" s="21" t="s">
        <v>3968</v>
      </c>
      <c r="G138" s="21"/>
      <c r="H138" s="21"/>
      <c r="I138" s="22" t="s">
        <v>3921</v>
      </c>
      <c r="J138" s="148">
        <f t="shared" ref="J138:Q138" si="52">J139-J137</f>
        <v>28157253.645301849</v>
      </c>
      <c r="K138" s="148">
        <f t="shared" si="52"/>
        <v>31956093.041047126</v>
      </c>
      <c r="L138" s="148">
        <f t="shared" si="52"/>
        <v>19490799.395263642</v>
      </c>
      <c r="M138" s="148">
        <f t="shared" si="52"/>
        <v>27537324.429553777</v>
      </c>
      <c r="N138" s="148">
        <f t="shared" si="52"/>
        <v>18717294.490195267</v>
      </c>
      <c r="O138" s="148">
        <f t="shared" si="52"/>
        <v>13476748.357037961</v>
      </c>
      <c r="P138" s="148">
        <f t="shared" si="52"/>
        <v>12842599.534727618</v>
      </c>
      <c r="Q138" s="148">
        <f t="shared" si="52"/>
        <v>10885255.759227529</v>
      </c>
      <c r="R138" s="149">
        <f t="shared" ref="R138:AG138" si="53">R134/12</f>
        <v>11723323.913978495</v>
      </c>
      <c r="S138" s="149">
        <f t="shared" si="53"/>
        <v>11723323.913978495</v>
      </c>
      <c r="T138" s="149">
        <f t="shared" si="53"/>
        <v>11723323.913978495</v>
      </c>
      <c r="U138" s="149">
        <f t="shared" si="53"/>
        <v>11723323.913978495</v>
      </c>
      <c r="V138" s="149">
        <f t="shared" si="53"/>
        <v>11723323.913978495</v>
      </c>
      <c r="W138" s="149">
        <f t="shared" si="53"/>
        <v>11723323.913978495</v>
      </c>
      <c r="X138" s="149">
        <f t="shared" si="53"/>
        <v>11723323.913978495</v>
      </c>
      <c r="Y138" s="149">
        <f t="shared" si="53"/>
        <v>11723323.913978495</v>
      </c>
      <c r="Z138" s="149">
        <f t="shared" si="53"/>
        <v>11723323.913978495</v>
      </c>
      <c r="AA138" s="149">
        <f t="shared" si="53"/>
        <v>11723323.913978495</v>
      </c>
      <c r="AB138" s="149">
        <f t="shared" si="53"/>
        <v>11723323.913978495</v>
      </c>
      <c r="AC138" s="149">
        <f t="shared" si="53"/>
        <v>11723323.913978495</v>
      </c>
      <c r="AD138" s="149">
        <f t="shared" si="53"/>
        <v>11723323.913978495</v>
      </c>
      <c r="AE138" s="149">
        <f t="shared" si="53"/>
        <v>11723323.913978495</v>
      </c>
      <c r="AF138" s="149">
        <f t="shared" si="53"/>
        <v>11723323.913978495</v>
      </c>
      <c r="AG138" s="149">
        <f t="shared" si="53"/>
        <v>11723323.913978495</v>
      </c>
    </row>
    <row r="139" spans="1:33" ht="14.25" customHeight="1" x14ac:dyDescent="0.35">
      <c r="A139" s="21"/>
      <c r="B139" s="21"/>
      <c r="C139" s="21"/>
      <c r="D139" s="128"/>
      <c r="E139" s="128"/>
      <c r="F139" s="21" t="s">
        <v>10</v>
      </c>
      <c r="G139" s="21"/>
      <c r="H139" s="21"/>
      <c r="I139" s="22" t="s">
        <v>3921</v>
      </c>
      <c r="J139" s="148">
        <f>'DATA - GL Aktual 2026'!C16</f>
        <v>118646844.33</v>
      </c>
      <c r="K139" s="148">
        <f>'DATA - GL Aktual 2026'!D16</f>
        <v>118646844.33</v>
      </c>
      <c r="L139" s="148">
        <f>'DATA - GL Aktual 2026'!E16</f>
        <v>59921023.049999997</v>
      </c>
      <c r="M139" s="148">
        <f>'DATA - GL Aktual 2026'!F16</f>
        <v>117038791.68000001</v>
      </c>
      <c r="N139" s="148">
        <f>'DATA - GL Aktual 2026'!G16</f>
        <v>84235464.670000002</v>
      </c>
      <c r="O139" s="148">
        <f>'DATA - GL Aktual 2026'!H16</f>
        <v>63137128.350000001</v>
      </c>
      <c r="P139" s="148">
        <f>'DATA - GL Aktual 2026'!I16</f>
        <v>63137128.350000001</v>
      </c>
      <c r="Q139" s="148">
        <f>'DATA - GL Aktual 2026'!J16</f>
        <v>63137128</v>
      </c>
      <c r="R139" s="149">
        <f t="shared" ref="R139:AG139" si="54">SUM(R137:R138)</f>
        <v>73432147.913978487</v>
      </c>
      <c r="S139" s="149">
        <f t="shared" si="54"/>
        <v>73432147.913978487</v>
      </c>
      <c r="T139" s="149">
        <f t="shared" si="54"/>
        <v>73432147.913978487</v>
      </c>
      <c r="U139" s="149">
        <f t="shared" si="54"/>
        <v>73432147.913978487</v>
      </c>
      <c r="V139" s="149">
        <f t="shared" si="54"/>
        <v>73432147.913978487</v>
      </c>
      <c r="W139" s="149">
        <f t="shared" si="54"/>
        <v>73432147.913978487</v>
      </c>
      <c r="X139" s="149">
        <f t="shared" si="54"/>
        <v>73432147.913978487</v>
      </c>
      <c r="Y139" s="149">
        <f t="shared" si="54"/>
        <v>73432147.913978487</v>
      </c>
      <c r="Z139" s="149">
        <f t="shared" si="54"/>
        <v>73432147.913978487</v>
      </c>
      <c r="AA139" s="149">
        <f t="shared" si="54"/>
        <v>73432147.913978487</v>
      </c>
      <c r="AB139" s="149">
        <f t="shared" si="54"/>
        <v>73432147.913978487</v>
      </c>
      <c r="AC139" s="149">
        <f t="shared" si="54"/>
        <v>73432147.913978487</v>
      </c>
      <c r="AD139" s="149">
        <f t="shared" si="54"/>
        <v>73432147.913978487</v>
      </c>
      <c r="AE139" s="149">
        <f t="shared" si="54"/>
        <v>73432147.913978487</v>
      </c>
      <c r="AF139" s="149">
        <f t="shared" si="54"/>
        <v>73432147.913978487</v>
      </c>
      <c r="AG139" s="149">
        <f t="shared" si="54"/>
        <v>73432147.913978487</v>
      </c>
    </row>
    <row r="140" spans="1:33" ht="14.25" customHeight="1" x14ac:dyDescent="0.35">
      <c r="A140" s="21"/>
      <c r="B140" s="21"/>
      <c r="C140" s="21"/>
      <c r="D140" s="128"/>
      <c r="E140" s="128" t="s">
        <v>3969</v>
      </c>
      <c r="F140" s="21"/>
      <c r="G140" s="21"/>
      <c r="H140" s="21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</row>
    <row r="141" spans="1:33" ht="14.25" customHeight="1" x14ac:dyDescent="0.35">
      <c r="A141" s="21"/>
      <c r="B141" s="21"/>
      <c r="C141" s="21"/>
      <c r="D141" s="128"/>
      <c r="E141" s="128"/>
      <c r="F141" s="21" t="s">
        <v>3970</v>
      </c>
      <c r="G141" s="21"/>
      <c r="H141" s="21"/>
      <c r="I141" s="22" t="s">
        <v>3856</v>
      </c>
      <c r="J141" s="159">
        <f t="shared" ref="J141:P141" si="55">J144/J93</f>
        <v>0.11543386462353554</v>
      </c>
      <c r="K141" s="159">
        <f t="shared" si="55"/>
        <v>0.14864304917028479</v>
      </c>
      <c r="L141" s="159">
        <f t="shared" si="55"/>
        <v>0.17233840699785508</v>
      </c>
      <c r="M141" s="159">
        <f t="shared" si="55"/>
        <v>0.13948058448506745</v>
      </c>
      <c r="N141" s="159">
        <f t="shared" si="55"/>
        <v>0.13155740766278731</v>
      </c>
      <c r="O141" s="159">
        <f t="shared" si="55"/>
        <v>0.13579056114671426</v>
      </c>
      <c r="P141" s="159">
        <f t="shared" si="55"/>
        <v>0.13202923240472933</v>
      </c>
      <c r="Q141" s="159">
        <f>Q144/Q93</f>
        <v>0.13368478116994945</v>
      </c>
      <c r="R141" s="159">
        <f>AVERAGE(O141:Q141)</f>
        <v>0.13383485824046434</v>
      </c>
      <c r="S141" s="159">
        <f t="shared" ref="S141:AG141" si="56">AVERAGE(P141:R141)</f>
        <v>0.13318295727171436</v>
      </c>
      <c r="T141" s="159">
        <f t="shared" si="56"/>
        <v>0.13356753222737605</v>
      </c>
      <c r="U141" s="159">
        <f t="shared" si="56"/>
        <v>0.13352844924651827</v>
      </c>
      <c r="V141" s="159">
        <f t="shared" si="56"/>
        <v>0.1334263129152029</v>
      </c>
      <c r="W141" s="159">
        <f t="shared" si="56"/>
        <v>0.13350743146303243</v>
      </c>
      <c r="X141" s="159">
        <f t="shared" si="56"/>
        <v>0.1334873978749179</v>
      </c>
      <c r="Y141" s="159">
        <f t="shared" si="56"/>
        <v>0.13347371408438444</v>
      </c>
      <c r="Z141" s="159">
        <f t="shared" si="56"/>
        <v>0.13348951447411159</v>
      </c>
      <c r="AA141" s="159">
        <f t="shared" si="56"/>
        <v>0.13348354214447131</v>
      </c>
      <c r="AB141" s="159">
        <f t="shared" si="56"/>
        <v>0.13348225690098911</v>
      </c>
      <c r="AC141" s="159">
        <f t="shared" si="56"/>
        <v>0.13348510450652398</v>
      </c>
      <c r="AD141" s="159">
        <f t="shared" si="56"/>
        <v>0.13348363451732814</v>
      </c>
      <c r="AE141" s="159">
        <f t="shared" si="56"/>
        <v>0.1334836653082804</v>
      </c>
      <c r="AF141" s="159">
        <f t="shared" si="56"/>
        <v>0.1334841347773775</v>
      </c>
      <c r="AG141" s="159">
        <f t="shared" si="56"/>
        <v>0.13348381153432867</v>
      </c>
    </row>
    <row r="142" spans="1:33" ht="14.25" customHeight="1" x14ac:dyDescent="0.35">
      <c r="A142" s="21"/>
      <c r="B142" s="21"/>
      <c r="C142" s="21"/>
      <c r="D142" s="128"/>
      <c r="E142" s="128"/>
      <c r="F142" s="21" t="s">
        <v>35</v>
      </c>
      <c r="G142" s="21"/>
      <c r="H142" s="21"/>
      <c r="I142" s="22" t="s">
        <v>3921</v>
      </c>
      <c r="J142" s="148">
        <f t="shared" ref="J142:Q142" si="57">IF(J93=0,0,J144*(J102+J117)/J93)</f>
        <v>73623013.925366491</v>
      </c>
      <c r="K142" s="148">
        <f t="shared" si="57"/>
        <v>80026849.745692492</v>
      </c>
      <c r="L142" s="148">
        <f t="shared" si="57"/>
        <v>70946437.438234031</v>
      </c>
      <c r="M142" s="148">
        <f t="shared" si="57"/>
        <v>93302880.444073766</v>
      </c>
      <c r="N142" s="148">
        <f t="shared" si="57"/>
        <v>95901507.262736708</v>
      </c>
      <c r="O142" s="148">
        <f t="shared" si="57"/>
        <v>104252972.06906424</v>
      </c>
      <c r="P142" s="148">
        <f t="shared" si="57"/>
        <v>105514540.49647208</v>
      </c>
      <c r="Q142" s="148">
        <f t="shared" si="57"/>
        <v>106405878.59735732</v>
      </c>
      <c r="R142" s="149">
        <f>R141*SUM(R102)</f>
        <v>72283369.664801642</v>
      </c>
      <c r="S142" s="149">
        <f t="shared" ref="S142:AG142" si="58">S141*SUM(S102)</f>
        <v>71931282.029872239</v>
      </c>
      <c r="T142" s="149">
        <f t="shared" si="58"/>
        <v>72138988.557524189</v>
      </c>
      <c r="U142" s="149">
        <f t="shared" si="58"/>
        <v>72117880.084066033</v>
      </c>
      <c r="V142" s="149">
        <f t="shared" si="58"/>
        <v>72062716.890487492</v>
      </c>
      <c r="W142" s="149">
        <f t="shared" si="58"/>
        <v>72106528.510692582</v>
      </c>
      <c r="X142" s="149">
        <f t="shared" si="58"/>
        <v>72095708.495082051</v>
      </c>
      <c r="Y142" s="149">
        <f t="shared" si="58"/>
        <v>72088317.965420723</v>
      </c>
      <c r="Z142" s="149">
        <f t="shared" si="58"/>
        <v>72096851.657065123</v>
      </c>
      <c r="AA142" s="149">
        <f t="shared" si="58"/>
        <v>72093626.039189294</v>
      </c>
      <c r="AB142" s="149">
        <f t="shared" si="58"/>
        <v>72092931.887225047</v>
      </c>
      <c r="AC142" s="149">
        <f t="shared" si="58"/>
        <v>72094469.861159816</v>
      </c>
      <c r="AD142" s="149">
        <f t="shared" si="58"/>
        <v>72093675.929191396</v>
      </c>
      <c r="AE142" s="149">
        <f t="shared" si="58"/>
        <v>72093692.559192076</v>
      </c>
      <c r="AF142" s="149">
        <f t="shared" si="58"/>
        <v>72093946.116514415</v>
      </c>
      <c r="AG142" s="149">
        <f t="shared" si="58"/>
        <v>72093771.534965962</v>
      </c>
    </row>
    <row r="143" spans="1:33" ht="14.25" customHeight="1" x14ac:dyDescent="0.35">
      <c r="A143" s="21"/>
      <c r="B143" s="21"/>
      <c r="C143" s="21"/>
      <c r="D143" s="128"/>
      <c r="E143" s="128"/>
      <c r="F143" s="21" t="s">
        <v>3968</v>
      </c>
      <c r="G143" s="21"/>
      <c r="H143" s="21"/>
      <c r="I143" s="22" t="s">
        <v>3921</v>
      </c>
      <c r="J143" s="148">
        <f t="shared" ref="J143:Q143" si="59">J144-J142</f>
        <v>22908954.074633509</v>
      </c>
      <c r="K143" s="148">
        <f t="shared" si="59"/>
        <v>29499634.254307508</v>
      </c>
      <c r="L143" s="148">
        <f t="shared" si="59"/>
        <v>34202204.561765969</v>
      </c>
      <c r="M143" s="148">
        <f t="shared" si="59"/>
        <v>28706922.555926234</v>
      </c>
      <c r="N143" s="148">
        <f t="shared" si="59"/>
        <v>27397235.737263292</v>
      </c>
      <c r="O143" s="148">
        <f t="shared" si="59"/>
        <v>28291991.930935755</v>
      </c>
      <c r="P143" s="148">
        <f t="shared" si="59"/>
        <v>26942910.503527924</v>
      </c>
      <c r="Q143" s="148">
        <f t="shared" si="59"/>
        <v>22166769.402642682</v>
      </c>
      <c r="R143" s="149">
        <f>SUM(R117,R134)*R141</f>
        <v>45650003.611519821</v>
      </c>
      <c r="S143" s="149">
        <f t="shared" ref="S143:AG143" si="60">SUM(S117,S134)*S141</f>
        <v>45427645.386099048</v>
      </c>
      <c r="T143" s="149">
        <f t="shared" si="60"/>
        <v>45558820.838785022</v>
      </c>
      <c r="U143" s="149">
        <f t="shared" si="60"/>
        <v>45545489.945467971</v>
      </c>
      <c r="V143" s="149">
        <f t="shared" si="60"/>
        <v>45510652.056784019</v>
      </c>
      <c r="W143" s="149">
        <f t="shared" si="60"/>
        <v>45538320.947012343</v>
      </c>
      <c r="X143" s="149">
        <f t="shared" si="60"/>
        <v>45531487.649754785</v>
      </c>
      <c r="Y143" s="149">
        <f t="shared" si="60"/>
        <v>45526820.217850395</v>
      </c>
      <c r="Z143" s="149">
        <f t="shared" si="60"/>
        <v>45532209.60487251</v>
      </c>
      <c r="AA143" s="149">
        <f t="shared" si="60"/>
        <v>45530172.490825899</v>
      </c>
      <c r="AB143" s="149">
        <f t="shared" si="60"/>
        <v>45529734.104516268</v>
      </c>
      <c r="AC143" s="149">
        <f t="shared" si="60"/>
        <v>45530705.400071554</v>
      </c>
      <c r="AD143" s="149">
        <f t="shared" si="60"/>
        <v>45530203.998471238</v>
      </c>
      <c r="AE143" s="149">
        <f t="shared" si="60"/>
        <v>45530214.501019686</v>
      </c>
      <c r="AF143" s="149">
        <f t="shared" si="60"/>
        <v>45530374.633187488</v>
      </c>
      <c r="AG143" s="149">
        <f t="shared" si="60"/>
        <v>45530264.377559468</v>
      </c>
    </row>
    <row r="144" spans="1:33" ht="14.25" customHeight="1" x14ac:dyDescent="0.35">
      <c r="A144" s="21"/>
      <c r="B144" s="21"/>
      <c r="C144" s="21"/>
      <c r="D144" s="128"/>
      <c r="E144" s="128"/>
      <c r="F144" s="21" t="s">
        <v>10</v>
      </c>
      <c r="G144" s="21"/>
      <c r="H144" s="21" t="s">
        <v>3971</v>
      </c>
      <c r="I144" s="22" t="s">
        <v>3921</v>
      </c>
      <c r="J144" s="148">
        <f>'DATA - GL Aktual 2026'!C18</f>
        <v>96531968</v>
      </c>
      <c r="K144" s="148">
        <f>'DATA - GL Aktual 2026'!D18</f>
        <v>109526484</v>
      </c>
      <c r="L144" s="148">
        <f>'DATA - GL Aktual 2026'!E18</f>
        <v>105148642</v>
      </c>
      <c r="M144" s="148">
        <f>'DATA - GL Aktual 2026'!F18</f>
        <v>122009803</v>
      </c>
      <c r="N144" s="148">
        <f>'DATA - GL Aktual 2026'!G18</f>
        <v>123298743</v>
      </c>
      <c r="O144" s="148">
        <f>'DATA - GL Aktual 2026'!H18</f>
        <v>132544964</v>
      </c>
      <c r="P144" s="148">
        <f>'DATA - GL Aktual 2026'!I18</f>
        <v>132457451</v>
      </c>
      <c r="Q144" s="148">
        <f>'DATA - GL Aktual 2026'!J18</f>
        <v>128572648</v>
      </c>
      <c r="R144" s="149">
        <f>SUM(R142:R143)</f>
        <v>117933373.27632147</v>
      </c>
      <c r="S144" s="149">
        <f t="shared" ref="S144:AG144" si="61">SUM(S142:S143)</f>
        <v>117358927.41597128</v>
      </c>
      <c r="T144" s="149">
        <f t="shared" si="61"/>
        <v>117697809.39630921</v>
      </c>
      <c r="U144" s="149">
        <f t="shared" si="61"/>
        <v>117663370.02953401</v>
      </c>
      <c r="V144" s="149">
        <f t="shared" si="61"/>
        <v>117573368.94727151</v>
      </c>
      <c r="W144" s="149">
        <f t="shared" si="61"/>
        <v>117644849.45770493</v>
      </c>
      <c r="X144" s="149">
        <f t="shared" si="61"/>
        <v>117627196.14483684</v>
      </c>
      <c r="Y144" s="149">
        <f t="shared" si="61"/>
        <v>117615138.18327111</v>
      </c>
      <c r="Z144" s="149">
        <f t="shared" si="61"/>
        <v>117629061.26193763</v>
      </c>
      <c r="AA144" s="149">
        <f t="shared" si="61"/>
        <v>117623798.5300152</v>
      </c>
      <c r="AB144" s="149">
        <f t="shared" si="61"/>
        <v>117622665.99174131</v>
      </c>
      <c r="AC144" s="149">
        <f t="shared" si="61"/>
        <v>117625175.26123136</v>
      </c>
      <c r="AD144" s="149">
        <f t="shared" si="61"/>
        <v>117623879.92766264</v>
      </c>
      <c r="AE144" s="149">
        <f t="shared" si="61"/>
        <v>117623907.06021176</v>
      </c>
      <c r="AF144" s="149">
        <f t="shared" si="61"/>
        <v>117624320.7497019</v>
      </c>
      <c r="AG144" s="149">
        <f t="shared" si="61"/>
        <v>117624035.91252543</v>
      </c>
    </row>
    <row r="145" spans="1:33" ht="14.25" customHeight="1" x14ac:dyDescent="0.35">
      <c r="A145" s="21"/>
      <c r="B145" s="21"/>
      <c r="C145" s="21"/>
      <c r="D145" s="128" t="s">
        <v>3972</v>
      </c>
      <c r="E145" s="128" t="s">
        <v>3973</v>
      </c>
      <c r="F145" s="21"/>
      <c r="G145" s="21"/>
      <c r="H145" s="21" t="s">
        <v>3974</v>
      </c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</row>
    <row r="146" spans="1:33" ht="14.25" customHeight="1" x14ac:dyDescent="0.35">
      <c r="A146" s="21"/>
      <c r="B146" s="21"/>
      <c r="C146" s="21"/>
      <c r="D146" s="128"/>
      <c r="E146" s="128" t="s">
        <v>3975</v>
      </c>
      <c r="F146" s="21"/>
      <c r="G146" s="21"/>
      <c r="H146" s="21"/>
      <c r="I146" s="22" t="s">
        <v>3900</v>
      </c>
      <c r="J146" s="160">
        <f>SUM('Input Operasional'!I44:I47)</f>
        <v>350705.13</v>
      </c>
      <c r="K146" s="160">
        <f>SUM('Input Operasional'!J44:J47)</f>
        <v>343801.80000000005</v>
      </c>
      <c r="L146" s="160">
        <f>SUM('Input Operasional'!K44:K47)</f>
        <v>249392.6</v>
      </c>
      <c r="M146" s="160">
        <f>SUM('Input Operasional'!L44:L47)</f>
        <v>259914.75</v>
      </c>
      <c r="N146" s="160">
        <f>SUM('Input Operasional'!M44:M47)</f>
        <v>286092.5</v>
      </c>
      <c r="O146" s="160">
        <f>SUM('Input Operasional'!N44:N47)</f>
        <v>309896.59999999998</v>
      </c>
      <c r="P146" s="160">
        <f>SUM('Input Operasional'!O44:O47)</f>
        <v>310829</v>
      </c>
      <c r="Q146" s="160">
        <f>SUM('Input Operasional'!P44:P47)</f>
        <v>361606.5</v>
      </c>
      <c r="R146" s="161">
        <f>SUM('Input Operasional'!Q44:Q47)</f>
        <v>309029.86</v>
      </c>
      <c r="S146" s="161">
        <f>SUM('Input Operasional'!R44:R47)</f>
        <v>309029.86</v>
      </c>
      <c r="T146" s="161">
        <f>SUM('Input Operasional'!S44:S47)</f>
        <v>309029.86</v>
      </c>
      <c r="U146" s="161">
        <f>SUM('Input Operasional'!T44:T47)</f>
        <v>309029.86</v>
      </c>
      <c r="V146" s="161">
        <f>SUM('Input Operasional'!U44:U47)</f>
        <v>309029.86</v>
      </c>
      <c r="W146" s="161">
        <f>SUM('Input Operasional'!V44:V47)</f>
        <v>309029.86</v>
      </c>
      <c r="X146" s="161">
        <f>SUM('Input Operasional'!W44:W47)</f>
        <v>309029.86</v>
      </c>
      <c r="Y146" s="161">
        <f>SUM('Input Operasional'!X44:X47)</f>
        <v>309029.86</v>
      </c>
      <c r="Z146" s="161">
        <f>SUM('Input Operasional'!Y44:Y47)</f>
        <v>309029.86</v>
      </c>
      <c r="AA146" s="161">
        <f>SUM('Input Operasional'!Z44:Z47)</f>
        <v>309029.86</v>
      </c>
      <c r="AB146" s="161">
        <f>SUM('Input Operasional'!AA44:AA47)</f>
        <v>309029.86</v>
      </c>
      <c r="AC146" s="161">
        <f>SUM('Input Operasional'!AB44:AB47)</f>
        <v>309029.86</v>
      </c>
      <c r="AD146" s="161">
        <f>SUM('Input Operasional'!AC44:AC47)</f>
        <v>309029.86</v>
      </c>
      <c r="AE146" s="161">
        <f>SUM('Input Operasional'!AD44:AD47)</f>
        <v>309029.86</v>
      </c>
      <c r="AF146" s="161">
        <f>SUM('Input Operasional'!AE44:AE47)</f>
        <v>309029.86</v>
      </c>
      <c r="AG146" s="161">
        <f>SUM('Input Operasional'!AF44:AF47)</f>
        <v>309029.86</v>
      </c>
    </row>
    <row r="147" spans="1:33" ht="14.25" customHeight="1" x14ac:dyDescent="0.35">
      <c r="A147" s="21"/>
      <c r="B147" s="21"/>
      <c r="C147" s="21"/>
      <c r="D147" s="128"/>
      <c r="E147" s="128" t="s">
        <v>3976</v>
      </c>
      <c r="F147" s="21"/>
      <c r="G147" s="21"/>
      <c r="H147" s="21"/>
      <c r="I147" s="22" t="s">
        <v>3977</v>
      </c>
      <c r="J147" s="162">
        <f t="shared" ref="J147:Q147" si="62">J148/J146</f>
        <v>0.15776139430216857</v>
      </c>
      <c r="K147" s="162">
        <f t="shared" si="62"/>
        <v>0.13676839327147902</v>
      </c>
      <c r="L147" s="162">
        <f t="shared" si="62"/>
        <v>0.14759677274778957</v>
      </c>
      <c r="M147" s="162">
        <f t="shared" si="62"/>
        <v>0.17036178990043327</v>
      </c>
      <c r="N147" s="162">
        <f t="shared" si="62"/>
        <v>0.16663657289267536</v>
      </c>
      <c r="O147" s="162">
        <f t="shared" si="62"/>
        <v>0.15897302689153106</v>
      </c>
      <c r="P147" s="162">
        <f t="shared" si="62"/>
        <v>0.16514851964234012</v>
      </c>
      <c r="Q147" s="162">
        <f t="shared" si="62"/>
        <v>0.13697900652876333</v>
      </c>
      <c r="R147" s="163">
        <f>AVERAGE(P147:Q147)</f>
        <v>0.15106376308555172</v>
      </c>
      <c r="S147" s="163">
        <f t="shared" ref="S147:AG147" si="63">AVERAGE(P147:R147)</f>
        <v>0.15106376308555172</v>
      </c>
      <c r="T147" s="163">
        <f t="shared" si="63"/>
        <v>0.14636884423328891</v>
      </c>
      <c r="U147" s="163">
        <f t="shared" si="63"/>
        <v>0.14949879013479747</v>
      </c>
      <c r="V147" s="163">
        <f t="shared" si="63"/>
        <v>0.14897713248454603</v>
      </c>
      <c r="W147" s="163">
        <f t="shared" si="63"/>
        <v>0.14828158895087748</v>
      </c>
      <c r="X147" s="163">
        <f t="shared" si="63"/>
        <v>0.148919170523407</v>
      </c>
      <c r="Y147" s="163">
        <f t="shared" si="63"/>
        <v>0.14872596398627683</v>
      </c>
      <c r="Z147" s="163">
        <f t="shared" si="63"/>
        <v>0.14864224115352043</v>
      </c>
      <c r="AA147" s="163">
        <f t="shared" si="63"/>
        <v>0.14876245855440143</v>
      </c>
      <c r="AB147" s="163">
        <f t="shared" si="63"/>
        <v>0.14871022123139954</v>
      </c>
      <c r="AC147" s="163">
        <f t="shared" si="63"/>
        <v>0.14870497364644045</v>
      </c>
      <c r="AD147" s="163">
        <f t="shared" si="63"/>
        <v>0.14872588447741378</v>
      </c>
      <c r="AE147" s="163">
        <f t="shared" si="63"/>
        <v>0.14871369311841789</v>
      </c>
      <c r="AF147" s="163">
        <f t="shared" si="63"/>
        <v>0.14871485041409072</v>
      </c>
      <c r="AG147" s="163">
        <f t="shared" si="63"/>
        <v>0.14871814266997413</v>
      </c>
    </row>
    <row r="148" spans="1:33" ht="14.25" customHeight="1" x14ac:dyDescent="0.35">
      <c r="A148" s="21"/>
      <c r="B148" s="21"/>
      <c r="C148" s="21"/>
      <c r="D148" s="128"/>
      <c r="E148" s="128" t="s">
        <v>3978</v>
      </c>
      <c r="F148" s="21"/>
      <c r="G148" s="21"/>
      <c r="H148" s="21"/>
      <c r="I148" s="22" t="s">
        <v>3979</v>
      </c>
      <c r="J148" s="160">
        <f t="shared" ref="J148:Q148" si="64">J150/J149</f>
        <v>55327.73029772329</v>
      </c>
      <c r="K148" s="160">
        <f t="shared" si="64"/>
        <v>47021.219789842384</v>
      </c>
      <c r="L148" s="160">
        <f t="shared" si="64"/>
        <v>36809.542907180388</v>
      </c>
      <c r="M148" s="160">
        <f t="shared" si="64"/>
        <v>44279.542031523641</v>
      </c>
      <c r="N148" s="160">
        <f t="shared" si="64"/>
        <v>47673.473730297723</v>
      </c>
      <c r="O148" s="160">
        <f t="shared" si="64"/>
        <v>49265.200525394044</v>
      </c>
      <c r="P148" s="160">
        <f t="shared" si="64"/>
        <v>51332.949211908934</v>
      </c>
      <c r="Q148" s="160">
        <f t="shared" si="64"/>
        <v>49532.49912434326</v>
      </c>
      <c r="R148" s="161">
        <f t="shared" ref="R148:AG148" si="65">R146*R147</f>
        <v>46683.213557401214</v>
      </c>
      <c r="S148" s="161">
        <f t="shared" si="65"/>
        <v>46683.213557401214</v>
      </c>
      <c r="T148" s="161">
        <f t="shared" si="65"/>
        <v>45232.343441775076</v>
      </c>
      <c r="U148" s="161">
        <f t="shared" si="65"/>
        <v>46199.590185525842</v>
      </c>
      <c r="V148" s="161">
        <f t="shared" si="65"/>
        <v>46038.382394900706</v>
      </c>
      <c r="W148" s="161">
        <f t="shared" si="65"/>
        <v>45823.438674067213</v>
      </c>
      <c r="X148" s="161">
        <f t="shared" si="65"/>
        <v>46020.470418164594</v>
      </c>
      <c r="Y148" s="161">
        <f t="shared" si="65"/>
        <v>45960.763829044168</v>
      </c>
      <c r="Z148" s="161">
        <f t="shared" si="65"/>
        <v>45934.890973758651</v>
      </c>
      <c r="AA148" s="161">
        <f t="shared" si="65"/>
        <v>45972.041740322471</v>
      </c>
      <c r="AB148" s="161">
        <f t="shared" si="65"/>
        <v>45955.898847708428</v>
      </c>
      <c r="AC148" s="161">
        <f t="shared" si="65"/>
        <v>45954.277187263178</v>
      </c>
      <c r="AD148" s="161">
        <f t="shared" si="65"/>
        <v>45960.739258431349</v>
      </c>
      <c r="AE148" s="161">
        <f t="shared" si="65"/>
        <v>45956.971764467642</v>
      </c>
      <c r="AF148" s="161">
        <f t="shared" si="65"/>
        <v>45957.329403387397</v>
      </c>
      <c r="AG148" s="161">
        <f t="shared" si="65"/>
        <v>45958.34680876213</v>
      </c>
    </row>
    <row r="149" spans="1:33" ht="14.25" customHeight="1" x14ac:dyDescent="0.35">
      <c r="A149" s="21"/>
      <c r="B149" s="21"/>
      <c r="C149" s="21"/>
      <c r="D149" s="128"/>
      <c r="E149" s="128" t="s">
        <v>3980</v>
      </c>
      <c r="F149" s="21"/>
      <c r="G149" s="21"/>
      <c r="H149" s="21"/>
      <c r="I149" s="22" t="s">
        <v>3861</v>
      </c>
      <c r="J149" s="160">
        <v>1142</v>
      </c>
      <c r="K149" s="160">
        <v>1142</v>
      </c>
      <c r="L149" s="160">
        <v>1142</v>
      </c>
      <c r="M149" s="160">
        <v>1142</v>
      </c>
      <c r="N149" s="160">
        <v>1142</v>
      </c>
      <c r="O149" s="160">
        <v>1142</v>
      </c>
      <c r="P149" s="160">
        <v>1142</v>
      </c>
      <c r="Q149" s="160">
        <v>1142</v>
      </c>
      <c r="R149" s="161">
        <f t="shared" ref="R149:AG149" si="66">Q149</f>
        <v>1142</v>
      </c>
      <c r="S149" s="161">
        <f t="shared" si="66"/>
        <v>1142</v>
      </c>
      <c r="T149" s="161">
        <f t="shared" si="66"/>
        <v>1142</v>
      </c>
      <c r="U149" s="161">
        <f t="shared" si="66"/>
        <v>1142</v>
      </c>
      <c r="V149" s="161">
        <f t="shared" si="66"/>
        <v>1142</v>
      </c>
      <c r="W149" s="161">
        <f t="shared" si="66"/>
        <v>1142</v>
      </c>
      <c r="X149" s="161">
        <f t="shared" si="66"/>
        <v>1142</v>
      </c>
      <c r="Y149" s="161">
        <f t="shared" si="66"/>
        <v>1142</v>
      </c>
      <c r="Z149" s="161">
        <f t="shared" si="66"/>
        <v>1142</v>
      </c>
      <c r="AA149" s="161">
        <f t="shared" si="66"/>
        <v>1142</v>
      </c>
      <c r="AB149" s="161">
        <f t="shared" si="66"/>
        <v>1142</v>
      </c>
      <c r="AC149" s="161">
        <f t="shared" si="66"/>
        <v>1142</v>
      </c>
      <c r="AD149" s="161">
        <f t="shared" si="66"/>
        <v>1142</v>
      </c>
      <c r="AE149" s="161">
        <f t="shared" si="66"/>
        <v>1142</v>
      </c>
      <c r="AF149" s="161">
        <f t="shared" si="66"/>
        <v>1142</v>
      </c>
      <c r="AG149" s="161">
        <f t="shared" si="66"/>
        <v>1142</v>
      </c>
    </row>
    <row r="150" spans="1:33" ht="14.25" customHeight="1" x14ac:dyDescent="0.35">
      <c r="A150" s="21"/>
      <c r="B150" s="21"/>
      <c r="C150" s="21"/>
      <c r="D150" s="128"/>
      <c r="E150" s="128" t="s">
        <v>3981</v>
      </c>
      <c r="F150" s="21"/>
      <c r="G150" s="21"/>
      <c r="H150" s="21"/>
      <c r="I150" s="22" t="s">
        <v>3921</v>
      </c>
      <c r="J150" s="148">
        <f>'DATA - GL Aktual 2026'!C19</f>
        <v>63184268</v>
      </c>
      <c r="K150" s="148">
        <f>'DATA - GL Aktual 2026'!D19</f>
        <v>53698233</v>
      </c>
      <c r="L150" s="148">
        <f>'DATA - GL Aktual 2026'!E19</f>
        <v>42036498</v>
      </c>
      <c r="M150" s="148">
        <f>'DATA - GL Aktual 2026'!F19</f>
        <v>50567237</v>
      </c>
      <c r="N150" s="148">
        <f>'DATA - GL Aktual 2026'!G19</f>
        <v>54443107</v>
      </c>
      <c r="O150" s="148">
        <f>'DATA - GL Aktual 2026'!H19</f>
        <v>56260859</v>
      </c>
      <c r="P150" s="148">
        <f>'DATA - GL Aktual 2026'!I19</f>
        <v>58622228</v>
      </c>
      <c r="Q150" s="148">
        <f>'DATA - GL Aktual 2026'!J19</f>
        <v>56566114</v>
      </c>
      <c r="R150" s="149">
        <f t="shared" ref="R150:AG150" si="67">R148*R149</f>
        <v>53312229.882552184</v>
      </c>
      <c r="S150" s="149">
        <f t="shared" si="67"/>
        <v>53312229.882552184</v>
      </c>
      <c r="T150" s="149">
        <f t="shared" si="67"/>
        <v>51655336.21050714</v>
      </c>
      <c r="U150" s="149">
        <f t="shared" si="67"/>
        <v>52759931.991870508</v>
      </c>
      <c r="V150" s="149">
        <f t="shared" si="67"/>
        <v>52575832.694976605</v>
      </c>
      <c r="W150" s="149">
        <f t="shared" si="67"/>
        <v>52330366.965784758</v>
      </c>
      <c r="X150" s="149">
        <f t="shared" si="67"/>
        <v>52555377.217543967</v>
      </c>
      <c r="Y150" s="149">
        <f t="shared" si="67"/>
        <v>52487192.292768441</v>
      </c>
      <c r="Z150" s="149">
        <f t="shared" si="67"/>
        <v>52457645.492032379</v>
      </c>
      <c r="AA150" s="149">
        <f t="shared" si="67"/>
        <v>52500071.66744826</v>
      </c>
      <c r="AB150" s="149">
        <f t="shared" si="67"/>
        <v>52481636.484083027</v>
      </c>
      <c r="AC150" s="149">
        <f t="shared" si="67"/>
        <v>52479784.54785455</v>
      </c>
      <c r="AD150" s="149">
        <f t="shared" si="67"/>
        <v>52487164.2331286</v>
      </c>
      <c r="AE150" s="149">
        <f t="shared" si="67"/>
        <v>52482861.755022049</v>
      </c>
      <c r="AF150" s="149">
        <f t="shared" si="67"/>
        <v>52483270.17866841</v>
      </c>
      <c r="AG150" s="149">
        <f t="shared" si="67"/>
        <v>52484432.05560635</v>
      </c>
    </row>
    <row r="151" spans="1:33" ht="14.25" customHeight="1" x14ac:dyDescent="0.35">
      <c r="A151" s="21"/>
      <c r="B151" s="21"/>
      <c r="C151" s="21"/>
      <c r="D151" s="128" t="s">
        <v>3982</v>
      </c>
      <c r="E151" s="128" t="s">
        <v>3983</v>
      </c>
      <c r="F151" s="21"/>
      <c r="G151" s="21"/>
      <c r="H151" s="21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</row>
    <row r="152" spans="1:33" ht="14.25" customHeight="1" x14ac:dyDescent="0.35">
      <c r="A152" s="21"/>
      <c r="B152" s="21"/>
      <c r="C152" s="21"/>
      <c r="E152" s="128" t="s">
        <v>3984</v>
      </c>
      <c r="F152" s="21"/>
      <c r="G152" s="21"/>
      <c r="H152" s="21" t="s">
        <v>3974</v>
      </c>
      <c r="I152" s="22" t="s">
        <v>3921</v>
      </c>
      <c r="J152" s="148">
        <f>'DATA - GL Aktual 2026'!C20</f>
        <v>76900</v>
      </c>
      <c r="K152" s="148">
        <f>'DATA - GL Aktual 2026'!D20</f>
        <v>79400</v>
      </c>
      <c r="L152" s="148">
        <f>'DATA - GL Aktual 2026'!E20</f>
        <v>79000</v>
      </c>
      <c r="M152" s="148">
        <f>'DATA - GL Aktual 2026'!F20</f>
        <v>79000</v>
      </c>
      <c r="N152" s="148">
        <f>'DATA - GL Aktual 2026'!G20</f>
        <v>79000</v>
      </c>
      <c r="O152" s="148">
        <f>'DATA - GL Aktual 2026'!H20</f>
        <v>79000</v>
      </c>
      <c r="P152" s="148">
        <f>'DATA - GL Aktual 2026'!I20</f>
        <v>79000</v>
      </c>
      <c r="Q152" s="148">
        <f>'DATA - GL Aktual 2026'!J20</f>
        <v>79000</v>
      </c>
      <c r="R152" s="149">
        <f t="shared" ref="R152:AG153" si="68">AVERAGE(O152:Q152)</f>
        <v>79000</v>
      </c>
      <c r="S152" s="149">
        <f t="shared" si="68"/>
        <v>79000</v>
      </c>
      <c r="T152" s="149">
        <f t="shared" si="68"/>
        <v>79000</v>
      </c>
      <c r="U152" s="149">
        <f t="shared" si="68"/>
        <v>79000</v>
      </c>
      <c r="V152" s="149">
        <f t="shared" si="68"/>
        <v>79000</v>
      </c>
      <c r="W152" s="149">
        <f t="shared" si="68"/>
        <v>79000</v>
      </c>
      <c r="X152" s="149">
        <f t="shared" si="68"/>
        <v>79000</v>
      </c>
      <c r="Y152" s="149">
        <f t="shared" si="68"/>
        <v>79000</v>
      </c>
      <c r="Z152" s="149">
        <f t="shared" si="68"/>
        <v>79000</v>
      </c>
      <c r="AA152" s="149">
        <f t="shared" si="68"/>
        <v>79000</v>
      </c>
      <c r="AB152" s="149">
        <f t="shared" si="68"/>
        <v>79000</v>
      </c>
      <c r="AC152" s="149">
        <f t="shared" si="68"/>
        <v>79000</v>
      </c>
      <c r="AD152" s="149">
        <f t="shared" si="68"/>
        <v>79000</v>
      </c>
      <c r="AE152" s="149">
        <f t="shared" si="68"/>
        <v>79000</v>
      </c>
      <c r="AF152" s="149">
        <f t="shared" si="68"/>
        <v>79000</v>
      </c>
      <c r="AG152" s="149">
        <f t="shared" si="68"/>
        <v>79000</v>
      </c>
    </row>
    <row r="153" spans="1:33" ht="14.25" customHeight="1" x14ac:dyDescent="0.35">
      <c r="A153" s="21"/>
      <c r="B153" s="21"/>
      <c r="C153" s="21"/>
      <c r="D153" s="128"/>
      <c r="E153" s="128" t="s">
        <v>3985</v>
      </c>
      <c r="F153" s="21"/>
      <c r="G153" s="21"/>
      <c r="H153" s="21" t="s">
        <v>3974</v>
      </c>
      <c r="I153" s="22" t="s">
        <v>3921</v>
      </c>
      <c r="J153" s="148">
        <f>'DATA - GL Aktual 2026'!C21</f>
        <v>0</v>
      </c>
      <c r="K153" s="148">
        <f>'DATA - GL Aktual 2026'!D21</f>
        <v>0</v>
      </c>
      <c r="L153" s="148">
        <f>'DATA - GL Aktual 2026'!E21</f>
        <v>0</v>
      </c>
      <c r="M153" s="148">
        <f>'DATA - GL Aktual 2026'!F21</f>
        <v>0</v>
      </c>
      <c r="N153" s="148">
        <f>'DATA - GL Aktual 2026'!G21</f>
        <v>0</v>
      </c>
      <c r="O153" s="148">
        <f>'DATA - GL Aktual 2026'!H21</f>
        <v>0</v>
      </c>
      <c r="P153" s="148">
        <f>'DATA - GL Aktual 2026'!I21</f>
        <v>0</v>
      </c>
      <c r="Q153" s="148">
        <f>'DATA - GL Aktual 2026'!J21</f>
        <v>0</v>
      </c>
      <c r="R153" s="149">
        <f t="shared" si="68"/>
        <v>0</v>
      </c>
      <c r="S153" s="149">
        <f t="shared" si="68"/>
        <v>0</v>
      </c>
      <c r="T153" s="149">
        <f t="shared" si="68"/>
        <v>0</v>
      </c>
      <c r="U153" s="149">
        <f t="shared" si="68"/>
        <v>0</v>
      </c>
      <c r="V153" s="149">
        <f t="shared" si="68"/>
        <v>0</v>
      </c>
      <c r="W153" s="149">
        <f t="shared" si="68"/>
        <v>0</v>
      </c>
      <c r="X153" s="149">
        <f t="shared" si="68"/>
        <v>0</v>
      </c>
      <c r="Y153" s="149">
        <f t="shared" si="68"/>
        <v>0</v>
      </c>
      <c r="Z153" s="149">
        <f t="shared" si="68"/>
        <v>0</v>
      </c>
      <c r="AA153" s="149">
        <f t="shared" si="68"/>
        <v>0</v>
      </c>
      <c r="AB153" s="149">
        <f t="shared" si="68"/>
        <v>0</v>
      </c>
      <c r="AC153" s="149">
        <f t="shared" si="68"/>
        <v>0</v>
      </c>
      <c r="AD153" s="149">
        <f t="shared" si="68"/>
        <v>0</v>
      </c>
      <c r="AE153" s="149">
        <f t="shared" si="68"/>
        <v>0</v>
      </c>
      <c r="AF153" s="149">
        <f t="shared" si="68"/>
        <v>0</v>
      </c>
      <c r="AG153" s="149">
        <f t="shared" si="68"/>
        <v>0</v>
      </c>
    </row>
    <row r="154" spans="1:33" ht="14.25" customHeight="1" x14ac:dyDescent="0.35">
      <c r="A154" s="21"/>
      <c r="B154" s="21"/>
      <c r="C154" s="21"/>
      <c r="D154" s="128" t="s">
        <v>3986</v>
      </c>
      <c r="E154" s="128" t="s">
        <v>59</v>
      </c>
      <c r="F154" s="21"/>
      <c r="G154" s="21"/>
      <c r="H154" s="21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</row>
    <row r="155" spans="1:33" ht="14.25" customHeight="1" x14ac:dyDescent="0.35">
      <c r="A155" s="21"/>
      <c r="B155" s="21"/>
      <c r="C155" s="21"/>
      <c r="D155" s="128"/>
      <c r="E155" s="128" t="s">
        <v>3987</v>
      </c>
      <c r="F155" s="21"/>
      <c r="G155" s="21"/>
      <c r="H155" s="21"/>
      <c r="I155" s="22" t="s">
        <v>13</v>
      </c>
      <c r="J155" s="159">
        <f t="shared" ref="J155:Q155" si="69">J156/SUM(J93)</f>
        <v>2.3656514547562037E-2</v>
      </c>
      <c r="K155" s="159">
        <f t="shared" si="69"/>
        <v>2.7783475577816491E-2</v>
      </c>
      <c r="L155" s="159">
        <f t="shared" si="69"/>
        <v>8.117534887251103E-2</v>
      </c>
      <c r="M155" s="159">
        <f t="shared" si="69"/>
        <v>3.0587553965360767E-2</v>
      </c>
      <c r="N155" s="159">
        <f t="shared" si="69"/>
        <v>1.8653181510084285E-2</v>
      </c>
      <c r="O155" s="159">
        <f t="shared" si="69"/>
        <v>2.2121269364875691E-2</v>
      </c>
      <c r="P155" s="159">
        <f t="shared" si="69"/>
        <v>3.3826019972210887E-2</v>
      </c>
      <c r="Q155" s="159">
        <f t="shared" si="69"/>
        <v>2.5176391314680833E-2</v>
      </c>
      <c r="R155" s="159">
        <f t="shared" ref="R155:AG155" si="70">AVERAGE(O155:Q155)</f>
        <v>2.7041226883922468E-2</v>
      </c>
      <c r="S155" s="159">
        <f t="shared" si="70"/>
        <v>2.8681212723604729E-2</v>
      </c>
      <c r="T155" s="159">
        <f t="shared" si="70"/>
        <v>2.6966276974069347E-2</v>
      </c>
      <c r="U155" s="159">
        <f t="shared" si="70"/>
        <v>2.7562905527198849E-2</v>
      </c>
      <c r="V155" s="159">
        <f t="shared" si="70"/>
        <v>2.7736798408290977E-2</v>
      </c>
      <c r="W155" s="159">
        <f t="shared" si="70"/>
        <v>2.7421993636519721E-2</v>
      </c>
      <c r="X155" s="159">
        <f t="shared" si="70"/>
        <v>2.757389919066985E-2</v>
      </c>
      <c r="Y155" s="159">
        <f t="shared" si="70"/>
        <v>2.7577563745160183E-2</v>
      </c>
      <c r="Z155" s="159">
        <f t="shared" si="70"/>
        <v>2.7524485524116585E-2</v>
      </c>
      <c r="AA155" s="159">
        <f t="shared" si="70"/>
        <v>2.7558649486648875E-2</v>
      </c>
      <c r="AB155" s="159">
        <f t="shared" si="70"/>
        <v>2.7553566251975217E-2</v>
      </c>
      <c r="AC155" s="159">
        <f t="shared" si="70"/>
        <v>2.7545567087580228E-2</v>
      </c>
      <c r="AD155" s="159">
        <f t="shared" si="70"/>
        <v>2.7552594275401437E-2</v>
      </c>
      <c r="AE155" s="159">
        <f t="shared" si="70"/>
        <v>2.7550575871652296E-2</v>
      </c>
      <c r="AF155" s="159">
        <f t="shared" si="70"/>
        <v>2.754957907821132E-2</v>
      </c>
      <c r="AG155" s="159">
        <f t="shared" si="70"/>
        <v>2.7550916408421684E-2</v>
      </c>
    </row>
    <row r="156" spans="1:33" ht="14.25" customHeight="1" x14ac:dyDescent="0.35">
      <c r="A156" s="21"/>
      <c r="B156" s="21"/>
      <c r="C156" s="21"/>
      <c r="D156" s="128"/>
      <c r="E156" s="128" t="s">
        <v>10</v>
      </c>
      <c r="F156" s="21"/>
      <c r="G156" s="21"/>
      <c r="H156" s="21" t="s">
        <v>3988</v>
      </c>
      <c r="I156" s="22" t="s">
        <v>3921</v>
      </c>
      <c r="J156" s="148">
        <f>'DATA - GL Aktual 2026'!C22</f>
        <v>19782842</v>
      </c>
      <c r="K156" s="148">
        <f>'DATA - GL Aktual 2026'!D22</f>
        <v>20472039.629999999</v>
      </c>
      <c r="L156" s="148">
        <f>'DATA - GL Aktual 2026'!E22</f>
        <v>49527425.990000002</v>
      </c>
      <c r="M156" s="148">
        <f>'DATA - GL Aktual 2026'!F22</f>
        <v>26756279</v>
      </c>
      <c r="N156" s="148">
        <f>'DATA - GL Aktual 2026'!G22</f>
        <v>17482207</v>
      </c>
      <c r="O156" s="148">
        <f>'DATA - GL Aktual 2026'!H22</f>
        <v>21592538</v>
      </c>
      <c r="P156" s="148">
        <f>'DATA - GL Aktual 2026'!I22</f>
        <v>33935730</v>
      </c>
      <c r="Q156" s="148">
        <f>'DATA - GL Aktual 2026'!J22</f>
        <v>24213641</v>
      </c>
      <c r="R156" s="149">
        <f t="shared" ref="R156:AG156" si="71">R155*SUM(R134,R117,R102)</f>
        <v>23828344.467787758</v>
      </c>
      <c r="S156" s="149">
        <f t="shared" si="71"/>
        <v>25273476.660864294</v>
      </c>
      <c r="T156" s="149">
        <f t="shared" si="71"/>
        <v>23762299.673390072</v>
      </c>
      <c r="U156" s="149">
        <f t="shared" si="71"/>
        <v>24288040.267347377</v>
      </c>
      <c r="V156" s="149">
        <f t="shared" si="71"/>
        <v>24441272.200533915</v>
      </c>
      <c r="W156" s="149">
        <f t="shared" si="71"/>
        <v>24163870.71375712</v>
      </c>
      <c r="X156" s="149">
        <f t="shared" si="71"/>
        <v>24297727.727212805</v>
      </c>
      <c r="Y156" s="149">
        <f t="shared" si="71"/>
        <v>24300956.880501281</v>
      </c>
      <c r="Z156" s="149">
        <f t="shared" si="71"/>
        <v>24254185.107157066</v>
      </c>
      <c r="AA156" s="149">
        <f t="shared" si="71"/>
        <v>24284289.904957052</v>
      </c>
      <c r="AB156" s="149">
        <f t="shared" si="71"/>
        <v>24279810.630871803</v>
      </c>
      <c r="AC156" s="149">
        <f t="shared" si="71"/>
        <v>24272761.880995311</v>
      </c>
      <c r="AD156" s="149">
        <f t="shared" si="71"/>
        <v>24278954.138941385</v>
      </c>
      <c r="AE156" s="149">
        <f t="shared" si="71"/>
        <v>24277175.550269503</v>
      </c>
      <c r="AF156" s="149">
        <f t="shared" si="71"/>
        <v>24276297.190068733</v>
      </c>
      <c r="AG156" s="149">
        <f t="shared" si="71"/>
        <v>24277475.62642654</v>
      </c>
    </row>
    <row r="157" spans="1:33" ht="14.25" customHeight="1" x14ac:dyDescent="0.35">
      <c r="A157" s="21"/>
      <c r="B157" s="21"/>
      <c r="C157" s="21"/>
      <c r="D157" s="128" t="s">
        <v>3989</v>
      </c>
      <c r="E157" s="128"/>
      <c r="F157" s="21"/>
      <c r="G157" s="21"/>
      <c r="H157" s="21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</row>
    <row r="158" spans="1:33" ht="14.25" customHeight="1" x14ac:dyDescent="0.35">
      <c r="A158" s="21"/>
      <c r="B158" s="21"/>
      <c r="C158" s="21"/>
      <c r="D158" s="128"/>
      <c r="E158" s="128" t="s">
        <v>3990</v>
      </c>
      <c r="F158" s="21"/>
      <c r="G158" s="21"/>
      <c r="H158" s="21" t="s">
        <v>3991</v>
      </c>
      <c r="I158" s="22" t="s">
        <v>3921</v>
      </c>
      <c r="J158" s="148">
        <f>'DATA - GL Aktual 2026'!C23</f>
        <v>144388938.72</v>
      </c>
      <c r="K158" s="148">
        <f>'DATA - GL Aktual 2026'!D23</f>
        <v>77736043.060000002</v>
      </c>
      <c r="L158" s="148">
        <f>'DATA - GL Aktual 2026'!E23</f>
        <v>156875427.59999999</v>
      </c>
      <c r="M158" s="148">
        <f>'DATA - GL Aktual 2026'!F23</f>
        <v>254437776.31</v>
      </c>
      <c r="N158" s="148">
        <f>'DATA - GL Aktual 2026'!G23</f>
        <v>122615692.8</v>
      </c>
      <c r="O158" s="148">
        <f>'DATA - GL Aktual 2026'!H23</f>
        <v>111863957.91</v>
      </c>
      <c r="P158" s="148">
        <f>'DATA - GL Aktual 2026'!I23</f>
        <v>115696845.45</v>
      </c>
      <c r="Q158" s="148">
        <f>'DATA - GL Aktual 2026'!J23</f>
        <v>103655346.40000001</v>
      </c>
      <c r="R158" s="149">
        <v>135908753.53125</v>
      </c>
      <c r="S158" s="149">
        <v>135908753.53125</v>
      </c>
      <c r="T158" s="149">
        <v>135908753.53125</v>
      </c>
      <c r="U158" s="149">
        <v>135908753.53125</v>
      </c>
      <c r="V158" s="149">
        <v>135908753.53125</v>
      </c>
      <c r="W158" s="149">
        <v>135908753.53125</v>
      </c>
      <c r="X158" s="149">
        <v>135908753.53125</v>
      </c>
      <c r="Y158" s="149">
        <v>135908753.53125</v>
      </c>
      <c r="Z158" s="149">
        <v>135908753.53125</v>
      </c>
      <c r="AA158" s="149">
        <v>135908753.53125</v>
      </c>
      <c r="AB158" s="149">
        <v>135908753.53125</v>
      </c>
      <c r="AC158" s="149">
        <v>135908753.53125</v>
      </c>
      <c r="AD158" s="149">
        <v>135908753.53125</v>
      </c>
      <c r="AE158" s="149">
        <v>135908753.53125</v>
      </c>
      <c r="AF158" s="149">
        <v>135908753.53125</v>
      </c>
      <c r="AG158" s="149">
        <v>135908753.53125</v>
      </c>
    </row>
    <row r="159" spans="1:33" ht="14.25" customHeight="1" x14ac:dyDescent="0.35">
      <c r="A159" s="21"/>
      <c r="B159" s="21"/>
      <c r="C159" s="21"/>
      <c r="D159" s="128"/>
      <c r="E159" s="128" t="s">
        <v>3992</v>
      </c>
      <c r="F159" s="21"/>
      <c r="G159" s="21"/>
      <c r="H159" s="21" t="s">
        <v>3988</v>
      </c>
      <c r="I159" s="22" t="s">
        <v>3921</v>
      </c>
      <c r="J159" s="148">
        <f>'DATA - GL Aktual 2026'!C24</f>
        <v>50198350</v>
      </c>
      <c r="K159" s="148">
        <f>'DATA - GL Aktual 2026'!D24</f>
        <v>186480700</v>
      </c>
      <c r="L159" s="148">
        <f>'DATA - GL Aktual 2026'!E24</f>
        <v>133949550</v>
      </c>
      <c r="M159" s="148">
        <f>'DATA - GL Aktual 2026'!F24</f>
        <v>73955000</v>
      </c>
      <c r="N159" s="148">
        <f>'DATA - GL Aktual 2026'!G24</f>
        <v>6537500</v>
      </c>
      <c r="O159" s="148">
        <f>'DATA - GL Aktual 2026'!H24</f>
        <v>612000</v>
      </c>
      <c r="P159" s="148">
        <f>'DATA - GL Aktual 2026'!I24</f>
        <v>17100000</v>
      </c>
      <c r="Q159" s="148">
        <f>'DATA - GL Aktual 2026'!J24</f>
        <v>41591502</v>
      </c>
      <c r="R159" s="149">
        <v>63803075.25</v>
      </c>
      <c r="S159" s="149">
        <v>63803075.25</v>
      </c>
      <c r="T159" s="149">
        <v>63803075.25</v>
      </c>
      <c r="U159" s="149">
        <v>63803075.25</v>
      </c>
      <c r="V159" s="149">
        <v>63803075.25</v>
      </c>
      <c r="W159" s="149">
        <v>63803075.25</v>
      </c>
      <c r="X159" s="149">
        <v>63803075.25</v>
      </c>
      <c r="Y159" s="149">
        <v>63803075.25</v>
      </c>
      <c r="Z159" s="149">
        <v>63803075.25</v>
      </c>
      <c r="AA159" s="149">
        <v>63803075.25</v>
      </c>
      <c r="AB159" s="149">
        <v>63803075.25</v>
      </c>
      <c r="AC159" s="149">
        <v>63803075.25</v>
      </c>
      <c r="AD159" s="149">
        <v>63803075.25</v>
      </c>
      <c r="AE159" s="149">
        <v>63803075.25</v>
      </c>
      <c r="AF159" s="149">
        <v>63803075.25</v>
      </c>
      <c r="AG159" s="149">
        <v>63803075.25</v>
      </c>
    </row>
    <row r="160" spans="1:33" ht="14.25" customHeight="1" x14ac:dyDescent="0.35">
      <c r="A160" s="21"/>
      <c r="B160" s="21"/>
      <c r="C160" s="21"/>
      <c r="D160" s="128"/>
      <c r="E160" s="128" t="s">
        <v>3993</v>
      </c>
      <c r="F160" s="21"/>
      <c r="G160" s="21"/>
      <c r="H160" s="21" t="s">
        <v>3988</v>
      </c>
      <c r="I160" s="22" t="s">
        <v>3921</v>
      </c>
      <c r="J160" s="148">
        <f>'DATA - GL Aktual 2026'!C25</f>
        <v>3700000</v>
      </c>
      <c r="K160" s="148">
        <f>'DATA - GL Aktual 2026'!D25</f>
        <v>1344631</v>
      </c>
      <c r="L160" s="148">
        <f>'DATA - GL Aktual 2026'!E25</f>
        <v>2075000</v>
      </c>
      <c r="M160" s="148">
        <f>'DATA - GL Aktual 2026'!F25</f>
        <v>17203000</v>
      </c>
      <c r="N160" s="148">
        <f>'DATA - GL Aktual 2026'!G25</f>
        <v>4850000</v>
      </c>
      <c r="O160" s="148">
        <f>'DATA - GL Aktual 2026'!H25</f>
        <v>8118919</v>
      </c>
      <c r="P160" s="148">
        <f>'DATA - GL Aktual 2026'!I25</f>
        <v>17597180</v>
      </c>
      <c r="Q160" s="148">
        <f>'DATA - GL Aktual 2026'!J25</f>
        <v>4703135</v>
      </c>
      <c r="R160" s="149">
        <v>7448983.125</v>
      </c>
      <c r="S160" s="149">
        <v>7448983.125</v>
      </c>
      <c r="T160" s="149">
        <v>7448983.125</v>
      </c>
      <c r="U160" s="149">
        <v>7448983.125</v>
      </c>
      <c r="V160" s="149">
        <v>7448983.125</v>
      </c>
      <c r="W160" s="149">
        <v>7448983.125</v>
      </c>
      <c r="X160" s="149">
        <v>7448983.125</v>
      </c>
      <c r="Y160" s="149">
        <v>7448983.125</v>
      </c>
      <c r="Z160" s="149">
        <v>7448983.125</v>
      </c>
      <c r="AA160" s="149">
        <v>7448983.125</v>
      </c>
      <c r="AB160" s="149">
        <v>7448983.125</v>
      </c>
      <c r="AC160" s="149">
        <v>7448983.125</v>
      </c>
      <c r="AD160" s="149">
        <v>7448983.125</v>
      </c>
      <c r="AE160" s="149">
        <v>7448983.125</v>
      </c>
      <c r="AF160" s="149">
        <v>7448983.125</v>
      </c>
      <c r="AG160" s="149">
        <v>7448983.125</v>
      </c>
    </row>
    <row r="161" spans="1:33" ht="14.25" customHeight="1" x14ac:dyDescent="0.35">
      <c r="A161" s="21"/>
      <c r="B161" s="21"/>
      <c r="C161" s="21"/>
      <c r="D161" s="128" t="s">
        <v>3994</v>
      </c>
      <c r="E161" s="128" t="s">
        <v>3995</v>
      </c>
      <c r="F161" s="21"/>
      <c r="G161" s="21"/>
      <c r="H161" s="21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</row>
    <row r="162" spans="1:33" ht="14.25" customHeight="1" x14ac:dyDescent="0.35">
      <c r="A162" s="21"/>
      <c r="B162" s="21"/>
      <c r="C162" s="21"/>
      <c r="D162" s="21"/>
      <c r="E162" s="128" t="s">
        <v>3996</v>
      </c>
      <c r="F162" s="21"/>
      <c r="G162" s="21"/>
      <c r="H162" s="21" t="s">
        <v>3991</v>
      </c>
      <c r="I162" s="22" t="s">
        <v>3921</v>
      </c>
      <c r="J162" s="148">
        <f>'DATA - GL Aktual 2026'!C26</f>
        <v>10290902.66</v>
      </c>
      <c r="K162" s="148">
        <f>'DATA - GL Aktual 2026'!D26</f>
        <v>16793680.670000002</v>
      </c>
      <c r="L162" s="148">
        <f>'DATA - GL Aktual 2026'!E26</f>
        <v>16793680.670000002</v>
      </c>
      <c r="M162" s="148">
        <f>'DATA - GL Aktual 2026'!F26</f>
        <v>15659222.34</v>
      </c>
      <c r="N162" s="148">
        <f>'DATA - GL Aktual 2026'!G26</f>
        <v>16700889.01</v>
      </c>
      <c r="O162" s="148">
        <f>'DATA - GL Aktual 2026'!H26</f>
        <v>16700889.01</v>
      </c>
      <c r="P162" s="148">
        <f>'DATA - GL Aktual 2026'!I26</f>
        <v>16700889.01</v>
      </c>
      <c r="Q162" s="148">
        <f>'DATA - GL Aktual 2026'!J26</f>
        <v>16700889.01</v>
      </c>
      <c r="R162" s="164">
        <f>'Register FA'!AG1424</f>
        <v>16700889.000000007</v>
      </c>
      <c r="S162" s="164">
        <f>'Register FA'!AH1424</f>
        <v>16700888.999999974</v>
      </c>
      <c r="T162" s="164">
        <f>'Register FA'!AI1424</f>
        <v>15573644.687500037</v>
      </c>
      <c r="U162" s="164">
        <f>'Register FA'!AJ1424</f>
        <v>13386144.687500006</v>
      </c>
      <c r="V162" s="164">
        <f>'Register FA'!AK1424</f>
        <v>13386144.687500006</v>
      </c>
      <c r="W162" s="164">
        <f>'Register FA'!AL1424</f>
        <v>13386144.687500006</v>
      </c>
      <c r="X162" s="164">
        <f>'Register FA'!AM1424</f>
        <v>13386144.687500006</v>
      </c>
      <c r="Y162" s="164">
        <f>'Register FA'!AN1424</f>
        <v>11523644.687500006</v>
      </c>
      <c r="Z162" s="164">
        <f>'Register FA'!AO1424</f>
        <v>11523644.687500006</v>
      </c>
      <c r="AA162" s="164">
        <f>'Register FA'!AP1424</f>
        <v>11523644.687500006</v>
      </c>
      <c r="AB162" s="164">
        <f>'Register FA'!AQ1424</f>
        <v>11346561.354166651</v>
      </c>
      <c r="AC162" s="164">
        <f>'Register FA'!AR1424</f>
        <v>10950728.020833341</v>
      </c>
      <c r="AD162" s="164">
        <f>'Register FA'!AS1424</f>
        <v>10950728.020833341</v>
      </c>
      <c r="AE162" s="164">
        <f>'Register FA'!AT1424</f>
        <v>10950728.020833341</v>
      </c>
      <c r="AF162" s="164">
        <f>'Register FA'!AU1424</f>
        <v>10950728.020833341</v>
      </c>
      <c r="AG162" s="164">
        <f>'Register FA'!AV1424</f>
        <v>10950728.020833341</v>
      </c>
    </row>
    <row r="163" spans="1:33" ht="14.25" customHeight="1" x14ac:dyDescent="0.35">
      <c r="A163" s="21"/>
      <c r="B163" s="21"/>
      <c r="C163" s="21"/>
      <c r="D163" s="21"/>
      <c r="E163" s="128" t="s">
        <v>3997</v>
      </c>
      <c r="F163" s="21"/>
      <c r="G163" s="21"/>
      <c r="H163" s="21" t="s">
        <v>3991</v>
      </c>
      <c r="I163" s="22" t="s">
        <v>3921</v>
      </c>
      <c r="J163" s="148">
        <f>'DATA - GL Aktual 2026'!C27</f>
        <v>138720636.68000001</v>
      </c>
      <c r="K163" s="148">
        <f>'DATA - GL Aktual 2026'!D27</f>
        <v>138720636.68000001</v>
      </c>
      <c r="L163" s="148">
        <f>'DATA - GL Aktual 2026'!E27</f>
        <v>138720636.68000001</v>
      </c>
      <c r="M163" s="148">
        <f>'DATA - GL Aktual 2026'!F27</f>
        <v>137626886.69</v>
      </c>
      <c r="N163" s="148">
        <f>'DATA - GL Aktual 2026'!G27</f>
        <v>137626886.69</v>
      </c>
      <c r="O163" s="148">
        <f>'DATA - GL Aktual 2026'!H27</f>
        <v>137626886.69</v>
      </c>
      <c r="P163" s="148">
        <f>'DATA - GL Aktual 2026'!I27</f>
        <v>137626886.69</v>
      </c>
      <c r="Q163" s="148">
        <f>'DATA - GL Aktual 2026'!J27</f>
        <v>137626886.69</v>
      </c>
      <c r="R163" s="164">
        <f>'Register FA'!AG1427</f>
        <v>137626886.68125007</v>
      </c>
      <c r="S163" s="164">
        <f>'Register FA'!AH1427</f>
        <v>137626886.68125007</v>
      </c>
      <c r="T163" s="164">
        <f>'Register FA'!AI1427</f>
        <v>137626886.68125007</v>
      </c>
      <c r="U163" s="164">
        <f>'Register FA'!AJ1427</f>
        <v>137626886.68125007</v>
      </c>
      <c r="V163" s="164">
        <f>'Register FA'!AK1427</f>
        <v>137626886.68125007</v>
      </c>
      <c r="W163" s="164">
        <f>'Register FA'!AL1427</f>
        <v>137626886.68125007</v>
      </c>
      <c r="X163" s="164">
        <f>'Register FA'!AM1427</f>
        <v>137626886.68125001</v>
      </c>
      <c r="Y163" s="164">
        <f>'Register FA'!AN1427</f>
        <v>131897720.01458338</v>
      </c>
      <c r="Z163" s="164">
        <f>'Register FA'!AO1427</f>
        <v>131897720.01458338</v>
      </c>
      <c r="AA163" s="164">
        <f>'Register FA'!AP1427</f>
        <v>131533136.6812501</v>
      </c>
      <c r="AB163" s="164">
        <f>'Register FA'!AQ1427</f>
        <v>131533136.68125005</v>
      </c>
      <c r="AC163" s="164">
        <f>'Register FA'!AR1427</f>
        <v>131533136.68125005</v>
      </c>
      <c r="AD163" s="164">
        <f>'Register FA'!AS1427</f>
        <v>131533136.68125005</v>
      </c>
      <c r="AE163" s="164">
        <f>'Register FA'!AT1427</f>
        <v>131533136.68125005</v>
      </c>
      <c r="AF163" s="164">
        <f>'Register FA'!AU1427</f>
        <v>131533136.68125005</v>
      </c>
      <c r="AG163" s="164">
        <f>'Register FA'!AV1427</f>
        <v>131533136.68125005</v>
      </c>
    </row>
    <row r="164" spans="1:33" ht="14.25" customHeight="1" x14ac:dyDescent="0.35">
      <c r="A164" s="21"/>
      <c r="B164" s="21"/>
      <c r="C164" s="21"/>
      <c r="D164" s="128"/>
      <c r="E164" s="128" t="s">
        <v>3998</v>
      </c>
      <c r="F164" s="21"/>
      <c r="G164" s="21"/>
      <c r="H164" s="21" t="s">
        <v>3988</v>
      </c>
      <c r="I164" s="22" t="s">
        <v>3921</v>
      </c>
      <c r="J164" s="148">
        <f>'DATA - GL Aktual 2026'!C29</f>
        <v>48063194.57</v>
      </c>
      <c r="K164" s="148">
        <f>'DATA - GL Aktual 2026'!D29</f>
        <v>45759965.409999996</v>
      </c>
      <c r="L164" s="148">
        <f>'DATA - GL Aktual 2026'!E29</f>
        <v>41257210.159999996</v>
      </c>
      <c r="M164" s="148">
        <f>'DATA - GL Aktual 2026'!F29</f>
        <v>40600960.159999996</v>
      </c>
      <c r="N164" s="148">
        <f>'DATA - GL Aktual 2026'!G29</f>
        <v>40560126.829999998</v>
      </c>
      <c r="O164" s="148">
        <f>'DATA - GL Aktual 2026'!H29</f>
        <v>40589887.240000002</v>
      </c>
      <c r="P164" s="148">
        <f>'DATA - GL Aktual 2026'!I29</f>
        <v>40551901.299999997</v>
      </c>
      <c r="Q164" s="148">
        <f>'DATA - GL Aktual 2026'!J29</f>
        <v>41008045.640000001</v>
      </c>
      <c r="R164" s="164">
        <f>'Register FA'!AG1415</f>
        <v>40760130.113333359</v>
      </c>
      <c r="S164" s="164">
        <f>'Register FA'!AH1415</f>
        <v>40624400.950000018</v>
      </c>
      <c r="T164" s="164">
        <f>'Register FA'!AI1415</f>
        <v>39163984.280000024</v>
      </c>
      <c r="U164" s="164">
        <f>'Register FA'!AJ1415</f>
        <v>38940025.946666658</v>
      </c>
      <c r="V164" s="164">
        <f>'Register FA'!AK1415</f>
        <v>37898359.280000009</v>
      </c>
      <c r="W164" s="164">
        <f>'Register FA'!AL1415</f>
        <v>37526848.863333344</v>
      </c>
      <c r="X164" s="164">
        <f>'Register FA'!AM1415</f>
        <v>37080302.300833359</v>
      </c>
      <c r="Y164" s="164">
        <f>'Register FA'!AN1415</f>
        <v>37033948.134166673</v>
      </c>
      <c r="Z164" s="164">
        <f>'Register FA'!AO1415</f>
        <v>36452607.967500001</v>
      </c>
      <c r="AA164" s="164">
        <f>'Register FA'!AP1415</f>
        <v>36097566.300833337</v>
      </c>
      <c r="AB164" s="164">
        <f>'Register FA'!AQ1415</f>
        <v>36097566.300833337</v>
      </c>
      <c r="AC164" s="164">
        <f>'Register FA'!AR1415</f>
        <v>35472566.300833337</v>
      </c>
      <c r="AD164" s="164">
        <f>'Register FA'!AS1415</f>
        <v>35337149.634166673</v>
      </c>
      <c r="AE164" s="164">
        <f>'Register FA'!AT1415</f>
        <v>34670482.967499994</v>
      </c>
      <c r="AF164" s="164">
        <f>'Register FA'!AU1415</f>
        <v>34570482.967499994</v>
      </c>
      <c r="AG164" s="164">
        <f>'Register FA'!AV1415</f>
        <v>34034024.634166658</v>
      </c>
    </row>
    <row r="165" spans="1:33" ht="14.25" customHeight="1" x14ac:dyDescent="0.35">
      <c r="A165" s="21"/>
      <c r="B165" s="21"/>
      <c r="C165" s="21"/>
      <c r="D165" s="128"/>
      <c r="E165" s="128" t="s">
        <v>3999</v>
      </c>
      <c r="F165" s="21"/>
      <c r="G165" s="21"/>
      <c r="H165" s="21" t="s">
        <v>3988</v>
      </c>
      <c r="I165" s="22" t="s">
        <v>3921</v>
      </c>
      <c r="J165" s="148">
        <f>'DATA - GL Aktual 2026'!C30</f>
        <v>14533270.83</v>
      </c>
      <c r="K165" s="148">
        <f>'DATA - GL Aktual 2026'!D30</f>
        <v>14533270.83</v>
      </c>
      <c r="L165" s="148">
        <f>'DATA - GL Aktual 2026'!E30</f>
        <v>14533270.83</v>
      </c>
      <c r="M165" s="148">
        <f>'DATA - GL Aktual 2026'!F30</f>
        <v>14533270.83</v>
      </c>
      <c r="N165" s="148">
        <f>'DATA - GL Aktual 2026'!G30</f>
        <v>14533270.83</v>
      </c>
      <c r="O165" s="148">
        <f>'DATA - GL Aktual 2026'!H30</f>
        <v>14533270.83</v>
      </c>
      <c r="P165" s="148">
        <f>'DATA - GL Aktual 2026'!I30</f>
        <v>14533270.83</v>
      </c>
      <c r="Q165" s="148">
        <f>'DATA - GL Aktual 2026'!J30</f>
        <v>14533270.83</v>
      </c>
      <c r="R165" s="164">
        <f>'Register FA'!AG1418</f>
        <v>14533270.833333332</v>
      </c>
      <c r="S165" s="164">
        <f>'Register FA'!AH1418</f>
        <v>14533270.833333332</v>
      </c>
      <c r="T165" s="164">
        <f>'Register FA'!AI1418</f>
        <v>14533270.833333332</v>
      </c>
      <c r="U165" s="164">
        <f>'Register FA'!AJ1418</f>
        <v>14449937.500000004</v>
      </c>
      <c r="V165" s="164">
        <f>'Register FA'!AK1418</f>
        <v>14449937.5</v>
      </c>
      <c r="W165" s="164">
        <f>'Register FA'!AL1418</f>
        <v>14449937.5</v>
      </c>
      <c r="X165" s="164">
        <f>'Register FA'!AM1418</f>
        <v>14449937.5</v>
      </c>
      <c r="Y165" s="164">
        <f>'Register FA'!AN1418</f>
        <v>14449937.5</v>
      </c>
      <c r="Z165" s="164">
        <f>'Register FA'!AO1418</f>
        <v>14449937.5</v>
      </c>
      <c r="AA165" s="164">
        <f>'Register FA'!AP1418</f>
        <v>14449937.5</v>
      </c>
      <c r="AB165" s="164">
        <f>'Register FA'!AQ1418</f>
        <v>14449937.5</v>
      </c>
      <c r="AC165" s="164">
        <f>'Register FA'!AR1418</f>
        <v>14449937.5</v>
      </c>
      <c r="AD165" s="164">
        <f>'Register FA'!AS1418</f>
        <v>14449937.5</v>
      </c>
      <c r="AE165" s="164">
        <f>'Register FA'!AT1418</f>
        <v>14449937.5</v>
      </c>
      <c r="AF165" s="164">
        <f>'Register FA'!AU1418</f>
        <v>14449937.5</v>
      </c>
      <c r="AG165" s="164">
        <f>'Register FA'!AV1418</f>
        <v>14449937.5</v>
      </c>
    </row>
    <row r="166" spans="1:33" ht="14.25" customHeight="1" x14ac:dyDescent="0.35">
      <c r="A166" s="21"/>
      <c r="B166" s="21"/>
      <c r="C166" s="21"/>
      <c r="D166" s="128"/>
      <c r="E166" s="128" t="s">
        <v>4000</v>
      </c>
      <c r="F166" s="21"/>
      <c r="G166" s="21"/>
      <c r="H166" s="21" t="s">
        <v>3988</v>
      </c>
      <c r="I166" s="22" t="s">
        <v>3921</v>
      </c>
      <c r="J166" s="148">
        <f>'DATA - GL Aktual 2026'!C31</f>
        <v>0</v>
      </c>
      <c r="K166" s="148">
        <f>'DATA - GL Aktual 2026'!D31</f>
        <v>0</v>
      </c>
      <c r="L166" s="148">
        <f>'DATA - GL Aktual 2026'!E31</f>
        <v>0</v>
      </c>
      <c r="M166" s="148">
        <f>'DATA - GL Aktual 2026'!F31</f>
        <v>0</v>
      </c>
      <c r="N166" s="148">
        <f>'DATA - GL Aktual 2026'!G31</f>
        <v>0</v>
      </c>
      <c r="O166" s="148">
        <f>'DATA - GL Aktual 2026'!H31</f>
        <v>0</v>
      </c>
      <c r="P166" s="148">
        <f>'DATA - GL Aktual 2026'!I31</f>
        <v>0</v>
      </c>
      <c r="Q166" s="148">
        <f>'DATA - GL Aktual 2026'!J31</f>
        <v>0</v>
      </c>
      <c r="R166" s="164">
        <f>'Register FA'!AG1421</f>
        <v>0</v>
      </c>
      <c r="S166" s="164">
        <f>'Register FA'!AH1421</f>
        <v>0</v>
      </c>
      <c r="T166" s="164">
        <f>'Register FA'!AI1421</f>
        <v>0</v>
      </c>
      <c r="U166" s="164">
        <f>'Register FA'!AJ1421</f>
        <v>0</v>
      </c>
      <c r="V166" s="164">
        <f>'Register FA'!AK1421</f>
        <v>0</v>
      </c>
      <c r="W166" s="164">
        <f>'Register FA'!AL1421</f>
        <v>0</v>
      </c>
      <c r="X166" s="164">
        <f>'Register FA'!AM1421</f>
        <v>0</v>
      </c>
      <c r="Y166" s="164">
        <f>'Register FA'!AN1421</f>
        <v>0</v>
      </c>
      <c r="Z166" s="164">
        <f>'Register FA'!AO1421</f>
        <v>0</v>
      </c>
      <c r="AA166" s="164">
        <f>'Register FA'!AP1421</f>
        <v>0</v>
      </c>
      <c r="AB166" s="164">
        <f>'Register FA'!AQ1421</f>
        <v>0</v>
      </c>
      <c r="AC166" s="164">
        <f>'Register FA'!AR1421</f>
        <v>0</v>
      </c>
      <c r="AD166" s="164">
        <f>'Register FA'!AS1421</f>
        <v>0</v>
      </c>
      <c r="AE166" s="164">
        <f>'Register FA'!AT1421</f>
        <v>0</v>
      </c>
      <c r="AF166" s="164">
        <f>'Register FA'!AU1421</f>
        <v>0</v>
      </c>
      <c r="AG166" s="164">
        <f>'Register FA'!AV1421</f>
        <v>0</v>
      </c>
    </row>
    <row r="167" spans="1:33" ht="14.25" customHeight="1" x14ac:dyDescent="0.35">
      <c r="A167" s="21"/>
      <c r="B167" s="21"/>
      <c r="C167" s="21"/>
      <c r="D167" s="128"/>
      <c r="E167" s="128" t="s">
        <v>4001</v>
      </c>
      <c r="F167" s="21"/>
      <c r="G167" s="21"/>
      <c r="H167" s="21" t="s">
        <v>3991</v>
      </c>
      <c r="I167" s="22" t="s">
        <v>3921</v>
      </c>
      <c r="J167" s="148">
        <f>'DATA - GL Aktual 2026'!C32</f>
        <v>0</v>
      </c>
      <c r="K167" s="148">
        <f>'DATA - GL Aktual 2026'!D32</f>
        <v>0</v>
      </c>
      <c r="L167" s="148">
        <f>'DATA - GL Aktual 2026'!E32</f>
        <v>0</v>
      </c>
      <c r="M167" s="148">
        <f>'DATA - GL Aktual 2026'!F32</f>
        <v>0</v>
      </c>
      <c r="N167" s="148">
        <f>'DATA - GL Aktual 2026'!G32</f>
        <v>0</v>
      </c>
      <c r="O167" s="148">
        <f>'DATA - GL Aktual 2026'!H32</f>
        <v>0</v>
      </c>
      <c r="P167" s="148">
        <f>'DATA - GL Aktual 2026'!I32</f>
        <v>0</v>
      </c>
      <c r="Q167" s="148">
        <f>'DATA - GL Aktual 2026'!J32</f>
        <v>0</v>
      </c>
      <c r="R167" s="164">
        <f>'Register FA'!AG1430</f>
        <v>0</v>
      </c>
      <c r="S167" s="164">
        <f>'Register FA'!AH1430</f>
        <v>0</v>
      </c>
      <c r="T167" s="164">
        <f>'Register FA'!AI1430</f>
        <v>0</v>
      </c>
      <c r="U167" s="164">
        <f>'Register FA'!AJ1430</f>
        <v>0</v>
      </c>
      <c r="V167" s="164">
        <f>'Register FA'!AK1430</f>
        <v>0</v>
      </c>
      <c r="W167" s="164">
        <f>'Register FA'!AL1430</f>
        <v>0</v>
      </c>
      <c r="X167" s="164">
        <f>'Register FA'!AM1430</f>
        <v>0</v>
      </c>
      <c r="Y167" s="164">
        <f>'Register FA'!AN1430</f>
        <v>0</v>
      </c>
      <c r="Z167" s="164">
        <f>'Register FA'!AO1430</f>
        <v>0</v>
      </c>
      <c r="AA167" s="164">
        <f>'Register FA'!AP1430</f>
        <v>0</v>
      </c>
      <c r="AB167" s="164">
        <f>'Register FA'!AQ1430</f>
        <v>0</v>
      </c>
      <c r="AC167" s="164">
        <f>'Register FA'!AR1430</f>
        <v>0</v>
      </c>
      <c r="AD167" s="164">
        <f>'Register FA'!AS1430</f>
        <v>0</v>
      </c>
      <c r="AE167" s="164">
        <f>'Register FA'!AT1430</f>
        <v>0</v>
      </c>
      <c r="AF167" s="164">
        <f>'Register FA'!AU1430</f>
        <v>0</v>
      </c>
      <c r="AG167" s="164">
        <f>'Register FA'!AV1430</f>
        <v>0</v>
      </c>
    </row>
    <row r="168" spans="1:33" ht="14.25" customHeight="1" x14ac:dyDescent="0.35">
      <c r="A168" s="21"/>
      <c r="B168" s="21"/>
      <c r="C168" s="21"/>
      <c r="D168" s="128"/>
      <c r="E168" s="128" t="s">
        <v>4002</v>
      </c>
      <c r="F168" s="21"/>
      <c r="G168" s="21"/>
      <c r="H168" s="21" t="s">
        <v>3991</v>
      </c>
      <c r="I168" s="22" t="s">
        <v>3921</v>
      </c>
      <c r="J168" s="148">
        <f>'DATA - GL Aktual 2026'!C33</f>
        <v>0</v>
      </c>
      <c r="K168" s="148">
        <f>'DATA - GL Aktual 2026'!D33</f>
        <v>0</v>
      </c>
      <c r="L168" s="148">
        <f>'DATA - GL Aktual 2026'!E33</f>
        <v>0</v>
      </c>
      <c r="M168" s="148">
        <f>'DATA - GL Aktual 2026'!F33</f>
        <v>0</v>
      </c>
      <c r="N168" s="148">
        <f>'DATA - GL Aktual 2026'!G33</f>
        <v>0</v>
      </c>
      <c r="O168" s="148">
        <f>'DATA - GL Aktual 2026'!H33</f>
        <v>0</v>
      </c>
      <c r="P168" s="148">
        <f>'DATA - GL Aktual 2026'!I33</f>
        <v>0</v>
      </c>
      <c r="Q168" s="148">
        <f>'DATA - GL Aktual 2026'!J33</f>
        <v>0</v>
      </c>
      <c r="R168" s="164">
        <f>'Register FA'!AG1433</f>
        <v>0</v>
      </c>
      <c r="S168" s="164">
        <f>'Register FA'!AH1433</f>
        <v>0</v>
      </c>
      <c r="T168" s="164">
        <f>'Register FA'!AI1433</f>
        <v>0</v>
      </c>
      <c r="U168" s="164">
        <f>'Register FA'!AJ1433</f>
        <v>0</v>
      </c>
      <c r="V168" s="164">
        <f>'Register FA'!AK1433</f>
        <v>0</v>
      </c>
      <c r="W168" s="164">
        <f>'Register FA'!AL1433</f>
        <v>0</v>
      </c>
      <c r="X168" s="164">
        <f>'Register FA'!AM1433</f>
        <v>0</v>
      </c>
      <c r="Y168" s="164">
        <f>'Register FA'!AN1433</f>
        <v>0</v>
      </c>
      <c r="Z168" s="164">
        <f>'Register FA'!AO1433</f>
        <v>0</v>
      </c>
      <c r="AA168" s="164">
        <f>'Register FA'!AP1433</f>
        <v>0</v>
      </c>
      <c r="AB168" s="164">
        <f>'Register FA'!AQ1433</f>
        <v>0</v>
      </c>
      <c r="AC168" s="164">
        <f>'Register FA'!AR1433</f>
        <v>0</v>
      </c>
      <c r="AD168" s="164">
        <f>'Register FA'!AS1433</f>
        <v>0</v>
      </c>
      <c r="AE168" s="164">
        <f>'Register FA'!AT1433</f>
        <v>0</v>
      </c>
      <c r="AF168" s="164">
        <f>'Register FA'!AU1433</f>
        <v>0</v>
      </c>
      <c r="AG168" s="164">
        <f>'Register FA'!AV1433</f>
        <v>0</v>
      </c>
    </row>
    <row r="169" spans="1:33" ht="14.25" customHeight="1" x14ac:dyDescent="0.35">
      <c r="A169" s="21"/>
      <c r="B169" s="21"/>
      <c r="C169" s="21"/>
      <c r="D169" s="128"/>
      <c r="E169" s="128" t="s">
        <v>4003</v>
      </c>
      <c r="F169" s="21"/>
      <c r="G169" s="21"/>
      <c r="H169" s="21"/>
      <c r="I169" s="22" t="s">
        <v>3921</v>
      </c>
      <c r="J169" s="148">
        <f t="shared" ref="J169:AG169" si="72">SUM(J162:J168)</f>
        <v>211608004.74000001</v>
      </c>
      <c r="K169" s="148">
        <f t="shared" si="72"/>
        <v>215807553.59000003</v>
      </c>
      <c r="L169" s="148">
        <f t="shared" si="72"/>
        <v>211304798.34000003</v>
      </c>
      <c r="M169" s="148">
        <f t="shared" si="72"/>
        <v>208420340.02000001</v>
      </c>
      <c r="N169" s="148">
        <f t="shared" si="72"/>
        <v>209421173.35999998</v>
      </c>
      <c r="O169" s="148">
        <f t="shared" si="72"/>
        <v>209450933.77000001</v>
      </c>
      <c r="P169" s="148">
        <f t="shared" si="72"/>
        <v>209412947.83000001</v>
      </c>
      <c r="Q169" s="148">
        <f t="shared" si="72"/>
        <v>209869092.16999999</v>
      </c>
      <c r="R169" s="164">
        <f t="shared" si="72"/>
        <v>209621176.62791678</v>
      </c>
      <c r="S169" s="164">
        <f t="shared" si="72"/>
        <v>209485447.4645834</v>
      </c>
      <c r="T169" s="164">
        <f t="shared" si="72"/>
        <v>206897786.48208347</v>
      </c>
      <c r="U169" s="164">
        <f t="shared" si="72"/>
        <v>204402994.81541672</v>
      </c>
      <c r="V169" s="164">
        <f t="shared" si="72"/>
        <v>203361328.14875007</v>
      </c>
      <c r="W169" s="164">
        <f t="shared" si="72"/>
        <v>202989817.73208341</v>
      </c>
      <c r="X169" s="164">
        <f t="shared" si="72"/>
        <v>202543271.16958338</v>
      </c>
      <c r="Y169" s="164">
        <f t="shared" si="72"/>
        <v>194905250.33625007</v>
      </c>
      <c r="Z169" s="164">
        <f t="shared" si="72"/>
        <v>194323910.16958338</v>
      </c>
      <c r="AA169" s="164">
        <f t="shared" si="72"/>
        <v>193604285.16958344</v>
      </c>
      <c r="AB169" s="164">
        <f t="shared" si="72"/>
        <v>193427201.83625004</v>
      </c>
      <c r="AC169" s="164">
        <f t="shared" si="72"/>
        <v>192406368.50291672</v>
      </c>
      <c r="AD169" s="164">
        <f t="shared" si="72"/>
        <v>192270951.83625007</v>
      </c>
      <c r="AE169" s="164">
        <f t="shared" si="72"/>
        <v>191604285.16958338</v>
      </c>
      <c r="AF169" s="164">
        <f t="shared" si="72"/>
        <v>191504285.16958338</v>
      </c>
      <c r="AG169" s="164">
        <f t="shared" si="72"/>
        <v>190967826.83625004</v>
      </c>
    </row>
    <row r="170" spans="1:33" ht="14.25" customHeight="1" x14ac:dyDescent="0.35">
      <c r="A170" s="21"/>
      <c r="B170" s="21"/>
      <c r="C170" s="21"/>
      <c r="D170" s="128" t="s">
        <v>4004</v>
      </c>
      <c r="E170" s="128" t="s">
        <v>4005</v>
      </c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</row>
    <row r="171" spans="1:33" ht="14.25" customHeight="1" x14ac:dyDescent="0.35">
      <c r="A171" s="21"/>
      <c r="B171" s="21"/>
      <c r="C171" s="21"/>
      <c r="D171" s="21"/>
      <c r="E171" s="128" t="s">
        <v>4006</v>
      </c>
      <c r="F171" s="21"/>
      <c r="G171" s="21"/>
      <c r="H171" s="21" t="s">
        <v>3988</v>
      </c>
      <c r="I171" s="22" t="s">
        <v>3921</v>
      </c>
      <c r="J171" s="148">
        <f>'DATA - GL Aktual 2026'!C28</f>
        <v>1865200</v>
      </c>
      <c r="K171" s="148">
        <f>'DATA - GL Aktual 2026'!D28</f>
        <v>10639288</v>
      </c>
      <c r="L171" s="148">
        <f>'DATA - GL Aktual 2026'!E28</f>
        <v>504800</v>
      </c>
      <c r="M171" s="148">
        <f>'DATA - GL Aktual 2026'!F28</f>
        <v>1221625</v>
      </c>
      <c r="N171" s="148">
        <f>'DATA - GL Aktual 2026'!G28</f>
        <v>558499</v>
      </c>
      <c r="O171" s="148">
        <f>'DATA - GL Aktual 2026'!H28</f>
        <v>3901714</v>
      </c>
      <c r="P171" s="148">
        <f>'DATA - GL Aktual 2026'!I28</f>
        <v>11113022</v>
      </c>
      <c r="Q171" s="148">
        <f>'DATA - GL Aktual 2026'!J28</f>
        <v>12505355.35</v>
      </c>
      <c r="R171" s="149">
        <v>5220387.9181814501</v>
      </c>
      <c r="S171" s="149">
        <v>5229033.4445010824</v>
      </c>
      <c r="T171" s="149">
        <v>5218413.9425886124</v>
      </c>
      <c r="U171" s="149">
        <v>5222607.6227009986</v>
      </c>
      <c r="V171" s="149">
        <v>5223347.9515372887</v>
      </c>
      <c r="W171" s="149">
        <v>5221455.5846129572</v>
      </c>
      <c r="X171" s="149">
        <v>5222470.2680363758</v>
      </c>
      <c r="Y171" s="149">
        <v>5222424.4847834976</v>
      </c>
      <c r="Z171" s="149">
        <v>5222116.736437575</v>
      </c>
      <c r="AA171" s="149">
        <v>5222337.1582792457</v>
      </c>
      <c r="AB171" s="149">
        <v>5222292.789896057</v>
      </c>
      <c r="AC171" s="149">
        <v>5222248.8931036331</v>
      </c>
      <c r="AD171" s="149">
        <v>5222292.94683972</v>
      </c>
      <c r="AE171" s="149">
        <v>5222278.2098626513</v>
      </c>
      <c r="AF171" s="149">
        <v>5222273.3498699423</v>
      </c>
      <c r="AG171" s="149">
        <v>5222281.5021772301</v>
      </c>
    </row>
    <row r="172" spans="1:33" ht="14.25" customHeight="1" x14ac:dyDescent="0.35">
      <c r="A172" s="21"/>
      <c r="B172" s="21"/>
      <c r="C172" s="21"/>
      <c r="D172" s="21"/>
      <c r="E172" s="128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</row>
    <row r="173" spans="1:33" ht="14.25" customHeight="1" x14ac:dyDescent="0.35">
      <c r="A173" s="21"/>
      <c r="B173" s="21"/>
      <c r="C173" s="21" t="s">
        <v>4007</v>
      </c>
      <c r="D173" s="128"/>
      <c r="E173" s="128"/>
      <c r="F173" s="21"/>
      <c r="G173" s="21"/>
      <c r="H173" s="21"/>
      <c r="I173" s="22" t="s">
        <v>3921</v>
      </c>
      <c r="J173" s="148">
        <f t="shared" ref="J173:AG173" si="73">SUM(J102,J117,J134,J139,J144,J150,J152:J153,J156,J158:J160,J169,J171)</f>
        <v>1546236769.79</v>
      </c>
      <c r="K173" s="148">
        <f t="shared" si="73"/>
        <v>1531273501.6100001</v>
      </c>
      <c r="L173" s="148">
        <f t="shared" si="73"/>
        <v>1371551060.98</v>
      </c>
      <c r="M173" s="148">
        <f t="shared" si="73"/>
        <v>1746432842.01</v>
      </c>
      <c r="N173" s="148">
        <f t="shared" si="73"/>
        <v>1560745258.8299999</v>
      </c>
      <c r="O173" s="148">
        <f t="shared" si="73"/>
        <v>1583660521.03</v>
      </c>
      <c r="P173" s="148">
        <f t="shared" si="73"/>
        <v>1662394894.6299999</v>
      </c>
      <c r="Q173" s="148">
        <f t="shared" si="73"/>
        <v>1606652758.9200001</v>
      </c>
      <c r="R173" s="149">
        <f t="shared" si="73"/>
        <v>1571773246.9607301</v>
      </c>
      <c r="S173" s="149">
        <f t="shared" si="73"/>
        <v>1572516849.6564429</v>
      </c>
      <c r="T173" s="149">
        <f t="shared" si="73"/>
        <v>1567089380.4928491</v>
      </c>
      <c r="U173" s="149">
        <f t="shared" si="73"/>
        <v>1566194679.5148399</v>
      </c>
      <c r="V173" s="149">
        <f t="shared" si="73"/>
        <v>1565032884.7310398</v>
      </c>
      <c r="W173" s="149">
        <f t="shared" si="73"/>
        <v>1564208095.2419133</v>
      </c>
      <c r="X173" s="149">
        <f t="shared" si="73"/>
        <v>1564103777.3151839</v>
      </c>
      <c r="Y173" s="149">
        <f t="shared" si="73"/>
        <v>1556388696.9655447</v>
      </c>
      <c r="Z173" s="149">
        <f t="shared" si="73"/>
        <v>1555744653.5551183</v>
      </c>
      <c r="AA173" s="149">
        <f t="shared" si="73"/>
        <v>1555092517.2182534</v>
      </c>
      <c r="AB173" s="149">
        <f t="shared" si="73"/>
        <v>1554891342.5208125</v>
      </c>
      <c r="AC173" s="149">
        <f t="shared" si="73"/>
        <v>1553864073.8740721</v>
      </c>
      <c r="AD173" s="149">
        <f t="shared" si="73"/>
        <v>1553740977.8707929</v>
      </c>
      <c r="AE173" s="149">
        <f t="shared" si="73"/>
        <v>1553068242.5329199</v>
      </c>
      <c r="AF173" s="149">
        <f t="shared" si="73"/>
        <v>1552968181.4258628</v>
      </c>
      <c r="AG173" s="149">
        <f t="shared" si="73"/>
        <v>1552433786.7209558</v>
      </c>
    </row>
    <row r="174" spans="1:33" ht="14.25" customHeight="1" x14ac:dyDescent="0.35">
      <c r="A174" s="21"/>
      <c r="B174" s="21"/>
      <c r="C174" s="21"/>
      <c r="D174" s="128" t="s">
        <v>4008</v>
      </c>
      <c r="E174" s="128"/>
      <c r="F174" s="21"/>
      <c r="G174" s="21"/>
      <c r="H174" s="21"/>
      <c r="I174" s="22" t="s">
        <v>3921</v>
      </c>
      <c r="J174" s="148">
        <f t="shared" ref="J174:AG174" si="74">SUM(J184:J188)-J173</f>
        <v>0</v>
      </c>
      <c r="K174" s="148">
        <f t="shared" si="74"/>
        <v>0</v>
      </c>
      <c r="L174" s="148">
        <f t="shared" si="74"/>
        <v>0</v>
      </c>
      <c r="M174" s="148">
        <f t="shared" si="74"/>
        <v>0</v>
      </c>
      <c r="N174" s="148">
        <f t="shared" si="74"/>
        <v>0</v>
      </c>
      <c r="O174" s="148">
        <f t="shared" si="74"/>
        <v>0</v>
      </c>
      <c r="P174" s="148">
        <f t="shared" si="74"/>
        <v>0</v>
      </c>
      <c r="Q174" s="148">
        <f t="shared" si="74"/>
        <v>0</v>
      </c>
      <c r="R174" s="149">
        <f t="shared" si="74"/>
        <v>0</v>
      </c>
      <c r="S174" s="149">
        <f t="shared" si="74"/>
        <v>0</v>
      </c>
      <c r="T174" s="149">
        <f t="shared" si="74"/>
        <v>0</v>
      </c>
      <c r="U174" s="149">
        <f t="shared" si="74"/>
        <v>0</v>
      </c>
      <c r="V174" s="149">
        <f t="shared" si="74"/>
        <v>0</v>
      </c>
      <c r="W174" s="149">
        <f t="shared" si="74"/>
        <v>0</v>
      </c>
      <c r="X174" s="149">
        <f t="shared" si="74"/>
        <v>0</v>
      </c>
      <c r="Y174" s="149">
        <f t="shared" si="74"/>
        <v>0</v>
      </c>
      <c r="Z174" s="149">
        <f t="shared" si="74"/>
        <v>0</v>
      </c>
      <c r="AA174" s="149">
        <f t="shared" si="74"/>
        <v>0</v>
      </c>
      <c r="AB174" s="149">
        <f t="shared" si="74"/>
        <v>0</v>
      </c>
      <c r="AC174" s="149">
        <f t="shared" si="74"/>
        <v>0</v>
      </c>
      <c r="AD174" s="149">
        <f t="shared" si="74"/>
        <v>0</v>
      </c>
      <c r="AE174" s="149">
        <f t="shared" si="74"/>
        <v>0</v>
      </c>
      <c r="AF174" s="149">
        <f t="shared" si="74"/>
        <v>0</v>
      </c>
      <c r="AG174" s="149">
        <f t="shared" si="74"/>
        <v>0</v>
      </c>
    </row>
    <row r="175" spans="1:33" ht="14.25" customHeight="1" x14ac:dyDescent="0.35">
      <c r="A175" s="21"/>
      <c r="B175" s="21"/>
      <c r="C175" s="21"/>
      <c r="D175" s="21"/>
      <c r="E175" s="21"/>
      <c r="F175" s="21"/>
      <c r="G175" s="21"/>
      <c r="H175" s="21"/>
      <c r="I175" s="22"/>
      <c r="J175" s="21"/>
      <c r="K175" s="21"/>
      <c r="L175" s="21"/>
      <c r="M175" s="21"/>
      <c r="N175" s="21"/>
      <c r="O175" s="21"/>
      <c r="P175" s="60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</row>
    <row r="176" spans="1:33" ht="14.25" customHeight="1" x14ac:dyDescent="0.35">
      <c r="A176" s="21"/>
      <c r="B176" s="21"/>
      <c r="C176" s="21" t="s">
        <v>4009</v>
      </c>
      <c r="D176" s="21"/>
      <c r="E176" s="21"/>
      <c r="F176" s="21"/>
      <c r="G176" s="21"/>
      <c r="H176" s="21"/>
      <c r="I176" s="22" t="s">
        <v>3921</v>
      </c>
      <c r="J176" s="21"/>
      <c r="K176" s="21"/>
      <c r="L176" s="21"/>
      <c r="M176" s="21"/>
      <c r="N176" s="21"/>
      <c r="O176" s="21"/>
      <c r="P176" s="60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</row>
    <row r="177" spans="1:33" ht="14.25" customHeight="1" x14ac:dyDescent="0.35">
      <c r="A177" s="21"/>
      <c r="B177" s="21"/>
      <c r="C177" s="21"/>
      <c r="D177" s="128" t="s">
        <v>4010</v>
      </c>
      <c r="E177" s="128"/>
      <c r="F177" s="21"/>
      <c r="G177" s="21"/>
      <c r="H177" s="21"/>
      <c r="I177" s="22" t="s">
        <v>3921</v>
      </c>
      <c r="J177" s="148">
        <f t="shared" ref="J177:AG177" si="75">J139+J144+J156+J159+J160+J162+J163+J164+J165+J166+J167+J168</f>
        <v>500468009.06999999</v>
      </c>
      <c r="K177" s="148">
        <f t="shared" si="75"/>
        <v>652278252.54999995</v>
      </c>
      <c r="L177" s="148">
        <f t="shared" si="75"/>
        <v>561926439.38000011</v>
      </c>
      <c r="M177" s="148">
        <f t="shared" si="75"/>
        <v>565383213.70000005</v>
      </c>
      <c r="N177" s="148">
        <f t="shared" si="75"/>
        <v>445825088.02999997</v>
      </c>
      <c r="O177" s="148">
        <f t="shared" si="75"/>
        <v>435456483.11999995</v>
      </c>
      <c r="P177" s="148">
        <f t="shared" si="75"/>
        <v>473640437.18000001</v>
      </c>
      <c r="Q177" s="148">
        <f t="shared" si="75"/>
        <v>472087146.16999996</v>
      </c>
      <c r="R177" s="149">
        <f t="shared" si="75"/>
        <v>496067100.66100448</v>
      </c>
      <c r="S177" s="149">
        <f t="shared" si="75"/>
        <v>496802057.83039755</v>
      </c>
      <c r="T177" s="149">
        <f t="shared" si="75"/>
        <v>493042101.84076118</v>
      </c>
      <c r="U177" s="149">
        <f t="shared" si="75"/>
        <v>491038611.40127665</v>
      </c>
      <c r="V177" s="149">
        <f t="shared" si="75"/>
        <v>490060175.58553404</v>
      </c>
      <c r="W177" s="149">
        <f t="shared" si="75"/>
        <v>489482744.19252396</v>
      </c>
      <c r="X177" s="149">
        <f t="shared" si="75"/>
        <v>489152401.33061147</v>
      </c>
      <c r="Y177" s="149">
        <f t="shared" si="75"/>
        <v>481505551.6890009</v>
      </c>
      <c r="Z177" s="149">
        <f t="shared" si="75"/>
        <v>480891362.82765651</v>
      </c>
      <c r="AA177" s="149">
        <f t="shared" si="75"/>
        <v>480196579.89353418</v>
      </c>
      <c r="AB177" s="149">
        <f t="shared" si="75"/>
        <v>480013884.74784166</v>
      </c>
      <c r="AC177" s="149">
        <f t="shared" si="75"/>
        <v>478988511.93412185</v>
      </c>
      <c r="AD177" s="149">
        <f t="shared" si="75"/>
        <v>478857992.19183248</v>
      </c>
      <c r="AE177" s="149">
        <f t="shared" si="75"/>
        <v>478189574.06904304</v>
      </c>
      <c r="AF177" s="149">
        <f t="shared" si="75"/>
        <v>478089109.39833242</v>
      </c>
      <c r="AG177" s="149">
        <f t="shared" si="75"/>
        <v>477553544.66418046</v>
      </c>
    </row>
    <row r="178" spans="1:33" ht="14.25" customHeight="1" x14ac:dyDescent="0.35">
      <c r="A178" s="21"/>
      <c r="B178" s="21"/>
      <c r="C178" s="21"/>
      <c r="D178" s="128" t="s">
        <v>4011</v>
      </c>
      <c r="E178" s="128"/>
      <c r="F178" s="21"/>
      <c r="G178" s="21"/>
      <c r="H178" s="21"/>
      <c r="I178" s="22" t="s">
        <v>3921</v>
      </c>
      <c r="J178" s="148">
        <f t="shared" ref="J178:AG178" si="76">J93+J158</f>
        <v>980642392.72000003</v>
      </c>
      <c r="K178" s="148">
        <f t="shared" si="76"/>
        <v>814578328.05999994</v>
      </c>
      <c r="L178" s="148">
        <f t="shared" si="76"/>
        <v>767004323.60000002</v>
      </c>
      <c r="M178" s="148">
        <f t="shared" si="76"/>
        <v>1129181766.3099999</v>
      </c>
      <c r="N178" s="148">
        <f t="shared" si="76"/>
        <v>1059839564.8</v>
      </c>
      <c r="O178" s="148">
        <f t="shared" si="76"/>
        <v>1087962464.9100001</v>
      </c>
      <c r="P178" s="148">
        <f t="shared" si="76"/>
        <v>1118940207.45</v>
      </c>
      <c r="Q178" s="148">
        <f t="shared" si="76"/>
        <v>1065415143.4</v>
      </c>
      <c r="R178" s="149">
        <f t="shared" si="76"/>
        <v>1017094528.498992</v>
      </c>
      <c r="S178" s="149">
        <f t="shared" si="76"/>
        <v>1017094528.498992</v>
      </c>
      <c r="T178" s="149">
        <f t="shared" si="76"/>
        <v>1017094528.498992</v>
      </c>
      <c r="U178" s="149">
        <f t="shared" si="76"/>
        <v>1017094528.498992</v>
      </c>
      <c r="V178" s="149">
        <f t="shared" si="76"/>
        <v>1017094528.498992</v>
      </c>
      <c r="W178" s="149">
        <f t="shared" si="76"/>
        <v>1017094528.498992</v>
      </c>
      <c r="X178" s="149">
        <f t="shared" si="76"/>
        <v>1017094528.498992</v>
      </c>
      <c r="Y178" s="149">
        <f t="shared" si="76"/>
        <v>1017094528.498992</v>
      </c>
      <c r="Z178" s="149">
        <f t="shared" si="76"/>
        <v>1017094528.498992</v>
      </c>
      <c r="AA178" s="149">
        <f t="shared" si="76"/>
        <v>1017094528.498992</v>
      </c>
      <c r="AB178" s="149">
        <f t="shared" si="76"/>
        <v>1017094528.498992</v>
      </c>
      <c r="AC178" s="149">
        <f t="shared" si="76"/>
        <v>1017094528.498992</v>
      </c>
      <c r="AD178" s="149">
        <f t="shared" si="76"/>
        <v>1017094528.498992</v>
      </c>
      <c r="AE178" s="149">
        <f t="shared" si="76"/>
        <v>1017094528.498992</v>
      </c>
      <c r="AF178" s="149">
        <f t="shared" si="76"/>
        <v>1017094528.498992</v>
      </c>
      <c r="AG178" s="149">
        <f t="shared" si="76"/>
        <v>1017094528.498992</v>
      </c>
    </row>
    <row r="179" spans="1:33" ht="14.25" customHeight="1" x14ac:dyDescent="0.35">
      <c r="A179" s="21"/>
      <c r="B179" s="21"/>
      <c r="C179" s="21"/>
      <c r="D179" s="128" t="s">
        <v>4012</v>
      </c>
      <c r="E179" s="128"/>
      <c r="F179" s="21"/>
      <c r="G179" s="21"/>
      <c r="H179" s="21"/>
      <c r="I179" s="22" t="s">
        <v>3921</v>
      </c>
      <c r="J179" s="148">
        <f t="shared" ref="J179:AG179" si="77">J150+J152+J153+J171</f>
        <v>65126368</v>
      </c>
      <c r="K179" s="148">
        <f t="shared" si="77"/>
        <v>64416921</v>
      </c>
      <c r="L179" s="148">
        <f t="shared" si="77"/>
        <v>42620298</v>
      </c>
      <c r="M179" s="148">
        <f t="shared" si="77"/>
        <v>51867862</v>
      </c>
      <c r="N179" s="148">
        <f t="shared" si="77"/>
        <v>55080606</v>
      </c>
      <c r="O179" s="148">
        <f t="shared" si="77"/>
        <v>60241573</v>
      </c>
      <c r="P179" s="148">
        <f t="shared" si="77"/>
        <v>69814250</v>
      </c>
      <c r="Q179" s="148">
        <f t="shared" si="77"/>
        <v>69150469.349999994</v>
      </c>
      <c r="R179" s="149">
        <f t="shared" si="77"/>
        <v>58611617.800733633</v>
      </c>
      <c r="S179" s="149">
        <f t="shared" si="77"/>
        <v>58620263.327053264</v>
      </c>
      <c r="T179" s="149">
        <f t="shared" si="77"/>
        <v>56952750.153095752</v>
      </c>
      <c r="U179" s="149">
        <f t="shared" si="77"/>
        <v>58061539.614571504</v>
      </c>
      <c r="V179" s="149">
        <f t="shared" si="77"/>
        <v>57878180.646513894</v>
      </c>
      <c r="W179" s="149">
        <f t="shared" si="77"/>
        <v>57630822.550397716</v>
      </c>
      <c r="X179" s="149">
        <f t="shared" si="77"/>
        <v>57856847.48558034</v>
      </c>
      <c r="Y179" s="149">
        <f t="shared" si="77"/>
        <v>57788616.777551942</v>
      </c>
      <c r="Z179" s="149">
        <f t="shared" si="77"/>
        <v>57758762.228469953</v>
      </c>
      <c r="AA179" s="149">
        <f t="shared" si="77"/>
        <v>57801408.825727507</v>
      </c>
      <c r="AB179" s="149">
        <f t="shared" si="77"/>
        <v>57782929.273979083</v>
      </c>
      <c r="AC179" s="149">
        <f t="shared" si="77"/>
        <v>57781033.440958187</v>
      </c>
      <c r="AD179" s="149">
        <f t="shared" si="77"/>
        <v>57788457.17996832</v>
      </c>
      <c r="AE179" s="149">
        <f t="shared" si="77"/>
        <v>57784139.964884698</v>
      </c>
      <c r="AF179" s="149">
        <f t="shared" si="77"/>
        <v>57784543.528538354</v>
      </c>
      <c r="AG179" s="149">
        <f t="shared" si="77"/>
        <v>57785713.557783581</v>
      </c>
    </row>
    <row r="180" spans="1:33" ht="14.25" customHeight="1" x14ac:dyDescent="0.35">
      <c r="A180" s="21"/>
      <c r="B180" s="21"/>
      <c r="C180" s="21" t="s">
        <v>4013</v>
      </c>
      <c r="D180" s="128"/>
      <c r="E180" s="128"/>
      <c r="F180" s="21"/>
      <c r="G180" s="21"/>
      <c r="H180" s="21"/>
      <c r="I180" s="22" t="s">
        <v>3921</v>
      </c>
      <c r="J180" s="148">
        <f t="shared" ref="J180:AG180" si="78">SUM(J177:J179)-J173</f>
        <v>0</v>
      </c>
      <c r="K180" s="148">
        <f t="shared" si="78"/>
        <v>0</v>
      </c>
      <c r="L180" s="148">
        <f t="shared" si="78"/>
        <v>0</v>
      </c>
      <c r="M180" s="148">
        <f t="shared" si="78"/>
        <v>0</v>
      </c>
      <c r="N180" s="148">
        <f t="shared" si="78"/>
        <v>0</v>
      </c>
      <c r="O180" s="148">
        <f t="shared" si="78"/>
        <v>0</v>
      </c>
      <c r="P180" s="148">
        <f t="shared" si="78"/>
        <v>0</v>
      </c>
      <c r="Q180" s="148">
        <f t="shared" si="78"/>
        <v>0</v>
      </c>
      <c r="R180" s="149">
        <f t="shared" si="78"/>
        <v>0</v>
      </c>
      <c r="S180" s="149">
        <f t="shared" si="78"/>
        <v>0</v>
      </c>
      <c r="T180" s="149">
        <f t="shared" si="78"/>
        <v>0</v>
      </c>
      <c r="U180" s="149">
        <f t="shared" si="78"/>
        <v>0</v>
      </c>
      <c r="V180" s="149">
        <f t="shared" si="78"/>
        <v>0</v>
      </c>
      <c r="W180" s="149">
        <f t="shared" si="78"/>
        <v>0</v>
      </c>
      <c r="X180" s="149">
        <f t="shared" si="78"/>
        <v>0</v>
      </c>
      <c r="Y180" s="149">
        <f t="shared" si="78"/>
        <v>0</v>
      </c>
      <c r="Z180" s="149">
        <f t="shared" si="78"/>
        <v>0</v>
      </c>
      <c r="AA180" s="149">
        <f t="shared" si="78"/>
        <v>0</v>
      </c>
      <c r="AB180" s="149">
        <f t="shared" si="78"/>
        <v>0</v>
      </c>
      <c r="AC180" s="149">
        <f t="shared" si="78"/>
        <v>0</v>
      </c>
      <c r="AD180" s="149">
        <f t="shared" si="78"/>
        <v>0</v>
      </c>
      <c r="AE180" s="149">
        <f t="shared" si="78"/>
        <v>0</v>
      </c>
      <c r="AF180" s="149">
        <f t="shared" si="78"/>
        <v>0</v>
      </c>
      <c r="AG180" s="149">
        <f t="shared" si="78"/>
        <v>0</v>
      </c>
    </row>
    <row r="181" spans="1:33" ht="14.25" customHeight="1" x14ac:dyDescent="0.35">
      <c r="A181" s="21"/>
      <c r="B181" s="21"/>
      <c r="C181" s="21"/>
      <c r="D181" s="128" t="s">
        <v>4014</v>
      </c>
      <c r="E181" s="128"/>
      <c r="F181" s="21"/>
      <c r="G181" s="21"/>
      <c r="H181" s="21"/>
      <c r="I181" s="22" t="s">
        <v>13</v>
      </c>
      <c r="J181" s="122">
        <f t="shared" ref="J181:AG181" si="79">IF(J173=0,0,J177/J173)</f>
        <v>0.32366841796031687</v>
      </c>
      <c r="K181" s="122">
        <f t="shared" si="79"/>
        <v>0.42597109651815068</v>
      </c>
      <c r="L181" s="122">
        <f t="shared" si="79"/>
        <v>0.40970143610876048</v>
      </c>
      <c r="M181" s="122">
        <f t="shared" si="79"/>
        <v>0.3237360178415396</v>
      </c>
      <c r="N181" s="122">
        <f t="shared" si="79"/>
        <v>0.285648849809231</v>
      </c>
      <c r="O181" s="122">
        <f t="shared" si="79"/>
        <v>0.2749683264420727</v>
      </c>
      <c r="P181" s="122">
        <f t="shared" si="79"/>
        <v>0.28491451622595271</v>
      </c>
      <c r="Q181" s="122">
        <f t="shared" si="79"/>
        <v>0.29383271746120132</v>
      </c>
      <c r="R181" s="126">
        <f t="shared" si="79"/>
        <v>0.31560983851851909</v>
      </c>
      <c r="S181" s="126">
        <f t="shared" si="79"/>
        <v>0.3159279710986479</v>
      </c>
      <c r="T181" s="126">
        <f t="shared" si="79"/>
        <v>0.31462283388436951</v>
      </c>
      <c r="U181" s="126">
        <f t="shared" si="79"/>
        <v>0.31352335557249222</v>
      </c>
      <c r="V181" s="126">
        <f t="shared" si="79"/>
        <v>0.31313091268989773</v>
      </c>
      <c r="W181" s="126">
        <f t="shared" si="79"/>
        <v>0.31292687058803564</v>
      </c>
      <c r="X181" s="126">
        <f t="shared" si="79"/>
        <v>0.31273653860119921</v>
      </c>
      <c r="Y181" s="126">
        <f t="shared" si="79"/>
        <v>0.30937358554953609</v>
      </c>
      <c r="Z181" s="126">
        <f t="shared" si="79"/>
        <v>0.30910687157352268</v>
      </c>
      <c r="AA181" s="126">
        <f t="shared" si="79"/>
        <v>0.30878971802430699</v>
      </c>
      <c r="AB181" s="126">
        <f t="shared" si="79"/>
        <v>0.30871217275519469</v>
      </c>
      <c r="AC181" s="126">
        <f t="shared" si="79"/>
        <v>0.30825637839731657</v>
      </c>
      <c r="AD181" s="126">
        <f t="shared" si="79"/>
        <v>0.30819679664241545</v>
      </c>
      <c r="AE181" s="126">
        <f t="shared" si="79"/>
        <v>0.30789991126800537</v>
      </c>
      <c r="AF181" s="126">
        <f t="shared" si="79"/>
        <v>0.30785505789266937</v>
      </c>
      <c r="AG181" s="126">
        <f t="shared" si="79"/>
        <v>0.30761604697670686</v>
      </c>
    </row>
    <row r="182" spans="1:33" ht="14.25" customHeight="1" x14ac:dyDescent="0.35">
      <c r="A182" s="21"/>
      <c r="B182" s="21"/>
      <c r="C182" s="21"/>
      <c r="D182" s="21"/>
      <c r="E182" s="21"/>
      <c r="F182" s="21"/>
      <c r="G182" s="21"/>
      <c r="H182" s="21"/>
      <c r="I182" s="22"/>
      <c r="J182" s="21"/>
      <c r="K182" s="21"/>
      <c r="L182" s="21"/>
      <c r="M182" s="21"/>
      <c r="N182" s="21"/>
      <c r="O182" s="21"/>
      <c r="P182" s="60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</row>
    <row r="183" spans="1:33" ht="14.25" customHeight="1" x14ac:dyDescent="0.35">
      <c r="A183" s="21"/>
      <c r="B183" s="21"/>
      <c r="C183" s="21" t="s">
        <v>4015</v>
      </c>
      <c r="D183" s="21"/>
      <c r="E183" s="21"/>
      <c r="F183" s="21"/>
      <c r="G183" s="21"/>
      <c r="H183" s="21"/>
      <c r="I183" s="22" t="s">
        <v>3921</v>
      </c>
      <c r="J183" s="21"/>
      <c r="K183" s="21"/>
      <c r="L183" s="21"/>
      <c r="M183" s="21"/>
      <c r="N183" s="21"/>
      <c r="O183" s="21"/>
      <c r="P183" s="60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</row>
    <row r="184" spans="1:33" ht="14.25" customHeight="1" x14ac:dyDescent="0.35">
      <c r="A184" s="21"/>
      <c r="B184" s="21"/>
      <c r="C184" s="21"/>
      <c r="D184" s="128" t="s">
        <v>4016</v>
      </c>
      <c r="E184" s="128"/>
      <c r="F184" s="21"/>
      <c r="G184" s="21"/>
      <c r="H184" s="21"/>
      <c r="I184" s="22" t="s">
        <v>3921</v>
      </c>
      <c r="J184" s="148">
        <f t="shared" ref="J184:AG184" si="80">SUM(J102,J117,J137,J142)</f>
        <v>801906497.81006467</v>
      </c>
      <c r="K184" s="148">
        <f t="shared" si="80"/>
        <v>705100325.23464537</v>
      </c>
      <c r="L184" s="148">
        <f t="shared" si="80"/>
        <v>523045996.29297036</v>
      </c>
      <c r="M184" s="148">
        <f t="shared" si="80"/>
        <v>851735301.69452</v>
      </c>
      <c r="N184" s="148">
        <f t="shared" si="80"/>
        <v>890390466.44254136</v>
      </c>
      <c r="O184" s="148">
        <f t="shared" si="80"/>
        <v>921661649.06202626</v>
      </c>
      <c r="P184" s="148">
        <f t="shared" si="80"/>
        <v>954984665.31174445</v>
      </c>
      <c r="Q184" s="148">
        <f t="shared" si="80"/>
        <v>954603838.83812976</v>
      </c>
      <c r="R184" s="149">
        <f t="shared" si="80"/>
        <v>874498081.6648016</v>
      </c>
      <c r="S184" s="149">
        <f t="shared" si="80"/>
        <v>874145994.02987218</v>
      </c>
      <c r="T184" s="149">
        <f t="shared" si="80"/>
        <v>874353700.5575242</v>
      </c>
      <c r="U184" s="149">
        <f t="shared" si="80"/>
        <v>874332592.08406603</v>
      </c>
      <c r="V184" s="149">
        <f t="shared" si="80"/>
        <v>874277428.89048743</v>
      </c>
      <c r="W184" s="149">
        <f t="shared" si="80"/>
        <v>874321240.5106926</v>
      </c>
      <c r="X184" s="149">
        <f t="shared" si="80"/>
        <v>874310420.49508202</v>
      </c>
      <c r="Y184" s="149">
        <f t="shared" si="80"/>
        <v>874303029.96542072</v>
      </c>
      <c r="Z184" s="149">
        <f t="shared" si="80"/>
        <v>874311563.65706515</v>
      </c>
      <c r="AA184" s="149">
        <f t="shared" si="80"/>
        <v>874308338.03918934</v>
      </c>
      <c r="AB184" s="149">
        <f t="shared" si="80"/>
        <v>874307643.88722503</v>
      </c>
      <c r="AC184" s="149">
        <f t="shared" si="80"/>
        <v>874309181.8611598</v>
      </c>
      <c r="AD184" s="149">
        <f t="shared" si="80"/>
        <v>874308387.92919135</v>
      </c>
      <c r="AE184" s="149">
        <f t="shared" si="80"/>
        <v>874308404.55919206</v>
      </c>
      <c r="AF184" s="149">
        <f t="shared" si="80"/>
        <v>874308658.11651444</v>
      </c>
      <c r="AG184" s="149">
        <f t="shared" si="80"/>
        <v>874308483.53496599</v>
      </c>
    </row>
    <row r="185" spans="1:33" ht="14.25" customHeight="1" x14ac:dyDescent="0.35">
      <c r="A185" s="21"/>
      <c r="B185" s="21"/>
      <c r="C185" s="21"/>
      <c r="D185" s="128" t="s">
        <v>4017</v>
      </c>
      <c r="E185" s="128"/>
      <c r="F185" s="21"/>
      <c r="G185" s="21"/>
      <c r="H185" s="21"/>
      <c r="I185" s="22" t="s">
        <v>3921</v>
      </c>
      <c r="J185" s="148">
        <f t="shared" ref="J185:AG185" si="81">SUM(J134,J138,J143)</f>
        <v>249525768.51993537</v>
      </c>
      <c r="K185" s="148">
        <f t="shared" si="81"/>
        <v>259915288.09535465</v>
      </c>
      <c r="L185" s="148">
        <f t="shared" si="81"/>
        <v>252152564.75702962</v>
      </c>
      <c r="M185" s="148">
        <f t="shared" si="81"/>
        <v>262057282.98548001</v>
      </c>
      <c r="N185" s="148">
        <f t="shared" si="81"/>
        <v>254367613.22745857</v>
      </c>
      <c r="O185" s="148">
        <f t="shared" si="81"/>
        <v>250118950.2879737</v>
      </c>
      <c r="P185" s="148">
        <f t="shared" si="81"/>
        <v>243853276.03825557</v>
      </c>
      <c r="Q185" s="148">
        <f t="shared" si="81"/>
        <v>198865734.16187018</v>
      </c>
      <c r="R185" s="149">
        <f t="shared" si="81"/>
        <v>198053214.49324024</v>
      </c>
      <c r="S185" s="149">
        <f t="shared" si="81"/>
        <v>197830856.26781946</v>
      </c>
      <c r="T185" s="149">
        <f t="shared" si="81"/>
        <v>197962031.72050545</v>
      </c>
      <c r="U185" s="149">
        <f t="shared" si="81"/>
        <v>197948700.8271884</v>
      </c>
      <c r="V185" s="149">
        <f t="shared" si="81"/>
        <v>197913862.93850446</v>
      </c>
      <c r="W185" s="149">
        <f t="shared" si="81"/>
        <v>197941531.82873276</v>
      </c>
      <c r="X185" s="149">
        <f t="shared" si="81"/>
        <v>197934698.53147522</v>
      </c>
      <c r="Y185" s="149">
        <f t="shared" si="81"/>
        <v>197930031.09957081</v>
      </c>
      <c r="Z185" s="149">
        <f t="shared" si="81"/>
        <v>197935420.48659295</v>
      </c>
      <c r="AA185" s="149">
        <f t="shared" si="81"/>
        <v>197933383.37254632</v>
      </c>
      <c r="AB185" s="149">
        <f t="shared" si="81"/>
        <v>197932944.98623669</v>
      </c>
      <c r="AC185" s="149">
        <f t="shared" si="81"/>
        <v>197933916.28179199</v>
      </c>
      <c r="AD185" s="149">
        <f t="shared" si="81"/>
        <v>197933414.88019165</v>
      </c>
      <c r="AE185" s="149">
        <f t="shared" si="81"/>
        <v>197933425.38274011</v>
      </c>
      <c r="AF185" s="149">
        <f t="shared" si="81"/>
        <v>197933585.5149079</v>
      </c>
      <c r="AG185" s="149">
        <f t="shared" si="81"/>
        <v>197933475.25927991</v>
      </c>
    </row>
    <row r="186" spans="1:33" ht="14.25" customHeight="1" x14ac:dyDescent="0.35">
      <c r="A186" s="21"/>
      <c r="B186" s="21"/>
      <c r="C186" s="21"/>
      <c r="D186" s="128" t="s">
        <v>4018</v>
      </c>
      <c r="E186" s="128"/>
      <c r="F186" s="21"/>
      <c r="G186" s="21"/>
      <c r="H186" s="21"/>
      <c r="I186" s="22" t="s">
        <v>3921</v>
      </c>
      <c r="J186" s="148">
        <f t="shared" ref="J186:AG186" si="82">J150+J152+J153</f>
        <v>63261168</v>
      </c>
      <c r="K186" s="148">
        <f t="shared" si="82"/>
        <v>53777633</v>
      </c>
      <c r="L186" s="148">
        <f t="shared" si="82"/>
        <v>42115498</v>
      </c>
      <c r="M186" s="148">
        <f t="shared" si="82"/>
        <v>50646237</v>
      </c>
      <c r="N186" s="148">
        <f t="shared" si="82"/>
        <v>54522107</v>
      </c>
      <c r="O186" s="148">
        <f t="shared" si="82"/>
        <v>56339859</v>
      </c>
      <c r="P186" s="148">
        <f t="shared" si="82"/>
        <v>58701228</v>
      </c>
      <c r="Q186" s="148">
        <f t="shared" si="82"/>
        <v>56645114</v>
      </c>
      <c r="R186" s="149">
        <f t="shared" si="82"/>
        <v>53391229.882552184</v>
      </c>
      <c r="S186" s="149">
        <f t="shared" si="82"/>
        <v>53391229.882552184</v>
      </c>
      <c r="T186" s="149">
        <f t="shared" si="82"/>
        <v>51734336.21050714</v>
      </c>
      <c r="U186" s="149">
        <f t="shared" si="82"/>
        <v>52838931.991870508</v>
      </c>
      <c r="V186" s="149">
        <f t="shared" si="82"/>
        <v>52654832.694976605</v>
      </c>
      <c r="W186" s="149">
        <f t="shared" si="82"/>
        <v>52409366.965784758</v>
      </c>
      <c r="X186" s="149">
        <f t="shared" si="82"/>
        <v>52634377.217543967</v>
      </c>
      <c r="Y186" s="149">
        <f t="shared" si="82"/>
        <v>52566192.292768441</v>
      </c>
      <c r="Z186" s="149">
        <f t="shared" si="82"/>
        <v>52536645.492032379</v>
      </c>
      <c r="AA186" s="149">
        <f t="shared" si="82"/>
        <v>52579071.66744826</v>
      </c>
      <c r="AB186" s="149">
        <f t="shared" si="82"/>
        <v>52560636.484083027</v>
      </c>
      <c r="AC186" s="149">
        <f t="shared" si="82"/>
        <v>52558784.54785455</v>
      </c>
      <c r="AD186" s="149">
        <f t="shared" si="82"/>
        <v>52566164.2331286</v>
      </c>
      <c r="AE186" s="149">
        <f t="shared" si="82"/>
        <v>52561861.755022049</v>
      </c>
      <c r="AF186" s="149">
        <f t="shared" si="82"/>
        <v>52562270.17866841</v>
      </c>
      <c r="AG186" s="149">
        <f t="shared" si="82"/>
        <v>52563432.05560635</v>
      </c>
    </row>
    <row r="187" spans="1:33" ht="14.25" customHeight="1" x14ac:dyDescent="0.35">
      <c r="A187" s="21"/>
      <c r="B187" s="21"/>
      <c r="C187" s="21"/>
      <c r="D187" s="128" t="s">
        <v>4019</v>
      </c>
      <c r="E187" s="128"/>
      <c r="F187" s="21"/>
      <c r="G187" s="21"/>
      <c r="H187" s="21"/>
      <c r="I187" s="22" t="s">
        <v>3921</v>
      </c>
      <c r="J187" s="148">
        <f t="shared" ref="J187:AG187" si="83">J158+J162+J163+J167+J168</f>
        <v>293400478.06</v>
      </c>
      <c r="K187" s="148">
        <f t="shared" si="83"/>
        <v>233250360.41000003</v>
      </c>
      <c r="L187" s="148">
        <f t="shared" si="83"/>
        <v>312389744.94999999</v>
      </c>
      <c r="M187" s="148">
        <f t="shared" si="83"/>
        <v>407723885.33999997</v>
      </c>
      <c r="N187" s="148">
        <f t="shared" si="83"/>
        <v>276943468.5</v>
      </c>
      <c r="O187" s="148">
        <f t="shared" si="83"/>
        <v>266191733.61000001</v>
      </c>
      <c r="P187" s="148">
        <f t="shared" si="83"/>
        <v>270024621.14999998</v>
      </c>
      <c r="Q187" s="148">
        <f t="shared" si="83"/>
        <v>257983122.10000002</v>
      </c>
      <c r="R187" s="149">
        <f t="shared" si="83"/>
        <v>290236529.2125001</v>
      </c>
      <c r="S187" s="149">
        <f t="shared" si="83"/>
        <v>290236529.21250004</v>
      </c>
      <c r="T187" s="149">
        <f t="shared" si="83"/>
        <v>289109284.9000001</v>
      </c>
      <c r="U187" s="149">
        <f t="shared" si="83"/>
        <v>286921784.9000001</v>
      </c>
      <c r="V187" s="149">
        <f t="shared" si="83"/>
        <v>286921784.9000001</v>
      </c>
      <c r="W187" s="149">
        <f t="shared" si="83"/>
        <v>286921784.9000001</v>
      </c>
      <c r="X187" s="149">
        <f t="shared" si="83"/>
        <v>286921784.89999998</v>
      </c>
      <c r="Y187" s="149">
        <f t="shared" si="83"/>
        <v>279330118.23333335</v>
      </c>
      <c r="Z187" s="149">
        <f t="shared" si="83"/>
        <v>279330118.23333335</v>
      </c>
      <c r="AA187" s="149">
        <f t="shared" si="83"/>
        <v>278965534.9000001</v>
      </c>
      <c r="AB187" s="149">
        <f t="shared" si="83"/>
        <v>278788451.56666672</v>
      </c>
      <c r="AC187" s="149">
        <f t="shared" si="83"/>
        <v>278392618.23333341</v>
      </c>
      <c r="AD187" s="149">
        <f t="shared" si="83"/>
        <v>278392618.23333341</v>
      </c>
      <c r="AE187" s="149">
        <f t="shared" si="83"/>
        <v>278392618.23333341</v>
      </c>
      <c r="AF187" s="149">
        <f t="shared" si="83"/>
        <v>278392618.23333341</v>
      </c>
      <c r="AG187" s="149">
        <f t="shared" si="83"/>
        <v>278392618.23333341</v>
      </c>
    </row>
    <row r="188" spans="1:33" ht="14.25" customHeight="1" x14ac:dyDescent="0.35">
      <c r="A188" s="21"/>
      <c r="B188" s="21"/>
      <c r="C188" s="21"/>
      <c r="D188" s="128" t="s">
        <v>4020</v>
      </c>
      <c r="E188" s="128"/>
      <c r="F188" s="21"/>
      <c r="G188" s="21"/>
      <c r="H188" s="21"/>
      <c r="I188" s="22" t="s">
        <v>3921</v>
      </c>
      <c r="J188" s="148">
        <f t="shared" ref="J188:AG188" si="84">J156+J159+J160+J171+J164+J165+J166</f>
        <v>138142857.40000001</v>
      </c>
      <c r="K188" s="148">
        <f t="shared" si="84"/>
        <v>279229894.87</v>
      </c>
      <c r="L188" s="148">
        <f t="shared" si="84"/>
        <v>241847256.98000002</v>
      </c>
      <c r="M188" s="148">
        <f t="shared" si="84"/>
        <v>174270134.99000001</v>
      </c>
      <c r="N188" s="148">
        <f t="shared" si="84"/>
        <v>84521603.659999996</v>
      </c>
      <c r="O188" s="148">
        <f t="shared" si="84"/>
        <v>89348329.070000008</v>
      </c>
      <c r="P188" s="148">
        <f t="shared" si="84"/>
        <v>134831104.13</v>
      </c>
      <c r="Q188" s="148">
        <f t="shared" si="84"/>
        <v>138554949.81999999</v>
      </c>
      <c r="R188" s="149">
        <f t="shared" si="84"/>
        <v>155594191.70763591</v>
      </c>
      <c r="S188" s="149">
        <f t="shared" si="84"/>
        <v>156912240.26369873</v>
      </c>
      <c r="T188" s="149">
        <f t="shared" si="84"/>
        <v>153930027.10431206</v>
      </c>
      <c r="U188" s="149">
        <f t="shared" si="84"/>
        <v>154152669.71171504</v>
      </c>
      <c r="V188" s="149">
        <f t="shared" si="84"/>
        <v>153264975.30707121</v>
      </c>
      <c r="W188" s="149">
        <f t="shared" si="84"/>
        <v>152614171.03670341</v>
      </c>
      <c r="X188" s="149">
        <f t="shared" si="84"/>
        <v>152302496.17108256</v>
      </c>
      <c r="Y188" s="149">
        <f t="shared" si="84"/>
        <v>152259325.37445146</v>
      </c>
      <c r="Z188" s="149">
        <f t="shared" si="84"/>
        <v>151630905.68609464</v>
      </c>
      <c r="AA188" s="149">
        <f t="shared" si="84"/>
        <v>151306189.23906964</v>
      </c>
      <c r="AB188" s="149">
        <f t="shared" si="84"/>
        <v>151301665.59660119</v>
      </c>
      <c r="AC188" s="149">
        <f t="shared" si="84"/>
        <v>150669572.94993228</v>
      </c>
      <c r="AD188" s="149">
        <f t="shared" si="84"/>
        <v>150540392.59494776</v>
      </c>
      <c r="AE188" s="149">
        <f t="shared" si="84"/>
        <v>149871932.60263214</v>
      </c>
      <c r="AF188" s="149">
        <f t="shared" si="84"/>
        <v>149771049.38243866</v>
      </c>
      <c r="AG188" s="149">
        <f t="shared" si="84"/>
        <v>149235777.63777041</v>
      </c>
    </row>
    <row r="189" spans="1:33" ht="14.25" customHeight="1" x14ac:dyDescent="0.35">
      <c r="A189" s="21"/>
      <c r="B189" s="21"/>
      <c r="C189" s="21" t="s">
        <v>4013</v>
      </c>
      <c r="D189" s="128"/>
      <c r="E189" s="128"/>
      <c r="F189" s="21"/>
      <c r="G189" s="21"/>
      <c r="H189" s="21"/>
      <c r="I189" s="22" t="s">
        <v>3921</v>
      </c>
      <c r="J189" s="148">
        <f t="shared" ref="J189:AG189" si="85">SUM(J184:J188)-J173</f>
        <v>0</v>
      </c>
      <c r="K189" s="148">
        <f t="shared" si="85"/>
        <v>0</v>
      </c>
      <c r="L189" s="148">
        <f t="shared" si="85"/>
        <v>0</v>
      </c>
      <c r="M189" s="148">
        <f t="shared" si="85"/>
        <v>0</v>
      </c>
      <c r="N189" s="148">
        <f t="shared" si="85"/>
        <v>0</v>
      </c>
      <c r="O189" s="148">
        <f t="shared" si="85"/>
        <v>0</v>
      </c>
      <c r="P189" s="148">
        <f t="shared" si="85"/>
        <v>0</v>
      </c>
      <c r="Q189" s="148">
        <f t="shared" si="85"/>
        <v>0</v>
      </c>
      <c r="R189" s="149">
        <f t="shared" si="85"/>
        <v>0</v>
      </c>
      <c r="S189" s="149">
        <f t="shared" si="85"/>
        <v>0</v>
      </c>
      <c r="T189" s="149">
        <f t="shared" si="85"/>
        <v>0</v>
      </c>
      <c r="U189" s="149">
        <f t="shared" si="85"/>
        <v>0</v>
      </c>
      <c r="V189" s="149">
        <f t="shared" si="85"/>
        <v>0</v>
      </c>
      <c r="W189" s="149">
        <f t="shared" si="85"/>
        <v>0</v>
      </c>
      <c r="X189" s="149">
        <f t="shared" si="85"/>
        <v>0</v>
      </c>
      <c r="Y189" s="149">
        <f t="shared" si="85"/>
        <v>0</v>
      </c>
      <c r="Z189" s="149">
        <f t="shared" si="85"/>
        <v>0</v>
      </c>
      <c r="AA189" s="149">
        <f t="shared" si="85"/>
        <v>0</v>
      </c>
      <c r="AB189" s="149">
        <f t="shared" si="85"/>
        <v>0</v>
      </c>
      <c r="AC189" s="149">
        <f t="shared" si="85"/>
        <v>0</v>
      </c>
      <c r="AD189" s="149">
        <f t="shared" si="85"/>
        <v>0</v>
      </c>
      <c r="AE189" s="149">
        <f t="shared" si="85"/>
        <v>0</v>
      </c>
      <c r="AF189" s="149">
        <f t="shared" si="85"/>
        <v>0</v>
      </c>
      <c r="AG189" s="149">
        <f t="shared" si="85"/>
        <v>0</v>
      </c>
    </row>
    <row r="190" spans="1:33" ht="14.25" customHeight="1" x14ac:dyDescent="0.35">
      <c r="A190" s="21"/>
      <c r="B190" s="21"/>
      <c r="C190" s="21"/>
      <c r="D190" s="21"/>
      <c r="E190" s="21"/>
      <c r="F190" s="21"/>
      <c r="G190" s="21"/>
      <c r="H190" s="21"/>
      <c r="I190" s="22"/>
      <c r="J190" s="21"/>
      <c r="K190" s="21"/>
      <c r="L190" s="21"/>
      <c r="M190" s="21"/>
      <c r="N190" s="21"/>
      <c r="O190" s="21"/>
      <c r="P190" s="60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</row>
    <row r="191" spans="1:33" ht="14.25" customHeight="1" x14ac:dyDescent="0.35">
      <c r="A191" s="21"/>
      <c r="B191" s="21"/>
      <c r="C191" s="21" t="s">
        <v>4021</v>
      </c>
      <c r="D191" s="21"/>
      <c r="E191" s="21"/>
      <c r="F191" s="21"/>
      <c r="G191" s="21"/>
      <c r="H191" s="21"/>
      <c r="I191" s="22"/>
      <c r="J191" s="21"/>
      <c r="K191" s="21"/>
      <c r="L191" s="21"/>
      <c r="M191" s="21"/>
      <c r="N191" s="21"/>
      <c r="O191" s="21"/>
      <c r="P191" s="60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</row>
    <row r="192" spans="1:33" ht="14.25" customHeight="1" x14ac:dyDescent="0.35">
      <c r="A192" s="21"/>
      <c r="B192" s="21"/>
      <c r="C192" s="21"/>
      <c r="D192" s="128" t="s">
        <v>4022</v>
      </c>
      <c r="E192" s="128"/>
      <c r="F192" s="21"/>
      <c r="G192" s="21"/>
      <c r="H192" s="21"/>
      <c r="I192" s="22" t="s">
        <v>3921</v>
      </c>
      <c r="J192" s="148">
        <f t="shared" ref="J192:AG192" si="86">SUM(J193:J196)</f>
        <v>674052527.66168153</v>
      </c>
      <c r="K192" s="148">
        <f t="shared" si="86"/>
        <v>617959849.3474102</v>
      </c>
      <c r="L192" s="148">
        <f t="shared" si="86"/>
        <v>492073129.49372351</v>
      </c>
      <c r="M192" s="148">
        <f t="shared" si="86"/>
        <v>536662064.14609653</v>
      </c>
      <c r="N192" s="148">
        <f t="shared" si="86"/>
        <v>607864741.8810606</v>
      </c>
      <c r="O192" s="148">
        <f t="shared" si="86"/>
        <v>622531032.49629414</v>
      </c>
      <c r="P192" s="148">
        <f t="shared" si="86"/>
        <v>649658730.27023482</v>
      </c>
      <c r="Q192" s="148">
        <f t="shared" si="86"/>
        <v>622386053.02149439</v>
      </c>
      <c r="R192" s="149">
        <f t="shared" si="86"/>
        <v>585717708.13451135</v>
      </c>
      <c r="S192" s="149">
        <f t="shared" si="86"/>
        <v>586699662.18688858</v>
      </c>
      <c r="T192" s="149">
        <f t="shared" si="86"/>
        <v>585493505.08879483</v>
      </c>
      <c r="U192" s="149">
        <f t="shared" si="86"/>
        <v>585969820.93452632</v>
      </c>
      <c r="V192" s="149">
        <f t="shared" si="86"/>
        <v>586053907.07040906</v>
      </c>
      <c r="W192" s="149">
        <f t="shared" si="86"/>
        <v>585838973.09169757</v>
      </c>
      <c r="X192" s="149">
        <f t="shared" si="86"/>
        <v>585954220.26840723</v>
      </c>
      <c r="Y192" s="149">
        <f t="shared" si="86"/>
        <v>585949020.23210788</v>
      </c>
      <c r="Z192" s="149">
        <f t="shared" si="86"/>
        <v>585914066.34680057</v>
      </c>
      <c r="AA192" s="149">
        <f t="shared" si="86"/>
        <v>585939101.73651123</v>
      </c>
      <c r="AB192" s="149">
        <f t="shared" si="86"/>
        <v>585934062.40031993</v>
      </c>
      <c r="AC192" s="149">
        <f t="shared" si="86"/>
        <v>585929076.62714565</v>
      </c>
      <c r="AD192" s="149">
        <f t="shared" si="86"/>
        <v>585934080.22589409</v>
      </c>
      <c r="AE192" s="149">
        <f t="shared" si="86"/>
        <v>585932406.40826666</v>
      </c>
      <c r="AF192" s="149">
        <f t="shared" si="86"/>
        <v>585931854.41300786</v>
      </c>
      <c r="AG192" s="149">
        <f t="shared" si="86"/>
        <v>585932780.34751844</v>
      </c>
    </row>
    <row r="193" spans="1:33" ht="14.25" customHeight="1" x14ac:dyDescent="0.35">
      <c r="A193" s="21"/>
      <c r="B193" s="21"/>
      <c r="C193" s="21"/>
      <c r="D193" s="128" t="s">
        <v>4023</v>
      </c>
      <c r="E193" s="128"/>
      <c r="F193" s="21"/>
      <c r="G193" s="21"/>
      <c r="H193" s="21"/>
      <c r="I193" s="22" t="s">
        <v>3921</v>
      </c>
      <c r="J193" s="148">
        <v>641541921.21028197</v>
      </c>
      <c r="K193" s="148">
        <v>578087871.26459801</v>
      </c>
      <c r="L193" s="148">
        <v>481404537.110511</v>
      </c>
      <c r="M193" s="148">
        <v>493817230.05554199</v>
      </c>
      <c r="N193" s="148">
        <v>557612788.75807297</v>
      </c>
      <c r="O193" s="148">
        <v>540078665.29885495</v>
      </c>
      <c r="P193" s="148">
        <v>570078930.13522899</v>
      </c>
      <c r="Q193" s="148">
        <v>545734967.44575799</v>
      </c>
      <c r="R193" s="149">
        <v>555499615.73163104</v>
      </c>
      <c r="S193" s="149">
        <v>556459409.88845205</v>
      </c>
      <c r="T193" s="149">
        <v>555280472.30765998</v>
      </c>
      <c r="U193" s="149">
        <v>555746039.06654</v>
      </c>
      <c r="V193" s="149">
        <v>555828227.61873806</v>
      </c>
      <c r="W193" s="149">
        <v>555618144.08543003</v>
      </c>
      <c r="X193" s="149">
        <v>555730790.46285295</v>
      </c>
      <c r="Y193" s="149">
        <v>555725707.77650595</v>
      </c>
      <c r="Z193" s="149">
        <v>555691542.70045698</v>
      </c>
      <c r="AA193" s="149">
        <v>555716013.11299801</v>
      </c>
      <c r="AB193" s="149">
        <v>555711087.50021696</v>
      </c>
      <c r="AC193" s="149">
        <v>555706214.24168897</v>
      </c>
      <c r="AD193" s="149">
        <v>555711104.92351902</v>
      </c>
      <c r="AE193" s="149">
        <v>555709468.87916994</v>
      </c>
      <c r="AF193" s="149">
        <v>555708929.34086597</v>
      </c>
      <c r="AG193" s="149">
        <v>555709834.37968194</v>
      </c>
    </row>
    <row r="194" spans="1:33" ht="14.25" customHeight="1" x14ac:dyDescent="0.35">
      <c r="A194" s="21"/>
      <c r="B194" s="21"/>
      <c r="C194" s="21"/>
      <c r="D194" s="128" t="s">
        <v>4024</v>
      </c>
      <c r="E194" s="128"/>
      <c r="F194" s="21"/>
      <c r="G194" s="21"/>
      <c r="H194" s="21"/>
      <c r="I194" s="22" t="s">
        <v>3921</v>
      </c>
      <c r="J194" s="148">
        <v>18231304.966951601</v>
      </c>
      <c r="K194" s="148">
        <v>9954543.2292845696</v>
      </c>
      <c r="L194" s="148">
        <v>4266628.7287079403</v>
      </c>
      <c r="M194" s="148">
        <v>19032827.7645621</v>
      </c>
      <c r="N194" s="148">
        <v>18602473.032017101</v>
      </c>
      <c r="O194" s="148">
        <v>41808247.3751745</v>
      </c>
      <c r="P194" s="148">
        <v>26550032.609661002</v>
      </c>
      <c r="Q194" s="148">
        <v>35480395.434560597</v>
      </c>
      <c r="R194" s="149">
        <v>13118287.950756799</v>
      </c>
      <c r="S194" s="149">
        <v>13140447.846313</v>
      </c>
      <c r="T194" s="149">
        <v>13113228.329011301</v>
      </c>
      <c r="U194" s="149">
        <v>13123977.415862801</v>
      </c>
      <c r="V194" s="149">
        <v>13125874.9995475</v>
      </c>
      <c r="W194" s="149">
        <v>13121024.554144001</v>
      </c>
      <c r="X194" s="149">
        <v>13123625.3534308</v>
      </c>
      <c r="Y194" s="149">
        <v>13123508.0034784</v>
      </c>
      <c r="Z194" s="149">
        <v>13122719.1942201</v>
      </c>
      <c r="AA194" s="149">
        <v>13123284.171389701</v>
      </c>
      <c r="AB194" s="149">
        <v>13123170.4479794</v>
      </c>
      <c r="AC194" s="149">
        <v>13123057.933333101</v>
      </c>
      <c r="AD194" s="149">
        <v>13123170.8502516</v>
      </c>
      <c r="AE194" s="149">
        <v>13123133.0769732</v>
      </c>
      <c r="AF194" s="149">
        <v>13123120.6200184</v>
      </c>
      <c r="AG194" s="149">
        <v>13123141.515713001</v>
      </c>
    </row>
    <row r="195" spans="1:33" ht="14.25" customHeight="1" x14ac:dyDescent="0.35">
      <c r="A195" s="21"/>
      <c r="B195" s="21"/>
      <c r="C195" s="21"/>
      <c r="D195" s="128" t="s">
        <v>4025</v>
      </c>
      <c r="E195" s="128"/>
      <c r="F195" s="21"/>
      <c r="G195" s="21"/>
      <c r="H195" s="21"/>
      <c r="I195" s="22" t="s">
        <v>3921</v>
      </c>
      <c r="J195" s="148">
        <v>0</v>
      </c>
      <c r="K195" s="148">
        <v>17390672.103126202</v>
      </c>
      <c r="L195" s="148">
        <v>0</v>
      </c>
      <c r="M195" s="148">
        <v>17528871.3471989</v>
      </c>
      <c r="N195" s="148">
        <v>17098519.485636499</v>
      </c>
      <c r="O195" s="148">
        <v>34873488.149244599</v>
      </c>
      <c r="P195" s="148">
        <v>31048570.134553902</v>
      </c>
      <c r="Q195" s="148">
        <v>18858314.397227999</v>
      </c>
      <c r="R195" s="149">
        <v>17099804.4521235</v>
      </c>
      <c r="S195" s="149">
        <v>17099804.4521235</v>
      </c>
      <c r="T195" s="149">
        <v>17099804.4521235</v>
      </c>
      <c r="U195" s="149">
        <v>17099804.4521235</v>
      </c>
      <c r="V195" s="149">
        <v>17099804.4521235</v>
      </c>
      <c r="W195" s="149">
        <v>17099804.4521235</v>
      </c>
      <c r="X195" s="149">
        <v>17099804.4521235</v>
      </c>
      <c r="Y195" s="149">
        <v>17099804.4521235</v>
      </c>
      <c r="Z195" s="149">
        <v>17099804.4521235</v>
      </c>
      <c r="AA195" s="149">
        <v>17099804.4521235</v>
      </c>
      <c r="AB195" s="149">
        <v>17099804.4521235</v>
      </c>
      <c r="AC195" s="149">
        <v>17099804.4521235</v>
      </c>
      <c r="AD195" s="149">
        <v>17099804.4521235</v>
      </c>
      <c r="AE195" s="149">
        <v>17099804.4521235</v>
      </c>
      <c r="AF195" s="149">
        <v>17099804.4521235</v>
      </c>
      <c r="AG195" s="149">
        <v>17099804.4521235</v>
      </c>
    </row>
    <row r="196" spans="1:33" ht="14.25" customHeight="1" x14ac:dyDescent="0.35">
      <c r="A196" s="21"/>
      <c r="B196" s="21"/>
      <c r="C196" s="21"/>
      <c r="D196" s="128" t="s">
        <v>4026</v>
      </c>
      <c r="E196" s="128"/>
      <c r="F196" s="21"/>
      <c r="G196" s="21"/>
      <c r="H196" s="21"/>
      <c r="I196" s="22" t="s">
        <v>3921</v>
      </c>
      <c r="J196" s="148">
        <f t="shared" ref="J196:Q196" si="87">J938+J940</f>
        <v>14279301.484447932</v>
      </c>
      <c r="K196" s="148">
        <f t="shared" si="87"/>
        <v>12526762.750401437</v>
      </c>
      <c r="L196" s="148">
        <f t="shared" si="87"/>
        <v>6401963.6545045096</v>
      </c>
      <c r="M196" s="148">
        <f t="shared" si="87"/>
        <v>6283134.9787934897</v>
      </c>
      <c r="N196" s="148">
        <f t="shared" si="87"/>
        <v>14550960.605334001</v>
      </c>
      <c r="O196" s="148">
        <f t="shared" si="87"/>
        <v>5770631.67302009</v>
      </c>
      <c r="P196" s="148">
        <f t="shared" si="87"/>
        <v>21981197.390790898</v>
      </c>
      <c r="Q196" s="148">
        <f t="shared" si="87"/>
        <v>22312375.7439477</v>
      </c>
      <c r="R196" s="149">
        <v>0</v>
      </c>
      <c r="S196" s="149">
        <v>0</v>
      </c>
      <c r="T196" s="149">
        <v>0</v>
      </c>
      <c r="U196" s="149">
        <v>0</v>
      </c>
      <c r="V196" s="149">
        <v>0</v>
      </c>
      <c r="W196" s="149">
        <v>0</v>
      </c>
      <c r="X196" s="149">
        <v>0</v>
      </c>
      <c r="Y196" s="149">
        <v>0</v>
      </c>
      <c r="Z196" s="149">
        <v>0</v>
      </c>
      <c r="AA196" s="149">
        <v>0</v>
      </c>
      <c r="AB196" s="149">
        <v>0</v>
      </c>
      <c r="AC196" s="149">
        <v>0</v>
      </c>
      <c r="AD196" s="149">
        <v>0</v>
      </c>
      <c r="AE196" s="149">
        <v>0</v>
      </c>
      <c r="AF196" s="149">
        <v>0</v>
      </c>
      <c r="AG196" s="149">
        <v>0</v>
      </c>
    </row>
    <row r="197" spans="1:33" ht="14.25" customHeight="1" x14ac:dyDescent="0.35">
      <c r="A197" s="21"/>
      <c r="B197" s="21"/>
      <c r="C197" s="21"/>
      <c r="D197" s="128" t="s">
        <v>4027</v>
      </c>
      <c r="E197" s="128"/>
      <c r="F197" s="21"/>
      <c r="G197" s="21"/>
      <c r="H197" s="21"/>
      <c r="I197" s="22" t="s">
        <v>3921</v>
      </c>
      <c r="J197" s="148">
        <f t="shared" ref="J197:AG197" si="88">SUM(J198:J201)</f>
        <v>801906497.81006467</v>
      </c>
      <c r="K197" s="148">
        <f t="shared" si="88"/>
        <v>705100325.23464549</v>
      </c>
      <c r="L197" s="148">
        <f t="shared" si="88"/>
        <v>523045996.2929703</v>
      </c>
      <c r="M197" s="148">
        <f t="shared" si="88"/>
        <v>851735301.69451988</v>
      </c>
      <c r="N197" s="148">
        <f t="shared" si="88"/>
        <v>890390466.44254136</v>
      </c>
      <c r="O197" s="148">
        <f t="shared" si="88"/>
        <v>921661649.06202626</v>
      </c>
      <c r="P197" s="148">
        <f t="shared" si="88"/>
        <v>954984665.31174433</v>
      </c>
      <c r="Q197" s="148">
        <f t="shared" si="88"/>
        <v>954603838.83812964</v>
      </c>
      <c r="R197" s="149">
        <f t="shared" si="88"/>
        <v>874498081.6648016</v>
      </c>
      <c r="S197" s="149">
        <f t="shared" si="88"/>
        <v>874145994.02987218</v>
      </c>
      <c r="T197" s="149">
        <f t="shared" si="88"/>
        <v>874353700.55752432</v>
      </c>
      <c r="U197" s="149">
        <f t="shared" si="88"/>
        <v>874332592.08406603</v>
      </c>
      <c r="V197" s="149">
        <f t="shared" si="88"/>
        <v>874277428.89048755</v>
      </c>
      <c r="W197" s="149">
        <f t="shared" si="88"/>
        <v>874321240.51069272</v>
      </c>
      <c r="X197" s="149">
        <f t="shared" si="88"/>
        <v>874310420.49508214</v>
      </c>
      <c r="Y197" s="149">
        <f t="shared" si="88"/>
        <v>874303029.96542072</v>
      </c>
      <c r="Z197" s="149">
        <f t="shared" si="88"/>
        <v>874311563.65706527</v>
      </c>
      <c r="AA197" s="149">
        <f t="shared" si="88"/>
        <v>874308338.03918934</v>
      </c>
      <c r="AB197" s="149">
        <f t="shared" si="88"/>
        <v>874307643.88722503</v>
      </c>
      <c r="AC197" s="149">
        <f t="shared" si="88"/>
        <v>874309181.8611598</v>
      </c>
      <c r="AD197" s="149">
        <f t="shared" si="88"/>
        <v>874308387.92919147</v>
      </c>
      <c r="AE197" s="149">
        <f t="shared" si="88"/>
        <v>874308404.55919218</v>
      </c>
      <c r="AF197" s="149">
        <f t="shared" si="88"/>
        <v>874308658.11651456</v>
      </c>
      <c r="AG197" s="149">
        <f t="shared" si="88"/>
        <v>874308483.53496611</v>
      </c>
    </row>
    <row r="198" spans="1:33" ht="14.25" customHeight="1" x14ac:dyDescent="0.35">
      <c r="A198" s="21"/>
      <c r="B198" s="21"/>
      <c r="C198" s="21"/>
      <c r="D198" s="128" t="s">
        <v>4023</v>
      </c>
      <c r="E198" s="128"/>
      <c r="F198" s="21"/>
      <c r="G198" s="21"/>
      <c r="H198" s="21"/>
      <c r="I198" s="22" t="s">
        <v>3921</v>
      </c>
      <c r="J198" s="148">
        <f t="shared" ref="J198:AG198" si="89">J219</f>
        <v>763229294.63783896</v>
      </c>
      <c r="K198" s="148">
        <f t="shared" si="89"/>
        <v>659605873.21866286</v>
      </c>
      <c r="L198" s="148">
        <f t="shared" si="89"/>
        <v>511705884.02579129</v>
      </c>
      <c r="M198" s="148">
        <f t="shared" si="89"/>
        <v>783736350.16021574</v>
      </c>
      <c r="N198" s="148">
        <f t="shared" si="89"/>
        <v>816782216.28747547</v>
      </c>
      <c r="O198" s="148">
        <f t="shared" si="89"/>
        <v>799590329.31506741</v>
      </c>
      <c r="P198" s="148">
        <f t="shared" si="89"/>
        <v>838004033.39459646</v>
      </c>
      <c r="Q198" s="148">
        <f t="shared" si="89"/>
        <v>837037868.02872133</v>
      </c>
      <c r="R198" s="149">
        <f t="shared" si="89"/>
        <v>840609360.03719616</v>
      </c>
      <c r="S198" s="149">
        <f t="shared" si="89"/>
        <v>840325756.40021169</v>
      </c>
      <c r="T198" s="149">
        <f t="shared" si="89"/>
        <v>840458024.87188172</v>
      </c>
      <c r="U198" s="149">
        <f t="shared" si="89"/>
        <v>840464383.4203918</v>
      </c>
      <c r="V198" s="149">
        <f t="shared" si="89"/>
        <v>840416056.80046809</v>
      </c>
      <c r="W198" s="149">
        <f t="shared" si="89"/>
        <v>840446155.21247423</v>
      </c>
      <c r="X198" s="149">
        <f t="shared" si="89"/>
        <v>840442198.53798938</v>
      </c>
      <c r="Y198" s="149">
        <f t="shared" si="89"/>
        <v>840434803.58742023</v>
      </c>
      <c r="Z198" s="149">
        <f t="shared" si="89"/>
        <v>840441052.45828283</v>
      </c>
      <c r="AA198" s="149">
        <f t="shared" si="89"/>
        <v>840439351.52888751</v>
      </c>
      <c r="AB198" s="149">
        <f t="shared" si="89"/>
        <v>840438402.52712607</v>
      </c>
      <c r="AC198" s="149">
        <f t="shared" si="89"/>
        <v>840439602.17210317</v>
      </c>
      <c r="AD198" s="149">
        <f t="shared" si="89"/>
        <v>840439118.74273312</v>
      </c>
      <c r="AE198" s="149">
        <f t="shared" si="89"/>
        <v>840439041.14738274</v>
      </c>
      <c r="AF198" s="149">
        <f t="shared" si="89"/>
        <v>840439254.02077043</v>
      </c>
      <c r="AG198" s="149">
        <f t="shared" si="89"/>
        <v>840439137.97029769</v>
      </c>
    </row>
    <row r="199" spans="1:33" ht="14.25" customHeight="1" x14ac:dyDescent="0.35">
      <c r="A199" s="21"/>
      <c r="B199" s="21"/>
      <c r="C199" s="21"/>
      <c r="D199" s="128" t="s">
        <v>4024</v>
      </c>
      <c r="E199" s="128"/>
      <c r="F199" s="21"/>
      <c r="G199" s="21"/>
      <c r="H199" s="21"/>
      <c r="I199" s="22" t="s">
        <v>3921</v>
      </c>
      <c r="J199" s="148">
        <f t="shared" ref="J199:AG199" si="90">J220</f>
        <v>21689410.419203002</v>
      </c>
      <c r="K199" s="148">
        <f t="shared" si="90"/>
        <v>11358264.90336415</v>
      </c>
      <c r="L199" s="148">
        <f t="shared" si="90"/>
        <v>4535185.8097094474</v>
      </c>
      <c r="M199" s="148">
        <f t="shared" si="90"/>
        <v>30206963.340967592</v>
      </c>
      <c r="N199" s="148">
        <f t="shared" si="90"/>
        <v>27248602.359640453</v>
      </c>
      <c r="O199" s="148">
        <f t="shared" si="90"/>
        <v>61897409.460348226</v>
      </c>
      <c r="P199" s="148">
        <f t="shared" si="90"/>
        <v>39027989.349433184</v>
      </c>
      <c r="Q199" s="148">
        <f t="shared" si="90"/>
        <v>54419152.744344503</v>
      </c>
      <c r="R199" s="149">
        <f t="shared" si="90"/>
        <v>18111902.292392045</v>
      </c>
      <c r="S199" s="149">
        <f t="shared" si="90"/>
        <v>18075300.868089236</v>
      </c>
      <c r="T199" s="149">
        <f t="shared" si="90"/>
        <v>18115618.904103965</v>
      </c>
      <c r="U199" s="149">
        <f t="shared" si="90"/>
        <v>18100939.093410008</v>
      </c>
      <c r="V199" s="149">
        <f t="shared" si="90"/>
        <v>18097285.271486238</v>
      </c>
      <c r="W199" s="149">
        <f t="shared" si="90"/>
        <v>18104614.32596476</v>
      </c>
      <c r="X199" s="149">
        <f t="shared" si="90"/>
        <v>18100946.198106971</v>
      </c>
      <c r="Y199" s="149">
        <f t="shared" si="90"/>
        <v>18100948.560870916</v>
      </c>
      <c r="Z199" s="149">
        <f t="shared" si="90"/>
        <v>18102169.688395649</v>
      </c>
      <c r="AA199" s="149">
        <f t="shared" si="90"/>
        <v>18101354.815262016</v>
      </c>
      <c r="AB199" s="149">
        <f t="shared" si="90"/>
        <v>18101491.020300251</v>
      </c>
      <c r="AC199" s="149">
        <f t="shared" si="90"/>
        <v>18101671.840960637</v>
      </c>
      <c r="AD199" s="149">
        <f t="shared" si="90"/>
        <v>18101505.892159641</v>
      </c>
      <c r="AE199" s="149">
        <f t="shared" si="90"/>
        <v>18101556.251107045</v>
      </c>
      <c r="AF199" s="149">
        <f t="shared" si="90"/>
        <v>18101577.994726025</v>
      </c>
      <c r="AG199" s="149">
        <f t="shared" si="90"/>
        <v>18101546.712663095</v>
      </c>
    </row>
    <row r="200" spans="1:33" ht="14.25" customHeight="1" x14ac:dyDescent="0.35">
      <c r="A200" s="21"/>
      <c r="B200" s="21"/>
      <c r="C200" s="21"/>
      <c r="D200" s="128" t="s">
        <v>4025</v>
      </c>
      <c r="E200" s="128"/>
      <c r="F200" s="21"/>
      <c r="G200" s="21"/>
      <c r="H200" s="21"/>
      <c r="I200" s="22" t="s">
        <v>3921</v>
      </c>
      <c r="J200" s="148">
        <f t="shared" ref="J200:AG200" si="91">J221</f>
        <v>0</v>
      </c>
      <c r="K200" s="148">
        <f t="shared" si="91"/>
        <v>19842985.865364376</v>
      </c>
      <c r="L200" s="148">
        <f t="shared" si="91"/>
        <v>0</v>
      </c>
      <c r="M200" s="148">
        <f t="shared" si="91"/>
        <v>27820037.082417049</v>
      </c>
      <c r="N200" s="148">
        <f t="shared" si="91"/>
        <v>25045635.470121868</v>
      </c>
      <c r="O200" s="148">
        <f t="shared" si="91"/>
        <v>51630448.794324391</v>
      </c>
      <c r="P200" s="148">
        <f t="shared" si="91"/>
        <v>45640744.866187617</v>
      </c>
      <c r="Q200" s="148">
        <f t="shared" si="91"/>
        <v>28924522.376770712</v>
      </c>
      <c r="R200" s="149">
        <f t="shared" si="91"/>
        <v>15776819.335213466</v>
      </c>
      <c r="S200" s="149">
        <f t="shared" si="91"/>
        <v>15744936.761571297</v>
      </c>
      <c r="T200" s="149">
        <f t="shared" si="91"/>
        <v>15780056.781538621</v>
      </c>
      <c r="U200" s="149">
        <f t="shared" si="91"/>
        <v>15767269.570264246</v>
      </c>
      <c r="V200" s="149">
        <f t="shared" si="91"/>
        <v>15764086.81853316</v>
      </c>
      <c r="W200" s="149">
        <f t="shared" si="91"/>
        <v>15770470.972253671</v>
      </c>
      <c r="X200" s="149">
        <f t="shared" si="91"/>
        <v>15767275.758985814</v>
      </c>
      <c r="Y200" s="149">
        <f t="shared" si="91"/>
        <v>15767277.81712964</v>
      </c>
      <c r="Z200" s="149">
        <f t="shared" si="91"/>
        <v>15768341.510386812</v>
      </c>
      <c r="AA200" s="149">
        <f t="shared" si="91"/>
        <v>15767631.695039816</v>
      </c>
      <c r="AB200" s="149">
        <f t="shared" si="91"/>
        <v>15767750.339798721</v>
      </c>
      <c r="AC200" s="149">
        <f t="shared" si="91"/>
        <v>15767907.848096022</v>
      </c>
      <c r="AD200" s="149">
        <f t="shared" si="91"/>
        <v>15767763.294298749</v>
      </c>
      <c r="AE200" s="149">
        <f t="shared" si="91"/>
        <v>15767807.160702301</v>
      </c>
      <c r="AF200" s="149">
        <f t="shared" si="91"/>
        <v>15767826.101018058</v>
      </c>
      <c r="AG200" s="149">
        <f t="shared" si="91"/>
        <v>15767798.852005379</v>
      </c>
    </row>
    <row r="201" spans="1:33" ht="14.25" customHeight="1" x14ac:dyDescent="0.35">
      <c r="A201" s="21"/>
      <c r="B201" s="21"/>
      <c r="C201" s="21"/>
      <c r="D201" s="128" t="s">
        <v>4026</v>
      </c>
      <c r="E201" s="128"/>
      <c r="F201" s="21"/>
      <c r="G201" s="21"/>
      <c r="H201" s="21"/>
      <c r="I201" s="22" t="s">
        <v>3921</v>
      </c>
      <c r="J201" s="148">
        <f t="shared" ref="J201:AG201" si="92">J222</f>
        <v>16987792.75302263</v>
      </c>
      <c r="K201" s="148">
        <f t="shared" si="92"/>
        <v>14293201.247253994</v>
      </c>
      <c r="L201" s="148">
        <f t="shared" si="92"/>
        <v>6804926.4574695854</v>
      </c>
      <c r="M201" s="148">
        <f t="shared" si="92"/>
        <v>9971951.1109195836</v>
      </c>
      <c r="N201" s="148">
        <f t="shared" si="92"/>
        <v>21314012.325303547</v>
      </c>
      <c r="O201" s="148">
        <f t="shared" si="92"/>
        <v>8543461.492286196</v>
      </c>
      <c r="P201" s="148">
        <f t="shared" si="92"/>
        <v>32311897.701527134</v>
      </c>
      <c r="Q201" s="148">
        <f t="shared" si="92"/>
        <v>34222295.688293092</v>
      </c>
      <c r="R201" s="149">
        <f t="shared" si="92"/>
        <v>0</v>
      </c>
      <c r="S201" s="149">
        <f t="shared" si="92"/>
        <v>0</v>
      </c>
      <c r="T201" s="149">
        <f t="shared" si="92"/>
        <v>0</v>
      </c>
      <c r="U201" s="149">
        <f t="shared" si="92"/>
        <v>0</v>
      </c>
      <c r="V201" s="149">
        <f t="shared" si="92"/>
        <v>0</v>
      </c>
      <c r="W201" s="149">
        <f t="shared" si="92"/>
        <v>0</v>
      </c>
      <c r="X201" s="149">
        <f t="shared" si="92"/>
        <v>0</v>
      </c>
      <c r="Y201" s="149">
        <f t="shared" si="92"/>
        <v>0</v>
      </c>
      <c r="Z201" s="149">
        <f t="shared" si="92"/>
        <v>0</v>
      </c>
      <c r="AA201" s="149">
        <f t="shared" si="92"/>
        <v>0</v>
      </c>
      <c r="AB201" s="149">
        <f t="shared" si="92"/>
        <v>0</v>
      </c>
      <c r="AC201" s="149">
        <f t="shared" si="92"/>
        <v>0</v>
      </c>
      <c r="AD201" s="149">
        <f t="shared" si="92"/>
        <v>0</v>
      </c>
      <c r="AE201" s="149">
        <f t="shared" si="92"/>
        <v>0</v>
      </c>
      <c r="AF201" s="149">
        <f t="shared" si="92"/>
        <v>0</v>
      </c>
      <c r="AG201" s="149">
        <f t="shared" si="92"/>
        <v>0</v>
      </c>
    </row>
    <row r="202" spans="1:33" ht="14.25" customHeight="1" x14ac:dyDescent="0.35">
      <c r="A202" s="21"/>
      <c r="B202" s="21"/>
      <c r="C202" s="21"/>
      <c r="D202" s="128" t="s">
        <v>4028</v>
      </c>
      <c r="E202" s="128"/>
      <c r="F202" s="21"/>
      <c r="G202" s="21"/>
      <c r="H202" s="21"/>
      <c r="I202" s="22" t="s">
        <v>3900</v>
      </c>
      <c r="J202" s="132">
        <f t="shared" ref="J202:AG202" si="93">SUM(J203:J206)</f>
        <v>357017.63</v>
      </c>
      <c r="K202" s="132">
        <f t="shared" si="93"/>
        <v>328018.30000000005</v>
      </c>
      <c r="L202" s="132">
        <f t="shared" si="93"/>
        <v>236869.2</v>
      </c>
      <c r="M202" s="132">
        <f t="shared" si="93"/>
        <v>245500.65</v>
      </c>
      <c r="N202" s="132">
        <f t="shared" si="93"/>
        <v>270746</v>
      </c>
      <c r="O202" s="132">
        <f t="shared" si="93"/>
        <v>292951.09999999998</v>
      </c>
      <c r="P202" s="132">
        <f t="shared" si="93"/>
        <v>290973.5</v>
      </c>
      <c r="Q202" s="132">
        <f t="shared" si="93"/>
        <v>338849</v>
      </c>
      <c r="R202" s="140">
        <f t="shared" si="93"/>
        <v>311547.66982136731</v>
      </c>
      <c r="S202" s="140">
        <f t="shared" si="93"/>
        <v>312052.84725464147</v>
      </c>
      <c r="T202" s="140">
        <f t="shared" si="93"/>
        <v>311432.32601389184</v>
      </c>
      <c r="U202" s="140">
        <f t="shared" si="93"/>
        <v>311677.37211945251</v>
      </c>
      <c r="V202" s="140">
        <f t="shared" si="93"/>
        <v>311720.6311886484</v>
      </c>
      <c r="W202" s="140">
        <f t="shared" si="93"/>
        <v>311610.05595814151</v>
      </c>
      <c r="X202" s="140">
        <f t="shared" si="93"/>
        <v>311669.34617928916</v>
      </c>
      <c r="Y202" s="140">
        <f t="shared" si="93"/>
        <v>311666.6709614573</v>
      </c>
      <c r="Z202" s="140">
        <f t="shared" si="93"/>
        <v>311648.68853751459</v>
      </c>
      <c r="AA202" s="140">
        <f t="shared" si="93"/>
        <v>311661.5682785617</v>
      </c>
      <c r="AB202" s="140">
        <f t="shared" si="93"/>
        <v>311658.97573472926</v>
      </c>
      <c r="AC202" s="140">
        <f t="shared" si="93"/>
        <v>311656.41074699973</v>
      </c>
      <c r="AD202" s="140">
        <f t="shared" si="93"/>
        <v>311658.98490529845</v>
      </c>
      <c r="AE202" s="140">
        <f t="shared" si="93"/>
        <v>311658.1237907781</v>
      </c>
      <c r="AF202" s="140">
        <f t="shared" si="93"/>
        <v>311657.8398105377</v>
      </c>
      <c r="AG202" s="140">
        <f t="shared" si="93"/>
        <v>311658.31616808014</v>
      </c>
    </row>
    <row r="203" spans="1:33" ht="14.25" customHeight="1" x14ac:dyDescent="0.35">
      <c r="A203" s="21"/>
      <c r="B203" s="21"/>
      <c r="C203" s="21"/>
      <c r="D203" s="128" t="s">
        <v>4023</v>
      </c>
      <c r="E203" s="128"/>
      <c r="F203" s="21"/>
      <c r="G203" s="21"/>
      <c r="H203" s="21"/>
      <c r="I203" s="22" t="s">
        <v>3900</v>
      </c>
      <c r="J203" s="132">
        <v>357017.63</v>
      </c>
      <c r="K203" s="132">
        <v>322492.5</v>
      </c>
      <c r="L203" s="132">
        <v>235582.2</v>
      </c>
      <c r="M203" s="132">
        <v>233238.5</v>
      </c>
      <c r="N203" s="132">
        <v>260425</v>
      </c>
      <c r="O203" s="132">
        <v>264059.59999999998</v>
      </c>
      <c r="P203" s="132">
        <v>273392.5</v>
      </c>
      <c r="Q203" s="132">
        <v>318070</v>
      </c>
      <c r="R203" s="140">
        <f t="shared" ref="R203:AG203" si="94">R421</f>
        <v>299474.51325571077</v>
      </c>
      <c r="S203" s="140">
        <f t="shared" si="94"/>
        <v>299979.69068898493</v>
      </c>
      <c r="T203" s="140">
        <f t="shared" si="94"/>
        <v>299359.16944823531</v>
      </c>
      <c r="U203" s="140">
        <f t="shared" si="94"/>
        <v>299604.21555379598</v>
      </c>
      <c r="V203" s="140">
        <f t="shared" si="94"/>
        <v>299647.47462299187</v>
      </c>
      <c r="W203" s="140">
        <f t="shared" si="94"/>
        <v>299536.89939248498</v>
      </c>
      <c r="X203" s="140">
        <f t="shared" si="94"/>
        <v>299596.18961363262</v>
      </c>
      <c r="Y203" s="140">
        <f t="shared" si="94"/>
        <v>299593.51439580077</v>
      </c>
      <c r="Z203" s="140">
        <f t="shared" si="94"/>
        <v>299575.53197185806</v>
      </c>
      <c r="AA203" s="140">
        <f t="shared" si="94"/>
        <v>299588.41171290516</v>
      </c>
      <c r="AB203" s="140">
        <f t="shared" si="94"/>
        <v>299585.81916907273</v>
      </c>
      <c r="AC203" s="140">
        <f t="shared" si="94"/>
        <v>299583.25418134319</v>
      </c>
      <c r="AD203" s="140">
        <f t="shared" si="94"/>
        <v>299585.82833964191</v>
      </c>
      <c r="AE203" s="140">
        <f t="shared" si="94"/>
        <v>299584.96722512157</v>
      </c>
      <c r="AF203" s="140">
        <f t="shared" si="94"/>
        <v>299584.68324488116</v>
      </c>
      <c r="AG203" s="140">
        <f t="shared" si="94"/>
        <v>299585.15960242361</v>
      </c>
    </row>
    <row r="204" spans="1:33" ht="14.25" customHeight="1" x14ac:dyDescent="0.35">
      <c r="A204" s="21"/>
      <c r="B204" s="21"/>
      <c r="C204" s="21"/>
      <c r="D204" s="128" t="s">
        <v>4024</v>
      </c>
      <c r="E204" s="128"/>
      <c r="F204" s="21"/>
      <c r="G204" s="21"/>
      <c r="H204" s="21"/>
      <c r="I204" s="22" t="s">
        <v>3900</v>
      </c>
      <c r="J204" s="132">
        <f>'Input Operasional'!I45</f>
        <v>0</v>
      </c>
      <c r="K204" s="132">
        <f>'Input Operasional'!J45</f>
        <v>1985.4</v>
      </c>
      <c r="L204" s="132">
        <f>'Input Operasional'!K45</f>
        <v>1287</v>
      </c>
      <c r="M204" s="132">
        <f>'Input Operasional'!L45</f>
        <v>5966.25</v>
      </c>
      <c r="N204" s="132">
        <f>'Input Operasional'!M45</f>
        <v>4986</v>
      </c>
      <c r="O204" s="132">
        <f>'Input Operasional'!N45</f>
        <v>14778.5</v>
      </c>
      <c r="P204" s="132">
        <f>'Input Operasional'!O45</f>
        <v>8721.5</v>
      </c>
      <c r="Q204" s="132">
        <f>'Input Operasional'!P45</f>
        <v>13376</v>
      </c>
      <c r="R204" s="140">
        <f t="shared" ref="R204:AG204" si="95">R582</f>
        <v>6452.5252525252527</v>
      </c>
      <c r="S204" s="140">
        <f t="shared" si="95"/>
        <v>6452.5252525252527</v>
      </c>
      <c r="T204" s="140">
        <f t="shared" si="95"/>
        <v>6452.5252525252527</v>
      </c>
      <c r="U204" s="140">
        <f t="shared" si="95"/>
        <v>6452.5252525252527</v>
      </c>
      <c r="V204" s="140">
        <f t="shared" si="95"/>
        <v>6452.5252525252527</v>
      </c>
      <c r="W204" s="140">
        <f t="shared" si="95"/>
        <v>6452.5252525252527</v>
      </c>
      <c r="X204" s="140">
        <f t="shared" si="95"/>
        <v>6452.5252525252527</v>
      </c>
      <c r="Y204" s="140">
        <f t="shared" si="95"/>
        <v>6452.5252525252527</v>
      </c>
      <c r="Z204" s="140">
        <f t="shared" si="95"/>
        <v>6452.5252525252527</v>
      </c>
      <c r="AA204" s="140">
        <f t="shared" si="95"/>
        <v>6452.5252525252527</v>
      </c>
      <c r="AB204" s="140">
        <f t="shared" si="95"/>
        <v>6452.5252525252527</v>
      </c>
      <c r="AC204" s="140">
        <f t="shared" si="95"/>
        <v>6452.5252525252527</v>
      </c>
      <c r="AD204" s="140">
        <f t="shared" si="95"/>
        <v>6452.5252525252527</v>
      </c>
      <c r="AE204" s="140">
        <f t="shared" si="95"/>
        <v>6452.5252525252527</v>
      </c>
      <c r="AF204" s="140">
        <f t="shared" si="95"/>
        <v>6452.5252525252527</v>
      </c>
      <c r="AG204" s="140">
        <f t="shared" si="95"/>
        <v>6452.5252525252527</v>
      </c>
    </row>
    <row r="205" spans="1:33" ht="14.25" customHeight="1" x14ac:dyDescent="0.35">
      <c r="A205" s="21"/>
      <c r="B205" s="21"/>
      <c r="C205" s="21"/>
      <c r="D205" s="128" t="s">
        <v>4025</v>
      </c>
      <c r="E205" s="128"/>
      <c r="F205" s="21"/>
      <c r="G205" s="21"/>
      <c r="H205" s="21"/>
      <c r="I205" s="22" t="s">
        <v>3900</v>
      </c>
      <c r="J205" s="132">
        <f>'Input Operasional'!I46</f>
        <v>0</v>
      </c>
      <c r="K205" s="132">
        <f>'Input Operasional'!J46</f>
        <v>3540.4</v>
      </c>
      <c r="L205" s="132">
        <f>'Input Operasional'!K46</f>
        <v>0</v>
      </c>
      <c r="M205" s="132">
        <f>'Input Operasional'!L46</f>
        <v>5836</v>
      </c>
      <c r="N205" s="132">
        <f>'Input Operasional'!M46</f>
        <v>5335</v>
      </c>
      <c r="O205" s="132">
        <f>'Input Operasional'!N46</f>
        <v>14113</v>
      </c>
      <c r="P205" s="132">
        <f>'Input Operasional'!O46</f>
        <v>8288</v>
      </c>
      <c r="Q205" s="132">
        <f>'Input Operasional'!P46</f>
        <v>7403</v>
      </c>
      <c r="R205" s="140">
        <f t="shared" ref="R205:AG205" si="96">R745</f>
        <v>5620.6313131313136</v>
      </c>
      <c r="S205" s="140">
        <f t="shared" si="96"/>
        <v>5620.6313131313136</v>
      </c>
      <c r="T205" s="140">
        <f t="shared" si="96"/>
        <v>5620.6313131313136</v>
      </c>
      <c r="U205" s="140">
        <f t="shared" si="96"/>
        <v>5620.6313131313136</v>
      </c>
      <c r="V205" s="140">
        <f t="shared" si="96"/>
        <v>5620.6313131313136</v>
      </c>
      <c r="W205" s="140">
        <f t="shared" si="96"/>
        <v>5620.6313131313136</v>
      </c>
      <c r="X205" s="140">
        <f t="shared" si="96"/>
        <v>5620.6313131313136</v>
      </c>
      <c r="Y205" s="140">
        <f t="shared" si="96"/>
        <v>5620.6313131313136</v>
      </c>
      <c r="Z205" s="140">
        <f t="shared" si="96"/>
        <v>5620.6313131313136</v>
      </c>
      <c r="AA205" s="140">
        <f t="shared" si="96"/>
        <v>5620.6313131313136</v>
      </c>
      <c r="AB205" s="140">
        <f t="shared" si="96"/>
        <v>5620.6313131313136</v>
      </c>
      <c r="AC205" s="140">
        <f t="shared" si="96"/>
        <v>5620.6313131313136</v>
      </c>
      <c r="AD205" s="140">
        <f t="shared" si="96"/>
        <v>5620.6313131313136</v>
      </c>
      <c r="AE205" s="140">
        <f t="shared" si="96"/>
        <v>5620.6313131313136</v>
      </c>
      <c r="AF205" s="140">
        <f t="shared" si="96"/>
        <v>5620.6313131313136</v>
      </c>
      <c r="AG205" s="140">
        <f t="shared" si="96"/>
        <v>5620.6313131313136</v>
      </c>
    </row>
    <row r="206" spans="1:33" ht="14.25" customHeight="1" x14ac:dyDescent="0.35">
      <c r="A206" s="21"/>
      <c r="B206" s="21"/>
      <c r="C206" s="21"/>
      <c r="D206" s="128" t="s">
        <v>4026</v>
      </c>
      <c r="E206" s="128"/>
      <c r="F206" s="21"/>
      <c r="G206" s="21"/>
      <c r="H206" s="21"/>
      <c r="I206" s="22" t="s">
        <v>3900</v>
      </c>
      <c r="J206" s="132">
        <f t="shared" ref="J206:AG206" si="97">J1121</f>
        <v>0</v>
      </c>
      <c r="K206" s="132">
        <f t="shared" si="97"/>
        <v>0</v>
      </c>
      <c r="L206" s="132">
        <f t="shared" si="97"/>
        <v>0</v>
      </c>
      <c r="M206" s="132">
        <f t="shared" si="97"/>
        <v>459.9</v>
      </c>
      <c r="N206" s="132">
        <f t="shared" si="97"/>
        <v>0</v>
      </c>
      <c r="O206" s="132">
        <f t="shared" si="97"/>
        <v>0</v>
      </c>
      <c r="P206" s="132">
        <f t="shared" si="97"/>
        <v>571.5</v>
      </c>
      <c r="Q206" s="132">
        <f t="shared" si="97"/>
        <v>0</v>
      </c>
      <c r="R206" s="140">
        <f t="shared" si="97"/>
        <v>0</v>
      </c>
      <c r="S206" s="140">
        <f t="shared" si="97"/>
        <v>0</v>
      </c>
      <c r="T206" s="140">
        <f t="shared" si="97"/>
        <v>0</v>
      </c>
      <c r="U206" s="140">
        <f t="shared" si="97"/>
        <v>0</v>
      </c>
      <c r="V206" s="140">
        <f t="shared" si="97"/>
        <v>0</v>
      </c>
      <c r="W206" s="140">
        <f t="shared" si="97"/>
        <v>0</v>
      </c>
      <c r="X206" s="140">
        <f t="shared" si="97"/>
        <v>0</v>
      </c>
      <c r="Y206" s="140">
        <f t="shared" si="97"/>
        <v>0</v>
      </c>
      <c r="Z206" s="140">
        <f t="shared" si="97"/>
        <v>0</v>
      </c>
      <c r="AA206" s="140">
        <f t="shared" si="97"/>
        <v>0</v>
      </c>
      <c r="AB206" s="140">
        <f t="shared" si="97"/>
        <v>0</v>
      </c>
      <c r="AC206" s="140">
        <f t="shared" si="97"/>
        <v>0</v>
      </c>
      <c r="AD206" s="140">
        <f t="shared" si="97"/>
        <v>0</v>
      </c>
      <c r="AE206" s="140">
        <f t="shared" si="97"/>
        <v>0</v>
      </c>
      <c r="AF206" s="140">
        <f t="shared" si="97"/>
        <v>0</v>
      </c>
      <c r="AG206" s="140">
        <f t="shared" si="97"/>
        <v>0</v>
      </c>
    </row>
    <row r="207" spans="1:33" ht="14.25" customHeight="1" x14ac:dyDescent="0.35">
      <c r="A207" s="21"/>
      <c r="B207" s="21"/>
      <c r="C207" s="21"/>
      <c r="D207" s="128" t="s">
        <v>4029</v>
      </c>
      <c r="E207" s="128"/>
      <c r="F207" s="21"/>
      <c r="G207" s="21"/>
      <c r="H207" s="21"/>
      <c r="I207" s="22" t="s">
        <v>3921</v>
      </c>
      <c r="J207" s="148">
        <f t="shared" ref="J207:AG207" si="98">SUM(J208:J211)</f>
        <v>70728097.206253946</v>
      </c>
      <c r="K207" s="148">
        <f t="shared" si="98"/>
        <v>60103666.403281793</v>
      </c>
      <c r="L207" s="148">
        <f t="shared" si="98"/>
        <v>45310623.889505342</v>
      </c>
      <c r="M207" s="148">
        <f t="shared" si="98"/>
        <v>54742958.850952148</v>
      </c>
      <c r="N207" s="148">
        <f t="shared" si="98"/>
        <v>58495819.036086015</v>
      </c>
      <c r="O207" s="148">
        <f t="shared" si="98"/>
        <v>61359898.611337863</v>
      </c>
      <c r="P207" s="148">
        <f t="shared" si="98"/>
        <v>61409804.443602502</v>
      </c>
      <c r="Q207" s="148">
        <f t="shared" si="98"/>
        <v>60024515.288522467</v>
      </c>
      <c r="R207" s="149">
        <f t="shared" si="98"/>
        <v>58080614.082065083</v>
      </c>
      <c r="S207" s="149">
        <f t="shared" si="98"/>
        <v>58177814.330453463</v>
      </c>
      <c r="T207" s="149">
        <f t="shared" si="98"/>
        <v>58058420.995046116</v>
      </c>
      <c r="U207" s="149">
        <f t="shared" si="98"/>
        <v>58105569.859500989</v>
      </c>
      <c r="V207" s="149">
        <f t="shared" si="98"/>
        <v>58113893.256378889</v>
      </c>
      <c r="W207" s="149">
        <f t="shared" si="98"/>
        <v>58092617.682366729</v>
      </c>
      <c r="X207" s="149">
        <f t="shared" si="98"/>
        <v>58104025.603312895</v>
      </c>
      <c r="Y207" s="149">
        <f t="shared" si="98"/>
        <v>58103510.869635947</v>
      </c>
      <c r="Z207" s="149">
        <f t="shared" si="98"/>
        <v>58100050.904960677</v>
      </c>
      <c r="AA207" s="149">
        <f t="shared" si="98"/>
        <v>58102529.071930289</v>
      </c>
      <c r="AB207" s="149">
        <f t="shared" si="98"/>
        <v>58102030.245403461</v>
      </c>
      <c r="AC207" s="149">
        <f t="shared" si="98"/>
        <v>58101536.720895104</v>
      </c>
      <c r="AD207" s="149">
        <f t="shared" si="98"/>
        <v>58102032.009895563</v>
      </c>
      <c r="AE207" s="149">
        <f t="shared" si="98"/>
        <v>58101866.324455753</v>
      </c>
      <c r="AF207" s="149">
        <f t="shared" si="98"/>
        <v>58101811.684346907</v>
      </c>
      <c r="AG207" s="149">
        <f t="shared" si="98"/>
        <v>58101903.339413829</v>
      </c>
    </row>
    <row r="208" spans="1:33" ht="14.25" customHeight="1" x14ac:dyDescent="0.35">
      <c r="A208" s="21"/>
      <c r="B208" s="21"/>
      <c r="C208" s="21"/>
      <c r="D208" s="128" t="s">
        <v>4023</v>
      </c>
      <c r="E208" s="128"/>
      <c r="F208" s="21"/>
      <c r="G208" s="21"/>
      <c r="H208" s="21"/>
      <c r="I208" s="22" t="s">
        <v>3921</v>
      </c>
      <c r="J208" s="148">
        <v>63568250.098950401</v>
      </c>
      <c r="K208" s="148">
        <v>55620267.316271096</v>
      </c>
      <c r="L208" s="148">
        <v>44319901.603603601</v>
      </c>
      <c r="M208" s="148">
        <v>51198512.073106103</v>
      </c>
      <c r="N208" s="148">
        <v>54077673.979455903</v>
      </c>
      <c r="O208" s="148">
        <v>58790008.030698597</v>
      </c>
      <c r="P208" s="148">
        <v>53621934.926622503</v>
      </c>
      <c r="Q208" s="148">
        <v>52928198.496085197</v>
      </c>
      <c r="R208" s="149">
        <v>54703378.052533202</v>
      </c>
      <c r="S208" s="149">
        <v>54795656.062489897</v>
      </c>
      <c r="T208" s="149">
        <v>54682308.827517197</v>
      </c>
      <c r="U208" s="149">
        <v>54727070.064815998</v>
      </c>
      <c r="V208" s="149">
        <v>54734971.963347197</v>
      </c>
      <c r="W208" s="149">
        <v>54714773.788310803</v>
      </c>
      <c r="X208" s="149">
        <v>54725604.010044903</v>
      </c>
      <c r="Y208" s="149">
        <v>54725115.3425759</v>
      </c>
      <c r="Z208" s="149">
        <v>54721830.591147304</v>
      </c>
      <c r="AA208" s="149">
        <v>54724183.263286397</v>
      </c>
      <c r="AB208" s="149">
        <v>54723709.697426498</v>
      </c>
      <c r="AC208" s="149">
        <v>54723241.165089898</v>
      </c>
      <c r="AD208" s="149">
        <v>54723711.372564398</v>
      </c>
      <c r="AE208" s="149">
        <v>54723554.077465698</v>
      </c>
      <c r="AF208" s="149">
        <v>54723502.204342</v>
      </c>
      <c r="AG208" s="149">
        <v>54723589.217979498</v>
      </c>
    </row>
    <row r="209" spans="1:33" ht="14.25" customHeight="1" x14ac:dyDescent="0.35">
      <c r="A209" s="21"/>
      <c r="B209" s="21"/>
      <c r="C209" s="21"/>
      <c r="D209" s="128" t="s">
        <v>4024</v>
      </c>
      <c r="E209" s="128"/>
      <c r="F209" s="21"/>
      <c r="G209" s="21"/>
      <c r="H209" s="21"/>
      <c r="I209" s="22" t="s">
        <v>3921</v>
      </c>
      <c r="J209" s="148">
        <v>3814145.8206897699</v>
      </c>
      <c r="K209" s="148">
        <v>1495335.92479647</v>
      </c>
      <c r="L209" s="148">
        <v>68222.490080192307</v>
      </c>
      <c r="M209" s="148">
        <v>1643411.2078094301</v>
      </c>
      <c r="N209" s="148">
        <v>364948.332419449</v>
      </c>
      <c r="O209" s="148">
        <v>978021.32962455298</v>
      </c>
      <c r="P209" s="148">
        <v>1939051.86015711</v>
      </c>
      <c r="Q209" s="148">
        <v>916428.41631351796</v>
      </c>
      <c r="R209" s="149">
        <v>0</v>
      </c>
      <c r="S209" s="149">
        <v>0</v>
      </c>
      <c r="T209" s="149">
        <v>0</v>
      </c>
      <c r="U209" s="149">
        <v>0</v>
      </c>
      <c r="V209" s="149">
        <v>0</v>
      </c>
      <c r="W209" s="149">
        <v>0</v>
      </c>
      <c r="X209" s="149">
        <v>0</v>
      </c>
      <c r="Y209" s="149">
        <v>0</v>
      </c>
      <c r="Z209" s="149">
        <v>0</v>
      </c>
      <c r="AA209" s="149">
        <v>0</v>
      </c>
      <c r="AB209" s="149">
        <v>0</v>
      </c>
      <c r="AC209" s="149">
        <v>0</v>
      </c>
      <c r="AD209" s="149">
        <v>0</v>
      </c>
      <c r="AE209" s="149">
        <v>0</v>
      </c>
      <c r="AF209" s="149">
        <v>0</v>
      </c>
      <c r="AG209" s="149">
        <v>0</v>
      </c>
    </row>
    <row r="210" spans="1:33" ht="14.25" customHeight="1" x14ac:dyDescent="0.35">
      <c r="A210" s="21"/>
      <c r="B210" s="21"/>
      <c r="C210" s="21"/>
      <c r="D210" s="128" t="s">
        <v>4025</v>
      </c>
      <c r="E210" s="128"/>
      <c r="F210" s="21"/>
      <c r="G210" s="21"/>
      <c r="H210" s="21"/>
      <c r="I210" s="22" t="s">
        <v>3921</v>
      </c>
      <c r="J210" s="148">
        <v>0</v>
      </c>
      <c r="K210" s="148">
        <v>355905.20622796798</v>
      </c>
      <c r="L210" s="148">
        <v>0</v>
      </c>
      <c r="M210" s="148">
        <v>519568.30000705202</v>
      </c>
      <c r="N210" s="148">
        <v>433701.63917191001</v>
      </c>
      <c r="O210" s="148">
        <v>1138496.70087913</v>
      </c>
      <c r="P210" s="148">
        <v>674761.06266601</v>
      </c>
      <c r="Q210" s="148">
        <v>551816.25930426305</v>
      </c>
      <c r="R210" s="149">
        <v>459281.14603204199</v>
      </c>
      <c r="S210" s="149">
        <v>459281.14603204199</v>
      </c>
      <c r="T210" s="149">
        <v>459281.14603204199</v>
      </c>
      <c r="U210" s="149">
        <v>459281.14603204199</v>
      </c>
      <c r="V210" s="149">
        <v>459281.14603204199</v>
      </c>
      <c r="W210" s="149">
        <v>459281.14603204199</v>
      </c>
      <c r="X210" s="149">
        <v>459281.14603204199</v>
      </c>
      <c r="Y210" s="149">
        <v>459281.14603204199</v>
      </c>
      <c r="Z210" s="149">
        <v>459281.14603204199</v>
      </c>
      <c r="AA210" s="149">
        <v>459281.14603204199</v>
      </c>
      <c r="AB210" s="149">
        <v>459281.14603204199</v>
      </c>
      <c r="AC210" s="149">
        <v>459281.14603204199</v>
      </c>
      <c r="AD210" s="149">
        <v>459281.14603204199</v>
      </c>
      <c r="AE210" s="149">
        <v>459281.14603204199</v>
      </c>
      <c r="AF210" s="149">
        <v>459281.14603204199</v>
      </c>
      <c r="AG210" s="149">
        <v>459281.14603204199</v>
      </c>
    </row>
    <row r="211" spans="1:33" ht="14.25" customHeight="1" x14ac:dyDescent="0.35">
      <c r="A211" s="21"/>
      <c r="B211" s="21"/>
      <c r="C211" s="21"/>
      <c r="D211" s="128" t="s">
        <v>4026</v>
      </c>
      <c r="E211" s="128"/>
      <c r="F211" s="21"/>
      <c r="G211" s="21"/>
      <c r="H211" s="21"/>
      <c r="I211" s="22" t="s">
        <v>3921</v>
      </c>
      <c r="J211" s="148">
        <f t="shared" ref="J211:AG211" si="99">J942+J943</f>
        <v>3345701.2866137708</v>
      </c>
      <c r="K211" s="148">
        <f t="shared" si="99"/>
        <v>2632157.9559862623</v>
      </c>
      <c r="L211" s="148">
        <f t="shared" si="99"/>
        <v>922499.79582154599</v>
      </c>
      <c r="M211" s="148">
        <f t="shared" si="99"/>
        <v>1381467.27002956</v>
      </c>
      <c r="N211" s="148">
        <f t="shared" si="99"/>
        <v>3619495.08503875</v>
      </c>
      <c r="O211" s="148">
        <f t="shared" si="99"/>
        <v>453372.55013558501</v>
      </c>
      <c r="P211" s="148">
        <f t="shared" si="99"/>
        <v>5174056.5941568827</v>
      </c>
      <c r="Q211" s="148">
        <f t="shared" si="99"/>
        <v>5628072.1168194897</v>
      </c>
      <c r="R211" s="149">
        <f t="shared" si="99"/>
        <v>2917954.8834998379</v>
      </c>
      <c r="S211" s="149">
        <f t="shared" si="99"/>
        <v>2922877.1219315203</v>
      </c>
      <c r="T211" s="149">
        <f t="shared" si="99"/>
        <v>2916831.0214968738</v>
      </c>
      <c r="U211" s="149">
        <f t="shared" si="99"/>
        <v>2919218.6486529522</v>
      </c>
      <c r="V211" s="149">
        <f t="shared" si="99"/>
        <v>2919640.1469996483</v>
      </c>
      <c r="W211" s="149">
        <f t="shared" si="99"/>
        <v>2918562.7480238788</v>
      </c>
      <c r="X211" s="149">
        <f t="shared" si="99"/>
        <v>2919140.4472359493</v>
      </c>
      <c r="Y211" s="149">
        <f t="shared" si="99"/>
        <v>2919114.3810280017</v>
      </c>
      <c r="Z211" s="149">
        <f t="shared" si="99"/>
        <v>2918939.1677813316</v>
      </c>
      <c r="AA211" s="149">
        <f t="shared" si="99"/>
        <v>2919064.6626118533</v>
      </c>
      <c r="AB211" s="149">
        <f t="shared" si="99"/>
        <v>2919039.401944919</v>
      </c>
      <c r="AC211" s="149">
        <f t="shared" si="99"/>
        <v>2919014.4097731668</v>
      </c>
      <c r="AD211" s="149">
        <f t="shared" si="99"/>
        <v>2919039.4912991193</v>
      </c>
      <c r="AE211" s="149">
        <f t="shared" si="99"/>
        <v>2919031.1009580083</v>
      </c>
      <c r="AF211" s="149">
        <f t="shared" si="99"/>
        <v>2919028.3339728657</v>
      </c>
      <c r="AG211" s="149">
        <f t="shared" si="99"/>
        <v>2919032.97540229</v>
      </c>
    </row>
    <row r="212" spans="1:33" ht="14.25" customHeight="1" x14ac:dyDescent="0.35">
      <c r="A212" s="21"/>
      <c r="B212" s="21"/>
      <c r="C212" s="21"/>
      <c r="D212" s="128" t="s">
        <v>4030</v>
      </c>
      <c r="E212" s="128"/>
      <c r="F212" s="21"/>
      <c r="G212" s="21"/>
      <c r="H212" s="21"/>
      <c r="I212" s="22" t="s">
        <v>3921</v>
      </c>
      <c r="J212" s="148">
        <f t="shared" ref="J212:AG212" si="100">SUM(J213:J216)</f>
        <v>5494691634.7199955</v>
      </c>
      <c r="K212" s="148">
        <f t="shared" si="100"/>
        <v>4882769219.2999983</v>
      </c>
      <c r="L212" s="148">
        <f t="shared" si="100"/>
        <v>3454239177.3999977</v>
      </c>
      <c r="M212" s="148">
        <f t="shared" si="100"/>
        <v>4329839655.0142422</v>
      </c>
      <c r="N212" s="148">
        <f t="shared" si="100"/>
        <v>5087815936.666996</v>
      </c>
      <c r="O212" s="148">
        <f t="shared" si="100"/>
        <v>5559332330.6058168</v>
      </c>
      <c r="P212" s="148">
        <f t="shared" si="100"/>
        <v>5655737292.8499928</v>
      </c>
      <c r="Q212" s="148">
        <f t="shared" si="100"/>
        <v>6713523943.1899986</v>
      </c>
      <c r="R212" s="149">
        <f t="shared" si="100"/>
        <v>5993326637.7414551</v>
      </c>
      <c r="S212" s="149">
        <f t="shared" si="100"/>
        <v>6052617673.344038</v>
      </c>
      <c r="T212" s="149">
        <f t="shared" si="100"/>
        <v>6130285968.4941921</v>
      </c>
      <c r="U212" s="149">
        <f t="shared" si="100"/>
        <v>6134993723.0485077</v>
      </c>
      <c r="V212" s="149">
        <f t="shared" si="100"/>
        <v>6135824803.7121134</v>
      </c>
      <c r="W212" s="149">
        <f t="shared" si="100"/>
        <v>6133700464.5236912</v>
      </c>
      <c r="X212" s="149">
        <f t="shared" si="100"/>
        <v>6134839531.0189304</v>
      </c>
      <c r="Y212" s="149">
        <f t="shared" si="100"/>
        <v>6134788135.5115337</v>
      </c>
      <c r="Z212" s="149">
        <f t="shared" si="100"/>
        <v>6134442662.4095612</v>
      </c>
      <c r="AA212" s="149">
        <f t="shared" si="100"/>
        <v>6134690104.2508936</v>
      </c>
      <c r="AB212" s="149">
        <f t="shared" si="100"/>
        <v>6134640297.0523415</v>
      </c>
      <c r="AC212" s="149">
        <f t="shared" si="100"/>
        <v>6134591019.2536306</v>
      </c>
      <c r="AD212" s="149">
        <f t="shared" si="100"/>
        <v>6134640473.2346535</v>
      </c>
      <c r="AE212" s="149">
        <f t="shared" si="100"/>
        <v>6134623929.7527905</v>
      </c>
      <c r="AF212" s="149">
        <f t="shared" si="100"/>
        <v>6134618474.0069437</v>
      </c>
      <c r="AG212" s="149">
        <f t="shared" si="100"/>
        <v>6134627625.6495981</v>
      </c>
    </row>
    <row r="213" spans="1:33" ht="14.25" customHeight="1" x14ac:dyDescent="0.35">
      <c r="A213" s="21"/>
      <c r="B213" s="21"/>
      <c r="C213" s="21"/>
      <c r="D213" s="128" t="s">
        <v>4023</v>
      </c>
      <c r="E213" s="128"/>
      <c r="F213" s="21"/>
      <c r="G213" s="21"/>
      <c r="H213" s="21"/>
      <c r="I213" s="22" t="s">
        <v>3921</v>
      </c>
      <c r="J213" s="148">
        <v>5318735703.5434799</v>
      </c>
      <c r="K213" s="148">
        <v>4656505143.9917297</v>
      </c>
      <c r="L213" s="148">
        <v>3408713579.8989301</v>
      </c>
      <c r="M213" s="148">
        <v>3925531929.9568801</v>
      </c>
      <c r="N213" s="148">
        <v>4655642691.5366201</v>
      </c>
      <c r="O213" s="148">
        <v>4772494680.3684301</v>
      </c>
      <c r="P213" s="148">
        <v>5073901779.4656296</v>
      </c>
      <c r="Q213" s="148">
        <v>6118401604.1536903</v>
      </c>
      <c r="R213" s="149">
        <v>5594650713.8224802</v>
      </c>
      <c r="S213" s="149">
        <v>5653744033.0321999</v>
      </c>
      <c r="T213" s="149">
        <v>5731251801.5236998</v>
      </c>
      <c r="U213" s="149">
        <v>5735928119.38873</v>
      </c>
      <c r="V213" s="149">
        <v>5736753650.3950005</v>
      </c>
      <c r="W213" s="149">
        <v>5734643496.7785397</v>
      </c>
      <c r="X213" s="149">
        <v>5735774956.9979897</v>
      </c>
      <c r="Y213" s="149">
        <v>5735723904.6912804</v>
      </c>
      <c r="Z213" s="149">
        <v>5735380738.5342503</v>
      </c>
      <c r="AA213" s="149">
        <v>5735626528.04809</v>
      </c>
      <c r="AB213" s="149">
        <v>5735577053.4440699</v>
      </c>
      <c r="AC213" s="149">
        <v>5735528104.7047501</v>
      </c>
      <c r="AD213" s="149">
        <v>5735577228.4498997</v>
      </c>
      <c r="AE213" s="149">
        <v>5735560795.4394503</v>
      </c>
      <c r="AF213" s="149">
        <v>5735555376.1251097</v>
      </c>
      <c r="AG213" s="149">
        <v>5735564466.6563902</v>
      </c>
    </row>
    <row r="214" spans="1:33" ht="14.25" customHeight="1" x14ac:dyDescent="0.35">
      <c r="A214" s="21"/>
      <c r="B214" s="21"/>
      <c r="C214" s="21"/>
      <c r="D214" s="128" t="s">
        <v>4024</v>
      </c>
      <c r="E214" s="128"/>
      <c r="F214" s="21"/>
      <c r="G214" s="21"/>
      <c r="H214" s="21"/>
      <c r="I214" s="22" t="s">
        <v>3921</v>
      </c>
      <c r="J214" s="148">
        <v>93538381.371937603</v>
      </c>
      <c r="K214" s="148">
        <v>65218248.556007199</v>
      </c>
      <c r="L214" s="148">
        <v>33893510.766253702</v>
      </c>
      <c r="M214" s="148">
        <v>198913489.267665</v>
      </c>
      <c r="N214" s="148">
        <v>256168813.632467</v>
      </c>
      <c r="O214" s="148">
        <v>374269016.69168597</v>
      </c>
      <c r="P214" s="148">
        <v>257656799.392315</v>
      </c>
      <c r="Q214" s="148">
        <v>388183200.37300599</v>
      </c>
      <c r="R214" s="149">
        <v>196476505.71461099</v>
      </c>
      <c r="S214" s="149">
        <v>196476505.71461099</v>
      </c>
      <c r="T214" s="149">
        <v>196476505.71461099</v>
      </c>
      <c r="U214" s="149">
        <v>196476505.71461099</v>
      </c>
      <c r="V214" s="149">
        <v>196476505.71461099</v>
      </c>
      <c r="W214" s="149">
        <v>196476505.71461099</v>
      </c>
      <c r="X214" s="149">
        <v>196476505.71461099</v>
      </c>
      <c r="Y214" s="149">
        <v>196476505.71461099</v>
      </c>
      <c r="Z214" s="149">
        <v>196476505.71461099</v>
      </c>
      <c r="AA214" s="149">
        <v>196476505.71461099</v>
      </c>
      <c r="AB214" s="149">
        <v>196476505.71461099</v>
      </c>
      <c r="AC214" s="149">
        <v>196476505.71461099</v>
      </c>
      <c r="AD214" s="149">
        <v>196476505.71461099</v>
      </c>
      <c r="AE214" s="149">
        <v>196476505.71461099</v>
      </c>
      <c r="AF214" s="149">
        <v>196476505.71461099</v>
      </c>
      <c r="AG214" s="149">
        <v>196476505.71461099</v>
      </c>
    </row>
    <row r="215" spans="1:33" ht="14.25" customHeight="1" x14ac:dyDescent="0.35">
      <c r="A215" s="21"/>
      <c r="B215" s="21"/>
      <c r="C215" s="21"/>
      <c r="D215" s="128" t="s">
        <v>4025</v>
      </c>
      <c r="E215" s="128"/>
      <c r="F215" s="21"/>
      <c r="G215" s="21"/>
      <c r="H215" s="21"/>
      <c r="I215" s="22" t="s">
        <v>3921</v>
      </c>
      <c r="J215" s="148">
        <v>0</v>
      </c>
      <c r="K215" s="148">
        <v>118994536.46325</v>
      </c>
      <c r="L215" s="148">
        <v>0</v>
      </c>
      <c r="M215" s="148">
        <v>186428949.85285699</v>
      </c>
      <c r="N215" s="148">
        <v>160161860.383486</v>
      </c>
      <c r="O215" s="148">
        <v>387850972.25106198</v>
      </c>
      <c r="P215" s="148">
        <v>245558812.95181501</v>
      </c>
      <c r="Q215" s="148">
        <v>197484430.60153699</v>
      </c>
      <c r="R215" s="149">
        <v>164082674.724572</v>
      </c>
      <c r="S215" s="149">
        <v>164082674.724572</v>
      </c>
      <c r="T215" s="149">
        <v>164082674.724572</v>
      </c>
      <c r="U215" s="149">
        <v>164082674.724572</v>
      </c>
      <c r="V215" s="149">
        <v>164082674.724572</v>
      </c>
      <c r="W215" s="149">
        <v>164082674.724572</v>
      </c>
      <c r="X215" s="149">
        <v>164082674.724572</v>
      </c>
      <c r="Y215" s="149">
        <v>164082674.724572</v>
      </c>
      <c r="Z215" s="149">
        <v>164082674.724572</v>
      </c>
      <c r="AA215" s="149">
        <v>164082674.724572</v>
      </c>
      <c r="AB215" s="149">
        <v>164082674.724572</v>
      </c>
      <c r="AC215" s="149">
        <v>164082674.724572</v>
      </c>
      <c r="AD215" s="149">
        <v>164082674.724572</v>
      </c>
      <c r="AE215" s="149">
        <v>164082674.724572</v>
      </c>
      <c r="AF215" s="149">
        <v>164082674.724572</v>
      </c>
      <c r="AG215" s="149">
        <v>164082674.724572</v>
      </c>
    </row>
    <row r="216" spans="1:33" ht="14.25" customHeight="1" x14ac:dyDescent="0.35">
      <c r="A216" s="21"/>
      <c r="B216" s="21"/>
      <c r="C216" s="21"/>
      <c r="D216" s="128" t="s">
        <v>4026</v>
      </c>
      <c r="E216" s="128"/>
      <c r="F216" s="21"/>
      <c r="G216" s="21"/>
      <c r="H216" s="21"/>
      <c r="I216" s="22" t="s">
        <v>3921</v>
      </c>
      <c r="J216" s="148">
        <f t="shared" ref="J216:AG216" si="101">J960</f>
        <v>82417549.804577649</v>
      </c>
      <c r="K216" s="148">
        <f t="shared" si="101"/>
        <v>42051290.289011449</v>
      </c>
      <c r="L216" s="148">
        <f t="shared" si="101"/>
        <v>11632086.734814109</v>
      </c>
      <c r="M216" s="148">
        <f t="shared" si="101"/>
        <v>18965285.936840259</v>
      </c>
      <c r="N216" s="148">
        <f t="shared" si="101"/>
        <v>15842571.114422519</v>
      </c>
      <c r="O216" s="148">
        <f t="shared" si="101"/>
        <v>24717661.294638596</v>
      </c>
      <c r="P216" s="148">
        <f t="shared" si="101"/>
        <v>78619901.040233657</v>
      </c>
      <c r="Q216" s="148">
        <f t="shared" si="101"/>
        <v>9454708.061765559</v>
      </c>
      <c r="R216" s="149">
        <f t="shared" si="101"/>
        <v>38116743.479791492</v>
      </c>
      <c r="S216" s="149">
        <f t="shared" si="101"/>
        <v>38314459.872655064</v>
      </c>
      <c r="T216" s="149">
        <f t="shared" si="101"/>
        <v>38474986.531309143</v>
      </c>
      <c r="U216" s="149">
        <f t="shared" si="101"/>
        <v>38506423.22059451</v>
      </c>
      <c r="V216" s="149">
        <f t="shared" si="101"/>
        <v>38511972.87792927</v>
      </c>
      <c r="W216" s="149">
        <f t="shared" si="101"/>
        <v>38497787.305968612</v>
      </c>
      <c r="X216" s="149">
        <f t="shared" si="101"/>
        <v>38505393.581757493</v>
      </c>
      <c r="Y216" s="149">
        <f t="shared" si="101"/>
        <v>38505050.38107051</v>
      </c>
      <c r="Z216" s="149">
        <f t="shared" si="101"/>
        <v>38502743.43612738</v>
      </c>
      <c r="AA216" s="149">
        <f t="shared" si="101"/>
        <v>38504395.763620742</v>
      </c>
      <c r="AB216" s="149">
        <f t="shared" si="101"/>
        <v>38504063.169088289</v>
      </c>
      <c r="AC216" s="149">
        <f t="shared" si="101"/>
        <v>38503734.109697118</v>
      </c>
      <c r="AD216" s="149">
        <f t="shared" si="101"/>
        <v>38504064.345570236</v>
      </c>
      <c r="AE216" s="149">
        <f t="shared" si="101"/>
        <v>38503953.874156877</v>
      </c>
      <c r="AF216" s="149">
        <f t="shared" si="101"/>
        <v>38503917.442651264</v>
      </c>
      <c r="AG216" s="149">
        <f t="shared" si="101"/>
        <v>38503978.554024577</v>
      </c>
    </row>
    <row r="217" spans="1:33" ht="14.25" customHeight="1" x14ac:dyDescent="0.35">
      <c r="A217" s="21"/>
      <c r="B217" s="21"/>
      <c r="C217" s="21" t="s">
        <v>4031</v>
      </c>
      <c r="D217" s="21"/>
      <c r="E217" s="21"/>
      <c r="F217" s="21"/>
      <c r="G217" s="21"/>
      <c r="H217" s="21"/>
      <c r="I217" s="22"/>
      <c r="J217" s="21"/>
      <c r="K217" s="21"/>
      <c r="L217" s="21"/>
      <c r="M217" s="21"/>
      <c r="N217" s="21"/>
      <c r="O217" s="21"/>
      <c r="P217" s="60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</row>
    <row r="218" spans="1:33" ht="14.25" customHeight="1" x14ac:dyDescent="0.35">
      <c r="A218" s="21"/>
      <c r="B218" s="21"/>
      <c r="C218" s="21"/>
      <c r="D218" s="128" t="s">
        <v>4032</v>
      </c>
      <c r="E218" s="128"/>
      <c r="F218" s="21"/>
      <c r="G218" s="21"/>
      <c r="H218" s="21"/>
      <c r="I218" s="22" t="s">
        <v>3921</v>
      </c>
      <c r="J218" s="148">
        <f t="shared" ref="J218:AG218" si="102">J184</f>
        <v>801906497.81006467</v>
      </c>
      <c r="K218" s="148">
        <f t="shared" si="102"/>
        <v>705100325.23464537</v>
      </c>
      <c r="L218" s="148">
        <f t="shared" si="102"/>
        <v>523045996.29297036</v>
      </c>
      <c r="M218" s="148">
        <f t="shared" si="102"/>
        <v>851735301.69452</v>
      </c>
      <c r="N218" s="148">
        <f t="shared" si="102"/>
        <v>890390466.44254136</v>
      </c>
      <c r="O218" s="148">
        <f t="shared" si="102"/>
        <v>921661649.06202626</v>
      </c>
      <c r="P218" s="148">
        <f t="shared" si="102"/>
        <v>954984665.31174445</v>
      </c>
      <c r="Q218" s="148">
        <f t="shared" si="102"/>
        <v>954603838.83812976</v>
      </c>
      <c r="R218" s="149">
        <f t="shared" si="102"/>
        <v>874498081.6648016</v>
      </c>
      <c r="S218" s="149">
        <f t="shared" si="102"/>
        <v>874145994.02987218</v>
      </c>
      <c r="T218" s="149">
        <f t="shared" si="102"/>
        <v>874353700.5575242</v>
      </c>
      <c r="U218" s="149">
        <f t="shared" si="102"/>
        <v>874332592.08406603</v>
      </c>
      <c r="V218" s="149">
        <f t="shared" si="102"/>
        <v>874277428.89048743</v>
      </c>
      <c r="W218" s="149">
        <f t="shared" si="102"/>
        <v>874321240.5106926</v>
      </c>
      <c r="X218" s="149">
        <f t="shared" si="102"/>
        <v>874310420.49508202</v>
      </c>
      <c r="Y218" s="149">
        <f t="shared" si="102"/>
        <v>874303029.96542072</v>
      </c>
      <c r="Z218" s="149">
        <f t="shared" si="102"/>
        <v>874311563.65706515</v>
      </c>
      <c r="AA218" s="149">
        <f t="shared" si="102"/>
        <v>874308338.03918934</v>
      </c>
      <c r="AB218" s="149">
        <f t="shared" si="102"/>
        <v>874307643.88722503</v>
      </c>
      <c r="AC218" s="149">
        <f t="shared" si="102"/>
        <v>874309181.8611598</v>
      </c>
      <c r="AD218" s="149">
        <f t="shared" si="102"/>
        <v>874308387.92919135</v>
      </c>
      <c r="AE218" s="149">
        <f t="shared" si="102"/>
        <v>874308404.55919206</v>
      </c>
      <c r="AF218" s="149">
        <f t="shared" si="102"/>
        <v>874308658.11651444</v>
      </c>
      <c r="AG218" s="149">
        <f t="shared" si="102"/>
        <v>874308483.53496599</v>
      </c>
    </row>
    <row r="219" spans="1:33" ht="14.25" customHeight="1" x14ac:dyDescent="0.35">
      <c r="A219" s="21"/>
      <c r="B219" s="21"/>
      <c r="C219" s="21"/>
      <c r="D219" s="128" t="s">
        <v>4023</v>
      </c>
      <c r="E219" s="128"/>
      <c r="F219" s="21"/>
      <c r="G219" s="21"/>
      <c r="H219" s="21"/>
      <c r="I219" s="22" t="s">
        <v>3921</v>
      </c>
      <c r="J219" s="148">
        <f t="shared" ref="J219:Q219" si="103">IF(J192&lt;&gt;0,J184*J193/J192,IF(J202=0,0,J184*J203/J202))</f>
        <v>763229294.63783896</v>
      </c>
      <c r="K219" s="148">
        <f t="shared" si="103"/>
        <v>659605873.21866286</v>
      </c>
      <c r="L219" s="148">
        <f t="shared" si="103"/>
        <v>511705884.02579129</v>
      </c>
      <c r="M219" s="148">
        <f t="shared" si="103"/>
        <v>783736350.16021574</v>
      </c>
      <c r="N219" s="148">
        <f t="shared" si="103"/>
        <v>816782216.28747547</v>
      </c>
      <c r="O219" s="148">
        <f t="shared" si="103"/>
        <v>799590329.31506741</v>
      </c>
      <c r="P219" s="148">
        <f t="shared" si="103"/>
        <v>838004033.39459646</v>
      </c>
      <c r="Q219" s="148">
        <f t="shared" si="103"/>
        <v>837037868.02872133</v>
      </c>
      <c r="R219" s="149">
        <f t="shared" ref="R219:AG219" si="104">IF(R202=0,0,R$184*R203/R$202)</f>
        <v>840609360.03719616</v>
      </c>
      <c r="S219" s="149">
        <f t="shared" si="104"/>
        <v>840325756.40021169</v>
      </c>
      <c r="T219" s="149">
        <f t="shared" si="104"/>
        <v>840458024.87188172</v>
      </c>
      <c r="U219" s="149">
        <f t="shared" si="104"/>
        <v>840464383.4203918</v>
      </c>
      <c r="V219" s="149">
        <f t="shared" si="104"/>
        <v>840416056.80046809</v>
      </c>
      <c r="W219" s="149">
        <f t="shared" si="104"/>
        <v>840446155.21247423</v>
      </c>
      <c r="X219" s="149">
        <f t="shared" si="104"/>
        <v>840442198.53798938</v>
      </c>
      <c r="Y219" s="149">
        <f t="shared" si="104"/>
        <v>840434803.58742023</v>
      </c>
      <c r="Z219" s="149">
        <f t="shared" si="104"/>
        <v>840441052.45828283</v>
      </c>
      <c r="AA219" s="149">
        <f t="shared" si="104"/>
        <v>840439351.52888751</v>
      </c>
      <c r="AB219" s="149">
        <f t="shared" si="104"/>
        <v>840438402.52712607</v>
      </c>
      <c r="AC219" s="149">
        <f t="shared" si="104"/>
        <v>840439602.17210317</v>
      </c>
      <c r="AD219" s="149">
        <f t="shared" si="104"/>
        <v>840439118.74273312</v>
      </c>
      <c r="AE219" s="149">
        <f t="shared" si="104"/>
        <v>840439041.14738274</v>
      </c>
      <c r="AF219" s="149">
        <f t="shared" si="104"/>
        <v>840439254.02077043</v>
      </c>
      <c r="AG219" s="149">
        <f t="shared" si="104"/>
        <v>840439137.97029769</v>
      </c>
    </row>
    <row r="220" spans="1:33" ht="14.25" customHeight="1" x14ac:dyDescent="0.35">
      <c r="A220" s="21"/>
      <c r="B220" s="21"/>
      <c r="C220" s="21"/>
      <c r="D220" s="128" t="s">
        <v>4024</v>
      </c>
      <c r="E220" s="128"/>
      <c r="F220" s="21"/>
      <c r="G220" s="21"/>
      <c r="H220" s="21"/>
      <c r="I220" s="22" t="s">
        <v>3921</v>
      </c>
      <c r="J220" s="148">
        <f t="shared" ref="J220:Q220" si="105">IF(J192&lt;&gt;0,J184*J194/J192,IF(J202=0,0,J184*J204/J202))</f>
        <v>21689410.419203002</v>
      </c>
      <c r="K220" s="148">
        <f t="shared" si="105"/>
        <v>11358264.90336415</v>
      </c>
      <c r="L220" s="148">
        <f t="shared" si="105"/>
        <v>4535185.8097094474</v>
      </c>
      <c r="M220" s="148">
        <f t="shared" si="105"/>
        <v>30206963.340967592</v>
      </c>
      <c r="N220" s="148">
        <f t="shared" si="105"/>
        <v>27248602.359640453</v>
      </c>
      <c r="O220" s="148">
        <f t="shared" si="105"/>
        <v>61897409.460348226</v>
      </c>
      <c r="P220" s="148">
        <f t="shared" si="105"/>
        <v>39027989.349433184</v>
      </c>
      <c r="Q220" s="148">
        <f t="shared" si="105"/>
        <v>54419152.744344503</v>
      </c>
      <c r="R220" s="149">
        <f t="shared" ref="R220:AG220" si="106">IF(R203=0,0,R$184*R204/R$202)</f>
        <v>18111902.292392045</v>
      </c>
      <c r="S220" s="149">
        <f t="shared" si="106"/>
        <v>18075300.868089236</v>
      </c>
      <c r="T220" s="149">
        <f t="shared" si="106"/>
        <v>18115618.904103965</v>
      </c>
      <c r="U220" s="149">
        <f t="shared" si="106"/>
        <v>18100939.093410008</v>
      </c>
      <c r="V220" s="149">
        <f t="shared" si="106"/>
        <v>18097285.271486238</v>
      </c>
      <c r="W220" s="149">
        <f t="shared" si="106"/>
        <v>18104614.32596476</v>
      </c>
      <c r="X220" s="149">
        <f t="shared" si="106"/>
        <v>18100946.198106971</v>
      </c>
      <c r="Y220" s="149">
        <f t="shared" si="106"/>
        <v>18100948.560870916</v>
      </c>
      <c r="Z220" s="149">
        <f t="shared" si="106"/>
        <v>18102169.688395649</v>
      </c>
      <c r="AA220" s="149">
        <f t="shared" si="106"/>
        <v>18101354.815262016</v>
      </c>
      <c r="AB220" s="149">
        <f t="shared" si="106"/>
        <v>18101491.020300251</v>
      </c>
      <c r="AC220" s="149">
        <f t="shared" si="106"/>
        <v>18101671.840960637</v>
      </c>
      <c r="AD220" s="149">
        <f t="shared" si="106"/>
        <v>18101505.892159641</v>
      </c>
      <c r="AE220" s="149">
        <f t="shared" si="106"/>
        <v>18101556.251107045</v>
      </c>
      <c r="AF220" s="149">
        <f t="shared" si="106"/>
        <v>18101577.994726025</v>
      </c>
      <c r="AG220" s="149">
        <f t="shared" si="106"/>
        <v>18101546.712663095</v>
      </c>
    </row>
    <row r="221" spans="1:33" ht="14.25" customHeight="1" x14ac:dyDescent="0.35">
      <c r="A221" s="21"/>
      <c r="B221" s="21"/>
      <c r="C221" s="21"/>
      <c r="D221" s="128" t="s">
        <v>4025</v>
      </c>
      <c r="E221" s="128"/>
      <c r="F221" s="21"/>
      <c r="G221" s="21"/>
      <c r="H221" s="21"/>
      <c r="I221" s="22" t="s">
        <v>3921</v>
      </c>
      <c r="J221" s="148">
        <f t="shared" ref="J221:Q221" si="107">IF(J192&lt;&gt;0,J184*J195/J192,IF(J202=0,0,J184*J205/J202))</f>
        <v>0</v>
      </c>
      <c r="K221" s="148">
        <f t="shared" si="107"/>
        <v>19842985.865364376</v>
      </c>
      <c r="L221" s="148">
        <f t="shared" si="107"/>
        <v>0</v>
      </c>
      <c r="M221" s="148">
        <f t="shared" si="107"/>
        <v>27820037.082417049</v>
      </c>
      <c r="N221" s="148">
        <f t="shared" si="107"/>
        <v>25045635.470121868</v>
      </c>
      <c r="O221" s="148">
        <f t="shared" si="107"/>
        <v>51630448.794324391</v>
      </c>
      <c r="P221" s="148">
        <f t="shared" si="107"/>
        <v>45640744.866187617</v>
      </c>
      <c r="Q221" s="148">
        <f t="shared" si="107"/>
        <v>28924522.376770712</v>
      </c>
      <c r="R221" s="149">
        <f t="shared" ref="R221:AG221" si="108">IF(R204=0,0,R$184*R205/R$202)</f>
        <v>15776819.335213466</v>
      </c>
      <c r="S221" s="149">
        <f t="shared" si="108"/>
        <v>15744936.761571297</v>
      </c>
      <c r="T221" s="149">
        <f t="shared" si="108"/>
        <v>15780056.781538621</v>
      </c>
      <c r="U221" s="149">
        <f t="shared" si="108"/>
        <v>15767269.570264246</v>
      </c>
      <c r="V221" s="149">
        <f t="shared" si="108"/>
        <v>15764086.81853316</v>
      </c>
      <c r="W221" s="149">
        <f t="shared" si="108"/>
        <v>15770470.972253671</v>
      </c>
      <c r="X221" s="149">
        <f t="shared" si="108"/>
        <v>15767275.758985814</v>
      </c>
      <c r="Y221" s="149">
        <f t="shared" si="108"/>
        <v>15767277.81712964</v>
      </c>
      <c r="Z221" s="149">
        <f t="shared" si="108"/>
        <v>15768341.510386812</v>
      </c>
      <c r="AA221" s="149">
        <f t="shared" si="108"/>
        <v>15767631.695039816</v>
      </c>
      <c r="AB221" s="149">
        <f t="shared" si="108"/>
        <v>15767750.339798721</v>
      </c>
      <c r="AC221" s="149">
        <f t="shared" si="108"/>
        <v>15767907.848096022</v>
      </c>
      <c r="AD221" s="149">
        <f t="shared" si="108"/>
        <v>15767763.294298749</v>
      </c>
      <c r="AE221" s="149">
        <f t="shared" si="108"/>
        <v>15767807.160702301</v>
      </c>
      <c r="AF221" s="149">
        <f t="shared" si="108"/>
        <v>15767826.101018058</v>
      </c>
      <c r="AG221" s="149">
        <f t="shared" si="108"/>
        <v>15767798.852005379</v>
      </c>
    </row>
    <row r="222" spans="1:33" ht="14.25" customHeight="1" x14ac:dyDescent="0.35">
      <c r="A222" s="21"/>
      <c r="B222" s="21"/>
      <c r="C222" s="21"/>
      <c r="D222" s="128" t="s">
        <v>4026</v>
      </c>
      <c r="E222" s="128"/>
      <c r="F222" s="21"/>
      <c r="G222" s="21"/>
      <c r="H222" s="21"/>
      <c r="I222" s="22" t="s">
        <v>3921</v>
      </c>
      <c r="J222" s="148">
        <f t="shared" ref="J222:Q222" si="109">IF(J192&lt;&gt;0,J184*J196/J192,IF(J202=0,0,J184*J206/J202))</f>
        <v>16987792.75302263</v>
      </c>
      <c r="K222" s="148">
        <f t="shared" si="109"/>
        <v>14293201.247253994</v>
      </c>
      <c r="L222" s="148">
        <f t="shared" si="109"/>
        <v>6804926.4574695854</v>
      </c>
      <c r="M222" s="148">
        <f t="shared" si="109"/>
        <v>9971951.1109195836</v>
      </c>
      <c r="N222" s="148">
        <f t="shared" si="109"/>
        <v>21314012.325303547</v>
      </c>
      <c r="O222" s="148">
        <f t="shared" si="109"/>
        <v>8543461.492286196</v>
      </c>
      <c r="P222" s="148">
        <f t="shared" si="109"/>
        <v>32311897.701527134</v>
      </c>
      <c r="Q222" s="148">
        <f t="shared" si="109"/>
        <v>34222295.688293092</v>
      </c>
      <c r="R222" s="149">
        <f t="shared" ref="R222:AG222" si="110">IF(R205=0,0,R$184*R206/R$202)</f>
        <v>0</v>
      </c>
      <c r="S222" s="149">
        <f t="shared" si="110"/>
        <v>0</v>
      </c>
      <c r="T222" s="149">
        <f t="shared" si="110"/>
        <v>0</v>
      </c>
      <c r="U222" s="149">
        <f t="shared" si="110"/>
        <v>0</v>
      </c>
      <c r="V222" s="149">
        <f t="shared" si="110"/>
        <v>0</v>
      </c>
      <c r="W222" s="149">
        <f t="shared" si="110"/>
        <v>0</v>
      </c>
      <c r="X222" s="149">
        <f t="shared" si="110"/>
        <v>0</v>
      </c>
      <c r="Y222" s="149">
        <f t="shared" si="110"/>
        <v>0</v>
      </c>
      <c r="Z222" s="149">
        <f t="shared" si="110"/>
        <v>0</v>
      </c>
      <c r="AA222" s="149">
        <f t="shared" si="110"/>
        <v>0</v>
      </c>
      <c r="AB222" s="149">
        <f t="shared" si="110"/>
        <v>0</v>
      </c>
      <c r="AC222" s="149">
        <f t="shared" si="110"/>
        <v>0</v>
      </c>
      <c r="AD222" s="149">
        <f t="shared" si="110"/>
        <v>0</v>
      </c>
      <c r="AE222" s="149">
        <f t="shared" si="110"/>
        <v>0</v>
      </c>
      <c r="AF222" s="149">
        <f t="shared" si="110"/>
        <v>0</v>
      </c>
      <c r="AG222" s="149">
        <f t="shared" si="110"/>
        <v>0</v>
      </c>
    </row>
    <row r="223" spans="1:33" ht="14.25" customHeight="1" x14ac:dyDescent="0.35">
      <c r="A223" s="21"/>
      <c r="B223" s="21"/>
      <c r="C223" s="21"/>
      <c r="D223" s="128" t="s">
        <v>4033</v>
      </c>
      <c r="E223" s="128"/>
      <c r="F223" s="21"/>
      <c r="G223" s="21"/>
      <c r="H223" s="21"/>
      <c r="I223" s="22"/>
      <c r="J223" s="21"/>
      <c r="K223" s="21"/>
      <c r="L223" s="21"/>
      <c r="M223" s="21"/>
      <c r="N223" s="21"/>
      <c r="O223" s="21"/>
      <c r="P223" s="60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</row>
    <row r="224" spans="1:33" ht="14.25" customHeight="1" x14ac:dyDescent="0.35">
      <c r="A224" s="21"/>
      <c r="B224" s="21"/>
      <c r="C224" s="21"/>
      <c r="D224" s="128" t="s">
        <v>4023</v>
      </c>
      <c r="E224" s="128"/>
      <c r="F224" s="21"/>
      <c r="G224" s="21"/>
      <c r="H224" s="21"/>
      <c r="I224" s="22" t="s">
        <v>3921</v>
      </c>
      <c r="J224" s="148">
        <f t="shared" ref="J224:Q224" si="111">IF(J197&lt;&gt;0,J185*J198/J197,IF(J202=0,0,J185*J203/J202))</f>
        <v>237490750.88121164</v>
      </c>
      <c r="K224" s="148">
        <f t="shared" si="111"/>
        <v>243145045.36636519</v>
      </c>
      <c r="L224" s="148">
        <f t="shared" si="111"/>
        <v>246685668.13021711</v>
      </c>
      <c r="M224" s="148">
        <f t="shared" si="111"/>
        <v>241135735.58749253</v>
      </c>
      <c r="N224" s="148">
        <f t="shared" si="111"/>
        <v>233339136.83260033</v>
      </c>
      <c r="O224" s="148">
        <f t="shared" si="111"/>
        <v>216991445.86544546</v>
      </c>
      <c r="P224" s="148">
        <f t="shared" si="111"/>
        <v>213982523.8029725</v>
      </c>
      <c r="Q224" s="148">
        <f t="shared" si="111"/>
        <v>174374063.22335592</v>
      </c>
      <c r="R224" s="149">
        <f t="shared" ref="R224:AG224" si="112">IF(R202=0,0,R$185*R203/R$202)</f>
        <v>190378217.37873942</v>
      </c>
      <c r="S224" s="149">
        <f t="shared" si="112"/>
        <v>190176887.00507385</v>
      </c>
      <c r="T224" s="149">
        <f t="shared" si="112"/>
        <v>190287726.89284757</v>
      </c>
      <c r="U224" s="149">
        <f t="shared" si="112"/>
        <v>190280946.05627415</v>
      </c>
      <c r="V224" s="149">
        <f t="shared" si="112"/>
        <v>190248521.55683506</v>
      </c>
      <c r="W224" s="149">
        <f t="shared" si="112"/>
        <v>190272398.37517309</v>
      </c>
      <c r="X224" s="149">
        <f t="shared" si="112"/>
        <v>190267288.71257105</v>
      </c>
      <c r="Y224" s="149">
        <f t="shared" si="112"/>
        <v>190262736.27096879</v>
      </c>
      <c r="Z224" s="149">
        <f t="shared" si="112"/>
        <v>190267474.46494287</v>
      </c>
      <c r="AA224" s="149">
        <f t="shared" si="112"/>
        <v>190265833.15059856</v>
      </c>
      <c r="AB224" s="149">
        <f t="shared" si="112"/>
        <v>190265347.963925</v>
      </c>
      <c r="AC224" s="149">
        <f t="shared" si="112"/>
        <v>190266218.52708879</v>
      </c>
      <c r="AD224" s="149">
        <f t="shared" si="112"/>
        <v>190265799.88058001</v>
      </c>
      <c r="AE224" s="149">
        <f t="shared" si="112"/>
        <v>190265788.79057878</v>
      </c>
      <c r="AF224" s="149">
        <f t="shared" si="112"/>
        <v>190265935.73277509</v>
      </c>
      <c r="AG224" s="149">
        <f t="shared" si="112"/>
        <v>190265841.46798068</v>
      </c>
    </row>
    <row r="225" spans="1:33" ht="14.25" customHeight="1" x14ac:dyDescent="0.35">
      <c r="A225" s="21"/>
      <c r="B225" s="21"/>
      <c r="C225" s="21"/>
      <c r="D225" s="128" t="s">
        <v>4024</v>
      </c>
      <c r="E225" s="128"/>
      <c r="F225" s="21"/>
      <c r="G225" s="21"/>
      <c r="H225" s="21"/>
      <c r="I225" s="22" t="s">
        <v>3921</v>
      </c>
      <c r="J225" s="148">
        <f t="shared" ref="J225:Q225" si="113">IF(J197&lt;&gt;0,J185*J199/J197,IF(J202=0,0,J185*J204/J202))</f>
        <v>6748999.8127908874</v>
      </c>
      <c r="K225" s="148">
        <f t="shared" si="113"/>
        <v>4186903.0391367506</v>
      </c>
      <c r="L225" s="148">
        <f t="shared" si="113"/>
        <v>2186344.492975316</v>
      </c>
      <c r="M225" s="148">
        <f t="shared" si="113"/>
        <v>9293914.112315461</v>
      </c>
      <c r="N225" s="148">
        <f t="shared" si="113"/>
        <v>7784407.1867689071</v>
      </c>
      <c r="O225" s="148">
        <f t="shared" si="113"/>
        <v>16797612.329343323</v>
      </c>
      <c r="P225" s="148">
        <f t="shared" si="113"/>
        <v>9965712.9645518158</v>
      </c>
      <c r="Q225" s="148">
        <f t="shared" si="113"/>
        <v>11336749.678424565</v>
      </c>
      <c r="R225" s="149">
        <f t="shared" ref="R225:AG225" si="114">IF(R203=0,0,R$185*R204/R$202)</f>
        <v>4101919.1977721099</v>
      </c>
      <c r="S225" s="149">
        <f t="shared" si="114"/>
        <v>4090680.8158527771</v>
      </c>
      <c r="T225" s="149">
        <f t="shared" si="114"/>
        <v>4101549.2035364001</v>
      </c>
      <c r="U225" s="149">
        <f t="shared" si="114"/>
        <v>4098048.5112101026</v>
      </c>
      <c r="V225" s="149">
        <f t="shared" si="114"/>
        <v>4096758.6699857372</v>
      </c>
      <c r="W225" s="149">
        <f t="shared" si="114"/>
        <v>4098785.3512018821</v>
      </c>
      <c r="X225" s="149">
        <f t="shared" si="114"/>
        <v>4097864.1508447039</v>
      </c>
      <c r="Y225" s="149">
        <f t="shared" si="114"/>
        <v>4097802.6940231593</v>
      </c>
      <c r="Z225" s="149">
        <f t="shared" si="114"/>
        <v>4098150.7255892232</v>
      </c>
      <c r="AA225" s="149">
        <f t="shared" si="114"/>
        <v>4097939.1895621475</v>
      </c>
      <c r="AB225" s="149">
        <f t="shared" si="114"/>
        <v>4097964.2021202487</v>
      </c>
      <c r="AC225" s="149">
        <f t="shared" si="114"/>
        <v>4098018.0387698864</v>
      </c>
      <c r="AD225" s="149">
        <f t="shared" si="114"/>
        <v>4097973.8101280108</v>
      </c>
      <c r="AE225" s="149">
        <f t="shared" si="114"/>
        <v>4097985.3503139922</v>
      </c>
      <c r="AF225" s="149">
        <f t="shared" si="114"/>
        <v>4097992.3997234432</v>
      </c>
      <c r="AG225" s="149">
        <f t="shared" si="114"/>
        <v>4097983.8533870415</v>
      </c>
    </row>
    <row r="226" spans="1:33" ht="14.25" customHeight="1" x14ac:dyDescent="0.35">
      <c r="A226" s="21"/>
      <c r="B226" s="21"/>
      <c r="C226" s="21"/>
      <c r="D226" s="128" t="s">
        <v>4025</v>
      </c>
      <c r="E226" s="128"/>
      <c r="F226" s="21"/>
      <c r="G226" s="21"/>
      <c r="H226" s="21"/>
      <c r="I226" s="22" t="s">
        <v>3921</v>
      </c>
      <c r="J226" s="148">
        <f t="shared" ref="J226:Q226" si="115">IF(J197&lt;&gt;0,J185*J200/J197,IF(J202=0,0,J185*J205/J202))</f>
        <v>0</v>
      </c>
      <c r="K226" s="148">
        <f t="shared" si="115"/>
        <v>7314555.3948679641</v>
      </c>
      <c r="L226" s="148">
        <f t="shared" si="115"/>
        <v>0</v>
      </c>
      <c r="M226" s="148">
        <f t="shared" si="115"/>
        <v>8559517.6293259654</v>
      </c>
      <c r="N226" s="148">
        <f t="shared" si="115"/>
        <v>7155061.4661831595</v>
      </c>
      <c r="O226" s="148">
        <f t="shared" si="115"/>
        <v>14011382.233898636</v>
      </c>
      <c r="P226" s="148">
        <f t="shared" si="115"/>
        <v>11654265.833486333</v>
      </c>
      <c r="Q226" s="148">
        <f t="shared" si="115"/>
        <v>6025637.1739914212</v>
      </c>
      <c r="R226" s="149">
        <f t="shared" ref="R226:AG226" si="116">IF(R204=0,0,R$185*R205/R$202)</f>
        <v>3573077.916728721</v>
      </c>
      <c r="S226" s="149">
        <f t="shared" si="116"/>
        <v>3563288.4468928603</v>
      </c>
      <c r="T226" s="149">
        <f t="shared" si="116"/>
        <v>3572755.6241214825</v>
      </c>
      <c r="U226" s="149">
        <f t="shared" si="116"/>
        <v>3569706.2597041763</v>
      </c>
      <c r="V226" s="149">
        <f t="shared" si="116"/>
        <v>3568582.7116836859</v>
      </c>
      <c r="W226" s="149">
        <f t="shared" si="116"/>
        <v>3570348.1023577857</v>
      </c>
      <c r="X226" s="149">
        <f t="shared" si="116"/>
        <v>3569545.6680594934</v>
      </c>
      <c r="Y226" s="149">
        <f t="shared" si="116"/>
        <v>3569492.1345788697</v>
      </c>
      <c r="Z226" s="149">
        <f t="shared" si="116"/>
        <v>3569795.2960608662</v>
      </c>
      <c r="AA226" s="149">
        <f t="shared" si="116"/>
        <v>3569611.0323856226</v>
      </c>
      <c r="AB226" s="149">
        <f t="shared" si="116"/>
        <v>3569632.8201914481</v>
      </c>
      <c r="AC226" s="149">
        <f t="shared" si="116"/>
        <v>3569679.7159333327</v>
      </c>
      <c r="AD226" s="149">
        <f t="shared" si="116"/>
        <v>3569641.1894836505</v>
      </c>
      <c r="AE226" s="149">
        <f t="shared" si="116"/>
        <v>3569651.24184736</v>
      </c>
      <c r="AF226" s="149">
        <f t="shared" si="116"/>
        <v>3569657.3824093807</v>
      </c>
      <c r="AG226" s="149">
        <f t="shared" si="116"/>
        <v>3569649.9379122085</v>
      </c>
    </row>
    <row r="227" spans="1:33" ht="14.25" customHeight="1" x14ac:dyDescent="0.35">
      <c r="A227" s="21"/>
      <c r="B227" s="21"/>
      <c r="C227" s="21"/>
      <c r="D227" s="128" t="s">
        <v>4026</v>
      </c>
      <c r="E227" s="128"/>
      <c r="F227" s="21"/>
      <c r="G227" s="21"/>
      <c r="H227" s="21"/>
      <c r="I227" s="22" t="s">
        <v>3921</v>
      </c>
      <c r="J227" s="148">
        <f t="shared" ref="J227:Q227" si="117">IF(J197&lt;&gt;0,J185*J201/J197,IF(J202=0,0,J185*J206/J202))</f>
        <v>5286017.8259328213</v>
      </c>
      <c r="K227" s="148">
        <f t="shared" si="117"/>
        <v>5268784.2949846992</v>
      </c>
      <c r="L227" s="148">
        <f t="shared" si="117"/>
        <v>3280552.13383723</v>
      </c>
      <c r="M227" s="148">
        <f t="shared" si="117"/>
        <v>3068115.6563460995</v>
      </c>
      <c r="N227" s="148">
        <f t="shared" si="117"/>
        <v>6089007.7419061884</v>
      </c>
      <c r="O227" s="148">
        <f t="shared" si="117"/>
        <v>2318509.8592862687</v>
      </c>
      <c r="P227" s="148">
        <f t="shared" si="117"/>
        <v>8250773.4372449219</v>
      </c>
      <c r="Q227" s="148">
        <f t="shared" si="117"/>
        <v>7129284.0860982854</v>
      </c>
      <c r="R227" s="149">
        <f t="shared" ref="R227:AG227" si="118">IF(R205=0,0,R$185*R206/R$202)</f>
        <v>0</v>
      </c>
      <c r="S227" s="149">
        <f t="shared" si="118"/>
        <v>0</v>
      </c>
      <c r="T227" s="149">
        <f t="shared" si="118"/>
        <v>0</v>
      </c>
      <c r="U227" s="149">
        <f t="shared" si="118"/>
        <v>0</v>
      </c>
      <c r="V227" s="149">
        <f t="shared" si="118"/>
        <v>0</v>
      </c>
      <c r="W227" s="149">
        <f t="shared" si="118"/>
        <v>0</v>
      </c>
      <c r="X227" s="149">
        <f t="shared" si="118"/>
        <v>0</v>
      </c>
      <c r="Y227" s="149">
        <f t="shared" si="118"/>
        <v>0</v>
      </c>
      <c r="Z227" s="149">
        <f t="shared" si="118"/>
        <v>0</v>
      </c>
      <c r="AA227" s="149">
        <f t="shared" si="118"/>
        <v>0</v>
      </c>
      <c r="AB227" s="149">
        <f t="shared" si="118"/>
        <v>0</v>
      </c>
      <c r="AC227" s="149">
        <f t="shared" si="118"/>
        <v>0</v>
      </c>
      <c r="AD227" s="149">
        <f t="shared" si="118"/>
        <v>0</v>
      </c>
      <c r="AE227" s="149">
        <f t="shared" si="118"/>
        <v>0</v>
      </c>
      <c r="AF227" s="149">
        <f t="shared" si="118"/>
        <v>0</v>
      </c>
      <c r="AG227" s="149">
        <f t="shared" si="118"/>
        <v>0</v>
      </c>
    </row>
    <row r="228" spans="1:33" ht="14.25" customHeight="1" x14ac:dyDescent="0.35">
      <c r="A228" s="21"/>
      <c r="B228" s="21"/>
      <c r="C228" s="21"/>
      <c r="D228" s="128" t="s">
        <v>4034</v>
      </c>
      <c r="E228" s="128"/>
      <c r="F228" s="21"/>
      <c r="G228" s="21"/>
      <c r="H228" s="21"/>
      <c r="I228" s="22"/>
      <c r="J228" s="21"/>
      <c r="K228" s="21"/>
      <c r="L228" s="21"/>
      <c r="M228" s="21"/>
      <c r="N228" s="21"/>
      <c r="O228" s="21"/>
      <c r="P228" s="60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</row>
    <row r="229" spans="1:33" ht="14.25" customHeight="1" x14ac:dyDescent="0.35">
      <c r="A229" s="21"/>
      <c r="B229" s="21"/>
      <c r="C229" s="21"/>
      <c r="D229" s="128" t="s">
        <v>4023</v>
      </c>
      <c r="E229" s="128"/>
      <c r="F229" s="21"/>
      <c r="G229" s="21"/>
      <c r="H229" s="21"/>
      <c r="I229" s="22" t="s">
        <v>3921</v>
      </c>
      <c r="J229" s="148">
        <f t="shared" ref="J229:Q229" si="119">IF(J202&lt;&gt;0,J186*J203/J202,IF(J202=0,0,J186*J203/J202))</f>
        <v>63261168</v>
      </c>
      <c r="K229" s="148">
        <f t="shared" si="119"/>
        <v>52871694.384894066</v>
      </c>
      <c r="L229" s="148">
        <f t="shared" si="119"/>
        <v>41886668.561955705</v>
      </c>
      <c r="M229" s="148">
        <f t="shared" si="119"/>
        <v>48116582.781041518</v>
      </c>
      <c r="N229" s="148">
        <f t="shared" si="119"/>
        <v>52443691.561371177</v>
      </c>
      <c r="O229" s="148">
        <f t="shared" si="119"/>
        <v>50783494.691081204</v>
      </c>
      <c r="P229" s="148">
        <f t="shared" si="119"/>
        <v>55154422.914767154</v>
      </c>
      <c r="Q229" s="148">
        <f t="shared" si="119"/>
        <v>53171505.331224233</v>
      </c>
      <c r="R229" s="149">
        <f t="shared" ref="R229:AG229" si="120">IF(R202=0,0,R$186*R203/R$202)</f>
        <v>51322202.442948453</v>
      </c>
      <c r="S229" s="149">
        <f t="shared" si="120"/>
        <v>51325551.958841383</v>
      </c>
      <c r="T229" s="149">
        <f t="shared" si="120"/>
        <v>49728774.524332315</v>
      </c>
      <c r="U229" s="149">
        <f t="shared" si="120"/>
        <v>50792159.41302754</v>
      </c>
      <c r="V229" s="149">
        <f t="shared" si="120"/>
        <v>50615474.450894959</v>
      </c>
      <c r="W229" s="149">
        <f t="shared" si="120"/>
        <v>50378795.484581135</v>
      </c>
      <c r="X229" s="149">
        <f t="shared" si="120"/>
        <v>50595475.783465557</v>
      </c>
      <c r="Y229" s="149">
        <f t="shared" si="120"/>
        <v>50529914.664322615</v>
      </c>
      <c r="Z229" s="149">
        <f t="shared" si="120"/>
        <v>50501395.000730053</v>
      </c>
      <c r="AA229" s="149">
        <f t="shared" si="120"/>
        <v>50542261.778361768</v>
      </c>
      <c r="AB229" s="149">
        <f t="shared" si="120"/>
        <v>50524523.800445721</v>
      </c>
      <c r="AC229" s="149">
        <f t="shared" si="120"/>
        <v>50522726.848204084</v>
      </c>
      <c r="AD229" s="149">
        <f t="shared" si="120"/>
        <v>50529837.47349605</v>
      </c>
      <c r="AE229" s="149">
        <f t="shared" si="120"/>
        <v>50525696.040385365</v>
      </c>
      <c r="AF229" s="149">
        <f t="shared" si="120"/>
        <v>50526086.786974542</v>
      </c>
      <c r="AG229" s="149">
        <f t="shared" si="120"/>
        <v>50527206.766840637</v>
      </c>
    </row>
    <row r="230" spans="1:33" ht="14.25" customHeight="1" x14ac:dyDescent="0.35">
      <c r="A230" s="21"/>
      <c r="B230" s="21"/>
      <c r="C230" s="21"/>
      <c r="D230" s="128" t="s">
        <v>4024</v>
      </c>
      <c r="E230" s="128"/>
      <c r="F230" s="21"/>
      <c r="G230" s="21"/>
      <c r="H230" s="21"/>
      <c r="I230" s="22" t="s">
        <v>3921</v>
      </c>
      <c r="J230" s="148">
        <f t="shared" ref="J230:Q230" si="121">IF(J202&lt;&gt;0,J186*J204/J202,IF(J202=0,0,J186*J204/J202))</f>
        <v>0</v>
      </c>
      <c r="K230" s="148">
        <f t="shared" si="121"/>
        <v>325500.47530335956</v>
      </c>
      <c r="L230" s="148">
        <f t="shared" si="121"/>
        <v>228829.43804428773</v>
      </c>
      <c r="M230" s="148">
        <f t="shared" si="121"/>
        <v>1230824.0792896068</v>
      </c>
      <c r="N230" s="148">
        <f t="shared" si="121"/>
        <v>1004067.3749639884</v>
      </c>
      <c r="O230" s="148">
        <f t="shared" si="121"/>
        <v>2842176.0704482766</v>
      </c>
      <c r="P230" s="148">
        <f t="shared" si="121"/>
        <v>1759482.4271007497</v>
      </c>
      <c r="Q230" s="148">
        <f t="shared" si="121"/>
        <v>2236055.1303500971</v>
      </c>
      <c r="R230" s="149">
        <f t="shared" ref="R230:AG230" si="122">IF(R203=0,0,R$186*R204/R$202)</f>
        <v>1105796.2952445776</v>
      </c>
      <c r="S230" s="149">
        <f t="shared" si="122"/>
        <v>1104006.1390608721</v>
      </c>
      <c r="T230" s="149">
        <f t="shared" si="122"/>
        <v>1071876.8828321262</v>
      </c>
      <c r="U230" s="149">
        <f t="shared" si="122"/>
        <v>1093902.1356460217</v>
      </c>
      <c r="V230" s="149">
        <f t="shared" si="122"/>
        <v>1089939.528019926</v>
      </c>
      <c r="W230" s="149">
        <f t="shared" si="122"/>
        <v>1085243.4231487561</v>
      </c>
      <c r="X230" s="149">
        <f t="shared" si="122"/>
        <v>1089695.3849024719</v>
      </c>
      <c r="Y230" s="149">
        <f t="shared" si="122"/>
        <v>1088293.0861738899</v>
      </c>
      <c r="Z230" s="149">
        <f t="shared" si="122"/>
        <v>1087744.1304537999</v>
      </c>
      <c r="AA230" s="149">
        <f t="shared" si="122"/>
        <v>1088577.5540515438</v>
      </c>
      <c r="AB230" s="149">
        <f t="shared" si="122"/>
        <v>1088204.9310558434</v>
      </c>
      <c r="AC230" s="149">
        <f t="shared" si="122"/>
        <v>1088175.5447423614</v>
      </c>
      <c r="AD230" s="149">
        <f t="shared" si="122"/>
        <v>1088319.3444453962</v>
      </c>
      <c r="AE230" s="149">
        <f t="shared" si="122"/>
        <v>1088233.2735908506</v>
      </c>
      <c r="AF230" s="149">
        <f t="shared" si="122"/>
        <v>1088242.7211331951</v>
      </c>
      <c r="AG230" s="149">
        <f t="shared" si="122"/>
        <v>1088265.1131159919</v>
      </c>
    </row>
    <row r="231" spans="1:33" ht="14.25" customHeight="1" x14ac:dyDescent="0.35">
      <c r="A231" s="21"/>
      <c r="B231" s="21"/>
      <c r="C231" s="21"/>
      <c r="D231" s="128" t="s">
        <v>4025</v>
      </c>
      <c r="E231" s="128"/>
      <c r="F231" s="21"/>
      <c r="G231" s="21"/>
      <c r="H231" s="21"/>
      <c r="I231" s="22" t="s">
        <v>3921</v>
      </c>
      <c r="J231" s="148">
        <f t="shared" ref="J231:Q231" si="123">IF(J202&lt;&gt;0,J186*J205/J202,IF(J202=0,0,J186*J205/J202))</f>
        <v>0</v>
      </c>
      <c r="K231" s="148">
        <f t="shared" si="123"/>
        <v>580438.1398025658</v>
      </c>
      <c r="L231" s="148">
        <f t="shared" si="123"/>
        <v>0</v>
      </c>
      <c r="M231" s="148">
        <f t="shared" si="123"/>
        <v>1203953.7945500349</v>
      </c>
      <c r="N231" s="148">
        <f t="shared" si="123"/>
        <v>1074348.063664837</v>
      </c>
      <c r="O231" s="148">
        <f t="shared" si="123"/>
        <v>2714188.2384705162</v>
      </c>
      <c r="P231" s="148">
        <f t="shared" si="123"/>
        <v>1672027.7883174929</v>
      </c>
      <c r="Q231" s="148">
        <f t="shared" si="123"/>
        <v>1237553.5384256705</v>
      </c>
      <c r="R231" s="149">
        <f t="shared" ref="R231:AG231" si="124">IF(R204=0,0,R$186*R205/R$202)</f>
        <v>963231.14435915905</v>
      </c>
      <c r="S231" s="149">
        <f t="shared" si="124"/>
        <v>961671.78464993648</v>
      </c>
      <c r="T231" s="149">
        <f t="shared" si="124"/>
        <v>933684.80334269791</v>
      </c>
      <c r="U231" s="149">
        <f t="shared" si="124"/>
        <v>952870.44319694955</v>
      </c>
      <c r="V231" s="149">
        <f t="shared" si="124"/>
        <v>949418.71606172156</v>
      </c>
      <c r="W231" s="149">
        <f t="shared" si="124"/>
        <v>945328.05805487116</v>
      </c>
      <c r="X231" s="149">
        <f t="shared" si="124"/>
        <v>949206.04917594511</v>
      </c>
      <c r="Y231" s="149">
        <f t="shared" si="124"/>
        <v>947984.54227193934</v>
      </c>
      <c r="Z231" s="149">
        <f t="shared" si="124"/>
        <v>947506.36084852612</v>
      </c>
      <c r="AA231" s="149">
        <f t="shared" si="124"/>
        <v>948232.3350349504</v>
      </c>
      <c r="AB231" s="149">
        <f t="shared" si="124"/>
        <v>947907.75258146704</v>
      </c>
      <c r="AC231" s="149">
        <f t="shared" si="124"/>
        <v>947882.1549081112</v>
      </c>
      <c r="AD231" s="149">
        <f t="shared" si="124"/>
        <v>948007.41518715932</v>
      </c>
      <c r="AE231" s="149">
        <f t="shared" si="124"/>
        <v>947932.44104583131</v>
      </c>
      <c r="AF231" s="149">
        <f t="shared" si="124"/>
        <v>947940.67056067288</v>
      </c>
      <c r="AG231" s="149">
        <f t="shared" si="124"/>
        <v>947960.17564972665</v>
      </c>
    </row>
    <row r="232" spans="1:33" ht="14.25" customHeight="1" x14ac:dyDescent="0.35">
      <c r="A232" s="21"/>
      <c r="B232" s="21"/>
      <c r="C232" s="21"/>
      <c r="D232" s="128" t="s">
        <v>4026</v>
      </c>
      <c r="E232" s="128"/>
      <c r="F232" s="21"/>
      <c r="G232" s="21"/>
      <c r="H232" s="21"/>
      <c r="I232" s="22" t="s">
        <v>3921</v>
      </c>
      <c r="J232" s="148">
        <f t="shared" ref="J232:Q232" si="125">IF(J202&lt;&gt;0,J186*J206/J202,IF(J202=0,0,J186*J206/J202))</f>
        <v>0</v>
      </c>
      <c r="K232" s="148">
        <f t="shared" si="125"/>
        <v>0</v>
      </c>
      <c r="L232" s="148">
        <f t="shared" si="125"/>
        <v>0</v>
      </c>
      <c r="M232" s="148">
        <f t="shared" si="125"/>
        <v>94876.34511884184</v>
      </c>
      <c r="N232" s="148">
        <f t="shared" si="125"/>
        <v>0</v>
      </c>
      <c r="O232" s="148">
        <f t="shared" si="125"/>
        <v>0</v>
      </c>
      <c r="P232" s="148">
        <f t="shared" si="125"/>
        <v>115294.8698146051</v>
      </c>
      <c r="Q232" s="148">
        <f t="shared" si="125"/>
        <v>0</v>
      </c>
      <c r="R232" s="149">
        <f t="shared" ref="R232:AG232" si="126">IF(R205=0,0,R$186*R206/R$202)</f>
        <v>0</v>
      </c>
      <c r="S232" s="149">
        <f t="shared" si="126"/>
        <v>0</v>
      </c>
      <c r="T232" s="149">
        <f t="shared" si="126"/>
        <v>0</v>
      </c>
      <c r="U232" s="149">
        <f t="shared" si="126"/>
        <v>0</v>
      </c>
      <c r="V232" s="149">
        <f t="shared" si="126"/>
        <v>0</v>
      </c>
      <c r="W232" s="149">
        <f t="shared" si="126"/>
        <v>0</v>
      </c>
      <c r="X232" s="149">
        <f t="shared" si="126"/>
        <v>0</v>
      </c>
      <c r="Y232" s="149">
        <f t="shared" si="126"/>
        <v>0</v>
      </c>
      <c r="Z232" s="149">
        <f t="shared" si="126"/>
        <v>0</v>
      </c>
      <c r="AA232" s="149">
        <f t="shared" si="126"/>
        <v>0</v>
      </c>
      <c r="AB232" s="149">
        <f t="shared" si="126"/>
        <v>0</v>
      </c>
      <c r="AC232" s="149">
        <f t="shared" si="126"/>
        <v>0</v>
      </c>
      <c r="AD232" s="149">
        <f t="shared" si="126"/>
        <v>0</v>
      </c>
      <c r="AE232" s="149">
        <f t="shared" si="126"/>
        <v>0</v>
      </c>
      <c r="AF232" s="149">
        <f t="shared" si="126"/>
        <v>0</v>
      </c>
      <c r="AG232" s="149">
        <f t="shared" si="126"/>
        <v>0</v>
      </c>
    </row>
    <row r="233" spans="1:33" ht="14.25" customHeight="1" x14ac:dyDescent="0.35">
      <c r="A233" s="21"/>
      <c r="B233" s="21"/>
      <c r="C233" s="21"/>
      <c r="D233" s="128" t="s">
        <v>4035</v>
      </c>
      <c r="E233" s="128"/>
      <c r="F233" s="21"/>
      <c r="G233" s="21"/>
      <c r="H233" s="21"/>
      <c r="I233" s="22"/>
      <c r="J233" s="21"/>
      <c r="K233" s="21"/>
      <c r="L233" s="21"/>
      <c r="M233" s="21"/>
      <c r="N233" s="21"/>
      <c r="O233" s="21"/>
      <c r="P233" s="60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</row>
    <row r="234" spans="1:33" ht="14.25" customHeight="1" x14ac:dyDescent="0.35">
      <c r="A234" s="21"/>
      <c r="B234" s="21"/>
      <c r="C234" s="21"/>
      <c r="D234" s="128" t="s">
        <v>4023</v>
      </c>
      <c r="E234" s="128"/>
      <c r="F234" s="21"/>
      <c r="G234" s="21"/>
      <c r="H234" s="21"/>
      <c r="I234" s="22" t="s">
        <v>3921</v>
      </c>
      <c r="J234" s="148">
        <f t="shared" ref="J234:AG234" si="127">IF(J207&lt;&gt;0,J187*J208/J207,IF(J202=0,0,J187*J203/J202))</f>
        <v>263699374.15509221</v>
      </c>
      <c r="K234" s="148">
        <f t="shared" si="127"/>
        <v>215851181.36673936</v>
      </c>
      <c r="L234" s="148">
        <f t="shared" si="127"/>
        <v>305559305.29496777</v>
      </c>
      <c r="M234" s="148">
        <f t="shared" si="127"/>
        <v>381324954.00749862</v>
      </c>
      <c r="N234" s="148">
        <f t="shared" si="127"/>
        <v>256026137.37306172</v>
      </c>
      <c r="O234" s="148">
        <f t="shared" si="127"/>
        <v>255043025.01806676</v>
      </c>
      <c r="P234" s="148">
        <f t="shared" si="127"/>
        <v>235780634.62469795</v>
      </c>
      <c r="Q234" s="148">
        <f t="shared" si="127"/>
        <v>227483417.89208138</v>
      </c>
      <c r="R234" s="149">
        <f t="shared" si="127"/>
        <v>273360033.00056672</v>
      </c>
      <c r="S234" s="149">
        <f t="shared" si="127"/>
        <v>273363673.32682836</v>
      </c>
      <c r="T234" s="149">
        <f t="shared" si="127"/>
        <v>272297505.35505247</v>
      </c>
      <c r="U234" s="149">
        <f t="shared" si="127"/>
        <v>270238957.52700949</v>
      </c>
      <c r="V234" s="149">
        <f t="shared" si="127"/>
        <v>270239265.89966011</v>
      </c>
      <c r="W234" s="149">
        <f t="shared" si="127"/>
        <v>270238477.48742545</v>
      </c>
      <c r="X234" s="149">
        <f t="shared" si="127"/>
        <v>270238900.30430883</v>
      </c>
      <c r="Y234" s="149">
        <f t="shared" si="127"/>
        <v>263088627.69535273</v>
      </c>
      <c r="Z234" s="149">
        <f t="shared" si="127"/>
        <v>263088502.86505544</v>
      </c>
      <c r="AA234" s="149">
        <f t="shared" si="127"/>
        <v>262745207.47812858</v>
      </c>
      <c r="AB234" s="149">
        <f t="shared" si="127"/>
        <v>262578402.61504924</v>
      </c>
      <c r="AC234" s="149">
        <f t="shared" si="127"/>
        <v>262205567.1151413</v>
      </c>
      <c r="AD234" s="149">
        <f t="shared" si="127"/>
        <v>262205584.9244442</v>
      </c>
      <c r="AE234" s="149">
        <f t="shared" si="127"/>
        <v>262205578.96686098</v>
      </c>
      <c r="AF234" s="149">
        <f t="shared" si="127"/>
        <v>262205577.00214863</v>
      </c>
      <c r="AG234" s="149">
        <f t="shared" si="127"/>
        <v>262205580.29781789</v>
      </c>
    </row>
    <row r="235" spans="1:33" ht="14.25" customHeight="1" x14ac:dyDescent="0.35">
      <c r="A235" s="21"/>
      <c r="B235" s="21"/>
      <c r="C235" s="21"/>
      <c r="D235" s="128" t="s">
        <v>4024</v>
      </c>
      <c r="E235" s="128"/>
      <c r="F235" s="21"/>
      <c r="G235" s="21"/>
      <c r="H235" s="21"/>
      <c r="I235" s="22" t="s">
        <v>3921</v>
      </c>
      <c r="J235" s="148">
        <f t="shared" ref="J235:AG235" si="128">IF(J207&lt;&gt;0,J187*J209/J207,IF(J202=0,0,J187*J204/J202))</f>
        <v>15822173.243506663</v>
      </c>
      <c r="K235" s="148">
        <f t="shared" si="128"/>
        <v>5803100.9464965472</v>
      </c>
      <c r="L235" s="148">
        <f t="shared" si="128"/>
        <v>470353.40603512147</v>
      </c>
      <c r="M235" s="148">
        <f t="shared" si="128"/>
        <v>12240076.476021694</v>
      </c>
      <c r="N235" s="148">
        <f t="shared" si="128"/>
        <v>1727816.7682579705</v>
      </c>
      <c r="O235" s="148">
        <f t="shared" si="128"/>
        <v>4242855.6619585436</v>
      </c>
      <c r="P235" s="148">
        <f t="shared" si="128"/>
        <v>8526191.3577657174</v>
      </c>
      <c r="Q235" s="148">
        <f t="shared" si="128"/>
        <v>3938775.0635768548</v>
      </c>
      <c r="R235" s="149">
        <f t="shared" si="128"/>
        <v>0</v>
      </c>
      <c r="S235" s="149">
        <f t="shared" si="128"/>
        <v>0</v>
      </c>
      <c r="T235" s="149">
        <f t="shared" si="128"/>
        <v>0</v>
      </c>
      <c r="U235" s="149">
        <f t="shared" si="128"/>
        <v>0</v>
      </c>
      <c r="V235" s="149">
        <f t="shared" si="128"/>
        <v>0</v>
      </c>
      <c r="W235" s="149">
        <f t="shared" si="128"/>
        <v>0</v>
      </c>
      <c r="X235" s="149">
        <f t="shared" si="128"/>
        <v>0</v>
      </c>
      <c r="Y235" s="149">
        <f t="shared" si="128"/>
        <v>0</v>
      </c>
      <c r="Z235" s="149">
        <f t="shared" si="128"/>
        <v>0</v>
      </c>
      <c r="AA235" s="149">
        <f t="shared" si="128"/>
        <v>0</v>
      </c>
      <c r="AB235" s="149">
        <f t="shared" si="128"/>
        <v>0</v>
      </c>
      <c r="AC235" s="149">
        <f t="shared" si="128"/>
        <v>0</v>
      </c>
      <c r="AD235" s="149">
        <f t="shared" si="128"/>
        <v>0</v>
      </c>
      <c r="AE235" s="149">
        <f t="shared" si="128"/>
        <v>0</v>
      </c>
      <c r="AF235" s="149">
        <f t="shared" si="128"/>
        <v>0</v>
      </c>
      <c r="AG235" s="149">
        <f t="shared" si="128"/>
        <v>0</v>
      </c>
    </row>
    <row r="236" spans="1:33" ht="14.25" customHeight="1" x14ac:dyDescent="0.35">
      <c r="A236" s="21"/>
      <c r="B236" s="21"/>
      <c r="C236" s="21"/>
      <c r="D236" s="128" t="s">
        <v>4025</v>
      </c>
      <c r="E236" s="128"/>
      <c r="F236" s="21"/>
      <c r="G236" s="21"/>
      <c r="H236" s="21"/>
      <c r="I236" s="22" t="s">
        <v>3921</v>
      </c>
      <c r="J236" s="148">
        <f t="shared" ref="J236:AG236" si="129">IF(J207&lt;&gt;0,J187*J210/J207,IF(J202=0,0,J187*J205/J202))</f>
        <v>0</v>
      </c>
      <c r="K236" s="148">
        <f t="shared" si="129"/>
        <v>1381197.2312546996</v>
      </c>
      <c r="L236" s="148">
        <f t="shared" si="129"/>
        <v>0</v>
      </c>
      <c r="M236" s="148">
        <f t="shared" si="129"/>
        <v>3869728.8276862926</v>
      </c>
      <c r="N236" s="148">
        <f t="shared" si="129"/>
        <v>2053323.4379077239</v>
      </c>
      <c r="O236" s="148">
        <f t="shared" si="129"/>
        <v>4939030.4967075549</v>
      </c>
      <c r="P236" s="148">
        <f t="shared" si="129"/>
        <v>2966987.1442188257</v>
      </c>
      <c r="Q236" s="148">
        <f t="shared" si="129"/>
        <v>2371685.6473821132</v>
      </c>
      <c r="R236" s="149">
        <f t="shared" si="129"/>
        <v>2295088.780720063</v>
      </c>
      <c r="S236" s="149">
        <f t="shared" si="129"/>
        <v>2291254.2743514967</v>
      </c>
      <c r="T236" s="149">
        <f t="shared" si="129"/>
        <v>2287048.8280882793</v>
      </c>
      <c r="U236" s="149">
        <f t="shared" si="129"/>
        <v>2267902.4835152486</v>
      </c>
      <c r="V236" s="149">
        <f t="shared" si="129"/>
        <v>2267577.661835046</v>
      </c>
      <c r="W236" s="149">
        <f t="shared" si="129"/>
        <v>2268408.1290836809</v>
      </c>
      <c r="X236" s="149">
        <f t="shared" si="129"/>
        <v>2267962.7585548479</v>
      </c>
      <c r="Y236" s="149">
        <f t="shared" si="129"/>
        <v>2207974.2670165249</v>
      </c>
      <c r="Z236" s="149">
        <f t="shared" si="129"/>
        <v>2208105.7559369095</v>
      </c>
      <c r="AA236" s="149">
        <f t="shared" si="129"/>
        <v>2205129.6667946768</v>
      </c>
      <c r="AB236" s="149">
        <f t="shared" si="129"/>
        <v>2203748.801810015</v>
      </c>
      <c r="AC236" s="149">
        <f t="shared" si="129"/>
        <v>2200638.5366926715</v>
      </c>
      <c r="AD236" s="149">
        <f t="shared" si="129"/>
        <v>2200619.777416558</v>
      </c>
      <c r="AE236" s="149">
        <f t="shared" si="129"/>
        <v>2200626.0527856424</v>
      </c>
      <c r="AF236" s="149">
        <f t="shared" si="129"/>
        <v>2200628.1222985126</v>
      </c>
      <c r="AG236" s="149">
        <f t="shared" si="129"/>
        <v>2200624.650833617</v>
      </c>
    </row>
    <row r="237" spans="1:33" ht="14.25" customHeight="1" x14ac:dyDescent="0.35">
      <c r="A237" s="21"/>
      <c r="B237" s="21"/>
      <c r="C237" s="21"/>
      <c r="D237" s="128" t="s">
        <v>4026</v>
      </c>
      <c r="E237" s="128"/>
      <c r="F237" s="21"/>
      <c r="G237" s="21"/>
      <c r="H237" s="21"/>
      <c r="I237" s="22" t="s">
        <v>3921</v>
      </c>
      <c r="J237" s="148">
        <f t="shared" ref="J237:AG237" si="130">IF(J207&lt;&gt;0,J187*J211/J207,IF(J202=0,0,J187*J206/J202))</f>
        <v>13878930.661401128</v>
      </c>
      <c r="K237" s="148">
        <f t="shared" si="130"/>
        <v>10214880.865509421</v>
      </c>
      <c r="L237" s="148">
        <f t="shared" si="130"/>
        <v>6360086.2489970429</v>
      </c>
      <c r="M237" s="148">
        <f t="shared" si="130"/>
        <v>10289126.028793352</v>
      </c>
      <c r="N237" s="148">
        <f t="shared" si="130"/>
        <v>17136190.920772593</v>
      </c>
      <c r="O237" s="148">
        <f t="shared" si="130"/>
        <v>1966822.433267164</v>
      </c>
      <c r="P237" s="148">
        <f t="shared" si="130"/>
        <v>22750808.023317516</v>
      </c>
      <c r="Q237" s="148">
        <f t="shared" si="130"/>
        <v>24189243.496959664</v>
      </c>
      <c r="R237" s="149">
        <f t="shared" si="130"/>
        <v>14581407.43121334</v>
      </c>
      <c r="S237" s="149">
        <f t="shared" si="130"/>
        <v>14581601.611320168</v>
      </c>
      <c r="T237" s="149">
        <f t="shared" si="130"/>
        <v>14524730.716859348</v>
      </c>
      <c r="U237" s="149">
        <f t="shared" si="130"/>
        <v>14414924.889475379</v>
      </c>
      <c r="V237" s="149">
        <f t="shared" si="130"/>
        <v>14414941.33850491</v>
      </c>
      <c r="W237" s="149">
        <f t="shared" si="130"/>
        <v>14414899.283490926</v>
      </c>
      <c r="X237" s="149">
        <f t="shared" si="130"/>
        <v>14414921.837136317</v>
      </c>
      <c r="Y237" s="149">
        <f t="shared" si="130"/>
        <v>14033516.270964097</v>
      </c>
      <c r="Z237" s="149">
        <f t="shared" si="130"/>
        <v>14033509.612340998</v>
      </c>
      <c r="AA237" s="149">
        <f t="shared" si="130"/>
        <v>14015197.755076837</v>
      </c>
      <c r="AB237" s="149">
        <f t="shared" si="130"/>
        <v>14006300.149807474</v>
      </c>
      <c r="AC237" s="149">
        <f t="shared" si="130"/>
        <v>13986412.581499461</v>
      </c>
      <c r="AD237" s="149">
        <f t="shared" si="130"/>
        <v>13986413.531472635</v>
      </c>
      <c r="AE237" s="149">
        <f t="shared" si="130"/>
        <v>13986413.213686761</v>
      </c>
      <c r="AF237" s="149">
        <f t="shared" si="130"/>
        <v>13986413.108886274</v>
      </c>
      <c r="AG237" s="149">
        <f t="shared" si="130"/>
        <v>13986413.284681896</v>
      </c>
    </row>
    <row r="238" spans="1:33" ht="14.25" customHeight="1" x14ac:dyDescent="0.35">
      <c r="A238" s="21"/>
      <c r="B238" s="21"/>
      <c r="C238" s="21"/>
      <c r="D238" s="128" t="s">
        <v>4036</v>
      </c>
      <c r="E238" s="128"/>
      <c r="F238" s="21"/>
      <c r="G238" s="21"/>
      <c r="H238" s="21"/>
      <c r="I238" s="22" t="s">
        <v>3921</v>
      </c>
      <c r="J238" s="148">
        <f t="shared" ref="J238:AG238" si="131">J188</f>
        <v>138142857.40000001</v>
      </c>
      <c r="K238" s="148">
        <f t="shared" si="131"/>
        <v>279229894.87</v>
      </c>
      <c r="L238" s="148">
        <f t="shared" si="131"/>
        <v>241847256.98000002</v>
      </c>
      <c r="M238" s="148">
        <f t="shared" si="131"/>
        <v>174270134.99000001</v>
      </c>
      <c r="N238" s="148">
        <f t="shared" si="131"/>
        <v>84521603.659999996</v>
      </c>
      <c r="O238" s="148">
        <f t="shared" si="131"/>
        <v>89348329.070000008</v>
      </c>
      <c r="P238" s="148">
        <f t="shared" si="131"/>
        <v>134831104.13</v>
      </c>
      <c r="Q238" s="148">
        <f t="shared" si="131"/>
        <v>138554949.81999999</v>
      </c>
      <c r="R238" s="149">
        <f t="shared" si="131"/>
        <v>155594191.70763591</v>
      </c>
      <c r="S238" s="149">
        <f t="shared" si="131"/>
        <v>156912240.26369873</v>
      </c>
      <c r="T238" s="149">
        <f t="shared" si="131"/>
        <v>153930027.10431206</v>
      </c>
      <c r="U238" s="149">
        <f t="shared" si="131"/>
        <v>154152669.71171504</v>
      </c>
      <c r="V238" s="149">
        <f t="shared" si="131"/>
        <v>153264975.30707121</v>
      </c>
      <c r="W238" s="149">
        <f t="shared" si="131"/>
        <v>152614171.03670341</v>
      </c>
      <c r="X238" s="149">
        <f t="shared" si="131"/>
        <v>152302496.17108256</v>
      </c>
      <c r="Y238" s="149">
        <f t="shared" si="131"/>
        <v>152259325.37445146</v>
      </c>
      <c r="Z238" s="149">
        <f t="shared" si="131"/>
        <v>151630905.68609464</v>
      </c>
      <c r="AA238" s="149">
        <f t="shared" si="131"/>
        <v>151306189.23906964</v>
      </c>
      <c r="AB238" s="149">
        <f t="shared" si="131"/>
        <v>151301665.59660119</v>
      </c>
      <c r="AC238" s="149">
        <f t="shared" si="131"/>
        <v>150669572.94993228</v>
      </c>
      <c r="AD238" s="149">
        <f t="shared" si="131"/>
        <v>150540392.59494776</v>
      </c>
      <c r="AE238" s="149">
        <f t="shared" si="131"/>
        <v>149871932.60263214</v>
      </c>
      <c r="AF238" s="149">
        <f t="shared" si="131"/>
        <v>149771049.38243866</v>
      </c>
      <c r="AG238" s="149">
        <f t="shared" si="131"/>
        <v>149235777.63777041</v>
      </c>
    </row>
    <row r="239" spans="1:33" ht="14.25" customHeight="1" x14ac:dyDescent="0.35">
      <c r="A239" s="21"/>
      <c r="B239" s="21"/>
      <c r="C239" s="21"/>
      <c r="D239" s="128" t="s">
        <v>4023</v>
      </c>
      <c r="E239" s="128"/>
      <c r="F239" s="21"/>
      <c r="G239" s="21"/>
      <c r="H239" s="21"/>
      <c r="I239" s="22" t="s">
        <v>3921</v>
      </c>
      <c r="J239" s="148">
        <f t="shared" ref="J239:AG239" si="132">IF(J212&lt;&gt;0,J188*J213/J212,IF(J202=0,0,J188*J203/J202))</f>
        <v>133719123.23526369</v>
      </c>
      <c r="K239" s="148">
        <f t="shared" si="132"/>
        <v>266290578.8541095</v>
      </c>
      <c r="L239" s="148">
        <f t="shared" si="132"/>
        <v>238659799.39164153</v>
      </c>
      <c r="M239" s="148">
        <f t="shared" si="132"/>
        <v>157997301.01988974</v>
      </c>
      <c r="N239" s="148">
        <f t="shared" si="132"/>
        <v>77342103.420198694</v>
      </c>
      <c r="O239" s="148">
        <f t="shared" si="132"/>
        <v>76702452.709805056</v>
      </c>
      <c r="P239" s="148">
        <f t="shared" si="132"/>
        <v>120960317.59420469</v>
      </c>
      <c r="Q239" s="148">
        <f t="shared" si="132"/>
        <v>126272704.82918875</v>
      </c>
      <c r="R239" s="149">
        <f t="shared" si="132"/>
        <v>145244070.33349967</v>
      </c>
      <c r="S239" s="149">
        <f t="shared" si="132"/>
        <v>146571564.56579235</v>
      </c>
      <c r="T239" s="149">
        <f t="shared" si="132"/>
        <v>143910373.78748611</v>
      </c>
      <c r="U239" s="149">
        <f t="shared" si="132"/>
        <v>144125433.99293035</v>
      </c>
      <c r="V239" s="149">
        <f t="shared" si="132"/>
        <v>143296693.54943231</v>
      </c>
      <c r="W239" s="149">
        <f t="shared" si="132"/>
        <v>142685132.49282724</v>
      </c>
      <c r="X239" s="149">
        <f t="shared" si="132"/>
        <v>142395386.05849832</v>
      </c>
      <c r="Y239" s="149">
        <f t="shared" si="132"/>
        <v>142354949.01725557</v>
      </c>
      <c r="Z239" s="149">
        <f t="shared" si="132"/>
        <v>141766909.18762857</v>
      </c>
      <c r="AA239" s="149">
        <f t="shared" si="132"/>
        <v>141463672.67290735</v>
      </c>
      <c r="AB239" s="149">
        <f t="shared" si="132"/>
        <v>141459371.58869898</v>
      </c>
      <c r="AC239" s="149">
        <f t="shared" si="132"/>
        <v>140868326.4240391</v>
      </c>
      <c r="AD239" s="149">
        <f t="shared" si="132"/>
        <v>140747620.25527805</v>
      </c>
      <c r="AE239" s="149">
        <f t="shared" si="132"/>
        <v>140122620.52501076</v>
      </c>
      <c r="AF239" s="149">
        <f t="shared" si="132"/>
        <v>140028292.07930511</v>
      </c>
      <c r="AG239" s="149">
        <f t="shared" si="132"/>
        <v>139527853.29531607</v>
      </c>
    </row>
    <row r="240" spans="1:33" ht="14.25" customHeight="1" x14ac:dyDescent="0.35">
      <c r="A240" s="21"/>
      <c r="B240" s="21"/>
      <c r="C240" s="21"/>
      <c r="D240" s="128" t="s">
        <v>4024</v>
      </c>
      <c r="E240" s="128"/>
      <c r="F240" s="21"/>
      <c r="G240" s="21"/>
      <c r="H240" s="21"/>
      <c r="I240" s="22" t="s">
        <v>3921</v>
      </c>
      <c r="J240" s="148">
        <f t="shared" ref="J240:AG240" si="133">IF(J212&lt;&gt;0,J188*J214/J212,IF(J202=0,0,J188*J204/J202))</f>
        <v>2351662.3203458204</v>
      </c>
      <c r="K240" s="148">
        <f t="shared" si="133"/>
        <v>3729622.2430332601</v>
      </c>
      <c r="L240" s="148">
        <f t="shared" si="133"/>
        <v>2373041.4100654344</v>
      </c>
      <c r="M240" s="148">
        <f t="shared" si="133"/>
        <v>8005996.3850771915</v>
      </c>
      <c r="N240" s="148">
        <f t="shared" si="133"/>
        <v>4255617.5784298852</v>
      </c>
      <c r="O240" s="148">
        <f t="shared" si="133"/>
        <v>6015166.7997926641</v>
      </c>
      <c r="P240" s="148">
        <f t="shared" si="133"/>
        <v>6142461.8842509519</v>
      </c>
      <c r="Q240" s="148">
        <f t="shared" si="133"/>
        <v>8011396.7424226543</v>
      </c>
      <c r="R240" s="149">
        <f t="shared" si="133"/>
        <v>5100773.7345224908</v>
      </c>
      <c r="S240" s="149">
        <f t="shared" si="133"/>
        <v>5093592.613099887</v>
      </c>
      <c r="T240" s="149">
        <f t="shared" si="133"/>
        <v>4933478.4715499114</v>
      </c>
      <c r="U240" s="149">
        <f t="shared" si="133"/>
        <v>4936822.9632819211</v>
      </c>
      <c r="V240" s="149">
        <f t="shared" si="133"/>
        <v>4907729.2393601984</v>
      </c>
      <c r="W240" s="149">
        <f t="shared" si="133"/>
        <v>4888582.2223064741</v>
      </c>
      <c r="X240" s="149">
        <f t="shared" si="133"/>
        <v>4877692.7429000232</v>
      </c>
      <c r="Y240" s="149">
        <f t="shared" si="133"/>
        <v>4876350.9922811389</v>
      </c>
      <c r="Z240" s="149">
        <f t="shared" si="133"/>
        <v>4856498.3238173407</v>
      </c>
      <c r="AA240" s="149">
        <f t="shared" si="133"/>
        <v>4845902.7024179529</v>
      </c>
      <c r="AB240" s="149">
        <f t="shared" si="133"/>
        <v>4845797.1658916222</v>
      </c>
      <c r="AC240" s="149">
        <f t="shared" si="133"/>
        <v>4825591.6519626509</v>
      </c>
      <c r="AD240" s="149">
        <f t="shared" si="133"/>
        <v>4821415.4415418301</v>
      </c>
      <c r="AE240" s="149">
        <f t="shared" si="133"/>
        <v>4800019.3589124307</v>
      </c>
      <c r="AF240" s="149">
        <f t="shared" si="133"/>
        <v>4796792.5902083879</v>
      </c>
      <c r="AG240" s="149">
        <f t="shared" si="133"/>
        <v>4779642.0430273414</v>
      </c>
    </row>
    <row r="241" spans="1:33" ht="14.25" customHeight="1" x14ac:dyDescent="0.35">
      <c r="A241" s="21"/>
      <c r="B241" s="21"/>
      <c r="C241" s="21"/>
      <c r="D241" s="128" t="s">
        <v>4025</v>
      </c>
      <c r="E241" s="128"/>
      <c r="F241" s="21"/>
      <c r="G241" s="21"/>
      <c r="H241" s="21"/>
      <c r="I241" s="22" t="s">
        <v>3921</v>
      </c>
      <c r="J241" s="148">
        <f t="shared" ref="J241:AG241" si="134">IF(J212&lt;&gt;0,J188*J215/J212,IF(J202=0,0,J188*J205/J202))</f>
        <v>0</v>
      </c>
      <c r="K241" s="148">
        <f t="shared" si="134"/>
        <v>6804915.4925042987</v>
      </c>
      <c r="L241" s="148">
        <f t="shared" si="134"/>
        <v>0</v>
      </c>
      <c r="M241" s="148">
        <f t="shared" si="134"/>
        <v>7503510.7176028825</v>
      </c>
      <c r="N241" s="148">
        <f t="shared" si="134"/>
        <v>2660697.1347413505</v>
      </c>
      <c r="O241" s="148">
        <f t="shared" si="134"/>
        <v>6233452.9108877713</v>
      </c>
      <c r="P241" s="148">
        <f t="shared" si="134"/>
        <v>5854049.4660177827</v>
      </c>
      <c r="Q241" s="148">
        <f t="shared" si="134"/>
        <v>4075720.2333333283</v>
      </c>
      <c r="R241" s="149">
        <f t="shared" si="134"/>
        <v>4259789.7111474052</v>
      </c>
      <c r="S241" s="149">
        <f t="shared" si="134"/>
        <v>4253792.568607348</v>
      </c>
      <c r="T241" s="149">
        <f t="shared" si="134"/>
        <v>4120077.0563571984</v>
      </c>
      <c r="U241" s="149">
        <f t="shared" si="134"/>
        <v>4122870.1289792224</v>
      </c>
      <c r="V241" s="149">
        <f t="shared" si="134"/>
        <v>4098573.1983034057</v>
      </c>
      <c r="W241" s="149">
        <f t="shared" si="134"/>
        <v>4082583.0229908652</v>
      </c>
      <c r="X241" s="149">
        <f t="shared" si="134"/>
        <v>4073488.9335939176</v>
      </c>
      <c r="Y241" s="149">
        <f t="shared" si="134"/>
        <v>4072368.4025179036</v>
      </c>
      <c r="Z241" s="149">
        <f t="shared" si="134"/>
        <v>4055788.9192350935</v>
      </c>
      <c r="AA241" s="149">
        <f t="shared" si="134"/>
        <v>4046940.2383546135</v>
      </c>
      <c r="AB241" s="149">
        <f t="shared" si="134"/>
        <v>4046852.1020379658</v>
      </c>
      <c r="AC241" s="149">
        <f t="shared" si="134"/>
        <v>4029977.9482678152</v>
      </c>
      <c r="AD241" s="149">
        <f t="shared" si="134"/>
        <v>4026490.2855899362</v>
      </c>
      <c r="AE241" s="149">
        <f t="shared" si="134"/>
        <v>4008621.8567226236</v>
      </c>
      <c r="AF241" s="149">
        <f t="shared" si="134"/>
        <v>4005927.0976838707</v>
      </c>
      <c r="AG241" s="149">
        <f t="shared" si="134"/>
        <v>3991604.2266402277</v>
      </c>
    </row>
    <row r="242" spans="1:33" ht="14.25" customHeight="1" x14ac:dyDescent="0.35">
      <c r="A242" s="21"/>
      <c r="B242" s="21"/>
      <c r="C242" s="21"/>
      <c r="D242" s="128" t="s">
        <v>4026</v>
      </c>
      <c r="E242" s="128"/>
      <c r="F242" s="21"/>
      <c r="G242" s="21"/>
      <c r="H242" s="21"/>
      <c r="I242" s="22" t="s">
        <v>3921</v>
      </c>
      <c r="J242" s="148">
        <f t="shared" ref="J242:AG242" si="135">IF(J212&lt;&gt;0,J188*J216/J212,IF(J202=0,0,J188*J206/J202))</f>
        <v>2072071.8443904738</v>
      </c>
      <c r="K242" s="148">
        <f t="shared" si="135"/>
        <v>2404778.2803529403</v>
      </c>
      <c r="L242" s="148">
        <f t="shared" si="135"/>
        <v>814416.17829305062</v>
      </c>
      <c r="M242" s="148">
        <f t="shared" si="135"/>
        <v>763326.86743020487</v>
      </c>
      <c r="N242" s="148">
        <f t="shared" si="135"/>
        <v>263185.52663007361</v>
      </c>
      <c r="O242" s="148">
        <f t="shared" si="135"/>
        <v>397256.64951451228</v>
      </c>
      <c r="P242" s="148">
        <f t="shared" si="135"/>
        <v>1874275.185526584</v>
      </c>
      <c r="Q242" s="148">
        <f t="shared" si="135"/>
        <v>195128.01505526743</v>
      </c>
      <c r="R242" s="149">
        <f t="shared" si="135"/>
        <v>989557.92846632167</v>
      </c>
      <c r="S242" s="149">
        <f t="shared" si="135"/>
        <v>993290.51619913301</v>
      </c>
      <c r="T242" s="149">
        <f t="shared" si="135"/>
        <v>966097.78891884477</v>
      </c>
      <c r="U242" s="149">
        <f t="shared" si="135"/>
        <v>967542.62652354583</v>
      </c>
      <c r="V242" s="149">
        <f t="shared" si="135"/>
        <v>961979.31997527857</v>
      </c>
      <c r="W242" s="149">
        <f t="shared" si="135"/>
        <v>957873.29857881588</v>
      </c>
      <c r="X242" s="149">
        <f t="shared" si="135"/>
        <v>955928.43609026272</v>
      </c>
      <c r="Y242" s="149">
        <f t="shared" si="135"/>
        <v>955656.96239682939</v>
      </c>
      <c r="Z242" s="149">
        <f t="shared" si="135"/>
        <v>951709.25541361701</v>
      </c>
      <c r="AA242" s="149">
        <f t="shared" si="135"/>
        <v>949673.62538972741</v>
      </c>
      <c r="AB242" s="149">
        <f t="shared" si="135"/>
        <v>949644.73997261643</v>
      </c>
      <c r="AC242" s="149">
        <f t="shared" si="135"/>
        <v>945676.92566270381</v>
      </c>
      <c r="AD242" s="149">
        <f t="shared" si="135"/>
        <v>944866.61253792397</v>
      </c>
      <c r="AE242" s="149">
        <f t="shared" si="135"/>
        <v>940670.86198632536</v>
      </c>
      <c r="AF242" s="149">
        <f t="shared" si="135"/>
        <v>940037.6152412924</v>
      </c>
      <c r="AG242" s="149">
        <f t="shared" si="135"/>
        <v>936678.07278676168</v>
      </c>
    </row>
    <row r="243" spans="1:33" ht="14.25" customHeight="1" x14ac:dyDescent="0.35">
      <c r="A243" s="21"/>
      <c r="B243" s="21"/>
      <c r="C243" s="21"/>
      <c r="D243" s="21"/>
      <c r="E243" s="21"/>
      <c r="F243" s="21"/>
      <c r="G243" s="21"/>
      <c r="H243" s="21"/>
      <c r="I243" s="22"/>
      <c r="J243" s="21"/>
      <c r="K243" s="21"/>
      <c r="L243" s="21"/>
      <c r="M243" s="21"/>
      <c r="N243" s="21"/>
      <c r="O243" s="21"/>
      <c r="P243" s="60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</row>
    <row r="244" spans="1:33" ht="14.25" customHeight="1" x14ac:dyDescent="0.35">
      <c r="A244" s="21"/>
      <c r="B244" s="21"/>
      <c r="C244" s="21" t="s">
        <v>4037</v>
      </c>
      <c r="D244" s="21"/>
      <c r="E244" s="21"/>
      <c r="F244" s="21"/>
      <c r="G244" s="21"/>
      <c r="H244" s="21"/>
      <c r="I244" s="22" t="s">
        <v>3921</v>
      </c>
      <c r="J244" s="21"/>
      <c r="K244" s="21"/>
      <c r="L244" s="21"/>
      <c r="M244" s="21"/>
      <c r="N244" s="21"/>
      <c r="O244" s="21"/>
      <c r="P244" s="60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</row>
    <row r="245" spans="1:33" ht="14.25" customHeight="1" x14ac:dyDescent="0.35">
      <c r="A245" s="21"/>
      <c r="B245" s="21"/>
      <c r="C245" s="21"/>
      <c r="D245" s="128" t="s">
        <v>4038</v>
      </c>
      <c r="E245" s="128"/>
      <c r="F245" s="21"/>
      <c r="G245" s="21"/>
      <c r="H245" s="21"/>
      <c r="I245" s="22" t="s">
        <v>3921</v>
      </c>
      <c r="J245" s="148">
        <f t="shared" ref="J245:AG245" si="136">J219+J224+J229+J234+J239</f>
        <v>1461399710.9094064</v>
      </c>
      <c r="K245" s="148">
        <f t="shared" si="136"/>
        <v>1437764373.1907709</v>
      </c>
      <c r="L245" s="148">
        <f t="shared" si="136"/>
        <v>1344497325.4045734</v>
      </c>
      <c r="M245" s="148">
        <f t="shared" si="136"/>
        <v>1612310923.5561383</v>
      </c>
      <c r="N245" s="148">
        <f t="shared" si="136"/>
        <v>1435933285.4747074</v>
      </c>
      <c r="O245" s="148">
        <f t="shared" si="136"/>
        <v>1399110747.5994658</v>
      </c>
      <c r="P245" s="148">
        <f t="shared" si="136"/>
        <v>1463881932.3312387</v>
      </c>
      <c r="Q245" s="148">
        <f t="shared" si="136"/>
        <v>1418339559.3045716</v>
      </c>
      <c r="R245" s="149">
        <f t="shared" si="136"/>
        <v>1500913883.1929502</v>
      </c>
      <c r="S245" s="149">
        <f t="shared" si="136"/>
        <v>1501763433.2567475</v>
      </c>
      <c r="T245" s="149">
        <f t="shared" si="136"/>
        <v>1496682405.4316001</v>
      </c>
      <c r="U245" s="149">
        <f t="shared" si="136"/>
        <v>1495901880.4096334</v>
      </c>
      <c r="V245" s="149">
        <f t="shared" si="136"/>
        <v>1494816012.2572906</v>
      </c>
      <c r="W245" s="149">
        <f t="shared" si="136"/>
        <v>1494020959.0524809</v>
      </c>
      <c r="X245" s="149">
        <f t="shared" si="136"/>
        <v>1493939249.3968332</v>
      </c>
      <c r="Y245" s="149">
        <f t="shared" si="136"/>
        <v>1486671031.2353201</v>
      </c>
      <c r="Z245" s="149">
        <f t="shared" si="136"/>
        <v>1486065333.9766395</v>
      </c>
      <c r="AA245" s="149">
        <f t="shared" si="136"/>
        <v>1485456326.6088839</v>
      </c>
      <c r="AB245" s="149">
        <f t="shared" si="136"/>
        <v>1485266048.495245</v>
      </c>
      <c r="AC245" s="149">
        <f t="shared" si="136"/>
        <v>1484302441.0865765</v>
      </c>
      <c r="AD245" s="149">
        <f t="shared" si="136"/>
        <v>1484187961.2765315</v>
      </c>
      <c r="AE245" s="149">
        <f t="shared" si="136"/>
        <v>1483558725.4702187</v>
      </c>
      <c r="AF245" s="149">
        <f t="shared" si="136"/>
        <v>1483465145.6219738</v>
      </c>
      <c r="AG245" s="149">
        <f t="shared" si="136"/>
        <v>1482965619.7982531</v>
      </c>
    </row>
    <row r="246" spans="1:33" ht="14.25" customHeight="1" x14ac:dyDescent="0.35">
      <c r="A246" s="21"/>
      <c r="B246" s="21"/>
      <c r="C246" s="21"/>
      <c r="D246" s="128" t="s">
        <v>21</v>
      </c>
      <c r="E246" s="128"/>
      <c r="F246" s="21"/>
      <c r="G246" s="21"/>
      <c r="H246" s="21"/>
      <c r="I246" s="22" t="s">
        <v>3921</v>
      </c>
      <c r="J246" s="148">
        <f t="shared" ref="J246:AG246" si="137">J220+J225+J230+J235+J240</f>
        <v>46612245.795846373</v>
      </c>
      <c r="K246" s="148">
        <f t="shared" si="137"/>
        <v>25403391.607334066</v>
      </c>
      <c r="L246" s="148">
        <f t="shared" si="137"/>
        <v>9793754.5568296071</v>
      </c>
      <c r="M246" s="148">
        <f t="shared" si="137"/>
        <v>60977774.39367155</v>
      </c>
      <c r="N246" s="148">
        <f t="shared" si="137"/>
        <v>42020511.268061206</v>
      </c>
      <c r="O246" s="148">
        <f t="shared" si="137"/>
        <v>91795220.32189104</v>
      </c>
      <c r="P246" s="148">
        <f t="shared" si="137"/>
        <v>65421837.983102418</v>
      </c>
      <c r="Q246" s="148">
        <f t="shared" si="137"/>
        <v>79942129.359118685</v>
      </c>
      <c r="R246" s="149">
        <f t="shared" si="137"/>
        <v>28420391.519931223</v>
      </c>
      <c r="S246" s="149">
        <f t="shared" si="137"/>
        <v>28363580.436102774</v>
      </c>
      <c r="T246" s="149">
        <f t="shared" si="137"/>
        <v>28222523.462022401</v>
      </c>
      <c r="U246" s="149">
        <f t="shared" si="137"/>
        <v>28229712.703548055</v>
      </c>
      <c r="V246" s="149">
        <f t="shared" si="137"/>
        <v>28191712.708852101</v>
      </c>
      <c r="W246" s="149">
        <f t="shared" si="137"/>
        <v>28177225.322621871</v>
      </c>
      <c r="X246" s="149">
        <f t="shared" si="137"/>
        <v>28166198.476754174</v>
      </c>
      <c r="Y246" s="149">
        <f t="shared" si="137"/>
        <v>28163395.333349101</v>
      </c>
      <c r="Z246" s="149">
        <f t="shared" si="137"/>
        <v>28144562.86825601</v>
      </c>
      <c r="AA246" s="149">
        <f t="shared" si="137"/>
        <v>28133774.261293657</v>
      </c>
      <c r="AB246" s="149">
        <f t="shared" si="137"/>
        <v>28133457.319367964</v>
      </c>
      <c r="AC246" s="149">
        <f t="shared" si="137"/>
        <v>28113457.076435536</v>
      </c>
      <c r="AD246" s="149">
        <f t="shared" si="137"/>
        <v>28109214.48827488</v>
      </c>
      <c r="AE246" s="149">
        <f t="shared" si="137"/>
        <v>28087794.233924318</v>
      </c>
      <c r="AF246" s="149">
        <f t="shared" si="137"/>
        <v>28084605.705791052</v>
      </c>
      <c r="AG246" s="149">
        <f t="shared" si="137"/>
        <v>28067437.722193472</v>
      </c>
    </row>
    <row r="247" spans="1:33" ht="14.25" customHeight="1" x14ac:dyDescent="0.35">
      <c r="A247" s="21"/>
      <c r="B247" s="21"/>
      <c r="C247" s="21"/>
      <c r="D247" s="128" t="s">
        <v>22</v>
      </c>
      <c r="E247" s="128"/>
      <c r="F247" s="21"/>
      <c r="G247" s="21"/>
      <c r="H247" s="21"/>
      <c r="I247" s="22" t="s">
        <v>3921</v>
      </c>
      <c r="J247" s="148">
        <f t="shared" ref="J247:AG247" si="138">J221+J226+J231+J236+J241</f>
        <v>0</v>
      </c>
      <c r="K247" s="148">
        <f t="shared" si="138"/>
        <v>35924092.1237939</v>
      </c>
      <c r="L247" s="148">
        <f t="shared" si="138"/>
        <v>0</v>
      </c>
      <c r="M247" s="148">
        <f t="shared" si="138"/>
        <v>48956748.051582217</v>
      </c>
      <c r="N247" s="148">
        <f t="shared" si="138"/>
        <v>37989065.572618939</v>
      </c>
      <c r="O247" s="148">
        <f t="shared" si="138"/>
        <v>79528502.674288869</v>
      </c>
      <c r="P247" s="148">
        <f t="shared" si="138"/>
        <v>67788075.098228052</v>
      </c>
      <c r="Q247" s="148">
        <f t="shared" si="138"/>
        <v>42635118.969903238</v>
      </c>
      <c r="R247" s="149">
        <f t="shared" si="138"/>
        <v>26868006.888168816</v>
      </c>
      <c r="S247" s="149">
        <f t="shared" si="138"/>
        <v>26814943.836072937</v>
      </c>
      <c r="T247" s="149">
        <f t="shared" si="138"/>
        <v>26693623.093448278</v>
      </c>
      <c r="U247" s="149">
        <f t="shared" si="138"/>
        <v>26680618.88565984</v>
      </c>
      <c r="V247" s="149">
        <f t="shared" si="138"/>
        <v>26648239.106417019</v>
      </c>
      <c r="W247" s="149">
        <f t="shared" si="138"/>
        <v>26637138.284740873</v>
      </c>
      <c r="X247" s="149">
        <f t="shared" si="138"/>
        <v>26627479.16837002</v>
      </c>
      <c r="Y247" s="149">
        <f t="shared" si="138"/>
        <v>26565097.163514879</v>
      </c>
      <c r="Z247" s="149">
        <f t="shared" si="138"/>
        <v>26549537.84246821</v>
      </c>
      <c r="AA247" s="149">
        <f t="shared" si="138"/>
        <v>26537544.967609677</v>
      </c>
      <c r="AB247" s="149">
        <f t="shared" si="138"/>
        <v>26535891.816419616</v>
      </c>
      <c r="AC247" s="149">
        <f t="shared" si="138"/>
        <v>26516086.203897949</v>
      </c>
      <c r="AD247" s="149">
        <f t="shared" si="138"/>
        <v>26512521.961976051</v>
      </c>
      <c r="AE247" s="149">
        <f t="shared" si="138"/>
        <v>26494638.753103759</v>
      </c>
      <c r="AF247" s="149">
        <f t="shared" si="138"/>
        <v>26491979.373970494</v>
      </c>
      <c r="AG247" s="149">
        <f t="shared" si="138"/>
        <v>26477637.843041159</v>
      </c>
    </row>
    <row r="248" spans="1:33" ht="14.25" customHeight="1" x14ac:dyDescent="0.35">
      <c r="A248" s="21"/>
      <c r="B248" s="21"/>
      <c r="C248" s="21"/>
      <c r="D248" s="128" t="s">
        <v>321</v>
      </c>
      <c r="E248" s="128"/>
      <c r="F248" s="21"/>
      <c r="G248" s="21"/>
      <c r="H248" s="21"/>
      <c r="I248" s="22" t="s">
        <v>3921</v>
      </c>
      <c r="J248" s="148">
        <f t="shared" ref="J248:AG248" si="139">J222+J227+J232+J237+J242</f>
        <v>38224813.084747054</v>
      </c>
      <c r="K248" s="148">
        <f t="shared" si="139"/>
        <v>32181644.688101053</v>
      </c>
      <c r="L248" s="148">
        <f t="shared" si="139"/>
        <v>17259981.018596906</v>
      </c>
      <c r="M248" s="148">
        <f t="shared" si="139"/>
        <v>24187396.008608084</v>
      </c>
      <c r="N248" s="148">
        <f t="shared" si="139"/>
        <v>44802396.514612406</v>
      </c>
      <c r="O248" s="148">
        <f t="shared" si="139"/>
        <v>13226050.434354143</v>
      </c>
      <c r="P248" s="148">
        <f t="shared" si="139"/>
        <v>65303049.217430763</v>
      </c>
      <c r="Q248" s="148">
        <f t="shared" si="139"/>
        <v>65735951.286406308</v>
      </c>
      <c r="R248" s="149">
        <f t="shared" si="139"/>
        <v>15570965.359679662</v>
      </c>
      <c r="S248" s="149">
        <f t="shared" si="139"/>
        <v>15574892.1275193</v>
      </c>
      <c r="T248" s="149">
        <f t="shared" si="139"/>
        <v>15490828.505778193</v>
      </c>
      <c r="U248" s="149">
        <f t="shared" si="139"/>
        <v>15382467.515998924</v>
      </c>
      <c r="V248" s="149">
        <f t="shared" si="139"/>
        <v>15376920.65848019</v>
      </c>
      <c r="W248" s="149">
        <f t="shared" si="139"/>
        <v>15372772.582069742</v>
      </c>
      <c r="X248" s="149">
        <f t="shared" si="139"/>
        <v>15370850.27322658</v>
      </c>
      <c r="Y248" s="149">
        <f t="shared" si="139"/>
        <v>14989173.233360928</v>
      </c>
      <c r="Z248" s="149">
        <f t="shared" si="139"/>
        <v>14985218.867754616</v>
      </c>
      <c r="AA248" s="149">
        <f t="shared" si="139"/>
        <v>14964871.380466564</v>
      </c>
      <c r="AB248" s="149">
        <f t="shared" si="139"/>
        <v>14955944.889780089</v>
      </c>
      <c r="AC248" s="149">
        <f t="shared" si="139"/>
        <v>14932089.507162165</v>
      </c>
      <c r="AD248" s="149">
        <f t="shared" si="139"/>
        <v>14931280.144010559</v>
      </c>
      <c r="AE248" s="149">
        <f t="shared" si="139"/>
        <v>14927084.075673087</v>
      </c>
      <c r="AF248" s="149">
        <f t="shared" si="139"/>
        <v>14926450.724127566</v>
      </c>
      <c r="AG248" s="149">
        <f t="shared" si="139"/>
        <v>14923091.357468657</v>
      </c>
    </row>
    <row r="249" spans="1:33" ht="14.25" customHeight="1" x14ac:dyDescent="0.35">
      <c r="A249" s="21"/>
      <c r="B249" s="21"/>
      <c r="C249" s="21" t="s">
        <v>4039</v>
      </c>
      <c r="D249" s="128"/>
      <c r="E249" s="128"/>
      <c r="F249" s="21"/>
      <c r="G249" s="21"/>
      <c r="H249" s="21"/>
      <c r="I249" s="22" t="s">
        <v>3921</v>
      </c>
      <c r="J249" s="148">
        <f t="shared" ref="J249:AG249" si="140">SUM(J245:J248)</f>
        <v>1546236769.79</v>
      </c>
      <c r="K249" s="148">
        <f t="shared" si="140"/>
        <v>1531273501.6099999</v>
      </c>
      <c r="L249" s="148">
        <f t="shared" si="140"/>
        <v>1371551060.98</v>
      </c>
      <c r="M249" s="148">
        <f t="shared" si="140"/>
        <v>1746432842.01</v>
      </c>
      <c r="N249" s="148">
        <f t="shared" si="140"/>
        <v>1560745258.8299999</v>
      </c>
      <c r="O249" s="148">
        <f t="shared" si="140"/>
        <v>1583660521.03</v>
      </c>
      <c r="P249" s="148">
        <f t="shared" si="140"/>
        <v>1662394894.6299999</v>
      </c>
      <c r="Q249" s="148">
        <f t="shared" si="140"/>
        <v>1606652758.9199998</v>
      </c>
      <c r="R249" s="149">
        <f t="shared" si="140"/>
        <v>1571773246.9607301</v>
      </c>
      <c r="S249" s="149">
        <f t="shared" si="140"/>
        <v>1572516849.6564426</v>
      </c>
      <c r="T249" s="149">
        <f t="shared" si="140"/>
        <v>1567089380.4928489</v>
      </c>
      <c r="U249" s="149">
        <f t="shared" si="140"/>
        <v>1566194679.5148401</v>
      </c>
      <c r="V249" s="149">
        <f t="shared" si="140"/>
        <v>1565032884.7310398</v>
      </c>
      <c r="W249" s="149">
        <f t="shared" si="140"/>
        <v>1564208095.2419133</v>
      </c>
      <c r="X249" s="149">
        <f t="shared" si="140"/>
        <v>1564103777.3151839</v>
      </c>
      <c r="Y249" s="149">
        <f t="shared" si="140"/>
        <v>1556388696.9655449</v>
      </c>
      <c r="Z249" s="149">
        <f t="shared" si="140"/>
        <v>1555744653.5551186</v>
      </c>
      <c r="AA249" s="149">
        <f t="shared" si="140"/>
        <v>1555092517.2182536</v>
      </c>
      <c r="AB249" s="149">
        <f t="shared" si="140"/>
        <v>1554891342.5208125</v>
      </c>
      <c r="AC249" s="149">
        <f t="shared" si="140"/>
        <v>1553864073.8740721</v>
      </c>
      <c r="AD249" s="149">
        <f t="shared" si="140"/>
        <v>1553740977.8707929</v>
      </c>
      <c r="AE249" s="149">
        <f t="shared" si="140"/>
        <v>1553068242.5329199</v>
      </c>
      <c r="AF249" s="149">
        <f t="shared" si="140"/>
        <v>1552968181.4258628</v>
      </c>
      <c r="AG249" s="149">
        <f t="shared" si="140"/>
        <v>1552433786.7209563</v>
      </c>
    </row>
    <row r="250" spans="1:33" ht="14.25" customHeight="1" x14ac:dyDescent="0.35">
      <c r="A250" s="21"/>
      <c r="B250" s="21"/>
      <c r="C250" s="21"/>
      <c r="D250" s="128"/>
      <c r="E250" s="128"/>
      <c r="F250" s="21"/>
      <c r="G250" s="21"/>
      <c r="H250" s="21"/>
      <c r="I250" s="22"/>
      <c r="J250" s="148"/>
      <c r="K250" s="148"/>
      <c r="L250" s="148"/>
      <c r="M250" s="148"/>
      <c r="N250" s="148"/>
      <c r="O250" s="148"/>
      <c r="P250" s="148"/>
      <c r="Q250" s="148"/>
      <c r="R250" s="149"/>
      <c r="S250" s="149"/>
      <c r="T250" s="149"/>
      <c r="U250" s="149"/>
      <c r="V250" s="149"/>
      <c r="W250" s="149"/>
      <c r="X250" s="149"/>
      <c r="Y250" s="149"/>
      <c r="Z250" s="149"/>
      <c r="AA250" s="149"/>
      <c r="AB250" s="149"/>
      <c r="AC250" s="149"/>
      <c r="AD250" s="149"/>
      <c r="AE250" s="149"/>
      <c r="AF250" s="149"/>
      <c r="AG250" s="149"/>
    </row>
    <row r="251" spans="1:33" ht="14.25" customHeight="1" x14ac:dyDescent="0.35">
      <c r="A251" s="21"/>
      <c r="B251" s="21"/>
      <c r="C251" s="28" t="s">
        <v>4040</v>
      </c>
      <c r="D251" s="128" t="s">
        <v>4041</v>
      </c>
      <c r="E251" s="128"/>
      <c r="F251" s="21"/>
      <c r="G251" s="21"/>
      <c r="H251" s="21"/>
      <c r="I251" s="22" t="s">
        <v>3921</v>
      </c>
      <c r="J251" s="148">
        <f>'DATA - GL Aktual 2026'!C43+'DATA - GL Aktual 2026'!C44</f>
        <v>5494691538.6472502</v>
      </c>
      <c r="K251" s="148">
        <f>'DATA - GL Aktual 2026'!D43+'DATA - GL Aktual 2026'!D44</f>
        <v>4882769141.8485603</v>
      </c>
      <c r="L251" s="148">
        <f>'DATA - GL Aktual 2026'!E43+'DATA - GL Aktual 2026'!E44</f>
        <v>3454239214.38656</v>
      </c>
      <c r="M251" s="148">
        <f>'DATA - GL Aktual 2026'!F43+'DATA - GL Aktual 2026'!F44</f>
        <v>4329841179.8366699</v>
      </c>
      <c r="N251" s="148">
        <f>'DATA - GL Aktual 2026'!G43+'DATA - GL Aktual 2026'!G44</f>
        <v>5087817479.4388599</v>
      </c>
      <c r="O251" s="148">
        <f>'DATA - GL Aktual 2026'!H43+'DATA - GL Aktual 2026'!H44</f>
        <v>5559333940.1515198</v>
      </c>
      <c r="P251" s="148">
        <f>'DATA - GL Aktual 2026'!I43+'DATA - GL Aktual 2026'!I44</f>
        <v>5655737257.3381996</v>
      </c>
      <c r="Q251" s="148">
        <f>'DATA - GL Aktual 2026'!J43+'DATA - GL Aktual 2026'!J44</f>
        <v>6713523880.4370003</v>
      </c>
      <c r="R251" s="149">
        <f t="shared" ref="R251:AG251" si="141">R546+R702+R866+R930+R547+R703+R867+R931+R548+R704+R868+R932+R549+R705+R869+(R933+R934+R935+R936+R937+R939)+R550+R706+R870+R938</f>
        <v>6122880577.9389372</v>
      </c>
      <c r="S251" s="149">
        <f t="shared" si="141"/>
        <v>6176315293.9919338</v>
      </c>
      <c r="T251" s="149">
        <f t="shared" si="141"/>
        <v>6250601152.3069897</v>
      </c>
      <c r="U251" s="149">
        <f t="shared" si="141"/>
        <v>6253886394.0260229</v>
      </c>
      <c r="V251" s="149">
        <f t="shared" si="141"/>
        <v>6253875884.4712534</v>
      </c>
      <c r="W251" s="149">
        <f t="shared" si="141"/>
        <v>6251194776.6561565</v>
      </c>
      <c r="X251" s="149">
        <f t="shared" si="141"/>
        <v>6252051290.1906233</v>
      </c>
      <c r="Y251" s="149">
        <f t="shared" si="141"/>
        <v>6251801947.223671</v>
      </c>
      <c r="Z251" s="149">
        <f t="shared" si="141"/>
        <v>6251318891.3478575</v>
      </c>
      <c r="AA251" s="149">
        <f t="shared" si="141"/>
        <v>6251484589.1344738</v>
      </c>
      <c r="AB251" s="149">
        <f t="shared" si="141"/>
        <v>6251372770.4226646</v>
      </c>
      <c r="AC251" s="149">
        <f t="shared" si="141"/>
        <v>6251279285.5169878</v>
      </c>
      <c r="AD251" s="149">
        <f t="shared" si="141"/>
        <v>6251299024.189023</v>
      </c>
      <c r="AE251" s="149">
        <f t="shared" si="141"/>
        <v>6251259670.8811474</v>
      </c>
      <c r="AF251" s="149">
        <f t="shared" si="141"/>
        <v>6251237690.7250795</v>
      </c>
      <c r="AG251" s="149">
        <f t="shared" si="141"/>
        <v>6251235000.7644234</v>
      </c>
    </row>
    <row r="252" spans="1:33" ht="14.25" customHeight="1" x14ac:dyDescent="0.35">
      <c r="A252" s="21"/>
      <c r="B252" s="21"/>
      <c r="C252" s="21"/>
      <c r="D252" s="128" t="s">
        <v>4042</v>
      </c>
      <c r="E252" s="128"/>
      <c r="F252" s="21"/>
      <c r="G252" s="21"/>
      <c r="H252" s="21"/>
      <c r="I252" s="22" t="s">
        <v>3921</v>
      </c>
      <c r="J252" s="148">
        <f t="shared" ref="J252:AG252" si="142">J251-(J546+J702+J866+J930+J547+J703+J867+J931+J548+J704+J868+J932+J549+J705+J869+(J933+J934+J935+J936+J937+J939)+J550+J706+J870+J938)</f>
        <v>135806570.35865879</v>
      </c>
      <c r="K252" s="148">
        <f t="shared" si="142"/>
        <v>-105165586.08880329</v>
      </c>
      <c r="L252" s="148">
        <f t="shared" si="142"/>
        <v>-376781247.23923683</v>
      </c>
      <c r="M252" s="148">
        <f t="shared" si="142"/>
        <v>-25189264.969608307</v>
      </c>
      <c r="N252" s="148">
        <f t="shared" si="142"/>
        <v>46217120.151938438</v>
      </c>
      <c r="O252" s="148">
        <f t="shared" si="142"/>
        <v>-408861948.89551258</v>
      </c>
      <c r="P252" s="148">
        <f t="shared" si="142"/>
        <v>-230434644.62739277</v>
      </c>
      <c r="Q252" s="148">
        <f t="shared" si="142"/>
        <v>111119618.86127472</v>
      </c>
      <c r="R252" s="149">
        <f t="shared" si="142"/>
        <v>0</v>
      </c>
      <c r="S252" s="149">
        <f t="shared" si="142"/>
        <v>0</v>
      </c>
      <c r="T252" s="149">
        <f t="shared" si="142"/>
        <v>0</v>
      </c>
      <c r="U252" s="149">
        <f t="shared" si="142"/>
        <v>0</v>
      </c>
      <c r="V252" s="149">
        <f t="shared" si="142"/>
        <v>0</v>
      </c>
      <c r="W252" s="149">
        <f t="shared" si="142"/>
        <v>0</v>
      </c>
      <c r="X252" s="149">
        <f t="shared" si="142"/>
        <v>0</v>
      </c>
      <c r="Y252" s="149">
        <f t="shared" si="142"/>
        <v>0</v>
      </c>
      <c r="Z252" s="149">
        <f t="shared" si="142"/>
        <v>0</v>
      </c>
      <c r="AA252" s="149">
        <f t="shared" si="142"/>
        <v>0</v>
      </c>
      <c r="AB252" s="149">
        <f t="shared" si="142"/>
        <v>0</v>
      </c>
      <c r="AC252" s="149">
        <f t="shared" si="142"/>
        <v>0</v>
      </c>
      <c r="AD252" s="149">
        <f t="shared" si="142"/>
        <v>0</v>
      </c>
      <c r="AE252" s="149">
        <f t="shared" si="142"/>
        <v>0</v>
      </c>
      <c r="AF252" s="149">
        <f t="shared" si="142"/>
        <v>0</v>
      </c>
      <c r="AG252" s="149">
        <f t="shared" si="142"/>
        <v>0</v>
      </c>
    </row>
    <row r="253" spans="1:33" ht="14.25" customHeight="1" x14ac:dyDescent="0.35">
      <c r="A253" s="21"/>
      <c r="B253" s="21"/>
      <c r="C253" s="21"/>
      <c r="D253" s="128" t="s">
        <v>4043</v>
      </c>
      <c r="E253" s="128"/>
      <c r="F253" s="21"/>
      <c r="G253" s="21"/>
      <c r="H253" s="21"/>
      <c r="I253" s="22" t="s">
        <v>3921</v>
      </c>
      <c r="J253" s="148">
        <f>('DATA - GL Aktual 2026'!C46-'DATA - GL Aktual 2026'!C49+'DATA - GL Aktual 2026'!C51-'DATA - GL Aktual 2026'!C57)-(J555+J711+J875+0+J558+J714+J878+J950+J559+J715+J879+J951+J561+J717+J881+J953+J562+J718+J882+J954)</f>
        <v>-373746294.29104006</v>
      </c>
      <c r="K253" s="148">
        <f>('DATA - GL Aktual 2026'!D46-'DATA - GL Aktual 2026'!D49+'DATA - GL Aktual 2026'!D51-'DATA - GL Aktual 2026'!D57)-(K555+K711+K875+0+K558+K714+K878+K950+K559+K715+K879+K951+K561+K717+K881+K953+K562+K718+K882+K954)</f>
        <v>177908820.08763808</v>
      </c>
      <c r="L253" s="148">
        <f>('DATA - GL Aktual 2026'!E46-'DATA - GL Aktual 2026'!E49+'DATA - GL Aktual 2026'!E51-'DATA - GL Aktual 2026'!E57)-(L555+L711+L875+0+L558+L714+L878+L950+L559+L715+L879+L951+L561+L717+L881+L953+L562+L718+L882+L954)</f>
        <v>385964176.61537099</v>
      </c>
      <c r="M253" s="148">
        <f>('DATA - GL Aktual 2026'!F46-'DATA - GL Aktual 2026'!F49+'DATA - GL Aktual 2026'!F51-'DATA - GL Aktual 2026'!F57)-(M555+M711+M875+0+M558+M714+M878+M950+M559+M715+M879+M951+M561+M717+M881+M953+M562+M718+M882+M954)</f>
        <v>-199412209.63522899</v>
      </c>
      <c r="N253" s="148">
        <f>('DATA - GL Aktual 2026'!G46-'DATA - GL Aktual 2026'!G49+'DATA - GL Aktual 2026'!G51-'DATA - GL Aktual 2026'!G57)-(N555+N711+N875+0+N558+N714+N878+N950+N559+N715+N879+N951+N561+N717+N881+N953+N562+N718+N882+N954)</f>
        <v>-23684380.536328048</v>
      </c>
      <c r="O253" s="148">
        <f>('DATA - GL Aktual 2026'!H46-'DATA - GL Aktual 2026'!H49+'DATA - GL Aktual 2026'!H51-'DATA - GL Aktual 2026'!H57)-(O555+O711+O875+0+O558+O714+O878+O950+O559+O715+O879+O951+O561+O717+O881+O953+O562+O718+O882+O954)</f>
        <v>9219755.1118790507</v>
      </c>
      <c r="P253" s="148">
        <f>('DATA - GL Aktual 2026'!I46-'DATA - GL Aktual 2026'!I49+'DATA - GL Aktual 2026'!I51-'DATA - GL Aktual 2026'!I57)-(P555+P711+P875+0+P558+P714+P878+P950+P559+P715+P879+P951+P561+P717+P881+P953+P562+P718+P882+P954)</f>
        <v>278689925.99189401</v>
      </c>
      <c r="Q253" s="148">
        <f>('DATA - GL Aktual 2026'!J46-'DATA - GL Aktual 2026'!J49+'DATA - GL Aktual 2026'!J51-'DATA - GL Aktual 2026'!J57)-(Q555+Q711+Q875+0+Q558+Q714+Q878+Q950+Q559+Q715+Q879+Q951+Q561+Q717+Q881+Q953+Q562+Q718+Q882+Q954)</f>
        <v>-478030925.64836299</v>
      </c>
      <c r="R253" s="165" t="s">
        <v>4044</v>
      </c>
      <c r="S253" s="165" t="s">
        <v>4044</v>
      </c>
      <c r="T253" s="165" t="s">
        <v>4044</v>
      </c>
      <c r="U253" s="165" t="s">
        <v>4044</v>
      </c>
      <c r="V253" s="165" t="s">
        <v>4044</v>
      </c>
      <c r="W253" s="165" t="s">
        <v>4044</v>
      </c>
      <c r="X253" s="165" t="s">
        <v>4044</v>
      </c>
      <c r="Y253" s="165" t="s">
        <v>4044</v>
      </c>
      <c r="Z253" s="165" t="s">
        <v>4044</v>
      </c>
      <c r="AA253" s="165" t="s">
        <v>4044</v>
      </c>
      <c r="AB253" s="165" t="s">
        <v>4044</v>
      </c>
      <c r="AC253" s="165" t="s">
        <v>4044</v>
      </c>
      <c r="AD253" s="165" t="s">
        <v>4044</v>
      </c>
      <c r="AE253" s="165" t="s">
        <v>4044</v>
      </c>
      <c r="AF253" s="165" t="s">
        <v>4044</v>
      </c>
      <c r="AG253" s="165" t="s">
        <v>4044</v>
      </c>
    </row>
    <row r="254" spans="1:33" ht="14.25" customHeight="1" x14ac:dyDescent="0.35">
      <c r="A254" s="21"/>
      <c r="B254" s="21"/>
      <c r="C254" s="21"/>
      <c r="D254" s="128"/>
      <c r="E254" s="128"/>
      <c r="F254" s="21"/>
      <c r="G254" s="21"/>
      <c r="H254" s="21"/>
      <c r="I254" s="22"/>
      <c r="J254" s="148"/>
      <c r="K254" s="148"/>
      <c r="L254" s="148"/>
      <c r="M254" s="148"/>
      <c r="N254" s="148"/>
      <c r="O254" s="148"/>
      <c r="P254" s="148"/>
      <c r="Q254" s="148"/>
      <c r="R254" s="149"/>
      <c r="S254" s="149"/>
      <c r="T254" s="149"/>
      <c r="U254" s="149"/>
      <c r="V254" s="149"/>
      <c r="W254" s="149"/>
      <c r="X254" s="149"/>
      <c r="Y254" s="149"/>
      <c r="Z254" s="149"/>
      <c r="AA254" s="149"/>
      <c r="AB254" s="149"/>
      <c r="AC254" s="149"/>
      <c r="AD254" s="149"/>
      <c r="AE254" s="149"/>
      <c r="AF254" s="149"/>
      <c r="AG254" s="149"/>
    </row>
    <row r="255" spans="1:33" s="79" customFormat="1" ht="14.25" customHeight="1" x14ac:dyDescent="0.35">
      <c r="A255" s="21"/>
      <c r="B255" s="21"/>
      <c r="C255" s="21"/>
      <c r="D255" s="128" t="s">
        <v>4045</v>
      </c>
      <c r="E255" s="128"/>
      <c r="F255" s="21"/>
      <c r="G255" s="21"/>
      <c r="H255" s="21"/>
      <c r="I255" s="22" t="s">
        <v>3921</v>
      </c>
      <c r="J255" s="148">
        <f t="shared" ref="J255:AG255" si="143">J249-J173</f>
        <v>0</v>
      </c>
      <c r="K255" s="148">
        <f t="shared" si="143"/>
        <v>0</v>
      </c>
      <c r="L255" s="148">
        <f t="shared" si="143"/>
        <v>0</v>
      </c>
      <c r="M255" s="148">
        <f t="shared" si="143"/>
        <v>0</v>
      </c>
      <c r="N255" s="148">
        <f t="shared" si="143"/>
        <v>0</v>
      </c>
      <c r="O255" s="148">
        <f t="shared" si="143"/>
        <v>0</v>
      </c>
      <c r="P255" s="148">
        <f t="shared" si="143"/>
        <v>0</v>
      </c>
      <c r="Q255" s="148">
        <f t="shared" si="143"/>
        <v>0</v>
      </c>
      <c r="R255" s="166">
        <f t="shared" si="143"/>
        <v>0</v>
      </c>
      <c r="S255" s="166">
        <f t="shared" si="143"/>
        <v>0</v>
      </c>
      <c r="T255" s="166">
        <f t="shared" si="143"/>
        <v>0</v>
      </c>
      <c r="U255" s="166">
        <f t="shared" si="143"/>
        <v>0</v>
      </c>
      <c r="V255" s="166">
        <f t="shared" si="143"/>
        <v>0</v>
      </c>
      <c r="W255" s="166">
        <f t="shared" si="143"/>
        <v>0</v>
      </c>
      <c r="X255" s="166">
        <f t="shared" si="143"/>
        <v>0</v>
      </c>
      <c r="Y255" s="166">
        <f t="shared" si="143"/>
        <v>0</v>
      </c>
      <c r="Z255" s="166">
        <f t="shared" si="143"/>
        <v>0</v>
      </c>
      <c r="AA255" s="166">
        <f t="shared" si="143"/>
        <v>0</v>
      </c>
      <c r="AB255" s="166">
        <f t="shared" si="143"/>
        <v>0</v>
      </c>
      <c r="AC255" s="166">
        <f t="shared" si="143"/>
        <v>0</v>
      </c>
      <c r="AD255" s="166">
        <f t="shared" si="143"/>
        <v>0</v>
      </c>
      <c r="AE255" s="166">
        <f t="shared" si="143"/>
        <v>0</v>
      </c>
      <c r="AF255" s="166">
        <f t="shared" si="143"/>
        <v>0</v>
      </c>
      <c r="AG255" s="166">
        <f t="shared" si="143"/>
        <v>0</v>
      </c>
    </row>
    <row r="256" spans="1:33" s="79" customFormat="1" ht="14.25" customHeight="1" x14ac:dyDescent="0.35">
      <c r="A256" s="167">
        <v>5</v>
      </c>
      <c r="B256" s="167" t="s">
        <v>4046</v>
      </c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  <c r="Z256" s="168"/>
      <c r="AA256" s="168"/>
      <c r="AB256" s="168"/>
      <c r="AC256" s="168"/>
      <c r="AD256" s="168"/>
      <c r="AE256" s="168"/>
      <c r="AF256" s="168"/>
      <c r="AG256" s="168"/>
    </row>
    <row r="257" spans="1:33" s="79" customFormat="1" ht="14.25" customHeight="1" x14ac:dyDescent="0.35">
      <c r="A257" s="168"/>
      <c r="B257" s="167" t="s">
        <v>4047</v>
      </c>
      <c r="C257" s="167" t="s">
        <v>4048</v>
      </c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  <c r="AA257" s="168"/>
      <c r="AB257" s="168"/>
      <c r="AC257" s="168"/>
      <c r="AD257" s="168"/>
      <c r="AE257" s="168"/>
      <c r="AF257" s="168"/>
      <c r="AG257" s="168"/>
    </row>
    <row r="258" spans="1:33" ht="14.25" customHeight="1" x14ac:dyDescent="0.35">
      <c r="A258" s="21"/>
      <c r="B258" s="21"/>
      <c r="C258" s="21"/>
      <c r="D258" s="128" t="s">
        <v>4049</v>
      </c>
      <c r="E258" s="128"/>
      <c r="F258" s="21"/>
      <c r="G258" s="21"/>
      <c r="H258" s="21"/>
      <c r="I258" s="22" t="s">
        <v>3900</v>
      </c>
      <c r="J258" s="132">
        <v>1169920</v>
      </c>
      <c r="K258" s="132">
        <v>1104650</v>
      </c>
      <c r="L258" s="132">
        <v>853720</v>
      </c>
      <c r="M258" s="132">
        <v>820350</v>
      </c>
      <c r="N258" s="132">
        <v>945690</v>
      </c>
      <c r="O258" s="132">
        <v>942930</v>
      </c>
      <c r="P258" s="132">
        <v>837955</v>
      </c>
      <c r="Q258" s="132">
        <v>655527.6</v>
      </c>
      <c r="R258" s="140">
        <f t="shared" ref="R258:AG258" si="144">R429</f>
        <v>890946.95422757894</v>
      </c>
      <c r="S258" s="140">
        <f t="shared" si="144"/>
        <v>892570.95635452797</v>
      </c>
      <c r="T258" s="140">
        <f t="shared" si="144"/>
        <v>890576.15661008295</v>
      </c>
      <c r="U258" s="140">
        <f t="shared" si="144"/>
        <v>891363.91031881899</v>
      </c>
      <c r="V258" s="140">
        <f t="shared" si="144"/>
        <v>891502.97595349804</v>
      </c>
      <c r="W258" s="140">
        <f t="shared" si="144"/>
        <v>891147.50795809005</v>
      </c>
      <c r="X258" s="140">
        <f t="shared" si="144"/>
        <v>891338.10919818794</v>
      </c>
      <c r="Y258" s="140">
        <f t="shared" si="144"/>
        <v>891329.50913182902</v>
      </c>
      <c r="Z258" s="140">
        <f t="shared" si="144"/>
        <v>891271.70074054506</v>
      </c>
      <c r="AA258" s="140">
        <f t="shared" si="144"/>
        <v>891313.10545397305</v>
      </c>
      <c r="AB258" s="140">
        <f t="shared" si="144"/>
        <v>891304.77116106695</v>
      </c>
      <c r="AC258" s="140">
        <f t="shared" si="144"/>
        <v>891296.525453215</v>
      </c>
      <c r="AD258" s="140">
        <f t="shared" si="144"/>
        <v>891304.80064184603</v>
      </c>
      <c r="AE258" s="140">
        <f t="shared" si="144"/>
        <v>891302.03240296501</v>
      </c>
      <c r="AF258" s="140">
        <f t="shared" si="144"/>
        <v>891301.11948705802</v>
      </c>
      <c r="AG258" s="140">
        <f t="shared" si="144"/>
        <v>891302.65084141202</v>
      </c>
    </row>
    <row r="259" spans="1:33" ht="14.25" customHeight="1" x14ac:dyDescent="0.35">
      <c r="A259" s="21"/>
      <c r="B259" s="21"/>
      <c r="C259" s="21"/>
      <c r="D259" s="128" t="s">
        <v>4050</v>
      </c>
      <c r="E259" s="128"/>
      <c r="F259" s="21"/>
      <c r="G259" s="21"/>
      <c r="H259" s="21"/>
      <c r="I259" s="22" t="s">
        <v>3900</v>
      </c>
      <c r="J259" s="132"/>
      <c r="K259" s="132"/>
      <c r="L259" s="132"/>
      <c r="M259" s="132"/>
      <c r="N259" s="132"/>
      <c r="O259" s="132"/>
      <c r="P259" s="132"/>
      <c r="Q259" s="132"/>
      <c r="R259" s="140">
        <f>IF('Input Operasional'!Q7=0,0,R258/'Input Operasional'!Q7)</f>
        <v>34267.190547214574</v>
      </c>
      <c r="S259" s="140">
        <f>IF('Input Operasional'!R7=0,0,S258/'Input Operasional'!R7)</f>
        <v>33058.183568686218</v>
      </c>
      <c r="T259" s="140">
        <f>IF('Input Operasional'!S7=0,0,T258/'Input Operasional'!S7)</f>
        <v>34252.929100387802</v>
      </c>
      <c r="U259" s="140">
        <f>IF('Input Operasional'!T7=0,0,U258/'Input Operasional'!T7)</f>
        <v>33013.478159956256</v>
      </c>
      <c r="V259" s="140">
        <f>IF('Input Operasional'!U7=0,0,V258/'Input Operasional'!U7)</f>
        <v>33018.628739018444</v>
      </c>
      <c r="W259" s="140">
        <f>IF('Input Operasional'!V7=0,0,W258/'Input Operasional'!V7)</f>
        <v>37131.146164920421</v>
      </c>
      <c r="X259" s="140">
        <f>IF('Input Operasional'!W7=0,0,X258/'Input Operasional'!W7)</f>
        <v>33012.522562895851</v>
      </c>
      <c r="Y259" s="140">
        <f>IF('Input Operasional'!X7=0,0,Y258/'Input Operasional'!X7)</f>
        <v>34281.90419737804</v>
      </c>
      <c r="Z259" s="140">
        <f>IF('Input Operasional'!Y7=0,0,Z258/'Input Operasional'!Y7)</f>
        <v>33010.062990390557</v>
      </c>
      <c r="AA259" s="140">
        <f>IF('Input Operasional'!Z7=0,0,AA258/'Input Operasional'!Z7)</f>
        <v>34281.27328669127</v>
      </c>
      <c r="AB259" s="140">
        <f>IF('Input Operasional'!AA7=0,0,AB258/'Input Operasional'!AA7)</f>
        <v>33011.287820780257</v>
      </c>
      <c r="AC259" s="140">
        <f>IF('Input Operasional'!AB7=0,0,AC258/'Input Operasional'!AB7)</f>
        <v>33010.982424193149</v>
      </c>
      <c r="AD259" s="140">
        <f>IF('Input Operasional'!AC7=0,0,AD258/'Input Operasional'!AC7)</f>
        <v>34280.953870840232</v>
      </c>
      <c r="AE259" s="140">
        <f>IF('Input Operasional'!AD7=0,0,AE258/'Input Operasional'!AD7)</f>
        <v>33011.186385294997</v>
      </c>
      <c r="AF259" s="140">
        <f>IF('Input Operasional'!AE7=0,0,AF258/'Input Operasional'!AE7)</f>
        <v>34280.812287963767</v>
      </c>
      <c r="AG259" s="140">
        <f>IF('Input Operasional'!AF7=0,0,AG258/'Input Operasional'!AF7)</f>
        <v>33011.209290422667</v>
      </c>
    </row>
    <row r="260" spans="1:33" ht="14.25" customHeight="1" x14ac:dyDescent="0.35">
      <c r="A260" s="21"/>
      <c r="B260" s="21"/>
      <c r="C260" s="21"/>
      <c r="D260" s="128" t="s">
        <v>4051</v>
      </c>
      <c r="E260" s="128"/>
      <c r="F260" s="21"/>
      <c r="G260" s="21"/>
      <c r="H260" s="21"/>
      <c r="I260" s="22" t="s">
        <v>13</v>
      </c>
      <c r="J260" s="142"/>
      <c r="K260" s="142"/>
      <c r="L260" s="142"/>
      <c r="M260" s="142"/>
      <c r="N260" s="142"/>
      <c r="O260" s="142"/>
      <c r="P260" s="142"/>
      <c r="Q260" s="142"/>
      <c r="R260" s="126">
        <f>'Input Operasional'!Q164</f>
        <v>0</v>
      </c>
      <c r="S260" s="126">
        <f>'Input Operasional'!R164</f>
        <v>0</v>
      </c>
      <c r="T260" s="126">
        <f>'Input Operasional'!S164</f>
        <v>0</v>
      </c>
      <c r="U260" s="126">
        <f>'Input Operasional'!T164</f>
        <v>0</v>
      </c>
      <c r="V260" s="126">
        <f>'Input Operasional'!U164</f>
        <v>0</v>
      </c>
      <c r="W260" s="126">
        <f>'Input Operasional'!V164</f>
        <v>0</v>
      </c>
      <c r="X260" s="126">
        <f>'Input Operasional'!W164</f>
        <v>0</v>
      </c>
      <c r="Y260" s="126">
        <f>'Input Operasional'!X164</f>
        <v>0</v>
      </c>
      <c r="Z260" s="126">
        <f>'Input Operasional'!Y164</f>
        <v>0</v>
      </c>
      <c r="AA260" s="126">
        <f>'Input Operasional'!Z164</f>
        <v>0</v>
      </c>
      <c r="AB260" s="126">
        <f>'Input Operasional'!AA164</f>
        <v>0</v>
      </c>
      <c r="AC260" s="126">
        <f>'Input Operasional'!AB164</f>
        <v>0</v>
      </c>
      <c r="AD260" s="126">
        <f>'Input Operasional'!AC164</f>
        <v>0</v>
      </c>
      <c r="AE260" s="126">
        <f>'Input Operasional'!AD164</f>
        <v>0</v>
      </c>
      <c r="AF260" s="126">
        <f>'Input Operasional'!AE164</f>
        <v>0</v>
      </c>
      <c r="AG260" s="126">
        <f>'Input Operasional'!AF164</f>
        <v>0</v>
      </c>
    </row>
    <row r="261" spans="1:33" ht="14.25" customHeight="1" x14ac:dyDescent="0.35">
      <c r="A261" s="21"/>
      <c r="B261" s="21"/>
      <c r="C261" s="21"/>
      <c r="D261" s="128" t="s">
        <v>4052</v>
      </c>
      <c r="E261" s="128"/>
      <c r="F261" s="21"/>
      <c r="G261" s="21"/>
      <c r="H261" s="21"/>
      <c r="I261" s="22" t="s">
        <v>3900</v>
      </c>
      <c r="J261" s="132"/>
      <c r="K261" s="132"/>
      <c r="L261" s="132"/>
      <c r="M261" s="132"/>
      <c r="N261" s="132"/>
      <c r="O261" s="132"/>
      <c r="P261" s="132"/>
      <c r="Q261" s="132"/>
      <c r="R261" s="140">
        <f t="shared" ref="R261:AG261" si="145">R260*R258</f>
        <v>0</v>
      </c>
      <c r="S261" s="140">
        <f t="shared" si="145"/>
        <v>0</v>
      </c>
      <c r="T261" s="140">
        <f t="shared" si="145"/>
        <v>0</v>
      </c>
      <c r="U261" s="140">
        <f t="shared" si="145"/>
        <v>0</v>
      </c>
      <c r="V261" s="140">
        <f t="shared" si="145"/>
        <v>0</v>
      </c>
      <c r="W261" s="140">
        <f t="shared" si="145"/>
        <v>0</v>
      </c>
      <c r="X261" s="140">
        <f t="shared" si="145"/>
        <v>0</v>
      </c>
      <c r="Y261" s="140">
        <f t="shared" si="145"/>
        <v>0</v>
      </c>
      <c r="Z261" s="140">
        <f t="shared" si="145"/>
        <v>0</v>
      </c>
      <c r="AA261" s="140">
        <f t="shared" si="145"/>
        <v>0</v>
      </c>
      <c r="AB261" s="140">
        <f t="shared" si="145"/>
        <v>0</v>
      </c>
      <c r="AC261" s="140">
        <f t="shared" si="145"/>
        <v>0</v>
      </c>
      <c r="AD261" s="140">
        <f t="shared" si="145"/>
        <v>0</v>
      </c>
      <c r="AE261" s="140">
        <f t="shared" si="145"/>
        <v>0</v>
      </c>
      <c r="AF261" s="140">
        <f t="shared" si="145"/>
        <v>0</v>
      </c>
      <c r="AG261" s="140">
        <f t="shared" si="145"/>
        <v>0</v>
      </c>
    </row>
    <row r="262" spans="1:33" ht="14.25" customHeight="1" x14ac:dyDescent="0.35">
      <c r="A262" s="21"/>
      <c r="B262" s="21"/>
      <c r="C262" s="21"/>
      <c r="D262" s="128" t="s">
        <v>4053</v>
      </c>
      <c r="E262" s="128"/>
      <c r="F262" s="21"/>
      <c r="G262" s="21"/>
      <c r="H262" s="21"/>
      <c r="I262" s="22" t="s">
        <v>4054</v>
      </c>
      <c r="J262" s="132"/>
      <c r="K262" s="132"/>
      <c r="L262" s="132"/>
      <c r="M262" s="132"/>
      <c r="N262" s="132"/>
      <c r="O262" s="132"/>
      <c r="P262" s="132"/>
      <c r="Q262" s="132"/>
      <c r="R262" s="140">
        <f>'Input Operasional'!Q174</f>
        <v>0</v>
      </c>
      <c r="S262" s="140">
        <f>'Input Operasional'!R174</f>
        <v>0</v>
      </c>
      <c r="T262" s="140">
        <f>'Input Operasional'!S174</f>
        <v>0</v>
      </c>
      <c r="U262" s="140">
        <f>'Input Operasional'!T174</f>
        <v>0</v>
      </c>
      <c r="V262" s="140">
        <f>'Input Operasional'!U174</f>
        <v>0</v>
      </c>
      <c r="W262" s="140">
        <f>'Input Operasional'!V174</f>
        <v>0</v>
      </c>
      <c r="X262" s="140">
        <f>'Input Operasional'!W174</f>
        <v>0</v>
      </c>
      <c r="Y262" s="140">
        <f>'Input Operasional'!X174</f>
        <v>0</v>
      </c>
      <c r="Z262" s="140">
        <f>'Input Operasional'!Y174</f>
        <v>0</v>
      </c>
      <c r="AA262" s="140">
        <f>'Input Operasional'!Z174</f>
        <v>0</v>
      </c>
      <c r="AB262" s="140">
        <f>'Input Operasional'!AA174</f>
        <v>0</v>
      </c>
      <c r="AC262" s="140">
        <f>'Input Operasional'!AB174</f>
        <v>0</v>
      </c>
      <c r="AD262" s="140">
        <f>'Input Operasional'!AC174</f>
        <v>0</v>
      </c>
      <c r="AE262" s="140">
        <f>'Input Operasional'!AD174</f>
        <v>0</v>
      </c>
      <c r="AF262" s="140">
        <f>'Input Operasional'!AE174</f>
        <v>0</v>
      </c>
      <c r="AG262" s="140">
        <f>'Input Operasional'!AF174</f>
        <v>0</v>
      </c>
    </row>
    <row r="263" spans="1:33" ht="14.25" customHeight="1" x14ac:dyDescent="0.35">
      <c r="A263" s="21"/>
      <c r="B263" s="21"/>
      <c r="C263" s="21"/>
      <c r="D263" s="128" t="s">
        <v>4055</v>
      </c>
      <c r="E263" s="128"/>
      <c r="F263" s="21"/>
      <c r="G263" s="21"/>
      <c r="H263" s="21"/>
      <c r="I263" s="22" t="s">
        <v>3900</v>
      </c>
      <c r="J263" s="132"/>
      <c r="K263" s="132"/>
      <c r="L263" s="132"/>
      <c r="M263" s="132"/>
      <c r="N263" s="132"/>
      <c r="O263" s="132"/>
      <c r="P263" s="132"/>
      <c r="Q263" s="132"/>
      <c r="R263" s="140">
        <f t="shared" ref="R263:AG263" si="146">R261+R262*R259</f>
        <v>0</v>
      </c>
      <c r="S263" s="140">
        <f t="shared" si="146"/>
        <v>0</v>
      </c>
      <c r="T263" s="140">
        <f t="shared" si="146"/>
        <v>0</v>
      </c>
      <c r="U263" s="140">
        <f t="shared" si="146"/>
        <v>0</v>
      </c>
      <c r="V263" s="140">
        <f t="shared" si="146"/>
        <v>0</v>
      </c>
      <c r="W263" s="140">
        <f t="shared" si="146"/>
        <v>0</v>
      </c>
      <c r="X263" s="140">
        <f t="shared" si="146"/>
        <v>0</v>
      </c>
      <c r="Y263" s="140">
        <f t="shared" si="146"/>
        <v>0</v>
      </c>
      <c r="Z263" s="140">
        <f t="shared" si="146"/>
        <v>0</v>
      </c>
      <c r="AA263" s="140">
        <f t="shared" si="146"/>
        <v>0</v>
      </c>
      <c r="AB263" s="140">
        <f t="shared" si="146"/>
        <v>0</v>
      </c>
      <c r="AC263" s="140">
        <f t="shared" si="146"/>
        <v>0</v>
      </c>
      <c r="AD263" s="140">
        <f t="shared" si="146"/>
        <v>0</v>
      </c>
      <c r="AE263" s="140">
        <f t="shared" si="146"/>
        <v>0</v>
      </c>
      <c r="AF263" s="140">
        <f t="shared" si="146"/>
        <v>0</v>
      </c>
      <c r="AG263" s="140">
        <f t="shared" si="146"/>
        <v>0</v>
      </c>
    </row>
    <row r="264" spans="1:33" ht="14.25" customHeight="1" x14ac:dyDescent="0.35">
      <c r="A264" s="21"/>
      <c r="B264" s="21"/>
      <c r="C264" s="21"/>
      <c r="D264" s="128" t="s">
        <v>4056</v>
      </c>
      <c r="E264" s="128"/>
      <c r="F264" s="21"/>
      <c r="G264" s="21"/>
      <c r="H264" s="21"/>
      <c r="I264" s="22" t="s">
        <v>3900</v>
      </c>
      <c r="J264" s="132">
        <v>0</v>
      </c>
      <c r="K264" s="132">
        <v>0</v>
      </c>
      <c r="L264" s="132">
        <v>0</v>
      </c>
      <c r="M264" s="132">
        <v>0</v>
      </c>
      <c r="N264" s="132">
        <v>0</v>
      </c>
      <c r="O264" s="132">
        <v>0</v>
      </c>
      <c r="P264" s="132">
        <v>0</v>
      </c>
      <c r="Q264" s="132">
        <v>0</v>
      </c>
      <c r="R264" s="140">
        <v>0</v>
      </c>
      <c r="S264" s="140">
        <f t="shared" ref="S264:AG264" si="147">R266</f>
        <v>0</v>
      </c>
      <c r="T264" s="140">
        <f t="shared" si="147"/>
        <v>0</v>
      </c>
      <c r="U264" s="140">
        <f t="shared" si="147"/>
        <v>0</v>
      </c>
      <c r="V264" s="140">
        <f t="shared" si="147"/>
        <v>0</v>
      </c>
      <c r="W264" s="140">
        <f t="shared" si="147"/>
        <v>0</v>
      </c>
      <c r="X264" s="140">
        <f t="shared" si="147"/>
        <v>0</v>
      </c>
      <c r="Y264" s="140">
        <f t="shared" si="147"/>
        <v>0</v>
      </c>
      <c r="Z264" s="140">
        <f t="shared" si="147"/>
        <v>0</v>
      </c>
      <c r="AA264" s="140">
        <f t="shared" si="147"/>
        <v>0</v>
      </c>
      <c r="AB264" s="140">
        <f t="shared" si="147"/>
        <v>0</v>
      </c>
      <c r="AC264" s="140">
        <f t="shared" si="147"/>
        <v>0</v>
      </c>
      <c r="AD264" s="140">
        <f t="shared" si="147"/>
        <v>0</v>
      </c>
      <c r="AE264" s="140">
        <f t="shared" si="147"/>
        <v>0</v>
      </c>
      <c r="AF264" s="140">
        <f t="shared" si="147"/>
        <v>0</v>
      </c>
      <c r="AG264" s="140">
        <f t="shared" si="147"/>
        <v>0</v>
      </c>
    </row>
    <row r="265" spans="1:33" ht="14.25" customHeight="1" x14ac:dyDescent="0.35">
      <c r="A265" s="21"/>
      <c r="B265" s="21"/>
      <c r="C265" s="21"/>
      <c r="D265" s="128" t="s">
        <v>4057</v>
      </c>
      <c r="E265" s="128"/>
      <c r="F265" s="21"/>
      <c r="G265" s="21"/>
      <c r="H265" s="21"/>
      <c r="I265" s="22" t="s">
        <v>3900</v>
      </c>
      <c r="J265" s="132">
        <v>1169920</v>
      </c>
      <c r="K265" s="132">
        <v>1104650</v>
      </c>
      <c r="L265" s="132">
        <v>853720</v>
      </c>
      <c r="M265" s="132">
        <v>820350</v>
      </c>
      <c r="N265" s="132">
        <v>945690</v>
      </c>
      <c r="O265" s="132">
        <v>942930</v>
      </c>
      <c r="P265" s="132">
        <v>837955</v>
      </c>
      <c r="Q265" s="132">
        <v>655527.6</v>
      </c>
      <c r="R265" s="140">
        <f t="shared" ref="R265:AG265" si="148">MAX(0,R258+R263-R264)</f>
        <v>890946.95422757894</v>
      </c>
      <c r="S265" s="140">
        <f t="shared" si="148"/>
        <v>892570.95635452797</v>
      </c>
      <c r="T265" s="140">
        <f t="shared" si="148"/>
        <v>890576.15661008295</v>
      </c>
      <c r="U265" s="140">
        <f t="shared" si="148"/>
        <v>891363.91031881899</v>
      </c>
      <c r="V265" s="140">
        <f t="shared" si="148"/>
        <v>891502.97595349804</v>
      </c>
      <c r="W265" s="140">
        <f t="shared" si="148"/>
        <v>891147.50795809005</v>
      </c>
      <c r="X265" s="140">
        <f t="shared" si="148"/>
        <v>891338.10919818794</v>
      </c>
      <c r="Y265" s="140">
        <f t="shared" si="148"/>
        <v>891329.50913182902</v>
      </c>
      <c r="Z265" s="140">
        <f t="shared" si="148"/>
        <v>891271.70074054506</v>
      </c>
      <c r="AA265" s="140">
        <f t="shared" si="148"/>
        <v>891313.10545397305</v>
      </c>
      <c r="AB265" s="140">
        <f t="shared" si="148"/>
        <v>891304.77116106695</v>
      </c>
      <c r="AC265" s="140">
        <f t="shared" si="148"/>
        <v>891296.525453215</v>
      </c>
      <c r="AD265" s="140">
        <f t="shared" si="148"/>
        <v>891304.80064184603</v>
      </c>
      <c r="AE265" s="140">
        <f t="shared" si="148"/>
        <v>891302.03240296501</v>
      </c>
      <c r="AF265" s="140">
        <f t="shared" si="148"/>
        <v>891301.11948705802</v>
      </c>
      <c r="AG265" s="140">
        <f t="shared" si="148"/>
        <v>891302.65084141202</v>
      </c>
    </row>
    <row r="266" spans="1:33" ht="14.25" customHeight="1" x14ac:dyDescent="0.35">
      <c r="A266" s="21"/>
      <c r="B266" s="21"/>
      <c r="C266" s="21"/>
      <c r="D266" s="128" t="s">
        <v>4058</v>
      </c>
      <c r="E266" s="128"/>
      <c r="F266" s="21"/>
      <c r="G266" s="21"/>
      <c r="H266" s="21"/>
      <c r="I266" s="22" t="s">
        <v>3900</v>
      </c>
      <c r="J266" s="132">
        <v>0</v>
      </c>
      <c r="K266" s="132">
        <v>0</v>
      </c>
      <c r="L266" s="132">
        <v>0</v>
      </c>
      <c r="M266" s="132">
        <v>0</v>
      </c>
      <c r="N266" s="132">
        <v>0</v>
      </c>
      <c r="O266" s="132">
        <v>0</v>
      </c>
      <c r="P266" s="132">
        <v>0</v>
      </c>
      <c r="Q266" s="132">
        <v>0</v>
      </c>
      <c r="R266" s="140">
        <f t="shared" ref="R266:AG266" si="149">R264+R265-R258</f>
        <v>0</v>
      </c>
      <c r="S266" s="140">
        <f t="shared" si="149"/>
        <v>0</v>
      </c>
      <c r="T266" s="140">
        <f t="shared" si="149"/>
        <v>0</v>
      </c>
      <c r="U266" s="140">
        <f t="shared" si="149"/>
        <v>0</v>
      </c>
      <c r="V266" s="140">
        <f t="shared" si="149"/>
        <v>0</v>
      </c>
      <c r="W266" s="140">
        <f t="shared" si="149"/>
        <v>0</v>
      </c>
      <c r="X266" s="140">
        <f t="shared" si="149"/>
        <v>0</v>
      </c>
      <c r="Y266" s="140">
        <f t="shared" si="149"/>
        <v>0</v>
      </c>
      <c r="Z266" s="140">
        <f t="shared" si="149"/>
        <v>0</v>
      </c>
      <c r="AA266" s="140">
        <f t="shared" si="149"/>
        <v>0</v>
      </c>
      <c r="AB266" s="140">
        <f t="shared" si="149"/>
        <v>0</v>
      </c>
      <c r="AC266" s="140">
        <f t="shared" si="149"/>
        <v>0</v>
      </c>
      <c r="AD266" s="140">
        <f t="shared" si="149"/>
        <v>0</v>
      </c>
      <c r="AE266" s="140">
        <f t="shared" si="149"/>
        <v>0</v>
      </c>
      <c r="AF266" s="140">
        <f t="shared" si="149"/>
        <v>0</v>
      </c>
      <c r="AG266" s="140">
        <f t="shared" si="149"/>
        <v>0</v>
      </c>
    </row>
    <row r="267" spans="1:33" ht="14.25" customHeight="1" x14ac:dyDescent="0.35">
      <c r="A267" s="21"/>
      <c r="B267" s="21"/>
      <c r="C267" s="21"/>
      <c r="D267" s="128" t="s">
        <v>4059</v>
      </c>
      <c r="E267" s="128"/>
      <c r="F267" s="21"/>
      <c r="G267" s="21"/>
      <c r="H267" s="21"/>
      <c r="I267" s="22" t="s">
        <v>3915</v>
      </c>
      <c r="J267" s="132">
        <v>1868.9024999999999</v>
      </c>
      <c r="K267" s="132">
        <v>1886.7560000000001</v>
      </c>
      <c r="L267" s="132">
        <v>1906.3189</v>
      </c>
      <c r="M267" s="132">
        <v>2001.6041</v>
      </c>
      <c r="N267" s="132">
        <v>2202.9720000000002</v>
      </c>
      <c r="O267" s="132">
        <v>2600.1174999999998</v>
      </c>
      <c r="P267" s="132">
        <v>2757.9522999999999</v>
      </c>
      <c r="Q267" s="132">
        <v>2673.5488999999998</v>
      </c>
      <c r="R267" s="140">
        <v>2950</v>
      </c>
      <c r="S267" s="140">
        <v>3000</v>
      </c>
      <c r="T267" s="140">
        <v>3100</v>
      </c>
      <c r="U267" s="140">
        <v>3100</v>
      </c>
      <c r="V267" s="140">
        <v>3100</v>
      </c>
      <c r="W267" s="140">
        <v>3100</v>
      </c>
      <c r="X267" s="140">
        <v>3100</v>
      </c>
      <c r="Y267" s="140">
        <v>3100</v>
      </c>
      <c r="Z267" s="140">
        <v>3100</v>
      </c>
      <c r="AA267" s="140">
        <v>3100</v>
      </c>
      <c r="AB267" s="140">
        <v>3100</v>
      </c>
      <c r="AC267" s="140">
        <v>3100</v>
      </c>
      <c r="AD267" s="140">
        <v>3100</v>
      </c>
      <c r="AE267" s="140">
        <v>3100</v>
      </c>
      <c r="AF267" s="140">
        <v>3100</v>
      </c>
      <c r="AG267" s="140">
        <v>3100</v>
      </c>
    </row>
    <row r="268" spans="1:33" ht="14.25" customHeight="1" x14ac:dyDescent="0.35">
      <c r="A268" s="21"/>
      <c r="B268" s="21"/>
      <c r="C268" s="21"/>
      <c r="D268" s="128" t="s">
        <v>4056</v>
      </c>
      <c r="E268" s="128"/>
      <c r="F268" s="21"/>
      <c r="G268" s="21"/>
      <c r="H268" s="21"/>
      <c r="I268" s="22" t="s">
        <v>4060</v>
      </c>
      <c r="J268" s="148">
        <v>-672.74</v>
      </c>
      <c r="K268" s="148">
        <v>-752.59</v>
      </c>
      <c r="L268" s="148">
        <v>-836.29</v>
      </c>
      <c r="M268" s="148">
        <v>-799.58</v>
      </c>
      <c r="N268" s="148">
        <v>-747.27</v>
      </c>
      <c r="O268" s="148">
        <v>-712.76</v>
      </c>
      <c r="P268" s="148">
        <v>-636.9</v>
      </c>
      <c r="Q268" s="148">
        <v>-659.96</v>
      </c>
      <c r="R268" s="149">
        <v>-675</v>
      </c>
      <c r="S268" s="149">
        <f t="shared" ref="S268:AG268" si="150">R272</f>
        <v>0</v>
      </c>
      <c r="T268" s="149">
        <f t="shared" si="150"/>
        <v>0</v>
      </c>
      <c r="U268" s="149">
        <f t="shared" si="150"/>
        <v>0</v>
      </c>
      <c r="V268" s="149">
        <f t="shared" si="150"/>
        <v>0</v>
      </c>
      <c r="W268" s="149">
        <f t="shared" si="150"/>
        <v>0</v>
      </c>
      <c r="X268" s="149">
        <f t="shared" si="150"/>
        <v>0</v>
      </c>
      <c r="Y268" s="149">
        <f t="shared" si="150"/>
        <v>0</v>
      </c>
      <c r="Z268" s="149">
        <f t="shared" si="150"/>
        <v>0</v>
      </c>
      <c r="AA268" s="149">
        <f t="shared" si="150"/>
        <v>0</v>
      </c>
      <c r="AB268" s="149">
        <f t="shared" si="150"/>
        <v>0</v>
      </c>
      <c r="AC268" s="149">
        <f t="shared" si="150"/>
        <v>0</v>
      </c>
      <c r="AD268" s="149">
        <f t="shared" si="150"/>
        <v>0</v>
      </c>
      <c r="AE268" s="149">
        <f t="shared" si="150"/>
        <v>0</v>
      </c>
      <c r="AF268" s="149">
        <f t="shared" si="150"/>
        <v>0</v>
      </c>
      <c r="AG268" s="149">
        <f t="shared" si="150"/>
        <v>0</v>
      </c>
    </row>
    <row r="269" spans="1:33" ht="14.25" customHeight="1" x14ac:dyDescent="0.35">
      <c r="A269" s="21"/>
      <c r="B269" s="21"/>
      <c r="C269" s="21"/>
      <c r="D269" s="128" t="s">
        <v>4057</v>
      </c>
      <c r="E269" s="128"/>
      <c r="F269" s="21"/>
      <c r="G269" s="21"/>
      <c r="H269" s="21"/>
      <c r="I269" s="22" t="s">
        <v>4060</v>
      </c>
      <c r="J269" s="148">
        <v>2186466449.9499998</v>
      </c>
      <c r="K269" s="148">
        <v>2084205042.1600001</v>
      </c>
      <c r="L269" s="148">
        <v>1627462608.02</v>
      </c>
      <c r="M269" s="148">
        <v>1642015893.71</v>
      </c>
      <c r="N269" s="148">
        <v>2083328625.1900001</v>
      </c>
      <c r="O269" s="148">
        <v>2451728775.8400002</v>
      </c>
      <c r="P269" s="148">
        <v>2311039896.5</v>
      </c>
      <c r="Q269" s="148">
        <v>1752585078.6099999</v>
      </c>
      <c r="R269" s="149">
        <f t="shared" ref="R269:AG269" si="151">R265*R267</f>
        <v>2628293514.9713578</v>
      </c>
      <c r="S269" s="149">
        <f t="shared" si="151"/>
        <v>2677712869.0635839</v>
      </c>
      <c r="T269" s="149">
        <f t="shared" si="151"/>
        <v>2760786085.4912572</v>
      </c>
      <c r="U269" s="149">
        <f t="shared" si="151"/>
        <v>2763228121.9883389</v>
      </c>
      <c r="V269" s="149">
        <f t="shared" si="151"/>
        <v>2763659225.4558439</v>
      </c>
      <c r="W269" s="149">
        <f t="shared" si="151"/>
        <v>2762557274.6700792</v>
      </c>
      <c r="X269" s="149">
        <f t="shared" si="151"/>
        <v>2763148138.5143828</v>
      </c>
      <c r="Y269" s="149">
        <f t="shared" si="151"/>
        <v>2763121478.30867</v>
      </c>
      <c r="Z269" s="149">
        <f t="shared" si="151"/>
        <v>2762942272.2956896</v>
      </c>
      <c r="AA269" s="149">
        <f t="shared" si="151"/>
        <v>2763070626.9073167</v>
      </c>
      <c r="AB269" s="149">
        <f t="shared" si="151"/>
        <v>2763044790.5993075</v>
      </c>
      <c r="AC269" s="149">
        <f t="shared" si="151"/>
        <v>2763019228.9049664</v>
      </c>
      <c r="AD269" s="149">
        <f t="shared" si="151"/>
        <v>2763044881.9897227</v>
      </c>
      <c r="AE269" s="149">
        <f t="shared" si="151"/>
        <v>2763036300.4491916</v>
      </c>
      <c r="AF269" s="149">
        <f t="shared" si="151"/>
        <v>2763033470.4098797</v>
      </c>
      <c r="AG269" s="149">
        <f t="shared" si="151"/>
        <v>2763038217.6083775</v>
      </c>
    </row>
    <row r="270" spans="1:33" ht="14.25" customHeight="1" x14ac:dyDescent="0.35">
      <c r="A270" s="21"/>
      <c r="B270" s="21"/>
      <c r="C270" s="21"/>
      <c r="D270" s="128" t="s">
        <v>4061</v>
      </c>
      <c r="E270" s="128"/>
      <c r="F270" s="21"/>
      <c r="G270" s="21"/>
      <c r="H270" s="21"/>
      <c r="I270" s="22" t="s">
        <v>3915</v>
      </c>
      <c r="J270" s="132">
        <v>1868.9025999999999</v>
      </c>
      <c r="K270" s="132">
        <v>1886.7561000000001</v>
      </c>
      <c r="L270" s="132">
        <v>1906.3189</v>
      </c>
      <c r="M270" s="132">
        <v>2001.604</v>
      </c>
      <c r="N270" s="132">
        <v>2202.9720000000002</v>
      </c>
      <c r="O270" s="132">
        <v>2600.1174000000001</v>
      </c>
      <c r="P270" s="132">
        <v>2757.9522999999999</v>
      </c>
      <c r="Q270" s="132">
        <v>2673.5488999999998</v>
      </c>
      <c r="R270" s="140">
        <f t="shared" ref="R270:AG270" si="152">IF((R264+R265)=0,R267,(R268+R269)/(R264+R265))</f>
        <v>2949.9992423791373</v>
      </c>
      <c r="S270" s="140">
        <f t="shared" si="152"/>
        <v>3000</v>
      </c>
      <c r="T270" s="140">
        <f t="shared" si="152"/>
        <v>3100</v>
      </c>
      <c r="U270" s="140">
        <f t="shared" si="152"/>
        <v>3100</v>
      </c>
      <c r="V270" s="140">
        <f t="shared" si="152"/>
        <v>3100</v>
      </c>
      <c r="W270" s="140">
        <f t="shared" si="152"/>
        <v>3100</v>
      </c>
      <c r="X270" s="140">
        <f t="shared" si="152"/>
        <v>3100.0000000000005</v>
      </c>
      <c r="Y270" s="140">
        <f t="shared" si="152"/>
        <v>3100</v>
      </c>
      <c r="Z270" s="140">
        <f t="shared" si="152"/>
        <v>3100</v>
      </c>
      <c r="AA270" s="140">
        <f t="shared" si="152"/>
        <v>3100.0000000000005</v>
      </c>
      <c r="AB270" s="140">
        <f t="shared" si="152"/>
        <v>3100</v>
      </c>
      <c r="AC270" s="140">
        <f t="shared" si="152"/>
        <v>3100</v>
      </c>
      <c r="AD270" s="140">
        <f t="shared" si="152"/>
        <v>3100</v>
      </c>
      <c r="AE270" s="140">
        <f t="shared" si="152"/>
        <v>3100</v>
      </c>
      <c r="AF270" s="140">
        <f t="shared" si="152"/>
        <v>3100</v>
      </c>
      <c r="AG270" s="140">
        <f t="shared" si="152"/>
        <v>3100</v>
      </c>
    </row>
    <row r="271" spans="1:33" ht="14.25" customHeight="1" x14ac:dyDescent="0.35">
      <c r="A271" s="21"/>
      <c r="B271" s="21"/>
      <c r="C271" s="21"/>
      <c r="D271" s="128" t="s">
        <v>4049</v>
      </c>
      <c r="E271" s="128"/>
      <c r="F271" s="21"/>
      <c r="G271" s="21"/>
      <c r="H271" s="21"/>
      <c r="I271" s="22" t="s">
        <v>4060</v>
      </c>
      <c r="J271" s="148">
        <v>2186466529.79</v>
      </c>
      <c r="K271" s="148">
        <v>2084205125.8699999</v>
      </c>
      <c r="L271" s="148">
        <v>1627462571.3099999</v>
      </c>
      <c r="M271" s="148">
        <v>1642015841.4000001</v>
      </c>
      <c r="N271" s="148">
        <v>2083328590.6800001</v>
      </c>
      <c r="O271" s="148">
        <v>2451728699.98</v>
      </c>
      <c r="P271" s="148">
        <v>2311039919.5500002</v>
      </c>
      <c r="Q271" s="148">
        <v>1752585093.9000001</v>
      </c>
      <c r="R271" s="149">
        <f t="shared" ref="R271:AG271" si="153">R258*R270</f>
        <v>2628292839.9713578</v>
      </c>
      <c r="S271" s="149">
        <f t="shared" si="153"/>
        <v>2677712869.0635839</v>
      </c>
      <c r="T271" s="149">
        <f t="shared" si="153"/>
        <v>2760786085.4912572</v>
      </c>
      <c r="U271" s="149">
        <f t="shared" si="153"/>
        <v>2763228121.9883389</v>
      </c>
      <c r="V271" s="149">
        <f t="shared" si="153"/>
        <v>2763659225.4558439</v>
      </c>
      <c r="W271" s="149">
        <f t="shared" si="153"/>
        <v>2762557274.6700792</v>
      </c>
      <c r="X271" s="149">
        <f t="shared" si="153"/>
        <v>2763148138.5143828</v>
      </c>
      <c r="Y271" s="149">
        <f t="shared" si="153"/>
        <v>2763121478.30867</v>
      </c>
      <c r="Z271" s="149">
        <f t="shared" si="153"/>
        <v>2762942272.2956896</v>
      </c>
      <c r="AA271" s="149">
        <f t="shared" si="153"/>
        <v>2763070626.9073167</v>
      </c>
      <c r="AB271" s="149">
        <f t="shared" si="153"/>
        <v>2763044790.5993075</v>
      </c>
      <c r="AC271" s="149">
        <f t="shared" si="153"/>
        <v>2763019228.9049664</v>
      </c>
      <c r="AD271" s="149">
        <f t="shared" si="153"/>
        <v>2763044881.9897227</v>
      </c>
      <c r="AE271" s="149">
        <f t="shared" si="153"/>
        <v>2763036300.4491916</v>
      </c>
      <c r="AF271" s="149">
        <f t="shared" si="153"/>
        <v>2763033470.4098797</v>
      </c>
      <c r="AG271" s="149">
        <f t="shared" si="153"/>
        <v>2763038217.6083775</v>
      </c>
    </row>
    <row r="272" spans="1:33" ht="14.25" customHeight="1" x14ac:dyDescent="0.35">
      <c r="A272" s="21"/>
      <c r="B272" s="21"/>
      <c r="C272" s="21"/>
      <c r="D272" s="128" t="s">
        <v>4058</v>
      </c>
      <c r="E272" s="128"/>
      <c r="F272" s="21"/>
      <c r="G272" s="21"/>
      <c r="H272" s="21"/>
      <c r="I272" s="22" t="s">
        <v>4060</v>
      </c>
      <c r="J272" s="148">
        <v>-752.59</v>
      </c>
      <c r="K272" s="148">
        <v>-836.29</v>
      </c>
      <c r="L272" s="148">
        <v>-799.58</v>
      </c>
      <c r="M272" s="148">
        <v>-747.27</v>
      </c>
      <c r="N272" s="148">
        <v>-712.76</v>
      </c>
      <c r="O272" s="148">
        <v>-636.9</v>
      </c>
      <c r="P272" s="148">
        <v>-659.96</v>
      </c>
      <c r="Q272" s="148">
        <v>-675.25</v>
      </c>
      <c r="R272" s="149">
        <f t="shared" ref="R272:AG272" si="154">R268+R269-R271</f>
        <v>0</v>
      </c>
      <c r="S272" s="149">
        <f t="shared" si="154"/>
        <v>0</v>
      </c>
      <c r="T272" s="149">
        <f t="shared" si="154"/>
        <v>0</v>
      </c>
      <c r="U272" s="149">
        <f t="shared" si="154"/>
        <v>0</v>
      </c>
      <c r="V272" s="149">
        <f t="shared" si="154"/>
        <v>0</v>
      </c>
      <c r="W272" s="149">
        <f t="shared" si="154"/>
        <v>0</v>
      </c>
      <c r="X272" s="149">
        <f t="shared" si="154"/>
        <v>0</v>
      </c>
      <c r="Y272" s="149">
        <f t="shared" si="154"/>
        <v>0</v>
      </c>
      <c r="Z272" s="149">
        <f t="shared" si="154"/>
        <v>0</v>
      </c>
      <c r="AA272" s="149">
        <f t="shared" si="154"/>
        <v>0</v>
      </c>
      <c r="AB272" s="149">
        <f t="shared" si="154"/>
        <v>0</v>
      </c>
      <c r="AC272" s="149">
        <f t="shared" si="154"/>
        <v>0</v>
      </c>
      <c r="AD272" s="149">
        <f t="shared" si="154"/>
        <v>0</v>
      </c>
      <c r="AE272" s="149">
        <f t="shared" si="154"/>
        <v>0</v>
      </c>
      <c r="AF272" s="149">
        <f t="shared" si="154"/>
        <v>0</v>
      </c>
      <c r="AG272" s="149">
        <f t="shared" si="154"/>
        <v>0</v>
      </c>
    </row>
    <row r="273" spans="1:33" s="79" customFormat="1" ht="14.25" customHeight="1" x14ac:dyDescent="0.35">
      <c r="A273" s="168"/>
      <c r="B273" s="167" t="s">
        <v>4062</v>
      </c>
      <c r="C273" s="167" t="s">
        <v>4063</v>
      </c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  <c r="Z273" s="168"/>
      <c r="AA273" s="168"/>
      <c r="AB273" s="168"/>
      <c r="AC273" s="168"/>
      <c r="AD273" s="168"/>
      <c r="AE273" s="168"/>
      <c r="AF273" s="168"/>
      <c r="AG273" s="168"/>
    </row>
    <row r="274" spans="1:33" ht="14.25" customHeight="1" x14ac:dyDescent="0.35">
      <c r="A274" s="21"/>
      <c r="B274" s="21"/>
      <c r="C274" s="21"/>
      <c r="D274" s="128" t="s">
        <v>4049</v>
      </c>
      <c r="E274" s="128"/>
      <c r="F274" s="21"/>
      <c r="G274" s="21"/>
      <c r="H274" s="21"/>
      <c r="I274" s="22" t="s">
        <v>3900</v>
      </c>
      <c r="J274" s="132">
        <v>0</v>
      </c>
      <c r="K274" s="132">
        <v>0</v>
      </c>
      <c r="L274" s="132">
        <v>0</v>
      </c>
      <c r="M274" s="132">
        <v>16530</v>
      </c>
      <c r="N274" s="132">
        <v>0</v>
      </c>
      <c r="O274" s="132">
        <v>0</v>
      </c>
      <c r="P274" s="132">
        <v>68520</v>
      </c>
      <c r="Q274" s="132">
        <v>316290</v>
      </c>
      <c r="R274" s="140">
        <f t="shared" ref="R274:AG274" si="155">R435</f>
        <v>50167.5</v>
      </c>
      <c r="S274" s="140">
        <f t="shared" si="155"/>
        <v>50167.5</v>
      </c>
      <c r="T274" s="140">
        <f t="shared" si="155"/>
        <v>50167.5</v>
      </c>
      <c r="U274" s="140">
        <f t="shared" si="155"/>
        <v>50167.5</v>
      </c>
      <c r="V274" s="140">
        <f t="shared" si="155"/>
        <v>50167.5</v>
      </c>
      <c r="W274" s="140">
        <f t="shared" si="155"/>
        <v>50167.5</v>
      </c>
      <c r="X274" s="140">
        <f t="shared" si="155"/>
        <v>50167.5</v>
      </c>
      <c r="Y274" s="140">
        <f t="shared" si="155"/>
        <v>50167.5</v>
      </c>
      <c r="Z274" s="140">
        <f t="shared" si="155"/>
        <v>50167.5</v>
      </c>
      <c r="AA274" s="140">
        <f t="shared" si="155"/>
        <v>50167.5</v>
      </c>
      <c r="AB274" s="140">
        <f t="shared" si="155"/>
        <v>50167.5</v>
      </c>
      <c r="AC274" s="140">
        <f t="shared" si="155"/>
        <v>50167.5</v>
      </c>
      <c r="AD274" s="140">
        <f t="shared" si="155"/>
        <v>50167.5</v>
      </c>
      <c r="AE274" s="140">
        <f t="shared" si="155"/>
        <v>50167.5</v>
      </c>
      <c r="AF274" s="140">
        <f t="shared" si="155"/>
        <v>50167.5</v>
      </c>
      <c r="AG274" s="140">
        <f t="shared" si="155"/>
        <v>50167.5</v>
      </c>
    </row>
    <row r="275" spans="1:33" ht="14.25" customHeight="1" x14ac:dyDescent="0.35">
      <c r="A275" s="21"/>
      <c r="B275" s="21"/>
      <c r="C275" s="21"/>
      <c r="D275" s="128" t="s">
        <v>4050</v>
      </c>
      <c r="E275" s="128"/>
      <c r="F275" s="21"/>
      <c r="G275" s="21"/>
      <c r="H275" s="21"/>
      <c r="I275" s="22" t="s">
        <v>3900</v>
      </c>
      <c r="J275" s="132"/>
      <c r="K275" s="132"/>
      <c r="L275" s="132"/>
      <c r="M275" s="132"/>
      <c r="N275" s="132"/>
      <c r="O275" s="132"/>
      <c r="P275" s="132"/>
      <c r="Q275" s="132"/>
      <c r="R275" s="140">
        <f>IF('Input Operasional'!Q7=0,0,R274/'Input Operasional'!Q7)</f>
        <v>1929.5192307692307</v>
      </c>
      <c r="S275" s="140">
        <f>IF('Input Operasional'!R7=0,0,S274/'Input Operasional'!R7)</f>
        <v>1858.0555555555557</v>
      </c>
      <c r="T275" s="140">
        <f>IF('Input Operasional'!S7=0,0,T274/'Input Operasional'!S7)</f>
        <v>1929.5192307692307</v>
      </c>
      <c r="U275" s="140">
        <f>IF('Input Operasional'!T7=0,0,U274/'Input Operasional'!T7)</f>
        <v>1858.0555555555557</v>
      </c>
      <c r="V275" s="140">
        <f>IF('Input Operasional'!U7=0,0,V274/'Input Operasional'!U7)</f>
        <v>1858.0555555555557</v>
      </c>
      <c r="W275" s="140">
        <f>IF('Input Operasional'!V7=0,0,W274/'Input Operasional'!V7)</f>
        <v>2090.3125</v>
      </c>
      <c r="X275" s="140">
        <f>IF('Input Operasional'!W7=0,0,X274/'Input Operasional'!W7)</f>
        <v>1858.0555555555557</v>
      </c>
      <c r="Y275" s="140">
        <f>IF('Input Operasional'!X7=0,0,Y274/'Input Operasional'!X7)</f>
        <v>1929.5192307692307</v>
      </c>
      <c r="Z275" s="140">
        <f>IF('Input Operasional'!Y7=0,0,Z274/'Input Operasional'!Y7)</f>
        <v>1858.0555555555557</v>
      </c>
      <c r="AA275" s="140">
        <f>IF('Input Operasional'!Z7=0,0,AA274/'Input Operasional'!Z7)</f>
        <v>1929.5192307692307</v>
      </c>
      <c r="AB275" s="140">
        <f>IF('Input Operasional'!AA7=0,0,AB274/'Input Operasional'!AA7)</f>
        <v>1858.0555555555557</v>
      </c>
      <c r="AC275" s="140">
        <f>IF('Input Operasional'!AB7=0,0,AC274/'Input Operasional'!AB7)</f>
        <v>1858.0555555555557</v>
      </c>
      <c r="AD275" s="140">
        <f>IF('Input Operasional'!AC7=0,0,AD274/'Input Operasional'!AC7)</f>
        <v>1929.5192307692307</v>
      </c>
      <c r="AE275" s="140">
        <f>IF('Input Operasional'!AD7=0,0,AE274/'Input Operasional'!AD7)</f>
        <v>1858.0555555555557</v>
      </c>
      <c r="AF275" s="140">
        <f>IF('Input Operasional'!AE7=0,0,AF274/'Input Operasional'!AE7)</f>
        <v>1929.5192307692307</v>
      </c>
      <c r="AG275" s="140">
        <f>IF('Input Operasional'!AF7=0,0,AG274/'Input Operasional'!AF7)</f>
        <v>1858.0555555555557</v>
      </c>
    </row>
    <row r="276" spans="1:33" ht="14.25" customHeight="1" x14ac:dyDescent="0.35">
      <c r="A276" s="21"/>
      <c r="B276" s="21"/>
      <c r="C276" s="21"/>
      <c r="D276" s="128" t="s">
        <v>4051</v>
      </c>
      <c r="E276" s="128"/>
      <c r="F276" s="21"/>
      <c r="G276" s="21"/>
      <c r="H276" s="21"/>
      <c r="I276" s="22" t="s">
        <v>13</v>
      </c>
      <c r="J276" s="142"/>
      <c r="K276" s="142"/>
      <c r="L276" s="142"/>
      <c r="M276" s="142"/>
      <c r="N276" s="142"/>
      <c r="O276" s="142"/>
      <c r="P276" s="142"/>
      <c r="Q276" s="142"/>
      <c r="R276" s="126">
        <f>'Input Operasional'!Q165</f>
        <v>0</v>
      </c>
      <c r="S276" s="126">
        <f>'Input Operasional'!R165</f>
        <v>0</v>
      </c>
      <c r="T276" s="126">
        <f>'Input Operasional'!S165</f>
        <v>0</v>
      </c>
      <c r="U276" s="126">
        <f>'Input Operasional'!T165</f>
        <v>0</v>
      </c>
      <c r="V276" s="126">
        <f>'Input Operasional'!U165</f>
        <v>0</v>
      </c>
      <c r="W276" s="126">
        <f>'Input Operasional'!V165</f>
        <v>0</v>
      </c>
      <c r="X276" s="126">
        <f>'Input Operasional'!W165</f>
        <v>0</v>
      </c>
      <c r="Y276" s="126">
        <f>'Input Operasional'!X165</f>
        <v>0</v>
      </c>
      <c r="Z276" s="126">
        <f>'Input Operasional'!Y165</f>
        <v>0</v>
      </c>
      <c r="AA276" s="126">
        <f>'Input Operasional'!Z165</f>
        <v>0</v>
      </c>
      <c r="AB276" s="126">
        <f>'Input Operasional'!AA165</f>
        <v>0</v>
      </c>
      <c r="AC276" s="126">
        <f>'Input Operasional'!AB165</f>
        <v>0</v>
      </c>
      <c r="AD276" s="126">
        <f>'Input Operasional'!AC165</f>
        <v>0</v>
      </c>
      <c r="AE276" s="126">
        <f>'Input Operasional'!AD165</f>
        <v>0</v>
      </c>
      <c r="AF276" s="126">
        <f>'Input Operasional'!AE165</f>
        <v>0</v>
      </c>
      <c r="AG276" s="126">
        <f>'Input Operasional'!AF165</f>
        <v>0</v>
      </c>
    </row>
    <row r="277" spans="1:33" ht="14.25" customHeight="1" x14ac:dyDescent="0.35">
      <c r="A277" s="21"/>
      <c r="B277" s="21"/>
      <c r="C277" s="21"/>
      <c r="D277" s="128" t="s">
        <v>4052</v>
      </c>
      <c r="E277" s="128"/>
      <c r="F277" s="21"/>
      <c r="G277" s="21"/>
      <c r="H277" s="21"/>
      <c r="I277" s="22" t="s">
        <v>3900</v>
      </c>
      <c r="J277" s="132"/>
      <c r="K277" s="132"/>
      <c r="L277" s="132"/>
      <c r="M277" s="132"/>
      <c r="N277" s="132"/>
      <c r="O277" s="132"/>
      <c r="P277" s="132"/>
      <c r="Q277" s="132"/>
      <c r="R277" s="140">
        <f t="shared" ref="R277:AG277" si="156">R276*R274</f>
        <v>0</v>
      </c>
      <c r="S277" s="140">
        <f t="shared" si="156"/>
        <v>0</v>
      </c>
      <c r="T277" s="140">
        <f t="shared" si="156"/>
        <v>0</v>
      </c>
      <c r="U277" s="140">
        <f t="shared" si="156"/>
        <v>0</v>
      </c>
      <c r="V277" s="140">
        <f t="shared" si="156"/>
        <v>0</v>
      </c>
      <c r="W277" s="140">
        <f t="shared" si="156"/>
        <v>0</v>
      </c>
      <c r="X277" s="140">
        <f t="shared" si="156"/>
        <v>0</v>
      </c>
      <c r="Y277" s="140">
        <f t="shared" si="156"/>
        <v>0</v>
      </c>
      <c r="Z277" s="140">
        <f t="shared" si="156"/>
        <v>0</v>
      </c>
      <c r="AA277" s="140">
        <f t="shared" si="156"/>
        <v>0</v>
      </c>
      <c r="AB277" s="140">
        <f t="shared" si="156"/>
        <v>0</v>
      </c>
      <c r="AC277" s="140">
        <f t="shared" si="156"/>
        <v>0</v>
      </c>
      <c r="AD277" s="140">
        <f t="shared" si="156"/>
        <v>0</v>
      </c>
      <c r="AE277" s="140">
        <f t="shared" si="156"/>
        <v>0</v>
      </c>
      <c r="AF277" s="140">
        <f t="shared" si="156"/>
        <v>0</v>
      </c>
      <c r="AG277" s="140">
        <f t="shared" si="156"/>
        <v>0</v>
      </c>
    </row>
    <row r="278" spans="1:33" ht="14.25" customHeight="1" x14ac:dyDescent="0.35">
      <c r="A278" s="21"/>
      <c r="B278" s="21"/>
      <c r="C278" s="21"/>
      <c r="D278" s="128" t="s">
        <v>4053</v>
      </c>
      <c r="E278" s="128"/>
      <c r="F278" s="21"/>
      <c r="G278" s="21"/>
      <c r="H278" s="21"/>
      <c r="I278" s="22" t="s">
        <v>4054</v>
      </c>
      <c r="J278" s="132"/>
      <c r="K278" s="132"/>
      <c r="L278" s="132"/>
      <c r="M278" s="132"/>
      <c r="N278" s="132"/>
      <c r="O278" s="132"/>
      <c r="P278" s="132"/>
      <c r="Q278" s="132"/>
      <c r="R278" s="140">
        <f>'Input Operasional'!Q175</f>
        <v>0</v>
      </c>
      <c r="S278" s="140">
        <f>'Input Operasional'!R175</f>
        <v>0</v>
      </c>
      <c r="T278" s="140">
        <f>'Input Operasional'!S175</f>
        <v>0</v>
      </c>
      <c r="U278" s="140">
        <f>'Input Operasional'!T175</f>
        <v>0</v>
      </c>
      <c r="V278" s="140">
        <f>'Input Operasional'!U175</f>
        <v>0</v>
      </c>
      <c r="W278" s="140">
        <f>'Input Operasional'!V175</f>
        <v>0</v>
      </c>
      <c r="X278" s="140">
        <f>'Input Operasional'!W175</f>
        <v>0</v>
      </c>
      <c r="Y278" s="140">
        <f>'Input Operasional'!X175</f>
        <v>0</v>
      </c>
      <c r="Z278" s="140">
        <f>'Input Operasional'!Y175</f>
        <v>0</v>
      </c>
      <c r="AA278" s="140">
        <f>'Input Operasional'!Z175</f>
        <v>0</v>
      </c>
      <c r="AB278" s="140">
        <f>'Input Operasional'!AA175</f>
        <v>0</v>
      </c>
      <c r="AC278" s="140">
        <f>'Input Operasional'!AB175</f>
        <v>0</v>
      </c>
      <c r="AD278" s="140">
        <f>'Input Operasional'!AC175</f>
        <v>0</v>
      </c>
      <c r="AE278" s="140">
        <f>'Input Operasional'!AD175</f>
        <v>0</v>
      </c>
      <c r="AF278" s="140">
        <f>'Input Operasional'!AE175</f>
        <v>0</v>
      </c>
      <c r="AG278" s="140">
        <f>'Input Operasional'!AF175</f>
        <v>0</v>
      </c>
    </row>
    <row r="279" spans="1:33" ht="14.25" customHeight="1" x14ac:dyDescent="0.35">
      <c r="A279" s="21"/>
      <c r="B279" s="21"/>
      <c r="C279" s="21"/>
      <c r="D279" s="128" t="s">
        <v>4055</v>
      </c>
      <c r="E279" s="128"/>
      <c r="F279" s="21"/>
      <c r="G279" s="21"/>
      <c r="H279" s="21"/>
      <c r="I279" s="22" t="s">
        <v>3900</v>
      </c>
      <c r="J279" s="132"/>
      <c r="K279" s="132"/>
      <c r="L279" s="132"/>
      <c r="M279" s="132"/>
      <c r="N279" s="132"/>
      <c r="O279" s="132"/>
      <c r="P279" s="132"/>
      <c r="Q279" s="132"/>
      <c r="R279" s="140">
        <f t="shared" ref="R279:AG279" si="157">R277+R278*R275</f>
        <v>0</v>
      </c>
      <c r="S279" s="140">
        <f t="shared" si="157"/>
        <v>0</v>
      </c>
      <c r="T279" s="140">
        <f t="shared" si="157"/>
        <v>0</v>
      </c>
      <c r="U279" s="140">
        <f t="shared" si="157"/>
        <v>0</v>
      </c>
      <c r="V279" s="140">
        <f t="shared" si="157"/>
        <v>0</v>
      </c>
      <c r="W279" s="140">
        <f t="shared" si="157"/>
        <v>0</v>
      </c>
      <c r="X279" s="140">
        <f t="shared" si="157"/>
        <v>0</v>
      </c>
      <c r="Y279" s="140">
        <f t="shared" si="157"/>
        <v>0</v>
      </c>
      <c r="Z279" s="140">
        <f t="shared" si="157"/>
        <v>0</v>
      </c>
      <c r="AA279" s="140">
        <f t="shared" si="157"/>
        <v>0</v>
      </c>
      <c r="AB279" s="140">
        <f t="shared" si="157"/>
        <v>0</v>
      </c>
      <c r="AC279" s="140">
        <f t="shared" si="157"/>
        <v>0</v>
      </c>
      <c r="AD279" s="140">
        <f t="shared" si="157"/>
        <v>0</v>
      </c>
      <c r="AE279" s="140">
        <f t="shared" si="157"/>
        <v>0</v>
      </c>
      <c r="AF279" s="140">
        <f t="shared" si="157"/>
        <v>0</v>
      </c>
      <c r="AG279" s="140">
        <f t="shared" si="157"/>
        <v>0</v>
      </c>
    </row>
    <row r="280" spans="1:33" ht="14.25" customHeight="1" x14ac:dyDescent="0.35">
      <c r="A280" s="21"/>
      <c r="B280" s="21"/>
      <c r="C280" s="21"/>
      <c r="D280" s="128" t="s">
        <v>4056</v>
      </c>
      <c r="E280" s="128"/>
      <c r="F280" s="21"/>
      <c r="G280" s="21"/>
      <c r="H280" s="21"/>
      <c r="I280" s="22" t="s">
        <v>3900</v>
      </c>
      <c r="J280" s="132">
        <v>0</v>
      </c>
      <c r="K280" s="132">
        <v>0</v>
      </c>
      <c r="L280" s="132">
        <v>0</v>
      </c>
      <c r="M280" s="132">
        <v>0</v>
      </c>
      <c r="N280" s="132">
        <v>0</v>
      </c>
      <c r="O280" s="132">
        <v>0</v>
      </c>
      <c r="P280" s="132">
        <v>0</v>
      </c>
      <c r="Q280" s="132">
        <v>0</v>
      </c>
      <c r="R280" s="140">
        <v>0</v>
      </c>
      <c r="S280" s="140">
        <f t="shared" ref="S280:AG280" si="158">R282</f>
        <v>0</v>
      </c>
      <c r="T280" s="140">
        <f t="shared" si="158"/>
        <v>0</v>
      </c>
      <c r="U280" s="140">
        <f t="shared" si="158"/>
        <v>0</v>
      </c>
      <c r="V280" s="140">
        <f t="shared" si="158"/>
        <v>0</v>
      </c>
      <c r="W280" s="140">
        <f t="shared" si="158"/>
        <v>0</v>
      </c>
      <c r="X280" s="140">
        <f t="shared" si="158"/>
        <v>0</v>
      </c>
      <c r="Y280" s="140">
        <f t="shared" si="158"/>
        <v>0</v>
      </c>
      <c r="Z280" s="140">
        <f t="shared" si="158"/>
        <v>0</v>
      </c>
      <c r="AA280" s="140">
        <f t="shared" si="158"/>
        <v>0</v>
      </c>
      <c r="AB280" s="140">
        <f t="shared" si="158"/>
        <v>0</v>
      </c>
      <c r="AC280" s="140">
        <f t="shared" si="158"/>
        <v>0</v>
      </c>
      <c r="AD280" s="140">
        <f t="shared" si="158"/>
        <v>0</v>
      </c>
      <c r="AE280" s="140">
        <f t="shared" si="158"/>
        <v>0</v>
      </c>
      <c r="AF280" s="140">
        <f t="shared" si="158"/>
        <v>0</v>
      </c>
      <c r="AG280" s="140">
        <f t="shared" si="158"/>
        <v>0</v>
      </c>
    </row>
    <row r="281" spans="1:33" ht="14.25" customHeight="1" x14ac:dyDescent="0.35">
      <c r="A281" s="21"/>
      <c r="B281" s="21"/>
      <c r="C281" s="21"/>
      <c r="D281" s="128" t="s">
        <v>4057</v>
      </c>
      <c r="E281" s="128"/>
      <c r="F281" s="21"/>
      <c r="G281" s="21"/>
      <c r="H281" s="21"/>
      <c r="I281" s="22" t="s">
        <v>3900</v>
      </c>
      <c r="J281" s="132">
        <v>0</v>
      </c>
      <c r="K281" s="132">
        <v>0</v>
      </c>
      <c r="L281" s="132">
        <v>0</v>
      </c>
      <c r="M281" s="132">
        <v>16530</v>
      </c>
      <c r="N281" s="132">
        <v>0</v>
      </c>
      <c r="O281" s="132">
        <v>0</v>
      </c>
      <c r="P281" s="132">
        <v>68520</v>
      </c>
      <c r="Q281" s="132">
        <v>316290</v>
      </c>
      <c r="R281" s="140">
        <f t="shared" ref="R281:AG281" si="159">MAX(0,R274+R279-R280)</f>
        <v>50167.5</v>
      </c>
      <c r="S281" s="140">
        <f t="shared" si="159"/>
        <v>50167.5</v>
      </c>
      <c r="T281" s="140">
        <f t="shared" si="159"/>
        <v>50167.5</v>
      </c>
      <c r="U281" s="140">
        <f t="shared" si="159"/>
        <v>50167.5</v>
      </c>
      <c r="V281" s="140">
        <f t="shared" si="159"/>
        <v>50167.5</v>
      </c>
      <c r="W281" s="140">
        <f t="shared" si="159"/>
        <v>50167.5</v>
      </c>
      <c r="X281" s="140">
        <f t="shared" si="159"/>
        <v>50167.5</v>
      </c>
      <c r="Y281" s="140">
        <f t="shared" si="159"/>
        <v>50167.5</v>
      </c>
      <c r="Z281" s="140">
        <f t="shared" si="159"/>
        <v>50167.5</v>
      </c>
      <c r="AA281" s="140">
        <f t="shared" si="159"/>
        <v>50167.5</v>
      </c>
      <c r="AB281" s="140">
        <f t="shared" si="159"/>
        <v>50167.5</v>
      </c>
      <c r="AC281" s="140">
        <f t="shared" si="159"/>
        <v>50167.5</v>
      </c>
      <c r="AD281" s="140">
        <f t="shared" si="159"/>
        <v>50167.5</v>
      </c>
      <c r="AE281" s="140">
        <f t="shared" si="159"/>
        <v>50167.5</v>
      </c>
      <c r="AF281" s="140">
        <f t="shared" si="159"/>
        <v>50167.5</v>
      </c>
      <c r="AG281" s="140">
        <f t="shared" si="159"/>
        <v>50167.5</v>
      </c>
    </row>
    <row r="282" spans="1:33" ht="14.25" customHeight="1" x14ac:dyDescent="0.35">
      <c r="A282" s="21"/>
      <c r="B282" s="21"/>
      <c r="C282" s="21"/>
      <c r="D282" s="128" t="s">
        <v>4058</v>
      </c>
      <c r="E282" s="128"/>
      <c r="F282" s="21"/>
      <c r="G282" s="21"/>
      <c r="H282" s="21"/>
      <c r="I282" s="22" t="s">
        <v>3900</v>
      </c>
      <c r="J282" s="132">
        <v>0</v>
      </c>
      <c r="K282" s="132">
        <v>0</v>
      </c>
      <c r="L282" s="132">
        <v>0</v>
      </c>
      <c r="M282" s="132">
        <v>0</v>
      </c>
      <c r="N282" s="132">
        <v>0</v>
      </c>
      <c r="O282" s="132">
        <v>0</v>
      </c>
      <c r="P282" s="132">
        <v>0</v>
      </c>
      <c r="Q282" s="132">
        <v>0</v>
      </c>
      <c r="R282" s="140">
        <f t="shared" ref="R282:AG282" si="160">R280+R281-R274</f>
        <v>0</v>
      </c>
      <c r="S282" s="140">
        <f t="shared" si="160"/>
        <v>0</v>
      </c>
      <c r="T282" s="140">
        <f t="shared" si="160"/>
        <v>0</v>
      </c>
      <c r="U282" s="140">
        <f t="shared" si="160"/>
        <v>0</v>
      </c>
      <c r="V282" s="140">
        <f t="shared" si="160"/>
        <v>0</v>
      </c>
      <c r="W282" s="140">
        <f t="shared" si="160"/>
        <v>0</v>
      </c>
      <c r="X282" s="140">
        <f t="shared" si="160"/>
        <v>0</v>
      </c>
      <c r="Y282" s="140">
        <f t="shared" si="160"/>
        <v>0</v>
      </c>
      <c r="Z282" s="140">
        <f t="shared" si="160"/>
        <v>0</v>
      </c>
      <c r="AA282" s="140">
        <f t="shared" si="160"/>
        <v>0</v>
      </c>
      <c r="AB282" s="140">
        <f t="shared" si="160"/>
        <v>0</v>
      </c>
      <c r="AC282" s="140">
        <f t="shared" si="160"/>
        <v>0</v>
      </c>
      <c r="AD282" s="140">
        <f t="shared" si="160"/>
        <v>0</v>
      </c>
      <c r="AE282" s="140">
        <f t="shared" si="160"/>
        <v>0</v>
      </c>
      <c r="AF282" s="140">
        <f t="shared" si="160"/>
        <v>0</v>
      </c>
      <c r="AG282" s="140">
        <f t="shared" si="160"/>
        <v>0</v>
      </c>
    </row>
    <row r="283" spans="1:33" ht="14.25" customHeight="1" x14ac:dyDescent="0.35">
      <c r="A283" s="21"/>
      <c r="B283" s="21"/>
      <c r="C283" s="21"/>
      <c r="D283" s="128" t="s">
        <v>4059</v>
      </c>
      <c r="E283" s="128"/>
      <c r="F283" s="21"/>
      <c r="G283" s="21"/>
      <c r="H283" s="21"/>
      <c r="I283" s="22" t="s">
        <v>3915</v>
      </c>
      <c r="J283" s="132">
        <v>0</v>
      </c>
      <c r="K283" s="132">
        <v>0</v>
      </c>
      <c r="L283" s="132">
        <v>0</v>
      </c>
      <c r="M283" s="132">
        <v>2950</v>
      </c>
      <c r="N283" s="132">
        <v>0</v>
      </c>
      <c r="O283" s="132">
        <v>0</v>
      </c>
      <c r="P283" s="132">
        <v>4450.6130000000003</v>
      </c>
      <c r="Q283" s="132">
        <v>4526.8045000000002</v>
      </c>
      <c r="R283" s="140">
        <v>4600</v>
      </c>
      <c r="S283" s="140">
        <v>4700</v>
      </c>
      <c r="T283" s="140">
        <v>4700</v>
      </c>
      <c r="U283" s="140">
        <v>4700</v>
      </c>
      <c r="V283" s="140">
        <v>4700</v>
      </c>
      <c r="W283" s="140">
        <v>4700</v>
      </c>
      <c r="X283" s="140">
        <v>4700</v>
      </c>
      <c r="Y283" s="140">
        <v>4700</v>
      </c>
      <c r="Z283" s="140">
        <v>4700</v>
      </c>
      <c r="AA283" s="140">
        <v>4700</v>
      </c>
      <c r="AB283" s="140">
        <v>4700</v>
      </c>
      <c r="AC283" s="140">
        <v>4700</v>
      </c>
      <c r="AD283" s="140">
        <v>4700</v>
      </c>
      <c r="AE283" s="140">
        <v>4700</v>
      </c>
      <c r="AF283" s="140">
        <v>4700</v>
      </c>
      <c r="AG283" s="140">
        <v>4700</v>
      </c>
    </row>
    <row r="284" spans="1:33" ht="14.25" customHeight="1" x14ac:dyDescent="0.35">
      <c r="A284" s="21"/>
      <c r="B284" s="21"/>
      <c r="C284" s="21"/>
      <c r="D284" s="128" t="s">
        <v>4056</v>
      </c>
      <c r="E284" s="128"/>
      <c r="F284" s="21"/>
      <c r="G284" s="21"/>
      <c r="H284" s="21"/>
      <c r="I284" s="22" t="s">
        <v>4060</v>
      </c>
      <c r="J284" s="148">
        <v>0</v>
      </c>
      <c r="K284" s="148">
        <v>0</v>
      </c>
      <c r="L284" s="148">
        <v>0</v>
      </c>
      <c r="M284" s="148">
        <v>0</v>
      </c>
      <c r="N284" s="148">
        <v>86.14</v>
      </c>
      <c r="O284" s="148">
        <v>86.14</v>
      </c>
      <c r="P284" s="148">
        <v>86.14</v>
      </c>
      <c r="Q284" s="148">
        <v>83.38</v>
      </c>
      <c r="R284" s="149">
        <v>25</v>
      </c>
      <c r="S284" s="149">
        <f t="shared" ref="S284:AG284" si="161">R288</f>
        <v>0</v>
      </c>
      <c r="T284" s="149">
        <f t="shared" si="161"/>
        <v>0</v>
      </c>
      <c r="U284" s="149">
        <f t="shared" si="161"/>
        <v>0</v>
      </c>
      <c r="V284" s="149">
        <f t="shared" si="161"/>
        <v>0</v>
      </c>
      <c r="W284" s="149">
        <f t="shared" si="161"/>
        <v>0</v>
      </c>
      <c r="X284" s="149">
        <f t="shared" si="161"/>
        <v>0</v>
      </c>
      <c r="Y284" s="149">
        <f t="shared" si="161"/>
        <v>0</v>
      </c>
      <c r="Z284" s="149">
        <f t="shared" si="161"/>
        <v>0</v>
      </c>
      <c r="AA284" s="149">
        <f t="shared" si="161"/>
        <v>0</v>
      </c>
      <c r="AB284" s="149">
        <f t="shared" si="161"/>
        <v>0</v>
      </c>
      <c r="AC284" s="149">
        <f t="shared" si="161"/>
        <v>0</v>
      </c>
      <c r="AD284" s="149">
        <f t="shared" si="161"/>
        <v>0</v>
      </c>
      <c r="AE284" s="149">
        <f t="shared" si="161"/>
        <v>0</v>
      </c>
      <c r="AF284" s="149">
        <f t="shared" si="161"/>
        <v>0</v>
      </c>
      <c r="AG284" s="149">
        <f t="shared" si="161"/>
        <v>0</v>
      </c>
    </row>
    <row r="285" spans="1:33" ht="14.25" customHeight="1" x14ac:dyDescent="0.35">
      <c r="A285" s="21"/>
      <c r="B285" s="21"/>
      <c r="C285" s="21"/>
      <c r="D285" s="128" t="s">
        <v>4057</v>
      </c>
      <c r="E285" s="128"/>
      <c r="F285" s="21"/>
      <c r="G285" s="21"/>
      <c r="H285" s="21"/>
      <c r="I285" s="22" t="s">
        <v>4060</v>
      </c>
      <c r="J285" s="148">
        <v>0</v>
      </c>
      <c r="K285" s="148">
        <v>0</v>
      </c>
      <c r="L285" s="148">
        <v>0</v>
      </c>
      <c r="M285" s="148">
        <v>48763500</v>
      </c>
      <c r="N285" s="148">
        <v>0</v>
      </c>
      <c r="O285" s="148">
        <v>0</v>
      </c>
      <c r="P285" s="148">
        <v>304956000</v>
      </c>
      <c r="Q285" s="148">
        <v>1431783000</v>
      </c>
      <c r="R285" s="149">
        <f t="shared" ref="R285:AG285" si="162">R281*R283</f>
        <v>230770500</v>
      </c>
      <c r="S285" s="149">
        <f t="shared" si="162"/>
        <v>235787250</v>
      </c>
      <c r="T285" s="149">
        <f t="shared" si="162"/>
        <v>235787250</v>
      </c>
      <c r="U285" s="149">
        <f t="shared" si="162"/>
        <v>235787250</v>
      </c>
      <c r="V285" s="149">
        <f t="shared" si="162"/>
        <v>235787250</v>
      </c>
      <c r="W285" s="149">
        <f t="shared" si="162"/>
        <v>235787250</v>
      </c>
      <c r="X285" s="149">
        <f t="shared" si="162"/>
        <v>235787250</v>
      </c>
      <c r="Y285" s="149">
        <f t="shared" si="162"/>
        <v>235787250</v>
      </c>
      <c r="Z285" s="149">
        <f t="shared" si="162"/>
        <v>235787250</v>
      </c>
      <c r="AA285" s="149">
        <f t="shared" si="162"/>
        <v>235787250</v>
      </c>
      <c r="AB285" s="149">
        <f t="shared" si="162"/>
        <v>235787250</v>
      </c>
      <c r="AC285" s="149">
        <f t="shared" si="162"/>
        <v>235787250</v>
      </c>
      <c r="AD285" s="149">
        <f t="shared" si="162"/>
        <v>235787250</v>
      </c>
      <c r="AE285" s="149">
        <f t="shared" si="162"/>
        <v>235787250</v>
      </c>
      <c r="AF285" s="149">
        <f t="shared" si="162"/>
        <v>235787250</v>
      </c>
      <c r="AG285" s="149">
        <f t="shared" si="162"/>
        <v>235787250</v>
      </c>
    </row>
    <row r="286" spans="1:33" ht="14.25" customHeight="1" x14ac:dyDescent="0.35">
      <c r="A286" s="21"/>
      <c r="B286" s="21"/>
      <c r="C286" s="21"/>
      <c r="D286" s="128" t="s">
        <v>4061</v>
      </c>
      <c r="E286" s="128"/>
      <c r="F286" s="21"/>
      <c r="G286" s="21"/>
      <c r="H286" s="21"/>
      <c r="I286" s="22" t="s">
        <v>3915</v>
      </c>
      <c r="J286" s="132">
        <v>0</v>
      </c>
      <c r="K286" s="132">
        <v>0</v>
      </c>
      <c r="L286" s="132">
        <v>0</v>
      </c>
      <c r="M286" s="132">
        <v>2950</v>
      </c>
      <c r="N286" s="132">
        <v>0</v>
      </c>
      <c r="O286" s="132">
        <v>0</v>
      </c>
      <c r="P286" s="132">
        <v>4450.6130000000003</v>
      </c>
      <c r="Q286" s="132">
        <v>4526.8046999999997</v>
      </c>
      <c r="R286" s="140">
        <f t="shared" ref="R286:AG286" si="163">IF((R280+R281)=0,R283,(R284+R285)/(R280+R281))</f>
        <v>4600.0004983305926</v>
      </c>
      <c r="S286" s="140">
        <f t="shared" si="163"/>
        <v>4700</v>
      </c>
      <c r="T286" s="140">
        <f t="shared" si="163"/>
        <v>4700</v>
      </c>
      <c r="U286" s="140">
        <f t="shared" si="163"/>
        <v>4700</v>
      </c>
      <c r="V286" s="140">
        <f t="shared" si="163"/>
        <v>4700</v>
      </c>
      <c r="W286" s="140">
        <f t="shared" si="163"/>
        <v>4700</v>
      </c>
      <c r="X286" s="140">
        <f t="shared" si="163"/>
        <v>4700</v>
      </c>
      <c r="Y286" s="140">
        <f t="shared" si="163"/>
        <v>4700</v>
      </c>
      <c r="Z286" s="140">
        <f t="shared" si="163"/>
        <v>4700</v>
      </c>
      <c r="AA286" s="140">
        <f t="shared" si="163"/>
        <v>4700</v>
      </c>
      <c r="AB286" s="140">
        <f t="shared" si="163"/>
        <v>4700</v>
      </c>
      <c r="AC286" s="140">
        <f t="shared" si="163"/>
        <v>4700</v>
      </c>
      <c r="AD286" s="140">
        <f t="shared" si="163"/>
        <v>4700</v>
      </c>
      <c r="AE286" s="140">
        <f t="shared" si="163"/>
        <v>4700</v>
      </c>
      <c r="AF286" s="140">
        <f t="shared" si="163"/>
        <v>4700</v>
      </c>
      <c r="AG286" s="140">
        <f t="shared" si="163"/>
        <v>4700</v>
      </c>
    </row>
    <row r="287" spans="1:33" ht="14.25" customHeight="1" x14ac:dyDescent="0.35">
      <c r="A287" s="21"/>
      <c r="B287" s="21"/>
      <c r="C287" s="21"/>
      <c r="D287" s="128" t="s">
        <v>4049</v>
      </c>
      <c r="E287" s="128"/>
      <c r="F287" s="21"/>
      <c r="G287" s="21"/>
      <c r="H287" s="21"/>
      <c r="I287" s="22" t="s">
        <v>4060</v>
      </c>
      <c r="J287" s="148">
        <v>0</v>
      </c>
      <c r="K287" s="148">
        <v>0</v>
      </c>
      <c r="L287" s="148">
        <v>0</v>
      </c>
      <c r="M287" s="148">
        <v>48763500</v>
      </c>
      <c r="N287" s="148">
        <v>0</v>
      </c>
      <c r="O287" s="148">
        <v>0</v>
      </c>
      <c r="P287" s="148">
        <v>304956002.75999999</v>
      </c>
      <c r="Q287" s="148">
        <v>1431783058.5599999</v>
      </c>
      <c r="R287" s="149">
        <f t="shared" ref="R287:AG287" si="164">R274*R286</f>
        <v>230770525</v>
      </c>
      <c r="S287" s="149">
        <f t="shared" si="164"/>
        <v>235787250</v>
      </c>
      <c r="T287" s="149">
        <f t="shared" si="164"/>
        <v>235787250</v>
      </c>
      <c r="U287" s="149">
        <f t="shared" si="164"/>
        <v>235787250</v>
      </c>
      <c r="V287" s="149">
        <f t="shared" si="164"/>
        <v>235787250</v>
      </c>
      <c r="W287" s="149">
        <f t="shared" si="164"/>
        <v>235787250</v>
      </c>
      <c r="X287" s="149">
        <f t="shared" si="164"/>
        <v>235787250</v>
      </c>
      <c r="Y287" s="149">
        <f t="shared" si="164"/>
        <v>235787250</v>
      </c>
      <c r="Z287" s="149">
        <f t="shared" si="164"/>
        <v>235787250</v>
      </c>
      <c r="AA287" s="149">
        <f t="shared" si="164"/>
        <v>235787250</v>
      </c>
      <c r="AB287" s="149">
        <f t="shared" si="164"/>
        <v>235787250</v>
      </c>
      <c r="AC287" s="149">
        <f t="shared" si="164"/>
        <v>235787250</v>
      </c>
      <c r="AD287" s="149">
        <f t="shared" si="164"/>
        <v>235787250</v>
      </c>
      <c r="AE287" s="149">
        <f t="shared" si="164"/>
        <v>235787250</v>
      </c>
      <c r="AF287" s="149">
        <f t="shared" si="164"/>
        <v>235787250</v>
      </c>
      <c r="AG287" s="149">
        <f t="shared" si="164"/>
        <v>235787250</v>
      </c>
    </row>
    <row r="288" spans="1:33" ht="14.25" customHeight="1" x14ac:dyDescent="0.35">
      <c r="A288" s="21"/>
      <c r="B288" s="21"/>
      <c r="C288" s="21"/>
      <c r="D288" s="128" t="s">
        <v>4058</v>
      </c>
      <c r="E288" s="128"/>
      <c r="F288" s="21"/>
      <c r="G288" s="21"/>
      <c r="H288" s="21"/>
      <c r="I288" s="22" t="s">
        <v>4060</v>
      </c>
      <c r="J288" s="148">
        <v>0</v>
      </c>
      <c r="K288" s="148">
        <v>0</v>
      </c>
      <c r="L288" s="148">
        <v>0</v>
      </c>
      <c r="M288" s="148">
        <v>86.14</v>
      </c>
      <c r="N288" s="148">
        <v>86.14</v>
      </c>
      <c r="O288" s="148">
        <v>86.14</v>
      </c>
      <c r="P288" s="148">
        <v>83.38</v>
      </c>
      <c r="Q288" s="148">
        <v>24.81</v>
      </c>
      <c r="R288" s="149">
        <f t="shared" ref="R288:AG288" si="165">R284+R285-R287</f>
        <v>0</v>
      </c>
      <c r="S288" s="149">
        <f t="shared" si="165"/>
        <v>0</v>
      </c>
      <c r="T288" s="149">
        <f t="shared" si="165"/>
        <v>0</v>
      </c>
      <c r="U288" s="149">
        <f t="shared" si="165"/>
        <v>0</v>
      </c>
      <c r="V288" s="149">
        <f t="shared" si="165"/>
        <v>0</v>
      </c>
      <c r="W288" s="149">
        <f t="shared" si="165"/>
        <v>0</v>
      </c>
      <c r="X288" s="149">
        <f t="shared" si="165"/>
        <v>0</v>
      </c>
      <c r="Y288" s="149">
        <f t="shared" si="165"/>
        <v>0</v>
      </c>
      <c r="Z288" s="149">
        <f t="shared" si="165"/>
        <v>0</v>
      </c>
      <c r="AA288" s="149">
        <f t="shared" si="165"/>
        <v>0</v>
      </c>
      <c r="AB288" s="149">
        <f t="shared" si="165"/>
        <v>0</v>
      </c>
      <c r="AC288" s="149">
        <f t="shared" si="165"/>
        <v>0</v>
      </c>
      <c r="AD288" s="149">
        <f t="shared" si="165"/>
        <v>0</v>
      </c>
      <c r="AE288" s="149">
        <f t="shared" si="165"/>
        <v>0</v>
      </c>
      <c r="AF288" s="149">
        <f t="shared" si="165"/>
        <v>0</v>
      </c>
      <c r="AG288" s="149">
        <f t="shared" si="165"/>
        <v>0</v>
      </c>
    </row>
    <row r="289" spans="1:33" s="79" customFormat="1" ht="14.25" customHeight="1" x14ac:dyDescent="0.35">
      <c r="A289" s="168"/>
      <c r="B289" s="167" t="s">
        <v>4064</v>
      </c>
      <c r="C289" s="167" t="s">
        <v>4065</v>
      </c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  <c r="Y289" s="168"/>
      <c r="Z289" s="168"/>
      <c r="AA289" s="168"/>
      <c r="AB289" s="168"/>
      <c r="AC289" s="168"/>
      <c r="AD289" s="168"/>
      <c r="AE289" s="168"/>
      <c r="AF289" s="168"/>
      <c r="AG289" s="168"/>
    </row>
    <row r="290" spans="1:33" ht="14.25" customHeight="1" x14ac:dyDescent="0.35">
      <c r="A290" s="21"/>
      <c r="B290" s="21"/>
      <c r="C290" s="21"/>
      <c r="D290" s="128" t="s">
        <v>4049</v>
      </c>
      <c r="E290" s="128"/>
      <c r="F290" s="21"/>
      <c r="G290" s="21"/>
      <c r="H290" s="21"/>
      <c r="I290" s="22" t="s">
        <v>3900</v>
      </c>
      <c r="J290" s="132">
        <v>115290</v>
      </c>
      <c r="K290" s="132">
        <v>90220</v>
      </c>
      <c r="L290" s="132">
        <v>54390</v>
      </c>
      <c r="M290" s="132">
        <v>78600</v>
      </c>
      <c r="N290" s="132">
        <v>82940</v>
      </c>
      <c r="O290" s="132">
        <v>72880</v>
      </c>
      <c r="P290" s="132">
        <v>79890</v>
      </c>
      <c r="Q290" s="132">
        <v>94830</v>
      </c>
      <c r="R290" s="140">
        <f t="shared" ref="R290:AG290" si="166">R442+R598+R762</f>
        <v>89404.370500521545</v>
      </c>
      <c r="S290" s="140">
        <f t="shared" si="166"/>
        <v>89546.813908032884</v>
      </c>
      <c r="T290" s="140">
        <f t="shared" si="166"/>
        <v>89371.847343527668</v>
      </c>
      <c r="U290" s="140">
        <f t="shared" si="166"/>
        <v>89440.942279236144</v>
      </c>
      <c r="V290" s="140">
        <f t="shared" si="166"/>
        <v>89453.139912812316</v>
      </c>
      <c r="W290" s="140">
        <f t="shared" si="166"/>
        <v>89421.961337558721</v>
      </c>
      <c r="X290" s="140">
        <f t="shared" si="166"/>
        <v>89438.679228295921</v>
      </c>
      <c r="Y290" s="140">
        <f t="shared" si="166"/>
        <v>89437.924904926142</v>
      </c>
      <c r="Z290" s="140">
        <f t="shared" si="166"/>
        <v>89432.854453292719</v>
      </c>
      <c r="AA290" s="140">
        <f t="shared" si="166"/>
        <v>89436.486116312022</v>
      </c>
      <c r="AB290" s="140">
        <f t="shared" si="166"/>
        <v>89435.75510428875</v>
      </c>
      <c r="AC290" s="140">
        <f t="shared" si="166"/>
        <v>89435.031862179429</v>
      </c>
      <c r="AD290" s="140">
        <f t="shared" si="166"/>
        <v>89435.757690087397</v>
      </c>
      <c r="AE290" s="140">
        <f t="shared" si="166"/>
        <v>89435.514884137534</v>
      </c>
      <c r="AF290" s="140">
        <f t="shared" si="166"/>
        <v>89435.434811057363</v>
      </c>
      <c r="AG290" s="140">
        <f t="shared" si="166"/>
        <v>89435.569128204312</v>
      </c>
    </row>
    <row r="291" spans="1:33" ht="14.25" customHeight="1" x14ac:dyDescent="0.35">
      <c r="A291" s="21"/>
      <c r="B291" s="21"/>
      <c r="C291" s="21"/>
      <c r="D291" s="128" t="s">
        <v>4050</v>
      </c>
      <c r="E291" s="128"/>
      <c r="F291" s="21"/>
      <c r="G291" s="21"/>
      <c r="H291" s="21"/>
      <c r="I291" s="22" t="s">
        <v>3900</v>
      </c>
      <c r="J291" s="132"/>
      <c r="K291" s="132"/>
      <c r="L291" s="132"/>
      <c r="M291" s="132"/>
      <c r="N291" s="132"/>
      <c r="O291" s="132"/>
      <c r="P291" s="132"/>
      <c r="Q291" s="132"/>
      <c r="R291" s="140">
        <f>IF('Input Operasional'!Q7=0,0,R290/'Input Operasional'!Q7)</f>
        <v>3438.6296346354438</v>
      </c>
      <c r="S291" s="140">
        <f>IF('Input Operasional'!R7=0,0,S290/'Input Operasional'!R7)</f>
        <v>3316.548663260477</v>
      </c>
      <c r="T291" s="140">
        <f>IF('Input Operasional'!S7=0,0,T290/'Input Operasional'!S7)</f>
        <v>3437.3787439818334</v>
      </c>
      <c r="U291" s="140">
        <f>IF('Input Operasional'!T7=0,0,U290/'Input Operasional'!T7)</f>
        <v>3312.6274918235608</v>
      </c>
      <c r="V291" s="140">
        <f>IF('Input Operasional'!U7=0,0,V290/'Input Operasional'!U7)</f>
        <v>3313.0792560300856</v>
      </c>
      <c r="W291" s="140">
        <f>IF('Input Operasional'!V7=0,0,W290/'Input Operasional'!V7)</f>
        <v>3725.9150557316134</v>
      </c>
      <c r="X291" s="140">
        <f>IF('Input Operasional'!W7=0,0,X290/'Input Operasional'!W7)</f>
        <v>3312.5436751220714</v>
      </c>
      <c r="Y291" s="140">
        <f>IF('Input Operasional'!X7=0,0,Y290/'Input Operasional'!X7)</f>
        <v>3439.9201886510054</v>
      </c>
      <c r="Z291" s="140">
        <f>IF('Input Operasional'!Y7=0,0,Z290/'Input Operasional'!Y7)</f>
        <v>3312.3279427145453</v>
      </c>
      <c r="AA291" s="140">
        <f>IF('Input Operasional'!Z7=0,0,AA290/'Input Operasional'!Z7)</f>
        <v>3439.8648506273853</v>
      </c>
      <c r="AB291" s="140">
        <f>IF('Input Operasional'!AA7=0,0,AB290/'Input Operasional'!AA7)</f>
        <v>3312.4353742329167</v>
      </c>
      <c r="AC291" s="140">
        <f>IF('Input Operasional'!AB7=0,0,AC290/'Input Operasional'!AB7)</f>
        <v>3312.4085874881271</v>
      </c>
      <c r="AD291" s="140">
        <f>IF('Input Operasional'!AC7=0,0,AD290/'Input Operasional'!AC7)</f>
        <v>3439.8368342341305</v>
      </c>
      <c r="AE291" s="140">
        <f>IF('Input Operasional'!AD7=0,0,AE290/'Input Operasional'!AD7)</f>
        <v>3312.426477190279</v>
      </c>
      <c r="AF291" s="140">
        <f>IF('Input Operasional'!AE7=0,0,AF290/'Input Operasional'!AE7)</f>
        <v>3439.8244158098987</v>
      </c>
      <c r="AG291" s="140">
        <f>IF('Input Operasional'!AF7=0,0,AG290/'Input Operasional'!AF7)</f>
        <v>3312.4284862297895</v>
      </c>
    </row>
    <row r="292" spans="1:33" ht="14.25" customHeight="1" x14ac:dyDescent="0.35">
      <c r="A292" s="21"/>
      <c r="B292" s="21"/>
      <c r="C292" s="21"/>
      <c r="D292" s="128" t="s">
        <v>4051</v>
      </c>
      <c r="E292" s="128"/>
      <c r="F292" s="21"/>
      <c r="G292" s="21"/>
      <c r="H292" s="21"/>
      <c r="I292" s="22" t="s">
        <v>13</v>
      </c>
      <c r="J292" s="142"/>
      <c r="K292" s="142"/>
      <c r="L292" s="142"/>
      <c r="M292" s="142"/>
      <c r="N292" s="142"/>
      <c r="O292" s="142"/>
      <c r="P292" s="142"/>
      <c r="Q292" s="142"/>
      <c r="R292" s="126">
        <f>'Input Operasional'!Q166</f>
        <v>0.11720700000000001</v>
      </c>
      <c r="S292" s="126">
        <f>'Input Operasional'!R166</f>
        <v>0.11720700000000001</v>
      </c>
      <c r="T292" s="126">
        <f>'Input Operasional'!S166</f>
        <v>0.11720700000000001</v>
      </c>
      <c r="U292" s="126">
        <f>'Input Operasional'!T166</f>
        <v>0.11720700000000001</v>
      </c>
      <c r="V292" s="126">
        <f>'Input Operasional'!U166</f>
        <v>0.11720700000000001</v>
      </c>
      <c r="W292" s="126">
        <f>'Input Operasional'!V166</f>
        <v>0.11720700000000001</v>
      </c>
      <c r="X292" s="126">
        <f>'Input Operasional'!W166</f>
        <v>0.11720700000000001</v>
      </c>
      <c r="Y292" s="126">
        <f>'Input Operasional'!X166</f>
        <v>0.11720700000000001</v>
      </c>
      <c r="Z292" s="126">
        <f>'Input Operasional'!Y166</f>
        <v>0.11720700000000001</v>
      </c>
      <c r="AA292" s="126">
        <f>'Input Operasional'!Z166</f>
        <v>0.11720700000000001</v>
      </c>
      <c r="AB292" s="126">
        <f>'Input Operasional'!AA166</f>
        <v>0.11720700000000001</v>
      </c>
      <c r="AC292" s="126">
        <f>'Input Operasional'!AB166</f>
        <v>0.11720700000000001</v>
      </c>
      <c r="AD292" s="126">
        <f>'Input Operasional'!AC166</f>
        <v>0.11720700000000001</v>
      </c>
      <c r="AE292" s="126">
        <f>'Input Operasional'!AD166</f>
        <v>0.11720700000000001</v>
      </c>
      <c r="AF292" s="126">
        <f>'Input Operasional'!AE166</f>
        <v>0.11720700000000001</v>
      </c>
      <c r="AG292" s="126">
        <f>'Input Operasional'!AF166</f>
        <v>0.11720700000000001</v>
      </c>
    </row>
    <row r="293" spans="1:33" ht="14.25" customHeight="1" x14ac:dyDescent="0.35">
      <c r="A293" s="21"/>
      <c r="B293" s="21"/>
      <c r="C293" s="21"/>
      <c r="D293" s="128" t="s">
        <v>4052</v>
      </c>
      <c r="E293" s="128"/>
      <c r="F293" s="21"/>
      <c r="G293" s="21"/>
      <c r="H293" s="21"/>
      <c r="I293" s="22" t="s">
        <v>3900</v>
      </c>
      <c r="J293" s="132"/>
      <c r="K293" s="132"/>
      <c r="L293" s="132"/>
      <c r="M293" s="132"/>
      <c r="N293" s="132"/>
      <c r="O293" s="132"/>
      <c r="P293" s="132"/>
      <c r="Q293" s="132"/>
      <c r="R293" s="140">
        <f t="shared" ref="R293:AG293" si="167">R292*R290</f>
        <v>10478.818053254628</v>
      </c>
      <c r="S293" s="140">
        <f t="shared" si="167"/>
        <v>10495.51341771881</v>
      </c>
      <c r="T293" s="140">
        <f t="shared" si="167"/>
        <v>10475.006111592847</v>
      </c>
      <c r="U293" s="140">
        <f t="shared" si="167"/>
        <v>10483.104521722431</v>
      </c>
      <c r="V293" s="140">
        <f t="shared" si="167"/>
        <v>10484.534169760993</v>
      </c>
      <c r="W293" s="140">
        <f t="shared" si="167"/>
        <v>10480.879822491246</v>
      </c>
      <c r="X293" s="140">
        <f t="shared" si="167"/>
        <v>10482.83927631088</v>
      </c>
      <c r="Y293" s="140">
        <f t="shared" si="167"/>
        <v>10482.75086433168</v>
      </c>
      <c r="Z293" s="140">
        <f t="shared" si="167"/>
        <v>10482.15657190708</v>
      </c>
      <c r="AA293" s="140">
        <f t="shared" si="167"/>
        <v>10482.582228234583</v>
      </c>
      <c r="AB293" s="140">
        <f t="shared" si="167"/>
        <v>10482.496548508372</v>
      </c>
      <c r="AC293" s="140">
        <f t="shared" si="167"/>
        <v>10482.411779470465</v>
      </c>
      <c r="AD293" s="140">
        <f t="shared" si="167"/>
        <v>10482.496851582075</v>
      </c>
      <c r="AE293" s="140">
        <f t="shared" si="167"/>
        <v>10482.468393025109</v>
      </c>
      <c r="AF293" s="140">
        <f t="shared" si="167"/>
        <v>10482.459007899601</v>
      </c>
      <c r="AG293" s="140">
        <f t="shared" si="167"/>
        <v>10482.474750809442</v>
      </c>
    </row>
    <row r="294" spans="1:33" ht="14.25" customHeight="1" x14ac:dyDescent="0.35">
      <c r="A294" s="21"/>
      <c r="B294" s="21"/>
      <c r="C294" s="21"/>
      <c r="D294" s="128" t="s">
        <v>4053</v>
      </c>
      <c r="E294" s="128"/>
      <c r="F294" s="21"/>
      <c r="G294" s="21"/>
      <c r="H294" s="21"/>
      <c r="I294" s="22" t="s">
        <v>4054</v>
      </c>
      <c r="J294" s="132"/>
      <c r="K294" s="132"/>
      <c r="L294" s="132"/>
      <c r="M294" s="132"/>
      <c r="N294" s="132"/>
      <c r="O294" s="132"/>
      <c r="P294" s="132"/>
      <c r="Q294" s="132"/>
      <c r="R294" s="140">
        <f>'Input Operasional'!Q176</f>
        <v>0</v>
      </c>
      <c r="S294" s="140">
        <f>'Input Operasional'!R176</f>
        <v>0</v>
      </c>
      <c r="T294" s="140">
        <f>'Input Operasional'!S176</f>
        <v>0</v>
      </c>
      <c r="U294" s="140">
        <f>'Input Operasional'!T176</f>
        <v>0</v>
      </c>
      <c r="V294" s="140">
        <f>'Input Operasional'!U176</f>
        <v>0</v>
      </c>
      <c r="W294" s="140">
        <f>'Input Operasional'!V176</f>
        <v>0</v>
      </c>
      <c r="X294" s="140">
        <f>'Input Operasional'!W176</f>
        <v>0</v>
      </c>
      <c r="Y294" s="140">
        <f>'Input Operasional'!X176</f>
        <v>0</v>
      </c>
      <c r="Z294" s="140">
        <f>'Input Operasional'!Y176</f>
        <v>0</v>
      </c>
      <c r="AA294" s="140">
        <f>'Input Operasional'!Z176</f>
        <v>0</v>
      </c>
      <c r="AB294" s="140">
        <f>'Input Operasional'!AA176</f>
        <v>0</v>
      </c>
      <c r="AC294" s="140">
        <f>'Input Operasional'!AB176</f>
        <v>0</v>
      </c>
      <c r="AD294" s="140">
        <f>'Input Operasional'!AC176</f>
        <v>0</v>
      </c>
      <c r="AE294" s="140">
        <f>'Input Operasional'!AD176</f>
        <v>0</v>
      </c>
      <c r="AF294" s="140">
        <f>'Input Operasional'!AE176</f>
        <v>0</v>
      </c>
      <c r="AG294" s="140">
        <f>'Input Operasional'!AF176</f>
        <v>0</v>
      </c>
    </row>
    <row r="295" spans="1:33" ht="14.25" customHeight="1" x14ac:dyDescent="0.35">
      <c r="A295" s="21"/>
      <c r="B295" s="21"/>
      <c r="C295" s="21"/>
      <c r="D295" s="128" t="s">
        <v>4055</v>
      </c>
      <c r="E295" s="128"/>
      <c r="F295" s="21"/>
      <c r="G295" s="21"/>
      <c r="H295" s="21"/>
      <c r="I295" s="22" t="s">
        <v>3900</v>
      </c>
      <c r="J295" s="132"/>
      <c r="K295" s="132"/>
      <c r="L295" s="132"/>
      <c r="M295" s="132"/>
      <c r="N295" s="132"/>
      <c r="O295" s="132"/>
      <c r="P295" s="132"/>
      <c r="Q295" s="132"/>
      <c r="R295" s="140">
        <f t="shared" ref="R295:AG295" si="168">R293+R294*R291</f>
        <v>10478.818053254628</v>
      </c>
      <c r="S295" s="140">
        <f t="shared" si="168"/>
        <v>10495.51341771881</v>
      </c>
      <c r="T295" s="140">
        <f t="shared" si="168"/>
        <v>10475.006111592847</v>
      </c>
      <c r="U295" s="140">
        <f t="shared" si="168"/>
        <v>10483.104521722431</v>
      </c>
      <c r="V295" s="140">
        <f t="shared" si="168"/>
        <v>10484.534169760993</v>
      </c>
      <c r="W295" s="140">
        <f t="shared" si="168"/>
        <v>10480.879822491246</v>
      </c>
      <c r="X295" s="140">
        <f t="shared" si="168"/>
        <v>10482.83927631088</v>
      </c>
      <c r="Y295" s="140">
        <f t="shared" si="168"/>
        <v>10482.75086433168</v>
      </c>
      <c r="Z295" s="140">
        <f t="shared" si="168"/>
        <v>10482.15657190708</v>
      </c>
      <c r="AA295" s="140">
        <f t="shared" si="168"/>
        <v>10482.582228234583</v>
      </c>
      <c r="AB295" s="140">
        <f t="shared" si="168"/>
        <v>10482.496548508372</v>
      </c>
      <c r="AC295" s="140">
        <f t="shared" si="168"/>
        <v>10482.411779470465</v>
      </c>
      <c r="AD295" s="140">
        <f t="shared" si="168"/>
        <v>10482.496851582075</v>
      </c>
      <c r="AE295" s="140">
        <f t="shared" si="168"/>
        <v>10482.468393025109</v>
      </c>
      <c r="AF295" s="140">
        <f t="shared" si="168"/>
        <v>10482.459007899601</v>
      </c>
      <c r="AG295" s="140">
        <f t="shared" si="168"/>
        <v>10482.474750809442</v>
      </c>
    </row>
    <row r="296" spans="1:33" ht="14.25" customHeight="1" x14ac:dyDescent="0.35">
      <c r="A296" s="21"/>
      <c r="B296" s="21"/>
      <c r="C296" s="21"/>
      <c r="D296" s="128" t="s">
        <v>4056</v>
      </c>
      <c r="E296" s="128"/>
      <c r="F296" s="21"/>
      <c r="G296" s="21"/>
      <c r="H296" s="21"/>
      <c r="I296" s="22" t="s">
        <v>3900</v>
      </c>
      <c r="J296" s="132">
        <v>15500</v>
      </c>
      <c r="K296" s="132">
        <v>0</v>
      </c>
      <c r="L296" s="132">
        <v>9500</v>
      </c>
      <c r="M296" s="132">
        <v>15000</v>
      </c>
      <c r="N296" s="132">
        <v>16000</v>
      </c>
      <c r="O296" s="132">
        <v>13000</v>
      </c>
      <c r="P296" s="132">
        <v>0</v>
      </c>
      <c r="Q296" s="132">
        <v>19920</v>
      </c>
      <c r="R296" s="140">
        <v>5000</v>
      </c>
      <c r="S296" s="140">
        <f t="shared" ref="S296:AG296" si="169">R298</f>
        <v>10478.818053254625</v>
      </c>
      <c r="T296" s="140">
        <f t="shared" si="169"/>
        <v>10495.513417718816</v>
      </c>
      <c r="U296" s="140">
        <f t="shared" si="169"/>
        <v>10475.006111592855</v>
      </c>
      <c r="V296" s="140">
        <f t="shared" si="169"/>
        <v>10483.104521722431</v>
      </c>
      <c r="W296" s="140">
        <f t="shared" si="169"/>
        <v>10484.534169760998</v>
      </c>
      <c r="X296" s="140">
        <f t="shared" si="169"/>
        <v>10480.879822491246</v>
      </c>
      <c r="Y296" s="140">
        <f t="shared" si="169"/>
        <v>10482.839276310886</v>
      </c>
      <c r="Z296" s="140">
        <f t="shared" si="169"/>
        <v>10482.750864331683</v>
      </c>
      <c r="AA296" s="140">
        <f t="shared" si="169"/>
        <v>10482.156571907079</v>
      </c>
      <c r="AB296" s="140">
        <f t="shared" si="169"/>
        <v>10482.582228234576</v>
      </c>
      <c r="AC296" s="140">
        <f t="shared" si="169"/>
        <v>10482.496548508367</v>
      </c>
      <c r="AD296" s="140">
        <f t="shared" si="169"/>
        <v>10482.411779470465</v>
      </c>
      <c r="AE296" s="140">
        <f t="shared" si="169"/>
        <v>10482.49685158208</v>
      </c>
      <c r="AF296" s="140">
        <f t="shared" si="169"/>
        <v>10482.468393025105</v>
      </c>
      <c r="AG296" s="140">
        <f t="shared" si="169"/>
        <v>10482.459007899597</v>
      </c>
    </row>
    <row r="297" spans="1:33" ht="14.25" customHeight="1" x14ac:dyDescent="0.35">
      <c r="A297" s="21"/>
      <c r="B297" s="21"/>
      <c r="C297" s="21"/>
      <c r="D297" s="128" t="s">
        <v>4057</v>
      </c>
      <c r="E297" s="128"/>
      <c r="F297" s="21"/>
      <c r="G297" s="21"/>
      <c r="H297" s="21"/>
      <c r="I297" s="22" t="s">
        <v>3900</v>
      </c>
      <c r="J297" s="132">
        <v>99790</v>
      </c>
      <c r="K297" s="132">
        <v>99720</v>
      </c>
      <c r="L297" s="132">
        <v>59890</v>
      </c>
      <c r="M297" s="132">
        <v>79600</v>
      </c>
      <c r="N297" s="132">
        <v>79940</v>
      </c>
      <c r="O297" s="132">
        <v>59880</v>
      </c>
      <c r="P297" s="132">
        <v>99810</v>
      </c>
      <c r="Q297" s="132">
        <v>79910</v>
      </c>
      <c r="R297" s="140">
        <f t="shared" ref="R297:AG297" si="170">MAX(0,R290+R295-R296)</f>
        <v>94883.18855377617</v>
      </c>
      <c r="S297" s="140">
        <f t="shared" si="170"/>
        <v>89563.509272497075</v>
      </c>
      <c r="T297" s="140">
        <f t="shared" si="170"/>
        <v>89351.340037401707</v>
      </c>
      <c r="U297" s="140">
        <f t="shared" si="170"/>
        <v>89449.04068936572</v>
      </c>
      <c r="V297" s="140">
        <f t="shared" si="170"/>
        <v>89454.569560850883</v>
      </c>
      <c r="W297" s="140">
        <f t="shared" si="170"/>
        <v>89418.306990288969</v>
      </c>
      <c r="X297" s="140">
        <f t="shared" si="170"/>
        <v>89440.638682115561</v>
      </c>
      <c r="Y297" s="140">
        <f t="shared" si="170"/>
        <v>89437.836492946939</v>
      </c>
      <c r="Z297" s="140">
        <f t="shared" si="170"/>
        <v>89432.260160868114</v>
      </c>
      <c r="AA297" s="140">
        <f t="shared" si="170"/>
        <v>89436.91177263952</v>
      </c>
      <c r="AB297" s="140">
        <f t="shared" si="170"/>
        <v>89435.66942456254</v>
      </c>
      <c r="AC297" s="140">
        <f t="shared" si="170"/>
        <v>89434.947093141527</v>
      </c>
      <c r="AD297" s="140">
        <f t="shared" si="170"/>
        <v>89435.842762199012</v>
      </c>
      <c r="AE297" s="140">
        <f t="shared" si="170"/>
        <v>89435.486425580559</v>
      </c>
      <c r="AF297" s="140">
        <f t="shared" si="170"/>
        <v>89435.425425931855</v>
      </c>
      <c r="AG297" s="140">
        <f t="shared" si="170"/>
        <v>89435.584871114159</v>
      </c>
    </row>
    <row r="298" spans="1:33" ht="14.25" customHeight="1" x14ac:dyDescent="0.35">
      <c r="A298" s="21"/>
      <c r="B298" s="21"/>
      <c r="C298" s="21"/>
      <c r="D298" s="128" t="s">
        <v>4058</v>
      </c>
      <c r="E298" s="128"/>
      <c r="F298" s="21"/>
      <c r="G298" s="21"/>
      <c r="H298" s="21"/>
      <c r="I298" s="22" t="s">
        <v>3900</v>
      </c>
      <c r="J298" s="132">
        <v>0</v>
      </c>
      <c r="K298" s="132">
        <v>9500</v>
      </c>
      <c r="L298" s="132">
        <v>15000</v>
      </c>
      <c r="M298" s="132">
        <v>16000</v>
      </c>
      <c r="N298" s="132">
        <v>13000</v>
      </c>
      <c r="O298" s="132">
        <v>0</v>
      </c>
      <c r="P298" s="132">
        <v>19920</v>
      </c>
      <c r="Q298" s="132">
        <v>5000</v>
      </c>
      <c r="R298" s="140">
        <f t="shared" ref="R298:AG298" si="171">R296+R297-R290</f>
        <v>10478.818053254625</v>
      </c>
      <c r="S298" s="140">
        <f t="shared" si="171"/>
        <v>10495.513417718816</v>
      </c>
      <c r="T298" s="140">
        <f t="shared" si="171"/>
        <v>10475.006111592855</v>
      </c>
      <c r="U298" s="140">
        <f t="shared" si="171"/>
        <v>10483.104521722431</v>
      </c>
      <c r="V298" s="140">
        <f t="shared" si="171"/>
        <v>10484.534169760998</v>
      </c>
      <c r="W298" s="140">
        <f t="shared" si="171"/>
        <v>10480.879822491246</v>
      </c>
      <c r="X298" s="140">
        <f t="shared" si="171"/>
        <v>10482.839276310886</v>
      </c>
      <c r="Y298" s="140">
        <f t="shared" si="171"/>
        <v>10482.750864331683</v>
      </c>
      <c r="Z298" s="140">
        <f t="shared" si="171"/>
        <v>10482.156571907079</v>
      </c>
      <c r="AA298" s="140">
        <f t="shared" si="171"/>
        <v>10482.582228234576</v>
      </c>
      <c r="AB298" s="140">
        <f t="shared" si="171"/>
        <v>10482.496548508367</v>
      </c>
      <c r="AC298" s="140">
        <f t="shared" si="171"/>
        <v>10482.411779470465</v>
      </c>
      <c r="AD298" s="140">
        <f t="shared" si="171"/>
        <v>10482.49685158208</v>
      </c>
      <c r="AE298" s="140">
        <f t="shared" si="171"/>
        <v>10482.468393025105</v>
      </c>
      <c r="AF298" s="140">
        <f t="shared" si="171"/>
        <v>10482.459007899597</v>
      </c>
      <c r="AG298" s="140">
        <f t="shared" si="171"/>
        <v>10482.474750809444</v>
      </c>
    </row>
    <row r="299" spans="1:33" ht="14.25" customHeight="1" x14ac:dyDescent="0.35">
      <c r="A299" s="21"/>
      <c r="B299" s="21"/>
      <c r="C299" s="21"/>
      <c r="D299" s="128" t="s">
        <v>4059</v>
      </c>
      <c r="E299" s="128"/>
      <c r="F299" s="21"/>
      <c r="G299" s="21"/>
      <c r="H299" s="21"/>
      <c r="I299" s="22" t="s">
        <v>3915</v>
      </c>
      <c r="J299" s="132">
        <v>15590.5301</v>
      </c>
      <c r="K299" s="132">
        <v>16240.054700000001</v>
      </c>
      <c r="L299" s="132">
        <v>16341.638800000001</v>
      </c>
      <c r="M299" s="132">
        <v>17323.567800000001</v>
      </c>
      <c r="N299" s="132">
        <v>17424.95</v>
      </c>
      <c r="O299" s="132">
        <v>17450</v>
      </c>
      <c r="P299" s="132">
        <v>17240.006000000001</v>
      </c>
      <c r="Q299" s="132">
        <v>17262.482800000002</v>
      </c>
      <c r="R299" s="140">
        <v>16772.08626</v>
      </c>
      <c r="S299" s="140">
        <v>16772.08626</v>
      </c>
      <c r="T299" s="140">
        <v>16772.08626</v>
      </c>
      <c r="U299" s="140">
        <v>16772.08626</v>
      </c>
      <c r="V299" s="140">
        <v>16772.08626</v>
      </c>
      <c r="W299" s="140">
        <v>16772.08626</v>
      </c>
      <c r="X299" s="140">
        <v>16772.08626</v>
      </c>
      <c r="Y299" s="140">
        <v>16772.08626</v>
      </c>
      <c r="Z299" s="140">
        <v>16772.08626</v>
      </c>
      <c r="AA299" s="140">
        <v>16772.08626</v>
      </c>
      <c r="AB299" s="140">
        <v>16772.08626</v>
      </c>
      <c r="AC299" s="140">
        <v>16772.08626</v>
      </c>
      <c r="AD299" s="140">
        <v>16772.08626</v>
      </c>
      <c r="AE299" s="140">
        <v>16772.08626</v>
      </c>
      <c r="AF299" s="140">
        <v>16772.08626</v>
      </c>
      <c r="AG299" s="140">
        <v>16772.08626</v>
      </c>
    </row>
    <row r="300" spans="1:33" ht="14.25" customHeight="1" x14ac:dyDescent="0.35">
      <c r="A300" s="21"/>
      <c r="B300" s="21"/>
      <c r="C300" s="21"/>
      <c r="D300" s="128" t="s">
        <v>4056</v>
      </c>
      <c r="E300" s="128"/>
      <c r="F300" s="21"/>
      <c r="G300" s="21"/>
      <c r="H300" s="21"/>
      <c r="I300" s="22" t="s">
        <v>4060</v>
      </c>
      <c r="J300" s="148">
        <v>236178212.65000001</v>
      </c>
      <c r="K300" s="148">
        <v>-30.35</v>
      </c>
      <c r="L300" s="148">
        <v>154280493.63</v>
      </c>
      <c r="M300" s="148">
        <v>244915943.66999999</v>
      </c>
      <c r="N300" s="148">
        <v>274650619.64999998</v>
      </c>
      <c r="O300" s="148">
        <v>225962183.47999999</v>
      </c>
      <c r="P300" s="148">
        <v>-28.8</v>
      </c>
      <c r="Q300" s="148">
        <v>343420883.87</v>
      </c>
      <c r="R300" s="149">
        <v>86289952</v>
      </c>
      <c r="S300" s="149">
        <f t="shared" ref="S300:AG300" si="172">R304</f>
        <v>176006523.07801962</v>
      </c>
      <c r="T300" s="149">
        <f t="shared" si="172"/>
        <v>176058396.3236692</v>
      </c>
      <c r="U300" s="149">
        <f t="shared" si="172"/>
        <v>175690511.38410568</v>
      </c>
      <c r="V300" s="149">
        <f t="shared" si="172"/>
        <v>175823827.61766648</v>
      </c>
      <c r="W300" s="149">
        <f t="shared" si="172"/>
        <v>175847542.36708355</v>
      </c>
      <c r="X300" s="149">
        <f t="shared" si="172"/>
        <v>175786223.70273352</v>
      </c>
      <c r="Y300" s="149">
        <f t="shared" si="172"/>
        <v>175819084.93183064</v>
      </c>
      <c r="Z300" s="149">
        <f t="shared" si="172"/>
        <v>175817601.77431226</v>
      </c>
      <c r="AA300" s="149">
        <f t="shared" si="172"/>
        <v>175807634.21859169</v>
      </c>
      <c r="AB300" s="149">
        <f t="shared" si="172"/>
        <v>175814773.35988569</v>
      </c>
      <c r="AC300" s="149">
        <f t="shared" si="172"/>
        <v>175813336.3317759</v>
      </c>
      <c r="AD300" s="149">
        <f t="shared" si="172"/>
        <v>175811914.57812309</v>
      </c>
      <c r="AE300" s="149">
        <f t="shared" si="172"/>
        <v>175813341.41491365</v>
      </c>
      <c r="AF300" s="149">
        <f t="shared" si="172"/>
        <v>175812864.10554075</v>
      </c>
      <c r="AG300" s="149">
        <f t="shared" si="172"/>
        <v>175812706.69740605</v>
      </c>
    </row>
    <row r="301" spans="1:33" ht="14.25" customHeight="1" x14ac:dyDescent="0.35">
      <c r="A301" s="21"/>
      <c r="B301" s="21"/>
      <c r="C301" s="21"/>
      <c r="D301" s="128" t="s">
        <v>4057</v>
      </c>
      <c r="E301" s="128"/>
      <c r="F301" s="21"/>
      <c r="G301" s="21"/>
      <c r="H301" s="21"/>
      <c r="I301" s="22" t="s">
        <v>4060</v>
      </c>
      <c r="J301" s="148">
        <v>1555779000</v>
      </c>
      <c r="K301" s="148">
        <v>1619458250</v>
      </c>
      <c r="L301" s="148">
        <v>978700750</v>
      </c>
      <c r="M301" s="148">
        <v>1378956000</v>
      </c>
      <c r="N301" s="148">
        <v>1392950500</v>
      </c>
      <c r="O301" s="148">
        <v>1044906000</v>
      </c>
      <c r="P301" s="148">
        <v>1720725000</v>
      </c>
      <c r="Q301" s="148">
        <v>1379445000</v>
      </c>
      <c r="R301" s="149">
        <f t="shared" ref="R301:AG301" si="173">R297*R299</f>
        <v>1591389023.0477786</v>
      </c>
      <c r="S301" s="149">
        <f t="shared" si="173"/>
        <v>1502166903.2666309</v>
      </c>
      <c r="T301" s="149">
        <f t="shared" si="173"/>
        <v>1498608382.5538931</v>
      </c>
      <c r="U301" s="149">
        <f t="shared" si="173"/>
        <v>1500247026.3162918</v>
      </c>
      <c r="V301" s="149">
        <f t="shared" si="173"/>
        <v>1500339757.0257614</v>
      </c>
      <c r="W301" s="149">
        <f t="shared" si="173"/>
        <v>1499731558.0642877</v>
      </c>
      <c r="X301" s="149">
        <f t="shared" si="173"/>
        <v>1500106107.1259348</v>
      </c>
      <c r="Y301" s="149">
        <f t="shared" si="173"/>
        <v>1500059108.567482</v>
      </c>
      <c r="Z301" s="149">
        <f t="shared" si="173"/>
        <v>1499965581.8448415</v>
      </c>
      <c r="AA301" s="149">
        <f t="shared" si="173"/>
        <v>1500043599.0787196</v>
      </c>
      <c r="AB301" s="149">
        <f t="shared" si="173"/>
        <v>1500022762.3096075</v>
      </c>
      <c r="AC301" s="149">
        <f t="shared" si="173"/>
        <v>1500010647.3047059</v>
      </c>
      <c r="AD301" s="149">
        <f t="shared" si="173"/>
        <v>1500025669.5433986</v>
      </c>
      <c r="AE301" s="149">
        <f t="shared" si="173"/>
        <v>1500019693.0348961</v>
      </c>
      <c r="AF301" s="149">
        <f t="shared" si="173"/>
        <v>1500018669.9435263</v>
      </c>
      <c r="AG301" s="149">
        <f t="shared" si="173"/>
        <v>1500021344.1718776</v>
      </c>
    </row>
    <row r="302" spans="1:33" ht="14.25" customHeight="1" x14ac:dyDescent="0.35">
      <c r="A302" s="21"/>
      <c r="B302" s="21"/>
      <c r="C302" s="21"/>
      <c r="D302" s="128" t="s">
        <v>4061</v>
      </c>
      <c r="E302" s="128"/>
      <c r="F302" s="21"/>
      <c r="G302" s="21"/>
      <c r="H302" s="21"/>
      <c r="I302" s="22" t="s">
        <v>3915</v>
      </c>
      <c r="J302" s="132">
        <v>15543.0414</v>
      </c>
      <c r="K302" s="132">
        <v>16240.054599999999</v>
      </c>
      <c r="L302" s="132">
        <v>16327.7312</v>
      </c>
      <c r="M302" s="132">
        <v>17165.665700000001</v>
      </c>
      <c r="N302" s="132">
        <v>17381.708900000001</v>
      </c>
      <c r="O302" s="132">
        <v>17437.818500000001</v>
      </c>
      <c r="P302" s="132">
        <v>17240.006099999999</v>
      </c>
      <c r="Q302" s="132">
        <v>17257.997800000001</v>
      </c>
      <c r="R302" s="140">
        <f t="shared" ref="R302:AG302" si="174">IF((R296+R297)=0,R299,(R300+R301)/(R296+R297))</f>
        <v>16796.409879772029</v>
      </c>
      <c r="S302" s="140">
        <f t="shared" si="174"/>
        <v>16774.634009465663</v>
      </c>
      <c r="T302" s="140">
        <f t="shared" si="174"/>
        <v>16772.354069528057</v>
      </c>
      <c r="U302" s="140">
        <f t="shared" si="174"/>
        <v>16772.114334387828</v>
      </c>
      <c r="V302" s="140">
        <f t="shared" si="174"/>
        <v>16772.089204902855</v>
      </c>
      <c r="W302" s="140">
        <f t="shared" si="174"/>
        <v>16772.086569059626</v>
      </c>
      <c r="X302" s="140">
        <f t="shared" si="174"/>
        <v>16772.086292417611</v>
      </c>
      <c r="Y302" s="140">
        <f t="shared" si="174"/>
        <v>16772.086263400983</v>
      </c>
      <c r="Z302" s="140">
        <f t="shared" si="174"/>
        <v>16772.08626035682</v>
      </c>
      <c r="AA302" s="140">
        <f t="shared" si="174"/>
        <v>16772.086260037435</v>
      </c>
      <c r="AB302" s="140">
        <f t="shared" si="174"/>
        <v>16772.086260003925</v>
      </c>
      <c r="AC302" s="140">
        <f t="shared" si="174"/>
        <v>16772.086260000411</v>
      </c>
      <c r="AD302" s="140">
        <f t="shared" si="174"/>
        <v>16772.086260000044</v>
      </c>
      <c r="AE302" s="140">
        <f t="shared" si="174"/>
        <v>16772.086260000004</v>
      </c>
      <c r="AF302" s="140">
        <f t="shared" si="174"/>
        <v>16772.08626</v>
      </c>
      <c r="AG302" s="140">
        <f t="shared" si="174"/>
        <v>16772.08626</v>
      </c>
    </row>
    <row r="303" spans="1:33" ht="14.25" customHeight="1" x14ac:dyDescent="0.35">
      <c r="A303" s="21"/>
      <c r="B303" s="21"/>
      <c r="C303" s="21"/>
      <c r="D303" s="128" t="s">
        <v>4049</v>
      </c>
      <c r="E303" s="128"/>
      <c r="F303" s="21"/>
      <c r="G303" s="21"/>
      <c r="H303" s="21"/>
      <c r="I303" s="22" t="s">
        <v>4060</v>
      </c>
      <c r="J303" s="148">
        <v>1791957243.01</v>
      </c>
      <c r="K303" s="148">
        <v>1465177726.01</v>
      </c>
      <c r="L303" s="148">
        <v>888065299.97000003</v>
      </c>
      <c r="M303" s="148">
        <v>1349221324.02</v>
      </c>
      <c r="N303" s="148">
        <v>1441638936.1700001</v>
      </c>
      <c r="O303" s="148">
        <v>1270868212.28</v>
      </c>
      <c r="P303" s="148">
        <v>1377304087.3299999</v>
      </c>
      <c r="Q303" s="148">
        <v>1636575931.3699999</v>
      </c>
      <c r="R303" s="149">
        <f t="shared" ref="R303:AG303" si="175">R290*R302</f>
        <v>1501672451.969759</v>
      </c>
      <c r="S303" s="149">
        <f t="shared" si="175"/>
        <v>1502115030.0209813</v>
      </c>
      <c r="T303" s="149">
        <f t="shared" si="175"/>
        <v>1498976267.4934566</v>
      </c>
      <c r="U303" s="149">
        <f t="shared" si="175"/>
        <v>1500113710.082731</v>
      </c>
      <c r="V303" s="149">
        <f t="shared" si="175"/>
        <v>1500316042.2763443</v>
      </c>
      <c r="W303" s="149">
        <f t="shared" si="175"/>
        <v>1499792876.7286377</v>
      </c>
      <c r="X303" s="149">
        <f t="shared" si="175"/>
        <v>1500073245.8968377</v>
      </c>
      <c r="Y303" s="149">
        <f t="shared" si="175"/>
        <v>1500060591.7250004</v>
      </c>
      <c r="Z303" s="149">
        <f t="shared" si="175"/>
        <v>1499975549.400562</v>
      </c>
      <c r="AA303" s="149">
        <f t="shared" si="175"/>
        <v>1500036459.9374256</v>
      </c>
      <c r="AB303" s="149">
        <f t="shared" si="175"/>
        <v>1500024199.3377173</v>
      </c>
      <c r="AC303" s="149">
        <f t="shared" si="175"/>
        <v>1500012069.0583587</v>
      </c>
      <c r="AD303" s="149">
        <f t="shared" si="175"/>
        <v>1500024242.7066081</v>
      </c>
      <c r="AE303" s="149">
        <f t="shared" si="175"/>
        <v>1500020170.344269</v>
      </c>
      <c r="AF303" s="149">
        <f t="shared" si="175"/>
        <v>1500018827.351661</v>
      </c>
      <c r="AG303" s="149">
        <f t="shared" si="175"/>
        <v>1500021080.1304357</v>
      </c>
    </row>
    <row r="304" spans="1:33" ht="14.25" customHeight="1" x14ac:dyDescent="0.35">
      <c r="A304" s="21"/>
      <c r="B304" s="21"/>
      <c r="C304" s="21"/>
      <c r="D304" s="128" t="s">
        <v>4058</v>
      </c>
      <c r="E304" s="128"/>
      <c r="F304" s="21"/>
      <c r="G304" s="21"/>
      <c r="H304" s="21"/>
      <c r="I304" s="22" t="s">
        <v>4060</v>
      </c>
      <c r="J304" s="148">
        <v>-30.35</v>
      </c>
      <c r="K304" s="148">
        <v>154280493.63</v>
      </c>
      <c r="L304" s="148">
        <v>244915943.66999999</v>
      </c>
      <c r="M304" s="148">
        <v>274650619.64999998</v>
      </c>
      <c r="N304" s="148">
        <v>225962183.47999999</v>
      </c>
      <c r="O304" s="148">
        <v>-28.8</v>
      </c>
      <c r="P304" s="148">
        <v>343420883.87</v>
      </c>
      <c r="Q304" s="148">
        <v>86289952.5</v>
      </c>
      <c r="R304" s="149">
        <f t="shared" ref="R304:AG304" si="176">R300+R301-R303</f>
        <v>176006523.07801962</v>
      </c>
      <c r="S304" s="149">
        <f t="shared" si="176"/>
        <v>176058396.3236692</v>
      </c>
      <c r="T304" s="149">
        <f t="shared" si="176"/>
        <v>175690511.38410568</v>
      </c>
      <c r="U304" s="149">
        <f t="shared" si="176"/>
        <v>175823827.61766648</v>
      </c>
      <c r="V304" s="149">
        <f t="shared" si="176"/>
        <v>175847542.36708355</v>
      </c>
      <c r="W304" s="149">
        <f t="shared" si="176"/>
        <v>175786223.70273352</v>
      </c>
      <c r="X304" s="149">
        <f t="shared" si="176"/>
        <v>175819084.93183064</v>
      </c>
      <c r="Y304" s="149">
        <f t="shared" si="176"/>
        <v>175817601.77431226</v>
      </c>
      <c r="Z304" s="149">
        <f t="shared" si="176"/>
        <v>175807634.21859169</v>
      </c>
      <c r="AA304" s="149">
        <f t="shared" si="176"/>
        <v>175814773.35988569</v>
      </c>
      <c r="AB304" s="149">
        <f t="shared" si="176"/>
        <v>175813336.3317759</v>
      </c>
      <c r="AC304" s="149">
        <f t="shared" si="176"/>
        <v>175811914.57812309</v>
      </c>
      <c r="AD304" s="149">
        <f t="shared" si="176"/>
        <v>175813341.41491365</v>
      </c>
      <c r="AE304" s="149">
        <f t="shared" si="176"/>
        <v>175812864.10554075</v>
      </c>
      <c r="AF304" s="149">
        <f t="shared" si="176"/>
        <v>175812706.69740605</v>
      </c>
      <c r="AG304" s="149">
        <f t="shared" si="176"/>
        <v>175812970.73884797</v>
      </c>
    </row>
    <row r="305" spans="1:33" s="79" customFormat="1" ht="14.25" customHeight="1" x14ac:dyDescent="0.35">
      <c r="A305" s="168"/>
      <c r="B305" s="167" t="s">
        <v>4066</v>
      </c>
      <c r="C305" s="167" t="s">
        <v>32</v>
      </c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  <c r="Y305" s="168"/>
      <c r="Z305" s="168"/>
      <c r="AA305" s="168"/>
      <c r="AB305" s="168"/>
      <c r="AC305" s="168"/>
      <c r="AD305" s="168"/>
      <c r="AE305" s="168"/>
      <c r="AF305" s="168"/>
      <c r="AG305" s="168"/>
    </row>
    <row r="306" spans="1:33" ht="14.25" customHeight="1" x14ac:dyDescent="0.35">
      <c r="A306" s="21"/>
      <c r="B306" s="21"/>
      <c r="C306" s="21"/>
      <c r="D306" s="128" t="s">
        <v>4049</v>
      </c>
      <c r="E306" s="128"/>
      <c r="F306" s="21"/>
      <c r="G306" s="21"/>
      <c r="H306" s="21"/>
      <c r="I306" s="22" t="s">
        <v>4067</v>
      </c>
      <c r="J306" s="132">
        <v>117481.13</v>
      </c>
      <c r="K306" s="132">
        <v>109200.1</v>
      </c>
      <c r="L306" s="132">
        <v>84351.73</v>
      </c>
      <c r="M306" s="132">
        <v>92133.06</v>
      </c>
      <c r="N306" s="132">
        <v>102361.16</v>
      </c>
      <c r="O306" s="132">
        <v>112357.63</v>
      </c>
      <c r="P306" s="132">
        <v>110484.46</v>
      </c>
      <c r="Q306" s="132">
        <v>121727.84</v>
      </c>
      <c r="R306" s="140">
        <f t="shared" ref="R306:AG306" si="177">R447+R603+R767</f>
        <v>4781.1281698250905</v>
      </c>
      <c r="S306" s="140">
        <f t="shared" si="177"/>
        <v>4788.8086772478919</v>
      </c>
      <c r="T306" s="140">
        <f t="shared" si="177"/>
        <v>4779.3745305864022</v>
      </c>
      <c r="U306" s="140">
        <f t="shared" si="177"/>
        <v>4783.1001095784986</v>
      </c>
      <c r="V306" s="140">
        <f t="shared" si="177"/>
        <v>4783.7578024605991</v>
      </c>
      <c r="W306" s="140">
        <f t="shared" si="177"/>
        <v>4782.0766626812911</v>
      </c>
      <c r="X306" s="140">
        <f t="shared" si="177"/>
        <v>4782.978086524934</v>
      </c>
      <c r="Y306" s="140">
        <f t="shared" si="177"/>
        <v>4782.9374136265387</v>
      </c>
      <c r="Z306" s="140">
        <f t="shared" si="177"/>
        <v>4782.6640163378343</v>
      </c>
      <c r="AA306" s="140">
        <f t="shared" si="177"/>
        <v>4782.8598345597111</v>
      </c>
      <c r="AB306" s="140">
        <f t="shared" si="177"/>
        <v>4782.8204186023913</v>
      </c>
      <c r="AC306" s="140">
        <f t="shared" si="177"/>
        <v>4782.78142159659</v>
      </c>
      <c r="AD306" s="140">
        <f t="shared" si="177"/>
        <v>4782.8205580279082</v>
      </c>
      <c r="AE306" s="140">
        <f t="shared" si="177"/>
        <v>4782.8074660011671</v>
      </c>
      <c r="AF306" s="140">
        <f t="shared" si="177"/>
        <v>4782.8031484837948</v>
      </c>
      <c r="AG306" s="140">
        <f t="shared" si="177"/>
        <v>4782.8103908255925</v>
      </c>
    </row>
    <row r="307" spans="1:33" ht="14.25" customHeight="1" x14ac:dyDescent="0.35">
      <c r="A307" s="21"/>
      <c r="B307" s="21"/>
      <c r="C307" s="21"/>
      <c r="D307" s="128" t="s">
        <v>4050</v>
      </c>
      <c r="E307" s="128"/>
      <c r="F307" s="21"/>
      <c r="G307" s="21"/>
      <c r="H307" s="21"/>
      <c r="I307" s="22" t="s">
        <v>4067</v>
      </c>
      <c r="J307" s="132"/>
      <c r="K307" s="132"/>
      <c r="L307" s="132"/>
      <c r="M307" s="132"/>
      <c r="N307" s="132"/>
      <c r="O307" s="132"/>
      <c r="P307" s="132"/>
      <c r="Q307" s="132"/>
      <c r="R307" s="140">
        <f>IF('Input Operasional'!Q7=0,0,R306/'Input Operasional'!Q7)</f>
        <v>183.88954499327272</v>
      </c>
      <c r="S307" s="140">
        <f>IF('Input Operasional'!R7=0,0,S306/'Input Operasional'!R7)</f>
        <v>177.3632843425145</v>
      </c>
      <c r="T307" s="140">
        <f>IF('Input Operasional'!S7=0,0,T306/'Input Operasional'!S7)</f>
        <v>183.82209733024624</v>
      </c>
      <c r="U307" s="140">
        <f>IF('Input Operasional'!T7=0,0,U306/'Input Operasional'!T7)</f>
        <v>177.15185591031477</v>
      </c>
      <c r="V307" s="140">
        <f>IF('Input Operasional'!U7=0,0,V306/'Input Operasional'!U7)</f>
        <v>177.17621490594811</v>
      </c>
      <c r="W307" s="140">
        <f>IF('Input Operasional'!V7=0,0,W306/'Input Operasional'!V7)</f>
        <v>199.25319427838713</v>
      </c>
      <c r="X307" s="140">
        <f>IF('Input Operasional'!W7=0,0,X306/'Input Operasional'!W7)</f>
        <v>177.14733653796051</v>
      </c>
      <c r="Y307" s="140">
        <f>IF('Input Operasional'!X7=0,0,Y306/'Input Operasional'!X7)</f>
        <v>183.95913129332843</v>
      </c>
      <c r="Z307" s="140">
        <f>IF('Input Operasional'!Y7=0,0,Z306/'Input Operasional'!Y7)</f>
        <v>177.13570430880867</v>
      </c>
      <c r="AA307" s="140">
        <f>IF('Input Operasional'!Z7=0,0,AA306/'Input Operasional'!Z7)</f>
        <v>183.95614748306582</v>
      </c>
      <c r="AB307" s="140">
        <f>IF('Input Operasional'!AA7=0,0,AB306/'Input Operasional'!AA7)</f>
        <v>177.14149698527376</v>
      </c>
      <c r="AC307" s="140">
        <f>IF('Input Operasional'!AB7=0,0,AC306/'Input Operasional'!AB7)</f>
        <v>177.14005265172557</v>
      </c>
      <c r="AD307" s="140">
        <f>IF('Input Operasional'!AC7=0,0,AD306/'Input Operasional'!AC7)</f>
        <v>183.95463684722725</v>
      </c>
      <c r="AE307" s="140">
        <f>IF('Input Operasional'!AD7=0,0,AE306/'Input Operasional'!AD7)</f>
        <v>177.14101725930249</v>
      </c>
      <c r="AF307" s="140">
        <f>IF('Input Operasional'!AE7=0,0,AF306/'Input Operasional'!AE7)</f>
        <v>183.95396724937672</v>
      </c>
      <c r="AG307" s="140">
        <f>IF('Input Operasional'!AF7=0,0,AG306/'Input Operasional'!AF7)</f>
        <v>177.14112558613306</v>
      </c>
    </row>
    <row r="308" spans="1:33" ht="14.25" customHeight="1" x14ac:dyDescent="0.35">
      <c r="A308" s="21"/>
      <c r="B308" s="21"/>
      <c r="C308" s="21"/>
      <c r="D308" s="128" t="s">
        <v>4051</v>
      </c>
      <c r="E308" s="128"/>
      <c r="F308" s="21"/>
      <c r="G308" s="21"/>
      <c r="H308" s="21"/>
      <c r="I308" s="22" t="s">
        <v>13</v>
      </c>
      <c r="J308" s="142"/>
      <c r="K308" s="142"/>
      <c r="L308" s="142"/>
      <c r="M308" s="142"/>
      <c r="N308" s="142"/>
      <c r="O308" s="142"/>
      <c r="P308" s="142"/>
      <c r="Q308" s="142"/>
      <c r="R308" s="126">
        <f>'Input Operasional'!Q167</f>
        <v>0</v>
      </c>
      <c r="S308" s="126">
        <f>'Input Operasional'!R167</f>
        <v>0</v>
      </c>
      <c r="T308" s="126">
        <f>'Input Operasional'!S167</f>
        <v>0</v>
      </c>
      <c r="U308" s="126">
        <f>'Input Operasional'!T167</f>
        <v>0</v>
      </c>
      <c r="V308" s="126">
        <f>'Input Operasional'!U167</f>
        <v>0</v>
      </c>
      <c r="W308" s="126">
        <f>'Input Operasional'!V167</f>
        <v>0</v>
      </c>
      <c r="X308" s="126">
        <f>'Input Operasional'!W167</f>
        <v>0</v>
      </c>
      <c r="Y308" s="126">
        <f>'Input Operasional'!X167</f>
        <v>0</v>
      </c>
      <c r="Z308" s="126">
        <f>'Input Operasional'!Y167</f>
        <v>0</v>
      </c>
      <c r="AA308" s="126">
        <f>'Input Operasional'!Z167</f>
        <v>0</v>
      </c>
      <c r="AB308" s="126">
        <f>'Input Operasional'!AA167</f>
        <v>0</v>
      </c>
      <c r="AC308" s="126">
        <f>'Input Operasional'!AB167</f>
        <v>0</v>
      </c>
      <c r="AD308" s="126">
        <f>'Input Operasional'!AC167</f>
        <v>0</v>
      </c>
      <c r="AE308" s="126">
        <f>'Input Operasional'!AD167</f>
        <v>0</v>
      </c>
      <c r="AF308" s="126">
        <f>'Input Operasional'!AE167</f>
        <v>0</v>
      </c>
      <c r="AG308" s="126">
        <f>'Input Operasional'!AF167</f>
        <v>0</v>
      </c>
    </row>
    <row r="309" spans="1:33" ht="14.25" customHeight="1" x14ac:dyDescent="0.35">
      <c r="A309" s="21"/>
      <c r="B309" s="21"/>
      <c r="C309" s="21"/>
      <c r="D309" s="128" t="s">
        <v>4052</v>
      </c>
      <c r="E309" s="128"/>
      <c r="F309" s="21"/>
      <c r="G309" s="21"/>
      <c r="H309" s="21"/>
      <c r="I309" s="22" t="s">
        <v>4067</v>
      </c>
      <c r="J309" s="132"/>
      <c r="K309" s="132"/>
      <c r="L309" s="132"/>
      <c r="M309" s="132"/>
      <c r="N309" s="132"/>
      <c r="O309" s="132"/>
      <c r="P309" s="132"/>
      <c r="Q309" s="132"/>
      <c r="R309" s="140">
        <f t="shared" ref="R309:AG309" si="178">R308*R306</f>
        <v>0</v>
      </c>
      <c r="S309" s="140">
        <f t="shared" si="178"/>
        <v>0</v>
      </c>
      <c r="T309" s="140">
        <f t="shared" si="178"/>
        <v>0</v>
      </c>
      <c r="U309" s="140">
        <f t="shared" si="178"/>
        <v>0</v>
      </c>
      <c r="V309" s="140">
        <f t="shared" si="178"/>
        <v>0</v>
      </c>
      <c r="W309" s="140">
        <f t="shared" si="178"/>
        <v>0</v>
      </c>
      <c r="X309" s="140">
        <f t="shared" si="178"/>
        <v>0</v>
      </c>
      <c r="Y309" s="140">
        <f t="shared" si="178"/>
        <v>0</v>
      </c>
      <c r="Z309" s="140">
        <f t="shared" si="178"/>
        <v>0</v>
      </c>
      <c r="AA309" s="140">
        <f t="shared" si="178"/>
        <v>0</v>
      </c>
      <c r="AB309" s="140">
        <f t="shared" si="178"/>
        <v>0</v>
      </c>
      <c r="AC309" s="140">
        <f t="shared" si="178"/>
        <v>0</v>
      </c>
      <c r="AD309" s="140">
        <f t="shared" si="178"/>
        <v>0</v>
      </c>
      <c r="AE309" s="140">
        <f t="shared" si="178"/>
        <v>0</v>
      </c>
      <c r="AF309" s="140">
        <f t="shared" si="178"/>
        <v>0</v>
      </c>
      <c r="AG309" s="140">
        <f t="shared" si="178"/>
        <v>0</v>
      </c>
    </row>
    <row r="310" spans="1:33" ht="14.25" customHeight="1" x14ac:dyDescent="0.35">
      <c r="A310" s="21"/>
      <c r="B310" s="21"/>
      <c r="C310" s="21"/>
      <c r="D310" s="128" t="s">
        <v>4053</v>
      </c>
      <c r="E310" s="128"/>
      <c r="F310" s="21"/>
      <c r="G310" s="21"/>
      <c r="H310" s="21"/>
      <c r="I310" s="22" t="s">
        <v>4054</v>
      </c>
      <c r="J310" s="132"/>
      <c r="K310" s="132"/>
      <c r="L310" s="132"/>
      <c r="M310" s="132"/>
      <c r="N310" s="132"/>
      <c r="O310" s="132"/>
      <c r="P310" s="132"/>
      <c r="Q310" s="132"/>
      <c r="R310" s="140">
        <f>'Input Operasional'!Q177</f>
        <v>0</v>
      </c>
      <c r="S310" s="140">
        <f>'Input Operasional'!R177</f>
        <v>0</v>
      </c>
      <c r="T310" s="140">
        <f>'Input Operasional'!S177</f>
        <v>0</v>
      </c>
      <c r="U310" s="140">
        <f>'Input Operasional'!T177</f>
        <v>0</v>
      </c>
      <c r="V310" s="140">
        <f>'Input Operasional'!U177</f>
        <v>0</v>
      </c>
      <c r="W310" s="140">
        <f>'Input Operasional'!V177</f>
        <v>0</v>
      </c>
      <c r="X310" s="140">
        <f>'Input Operasional'!W177</f>
        <v>0</v>
      </c>
      <c r="Y310" s="140">
        <f>'Input Operasional'!X177</f>
        <v>0</v>
      </c>
      <c r="Z310" s="140">
        <f>'Input Operasional'!Y177</f>
        <v>0</v>
      </c>
      <c r="AA310" s="140">
        <f>'Input Operasional'!Z177</f>
        <v>0</v>
      </c>
      <c r="AB310" s="140">
        <f>'Input Operasional'!AA177</f>
        <v>0</v>
      </c>
      <c r="AC310" s="140">
        <f>'Input Operasional'!AB177</f>
        <v>0</v>
      </c>
      <c r="AD310" s="140">
        <f>'Input Operasional'!AC177</f>
        <v>0</v>
      </c>
      <c r="AE310" s="140">
        <f>'Input Operasional'!AD177</f>
        <v>0</v>
      </c>
      <c r="AF310" s="140">
        <f>'Input Operasional'!AE177</f>
        <v>0</v>
      </c>
      <c r="AG310" s="140">
        <f>'Input Operasional'!AF177</f>
        <v>0</v>
      </c>
    </row>
    <row r="311" spans="1:33" ht="14.25" customHeight="1" x14ac:dyDescent="0.35">
      <c r="A311" s="21"/>
      <c r="B311" s="21"/>
      <c r="C311" s="21"/>
      <c r="D311" s="128" t="s">
        <v>4055</v>
      </c>
      <c r="E311" s="128"/>
      <c r="F311" s="21"/>
      <c r="G311" s="21"/>
      <c r="H311" s="21"/>
      <c r="I311" s="22" t="s">
        <v>4067</v>
      </c>
      <c r="J311" s="132"/>
      <c r="K311" s="132"/>
      <c r="L311" s="132"/>
      <c r="M311" s="132"/>
      <c r="N311" s="132"/>
      <c r="O311" s="132"/>
      <c r="P311" s="132"/>
      <c r="Q311" s="132"/>
      <c r="R311" s="140">
        <f t="shared" ref="R311:AG311" si="179">R309+R310*R307</f>
        <v>0</v>
      </c>
      <c r="S311" s="140">
        <f t="shared" si="179"/>
        <v>0</v>
      </c>
      <c r="T311" s="140">
        <f t="shared" si="179"/>
        <v>0</v>
      </c>
      <c r="U311" s="140">
        <f t="shared" si="179"/>
        <v>0</v>
      </c>
      <c r="V311" s="140">
        <f t="shared" si="179"/>
        <v>0</v>
      </c>
      <c r="W311" s="140">
        <f t="shared" si="179"/>
        <v>0</v>
      </c>
      <c r="X311" s="140">
        <f t="shared" si="179"/>
        <v>0</v>
      </c>
      <c r="Y311" s="140">
        <f t="shared" si="179"/>
        <v>0</v>
      </c>
      <c r="Z311" s="140">
        <f t="shared" si="179"/>
        <v>0</v>
      </c>
      <c r="AA311" s="140">
        <f t="shared" si="179"/>
        <v>0</v>
      </c>
      <c r="AB311" s="140">
        <f t="shared" si="179"/>
        <v>0</v>
      </c>
      <c r="AC311" s="140">
        <f t="shared" si="179"/>
        <v>0</v>
      </c>
      <c r="AD311" s="140">
        <f t="shared" si="179"/>
        <v>0</v>
      </c>
      <c r="AE311" s="140">
        <f t="shared" si="179"/>
        <v>0</v>
      </c>
      <c r="AF311" s="140">
        <f t="shared" si="179"/>
        <v>0</v>
      </c>
      <c r="AG311" s="140">
        <f t="shared" si="179"/>
        <v>0</v>
      </c>
    </row>
    <row r="312" spans="1:33" ht="14.25" customHeight="1" x14ac:dyDescent="0.35">
      <c r="A312" s="21"/>
      <c r="B312" s="21"/>
      <c r="C312" s="21"/>
      <c r="D312" s="128" t="s">
        <v>4056</v>
      </c>
      <c r="E312" s="128"/>
      <c r="F312" s="21"/>
      <c r="G312" s="21"/>
      <c r="H312" s="21"/>
      <c r="I312" s="22" t="s">
        <v>4067</v>
      </c>
      <c r="J312" s="132">
        <v>0</v>
      </c>
      <c r="K312" s="132">
        <v>0</v>
      </c>
      <c r="L312" s="132">
        <v>0</v>
      </c>
      <c r="M312" s="132">
        <v>0</v>
      </c>
      <c r="N312" s="132">
        <v>0</v>
      </c>
      <c r="O312" s="132">
        <v>0</v>
      </c>
      <c r="P312" s="132">
        <v>0</v>
      </c>
      <c r="Q312" s="132">
        <v>0</v>
      </c>
      <c r="R312" s="140">
        <v>0</v>
      </c>
      <c r="S312" s="140">
        <f t="shared" ref="S312:AG312" si="180">R314</f>
        <v>0</v>
      </c>
      <c r="T312" s="140">
        <f t="shared" si="180"/>
        <v>0</v>
      </c>
      <c r="U312" s="140">
        <f t="shared" si="180"/>
        <v>0</v>
      </c>
      <c r="V312" s="140">
        <f t="shared" si="180"/>
        <v>0</v>
      </c>
      <c r="W312" s="140">
        <f t="shared" si="180"/>
        <v>0</v>
      </c>
      <c r="X312" s="140">
        <f t="shared" si="180"/>
        <v>0</v>
      </c>
      <c r="Y312" s="140">
        <f t="shared" si="180"/>
        <v>0</v>
      </c>
      <c r="Z312" s="140">
        <f t="shared" si="180"/>
        <v>0</v>
      </c>
      <c r="AA312" s="140">
        <f t="shared" si="180"/>
        <v>0</v>
      </c>
      <c r="AB312" s="140">
        <f t="shared" si="180"/>
        <v>0</v>
      </c>
      <c r="AC312" s="140">
        <f t="shared" si="180"/>
        <v>0</v>
      </c>
      <c r="AD312" s="140">
        <f t="shared" si="180"/>
        <v>0</v>
      </c>
      <c r="AE312" s="140">
        <f t="shared" si="180"/>
        <v>0</v>
      </c>
      <c r="AF312" s="140">
        <f t="shared" si="180"/>
        <v>0</v>
      </c>
      <c r="AG312" s="140">
        <f t="shared" si="180"/>
        <v>0</v>
      </c>
    </row>
    <row r="313" spans="1:33" ht="14.25" customHeight="1" x14ac:dyDescent="0.35">
      <c r="A313" s="21"/>
      <c r="B313" s="21"/>
      <c r="C313" s="21"/>
      <c r="D313" s="128" t="s">
        <v>4057</v>
      </c>
      <c r="E313" s="128"/>
      <c r="F313" s="21"/>
      <c r="G313" s="21"/>
      <c r="H313" s="21"/>
      <c r="I313" s="22" t="s">
        <v>4067</v>
      </c>
      <c r="J313" s="132">
        <v>117481.13</v>
      </c>
      <c r="K313" s="132">
        <v>109200.1</v>
      </c>
      <c r="L313" s="132">
        <v>84351.73</v>
      </c>
      <c r="M313" s="132">
        <v>92133.06</v>
      </c>
      <c r="N313" s="132">
        <v>102361.16</v>
      </c>
      <c r="O313" s="132">
        <v>112357.63</v>
      </c>
      <c r="P313" s="132">
        <v>110484.46</v>
      </c>
      <c r="Q313" s="132">
        <v>121727.84</v>
      </c>
      <c r="R313" s="140">
        <f t="shared" ref="R313:AG313" si="181">MAX(0,R306+R311-R312)</f>
        <v>4781.1281698250905</v>
      </c>
      <c r="S313" s="140">
        <f t="shared" si="181"/>
        <v>4788.8086772478919</v>
      </c>
      <c r="T313" s="140">
        <f t="shared" si="181"/>
        <v>4779.3745305864022</v>
      </c>
      <c r="U313" s="140">
        <f t="shared" si="181"/>
        <v>4783.1001095784986</v>
      </c>
      <c r="V313" s="140">
        <f t="shared" si="181"/>
        <v>4783.7578024605991</v>
      </c>
      <c r="W313" s="140">
        <f t="shared" si="181"/>
        <v>4782.0766626812911</v>
      </c>
      <c r="X313" s="140">
        <f t="shared" si="181"/>
        <v>4782.978086524934</v>
      </c>
      <c r="Y313" s="140">
        <f t="shared" si="181"/>
        <v>4782.9374136265387</v>
      </c>
      <c r="Z313" s="140">
        <f t="shared" si="181"/>
        <v>4782.6640163378343</v>
      </c>
      <c r="AA313" s="140">
        <f t="shared" si="181"/>
        <v>4782.8598345597111</v>
      </c>
      <c r="AB313" s="140">
        <f t="shared" si="181"/>
        <v>4782.8204186023913</v>
      </c>
      <c r="AC313" s="140">
        <f t="shared" si="181"/>
        <v>4782.78142159659</v>
      </c>
      <c r="AD313" s="140">
        <f t="shared" si="181"/>
        <v>4782.8205580279082</v>
      </c>
      <c r="AE313" s="140">
        <f t="shared" si="181"/>
        <v>4782.8074660011671</v>
      </c>
      <c r="AF313" s="140">
        <f t="shared" si="181"/>
        <v>4782.8031484837948</v>
      </c>
      <c r="AG313" s="140">
        <f t="shared" si="181"/>
        <v>4782.8103908255925</v>
      </c>
    </row>
    <row r="314" spans="1:33" ht="14.25" customHeight="1" x14ac:dyDescent="0.35">
      <c r="A314" s="21"/>
      <c r="B314" s="21"/>
      <c r="C314" s="21"/>
      <c r="D314" s="128" t="s">
        <v>4058</v>
      </c>
      <c r="E314" s="128"/>
      <c r="F314" s="21"/>
      <c r="G314" s="21"/>
      <c r="H314" s="21"/>
      <c r="I314" s="22" t="s">
        <v>4067</v>
      </c>
      <c r="J314" s="132">
        <v>0</v>
      </c>
      <c r="K314" s="132">
        <v>0</v>
      </c>
      <c r="L314" s="132">
        <v>0</v>
      </c>
      <c r="M314" s="132">
        <v>0</v>
      </c>
      <c r="N314" s="132">
        <v>0</v>
      </c>
      <c r="O314" s="132">
        <v>0</v>
      </c>
      <c r="P314" s="132">
        <v>0</v>
      </c>
      <c r="Q314" s="132">
        <v>0</v>
      </c>
      <c r="R314" s="140">
        <f t="shared" ref="R314:AG314" si="182">R312+R313-R306</f>
        <v>0</v>
      </c>
      <c r="S314" s="140">
        <f t="shared" si="182"/>
        <v>0</v>
      </c>
      <c r="T314" s="140">
        <f t="shared" si="182"/>
        <v>0</v>
      </c>
      <c r="U314" s="140">
        <f t="shared" si="182"/>
        <v>0</v>
      </c>
      <c r="V314" s="140">
        <f t="shared" si="182"/>
        <v>0</v>
      </c>
      <c r="W314" s="140">
        <f t="shared" si="182"/>
        <v>0</v>
      </c>
      <c r="X314" s="140">
        <f t="shared" si="182"/>
        <v>0</v>
      </c>
      <c r="Y314" s="140">
        <f t="shared" si="182"/>
        <v>0</v>
      </c>
      <c r="Z314" s="140">
        <f t="shared" si="182"/>
        <v>0</v>
      </c>
      <c r="AA314" s="140">
        <f t="shared" si="182"/>
        <v>0</v>
      </c>
      <c r="AB314" s="140">
        <f t="shared" si="182"/>
        <v>0</v>
      </c>
      <c r="AC314" s="140">
        <f t="shared" si="182"/>
        <v>0</v>
      </c>
      <c r="AD314" s="140">
        <f t="shared" si="182"/>
        <v>0</v>
      </c>
      <c r="AE314" s="140">
        <f t="shared" si="182"/>
        <v>0</v>
      </c>
      <c r="AF314" s="140">
        <f t="shared" si="182"/>
        <v>0</v>
      </c>
      <c r="AG314" s="140">
        <f t="shared" si="182"/>
        <v>0</v>
      </c>
    </row>
    <row r="315" spans="1:33" ht="14.25" customHeight="1" x14ac:dyDescent="0.35">
      <c r="A315" s="21"/>
      <c r="B315" s="21"/>
      <c r="C315" s="21"/>
      <c r="D315" s="128" t="s">
        <v>4059</v>
      </c>
      <c r="E315" s="128"/>
      <c r="F315" s="21"/>
      <c r="G315" s="21"/>
      <c r="H315" s="21"/>
      <c r="I315" s="22" t="s">
        <v>4068</v>
      </c>
      <c r="J315" s="132">
        <v>9627.4495000000006</v>
      </c>
      <c r="K315" s="132">
        <v>9614.3577999999998</v>
      </c>
      <c r="L315" s="132">
        <v>9697.1231000000007</v>
      </c>
      <c r="M315" s="132">
        <v>9865.2499000000007</v>
      </c>
      <c r="N315" s="132">
        <v>10106.737300000001</v>
      </c>
      <c r="O315" s="132">
        <v>10190.712100000001</v>
      </c>
      <c r="P315" s="132">
        <v>10328.134099999999</v>
      </c>
      <c r="Q315" s="132">
        <v>10173.365900000001</v>
      </c>
      <c r="R315" s="140">
        <v>229500</v>
      </c>
      <c r="S315" s="140">
        <v>229500</v>
      </c>
      <c r="T315" s="140">
        <v>229500</v>
      </c>
      <c r="U315" s="140">
        <v>229500</v>
      </c>
      <c r="V315" s="140">
        <v>229500</v>
      </c>
      <c r="W315" s="140">
        <v>229500</v>
      </c>
      <c r="X315" s="140">
        <v>229500</v>
      </c>
      <c r="Y315" s="140">
        <v>229500</v>
      </c>
      <c r="Z315" s="140">
        <v>229500</v>
      </c>
      <c r="AA315" s="140">
        <v>229500</v>
      </c>
      <c r="AB315" s="140">
        <v>229500</v>
      </c>
      <c r="AC315" s="140">
        <v>229500</v>
      </c>
      <c r="AD315" s="140">
        <v>229500</v>
      </c>
      <c r="AE315" s="140">
        <v>229500</v>
      </c>
      <c r="AF315" s="140">
        <v>229500</v>
      </c>
      <c r="AG315" s="140">
        <v>229500</v>
      </c>
    </row>
    <row r="316" spans="1:33" ht="14.25" customHeight="1" x14ac:dyDescent="0.35">
      <c r="A316" s="21"/>
      <c r="B316" s="21"/>
      <c r="C316" s="21"/>
      <c r="D316" s="128" t="s">
        <v>4056</v>
      </c>
      <c r="E316" s="128"/>
      <c r="F316" s="21"/>
      <c r="G316" s="21"/>
      <c r="H316" s="21"/>
      <c r="I316" s="22" t="s">
        <v>4060</v>
      </c>
      <c r="J316" s="148">
        <v>-11.98</v>
      </c>
      <c r="K316" s="148">
        <v>-6.53</v>
      </c>
      <c r="L316" s="148">
        <v>-5.93</v>
      </c>
      <c r="M316" s="148">
        <v>-6.68</v>
      </c>
      <c r="N316" s="148">
        <v>-8.34</v>
      </c>
      <c r="O316" s="148">
        <v>-12.73</v>
      </c>
      <c r="P316" s="148">
        <v>-11.39</v>
      </c>
      <c r="Q316" s="148">
        <v>-16.079999999999998</v>
      </c>
      <c r="R316" s="149">
        <v>-10</v>
      </c>
      <c r="S316" s="149">
        <f t="shared" ref="S316:AG316" si="183">R320</f>
        <v>0</v>
      </c>
      <c r="T316" s="149">
        <f t="shared" si="183"/>
        <v>0</v>
      </c>
      <c r="U316" s="149">
        <f t="shared" si="183"/>
        <v>0</v>
      </c>
      <c r="V316" s="149">
        <f t="shared" si="183"/>
        <v>0</v>
      </c>
      <c r="W316" s="149">
        <f t="shared" si="183"/>
        <v>0</v>
      </c>
      <c r="X316" s="149">
        <f t="shared" si="183"/>
        <v>0</v>
      </c>
      <c r="Y316" s="149">
        <f t="shared" si="183"/>
        <v>0</v>
      </c>
      <c r="Z316" s="149">
        <f t="shared" si="183"/>
        <v>0</v>
      </c>
      <c r="AA316" s="149">
        <f t="shared" si="183"/>
        <v>0</v>
      </c>
      <c r="AB316" s="149">
        <f t="shared" si="183"/>
        <v>0</v>
      </c>
      <c r="AC316" s="149">
        <f t="shared" si="183"/>
        <v>0</v>
      </c>
      <c r="AD316" s="149">
        <f t="shared" si="183"/>
        <v>0</v>
      </c>
      <c r="AE316" s="149">
        <f t="shared" si="183"/>
        <v>0</v>
      </c>
      <c r="AF316" s="149">
        <f t="shared" si="183"/>
        <v>0</v>
      </c>
      <c r="AG316" s="149">
        <f t="shared" si="183"/>
        <v>0</v>
      </c>
    </row>
    <row r="317" spans="1:33" ht="14.25" customHeight="1" x14ac:dyDescent="0.35">
      <c r="A317" s="21"/>
      <c r="B317" s="21"/>
      <c r="C317" s="21"/>
      <c r="D317" s="128" t="s">
        <v>4057</v>
      </c>
      <c r="E317" s="128"/>
      <c r="F317" s="21"/>
      <c r="G317" s="21"/>
      <c r="H317" s="21"/>
      <c r="I317" s="22" t="s">
        <v>4060</v>
      </c>
      <c r="J317" s="148">
        <v>1131043651.73</v>
      </c>
      <c r="K317" s="148">
        <v>1049888833.8</v>
      </c>
      <c r="L317" s="148">
        <v>817969108.75999999</v>
      </c>
      <c r="M317" s="148">
        <v>908915659.28999996</v>
      </c>
      <c r="N317" s="148">
        <v>1034537349.45</v>
      </c>
      <c r="O317" s="148">
        <v>1145004260.9100001</v>
      </c>
      <c r="P317" s="148">
        <v>1141098314.1600001</v>
      </c>
      <c r="Q317" s="148">
        <v>1238381862.4000001</v>
      </c>
      <c r="R317" s="149">
        <f t="shared" ref="R317:AG317" si="184">R313*R315</f>
        <v>1097268914.9748583</v>
      </c>
      <c r="S317" s="149">
        <f t="shared" si="184"/>
        <v>1099031591.4283912</v>
      </c>
      <c r="T317" s="149">
        <f t="shared" si="184"/>
        <v>1096866454.7695794</v>
      </c>
      <c r="U317" s="149">
        <f t="shared" si="184"/>
        <v>1097721475.1482654</v>
      </c>
      <c r="V317" s="149">
        <f t="shared" si="184"/>
        <v>1097872415.6647074</v>
      </c>
      <c r="W317" s="149">
        <f t="shared" si="184"/>
        <v>1097486594.0853562</v>
      </c>
      <c r="X317" s="149">
        <f t="shared" si="184"/>
        <v>1097693470.8574724</v>
      </c>
      <c r="Y317" s="149">
        <f t="shared" si="184"/>
        <v>1097684136.4272907</v>
      </c>
      <c r="Z317" s="149">
        <f t="shared" si="184"/>
        <v>1097621391.7495329</v>
      </c>
      <c r="AA317" s="149">
        <f t="shared" si="184"/>
        <v>1097666332.0314536</v>
      </c>
      <c r="AB317" s="149">
        <f t="shared" si="184"/>
        <v>1097657286.0692489</v>
      </c>
      <c r="AC317" s="149">
        <f t="shared" si="184"/>
        <v>1097648336.2564175</v>
      </c>
      <c r="AD317" s="149">
        <f t="shared" si="184"/>
        <v>1097657318.067405</v>
      </c>
      <c r="AE317" s="149">
        <f t="shared" si="184"/>
        <v>1097654313.4472678</v>
      </c>
      <c r="AF317" s="149">
        <f t="shared" si="184"/>
        <v>1097653322.5770309</v>
      </c>
      <c r="AG317" s="149">
        <f t="shared" si="184"/>
        <v>1097654984.6944735</v>
      </c>
    </row>
    <row r="318" spans="1:33" ht="14.25" customHeight="1" x14ac:dyDescent="0.35">
      <c r="A318" s="21"/>
      <c r="B318" s="21"/>
      <c r="C318" s="21"/>
      <c r="D318" s="128" t="s">
        <v>4061</v>
      </c>
      <c r="E318" s="128"/>
      <c r="F318" s="21"/>
      <c r="G318" s="21"/>
      <c r="H318" s="21"/>
      <c r="I318" s="22" t="s">
        <v>4068</v>
      </c>
      <c r="J318" s="132">
        <v>9627.4495000000006</v>
      </c>
      <c r="K318" s="132">
        <v>9614.3577999999998</v>
      </c>
      <c r="L318" s="132">
        <v>9697.1231000000007</v>
      </c>
      <c r="M318" s="132">
        <v>9865.2499000000007</v>
      </c>
      <c r="N318" s="132">
        <v>10106.737300000001</v>
      </c>
      <c r="O318" s="132">
        <v>10190.712100000001</v>
      </c>
      <c r="P318" s="132">
        <v>10328.134099999999</v>
      </c>
      <c r="Q318" s="132">
        <v>10173.365900000001</v>
      </c>
      <c r="R318" s="140">
        <f t="shared" ref="R318:AG318" si="185">IF((R312+R313)=0,R315,(R316+R317)/(R312+R313))</f>
        <v>229499.99790844345</v>
      </c>
      <c r="S318" s="140">
        <f t="shared" si="185"/>
        <v>229500</v>
      </c>
      <c r="T318" s="140">
        <f t="shared" si="185"/>
        <v>229500.00000000003</v>
      </c>
      <c r="U318" s="140">
        <f t="shared" si="185"/>
        <v>229499.99999999997</v>
      </c>
      <c r="V318" s="140">
        <f t="shared" si="185"/>
        <v>229499.99999999997</v>
      </c>
      <c r="W318" s="140">
        <f t="shared" si="185"/>
        <v>229500</v>
      </c>
      <c r="X318" s="140">
        <f t="shared" si="185"/>
        <v>229500</v>
      </c>
      <c r="Y318" s="140">
        <f t="shared" si="185"/>
        <v>229500</v>
      </c>
      <c r="Z318" s="140">
        <f t="shared" si="185"/>
        <v>229500</v>
      </c>
      <c r="AA318" s="140">
        <f t="shared" si="185"/>
        <v>229499.99999999997</v>
      </c>
      <c r="AB318" s="140">
        <f t="shared" si="185"/>
        <v>229500.00000000003</v>
      </c>
      <c r="AC318" s="140">
        <f t="shared" si="185"/>
        <v>229500.00000000003</v>
      </c>
      <c r="AD318" s="140">
        <f t="shared" si="185"/>
        <v>229500</v>
      </c>
      <c r="AE318" s="140">
        <f t="shared" si="185"/>
        <v>229499.99999999997</v>
      </c>
      <c r="AF318" s="140">
        <f t="shared" si="185"/>
        <v>229500</v>
      </c>
      <c r="AG318" s="140">
        <f t="shared" si="185"/>
        <v>229500</v>
      </c>
    </row>
    <row r="319" spans="1:33" ht="14.25" customHeight="1" x14ac:dyDescent="0.35">
      <c r="A319" s="21"/>
      <c r="B319" s="21"/>
      <c r="C319" s="21"/>
      <c r="D319" s="128" t="s">
        <v>4049</v>
      </c>
      <c r="E319" s="128"/>
      <c r="F319" s="21"/>
      <c r="G319" s="21"/>
      <c r="H319" s="21"/>
      <c r="I319" s="22" t="s">
        <v>4060</v>
      </c>
      <c r="J319" s="148">
        <v>1131043646.28</v>
      </c>
      <c r="K319" s="148">
        <v>1049888833.2</v>
      </c>
      <c r="L319" s="148">
        <v>817969109.50999999</v>
      </c>
      <c r="M319" s="148">
        <v>908915660.95000005</v>
      </c>
      <c r="N319" s="148">
        <v>1034537353.84</v>
      </c>
      <c r="O319" s="148">
        <v>1145004259.5699999</v>
      </c>
      <c r="P319" s="148">
        <v>1141098318.8499999</v>
      </c>
      <c r="Q319" s="148">
        <v>1238381856.54</v>
      </c>
      <c r="R319" s="149">
        <f t="shared" ref="R319:AG319" si="186">R306*R318</f>
        <v>1097268904.9748583</v>
      </c>
      <c r="S319" s="149">
        <f t="shared" si="186"/>
        <v>1099031591.4283912</v>
      </c>
      <c r="T319" s="149">
        <f t="shared" si="186"/>
        <v>1096866454.7695794</v>
      </c>
      <c r="U319" s="149">
        <f t="shared" si="186"/>
        <v>1097721475.1482654</v>
      </c>
      <c r="V319" s="149">
        <f t="shared" si="186"/>
        <v>1097872415.6647074</v>
      </c>
      <c r="W319" s="149">
        <f t="shared" si="186"/>
        <v>1097486594.0853562</v>
      </c>
      <c r="X319" s="149">
        <f t="shared" si="186"/>
        <v>1097693470.8574724</v>
      </c>
      <c r="Y319" s="149">
        <f t="shared" si="186"/>
        <v>1097684136.4272907</v>
      </c>
      <c r="Z319" s="149">
        <f t="shared" si="186"/>
        <v>1097621391.7495329</v>
      </c>
      <c r="AA319" s="149">
        <f t="shared" si="186"/>
        <v>1097666332.0314536</v>
      </c>
      <c r="AB319" s="149">
        <f t="shared" si="186"/>
        <v>1097657286.0692489</v>
      </c>
      <c r="AC319" s="149">
        <f t="shared" si="186"/>
        <v>1097648336.2564175</v>
      </c>
      <c r="AD319" s="149">
        <f t="shared" si="186"/>
        <v>1097657318.067405</v>
      </c>
      <c r="AE319" s="149">
        <f t="shared" si="186"/>
        <v>1097654313.4472678</v>
      </c>
      <c r="AF319" s="149">
        <f t="shared" si="186"/>
        <v>1097653322.5770309</v>
      </c>
      <c r="AG319" s="149">
        <f t="shared" si="186"/>
        <v>1097654984.6944735</v>
      </c>
    </row>
    <row r="320" spans="1:33" ht="14.25" customHeight="1" x14ac:dyDescent="0.35">
      <c r="A320" s="21"/>
      <c r="B320" s="21"/>
      <c r="C320" s="21"/>
      <c r="D320" s="128" t="s">
        <v>4058</v>
      </c>
      <c r="E320" s="128"/>
      <c r="F320" s="21"/>
      <c r="G320" s="21"/>
      <c r="H320" s="21"/>
      <c r="I320" s="22" t="s">
        <v>4060</v>
      </c>
      <c r="J320" s="148">
        <v>-6.53</v>
      </c>
      <c r="K320" s="148">
        <v>-5.93</v>
      </c>
      <c r="L320" s="148">
        <v>-6.68</v>
      </c>
      <c r="M320" s="148">
        <v>-8.34</v>
      </c>
      <c r="N320" s="148">
        <v>-12.73</v>
      </c>
      <c r="O320" s="148">
        <v>-11.39</v>
      </c>
      <c r="P320" s="148">
        <v>-16.079999999999998</v>
      </c>
      <c r="Q320" s="148">
        <v>-10.210000000000001</v>
      </c>
      <c r="R320" s="149">
        <f t="shared" ref="R320:AG320" si="187">R316+R317-R319</f>
        <v>0</v>
      </c>
      <c r="S320" s="149">
        <f t="shared" si="187"/>
        <v>0</v>
      </c>
      <c r="T320" s="149">
        <f t="shared" si="187"/>
        <v>0</v>
      </c>
      <c r="U320" s="149">
        <f t="shared" si="187"/>
        <v>0</v>
      </c>
      <c r="V320" s="149">
        <f t="shared" si="187"/>
        <v>0</v>
      </c>
      <c r="W320" s="149">
        <f t="shared" si="187"/>
        <v>0</v>
      </c>
      <c r="X320" s="149">
        <f t="shared" si="187"/>
        <v>0</v>
      </c>
      <c r="Y320" s="149">
        <f t="shared" si="187"/>
        <v>0</v>
      </c>
      <c r="Z320" s="149">
        <f t="shared" si="187"/>
        <v>0</v>
      </c>
      <c r="AA320" s="149">
        <f t="shared" si="187"/>
        <v>0</v>
      </c>
      <c r="AB320" s="149">
        <f t="shared" si="187"/>
        <v>0</v>
      </c>
      <c r="AC320" s="149">
        <f t="shared" si="187"/>
        <v>0</v>
      </c>
      <c r="AD320" s="149">
        <f t="shared" si="187"/>
        <v>0</v>
      </c>
      <c r="AE320" s="149">
        <f t="shared" si="187"/>
        <v>0</v>
      </c>
      <c r="AF320" s="149">
        <f t="shared" si="187"/>
        <v>0</v>
      </c>
      <c r="AG320" s="149">
        <f t="shared" si="187"/>
        <v>0</v>
      </c>
    </row>
    <row r="321" spans="1:33" s="79" customFormat="1" ht="14.25" customHeight="1" x14ac:dyDescent="0.35">
      <c r="A321" s="168"/>
      <c r="B321" s="167" t="s">
        <v>4069</v>
      </c>
      <c r="C321" s="167" t="s">
        <v>4070</v>
      </c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  <c r="Z321" s="168"/>
      <c r="AA321" s="168"/>
      <c r="AB321" s="168"/>
      <c r="AC321" s="168"/>
      <c r="AD321" s="168"/>
      <c r="AE321" s="168"/>
      <c r="AF321" s="168"/>
      <c r="AG321" s="168"/>
    </row>
    <row r="322" spans="1:33" ht="14.25" customHeight="1" x14ac:dyDescent="0.35">
      <c r="A322" s="21"/>
      <c r="B322" s="21"/>
      <c r="C322" s="21"/>
      <c r="D322" s="128" t="s">
        <v>4049</v>
      </c>
      <c r="E322" s="128"/>
      <c r="F322" s="21"/>
      <c r="G322" s="21"/>
      <c r="H322" s="21"/>
      <c r="I322" s="22" t="s">
        <v>3900</v>
      </c>
      <c r="J322" s="132">
        <v>2250</v>
      </c>
      <c r="K322" s="132">
        <v>2300</v>
      </c>
      <c r="L322" s="132">
        <v>1700</v>
      </c>
      <c r="M322" s="132">
        <v>1750</v>
      </c>
      <c r="N322" s="132">
        <v>2450</v>
      </c>
      <c r="O322" s="132">
        <v>1900</v>
      </c>
      <c r="P322" s="132">
        <v>2350</v>
      </c>
      <c r="Q322" s="132">
        <v>2300</v>
      </c>
      <c r="R322" s="140">
        <f t="shared" ref="R322:AG322" si="188">R452+R608+R772</f>
        <v>2157.8943763256061</v>
      </c>
      <c r="S322" s="140">
        <f t="shared" si="188"/>
        <v>2161.5344842281374</v>
      </c>
      <c r="T322" s="140">
        <f t="shared" si="188"/>
        <v>2157.0632546692441</v>
      </c>
      <c r="U322" s="140">
        <f t="shared" si="188"/>
        <v>2158.8289595613942</v>
      </c>
      <c r="V322" s="140">
        <f t="shared" si="188"/>
        <v>2159.1406672293624</v>
      </c>
      <c r="W322" s="140">
        <f t="shared" si="188"/>
        <v>2158.3439060443197</v>
      </c>
      <c r="X322" s="140">
        <f t="shared" si="188"/>
        <v>2158.7711278248803</v>
      </c>
      <c r="Y322" s="140">
        <f t="shared" si="188"/>
        <v>2158.7518512679135</v>
      </c>
      <c r="Z322" s="140">
        <f t="shared" si="188"/>
        <v>2158.6222770644968</v>
      </c>
      <c r="AA322" s="140">
        <f t="shared" si="188"/>
        <v>2158.7150833620076</v>
      </c>
      <c r="AB322" s="140">
        <f t="shared" si="188"/>
        <v>2158.6964025210386</v>
      </c>
      <c r="AC322" s="140">
        <f t="shared" si="188"/>
        <v>2158.6779202384005</v>
      </c>
      <c r="AD322" s="140">
        <f t="shared" si="188"/>
        <v>2158.6964686005172</v>
      </c>
      <c r="AE322" s="140">
        <f t="shared" si="188"/>
        <v>2158.6902637513613</v>
      </c>
      <c r="AF322" s="140">
        <f t="shared" si="188"/>
        <v>2158.6882175025598</v>
      </c>
      <c r="AG322" s="140">
        <f t="shared" si="188"/>
        <v>2158.691649945778</v>
      </c>
    </row>
    <row r="323" spans="1:33" ht="14.25" customHeight="1" x14ac:dyDescent="0.35">
      <c r="A323" s="21"/>
      <c r="B323" s="21"/>
      <c r="C323" s="21"/>
      <c r="D323" s="128" t="s">
        <v>4050</v>
      </c>
      <c r="E323" s="128"/>
      <c r="F323" s="21"/>
      <c r="G323" s="21"/>
      <c r="H323" s="21"/>
      <c r="I323" s="22" t="s">
        <v>3900</v>
      </c>
      <c r="J323" s="132"/>
      <c r="K323" s="132"/>
      <c r="L323" s="132"/>
      <c r="M323" s="132"/>
      <c r="N323" s="132"/>
      <c r="O323" s="132"/>
      <c r="P323" s="132"/>
      <c r="Q323" s="132"/>
      <c r="R323" s="140">
        <f>IF('Input Operasional'!Q7=0,0,R322/'Input Operasional'!Q7)</f>
        <v>82.995937550984848</v>
      </c>
      <c r="S323" s="140">
        <f>IF('Input Operasional'!R7=0,0,S322/'Input Operasional'!R7)</f>
        <v>80.056832749190278</v>
      </c>
      <c r="T323" s="140">
        <f>IF('Input Operasional'!S7=0,0,T322/'Input Operasional'!S7)</f>
        <v>82.963971333432468</v>
      </c>
      <c r="U323" s="140">
        <f>IF('Input Operasional'!T7=0,0,U322/'Input Operasional'!T7)</f>
        <v>79.956628131903486</v>
      </c>
      <c r="V323" s="140">
        <f>IF('Input Operasional'!U7=0,0,V322/'Input Operasional'!U7)</f>
        <v>79.968172860346755</v>
      </c>
      <c r="W323" s="140">
        <f>IF('Input Operasional'!V7=0,0,W322/'Input Operasional'!V7)</f>
        <v>89.930996085179984</v>
      </c>
      <c r="X323" s="140">
        <f>IF('Input Operasional'!W7=0,0,X322/'Input Operasional'!W7)</f>
        <v>79.95448621573631</v>
      </c>
      <c r="Y323" s="140">
        <f>IF('Input Operasional'!X7=0,0,Y322/'Input Operasional'!X7)</f>
        <v>83.028917356458209</v>
      </c>
      <c r="Z323" s="140">
        <f>IF('Input Operasional'!Y7=0,0,Z322/'Input Operasional'!Y7)</f>
        <v>79.948973224610995</v>
      </c>
      <c r="AA323" s="140">
        <f>IF('Input Operasional'!Z7=0,0,AA322/'Input Operasional'!Z7)</f>
        <v>83.02750320623106</v>
      </c>
      <c r="AB323" s="140">
        <f>IF('Input Operasional'!AA7=0,0,AB322/'Input Operasional'!AA7)</f>
        <v>79.951718611890314</v>
      </c>
      <c r="AC323" s="140">
        <f>IF('Input Operasional'!AB7=0,0,AC322/'Input Operasional'!AB7)</f>
        <v>79.951034082903718</v>
      </c>
      <c r="AD323" s="140">
        <f>IF('Input Operasional'!AC7=0,0,AD322/'Input Operasional'!AC7)</f>
        <v>83.026787253866047</v>
      </c>
      <c r="AE323" s="140">
        <f>IF('Input Operasional'!AD7=0,0,AE322/'Input Operasional'!AD7)</f>
        <v>79.951491250050424</v>
      </c>
      <c r="AF323" s="140">
        <f>IF('Input Operasional'!AE7=0,0,AF322/'Input Operasional'!AE7)</f>
        <v>83.026469903944616</v>
      </c>
      <c r="AG323" s="140">
        <f>IF('Input Operasional'!AF7=0,0,AG322/'Input Operasional'!AF7)</f>
        <v>79.951542590584367</v>
      </c>
    </row>
    <row r="324" spans="1:33" ht="14.25" customHeight="1" x14ac:dyDescent="0.35">
      <c r="A324" s="21"/>
      <c r="B324" s="21"/>
      <c r="C324" s="21"/>
      <c r="D324" s="128" t="s">
        <v>4051</v>
      </c>
      <c r="E324" s="128"/>
      <c r="F324" s="21"/>
      <c r="G324" s="21"/>
      <c r="H324" s="21"/>
      <c r="I324" s="22" t="s">
        <v>13</v>
      </c>
      <c r="J324" s="142"/>
      <c r="K324" s="142"/>
      <c r="L324" s="142"/>
      <c r="M324" s="142"/>
      <c r="N324" s="142"/>
      <c r="O324" s="142"/>
      <c r="P324" s="142"/>
      <c r="Q324" s="142"/>
      <c r="R324" s="126">
        <f>'Input Operasional'!Q168</f>
        <v>2.6089410000000002</v>
      </c>
      <c r="S324" s="126">
        <f>'Input Operasional'!R168</f>
        <v>2.6089410000000002</v>
      </c>
      <c r="T324" s="126">
        <f>'Input Operasional'!S168</f>
        <v>2.6089410000000002</v>
      </c>
      <c r="U324" s="126">
        <f>'Input Operasional'!T168</f>
        <v>2.6089410000000002</v>
      </c>
      <c r="V324" s="126">
        <f>'Input Operasional'!U168</f>
        <v>2.6089410000000002</v>
      </c>
      <c r="W324" s="126">
        <f>'Input Operasional'!V168</f>
        <v>2.6089410000000002</v>
      </c>
      <c r="X324" s="126">
        <f>'Input Operasional'!W168</f>
        <v>2.6089410000000002</v>
      </c>
      <c r="Y324" s="126">
        <f>'Input Operasional'!X168</f>
        <v>2.6089410000000002</v>
      </c>
      <c r="Z324" s="126">
        <f>'Input Operasional'!Y168</f>
        <v>2.6089410000000002</v>
      </c>
      <c r="AA324" s="126">
        <f>'Input Operasional'!Z168</f>
        <v>2.6089410000000002</v>
      </c>
      <c r="AB324" s="126">
        <f>'Input Operasional'!AA168</f>
        <v>2.6089410000000002</v>
      </c>
      <c r="AC324" s="126">
        <f>'Input Operasional'!AB168</f>
        <v>2.6089410000000002</v>
      </c>
      <c r="AD324" s="126">
        <f>'Input Operasional'!AC168</f>
        <v>2.6089410000000002</v>
      </c>
      <c r="AE324" s="126">
        <f>'Input Operasional'!AD168</f>
        <v>2.6089410000000002</v>
      </c>
      <c r="AF324" s="126">
        <f>'Input Operasional'!AE168</f>
        <v>2.6089410000000002</v>
      </c>
      <c r="AG324" s="126">
        <f>'Input Operasional'!AF168</f>
        <v>2.6089410000000002</v>
      </c>
    </row>
    <row r="325" spans="1:33" ht="14.25" customHeight="1" x14ac:dyDescent="0.35">
      <c r="A325" s="21"/>
      <c r="B325" s="21"/>
      <c r="C325" s="21"/>
      <c r="D325" s="128" t="s">
        <v>4052</v>
      </c>
      <c r="E325" s="128"/>
      <c r="F325" s="21"/>
      <c r="G325" s="21"/>
      <c r="H325" s="21"/>
      <c r="I325" s="22" t="s">
        <v>3900</v>
      </c>
      <c r="J325" s="132"/>
      <c r="K325" s="132"/>
      <c r="L325" s="132"/>
      <c r="M325" s="132"/>
      <c r="N325" s="132"/>
      <c r="O325" s="132"/>
      <c r="P325" s="132"/>
      <c r="Q325" s="132"/>
      <c r="R325" s="140">
        <f t="shared" ref="R325:AG325" si="189">R324*R322</f>
        <v>5629.8191120653037</v>
      </c>
      <c r="S325" s="140">
        <f t="shared" si="189"/>
        <v>5639.3159388166414</v>
      </c>
      <c r="T325" s="140">
        <f t="shared" si="189"/>
        <v>5627.6507647000326</v>
      </c>
      <c r="U325" s="140">
        <f t="shared" si="189"/>
        <v>5632.2573845870638</v>
      </c>
      <c r="V325" s="140">
        <f t="shared" si="189"/>
        <v>5633.0706115020403</v>
      </c>
      <c r="W325" s="140">
        <f t="shared" si="189"/>
        <v>5630.9919085791744</v>
      </c>
      <c r="X325" s="140">
        <f t="shared" si="189"/>
        <v>5632.1065049985718</v>
      </c>
      <c r="Y325" s="140">
        <f t="shared" si="189"/>
        <v>5632.056213598762</v>
      </c>
      <c r="Z325" s="140">
        <f t="shared" si="189"/>
        <v>5631.7181621469254</v>
      </c>
      <c r="AA325" s="140">
        <f t="shared" si="189"/>
        <v>5631.9602883015596</v>
      </c>
      <c r="AB325" s="140">
        <f t="shared" si="189"/>
        <v>5631.9115510896418</v>
      </c>
      <c r="AC325" s="140">
        <f t="shared" si="189"/>
        <v>5631.863331904693</v>
      </c>
      <c r="AD325" s="140">
        <f t="shared" si="189"/>
        <v>5631.9117234871019</v>
      </c>
      <c r="AE325" s="140">
        <f t="shared" si="189"/>
        <v>5631.8955354017407</v>
      </c>
      <c r="AF325" s="140">
        <f t="shared" si="189"/>
        <v>5631.8901968593464</v>
      </c>
      <c r="AG325" s="140">
        <f t="shared" si="189"/>
        <v>5631.8991519011879</v>
      </c>
    </row>
    <row r="326" spans="1:33" ht="14.25" customHeight="1" x14ac:dyDescent="0.35">
      <c r="A326" s="21"/>
      <c r="B326" s="21"/>
      <c r="C326" s="21"/>
      <c r="D326" s="128" t="s">
        <v>4053</v>
      </c>
      <c r="E326" s="128"/>
      <c r="F326" s="21"/>
      <c r="G326" s="21"/>
      <c r="H326" s="21"/>
      <c r="I326" s="22" t="s">
        <v>4054</v>
      </c>
      <c r="J326" s="132"/>
      <c r="K326" s="132"/>
      <c r="L326" s="132"/>
      <c r="M326" s="132"/>
      <c r="N326" s="132"/>
      <c r="O326" s="132"/>
      <c r="P326" s="132"/>
      <c r="Q326" s="132"/>
      <c r="R326" s="140">
        <f>'Input Operasional'!Q178</f>
        <v>0</v>
      </c>
      <c r="S326" s="140">
        <f>'Input Operasional'!R178</f>
        <v>0</v>
      </c>
      <c r="T326" s="140">
        <f>'Input Operasional'!S178</f>
        <v>0</v>
      </c>
      <c r="U326" s="140">
        <f>'Input Operasional'!T178</f>
        <v>0</v>
      </c>
      <c r="V326" s="140">
        <f>'Input Operasional'!U178</f>
        <v>0</v>
      </c>
      <c r="W326" s="140">
        <f>'Input Operasional'!V178</f>
        <v>0</v>
      </c>
      <c r="X326" s="140">
        <f>'Input Operasional'!W178</f>
        <v>0</v>
      </c>
      <c r="Y326" s="140">
        <f>'Input Operasional'!X178</f>
        <v>0</v>
      </c>
      <c r="Z326" s="140">
        <f>'Input Operasional'!Y178</f>
        <v>0</v>
      </c>
      <c r="AA326" s="140">
        <f>'Input Operasional'!Z178</f>
        <v>0</v>
      </c>
      <c r="AB326" s="140">
        <f>'Input Operasional'!AA178</f>
        <v>0</v>
      </c>
      <c r="AC326" s="140">
        <f>'Input Operasional'!AB178</f>
        <v>0</v>
      </c>
      <c r="AD326" s="140">
        <f>'Input Operasional'!AC178</f>
        <v>0</v>
      </c>
      <c r="AE326" s="140">
        <f>'Input Operasional'!AD178</f>
        <v>0</v>
      </c>
      <c r="AF326" s="140">
        <f>'Input Operasional'!AE178</f>
        <v>0</v>
      </c>
      <c r="AG326" s="140">
        <f>'Input Operasional'!AF178</f>
        <v>0</v>
      </c>
    </row>
    <row r="327" spans="1:33" ht="14.25" customHeight="1" x14ac:dyDescent="0.35">
      <c r="A327" s="21"/>
      <c r="B327" s="21"/>
      <c r="C327" s="21"/>
      <c r="D327" s="128" t="s">
        <v>4055</v>
      </c>
      <c r="E327" s="128"/>
      <c r="F327" s="21"/>
      <c r="G327" s="21"/>
      <c r="H327" s="21"/>
      <c r="I327" s="22" t="s">
        <v>3900</v>
      </c>
      <c r="J327" s="132"/>
      <c r="K327" s="132"/>
      <c r="L327" s="132"/>
      <c r="M327" s="132"/>
      <c r="N327" s="132"/>
      <c r="O327" s="132"/>
      <c r="P327" s="132"/>
      <c r="Q327" s="132"/>
      <c r="R327" s="140">
        <f t="shared" ref="R327:AG327" si="190">R325+R326*R323</f>
        <v>5629.8191120653037</v>
      </c>
      <c r="S327" s="140">
        <f t="shared" si="190"/>
        <v>5639.3159388166414</v>
      </c>
      <c r="T327" s="140">
        <f t="shared" si="190"/>
        <v>5627.6507647000326</v>
      </c>
      <c r="U327" s="140">
        <f t="shared" si="190"/>
        <v>5632.2573845870638</v>
      </c>
      <c r="V327" s="140">
        <f t="shared" si="190"/>
        <v>5633.0706115020403</v>
      </c>
      <c r="W327" s="140">
        <f t="shared" si="190"/>
        <v>5630.9919085791744</v>
      </c>
      <c r="X327" s="140">
        <f t="shared" si="190"/>
        <v>5632.1065049985718</v>
      </c>
      <c r="Y327" s="140">
        <f t="shared" si="190"/>
        <v>5632.056213598762</v>
      </c>
      <c r="Z327" s="140">
        <f t="shared" si="190"/>
        <v>5631.7181621469254</v>
      </c>
      <c r="AA327" s="140">
        <f t="shared" si="190"/>
        <v>5631.9602883015596</v>
      </c>
      <c r="AB327" s="140">
        <f t="shared" si="190"/>
        <v>5631.9115510896418</v>
      </c>
      <c r="AC327" s="140">
        <f t="shared" si="190"/>
        <v>5631.863331904693</v>
      </c>
      <c r="AD327" s="140">
        <f t="shared" si="190"/>
        <v>5631.9117234871019</v>
      </c>
      <c r="AE327" s="140">
        <f t="shared" si="190"/>
        <v>5631.8955354017407</v>
      </c>
      <c r="AF327" s="140">
        <f t="shared" si="190"/>
        <v>5631.8901968593464</v>
      </c>
      <c r="AG327" s="140">
        <f t="shared" si="190"/>
        <v>5631.8991519011879</v>
      </c>
    </row>
    <row r="328" spans="1:33" ht="14.25" customHeight="1" x14ac:dyDescent="0.35">
      <c r="A328" s="21"/>
      <c r="B328" s="21"/>
      <c r="C328" s="21"/>
      <c r="D328" s="128" t="s">
        <v>4056</v>
      </c>
      <c r="E328" s="128"/>
      <c r="F328" s="21"/>
      <c r="G328" s="21"/>
      <c r="H328" s="21"/>
      <c r="I328" s="22" t="s">
        <v>3900</v>
      </c>
      <c r="J328" s="132">
        <v>4875</v>
      </c>
      <c r="K328" s="132">
        <v>4625</v>
      </c>
      <c r="L328" s="132">
        <v>7325</v>
      </c>
      <c r="M328" s="132">
        <v>5625</v>
      </c>
      <c r="N328" s="132">
        <v>3875</v>
      </c>
      <c r="O328" s="132">
        <v>6425</v>
      </c>
      <c r="P328" s="132">
        <v>4525</v>
      </c>
      <c r="Q328" s="132">
        <v>7125</v>
      </c>
      <c r="R328" s="140">
        <v>4825</v>
      </c>
      <c r="S328" s="140">
        <f t="shared" ref="S328:AG328" si="191">R330</f>
        <v>5629.8191120653028</v>
      </c>
      <c r="T328" s="140">
        <f t="shared" si="191"/>
        <v>5639.3159388166414</v>
      </c>
      <c r="U328" s="140">
        <f t="shared" si="191"/>
        <v>5627.6507647000326</v>
      </c>
      <c r="V328" s="140">
        <f t="shared" si="191"/>
        <v>5632.2573845870638</v>
      </c>
      <c r="W328" s="140">
        <f t="shared" si="191"/>
        <v>5633.0706115020403</v>
      </c>
      <c r="X328" s="140">
        <f t="shared" si="191"/>
        <v>5630.9919085791744</v>
      </c>
      <c r="Y328" s="140">
        <f t="shared" si="191"/>
        <v>5632.1065049985718</v>
      </c>
      <c r="Z328" s="140">
        <f t="shared" si="191"/>
        <v>5632.056213598762</v>
      </c>
      <c r="AA328" s="140">
        <f t="shared" si="191"/>
        <v>5631.7181621469263</v>
      </c>
      <c r="AB328" s="140">
        <f t="shared" si="191"/>
        <v>5631.9602883015596</v>
      </c>
      <c r="AC328" s="140">
        <f t="shared" si="191"/>
        <v>5631.9115510896427</v>
      </c>
      <c r="AD328" s="140">
        <f t="shared" si="191"/>
        <v>5631.863331904693</v>
      </c>
      <c r="AE328" s="140">
        <f t="shared" si="191"/>
        <v>5631.911723487101</v>
      </c>
      <c r="AF328" s="140">
        <f t="shared" si="191"/>
        <v>5631.8955354017407</v>
      </c>
      <c r="AG328" s="140">
        <f t="shared" si="191"/>
        <v>5631.8901968593455</v>
      </c>
    </row>
    <row r="329" spans="1:33" ht="14.25" customHeight="1" x14ac:dyDescent="0.35">
      <c r="A329" s="21"/>
      <c r="B329" s="21"/>
      <c r="C329" s="21"/>
      <c r="D329" s="128" t="s">
        <v>4057</v>
      </c>
      <c r="E329" s="128"/>
      <c r="F329" s="21"/>
      <c r="G329" s="21"/>
      <c r="H329" s="21"/>
      <c r="I329" s="22" t="s">
        <v>3900</v>
      </c>
      <c r="J329" s="132">
        <v>2000</v>
      </c>
      <c r="K329" s="132">
        <v>5000</v>
      </c>
      <c r="L329" s="132">
        <v>0</v>
      </c>
      <c r="M329" s="132">
        <v>0</v>
      </c>
      <c r="N329" s="132">
        <v>5000</v>
      </c>
      <c r="O329" s="132">
        <v>0</v>
      </c>
      <c r="P329" s="132">
        <v>4950</v>
      </c>
      <c r="Q329" s="132">
        <v>0</v>
      </c>
      <c r="R329" s="140">
        <f t="shared" ref="R329:AG329" si="192">MAX(0,R322+R327-R328)</f>
        <v>2962.7134883909093</v>
      </c>
      <c r="S329" s="140">
        <f t="shared" si="192"/>
        <v>2171.0313109794761</v>
      </c>
      <c r="T329" s="140">
        <f t="shared" si="192"/>
        <v>2145.3980805526353</v>
      </c>
      <c r="U329" s="140">
        <f t="shared" si="192"/>
        <v>2163.4355794484254</v>
      </c>
      <c r="V329" s="140">
        <f t="shared" si="192"/>
        <v>2159.9538941443388</v>
      </c>
      <c r="W329" s="140">
        <f t="shared" si="192"/>
        <v>2156.2652031214539</v>
      </c>
      <c r="X329" s="140">
        <f t="shared" si="192"/>
        <v>2159.8857242442782</v>
      </c>
      <c r="Y329" s="140">
        <f t="shared" si="192"/>
        <v>2158.7015598681037</v>
      </c>
      <c r="Z329" s="140">
        <f t="shared" si="192"/>
        <v>2158.2842256126605</v>
      </c>
      <c r="AA329" s="140">
        <f t="shared" si="192"/>
        <v>2158.9572095166404</v>
      </c>
      <c r="AB329" s="140">
        <f t="shared" si="192"/>
        <v>2158.6476653091213</v>
      </c>
      <c r="AC329" s="140">
        <f t="shared" si="192"/>
        <v>2158.6297010534508</v>
      </c>
      <c r="AD329" s="140">
        <f t="shared" si="192"/>
        <v>2158.7448601829255</v>
      </c>
      <c r="AE329" s="140">
        <f t="shared" si="192"/>
        <v>2158.674075666001</v>
      </c>
      <c r="AF329" s="140">
        <f t="shared" si="192"/>
        <v>2158.682878960165</v>
      </c>
      <c r="AG329" s="140">
        <f t="shared" si="192"/>
        <v>2158.70060498762</v>
      </c>
    </row>
    <row r="330" spans="1:33" ht="14.25" customHeight="1" x14ac:dyDescent="0.35">
      <c r="A330" s="21"/>
      <c r="B330" s="21"/>
      <c r="C330" s="21"/>
      <c r="D330" s="128" t="s">
        <v>4058</v>
      </c>
      <c r="E330" s="128"/>
      <c r="F330" s="21"/>
      <c r="G330" s="21"/>
      <c r="H330" s="21"/>
      <c r="I330" s="22" t="s">
        <v>3900</v>
      </c>
      <c r="J330" s="132">
        <v>4625</v>
      </c>
      <c r="K330" s="132">
        <v>7325</v>
      </c>
      <c r="L330" s="132">
        <v>5625</v>
      </c>
      <c r="M330" s="132">
        <v>3875</v>
      </c>
      <c r="N330" s="132">
        <v>6425</v>
      </c>
      <c r="O330" s="132">
        <v>4525</v>
      </c>
      <c r="P330" s="132">
        <v>7125</v>
      </c>
      <c r="Q330" s="132">
        <v>4825</v>
      </c>
      <c r="R330" s="140">
        <f t="shared" ref="R330:AG330" si="193">R328+R329-R322</f>
        <v>5629.8191120653028</v>
      </c>
      <c r="S330" s="140">
        <f t="shared" si="193"/>
        <v>5639.3159388166414</v>
      </c>
      <c r="T330" s="140">
        <f t="shared" si="193"/>
        <v>5627.6507647000326</v>
      </c>
      <c r="U330" s="140">
        <f t="shared" si="193"/>
        <v>5632.2573845870638</v>
      </c>
      <c r="V330" s="140">
        <f t="shared" si="193"/>
        <v>5633.0706115020403</v>
      </c>
      <c r="W330" s="140">
        <f t="shared" si="193"/>
        <v>5630.9919085791744</v>
      </c>
      <c r="X330" s="140">
        <f t="shared" si="193"/>
        <v>5632.1065049985718</v>
      </c>
      <c r="Y330" s="140">
        <f t="shared" si="193"/>
        <v>5632.056213598762</v>
      </c>
      <c r="Z330" s="140">
        <f t="shared" si="193"/>
        <v>5631.7181621469263</v>
      </c>
      <c r="AA330" s="140">
        <f t="shared" si="193"/>
        <v>5631.9602883015596</v>
      </c>
      <c r="AB330" s="140">
        <f t="shared" si="193"/>
        <v>5631.9115510896427</v>
      </c>
      <c r="AC330" s="140">
        <f t="shared" si="193"/>
        <v>5631.863331904693</v>
      </c>
      <c r="AD330" s="140">
        <f t="shared" si="193"/>
        <v>5631.911723487101</v>
      </c>
      <c r="AE330" s="140">
        <f t="shared" si="193"/>
        <v>5631.8955354017407</v>
      </c>
      <c r="AF330" s="140">
        <f t="shared" si="193"/>
        <v>5631.8901968593455</v>
      </c>
      <c r="AG330" s="140">
        <f t="shared" si="193"/>
        <v>5631.899151901187</v>
      </c>
    </row>
    <row r="331" spans="1:33" ht="14.25" customHeight="1" x14ac:dyDescent="0.35">
      <c r="A331" s="21"/>
      <c r="B331" s="21"/>
      <c r="C331" s="21"/>
      <c r="D331" s="128" t="s">
        <v>4059</v>
      </c>
      <c r="E331" s="128"/>
      <c r="F331" s="21"/>
      <c r="G331" s="21"/>
      <c r="H331" s="21"/>
      <c r="I331" s="22" t="s">
        <v>3915</v>
      </c>
      <c r="J331" s="132">
        <v>4550</v>
      </c>
      <c r="K331" s="132">
        <v>4625</v>
      </c>
      <c r="L331" s="132">
        <v>0</v>
      </c>
      <c r="M331" s="132">
        <v>0</v>
      </c>
      <c r="N331" s="132">
        <v>4700</v>
      </c>
      <c r="O331" s="132">
        <v>0</v>
      </c>
      <c r="P331" s="132">
        <v>4625</v>
      </c>
      <c r="Q331" s="132">
        <v>0</v>
      </c>
      <c r="R331" s="140">
        <v>4616.145289</v>
      </c>
      <c r="S331" s="140">
        <v>4616.145289</v>
      </c>
      <c r="T331" s="140">
        <v>4616.145289</v>
      </c>
      <c r="U331" s="140">
        <v>4616.145289</v>
      </c>
      <c r="V331" s="140">
        <v>4616.145289</v>
      </c>
      <c r="W331" s="140">
        <v>4616.145289</v>
      </c>
      <c r="X331" s="140">
        <v>4616.145289</v>
      </c>
      <c r="Y331" s="140">
        <v>4616.145289</v>
      </c>
      <c r="Z331" s="140">
        <v>4616.145289</v>
      </c>
      <c r="AA331" s="140">
        <v>4616.145289</v>
      </c>
      <c r="AB331" s="140">
        <v>4616.145289</v>
      </c>
      <c r="AC331" s="140">
        <v>4616.145289</v>
      </c>
      <c r="AD331" s="140">
        <v>4616.145289</v>
      </c>
      <c r="AE331" s="140">
        <v>4616.145289</v>
      </c>
      <c r="AF331" s="140">
        <v>4616.145289</v>
      </c>
      <c r="AG331" s="140">
        <v>4616.145289</v>
      </c>
    </row>
    <row r="332" spans="1:33" ht="14.25" customHeight="1" x14ac:dyDescent="0.35">
      <c r="A332" s="21"/>
      <c r="B332" s="21"/>
      <c r="C332" s="21"/>
      <c r="D332" s="128" t="s">
        <v>4056</v>
      </c>
      <c r="E332" s="128"/>
      <c r="F332" s="21"/>
      <c r="G332" s="21"/>
      <c r="H332" s="21"/>
      <c r="I332" s="22" t="s">
        <v>4060</v>
      </c>
      <c r="J332" s="148">
        <v>22244530.699999999</v>
      </c>
      <c r="K332" s="148">
        <v>21086321.030000001</v>
      </c>
      <c r="L332" s="148">
        <v>33646537.369999997</v>
      </c>
      <c r="M332" s="148">
        <v>25837785.079999998</v>
      </c>
      <c r="N332" s="148">
        <v>17799362.91</v>
      </c>
      <c r="O332" s="148">
        <v>29898411.390000001</v>
      </c>
      <c r="P332" s="148">
        <v>21056857.91</v>
      </c>
      <c r="Q332" s="148">
        <v>33049929.629999999</v>
      </c>
      <c r="R332" s="149">
        <v>22381180</v>
      </c>
      <c r="S332" s="149">
        <f t="shared" ref="S332:AG332" si="194">R336</f>
        <v>26066338.973784942</v>
      </c>
      <c r="T332" s="149">
        <f t="shared" si="194"/>
        <v>26088488.240245104</v>
      </c>
      <c r="U332" s="149">
        <f t="shared" si="194"/>
        <v>26018960.561333679</v>
      </c>
      <c r="V332" s="149">
        <f t="shared" si="194"/>
        <v>26028890.485145703</v>
      </c>
      <c r="W332" s="149">
        <f t="shared" si="194"/>
        <v>26024450.339507982</v>
      </c>
      <c r="X332" s="149">
        <f t="shared" si="194"/>
        <v>26008931.1307519</v>
      </c>
      <c r="Y332" s="149">
        <f t="shared" si="194"/>
        <v>26009794.027529322</v>
      </c>
      <c r="Z332" s="149">
        <f t="shared" si="194"/>
        <v>26006466.197653882</v>
      </c>
      <c r="AA332" s="149">
        <f t="shared" si="194"/>
        <v>26002667.805585474</v>
      </c>
      <c r="AB332" s="149">
        <f t="shared" si="194"/>
        <v>26002167.69574042</v>
      </c>
      <c r="AC332" s="149">
        <f t="shared" si="194"/>
        <v>26000773.193703633</v>
      </c>
      <c r="AD332" s="149">
        <f t="shared" si="194"/>
        <v>25999705.145882081</v>
      </c>
      <c r="AE332" s="149">
        <f t="shared" si="194"/>
        <v>25999317.335861299</v>
      </c>
      <c r="AF332" s="149">
        <f t="shared" si="194"/>
        <v>25998800.771820247</v>
      </c>
      <c r="AG332" s="149">
        <f t="shared" si="194"/>
        <v>25998456.719416186</v>
      </c>
    </row>
    <row r="333" spans="1:33" ht="14.25" customHeight="1" x14ac:dyDescent="0.35">
      <c r="A333" s="21"/>
      <c r="B333" s="21"/>
      <c r="C333" s="21"/>
      <c r="D333" s="128" t="s">
        <v>4057</v>
      </c>
      <c r="E333" s="128"/>
      <c r="F333" s="21"/>
      <c r="G333" s="21"/>
      <c r="H333" s="21"/>
      <c r="I333" s="22" t="s">
        <v>4060</v>
      </c>
      <c r="J333" s="148">
        <v>9100000</v>
      </c>
      <c r="K333" s="148">
        <v>23125000</v>
      </c>
      <c r="L333" s="148">
        <v>0</v>
      </c>
      <c r="M333" s="148">
        <v>0</v>
      </c>
      <c r="N333" s="148">
        <v>23500000</v>
      </c>
      <c r="O333" s="148">
        <v>0</v>
      </c>
      <c r="P333" s="148">
        <v>22893750</v>
      </c>
      <c r="Q333" s="148">
        <v>0</v>
      </c>
      <c r="R333" s="149">
        <f t="shared" ref="R333:AG333" si="195">R329*R331</f>
        <v>13676315.912092453</v>
      </c>
      <c r="S333" s="149">
        <f t="shared" si="195"/>
        <v>10021795.958449403</v>
      </c>
      <c r="T333" s="149">
        <f t="shared" si="195"/>
        <v>9903469.2425726894</v>
      </c>
      <c r="U333" s="149">
        <f t="shared" si="195"/>
        <v>9986732.9581258334</v>
      </c>
      <c r="V333" s="149">
        <f t="shared" si="195"/>
        <v>9970660.992911594</v>
      </c>
      <c r="W333" s="149">
        <f t="shared" si="195"/>
        <v>9953633.4592237268</v>
      </c>
      <c r="X333" s="149">
        <f t="shared" si="195"/>
        <v>9970346.3107485771</v>
      </c>
      <c r="Y333" s="149">
        <f t="shared" si="195"/>
        <v>9964880.0359420981</v>
      </c>
      <c r="Z333" s="149">
        <f t="shared" si="195"/>
        <v>9962953.5603848957</v>
      </c>
      <c r="AA333" s="149">
        <f t="shared" si="195"/>
        <v>9966060.1518628262</v>
      </c>
      <c r="AB333" s="149">
        <f t="shared" si="195"/>
        <v>9964631.250827549</v>
      </c>
      <c r="AC333" s="149">
        <f t="shared" si="195"/>
        <v>9964548.3252133653</v>
      </c>
      <c r="AD333" s="149">
        <f t="shared" si="195"/>
        <v>9965079.916486375</v>
      </c>
      <c r="AE333" s="149">
        <f t="shared" si="195"/>
        <v>9964753.164872041</v>
      </c>
      <c r="AF333" s="149">
        <f t="shared" si="195"/>
        <v>9964793.8021569233</v>
      </c>
      <c r="AG333" s="149">
        <f t="shared" si="195"/>
        <v>9964875.6280750521</v>
      </c>
    </row>
    <row r="334" spans="1:33" ht="14.25" customHeight="1" x14ac:dyDescent="0.35">
      <c r="A334" s="21"/>
      <c r="B334" s="21"/>
      <c r="C334" s="21"/>
      <c r="D334" s="128" t="s">
        <v>4061</v>
      </c>
      <c r="E334" s="128"/>
      <c r="F334" s="21"/>
      <c r="G334" s="21"/>
      <c r="H334" s="21"/>
      <c r="I334" s="22" t="s">
        <v>3915</v>
      </c>
      <c r="J334" s="132">
        <v>4559.2043000000003</v>
      </c>
      <c r="K334" s="132">
        <v>4593.3842000000004</v>
      </c>
      <c r="L334" s="132">
        <v>4593.3837000000003</v>
      </c>
      <c r="M334" s="132">
        <v>4593.3841000000002</v>
      </c>
      <c r="N334" s="132">
        <v>4653.4495999999999</v>
      </c>
      <c r="O334" s="132">
        <v>4653.4492</v>
      </c>
      <c r="P334" s="132">
        <v>4638.5865000000003</v>
      </c>
      <c r="Q334" s="132">
        <v>4638.5865999999996</v>
      </c>
      <c r="R334" s="140">
        <f t="shared" ref="R334:AG334" si="196">IF((R328+R329)=0,R331,(R332+R333)/(R328+R329))</f>
        <v>4630.0491108003798</v>
      </c>
      <c r="S334" s="140">
        <f t="shared" si="196"/>
        <v>4626.1795798090243</v>
      </c>
      <c r="T334" s="140">
        <f t="shared" si="196"/>
        <v>4623.4142183342383</v>
      </c>
      <c r="U334" s="140">
        <f t="shared" si="196"/>
        <v>4621.3957757639037</v>
      </c>
      <c r="V334" s="140">
        <f t="shared" si="196"/>
        <v>4619.94037255085</v>
      </c>
      <c r="W334" s="140">
        <f t="shared" si="196"/>
        <v>4618.8898071626854</v>
      </c>
      <c r="X334" s="140">
        <f t="shared" si="196"/>
        <v>4618.1289370940112</v>
      </c>
      <c r="Y334" s="140">
        <f t="shared" si="196"/>
        <v>4617.5793016519474</v>
      </c>
      <c r="Z334" s="140">
        <f t="shared" si="196"/>
        <v>4617.1820138940911</v>
      </c>
      <c r="AA334" s="140">
        <f t="shared" si="196"/>
        <v>4616.8947159927411</v>
      </c>
      <c r="AB334" s="140">
        <f t="shared" si="196"/>
        <v>4616.6870622591896</v>
      </c>
      <c r="AC334" s="140">
        <f t="shared" si="196"/>
        <v>4616.5369458795076</v>
      </c>
      <c r="AD334" s="140">
        <f t="shared" si="196"/>
        <v>4616.428419400605</v>
      </c>
      <c r="AE334" s="140">
        <f t="shared" si="196"/>
        <v>4616.3499675008925</v>
      </c>
      <c r="AF334" s="140">
        <f t="shared" si="196"/>
        <v>4616.2932533582361</v>
      </c>
      <c r="AG334" s="140">
        <f t="shared" si="196"/>
        <v>4616.2522538040603</v>
      </c>
    </row>
    <row r="335" spans="1:33" ht="14.25" customHeight="1" x14ac:dyDescent="0.35">
      <c r="A335" s="21"/>
      <c r="B335" s="21"/>
      <c r="C335" s="21"/>
      <c r="D335" s="128" t="s">
        <v>4049</v>
      </c>
      <c r="E335" s="128"/>
      <c r="F335" s="21"/>
      <c r="G335" s="21"/>
      <c r="H335" s="21"/>
      <c r="I335" s="22" t="s">
        <v>4060</v>
      </c>
      <c r="J335" s="148">
        <v>10258209.68</v>
      </c>
      <c r="K335" s="148">
        <v>10564783.66</v>
      </c>
      <c r="L335" s="148">
        <v>7808752.29</v>
      </c>
      <c r="M335" s="148">
        <v>8038422.1699999999</v>
      </c>
      <c r="N335" s="148">
        <v>11400951.52</v>
      </c>
      <c r="O335" s="148">
        <v>8841553.4800000004</v>
      </c>
      <c r="P335" s="148">
        <v>10900678.279999999</v>
      </c>
      <c r="Q335" s="148">
        <v>10668749.18</v>
      </c>
      <c r="R335" s="149">
        <f t="shared" ref="R335:AG335" si="197">R322*R334</f>
        <v>9991156.9383075126</v>
      </c>
      <c r="S335" s="149">
        <f t="shared" si="197"/>
        <v>9999646.6919892412</v>
      </c>
      <c r="T335" s="149">
        <f t="shared" si="197"/>
        <v>9972996.9214841109</v>
      </c>
      <c r="U335" s="149">
        <f t="shared" si="197"/>
        <v>9976803.034313811</v>
      </c>
      <c r="V335" s="149">
        <f t="shared" si="197"/>
        <v>9975101.1385493111</v>
      </c>
      <c r="W335" s="149">
        <f t="shared" si="197"/>
        <v>9969152.6679798048</v>
      </c>
      <c r="X335" s="149">
        <f t="shared" si="197"/>
        <v>9969483.413971154</v>
      </c>
      <c r="Y335" s="149">
        <f t="shared" si="197"/>
        <v>9968207.8658175413</v>
      </c>
      <c r="Z335" s="149">
        <f t="shared" si="197"/>
        <v>9966751.9524533022</v>
      </c>
      <c r="AA335" s="149">
        <f t="shared" si="197"/>
        <v>9966560.2617078833</v>
      </c>
      <c r="AB335" s="149">
        <f t="shared" si="197"/>
        <v>9966025.7528643347</v>
      </c>
      <c r="AC335" s="149">
        <f t="shared" si="197"/>
        <v>9965616.3730349131</v>
      </c>
      <c r="AD335" s="149">
        <f t="shared" si="197"/>
        <v>9965467.7265071534</v>
      </c>
      <c r="AE335" s="149">
        <f t="shared" si="197"/>
        <v>9965269.7289130893</v>
      </c>
      <c r="AF335" s="149">
        <f t="shared" si="197"/>
        <v>9965137.8545609843</v>
      </c>
      <c r="AG335" s="149">
        <f t="shared" si="197"/>
        <v>9965065.1943302024</v>
      </c>
    </row>
    <row r="336" spans="1:33" ht="14.25" customHeight="1" x14ac:dyDescent="0.35">
      <c r="A336" s="21"/>
      <c r="B336" s="21"/>
      <c r="C336" s="21"/>
      <c r="D336" s="128" t="s">
        <v>4058</v>
      </c>
      <c r="E336" s="128"/>
      <c r="F336" s="21"/>
      <c r="G336" s="21"/>
      <c r="H336" s="21"/>
      <c r="I336" s="22" t="s">
        <v>4060</v>
      </c>
      <c r="J336" s="148">
        <v>21086321.030000001</v>
      </c>
      <c r="K336" s="148">
        <v>33646537.369999997</v>
      </c>
      <c r="L336" s="148">
        <v>25837785.079999998</v>
      </c>
      <c r="M336" s="148">
        <v>17799362.91</v>
      </c>
      <c r="N336" s="148">
        <v>29898411.390000001</v>
      </c>
      <c r="O336" s="148">
        <v>21056857.91</v>
      </c>
      <c r="P336" s="148">
        <v>33049929.629999999</v>
      </c>
      <c r="Q336" s="148">
        <v>22381180.449999999</v>
      </c>
      <c r="R336" s="149">
        <f t="shared" ref="R336:AG336" si="198">R332+R333-R335</f>
        <v>26066338.973784942</v>
      </c>
      <c r="S336" s="149">
        <f t="shared" si="198"/>
        <v>26088488.240245104</v>
      </c>
      <c r="T336" s="149">
        <f t="shared" si="198"/>
        <v>26018960.561333679</v>
      </c>
      <c r="U336" s="149">
        <f t="shared" si="198"/>
        <v>26028890.485145703</v>
      </c>
      <c r="V336" s="149">
        <f t="shared" si="198"/>
        <v>26024450.339507982</v>
      </c>
      <c r="W336" s="149">
        <f t="shared" si="198"/>
        <v>26008931.1307519</v>
      </c>
      <c r="X336" s="149">
        <f t="shared" si="198"/>
        <v>26009794.027529322</v>
      </c>
      <c r="Y336" s="149">
        <f t="shared" si="198"/>
        <v>26006466.197653882</v>
      </c>
      <c r="Z336" s="149">
        <f t="shared" si="198"/>
        <v>26002667.805585474</v>
      </c>
      <c r="AA336" s="149">
        <f t="shared" si="198"/>
        <v>26002167.69574042</v>
      </c>
      <c r="AB336" s="149">
        <f t="shared" si="198"/>
        <v>26000773.193703633</v>
      </c>
      <c r="AC336" s="149">
        <f t="shared" si="198"/>
        <v>25999705.145882081</v>
      </c>
      <c r="AD336" s="149">
        <f t="shared" si="198"/>
        <v>25999317.335861299</v>
      </c>
      <c r="AE336" s="149">
        <f t="shared" si="198"/>
        <v>25998800.771820247</v>
      </c>
      <c r="AF336" s="149">
        <f t="shared" si="198"/>
        <v>25998456.719416186</v>
      </c>
      <c r="AG336" s="149">
        <f t="shared" si="198"/>
        <v>25998267.153161034</v>
      </c>
    </row>
    <row r="337" spans="1:33" s="79" customFormat="1" ht="14.25" customHeight="1" x14ac:dyDescent="0.35">
      <c r="A337" s="168"/>
      <c r="B337" s="167" t="s">
        <v>4071</v>
      </c>
      <c r="C337" s="167" t="s">
        <v>4072</v>
      </c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  <c r="Z337" s="168"/>
      <c r="AA337" s="168"/>
      <c r="AB337" s="168"/>
      <c r="AC337" s="168"/>
      <c r="AD337" s="168"/>
      <c r="AE337" s="168"/>
      <c r="AF337" s="168"/>
      <c r="AG337" s="168"/>
    </row>
    <row r="338" spans="1:33" ht="14.25" customHeight="1" x14ac:dyDescent="0.35">
      <c r="A338" s="21"/>
      <c r="B338" s="21"/>
      <c r="C338" s="21"/>
      <c r="D338" s="128" t="s">
        <v>4049</v>
      </c>
      <c r="E338" s="128"/>
      <c r="F338" s="21"/>
      <c r="G338" s="21"/>
      <c r="H338" s="21"/>
      <c r="I338" s="22" t="s">
        <v>3900</v>
      </c>
      <c r="J338" s="132">
        <v>225</v>
      </c>
      <c r="K338" s="132">
        <v>200</v>
      </c>
      <c r="L338" s="132">
        <v>162</v>
      </c>
      <c r="M338" s="132">
        <v>991.5</v>
      </c>
      <c r="N338" s="132">
        <v>500</v>
      </c>
      <c r="O338" s="132">
        <v>191.3</v>
      </c>
      <c r="P338" s="132">
        <v>225</v>
      </c>
      <c r="Q338" s="132">
        <v>150</v>
      </c>
      <c r="R338" s="140">
        <f t="shared" ref="R338:AG338" si="199">R457+R613+R777</f>
        <v>311.7230450088374</v>
      </c>
      <c r="S338" s="140">
        <f t="shared" si="199"/>
        <v>312.23778921321741</v>
      </c>
      <c r="T338" s="140">
        <f t="shared" si="199"/>
        <v>311.60551688406684</v>
      </c>
      <c r="U338" s="140">
        <f t="shared" si="199"/>
        <v>311.8552035373794</v>
      </c>
      <c r="V338" s="140">
        <f t="shared" si="199"/>
        <v>311.89928182292579</v>
      </c>
      <c r="W338" s="140">
        <f t="shared" si="199"/>
        <v>311.78661257979968</v>
      </c>
      <c r="X338" s="140">
        <f t="shared" si="199"/>
        <v>311.84702560639579</v>
      </c>
      <c r="Y338" s="140">
        <f t="shared" si="199"/>
        <v>311.84429972676679</v>
      </c>
      <c r="Z338" s="140">
        <f t="shared" si="199"/>
        <v>311.82597676161527</v>
      </c>
      <c r="AA338" s="140">
        <f t="shared" si="199"/>
        <v>311.8391004120819</v>
      </c>
      <c r="AB338" s="140">
        <f t="shared" si="199"/>
        <v>311.83645877208681</v>
      </c>
      <c r="AC338" s="140">
        <f t="shared" si="199"/>
        <v>311.83384521003688</v>
      </c>
      <c r="AD338" s="140">
        <f t="shared" si="199"/>
        <v>311.83646811632315</v>
      </c>
      <c r="AE338" s="140">
        <f t="shared" si="199"/>
        <v>311.83559069449183</v>
      </c>
      <c r="AF338" s="140">
        <f t="shared" si="199"/>
        <v>311.83530133639056</v>
      </c>
      <c r="AG338" s="140">
        <f t="shared" si="199"/>
        <v>311.83578671492893</v>
      </c>
    </row>
    <row r="339" spans="1:33" ht="14.25" customHeight="1" x14ac:dyDescent="0.35">
      <c r="A339" s="21"/>
      <c r="B339" s="21"/>
      <c r="C339" s="21"/>
      <c r="D339" s="128" t="s">
        <v>4050</v>
      </c>
      <c r="E339" s="128"/>
      <c r="F339" s="21"/>
      <c r="G339" s="21"/>
      <c r="H339" s="21"/>
      <c r="I339" s="22" t="s">
        <v>3900</v>
      </c>
      <c r="J339" s="132"/>
      <c r="K339" s="132"/>
      <c r="L339" s="132"/>
      <c r="M339" s="132"/>
      <c r="N339" s="132"/>
      <c r="O339" s="132"/>
      <c r="P339" s="132"/>
      <c r="Q339" s="132"/>
      <c r="R339" s="140">
        <f>IF('Input Operasional'!Q7=0,0,R338/'Input Operasional'!Q7)</f>
        <v>11.989347884955285</v>
      </c>
      <c r="S339" s="140">
        <f>IF('Input Operasional'!R7=0,0,S338/'Input Operasional'!R7)</f>
        <v>11.564362563452496</v>
      </c>
      <c r="T339" s="140">
        <f>IF('Input Operasional'!S7=0,0,T338/'Input Operasional'!S7)</f>
        <v>11.984827572464109</v>
      </c>
      <c r="U339" s="140">
        <f>IF('Input Operasional'!T7=0,0,U338/'Input Operasional'!T7)</f>
        <v>11.550192723606644</v>
      </c>
      <c r="V339" s="140">
        <f>IF('Input Operasional'!U7=0,0,V338/'Input Operasional'!U7)</f>
        <v>11.551825252700954</v>
      </c>
      <c r="W339" s="140">
        <f>IF('Input Operasional'!V7=0,0,W338/'Input Operasional'!V7)</f>
        <v>12.991108857491653</v>
      </c>
      <c r="X339" s="140">
        <f>IF('Input Operasional'!W7=0,0,X338/'Input Operasional'!W7)</f>
        <v>11.549889837273918</v>
      </c>
      <c r="Y339" s="140">
        <f>IF('Input Operasional'!X7=0,0,Y338/'Input Operasional'!X7)</f>
        <v>11.994011527952569</v>
      </c>
      <c r="Z339" s="140">
        <f>IF('Input Operasional'!Y7=0,0,Z338/'Input Operasional'!Y7)</f>
        <v>11.549110250430195</v>
      </c>
      <c r="AA339" s="140">
        <f>IF('Input Operasional'!Z7=0,0,AA338/'Input Operasional'!Z7)</f>
        <v>11.993811554310842</v>
      </c>
      <c r="AB339" s="140">
        <f>IF('Input Operasional'!AA7=0,0,AB338/'Input Operasional'!AA7)</f>
        <v>11.549498473040252</v>
      </c>
      <c r="AC339" s="140">
        <f>IF('Input Operasional'!AB7=0,0,AC338/'Input Operasional'!AB7)</f>
        <v>11.549401674445811</v>
      </c>
      <c r="AD339" s="140">
        <f>IF('Input Operasional'!AC7=0,0,AD338/'Input Operasional'!AC7)</f>
        <v>11.993710312166275</v>
      </c>
      <c r="AE339" s="140">
        <f>IF('Input Operasional'!AD7=0,0,AE338/'Input Operasional'!AD7)</f>
        <v>11.549466322018215</v>
      </c>
      <c r="AF339" s="140">
        <f>IF('Input Operasional'!AE7=0,0,AF338/'Input Operasional'!AE7)</f>
        <v>11.993665436015021</v>
      </c>
      <c r="AG339" s="140">
        <f>IF('Input Operasional'!AF7=0,0,AG338/'Input Operasional'!AF7)</f>
        <v>11.549473582034405</v>
      </c>
    </row>
    <row r="340" spans="1:33" ht="14.25" customHeight="1" x14ac:dyDescent="0.35">
      <c r="A340" s="21"/>
      <c r="B340" s="21"/>
      <c r="C340" s="21"/>
      <c r="D340" s="128" t="s">
        <v>4051</v>
      </c>
      <c r="E340" s="128"/>
      <c r="F340" s="21"/>
      <c r="G340" s="21"/>
      <c r="H340" s="21"/>
      <c r="I340" s="22" t="s">
        <v>13</v>
      </c>
      <c r="J340" s="142"/>
      <c r="K340" s="142"/>
      <c r="L340" s="142"/>
      <c r="M340" s="142"/>
      <c r="N340" s="142"/>
      <c r="O340" s="142"/>
      <c r="P340" s="142"/>
      <c r="Q340" s="142"/>
      <c r="R340" s="126">
        <f>'Input Operasional'!Q169</f>
        <v>2.1570999999999998</v>
      </c>
      <c r="S340" s="126">
        <f>'Input Operasional'!R169</f>
        <v>2.1570999999999998</v>
      </c>
      <c r="T340" s="126">
        <f>'Input Operasional'!S169</f>
        <v>2.1570999999999998</v>
      </c>
      <c r="U340" s="126">
        <f>'Input Operasional'!T169</f>
        <v>2.1570999999999998</v>
      </c>
      <c r="V340" s="126">
        <f>'Input Operasional'!U169</f>
        <v>2.1570999999999998</v>
      </c>
      <c r="W340" s="126">
        <f>'Input Operasional'!V169</f>
        <v>2.1570999999999998</v>
      </c>
      <c r="X340" s="126">
        <f>'Input Operasional'!W169</f>
        <v>2.1570999999999998</v>
      </c>
      <c r="Y340" s="126">
        <f>'Input Operasional'!X169</f>
        <v>2.1570999999999998</v>
      </c>
      <c r="Z340" s="126">
        <f>'Input Operasional'!Y169</f>
        <v>2.1570999999999998</v>
      </c>
      <c r="AA340" s="126">
        <f>'Input Operasional'!Z169</f>
        <v>2.1570999999999998</v>
      </c>
      <c r="AB340" s="126">
        <f>'Input Operasional'!AA169</f>
        <v>2.1570999999999998</v>
      </c>
      <c r="AC340" s="126">
        <f>'Input Operasional'!AB169</f>
        <v>2.1570999999999998</v>
      </c>
      <c r="AD340" s="126">
        <f>'Input Operasional'!AC169</f>
        <v>2.1570999999999998</v>
      </c>
      <c r="AE340" s="126">
        <f>'Input Operasional'!AD169</f>
        <v>2.1570999999999998</v>
      </c>
      <c r="AF340" s="126">
        <f>'Input Operasional'!AE169</f>
        <v>2.1570999999999998</v>
      </c>
      <c r="AG340" s="126">
        <f>'Input Operasional'!AF169</f>
        <v>2.1570999999999998</v>
      </c>
    </row>
    <row r="341" spans="1:33" ht="14.25" customHeight="1" x14ac:dyDescent="0.35">
      <c r="A341" s="21"/>
      <c r="B341" s="21"/>
      <c r="C341" s="21"/>
      <c r="D341" s="128" t="s">
        <v>4052</v>
      </c>
      <c r="E341" s="128"/>
      <c r="F341" s="21"/>
      <c r="G341" s="21"/>
      <c r="H341" s="21"/>
      <c r="I341" s="22" t="s">
        <v>3900</v>
      </c>
      <c r="J341" s="132"/>
      <c r="K341" s="132"/>
      <c r="L341" s="132"/>
      <c r="M341" s="132"/>
      <c r="N341" s="132"/>
      <c r="O341" s="132"/>
      <c r="P341" s="132"/>
      <c r="Q341" s="132"/>
      <c r="R341" s="140">
        <f t="shared" ref="R341:AG341" si="200">R340*R338</f>
        <v>672.41778038856307</v>
      </c>
      <c r="S341" s="140">
        <f t="shared" si="200"/>
        <v>673.52813511183126</v>
      </c>
      <c r="T341" s="140">
        <f t="shared" si="200"/>
        <v>672.16426047062055</v>
      </c>
      <c r="U341" s="140">
        <f t="shared" si="200"/>
        <v>672.70285955048098</v>
      </c>
      <c r="V341" s="140">
        <f t="shared" si="200"/>
        <v>672.79794082023318</v>
      </c>
      <c r="W341" s="140">
        <f t="shared" si="200"/>
        <v>672.55490199588587</v>
      </c>
      <c r="X341" s="140">
        <f t="shared" si="200"/>
        <v>672.68521893555635</v>
      </c>
      <c r="Y341" s="140">
        <f t="shared" si="200"/>
        <v>672.67933894060855</v>
      </c>
      <c r="Z341" s="140">
        <f t="shared" si="200"/>
        <v>672.63981447248023</v>
      </c>
      <c r="AA341" s="140">
        <f t="shared" si="200"/>
        <v>672.66812349890176</v>
      </c>
      <c r="AB341" s="140">
        <f t="shared" si="200"/>
        <v>672.66242521726838</v>
      </c>
      <c r="AC341" s="140">
        <f t="shared" si="200"/>
        <v>672.65678750257052</v>
      </c>
      <c r="AD341" s="140">
        <f t="shared" si="200"/>
        <v>672.66244537372063</v>
      </c>
      <c r="AE341" s="140">
        <f t="shared" si="200"/>
        <v>672.66055268708828</v>
      </c>
      <c r="AF341" s="140">
        <f t="shared" si="200"/>
        <v>672.65992851272802</v>
      </c>
      <c r="AG341" s="140">
        <f t="shared" si="200"/>
        <v>672.66097552277313</v>
      </c>
    </row>
    <row r="342" spans="1:33" ht="14.25" customHeight="1" x14ac:dyDescent="0.35">
      <c r="A342" s="21"/>
      <c r="B342" s="21"/>
      <c r="C342" s="21"/>
      <c r="D342" s="128" t="s">
        <v>4053</v>
      </c>
      <c r="E342" s="128"/>
      <c r="F342" s="21"/>
      <c r="G342" s="21"/>
      <c r="H342" s="21"/>
      <c r="I342" s="22" t="s">
        <v>4054</v>
      </c>
      <c r="J342" s="132"/>
      <c r="K342" s="132"/>
      <c r="L342" s="132"/>
      <c r="M342" s="132"/>
      <c r="N342" s="132"/>
      <c r="O342" s="132"/>
      <c r="P342" s="132"/>
      <c r="Q342" s="132"/>
      <c r="R342" s="140">
        <f>'Input Operasional'!Q179</f>
        <v>0</v>
      </c>
      <c r="S342" s="140">
        <f>'Input Operasional'!R179</f>
        <v>0</v>
      </c>
      <c r="T342" s="140">
        <f>'Input Operasional'!S179</f>
        <v>0</v>
      </c>
      <c r="U342" s="140">
        <f>'Input Operasional'!T179</f>
        <v>0</v>
      </c>
      <c r="V342" s="140">
        <f>'Input Operasional'!U179</f>
        <v>0</v>
      </c>
      <c r="W342" s="140">
        <f>'Input Operasional'!V179</f>
        <v>0</v>
      </c>
      <c r="X342" s="140">
        <f>'Input Operasional'!W179</f>
        <v>0</v>
      </c>
      <c r="Y342" s="140">
        <f>'Input Operasional'!X179</f>
        <v>0</v>
      </c>
      <c r="Z342" s="140">
        <f>'Input Operasional'!Y179</f>
        <v>0</v>
      </c>
      <c r="AA342" s="140">
        <f>'Input Operasional'!Z179</f>
        <v>0</v>
      </c>
      <c r="AB342" s="140">
        <f>'Input Operasional'!AA179</f>
        <v>0</v>
      </c>
      <c r="AC342" s="140">
        <f>'Input Operasional'!AB179</f>
        <v>0</v>
      </c>
      <c r="AD342" s="140">
        <f>'Input Operasional'!AC179</f>
        <v>0</v>
      </c>
      <c r="AE342" s="140">
        <f>'Input Operasional'!AD179</f>
        <v>0</v>
      </c>
      <c r="AF342" s="140">
        <f>'Input Operasional'!AE179</f>
        <v>0</v>
      </c>
      <c r="AG342" s="140">
        <f>'Input Operasional'!AF179</f>
        <v>0</v>
      </c>
    </row>
    <row r="343" spans="1:33" ht="14.25" customHeight="1" x14ac:dyDescent="0.35">
      <c r="A343" s="21"/>
      <c r="B343" s="21"/>
      <c r="C343" s="21"/>
      <c r="D343" s="128" t="s">
        <v>4055</v>
      </c>
      <c r="E343" s="128"/>
      <c r="F343" s="21"/>
      <c r="G343" s="21"/>
      <c r="H343" s="21"/>
      <c r="I343" s="22" t="s">
        <v>3900</v>
      </c>
      <c r="J343" s="132"/>
      <c r="K343" s="132"/>
      <c r="L343" s="132"/>
      <c r="M343" s="132"/>
      <c r="N343" s="132"/>
      <c r="O343" s="132"/>
      <c r="P343" s="132"/>
      <c r="Q343" s="132"/>
      <c r="R343" s="140">
        <f t="shared" ref="R343:AG343" si="201">R341+R342*R339</f>
        <v>672.41778038856307</v>
      </c>
      <c r="S343" s="140">
        <f t="shared" si="201"/>
        <v>673.52813511183126</v>
      </c>
      <c r="T343" s="140">
        <f t="shared" si="201"/>
        <v>672.16426047062055</v>
      </c>
      <c r="U343" s="140">
        <f t="shared" si="201"/>
        <v>672.70285955048098</v>
      </c>
      <c r="V343" s="140">
        <f t="shared" si="201"/>
        <v>672.79794082023318</v>
      </c>
      <c r="W343" s="140">
        <f t="shared" si="201"/>
        <v>672.55490199588587</v>
      </c>
      <c r="X343" s="140">
        <f t="shared" si="201"/>
        <v>672.68521893555635</v>
      </c>
      <c r="Y343" s="140">
        <f t="shared" si="201"/>
        <v>672.67933894060855</v>
      </c>
      <c r="Z343" s="140">
        <f t="shared" si="201"/>
        <v>672.63981447248023</v>
      </c>
      <c r="AA343" s="140">
        <f t="shared" si="201"/>
        <v>672.66812349890176</v>
      </c>
      <c r="AB343" s="140">
        <f t="shared" si="201"/>
        <v>672.66242521726838</v>
      </c>
      <c r="AC343" s="140">
        <f t="shared" si="201"/>
        <v>672.65678750257052</v>
      </c>
      <c r="AD343" s="140">
        <f t="shared" si="201"/>
        <v>672.66244537372063</v>
      </c>
      <c r="AE343" s="140">
        <f t="shared" si="201"/>
        <v>672.66055268708828</v>
      </c>
      <c r="AF343" s="140">
        <f t="shared" si="201"/>
        <v>672.65992851272802</v>
      </c>
      <c r="AG343" s="140">
        <f t="shared" si="201"/>
        <v>672.66097552277313</v>
      </c>
    </row>
    <row r="344" spans="1:33" ht="14.25" customHeight="1" x14ac:dyDescent="0.35">
      <c r="A344" s="21"/>
      <c r="B344" s="21"/>
      <c r="C344" s="21"/>
      <c r="D344" s="128" t="s">
        <v>4056</v>
      </c>
      <c r="E344" s="128"/>
      <c r="F344" s="21"/>
      <c r="G344" s="21"/>
      <c r="H344" s="21"/>
      <c r="I344" s="22" t="s">
        <v>3900</v>
      </c>
      <c r="J344" s="132">
        <v>450</v>
      </c>
      <c r="K344" s="132">
        <v>812</v>
      </c>
      <c r="L344" s="132">
        <v>612</v>
      </c>
      <c r="M344" s="132">
        <v>1416.5</v>
      </c>
      <c r="N344" s="132">
        <v>425</v>
      </c>
      <c r="O344" s="132">
        <v>875</v>
      </c>
      <c r="P344" s="132">
        <v>725</v>
      </c>
      <c r="Q344" s="132">
        <v>500</v>
      </c>
      <c r="R344" s="140">
        <v>350</v>
      </c>
      <c r="S344" s="140">
        <f t="shared" ref="S344:AG344" si="202">R346</f>
        <v>672.41778038856307</v>
      </c>
      <c r="T344" s="140">
        <f t="shared" si="202"/>
        <v>673.52813511183126</v>
      </c>
      <c r="U344" s="140">
        <f t="shared" si="202"/>
        <v>672.16426047062055</v>
      </c>
      <c r="V344" s="140">
        <f t="shared" si="202"/>
        <v>672.70285955048098</v>
      </c>
      <c r="W344" s="140">
        <f t="shared" si="202"/>
        <v>672.79794082023318</v>
      </c>
      <c r="X344" s="140">
        <f t="shared" si="202"/>
        <v>672.55490199588587</v>
      </c>
      <c r="Y344" s="140">
        <f t="shared" si="202"/>
        <v>672.68521893555635</v>
      </c>
      <c r="Z344" s="140">
        <f t="shared" si="202"/>
        <v>672.67933894060843</v>
      </c>
      <c r="AA344" s="140">
        <f t="shared" si="202"/>
        <v>672.63981447248023</v>
      </c>
      <c r="AB344" s="140">
        <f t="shared" si="202"/>
        <v>672.66812349890165</v>
      </c>
      <c r="AC344" s="140">
        <f t="shared" si="202"/>
        <v>672.66242521726826</v>
      </c>
      <c r="AD344" s="140">
        <f t="shared" si="202"/>
        <v>672.65678750257052</v>
      </c>
      <c r="AE344" s="140">
        <f t="shared" si="202"/>
        <v>672.66244537372063</v>
      </c>
      <c r="AF344" s="140">
        <f t="shared" si="202"/>
        <v>672.66055268708828</v>
      </c>
      <c r="AG344" s="140">
        <f t="shared" si="202"/>
        <v>672.65992851272802</v>
      </c>
    </row>
    <row r="345" spans="1:33" ht="14.25" customHeight="1" x14ac:dyDescent="0.35">
      <c r="A345" s="21"/>
      <c r="B345" s="21"/>
      <c r="C345" s="21"/>
      <c r="D345" s="128" t="s">
        <v>4057</v>
      </c>
      <c r="E345" s="128"/>
      <c r="F345" s="21"/>
      <c r="G345" s="21"/>
      <c r="H345" s="21"/>
      <c r="I345" s="22" t="s">
        <v>3900</v>
      </c>
      <c r="J345" s="132">
        <v>587</v>
      </c>
      <c r="K345" s="132">
        <v>0</v>
      </c>
      <c r="L345" s="132">
        <v>966.5</v>
      </c>
      <c r="M345" s="132">
        <v>0</v>
      </c>
      <c r="N345" s="132">
        <v>950</v>
      </c>
      <c r="O345" s="132">
        <v>41.3</v>
      </c>
      <c r="P345" s="132">
        <v>0</v>
      </c>
      <c r="Q345" s="132">
        <v>0</v>
      </c>
      <c r="R345" s="140">
        <f t="shared" ref="R345:AG345" si="203">MAX(0,R338+R343-R344)</f>
        <v>634.14082539740048</v>
      </c>
      <c r="S345" s="140">
        <f t="shared" si="203"/>
        <v>313.3481439364856</v>
      </c>
      <c r="T345" s="140">
        <f t="shared" si="203"/>
        <v>310.24164224285619</v>
      </c>
      <c r="U345" s="140">
        <f t="shared" si="203"/>
        <v>312.39380261723977</v>
      </c>
      <c r="V345" s="140">
        <f t="shared" si="203"/>
        <v>311.99436309267799</v>
      </c>
      <c r="W345" s="140">
        <f t="shared" si="203"/>
        <v>311.54357375545237</v>
      </c>
      <c r="X345" s="140">
        <f t="shared" si="203"/>
        <v>311.97734254606632</v>
      </c>
      <c r="Y345" s="140">
        <f t="shared" si="203"/>
        <v>311.83841973181893</v>
      </c>
      <c r="Z345" s="140">
        <f t="shared" si="203"/>
        <v>311.78645229348706</v>
      </c>
      <c r="AA345" s="140">
        <f t="shared" si="203"/>
        <v>311.86740943850339</v>
      </c>
      <c r="AB345" s="140">
        <f t="shared" si="203"/>
        <v>311.83076049045349</v>
      </c>
      <c r="AC345" s="140">
        <f t="shared" si="203"/>
        <v>311.82820749533914</v>
      </c>
      <c r="AD345" s="140">
        <f t="shared" si="203"/>
        <v>311.84212598747331</v>
      </c>
      <c r="AE345" s="140">
        <f t="shared" si="203"/>
        <v>311.83369800785954</v>
      </c>
      <c r="AF345" s="140">
        <f t="shared" si="203"/>
        <v>311.83467716203029</v>
      </c>
      <c r="AG345" s="140">
        <f t="shared" si="203"/>
        <v>311.8368337249741</v>
      </c>
    </row>
    <row r="346" spans="1:33" ht="14.25" customHeight="1" x14ac:dyDescent="0.35">
      <c r="A346" s="21"/>
      <c r="B346" s="21"/>
      <c r="C346" s="21"/>
      <c r="D346" s="128" t="s">
        <v>4058</v>
      </c>
      <c r="E346" s="128"/>
      <c r="F346" s="21"/>
      <c r="G346" s="21"/>
      <c r="H346" s="21"/>
      <c r="I346" s="22" t="s">
        <v>3900</v>
      </c>
      <c r="J346" s="132">
        <v>812</v>
      </c>
      <c r="K346" s="132">
        <v>612</v>
      </c>
      <c r="L346" s="132">
        <v>1416.5</v>
      </c>
      <c r="M346" s="132">
        <v>425</v>
      </c>
      <c r="N346" s="132">
        <v>875</v>
      </c>
      <c r="O346" s="132">
        <v>725</v>
      </c>
      <c r="P346" s="132">
        <v>500</v>
      </c>
      <c r="Q346" s="132">
        <v>350</v>
      </c>
      <c r="R346" s="140">
        <f t="shared" ref="R346:AG346" si="204">R344+R345-R338</f>
        <v>672.41778038856307</v>
      </c>
      <c r="S346" s="140">
        <f t="shared" si="204"/>
        <v>673.52813511183126</v>
      </c>
      <c r="T346" s="140">
        <f t="shared" si="204"/>
        <v>672.16426047062055</v>
      </c>
      <c r="U346" s="140">
        <f t="shared" si="204"/>
        <v>672.70285955048098</v>
      </c>
      <c r="V346" s="140">
        <f t="shared" si="204"/>
        <v>672.79794082023318</v>
      </c>
      <c r="W346" s="140">
        <f t="shared" si="204"/>
        <v>672.55490199588587</v>
      </c>
      <c r="X346" s="140">
        <f t="shared" si="204"/>
        <v>672.68521893555635</v>
      </c>
      <c r="Y346" s="140">
        <f t="shared" si="204"/>
        <v>672.67933894060843</v>
      </c>
      <c r="Z346" s="140">
        <f t="shared" si="204"/>
        <v>672.63981447248023</v>
      </c>
      <c r="AA346" s="140">
        <f t="shared" si="204"/>
        <v>672.66812349890165</v>
      </c>
      <c r="AB346" s="140">
        <f t="shared" si="204"/>
        <v>672.66242521726826</v>
      </c>
      <c r="AC346" s="140">
        <f t="shared" si="204"/>
        <v>672.65678750257052</v>
      </c>
      <c r="AD346" s="140">
        <f t="shared" si="204"/>
        <v>672.66244537372063</v>
      </c>
      <c r="AE346" s="140">
        <f t="shared" si="204"/>
        <v>672.66055268708828</v>
      </c>
      <c r="AF346" s="140">
        <f t="shared" si="204"/>
        <v>672.65992851272802</v>
      </c>
      <c r="AG346" s="140">
        <f t="shared" si="204"/>
        <v>672.66097552277324</v>
      </c>
    </row>
    <row r="347" spans="1:33" ht="14.25" customHeight="1" x14ac:dyDescent="0.35">
      <c r="A347" s="21"/>
      <c r="B347" s="21"/>
      <c r="C347" s="21"/>
      <c r="D347" s="128" t="s">
        <v>4059</v>
      </c>
      <c r="E347" s="128"/>
      <c r="F347" s="21"/>
      <c r="G347" s="21"/>
      <c r="H347" s="21"/>
      <c r="I347" s="22" t="s">
        <v>3915</v>
      </c>
      <c r="J347" s="132">
        <v>26500</v>
      </c>
      <c r="K347" s="132">
        <v>0</v>
      </c>
      <c r="L347" s="132">
        <v>26500</v>
      </c>
      <c r="M347" s="132">
        <v>0</v>
      </c>
      <c r="N347" s="132">
        <v>38000</v>
      </c>
      <c r="O347" s="132">
        <v>38000</v>
      </c>
      <c r="P347" s="132">
        <v>0</v>
      </c>
      <c r="Q347" s="132">
        <v>0</v>
      </c>
      <c r="R347" s="140">
        <v>30561.563095000001</v>
      </c>
      <c r="S347" s="140">
        <v>30561.563095000001</v>
      </c>
      <c r="T347" s="140">
        <v>30561.563095000001</v>
      </c>
      <c r="U347" s="140">
        <v>30561.563095000001</v>
      </c>
      <c r="V347" s="140">
        <v>30561.563095000001</v>
      </c>
      <c r="W347" s="140">
        <v>30561.563095000001</v>
      </c>
      <c r="X347" s="140">
        <v>30561.563095000001</v>
      </c>
      <c r="Y347" s="140">
        <v>30561.563095000001</v>
      </c>
      <c r="Z347" s="140">
        <v>30561.563095000001</v>
      </c>
      <c r="AA347" s="140">
        <v>30561.563095000001</v>
      </c>
      <c r="AB347" s="140">
        <v>30561.563095000001</v>
      </c>
      <c r="AC347" s="140">
        <v>30561.563095000001</v>
      </c>
      <c r="AD347" s="140">
        <v>30561.563095000001</v>
      </c>
      <c r="AE347" s="140">
        <v>30561.563095000001</v>
      </c>
      <c r="AF347" s="140">
        <v>30561.563095000001</v>
      </c>
      <c r="AG347" s="140">
        <v>30561.563095000001</v>
      </c>
    </row>
    <row r="348" spans="1:33" ht="14.25" customHeight="1" x14ac:dyDescent="0.35">
      <c r="A348" s="21"/>
      <c r="B348" s="21"/>
      <c r="C348" s="21"/>
      <c r="D348" s="128" t="s">
        <v>4056</v>
      </c>
      <c r="E348" s="128"/>
      <c r="F348" s="21"/>
      <c r="G348" s="21"/>
      <c r="H348" s="21"/>
      <c r="I348" s="22" t="s">
        <v>4060</v>
      </c>
      <c r="J348" s="148">
        <v>11924850.84</v>
      </c>
      <c r="K348" s="148">
        <v>21517883.210000001</v>
      </c>
      <c r="L348" s="148">
        <v>16217911.99</v>
      </c>
      <c r="M348" s="148">
        <v>37537170.890000001</v>
      </c>
      <c r="N348" s="148">
        <v>11262476.210000001</v>
      </c>
      <c r="O348" s="148">
        <v>30139757.559999999</v>
      </c>
      <c r="P348" s="148">
        <v>25089096.600000001</v>
      </c>
      <c r="Q348" s="148">
        <v>17302825.219999999</v>
      </c>
      <c r="R348" s="149">
        <v>12111978</v>
      </c>
      <c r="S348" s="149">
        <f t="shared" ref="S348:AG348" si="205">R352</f>
        <v>21517236.717614554</v>
      </c>
      <c r="T348" s="149">
        <f t="shared" si="205"/>
        <v>21244846.008029304</v>
      </c>
      <c r="U348" s="149">
        <f t="shared" si="205"/>
        <v>20993866.280561049</v>
      </c>
      <c r="V348" s="149">
        <f t="shared" si="205"/>
        <v>20867323.37688921</v>
      </c>
      <c r="W348" s="149">
        <f t="shared" si="205"/>
        <v>20772521.664040804</v>
      </c>
      <c r="X348" s="149">
        <f t="shared" si="205"/>
        <v>20698334.983918045</v>
      </c>
      <c r="Y348" s="149">
        <f t="shared" si="205"/>
        <v>20656704.321887605</v>
      </c>
      <c r="Z348" s="149">
        <f t="shared" si="205"/>
        <v>20625359.132637016</v>
      </c>
      <c r="AA348" s="149">
        <f t="shared" si="205"/>
        <v>20602857.27105239</v>
      </c>
      <c r="AB348" s="149">
        <f t="shared" si="205"/>
        <v>20589173.283011749</v>
      </c>
      <c r="AC348" s="149">
        <f t="shared" si="205"/>
        <v>20579058.371036053</v>
      </c>
      <c r="AD348" s="149">
        <f t="shared" si="205"/>
        <v>20572094.010971278</v>
      </c>
      <c r="AE348" s="149">
        <f t="shared" si="205"/>
        <v>20567626.222944267</v>
      </c>
      <c r="AF348" s="149">
        <f t="shared" si="205"/>
        <v>20564397.603447899</v>
      </c>
      <c r="AG348" s="149">
        <f t="shared" si="205"/>
        <v>20562212.08350379</v>
      </c>
    </row>
    <row r="349" spans="1:33" ht="14.25" customHeight="1" x14ac:dyDescent="0.35">
      <c r="A349" s="21"/>
      <c r="B349" s="21"/>
      <c r="C349" s="21"/>
      <c r="D349" s="128" t="s">
        <v>4057</v>
      </c>
      <c r="E349" s="128"/>
      <c r="F349" s="21"/>
      <c r="G349" s="21"/>
      <c r="H349" s="21"/>
      <c r="I349" s="22" t="s">
        <v>4060</v>
      </c>
      <c r="J349" s="148">
        <v>15555500</v>
      </c>
      <c r="K349" s="148">
        <v>0</v>
      </c>
      <c r="L349" s="148">
        <v>25612250</v>
      </c>
      <c r="M349" s="148">
        <v>0</v>
      </c>
      <c r="N349" s="148">
        <v>36100000</v>
      </c>
      <c r="O349" s="148">
        <v>1569400</v>
      </c>
      <c r="P349" s="148">
        <v>0</v>
      </c>
      <c r="Q349" s="148">
        <v>0</v>
      </c>
      <c r="R349" s="149">
        <f t="shared" ref="R349:AG349" si="206">R345*R347</f>
        <v>19380334.846498035</v>
      </c>
      <c r="S349" s="149">
        <f t="shared" si="206"/>
        <v>9576409.0716160461</v>
      </c>
      <c r="T349" s="149">
        <f t="shared" si="206"/>
        <v>9481469.5241014678</v>
      </c>
      <c r="U349" s="149">
        <f t="shared" si="206"/>
        <v>9547242.9091737494</v>
      </c>
      <c r="V349" s="149">
        <f t="shared" si="206"/>
        <v>9535035.4129412174</v>
      </c>
      <c r="W349" s="149">
        <f t="shared" si="206"/>
        <v>9521258.5861690436</v>
      </c>
      <c r="X349" s="149">
        <f t="shared" si="206"/>
        <v>9534515.2384320349</v>
      </c>
      <c r="Y349" s="149">
        <f t="shared" si="206"/>
        <v>9530269.5400790777</v>
      </c>
      <c r="Z349" s="149">
        <f t="shared" si="206"/>
        <v>9528681.3339336123</v>
      </c>
      <c r="AA349" s="149">
        <f t="shared" si="206"/>
        <v>9531155.5108290203</v>
      </c>
      <c r="AB349" s="149">
        <f t="shared" si="206"/>
        <v>9530035.4616908282</v>
      </c>
      <c r="AC349" s="149">
        <f t="shared" si="206"/>
        <v>9529957.4381695595</v>
      </c>
      <c r="AD349" s="149">
        <f t="shared" si="206"/>
        <v>9530382.8090451043</v>
      </c>
      <c r="AE349" s="149">
        <f t="shared" si="206"/>
        <v>9530125.236814376</v>
      </c>
      <c r="AF349" s="149">
        <f t="shared" si="206"/>
        <v>9530155.1612963453</v>
      </c>
      <c r="AG349" s="149">
        <f t="shared" si="206"/>
        <v>9530221.069230821</v>
      </c>
    </row>
    <row r="350" spans="1:33" ht="14.25" customHeight="1" x14ac:dyDescent="0.35">
      <c r="A350" s="21"/>
      <c r="B350" s="21"/>
      <c r="C350" s="21"/>
      <c r="D350" s="128" t="s">
        <v>4061</v>
      </c>
      <c r="E350" s="128"/>
      <c r="F350" s="21"/>
      <c r="G350" s="21"/>
      <c r="H350" s="21"/>
      <c r="I350" s="22" t="s">
        <v>3915</v>
      </c>
      <c r="J350" s="132">
        <v>26499.856100000001</v>
      </c>
      <c r="K350" s="132">
        <v>26499.856100000001</v>
      </c>
      <c r="L350" s="132">
        <v>26499.945100000001</v>
      </c>
      <c r="M350" s="132">
        <v>26499.944200000002</v>
      </c>
      <c r="N350" s="132">
        <v>34445.437299999998</v>
      </c>
      <c r="O350" s="132">
        <v>34605.650600000001</v>
      </c>
      <c r="P350" s="132">
        <v>34605.650600000001</v>
      </c>
      <c r="Q350" s="132">
        <v>34605.650600000001</v>
      </c>
      <c r="R350" s="140">
        <f t="shared" ref="R350:AG350" si="207">IF((R344+R345)=0,R347,(R348+R349)/(R344+R345))</f>
        <v>31999.803314511719</v>
      </c>
      <c r="S350" s="140">
        <f t="shared" si="207"/>
        <v>31542.625913469608</v>
      </c>
      <c r="T350" s="140">
        <f t="shared" si="207"/>
        <v>31233.237937795209</v>
      </c>
      <c r="U350" s="140">
        <f t="shared" si="207"/>
        <v>31020.119924617753</v>
      </c>
      <c r="V350" s="140">
        <f t="shared" si="207"/>
        <v>30874.829430536367</v>
      </c>
      <c r="W350" s="140">
        <f t="shared" si="207"/>
        <v>30775.680799431091</v>
      </c>
      <c r="X350" s="140">
        <f t="shared" si="207"/>
        <v>30707.831449863519</v>
      </c>
      <c r="Y350" s="140">
        <f t="shared" si="207"/>
        <v>30661.502351357416</v>
      </c>
      <c r="Z350" s="140">
        <f t="shared" si="207"/>
        <v>30629.850965944148</v>
      </c>
      <c r="AA350" s="140">
        <f t="shared" si="207"/>
        <v>30608.219066360089</v>
      </c>
      <c r="AB350" s="140">
        <f t="shared" si="207"/>
        <v>30593.441226316554</v>
      </c>
      <c r="AC350" s="140">
        <f t="shared" si="207"/>
        <v>30583.344126134554</v>
      </c>
      <c r="AD350" s="140">
        <f t="shared" si="207"/>
        <v>30576.444938169865</v>
      </c>
      <c r="AE350" s="140">
        <f t="shared" si="207"/>
        <v>30571.73119681087</v>
      </c>
      <c r="AF350" s="140">
        <f t="shared" si="207"/>
        <v>30568.510493805505</v>
      </c>
      <c r="AG350" s="140">
        <f t="shared" si="207"/>
        <v>30566.309922986758</v>
      </c>
    </row>
    <row r="351" spans="1:33" ht="14.25" customHeight="1" x14ac:dyDescent="0.35">
      <c r="A351" s="21"/>
      <c r="B351" s="21"/>
      <c r="C351" s="21"/>
      <c r="D351" s="128" t="s">
        <v>4049</v>
      </c>
      <c r="E351" s="128"/>
      <c r="F351" s="21"/>
      <c r="G351" s="21"/>
      <c r="H351" s="21"/>
      <c r="I351" s="22" t="s">
        <v>4060</v>
      </c>
      <c r="J351" s="148">
        <v>5962467.6200000001</v>
      </c>
      <c r="K351" s="148">
        <v>5299971.22</v>
      </c>
      <c r="L351" s="148">
        <v>4292991.1100000003</v>
      </c>
      <c r="M351" s="148">
        <v>26274694.670000002</v>
      </c>
      <c r="N351" s="148">
        <v>17222718.649999999</v>
      </c>
      <c r="O351" s="148">
        <v>6620060.96</v>
      </c>
      <c r="P351" s="148">
        <v>7786271.3799999999</v>
      </c>
      <c r="Q351" s="148">
        <v>5190847.59</v>
      </c>
      <c r="R351" s="149">
        <f t="shared" ref="R351:AG351" si="208">R338*R350</f>
        <v>9975076.128883481</v>
      </c>
      <c r="S351" s="149">
        <f t="shared" si="208"/>
        <v>9848799.7812012937</v>
      </c>
      <c r="T351" s="149">
        <f t="shared" si="208"/>
        <v>9732449.2515697218</v>
      </c>
      <c r="U351" s="149">
        <f t="shared" si="208"/>
        <v>9673785.8128455877</v>
      </c>
      <c r="V351" s="149">
        <f t="shared" si="208"/>
        <v>9629837.1257896256</v>
      </c>
      <c r="W351" s="149">
        <f t="shared" si="208"/>
        <v>9595445.2662918009</v>
      </c>
      <c r="X351" s="149">
        <f t="shared" si="208"/>
        <v>9576145.9004624747</v>
      </c>
      <c r="Y351" s="149">
        <f t="shared" si="208"/>
        <v>9561614.7293296661</v>
      </c>
      <c r="Z351" s="149">
        <f t="shared" si="208"/>
        <v>9551183.1955182385</v>
      </c>
      <c r="AA351" s="149">
        <f t="shared" si="208"/>
        <v>9544839.4988696631</v>
      </c>
      <c r="AB351" s="149">
        <f t="shared" si="208"/>
        <v>9540150.373666523</v>
      </c>
      <c r="AC351" s="149">
        <f t="shared" si="208"/>
        <v>9536921.7982343342</v>
      </c>
      <c r="AD351" s="149">
        <f t="shared" si="208"/>
        <v>9534850.597072117</v>
      </c>
      <c r="AE351" s="149">
        <f t="shared" si="208"/>
        <v>9533353.856310742</v>
      </c>
      <c r="AF351" s="149">
        <f t="shared" si="208"/>
        <v>9532340.6812404562</v>
      </c>
      <c r="AG351" s="149">
        <f t="shared" si="208"/>
        <v>9531669.3018069137</v>
      </c>
    </row>
    <row r="352" spans="1:33" ht="14.25" customHeight="1" x14ac:dyDescent="0.35">
      <c r="A352" s="21"/>
      <c r="B352" s="21"/>
      <c r="C352" s="21"/>
      <c r="D352" s="128" t="s">
        <v>4058</v>
      </c>
      <c r="E352" s="128"/>
      <c r="F352" s="21"/>
      <c r="G352" s="21"/>
      <c r="H352" s="21"/>
      <c r="I352" s="22" t="s">
        <v>4060</v>
      </c>
      <c r="J352" s="148">
        <v>21517883.210000001</v>
      </c>
      <c r="K352" s="148">
        <v>16217911.99</v>
      </c>
      <c r="L352" s="148">
        <v>37537170.890000001</v>
      </c>
      <c r="M352" s="148">
        <v>11262476.210000001</v>
      </c>
      <c r="N352" s="148">
        <v>30139757.559999999</v>
      </c>
      <c r="O352" s="148">
        <v>25089096.600000001</v>
      </c>
      <c r="P352" s="148">
        <v>17302825.219999999</v>
      </c>
      <c r="Q352" s="148">
        <v>12111977.630000001</v>
      </c>
      <c r="R352" s="149">
        <f t="shared" ref="R352:AG352" si="209">R348+R349-R351</f>
        <v>21517236.717614554</v>
      </c>
      <c r="S352" s="149">
        <f t="shared" si="209"/>
        <v>21244846.008029304</v>
      </c>
      <c r="T352" s="149">
        <f t="shared" si="209"/>
        <v>20993866.280561049</v>
      </c>
      <c r="U352" s="149">
        <f t="shared" si="209"/>
        <v>20867323.37688921</v>
      </c>
      <c r="V352" s="149">
        <f t="shared" si="209"/>
        <v>20772521.664040804</v>
      </c>
      <c r="W352" s="149">
        <f t="shared" si="209"/>
        <v>20698334.983918045</v>
      </c>
      <c r="X352" s="149">
        <f t="shared" si="209"/>
        <v>20656704.321887605</v>
      </c>
      <c r="Y352" s="149">
        <f t="shared" si="209"/>
        <v>20625359.132637016</v>
      </c>
      <c r="Z352" s="149">
        <f t="shared" si="209"/>
        <v>20602857.27105239</v>
      </c>
      <c r="AA352" s="149">
        <f t="shared" si="209"/>
        <v>20589173.283011749</v>
      </c>
      <c r="AB352" s="149">
        <f t="shared" si="209"/>
        <v>20579058.371036053</v>
      </c>
      <c r="AC352" s="149">
        <f t="shared" si="209"/>
        <v>20572094.010971278</v>
      </c>
      <c r="AD352" s="149">
        <f t="shared" si="209"/>
        <v>20567626.222944267</v>
      </c>
      <c r="AE352" s="149">
        <f t="shared" si="209"/>
        <v>20564397.603447899</v>
      </c>
      <c r="AF352" s="149">
        <f t="shared" si="209"/>
        <v>20562212.08350379</v>
      </c>
      <c r="AG352" s="149">
        <f t="shared" si="209"/>
        <v>20560763.850927696</v>
      </c>
    </row>
    <row r="353" spans="1:33" s="79" customFormat="1" ht="14.25" customHeight="1" x14ac:dyDescent="0.35">
      <c r="A353" s="168"/>
      <c r="B353" s="167" t="s">
        <v>4073</v>
      </c>
      <c r="C353" s="167" t="s">
        <v>4074</v>
      </c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  <c r="Z353" s="168"/>
      <c r="AA353" s="168"/>
      <c r="AB353" s="168"/>
      <c r="AC353" s="168"/>
      <c r="AD353" s="168"/>
      <c r="AE353" s="168"/>
      <c r="AF353" s="168"/>
      <c r="AG353" s="168"/>
    </row>
    <row r="354" spans="1:33" ht="14.25" customHeight="1" x14ac:dyDescent="0.35">
      <c r="A354" s="21"/>
      <c r="B354" s="21"/>
      <c r="C354" s="21"/>
      <c r="D354" s="128" t="s">
        <v>4049</v>
      </c>
      <c r="E354" s="128"/>
      <c r="F354" s="21"/>
      <c r="G354" s="21"/>
      <c r="H354" s="21"/>
      <c r="I354" s="22" t="s">
        <v>3900</v>
      </c>
      <c r="J354" s="132">
        <v>3350</v>
      </c>
      <c r="K354" s="132">
        <v>2750</v>
      </c>
      <c r="L354" s="132">
        <v>1900</v>
      </c>
      <c r="M354" s="132">
        <v>824.7</v>
      </c>
      <c r="N354" s="132">
        <v>1800</v>
      </c>
      <c r="O354" s="132">
        <v>1700</v>
      </c>
      <c r="P354" s="132">
        <v>1700</v>
      </c>
      <c r="Q354" s="132">
        <v>2850</v>
      </c>
      <c r="R354" s="140">
        <f t="shared" ref="R354:AG354" si="210">R462+R618+R782</f>
        <v>2086.6240079022618</v>
      </c>
      <c r="S354" s="140">
        <f t="shared" si="210"/>
        <v>2090.1438912775134</v>
      </c>
      <c r="T354" s="140">
        <f t="shared" si="210"/>
        <v>2085.8203363135694</v>
      </c>
      <c r="U354" s="140">
        <f t="shared" si="210"/>
        <v>2087.5277239685224</v>
      </c>
      <c r="V354" s="140">
        <f t="shared" si="210"/>
        <v>2087.8291366375415</v>
      </c>
      <c r="W354" s="140">
        <f t="shared" si="210"/>
        <v>2087.0586906715507</v>
      </c>
      <c r="X354" s="140">
        <f t="shared" si="210"/>
        <v>2087.4718022834054</v>
      </c>
      <c r="Y354" s="140">
        <f t="shared" si="210"/>
        <v>2087.4531623874968</v>
      </c>
      <c r="Z354" s="140">
        <f t="shared" si="210"/>
        <v>2087.3278677268222</v>
      </c>
      <c r="AA354" s="140">
        <f t="shared" si="210"/>
        <v>2087.4176088423255</v>
      </c>
      <c r="AB354" s="140">
        <f t="shared" si="210"/>
        <v>2087.3995449872637</v>
      </c>
      <c r="AC354" s="140">
        <f t="shared" si="210"/>
        <v>2087.3816731325996</v>
      </c>
      <c r="AD354" s="140">
        <f t="shared" si="210"/>
        <v>2087.3996088842864</v>
      </c>
      <c r="AE354" s="140">
        <f t="shared" si="210"/>
        <v>2087.3936089672579</v>
      </c>
      <c r="AF354" s="140">
        <f t="shared" si="210"/>
        <v>2087.3916303014244</v>
      </c>
      <c r="AG354" s="140">
        <f t="shared" si="210"/>
        <v>2087.3949493788095</v>
      </c>
    </row>
    <row r="355" spans="1:33" ht="14.25" customHeight="1" x14ac:dyDescent="0.35">
      <c r="A355" s="21"/>
      <c r="B355" s="21"/>
      <c r="C355" s="21"/>
      <c r="D355" s="128" t="s">
        <v>4050</v>
      </c>
      <c r="E355" s="128"/>
      <c r="F355" s="21"/>
      <c r="G355" s="21"/>
      <c r="H355" s="21"/>
      <c r="I355" s="22" t="s">
        <v>3900</v>
      </c>
      <c r="J355" s="132"/>
      <c r="K355" s="132"/>
      <c r="L355" s="132"/>
      <c r="M355" s="132"/>
      <c r="N355" s="132"/>
      <c r="O355" s="132"/>
      <c r="P355" s="132"/>
      <c r="Q355" s="132"/>
      <c r="R355" s="140">
        <f>IF('Input Operasional'!Q7=0,0,R354/'Input Operasional'!Q7)</f>
        <v>80.254769534702376</v>
      </c>
      <c r="S355" s="140">
        <f>IF('Input Operasional'!R7=0,0,S354/'Input Operasional'!R7)</f>
        <v>77.412736713981971</v>
      </c>
      <c r="T355" s="140">
        <f>IF('Input Operasional'!S7=0,0,T354/'Input Operasional'!S7)</f>
        <v>80.223859088983446</v>
      </c>
      <c r="U355" s="140">
        <f>IF('Input Operasional'!T7=0,0,U354/'Input Operasional'!T7)</f>
        <v>77.315841628463787</v>
      </c>
      <c r="V355" s="140">
        <f>IF('Input Operasional'!U7=0,0,V354/'Input Operasional'!U7)</f>
        <v>77.327005060649682</v>
      </c>
      <c r="W355" s="140">
        <f>IF('Input Operasional'!V7=0,0,W354/'Input Operasional'!V7)</f>
        <v>86.960778777981275</v>
      </c>
      <c r="X355" s="140">
        <f>IF('Input Operasional'!W7=0,0,X354/'Input Operasional'!W7)</f>
        <v>77.313770454940936</v>
      </c>
      <c r="Y355" s="140">
        <f>IF('Input Operasional'!X7=0,0,Y354/'Input Operasional'!X7)</f>
        <v>80.286660091826803</v>
      </c>
      <c r="Z355" s="140">
        <f>IF('Input Operasional'!Y7=0,0,Z354/'Input Operasional'!Y7)</f>
        <v>77.308439545437864</v>
      </c>
      <c r="AA355" s="140">
        <f>IF('Input Operasional'!Z7=0,0,AA354/'Input Operasional'!Z7)</f>
        <v>80.285292647781745</v>
      </c>
      <c r="AB355" s="140">
        <f>IF('Input Operasional'!AA7=0,0,AB354/'Input Operasional'!AA7)</f>
        <v>77.311094258787548</v>
      </c>
      <c r="AC355" s="140">
        <f>IF('Input Operasional'!AB7=0,0,AC354/'Input Operasional'!AB7)</f>
        <v>77.310432338244425</v>
      </c>
      <c r="AD355" s="140">
        <f>IF('Input Operasional'!AC7=0,0,AD354/'Input Operasional'!AC7)</f>
        <v>80.284600341703324</v>
      </c>
      <c r="AE355" s="140">
        <f>IF('Input Operasional'!AD7=0,0,AE354/'Input Operasional'!AD7)</f>
        <v>77.310874406194742</v>
      </c>
      <c r="AF355" s="140">
        <f>IF('Input Operasional'!AE7=0,0,AF354/'Input Operasional'!AE7)</f>
        <v>80.284293473131711</v>
      </c>
      <c r="AG355" s="140">
        <f>IF('Input Operasional'!AF7=0,0,AG354/'Input Operasional'!AF7)</f>
        <v>77.310924051067019</v>
      </c>
    </row>
    <row r="356" spans="1:33" ht="14.25" customHeight="1" x14ac:dyDescent="0.35">
      <c r="A356" s="21"/>
      <c r="B356" s="21"/>
      <c r="C356" s="21"/>
      <c r="D356" s="128" t="s">
        <v>4051</v>
      </c>
      <c r="E356" s="128"/>
      <c r="F356" s="21"/>
      <c r="G356" s="21"/>
      <c r="H356" s="21"/>
      <c r="I356" s="22" t="s">
        <v>13</v>
      </c>
      <c r="J356" s="142"/>
      <c r="K356" s="142"/>
      <c r="L356" s="142"/>
      <c r="M356" s="142"/>
      <c r="N356" s="142"/>
      <c r="O356" s="142"/>
      <c r="P356" s="142"/>
      <c r="Q356" s="142"/>
      <c r="R356" s="126">
        <f>'Input Operasional'!Q170</f>
        <v>1.071124</v>
      </c>
      <c r="S356" s="126">
        <f>'Input Operasional'!R170</f>
        <v>1.071124</v>
      </c>
      <c r="T356" s="126">
        <f>'Input Operasional'!S170</f>
        <v>1.071124</v>
      </c>
      <c r="U356" s="126">
        <f>'Input Operasional'!T170</f>
        <v>1.071124</v>
      </c>
      <c r="V356" s="126">
        <f>'Input Operasional'!U170</f>
        <v>1.071124</v>
      </c>
      <c r="W356" s="126">
        <f>'Input Operasional'!V170</f>
        <v>1.071124</v>
      </c>
      <c r="X356" s="126">
        <f>'Input Operasional'!W170</f>
        <v>1.071124</v>
      </c>
      <c r="Y356" s="126">
        <f>'Input Operasional'!X170</f>
        <v>1.071124</v>
      </c>
      <c r="Z356" s="126">
        <f>'Input Operasional'!Y170</f>
        <v>1.071124</v>
      </c>
      <c r="AA356" s="126">
        <f>'Input Operasional'!Z170</f>
        <v>1.071124</v>
      </c>
      <c r="AB356" s="126">
        <f>'Input Operasional'!AA170</f>
        <v>1.071124</v>
      </c>
      <c r="AC356" s="126">
        <f>'Input Operasional'!AB170</f>
        <v>1.071124</v>
      </c>
      <c r="AD356" s="126">
        <f>'Input Operasional'!AC170</f>
        <v>1.071124</v>
      </c>
      <c r="AE356" s="126">
        <f>'Input Operasional'!AD170</f>
        <v>1.071124</v>
      </c>
      <c r="AF356" s="126">
        <f>'Input Operasional'!AE170</f>
        <v>1.071124</v>
      </c>
      <c r="AG356" s="126">
        <f>'Input Operasional'!AF170</f>
        <v>1.071124</v>
      </c>
    </row>
    <row r="357" spans="1:33" ht="14.25" customHeight="1" x14ac:dyDescent="0.35">
      <c r="A357" s="21"/>
      <c r="B357" s="21"/>
      <c r="C357" s="21"/>
      <c r="D357" s="128" t="s">
        <v>4052</v>
      </c>
      <c r="E357" s="128"/>
      <c r="F357" s="21"/>
      <c r="G357" s="21"/>
      <c r="H357" s="21"/>
      <c r="I357" s="22" t="s">
        <v>3900</v>
      </c>
      <c r="J357" s="132"/>
      <c r="K357" s="132"/>
      <c r="L357" s="132"/>
      <c r="M357" s="132"/>
      <c r="N357" s="132"/>
      <c r="O357" s="132"/>
      <c r="P357" s="132"/>
      <c r="Q357" s="132"/>
      <c r="R357" s="140">
        <f t="shared" ref="R357:AG357" si="211">R356*R354</f>
        <v>2235.0330538403023</v>
      </c>
      <c r="S357" s="140">
        <f t="shared" si="211"/>
        <v>2238.8032854007351</v>
      </c>
      <c r="T357" s="140">
        <f t="shared" si="211"/>
        <v>2234.1722219135359</v>
      </c>
      <c r="U357" s="140">
        <f t="shared" si="211"/>
        <v>2236.0010458080596</v>
      </c>
      <c r="V357" s="140">
        <f t="shared" si="211"/>
        <v>2236.32389615175</v>
      </c>
      <c r="W357" s="140">
        <f t="shared" si="211"/>
        <v>2235.4986529868738</v>
      </c>
      <c r="X357" s="140">
        <f t="shared" si="211"/>
        <v>2235.9411467490104</v>
      </c>
      <c r="Y357" s="140">
        <f t="shared" si="211"/>
        <v>2235.921181109145</v>
      </c>
      <c r="Z357" s="140">
        <f t="shared" si="211"/>
        <v>2235.7869749910246</v>
      </c>
      <c r="AA357" s="140">
        <f t="shared" si="211"/>
        <v>2235.883098853627</v>
      </c>
      <c r="AB357" s="140">
        <f t="shared" si="211"/>
        <v>2235.8637502249376</v>
      </c>
      <c r="AC357" s="140">
        <f t="shared" si="211"/>
        <v>2235.8446072524825</v>
      </c>
      <c r="AD357" s="140">
        <f t="shared" si="211"/>
        <v>2235.8638186665721</v>
      </c>
      <c r="AE357" s="140">
        <f t="shared" si="211"/>
        <v>2235.857392011445</v>
      </c>
      <c r="AF357" s="140">
        <f t="shared" si="211"/>
        <v>2235.8552726149828</v>
      </c>
      <c r="AG357" s="140">
        <f t="shared" si="211"/>
        <v>2235.8588277584281</v>
      </c>
    </row>
    <row r="358" spans="1:33" ht="14.25" customHeight="1" x14ac:dyDescent="0.35">
      <c r="A358" s="21"/>
      <c r="B358" s="21"/>
      <c r="C358" s="21"/>
      <c r="D358" s="128" t="s">
        <v>4053</v>
      </c>
      <c r="E358" s="128"/>
      <c r="F358" s="21"/>
      <c r="G358" s="21"/>
      <c r="H358" s="21"/>
      <c r="I358" s="22" t="s">
        <v>4054</v>
      </c>
      <c r="J358" s="132"/>
      <c r="K358" s="132"/>
      <c r="L358" s="132"/>
      <c r="M358" s="132"/>
      <c r="N358" s="132"/>
      <c r="O358" s="132"/>
      <c r="P358" s="132"/>
      <c r="Q358" s="132"/>
      <c r="R358" s="140">
        <f>'Input Operasional'!Q180</f>
        <v>0</v>
      </c>
      <c r="S358" s="140">
        <f>'Input Operasional'!R180</f>
        <v>0</v>
      </c>
      <c r="T358" s="140">
        <f>'Input Operasional'!S180</f>
        <v>0</v>
      </c>
      <c r="U358" s="140">
        <f>'Input Operasional'!T180</f>
        <v>0</v>
      </c>
      <c r="V358" s="140">
        <f>'Input Operasional'!U180</f>
        <v>0</v>
      </c>
      <c r="W358" s="140">
        <f>'Input Operasional'!V180</f>
        <v>0</v>
      </c>
      <c r="X358" s="140">
        <f>'Input Operasional'!W180</f>
        <v>0</v>
      </c>
      <c r="Y358" s="140">
        <f>'Input Operasional'!X180</f>
        <v>0</v>
      </c>
      <c r="Z358" s="140">
        <f>'Input Operasional'!Y180</f>
        <v>0</v>
      </c>
      <c r="AA358" s="140">
        <f>'Input Operasional'!Z180</f>
        <v>0</v>
      </c>
      <c r="AB358" s="140">
        <f>'Input Operasional'!AA180</f>
        <v>0</v>
      </c>
      <c r="AC358" s="140">
        <f>'Input Operasional'!AB180</f>
        <v>0</v>
      </c>
      <c r="AD358" s="140">
        <f>'Input Operasional'!AC180</f>
        <v>0</v>
      </c>
      <c r="AE358" s="140">
        <f>'Input Operasional'!AD180</f>
        <v>0</v>
      </c>
      <c r="AF358" s="140">
        <f>'Input Operasional'!AE180</f>
        <v>0</v>
      </c>
      <c r="AG358" s="140">
        <f>'Input Operasional'!AF180</f>
        <v>0</v>
      </c>
    </row>
    <row r="359" spans="1:33" ht="14.25" customHeight="1" x14ac:dyDescent="0.35">
      <c r="A359" s="21"/>
      <c r="B359" s="21"/>
      <c r="C359" s="21"/>
      <c r="D359" s="128" t="s">
        <v>4055</v>
      </c>
      <c r="E359" s="128"/>
      <c r="F359" s="21"/>
      <c r="G359" s="21"/>
      <c r="H359" s="21"/>
      <c r="I359" s="22" t="s">
        <v>3900</v>
      </c>
      <c r="J359" s="132"/>
      <c r="K359" s="132"/>
      <c r="L359" s="132"/>
      <c r="M359" s="132"/>
      <c r="N359" s="132"/>
      <c r="O359" s="132"/>
      <c r="P359" s="132"/>
      <c r="Q359" s="132"/>
      <c r="R359" s="140">
        <f t="shared" ref="R359:AG359" si="212">R357+R358*R355</f>
        <v>2235.0330538403023</v>
      </c>
      <c r="S359" s="140">
        <f t="shared" si="212"/>
        <v>2238.8032854007351</v>
      </c>
      <c r="T359" s="140">
        <f t="shared" si="212"/>
        <v>2234.1722219135359</v>
      </c>
      <c r="U359" s="140">
        <f t="shared" si="212"/>
        <v>2236.0010458080596</v>
      </c>
      <c r="V359" s="140">
        <f t="shared" si="212"/>
        <v>2236.32389615175</v>
      </c>
      <c r="W359" s="140">
        <f t="shared" si="212"/>
        <v>2235.4986529868738</v>
      </c>
      <c r="X359" s="140">
        <f t="shared" si="212"/>
        <v>2235.9411467490104</v>
      </c>
      <c r="Y359" s="140">
        <f t="shared" si="212"/>
        <v>2235.921181109145</v>
      </c>
      <c r="Z359" s="140">
        <f t="shared" si="212"/>
        <v>2235.7869749910246</v>
      </c>
      <c r="AA359" s="140">
        <f t="shared" si="212"/>
        <v>2235.883098853627</v>
      </c>
      <c r="AB359" s="140">
        <f t="shared" si="212"/>
        <v>2235.8637502249376</v>
      </c>
      <c r="AC359" s="140">
        <f t="shared" si="212"/>
        <v>2235.8446072524825</v>
      </c>
      <c r="AD359" s="140">
        <f t="shared" si="212"/>
        <v>2235.8638186665721</v>
      </c>
      <c r="AE359" s="140">
        <f t="shared" si="212"/>
        <v>2235.857392011445</v>
      </c>
      <c r="AF359" s="140">
        <f t="shared" si="212"/>
        <v>2235.8552726149828</v>
      </c>
      <c r="AG359" s="140">
        <f t="shared" si="212"/>
        <v>2235.8588277584281</v>
      </c>
    </row>
    <row r="360" spans="1:33" ht="14.25" customHeight="1" x14ac:dyDescent="0.35">
      <c r="A360" s="21"/>
      <c r="B360" s="21"/>
      <c r="C360" s="21"/>
      <c r="D360" s="128" t="s">
        <v>4056</v>
      </c>
      <c r="E360" s="128"/>
      <c r="F360" s="21"/>
      <c r="G360" s="21"/>
      <c r="H360" s="21"/>
      <c r="I360" s="22" t="s">
        <v>3900</v>
      </c>
      <c r="J360" s="132">
        <v>1275</v>
      </c>
      <c r="K360" s="132">
        <v>1675</v>
      </c>
      <c r="L360" s="132">
        <v>1650</v>
      </c>
      <c r="M360" s="132">
        <v>100</v>
      </c>
      <c r="N360" s="132">
        <v>0</v>
      </c>
      <c r="O360" s="132">
        <v>3125</v>
      </c>
      <c r="P360" s="132">
        <v>4225</v>
      </c>
      <c r="Q360" s="132">
        <v>2525</v>
      </c>
      <c r="R360" s="140">
        <v>4775</v>
      </c>
      <c r="S360" s="140">
        <f t="shared" ref="S360:AG360" si="213">R362</f>
        <v>2688.3759920977382</v>
      </c>
      <c r="T360" s="140">
        <f t="shared" si="213"/>
        <v>2238.8032854007347</v>
      </c>
      <c r="U360" s="140">
        <f t="shared" si="213"/>
        <v>2234.1722219135359</v>
      </c>
      <c r="V360" s="140">
        <f t="shared" si="213"/>
        <v>2236.0010458080592</v>
      </c>
      <c r="W360" s="140">
        <f t="shared" si="213"/>
        <v>2236.32389615175</v>
      </c>
      <c r="X360" s="140">
        <f t="shared" si="213"/>
        <v>2235.4986529868738</v>
      </c>
      <c r="Y360" s="140">
        <f t="shared" si="213"/>
        <v>2235.9411467490104</v>
      </c>
      <c r="Z360" s="140">
        <f t="shared" si="213"/>
        <v>2235.921181109145</v>
      </c>
      <c r="AA360" s="140">
        <f t="shared" si="213"/>
        <v>2235.7869749910246</v>
      </c>
      <c r="AB360" s="140">
        <f t="shared" si="213"/>
        <v>2235.8830988536274</v>
      </c>
      <c r="AC360" s="140">
        <f t="shared" si="213"/>
        <v>2235.8637502249376</v>
      </c>
      <c r="AD360" s="140">
        <f t="shared" si="213"/>
        <v>2235.844607252483</v>
      </c>
      <c r="AE360" s="140">
        <f t="shared" si="213"/>
        <v>2235.8638186665726</v>
      </c>
      <c r="AF360" s="140">
        <f t="shared" si="213"/>
        <v>2235.857392011445</v>
      </c>
      <c r="AG360" s="140">
        <f t="shared" si="213"/>
        <v>2235.8552726149833</v>
      </c>
    </row>
    <row r="361" spans="1:33" ht="14.25" customHeight="1" x14ac:dyDescent="0.35">
      <c r="A361" s="21"/>
      <c r="B361" s="21"/>
      <c r="C361" s="21"/>
      <c r="D361" s="128" t="s">
        <v>4057</v>
      </c>
      <c r="E361" s="128"/>
      <c r="F361" s="21"/>
      <c r="G361" s="21"/>
      <c r="H361" s="21"/>
      <c r="I361" s="22" t="s">
        <v>3900</v>
      </c>
      <c r="J361" s="132">
        <v>3750</v>
      </c>
      <c r="K361" s="132">
        <v>2725</v>
      </c>
      <c r="L361" s="132">
        <v>350</v>
      </c>
      <c r="M361" s="132">
        <v>724.7</v>
      </c>
      <c r="N361" s="132">
        <v>4925</v>
      </c>
      <c r="O361" s="132">
        <v>2800</v>
      </c>
      <c r="P361" s="132">
        <v>0</v>
      </c>
      <c r="Q361" s="132">
        <v>5100</v>
      </c>
      <c r="R361" s="140">
        <f t="shared" ref="R361:AG361" si="214">MAX(0,R354+R359-R360)</f>
        <v>0</v>
      </c>
      <c r="S361" s="140">
        <f t="shared" si="214"/>
        <v>1640.5711845805099</v>
      </c>
      <c r="T361" s="140">
        <f t="shared" si="214"/>
        <v>2081.1892728263706</v>
      </c>
      <c r="U361" s="140">
        <f t="shared" si="214"/>
        <v>2089.3565478630458</v>
      </c>
      <c r="V361" s="140">
        <f t="shared" si="214"/>
        <v>2088.1519869812323</v>
      </c>
      <c r="W361" s="140">
        <f t="shared" si="214"/>
        <v>2086.2334475066746</v>
      </c>
      <c r="X361" s="140">
        <f t="shared" si="214"/>
        <v>2087.914296045542</v>
      </c>
      <c r="Y361" s="140">
        <f t="shared" si="214"/>
        <v>2087.4331967476314</v>
      </c>
      <c r="Z361" s="140">
        <f t="shared" si="214"/>
        <v>2087.1936616087019</v>
      </c>
      <c r="AA361" s="140">
        <f t="shared" si="214"/>
        <v>2087.5137327049283</v>
      </c>
      <c r="AB361" s="140">
        <f t="shared" si="214"/>
        <v>2087.3801963585738</v>
      </c>
      <c r="AC361" s="140">
        <f t="shared" si="214"/>
        <v>2087.3625301601451</v>
      </c>
      <c r="AD361" s="140">
        <f t="shared" si="214"/>
        <v>2087.418820298376</v>
      </c>
      <c r="AE361" s="140">
        <f t="shared" si="214"/>
        <v>2087.3871823121303</v>
      </c>
      <c r="AF361" s="140">
        <f t="shared" si="214"/>
        <v>2087.3895109049627</v>
      </c>
      <c r="AG361" s="140">
        <f t="shared" si="214"/>
        <v>2087.3985045222539</v>
      </c>
    </row>
    <row r="362" spans="1:33" ht="14.25" customHeight="1" x14ac:dyDescent="0.35">
      <c r="A362" s="21"/>
      <c r="B362" s="21"/>
      <c r="C362" s="21"/>
      <c r="D362" s="128" t="s">
        <v>4058</v>
      </c>
      <c r="E362" s="128"/>
      <c r="F362" s="21"/>
      <c r="G362" s="21"/>
      <c r="H362" s="21"/>
      <c r="I362" s="22" t="s">
        <v>3900</v>
      </c>
      <c r="J362" s="132">
        <v>1675</v>
      </c>
      <c r="K362" s="132">
        <v>1650</v>
      </c>
      <c r="L362" s="132">
        <v>100</v>
      </c>
      <c r="M362" s="132">
        <v>0</v>
      </c>
      <c r="N362" s="132">
        <v>3125</v>
      </c>
      <c r="O362" s="132">
        <v>4225</v>
      </c>
      <c r="P362" s="132">
        <v>2525</v>
      </c>
      <c r="Q362" s="132">
        <v>4775</v>
      </c>
      <c r="R362" s="140">
        <f t="shared" ref="R362:AG362" si="215">R360+R361-R354</f>
        <v>2688.3759920977382</v>
      </c>
      <c r="S362" s="140">
        <f t="shared" si="215"/>
        <v>2238.8032854007347</v>
      </c>
      <c r="T362" s="140">
        <f t="shared" si="215"/>
        <v>2234.1722219135359</v>
      </c>
      <c r="U362" s="140">
        <f t="shared" si="215"/>
        <v>2236.0010458080592</v>
      </c>
      <c r="V362" s="140">
        <f t="shared" si="215"/>
        <v>2236.32389615175</v>
      </c>
      <c r="W362" s="140">
        <f t="shared" si="215"/>
        <v>2235.4986529868738</v>
      </c>
      <c r="X362" s="140">
        <f t="shared" si="215"/>
        <v>2235.9411467490104</v>
      </c>
      <c r="Y362" s="140">
        <f t="shared" si="215"/>
        <v>2235.921181109145</v>
      </c>
      <c r="Z362" s="140">
        <f t="shared" si="215"/>
        <v>2235.7869749910246</v>
      </c>
      <c r="AA362" s="140">
        <f t="shared" si="215"/>
        <v>2235.8830988536274</v>
      </c>
      <c r="AB362" s="140">
        <f t="shared" si="215"/>
        <v>2235.8637502249376</v>
      </c>
      <c r="AC362" s="140">
        <f t="shared" si="215"/>
        <v>2235.844607252483</v>
      </c>
      <c r="AD362" s="140">
        <f t="shared" si="215"/>
        <v>2235.8638186665726</v>
      </c>
      <c r="AE362" s="140">
        <f t="shared" si="215"/>
        <v>2235.857392011445</v>
      </c>
      <c r="AF362" s="140">
        <f t="shared" si="215"/>
        <v>2235.8552726149833</v>
      </c>
      <c r="AG362" s="140">
        <f t="shared" si="215"/>
        <v>2235.8588277584277</v>
      </c>
    </row>
    <row r="363" spans="1:33" ht="14.25" customHeight="1" x14ac:dyDescent="0.35">
      <c r="A363" s="21"/>
      <c r="B363" s="21"/>
      <c r="C363" s="21"/>
      <c r="D363" s="128" t="s">
        <v>4059</v>
      </c>
      <c r="E363" s="128"/>
      <c r="F363" s="21"/>
      <c r="G363" s="21"/>
      <c r="H363" s="21"/>
      <c r="I363" s="22" t="s">
        <v>3915</v>
      </c>
      <c r="J363" s="132">
        <v>26500</v>
      </c>
      <c r="K363" s="132">
        <v>26500</v>
      </c>
      <c r="L363" s="132">
        <v>26500</v>
      </c>
      <c r="M363" s="132">
        <v>26500</v>
      </c>
      <c r="N363" s="132">
        <v>43388.3249</v>
      </c>
      <c r="O363" s="132">
        <v>37687.5</v>
      </c>
      <c r="P363" s="132">
        <v>0</v>
      </c>
      <c r="Q363" s="132">
        <v>32000</v>
      </c>
      <c r="R363" s="140">
        <v>32295.693190000002</v>
      </c>
      <c r="S363" s="140">
        <v>32295.693190000002</v>
      </c>
      <c r="T363" s="140">
        <v>32295.693190000002</v>
      </c>
      <c r="U363" s="140">
        <v>32295.693190000002</v>
      </c>
      <c r="V363" s="140">
        <v>32295.693190000002</v>
      </c>
      <c r="W363" s="140">
        <v>32295.693190000002</v>
      </c>
      <c r="X363" s="140">
        <v>32295.693190000002</v>
      </c>
      <c r="Y363" s="140">
        <v>32295.693190000002</v>
      </c>
      <c r="Z363" s="140">
        <v>32295.693190000002</v>
      </c>
      <c r="AA363" s="140">
        <v>32295.693190000002</v>
      </c>
      <c r="AB363" s="140">
        <v>32295.693190000002</v>
      </c>
      <c r="AC363" s="140">
        <v>32295.693190000002</v>
      </c>
      <c r="AD363" s="140">
        <v>32295.693190000002</v>
      </c>
      <c r="AE363" s="140">
        <v>32295.693190000002</v>
      </c>
      <c r="AF363" s="140">
        <v>32295.693190000002</v>
      </c>
      <c r="AG363" s="140">
        <v>32295.693190000002</v>
      </c>
    </row>
    <row r="364" spans="1:33" ht="14.25" customHeight="1" x14ac:dyDescent="0.35">
      <c r="A364" s="21"/>
      <c r="B364" s="21"/>
      <c r="C364" s="21"/>
      <c r="D364" s="128" t="s">
        <v>4056</v>
      </c>
      <c r="E364" s="128"/>
      <c r="F364" s="21"/>
      <c r="G364" s="21"/>
      <c r="H364" s="21"/>
      <c r="I364" s="22" t="s">
        <v>4060</v>
      </c>
      <c r="J364" s="148">
        <v>33787499.979999997</v>
      </c>
      <c r="K364" s="148">
        <v>44387499.979999997</v>
      </c>
      <c r="L364" s="148">
        <v>43724999.979999997</v>
      </c>
      <c r="M364" s="148">
        <v>2649999.98</v>
      </c>
      <c r="N364" s="148">
        <v>-0.02</v>
      </c>
      <c r="O364" s="148">
        <v>135588515.16</v>
      </c>
      <c r="P364" s="148">
        <v>171933265.34</v>
      </c>
      <c r="Q364" s="148">
        <v>102753016.2</v>
      </c>
      <c r="R364" s="149">
        <v>166547626</v>
      </c>
      <c r="S364" s="149">
        <f t="shared" ref="S364:AG364" si="216">R368</f>
        <v>93768091.995659277</v>
      </c>
      <c r="T364" s="149">
        <f t="shared" si="216"/>
        <v>75895517.40112102</v>
      </c>
      <c r="U364" s="149">
        <f t="shared" si="216"/>
        <v>74011720.128837228</v>
      </c>
      <c r="V364" s="149">
        <f t="shared" si="216"/>
        <v>73173888.86472024</v>
      </c>
      <c r="W364" s="149">
        <f t="shared" si="216"/>
        <v>72720468.316934049</v>
      </c>
      <c r="X364" s="149">
        <f t="shared" si="216"/>
        <v>72453928.468958199</v>
      </c>
      <c r="Y364" s="149">
        <f t="shared" si="216"/>
        <v>72344156.117231384</v>
      </c>
      <c r="Z364" s="149">
        <f t="shared" si="216"/>
        <v>72279349.606206506</v>
      </c>
      <c r="AA364" s="149">
        <f t="shared" si="216"/>
        <v>72241832.791850358</v>
      </c>
      <c r="AB364" s="149">
        <f t="shared" si="216"/>
        <v>72227776.154301211</v>
      </c>
      <c r="AC364" s="149">
        <f t="shared" si="216"/>
        <v>72218276.103339463</v>
      </c>
      <c r="AD364" s="149">
        <f t="shared" si="216"/>
        <v>72213067.890818775</v>
      </c>
      <c r="AE364" s="149">
        <f t="shared" si="216"/>
        <v>72211314.536596879</v>
      </c>
      <c r="AF364" s="149">
        <f t="shared" si="216"/>
        <v>72209879.324169427</v>
      </c>
      <c r="AG364" s="149">
        <f t="shared" si="216"/>
        <v>72209175.967836678</v>
      </c>
    </row>
    <row r="365" spans="1:33" ht="14.25" customHeight="1" x14ac:dyDescent="0.35">
      <c r="A365" s="21"/>
      <c r="B365" s="21"/>
      <c r="C365" s="21"/>
      <c r="D365" s="128" t="s">
        <v>4057</v>
      </c>
      <c r="E365" s="128"/>
      <c r="F365" s="21"/>
      <c r="G365" s="21"/>
      <c r="H365" s="21"/>
      <c r="I365" s="22" t="s">
        <v>4060</v>
      </c>
      <c r="J365" s="148">
        <v>99375000</v>
      </c>
      <c r="K365" s="148">
        <v>72212500</v>
      </c>
      <c r="L365" s="148">
        <v>9275000</v>
      </c>
      <c r="M365" s="148">
        <v>19204550</v>
      </c>
      <c r="N365" s="148">
        <v>213687500</v>
      </c>
      <c r="O365" s="148">
        <v>105525000</v>
      </c>
      <c r="P365" s="148">
        <v>0</v>
      </c>
      <c r="Q365" s="148">
        <v>163200000</v>
      </c>
      <c r="R365" s="149">
        <f t="shared" ref="R365:AG365" si="217">R361*R363</f>
        <v>0</v>
      </c>
      <c r="S365" s="149">
        <f t="shared" si="217"/>
        <v>52983383.633567013</v>
      </c>
      <c r="T365" s="149">
        <f t="shared" si="217"/>
        <v>67213450.225519672</v>
      </c>
      <c r="U365" s="149">
        <f t="shared" si="217"/>
        <v>67477218.034302473</v>
      </c>
      <c r="V365" s="149">
        <f t="shared" si="217"/>
        <v>67438315.905634761</v>
      </c>
      <c r="W365" s="149">
        <f t="shared" si="217"/>
        <v>67376355.343391538</v>
      </c>
      <c r="X365" s="149">
        <f t="shared" si="217"/>
        <v>67430639.51210165</v>
      </c>
      <c r="Y365" s="149">
        <f t="shared" si="217"/>
        <v>67415102.07678242</v>
      </c>
      <c r="Z365" s="149">
        <f t="shared" si="217"/>
        <v>67407366.123427317</v>
      </c>
      <c r="AA365" s="149">
        <f t="shared" si="217"/>
        <v>67417703.041350037</v>
      </c>
      <c r="AB365" s="149">
        <f t="shared" si="217"/>
        <v>67413390.392478466</v>
      </c>
      <c r="AC365" s="149">
        <f t="shared" si="217"/>
        <v>67412819.850354165</v>
      </c>
      <c r="AD365" s="149">
        <f t="shared" si="217"/>
        <v>67414637.7793881</v>
      </c>
      <c r="AE365" s="149">
        <f t="shared" si="217"/>
        <v>67413616.008691162</v>
      </c>
      <c r="AF365" s="149">
        <f t="shared" si="217"/>
        <v>67413691.212210834</v>
      </c>
      <c r="AG365" s="149">
        <f t="shared" si="217"/>
        <v>67413981.667315543</v>
      </c>
    </row>
    <row r="366" spans="1:33" ht="14.25" customHeight="1" x14ac:dyDescent="0.35">
      <c r="A366" s="21"/>
      <c r="B366" s="21"/>
      <c r="C366" s="21"/>
      <c r="D366" s="128" t="s">
        <v>4061</v>
      </c>
      <c r="E366" s="128"/>
      <c r="F366" s="21"/>
      <c r="G366" s="21"/>
      <c r="H366" s="21"/>
      <c r="I366" s="22" t="s">
        <v>3915</v>
      </c>
      <c r="J366" s="132">
        <v>26500</v>
      </c>
      <c r="K366" s="132">
        <v>26500</v>
      </c>
      <c r="L366" s="132">
        <v>26500</v>
      </c>
      <c r="M366" s="132">
        <v>26500</v>
      </c>
      <c r="N366" s="132">
        <v>43388.3249</v>
      </c>
      <c r="O366" s="132">
        <v>40694.264600000002</v>
      </c>
      <c r="P366" s="132">
        <v>40694.264199999998</v>
      </c>
      <c r="Q366" s="132">
        <v>34879.084199999998</v>
      </c>
      <c r="R366" s="140">
        <f t="shared" ref="R366:AG366" si="218">IF((R360+R361)=0,R363,(R364+R365)/(R360+R361))</f>
        <v>34879.083979057592</v>
      </c>
      <c r="S366" s="140">
        <f t="shared" si="218"/>
        <v>33900.038425008875</v>
      </c>
      <c r="T366" s="140">
        <f t="shared" si="218"/>
        <v>33127.132905379724</v>
      </c>
      <c r="U366" s="140">
        <f t="shared" si="218"/>
        <v>32725.337495661246</v>
      </c>
      <c r="V366" s="140">
        <f t="shared" si="218"/>
        <v>32517.8604235598</v>
      </c>
      <c r="W366" s="140">
        <f t="shared" si="218"/>
        <v>32410.633919260799</v>
      </c>
      <c r="X366" s="140">
        <f t="shared" si="218"/>
        <v>32355.125367417462</v>
      </c>
      <c r="Y366" s="140">
        <f t="shared" si="218"/>
        <v>32326.430026639762</v>
      </c>
      <c r="Z366" s="140">
        <f t="shared" si="218"/>
        <v>32311.590325880832</v>
      </c>
      <c r="AA366" s="140">
        <f t="shared" si="218"/>
        <v>32303.91436445561</v>
      </c>
      <c r="AB366" s="140">
        <f t="shared" si="218"/>
        <v>32299.944974766011</v>
      </c>
      <c r="AC366" s="140">
        <f t="shared" si="218"/>
        <v>32297.892105998271</v>
      </c>
      <c r="AD366" s="140">
        <f t="shared" si="218"/>
        <v>32296.830394465778</v>
      </c>
      <c r="AE366" s="140">
        <f t="shared" si="218"/>
        <v>32296.28132016382</v>
      </c>
      <c r="AF366" s="140">
        <f t="shared" si="218"/>
        <v>32295.99735379258</v>
      </c>
      <c r="AG366" s="140">
        <f t="shared" si="218"/>
        <v>32295.850494256105</v>
      </c>
    </row>
    <row r="367" spans="1:33" ht="14.25" customHeight="1" x14ac:dyDescent="0.35">
      <c r="A367" s="21"/>
      <c r="B367" s="21"/>
      <c r="C367" s="21"/>
      <c r="D367" s="128" t="s">
        <v>4049</v>
      </c>
      <c r="E367" s="128"/>
      <c r="F367" s="21"/>
      <c r="G367" s="21"/>
      <c r="H367" s="21"/>
      <c r="I367" s="22" t="s">
        <v>4060</v>
      </c>
      <c r="J367" s="148">
        <v>88775000</v>
      </c>
      <c r="K367" s="148">
        <v>72875000</v>
      </c>
      <c r="L367" s="148">
        <v>50350000</v>
      </c>
      <c r="M367" s="148">
        <v>21854550</v>
      </c>
      <c r="N367" s="148">
        <v>78098984.819999993</v>
      </c>
      <c r="O367" s="148">
        <v>69180249.819999993</v>
      </c>
      <c r="P367" s="148">
        <v>69180249.140000001</v>
      </c>
      <c r="Q367" s="148">
        <v>99405389.969999999</v>
      </c>
      <c r="R367" s="149">
        <f t="shared" ref="R367:AG367" si="219">R354*R366</f>
        <v>72779534.004340723</v>
      </c>
      <c r="S367" s="149">
        <f t="shared" si="219"/>
        <v>70855958.228105277</v>
      </c>
      <c r="T367" s="149">
        <f t="shared" si="219"/>
        <v>69097247.49780345</v>
      </c>
      <c r="U367" s="149">
        <f t="shared" si="219"/>
        <v>68315049.298419461</v>
      </c>
      <c r="V367" s="149">
        <f t="shared" si="219"/>
        <v>67891736.453420937</v>
      </c>
      <c r="W367" s="149">
        <f t="shared" si="219"/>
        <v>67642895.191367388</v>
      </c>
      <c r="X367" s="149">
        <f t="shared" si="219"/>
        <v>67540411.863828465</v>
      </c>
      <c r="Y367" s="149">
        <f t="shared" si="219"/>
        <v>67479908.587807298</v>
      </c>
      <c r="Z367" s="149">
        <f t="shared" si="219"/>
        <v>67444882.93778345</v>
      </c>
      <c r="AA367" s="149">
        <f t="shared" si="219"/>
        <v>67431759.678899184</v>
      </c>
      <c r="AB367" s="149">
        <f t="shared" si="219"/>
        <v>67422890.443440229</v>
      </c>
      <c r="AC367" s="149">
        <f t="shared" si="219"/>
        <v>67418028.062874854</v>
      </c>
      <c r="AD367" s="149">
        <f t="shared" si="219"/>
        <v>67416391.133609995</v>
      </c>
      <c r="AE367" s="149">
        <f t="shared" si="219"/>
        <v>67415051.221118599</v>
      </c>
      <c r="AF367" s="149">
        <f t="shared" si="219"/>
        <v>67414394.568543583</v>
      </c>
      <c r="AG367" s="149">
        <f t="shared" si="219"/>
        <v>67414195.20760332</v>
      </c>
    </row>
    <row r="368" spans="1:33" ht="14.25" customHeight="1" x14ac:dyDescent="0.35">
      <c r="A368" s="21"/>
      <c r="B368" s="21"/>
      <c r="C368" s="21"/>
      <c r="D368" s="128" t="s">
        <v>4058</v>
      </c>
      <c r="E368" s="128"/>
      <c r="F368" s="21"/>
      <c r="G368" s="21"/>
      <c r="H368" s="21"/>
      <c r="I368" s="22" t="s">
        <v>4060</v>
      </c>
      <c r="J368" s="148">
        <v>44387499.979999997</v>
      </c>
      <c r="K368" s="148">
        <v>43724999.979999997</v>
      </c>
      <c r="L368" s="148">
        <v>2649999.98</v>
      </c>
      <c r="M368" s="148">
        <v>-0.02</v>
      </c>
      <c r="N368" s="148">
        <v>135588515.16</v>
      </c>
      <c r="O368" s="148">
        <v>171933265.34</v>
      </c>
      <c r="P368" s="148">
        <v>102753016.2</v>
      </c>
      <c r="Q368" s="148">
        <v>166547626.22999999</v>
      </c>
      <c r="R368" s="149">
        <f t="shared" ref="R368:AG368" si="220">R364+R365-R367</f>
        <v>93768091.995659277</v>
      </c>
      <c r="S368" s="149">
        <f t="shared" si="220"/>
        <v>75895517.40112102</v>
      </c>
      <c r="T368" s="149">
        <f t="shared" si="220"/>
        <v>74011720.128837228</v>
      </c>
      <c r="U368" s="149">
        <f t="shared" si="220"/>
        <v>73173888.86472024</v>
      </c>
      <c r="V368" s="149">
        <f t="shared" si="220"/>
        <v>72720468.316934049</v>
      </c>
      <c r="W368" s="149">
        <f t="shared" si="220"/>
        <v>72453928.468958199</v>
      </c>
      <c r="X368" s="149">
        <f t="shared" si="220"/>
        <v>72344156.117231384</v>
      </c>
      <c r="Y368" s="149">
        <f t="shared" si="220"/>
        <v>72279349.606206506</v>
      </c>
      <c r="Z368" s="149">
        <f t="shared" si="220"/>
        <v>72241832.791850358</v>
      </c>
      <c r="AA368" s="149">
        <f t="shared" si="220"/>
        <v>72227776.154301211</v>
      </c>
      <c r="AB368" s="149">
        <f t="shared" si="220"/>
        <v>72218276.103339463</v>
      </c>
      <c r="AC368" s="149">
        <f t="shared" si="220"/>
        <v>72213067.890818775</v>
      </c>
      <c r="AD368" s="149">
        <f t="shared" si="220"/>
        <v>72211314.536596879</v>
      </c>
      <c r="AE368" s="149">
        <f t="shared" si="220"/>
        <v>72209879.324169427</v>
      </c>
      <c r="AF368" s="149">
        <f t="shared" si="220"/>
        <v>72209175.967836678</v>
      </c>
      <c r="AG368" s="149">
        <f t="shared" si="220"/>
        <v>72208962.4275489</v>
      </c>
    </row>
    <row r="369" spans="1:33" s="79" customFormat="1" ht="14.25" customHeight="1" x14ac:dyDescent="0.35">
      <c r="A369" s="168"/>
      <c r="B369" s="167" t="s">
        <v>4075</v>
      </c>
      <c r="C369" s="167" t="s">
        <v>4076</v>
      </c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  <c r="Z369" s="168"/>
      <c r="AA369" s="168"/>
      <c r="AB369" s="168"/>
      <c r="AC369" s="168"/>
      <c r="AD369" s="168"/>
      <c r="AE369" s="168"/>
      <c r="AF369" s="168"/>
      <c r="AG369" s="168"/>
    </row>
    <row r="370" spans="1:33" ht="14.25" customHeight="1" x14ac:dyDescent="0.35">
      <c r="A370" s="21"/>
      <c r="B370" s="21"/>
      <c r="C370" s="21"/>
      <c r="D370" s="128" t="s">
        <v>4049</v>
      </c>
      <c r="E370" s="128"/>
      <c r="F370" s="21"/>
      <c r="G370" s="21"/>
      <c r="H370" s="21"/>
      <c r="I370" s="22" t="s">
        <v>3900</v>
      </c>
      <c r="J370" s="132">
        <v>1850</v>
      </c>
      <c r="K370" s="132">
        <v>2350</v>
      </c>
      <c r="L370" s="132">
        <v>1575</v>
      </c>
      <c r="M370" s="132">
        <v>2900</v>
      </c>
      <c r="N370" s="132">
        <v>3150</v>
      </c>
      <c r="O370" s="132">
        <v>2550</v>
      </c>
      <c r="P370" s="132">
        <v>3400</v>
      </c>
      <c r="Q370" s="132">
        <v>3150</v>
      </c>
      <c r="R370" s="140">
        <f t="shared" ref="R370:AG370" si="221">R467+R623+R787</f>
        <v>2651.9758520982587</v>
      </c>
      <c r="S370" s="140">
        <f t="shared" si="221"/>
        <v>2656.0322544313813</v>
      </c>
      <c r="T370" s="140">
        <f t="shared" si="221"/>
        <v>2651.0496806999795</v>
      </c>
      <c r="U370" s="140">
        <f t="shared" si="221"/>
        <v>2653.0173172744726</v>
      </c>
      <c r="V370" s="140">
        <f t="shared" si="221"/>
        <v>2653.3646728324547</v>
      </c>
      <c r="W370" s="140">
        <f t="shared" si="221"/>
        <v>2652.4767914793497</v>
      </c>
      <c r="X370" s="140">
        <f t="shared" si="221"/>
        <v>2652.9528717148341</v>
      </c>
      <c r="Y370" s="140">
        <f t="shared" si="221"/>
        <v>2652.9313906289026</v>
      </c>
      <c r="Z370" s="140">
        <f t="shared" si="221"/>
        <v>2652.7869979034326</v>
      </c>
      <c r="AA370" s="140">
        <f t="shared" si="221"/>
        <v>2652.890417827191</v>
      </c>
      <c r="AB370" s="140">
        <f t="shared" si="221"/>
        <v>2652.8696005852516</v>
      </c>
      <c r="AC370" s="140">
        <f t="shared" si="221"/>
        <v>2652.8490046094121</v>
      </c>
      <c r="AD370" s="140">
        <f t="shared" si="221"/>
        <v>2652.8696742217917</v>
      </c>
      <c r="AE370" s="140">
        <f t="shared" si="221"/>
        <v>2652.862759766158</v>
      </c>
      <c r="AF370" s="140">
        <f t="shared" si="221"/>
        <v>2652.8604795017723</v>
      </c>
      <c r="AG370" s="140">
        <f t="shared" si="221"/>
        <v>2652.8643044902201</v>
      </c>
    </row>
    <row r="371" spans="1:33" ht="14.25" customHeight="1" x14ac:dyDescent="0.35">
      <c r="A371" s="21"/>
      <c r="B371" s="21"/>
      <c r="C371" s="21"/>
      <c r="D371" s="128" t="s">
        <v>4050</v>
      </c>
      <c r="E371" s="128"/>
      <c r="F371" s="21"/>
      <c r="G371" s="21"/>
      <c r="H371" s="21"/>
      <c r="I371" s="22" t="s">
        <v>3900</v>
      </c>
      <c r="J371" s="132"/>
      <c r="K371" s="132"/>
      <c r="L371" s="132"/>
      <c r="M371" s="132"/>
      <c r="N371" s="132"/>
      <c r="O371" s="132"/>
      <c r="P371" s="132"/>
      <c r="Q371" s="132"/>
      <c r="R371" s="140">
        <f>IF('Input Operasional'!Q7=0,0,R370/'Input Operasional'!Q7)</f>
        <v>101.99907123454841</v>
      </c>
      <c r="S371" s="140">
        <f>IF('Input Operasional'!R7=0,0,S370/'Input Operasional'!R7)</f>
        <v>98.371564978940043</v>
      </c>
      <c r="T371" s="140">
        <f>IF('Input Operasional'!S7=0,0,T370/'Input Operasional'!S7)</f>
        <v>101.96344925769152</v>
      </c>
      <c r="U371" s="140">
        <f>IF('Input Operasional'!T7=0,0,U370/'Input Operasional'!T7)</f>
        <v>98.259900639795276</v>
      </c>
      <c r="V371" s="140">
        <f>IF('Input Operasional'!U7=0,0,V370/'Input Operasional'!U7)</f>
        <v>98.272765660461289</v>
      </c>
      <c r="W371" s="140">
        <f>IF('Input Operasional'!V7=0,0,W370/'Input Operasional'!V7)</f>
        <v>110.51986631163957</v>
      </c>
      <c r="X371" s="140">
        <f>IF('Input Operasional'!W7=0,0,X370/'Input Operasional'!W7)</f>
        <v>98.257513767216082</v>
      </c>
      <c r="Y371" s="140">
        <f>IF('Input Operasional'!X7=0,0,Y370/'Input Operasional'!X7)</f>
        <v>102.03582271649626</v>
      </c>
      <c r="Z371" s="140">
        <f>IF('Input Operasional'!Y7=0,0,Z370/'Input Operasional'!Y7)</f>
        <v>98.251370292719727</v>
      </c>
      <c r="AA371" s="140">
        <f>IF('Input Operasional'!Z7=0,0,AA370/'Input Operasional'!Z7)</f>
        <v>102.03424683950735</v>
      </c>
      <c r="AB371" s="140">
        <f>IF('Input Operasional'!AA7=0,0,AB370/'Input Operasional'!AA7)</f>
        <v>98.254429651305614</v>
      </c>
      <c r="AC371" s="140">
        <f>IF('Input Operasional'!AB7=0,0,AC370/'Input Operasional'!AB7)</f>
        <v>98.253666837385637</v>
      </c>
      <c r="AD371" s="140">
        <f>IF('Input Operasional'!AC7=0,0,AD370/'Input Operasional'!AC7)</f>
        <v>102.03344900853045</v>
      </c>
      <c r="AE371" s="140">
        <f>IF('Input Operasional'!AD7=0,0,AE370/'Input Operasional'!AD7)</f>
        <v>98.254176287635474</v>
      </c>
      <c r="AF371" s="140">
        <f>IF('Input Operasional'!AE7=0,0,AF370/'Input Operasional'!AE7)</f>
        <v>102.03309536545278</v>
      </c>
      <c r="AG371" s="140">
        <f>IF('Input Operasional'!AF7=0,0,AG370/'Input Operasional'!AF7)</f>
        <v>98.254233499637778</v>
      </c>
    </row>
    <row r="372" spans="1:33" ht="14.25" customHeight="1" x14ac:dyDescent="0.35">
      <c r="A372" s="21"/>
      <c r="B372" s="21"/>
      <c r="C372" s="21"/>
      <c r="D372" s="128" t="s">
        <v>4051</v>
      </c>
      <c r="E372" s="128"/>
      <c r="F372" s="21"/>
      <c r="G372" s="21"/>
      <c r="H372" s="21"/>
      <c r="I372" s="22" t="s">
        <v>13</v>
      </c>
      <c r="J372" s="142"/>
      <c r="K372" s="142"/>
      <c r="L372" s="142"/>
      <c r="M372" s="142"/>
      <c r="N372" s="142"/>
      <c r="O372" s="142"/>
      <c r="P372" s="142"/>
      <c r="Q372" s="142"/>
      <c r="R372" s="126">
        <f>'Input Operasional'!Q171</f>
        <v>0.81842499999999996</v>
      </c>
      <c r="S372" s="126">
        <f>'Input Operasional'!R171</f>
        <v>0.81842499999999996</v>
      </c>
      <c r="T372" s="126">
        <f>'Input Operasional'!S171</f>
        <v>0.81842499999999996</v>
      </c>
      <c r="U372" s="126">
        <f>'Input Operasional'!T171</f>
        <v>0.81842499999999996</v>
      </c>
      <c r="V372" s="126">
        <f>'Input Operasional'!U171</f>
        <v>0.81842499999999996</v>
      </c>
      <c r="W372" s="126">
        <f>'Input Operasional'!V171</f>
        <v>0.81842499999999996</v>
      </c>
      <c r="X372" s="126">
        <f>'Input Operasional'!W171</f>
        <v>0.81842499999999996</v>
      </c>
      <c r="Y372" s="126">
        <f>'Input Operasional'!X171</f>
        <v>0.81842499999999996</v>
      </c>
      <c r="Z372" s="126">
        <f>'Input Operasional'!Y171</f>
        <v>0.81842499999999996</v>
      </c>
      <c r="AA372" s="126">
        <f>'Input Operasional'!Z171</f>
        <v>0.81842499999999996</v>
      </c>
      <c r="AB372" s="126">
        <f>'Input Operasional'!AA171</f>
        <v>0.81842499999999996</v>
      </c>
      <c r="AC372" s="126">
        <f>'Input Operasional'!AB171</f>
        <v>0.81842499999999996</v>
      </c>
      <c r="AD372" s="126">
        <f>'Input Operasional'!AC171</f>
        <v>0.81842499999999996</v>
      </c>
      <c r="AE372" s="126">
        <f>'Input Operasional'!AD171</f>
        <v>0.81842499999999996</v>
      </c>
      <c r="AF372" s="126">
        <f>'Input Operasional'!AE171</f>
        <v>0.81842499999999996</v>
      </c>
      <c r="AG372" s="126">
        <f>'Input Operasional'!AF171</f>
        <v>0.81842499999999996</v>
      </c>
    </row>
    <row r="373" spans="1:33" ht="14.25" customHeight="1" x14ac:dyDescent="0.35">
      <c r="A373" s="21"/>
      <c r="B373" s="21"/>
      <c r="C373" s="21"/>
      <c r="D373" s="128" t="s">
        <v>4052</v>
      </c>
      <c r="E373" s="128"/>
      <c r="F373" s="21"/>
      <c r="G373" s="21"/>
      <c r="H373" s="21"/>
      <c r="I373" s="22" t="s">
        <v>3900</v>
      </c>
      <c r="J373" s="132"/>
      <c r="K373" s="132"/>
      <c r="L373" s="132"/>
      <c r="M373" s="132"/>
      <c r="N373" s="132"/>
      <c r="O373" s="132"/>
      <c r="P373" s="132"/>
      <c r="Q373" s="132"/>
      <c r="R373" s="140">
        <f t="shared" ref="R373:AG373" si="222">R372*R370</f>
        <v>2170.4433367535171</v>
      </c>
      <c r="S373" s="140">
        <f t="shared" si="222"/>
        <v>2173.7631978330032</v>
      </c>
      <c r="T373" s="140">
        <f t="shared" si="222"/>
        <v>2169.6853349268804</v>
      </c>
      <c r="U373" s="140">
        <f t="shared" si="222"/>
        <v>2171.2956978903603</v>
      </c>
      <c r="V373" s="140">
        <f t="shared" si="222"/>
        <v>2171.5799823629018</v>
      </c>
      <c r="W373" s="140">
        <f t="shared" si="222"/>
        <v>2170.8533180664867</v>
      </c>
      <c r="X373" s="140">
        <f t="shared" si="222"/>
        <v>2171.2429540332132</v>
      </c>
      <c r="Y373" s="140">
        <f t="shared" si="222"/>
        <v>2171.2253733754596</v>
      </c>
      <c r="Z373" s="140">
        <f t="shared" si="222"/>
        <v>2171.1071987591167</v>
      </c>
      <c r="AA373" s="140">
        <f t="shared" si="222"/>
        <v>2171.1918402102187</v>
      </c>
      <c r="AB373" s="140">
        <f t="shared" si="222"/>
        <v>2171.1748028589845</v>
      </c>
      <c r="AC373" s="140">
        <f t="shared" si="222"/>
        <v>2171.1579465974578</v>
      </c>
      <c r="AD373" s="140">
        <f t="shared" si="222"/>
        <v>2171.1748631249698</v>
      </c>
      <c r="AE373" s="140">
        <f t="shared" si="222"/>
        <v>2171.1692041616179</v>
      </c>
      <c r="AF373" s="140">
        <f t="shared" si="222"/>
        <v>2171.1673379362378</v>
      </c>
      <c r="AG373" s="140">
        <f t="shared" si="222"/>
        <v>2171.1704684024085</v>
      </c>
    </row>
    <row r="374" spans="1:33" ht="14.25" customHeight="1" x14ac:dyDescent="0.35">
      <c r="A374" s="21"/>
      <c r="B374" s="21"/>
      <c r="C374" s="21"/>
      <c r="D374" s="128" t="s">
        <v>4053</v>
      </c>
      <c r="E374" s="128"/>
      <c r="F374" s="21"/>
      <c r="G374" s="21"/>
      <c r="H374" s="21"/>
      <c r="I374" s="22" t="s">
        <v>4054</v>
      </c>
      <c r="J374" s="132"/>
      <c r="K374" s="132"/>
      <c r="L374" s="132"/>
      <c r="M374" s="132"/>
      <c r="N374" s="132"/>
      <c r="O374" s="132"/>
      <c r="P374" s="132"/>
      <c r="Q374" s="132"/>
      <c r="R374" s="140">
        <f>'Input Operasional'!Q181</f>
        <v>0</v>
      </c>
      <c r="S374" s="140">
        <f>'Input Operasional'!R181</f>
        <v>0</v>
      </c>
      <c r="T374" s="140">
        <f>'Input Operasional'!S181</f>
        <v>0</v>
      </c>
      <c r="U374" s="140">
        <f>'Input Operasional'!T181</f>
        <v>0</v>
      </c>
      <c r="V374" s="140">
        <f>'Input Operasional'!U181</f>
        <v>0</v>
      </c>
      <c r="W374" s="140">
        <f>'Input Operasional'!V181</f>
        <v>0</v>
      </c>
      <c r="X374" s="140">
        <f>'Input Operasional'!W181</f>
        <v>0</v>
      </c>
      <c r="Y374" s="140">
        <f>'Input Operasional'!X181</f>
        <v>0</v>
      </c>
      <c r="Z374" s="140">
        <f>'Input Operasional'!Y181</f>
        <v>0</v>
      </c>
      <c r="AA374" s="140">
        <f>'Input Operasional'!Z181</f>
        <v>0</v>
      </c>
      <c r="AB374" s="140">
        <f>'Input Operasional'!AA181</f>
        <v>0</v>
      </c>
      <c r="AC374" s="140">
        <f>'Input Operasional'!AB181</f>
        <v>0</v>
      </c>
      <c r="AD374" s="140">
        <f>'Input Operasional'!AC181</f>
        <v>0</v>
      </c>
      <c r="AE374" s="140">
        <f>'Input Operasional'!AD181</f>
        <v>0</v>
      </c>
      <c r="AF374" s="140">
        <f>'Input Operasional'!AE181</f>
        <v>0</v>
      </c>
      <c r="AG374" s="140">
        <f>'Input Operasional'!AF181</f>
        <v>0</v>
      </c>
    </row>
    <row r="375" spans="1:33" ht="14.25" customHeight="1" x14ac:dyDescent="0.35">
      <c r="A375" s="21"/>
      <c r="B375" s="21"/>
      <c r="C375" s="21"/>
      <c r="D375" s="128" t="s">
        <v>4055</v>
      </c>
      <c r="E375" s="128"/>
      <c r="F375" s="21"/>
      <c r="G375" s="21"/>
      <c r="H375" s="21"/>
      <c r="I375" s="22" t="s">
        <v>3900</v>
      </c>
      <c r="J375" s="132"/>
      <c r="K375" s="132"/>
      <c r="L375" s="132"/>
      <c r="M375" s="132"/>
      <c r="N375" s="132"/>
      <c r="O375" s="132"/>
      <c r="P375" s="132"/>
      <c r="Q375" s="132"/>
      <c r="R375" s="140">
        <f t="shared" ref="R375:AG375" si="223">R373+R374*R371</f>
        <v>2170.4433367535171</v>
      </c>
      <c r="S375" s="140">
        <f t="shared" si="223"/>
        <v>2173.7631978330032</v>
      </c>
      <c r="T375" s="140">
        <f t="shared" si="223"/>
        <v>2169.6853349268804</v>
      </c>
      <c r="U375" s="140">
        <f t="shared" si="223"/>
        <v>2171.2956978903603</v>
      </c>
      <c r="V375" s="140">
        <f t="shared" si="223"/>
        <v>2171.5799823629018</v>
      </c>
      <c r="W375" s="140">
        <f t="shared" si="223"/>
        <v>2170.8533180664867</v>
      </c>
      <c r="X375" s="140">
        <f t="shared" si="223"/>
        <v>2171.2429540332132</v>
      </c>
      <c r="Y375" s="140">
        <f t="shared" si="223"/>
        <v>2171.2253733754596</v>
      </c>
      <c r="Z375" s="140">
        <f t="shared" si="223"/>
        <v>2171.1071987591167</v>
      </c>
      <c r="AA375" s="140">
        <f t="shared" si="223"/>
        <v>2171.1918402102187</v>
      </c>
      <c r="AB375" s="140">
        <f t="shared" si="223"/>
        <v>2171.1748028589845</v>
      </c>
      <c r="AC375" s="140">
        <f t="shared" si="223"/>
        <v>2171.1579465974578</v>
      </c>
      <c r="AD375" s="140">
        <f t="shared" si="223"/>
        <v>2171.1748631249698</v>
      </c>
      <c r="AE375" s="140">
        <f t="shared" si="223"/>
        <v>2171.1692041616179</v>
      </c>
      <c r="AF375" s="140">
        <f t="shared" si="223"/>
        <v>2171.1673379362378</v>
      </c>
      <c r="AG375" s="140">
        <f t="shared" si="223"/>
        <v>2171.1704684024085</v>
      </c>
    </row>
    <row r="376" spans="1:33" ht="14.25" customHeight="1" x14ac:dyDescent="0.35">
      <c r="A376" s="21"/>
      <c r="B376" s="21"/>
      <c r="C376" s="21"/>
      <c r="D376" s="128" t="s">
        <v>4056</v>
      </c>
      <c r="E376" s="128"/>
      <c r="F376" s="21"/>
      <c r="G376" s="21"/>
      <c r="H376" s="21"/>
      <c r="I376" s="22" t="s">
        <v>3900</v>
      </c>
      <c r="J376" s="132">
        <v>2350</v>
      </c>
      <c r="K376" s="132">
        <v>1275</v>
      </c>
      <c r="L376" s="132">
        <v>500</v>
      </c>
      <c r="M376" s="132">
        <v>2300</v>
      </c>
      <c r="N376" s="132">
        <v>1675</v>
      </c>
      <c r="O376" s="132">
        <v>3225</v>
      </c>
      <c r="P376" s="132">
        <v>3225</v>
      </c>
      <c r="Q376" s="132">
        <v>2825</v>
      </c>
      <c r="R376" s="140">
        <v>2100</v>
      </c>
      <c r="S376" s="140">
        <f t="shared" ref="S376:AG376" si="224">R378</f>
        <v>2170.4433367535175</v>
      </c>
      <c r="T376" s="140">
        <f t="shared" si="224"/>
        <v>2173.7631978330037</v>
      </c>
      <c r="U376" s="140">
        <f t="shared" si="224"/>
        <v>2169.6853349268808</v>
      </c>
      <c r="V376" s="140">
        <f t="shared" si="224"/>
        <v>2171.2956978903603</v>
      </c>
      <c r="W376" s="140">
        <f t="shared" si="224"/>
        <v>2171.5799823629022</v>
      </c>
      <c r="X376" s="140">
        <f t="shared" si="224"/>
        <v>2170.8533180664867</v>
      </c>
      <c r="Y376" s="140">
        <f t="shared" si="224"/>
        <v>2171.2429540332132</v>
      </c>
      <c r="Z376" s="140">
        <f t="shared" si="224"/>
        <v>2171.2253733754596</v>
      </c>
      <c r="AA376" s="140">
        <f t="shared" si="224"/>
        <v>2171.1071987591172</v>
      </c>
      <c r="AB376" s="140">
        <f t="shared" si="224"/>
        <v>2171.1918402102187</v>
      </c>
      <c r="AC376" s="140">
        <f t="shared" si="224"/>
        <v>2171.1748028589845</v>
      </c>
      <c r="AD376" s="140">
        <f t="shared" si="224"/>
        <v>2171.1579465974573</v>
      </c>
      <c r="AE376" s="140">
        <f t="shared" si="224"/>
        <v>2171.1748631249693</v>
      </c>
      <c r="AF376" s="140">
        <f t="shared" si="224"/>
        <v>2171.1692041616179</v>
      </c>
      <c r="AG376" s="140">
        <f t="shared" si="224"/>
        <v>2171.1673379362378</v>
      </c>
    </row>
    <row r="377" spans="1:33" ht="14.25" customHeight="1" x14ac:dyDescent="0.35">
      <c r="A377" s="21"/>
      <c r="B377" s="21"/>
      <c r="C377" s="21"/>
      <c r="D377" s="128" t="s">
        <v>4057</v>
      </c>
      <c r="E377" s="128"/>
      <c r="F377" s="21"/>
      <c r="G377" s="21"/>
      <c r="H377" s="21"/>
      <c r="I377" s="22" t="s">
        <v>3900</v>
      </c>
      <c r="J377" s="132">
        <v>775</v>
      </c>
      <c r="K377" s="132">
        <v>1575</v>
      </c>
      <c r="L377" s="132">
        <v>3375</v>
      </c>
      <c r="M377" s="132">
        <v>2275</v>
      </c>
      <c r="N377" s="132">
        <v>4700</v>
      </c>
      <c r="O377" s="132">
        <v>2550</v>
      </c>
      <c r="P377" s="132">
        <v>3000</v>
      </c>
      <c r="Q377" s="132">
        <v>2425</v>
      </c>
      <c r="R377" s="140">
        <f t="shared" ref="R377:AG377" si="225">MAX(0,R370+R375-R376)</f>
        <v>2722.4191888517762</v>
      </c>
      <c r="S377" s="140">
        <f t="shared" si="225"/>
        <v>2659.3521155108674</v>
      </c>
      <c r="T377" s="140">
        <f t="shared" si="225"/>
        <v>2646.9718177938566</v>
      </c>
      <c r="U377" s="140">
        <f t="shared" si="225"/>
        <v>2654.6276802379521</v>
      </c>
      <c r="V377" s="140">
        <f t="shared" si="225"/>
        <v>2653.6489573049967</v>
      </c>
      <c r="W377" s="140">
        <f t="shared" si="225"/>
        <v>2651.7501271829342</v>
      </c>
      <c r="X377" s="140">
        <f t="shared" si="225"/>
        <v>2653.3425076815606</v>
      </c>
      <c r="Y377" s="140">
        <f t="shared" si="225"/>
        <v>2652.913809971149</v>
      </c>
      <c r="Z377" s="140">
        <f t="shared" si="225"/>
        <v>2652.6688232870902</v>
      </c>
      <c r="AA377" s="140">
        <f t="shared" si="225"/>
        <v>2652.9750592782925</v>
      </c>
      <c r="AB377" s="140">
        <f t="shared" si="225"/>
        <v>2652.8525632340175</v>
      </c>
      <c r="AC377" s="140">
        <f t="shared" si="225"/>
        <v>2652.8321483478849</v>
      </c>
      <c r="AD377" s="140">
        <f t="shared" si="225"/>
        <v>2652.8865907493037</v>
      </c>
      <c r="AE377" s="140">
        <f t="shared" si="225"/>
        <v>2652.8571008028066</v>
      </c>
      <c r="AF377" s="140">
        <f t="shared" si="225"/>
        <v>2652.8586132763921</v>
      </c>
      <c r="AG377" s="140">
        <f t="shared" si="225"/>
        <v>2652.8674349563903</v>
      </c>
    </row>
    <row r="378" spans="1:33" ht="14.25" customHeight="1" x14ac:dyDescent="0.35">
      <c r="A378" s="21"/>
      <c r="B378" s="21"/>
      <c r="C378" s="21"/>
      <c r="D378" s="128" t="s">
        <v>4058</v>
      </c>
      <c r="E378" s="128"/>
      <c r="F378" s="21"/>
      <c r="G378" s="21"/>
      <c r="H378" s="21"/>
      <c r="I378" s="22" t="s">
        <v>3900</v>
      </c>
      <c r="J378" s="132">
        <v>1275</v>
      </c>
      <c r="K378" s="132">
        <v>500</v>
      </c>
      <c r="L378" s="132">
        <v>2300</v>
      </c>
      <c r="M378" s="132">
        <v>1675</v>
      </c>
      <c r="N378" s="132">
        <v>3225</v>
      </c>
      <c r="O378" s="132">
        <v>3225</v>
      </c>
      <c r="P378" s="132">
        <v>2825</v>
      </c>
      <c r="Q378" s="132">
        <v>2100</v>
      </c>
      <c r="R378" s="140">
        <f t="shared" ref="R378:AG378" si="226">R376+R377-R370</f>
        <v>2170.4433367535175</v>
      </c>
      <c r="S378" s="140">
        <f t="shared" si="226"/>
        <v>2173.7631978330037</v>
      </c>
      <c r="T378" s="140">
        <f t="shared" si="226"/>
        <v>2169.6853349268808</v>
      </c>
      <c r="U378" s="140">
        <f t="shared" si="226"/>
        <v>2171.2956978903603</v>
      </c>
      <c r="V378" s="140">
        <f t="shared" si="226"/>
        <v>2171.5799823629022</v>
      </c>
      <c r="W378" s="140">
        <f t="shared" si="226"/>
        <v>2170.8533180664867</v>
      </c>
      <c r="X378" s="140">
        <f t="shared" si="226"/>
        <v>2171.2429540332132</v>
      </c>
      <c r="Y378" s="140">
        <f t="shared" si="226"/>
        <v>2171.2253733754596</v>
      </c>
      <c r="Z378" s="140">
        <f t="shared" si="226"/>
        <v>2171.1071987591172</v>
      </c>
      <c r="AA378" s="140">
        <f t="shared" si="226"/>
        <v>2171.1918402102187</v>
      </c>
      <c r="AB378" s="140">
        <f t="shared" si="226"/>
        <v>2171.1748028589845</v>
      </c>
      <c r="AC378" s="140">
        <f t="shared" si="226"/>
        <v>2171.1579465974573</v>
      </c>
      <c r="AD378" s="140">
        <f t="shared" si="226"/>
        <v>2171.1748631249693</v>
      </c>
      <c r="AE378" s="140">
        <f t="shared" si="226"/>
        <v>2171.1692041616179</v>
      </c>
      <c r="AF378" s="140">
        <f t="shared" si="226"/>
        <v>2171.1673379362378</v>
      </c>
      <c r="AG378" s="140">
        <f t="shared" si="226"/>
        <v>2171.170468402408</v>
      </c>
    </row>
    <row r="379" spans="1:33" ht="14.25" customHeight="1" x14ac:dyDescent="0.35">
      <c r="A379" s="21"/>
      <c r="B379" s="21"/>
      <c r="C379" s="21"/>
      <c r="D379" s="128" t="s">
        <v>4059</v>
      </c>
      <c r="E379" s="128"/>
      <c r="F379" s="21"/>
      <c r="G379" s="21"/>
      <c r="H379" s="21"/>
      <c r="I379" s="22" t="s">
        <v>3915</v>
      </c>
      <c r="J379" s="132">
        <v>26500</v>
      </c>
      <c r="K379" s="132">
        <v>26500</v>
      </c>
      <c r="L379" s="132">
        <v>26500</v>
      </c>
      <c r="M379" s="132">
        <v>26500</v>
      </c>
      <c r="N379" s="132">
        <v>41114.361700000001</v>
      </c>
      <c r="O379" s="132">
        <v>39950.9804</v>
      </c>
      <c r="P379" s="132">
        <v>32000</v>
      </c>
      <c r="Q379" s="132">
        <v>32000</v>
      </c>
      <c r="R379" s="140">
        <v>31834.844398000001</v>
      </c>
      <c r="S379" s="140">
        <v>31834.844398000001</v>
      </c>
      <c r="T379" s="140">
        <v>31834.844398000001</v>
      </c>
      <c r="U379" s="140">
        <v>31834.844398000001</v>
      </c>
      <c r="V379" s="140">
        <v>31834.844398000001</v>
      </c>
      <c r="W379" s="140">
        <v>31834.844398000001</v>
      </c>
      <c r="X379" s="140">
        <v>31834.844398000001</v>
      </c>
      <c r="Y379" s="140">
        <v>31834.844398000001</v>
      </c>
      <c r="Z379" s="140">
        <v>31834.844398000001</v>
      </c>
      <c r="AA379" s="140">
        <v>31834.844398000001</v>
      </c>
      <c r="AB379" s="140">
        <v>31834.844398000001</v>
      </c>
      <c r="AC379" s="140">
        <v>31834.844398000001</v>
      </c>
      <c r="AD379" s="140">
        <v>31834.844398000001</v>
      </c>
      <c r="AE379" s="140">
        <v>31834.844398000001</v>
      </c>
      <c r="AF379" s="140">
        <v>31834.844398000001</v>
      </c>
      <c r="AG379" s="140">
        <v>31834.844398000001</v>
      </c>
    </row>
    <row r="380" spans="1:33" ht="14.25" customHeight="1" x14ac:dyDescent="0.35">
      <c r="A380" s="21"/>
      <c r="B380" s="21"/>
      <c r="C380" s="21"/>
      <c r="D380" s="128" t="s">
        <v>4056</v>
      </c>
      <c r="E380" s="128"/>
      <c r="F380" s="21"/>
      <c r="G380" s="21"/>
      <c r="H380" s="21"/>
      <c r="I380" s="22" t="s">
        <v>4060</v>
      </c>
      <c r="J380" s="148">
        <v>62274993.18</v>
      </c>
      <c r="K380" s="148">
        <v>33787497.25</v>
      </c>
      <c r="L380" s="148">
        <v>13249999.6</v>
      </c>
      <c r="M380" s="148">
        <v>60949999.759999998</v>
      </c>
      <c r="N380" s="148">
        <v>44387500.049999997</v>
      </c>
      <c r="O380" s="148">
        <v>120210294.18000001</v>
      </c>
      <c r="P380" s="148">
        <v>124021658.29000001</v>
      </c>
      <c r="Q380" s="148">
        <v>99849186.650000006</v>
      </c>
      <c r="R380" s="149">
        <v>70979675</v>
      </c>
      <c r="S380" s="149">
        <f t="shared" ref="S380:AG380" si="227">R384</f>
        <v>70952955.209305018</v>
      </c>
      <c r="T380" s="149">
        <f t="shared" si="227"/>
        <v>70037302.954359189</v>
      </c>
      <c r="U380" s="149">
        <f t="shared" si="227"/>
        <v>69447806.918900445</v>
      </c>
      <c r="V380" s="149">
        <f t="shared" si="227"/>
        <v>69292183.705768779</v>
      </c>
      <c r="W380" s="149">
        <f t="shared" si="227"/>
        <v>69208118.650115654</v>
      </c>
      <c r="X380" s="149">
        <f t="shared" si="227"/>
        <v>69143076.713017672</v>
      </c>
      <c r="Y380" s="149">
        <f t="shared" si="227"/>
        <v>69136618.719362989</v>
      </c>
      <c r="Z380" s="149">
        <f t="shared" si="227"/>
        <v>69127569.757196829</v>
      </c>
      <c r="AA380" s="149">
        <f t="shared" si="227"/>
        <v>69119986.884166315</v>
      </c>
      <c r="AB380" s="149">
        <f t="shared" si="227"/>
        <v>69120961.789433196</v>
      </c>
      <c r="AC380" s="149">
        <f t="shared" si="227"/>
        <v>69119645.44255209</v>
      </c>
      <c r="AD380" s="149">
        <f t="shared" si="227"/>
        <v>69118760.484706998</v>
      </c>
      <c r="AE380" s="149">
        <f t="shared" si="227"/>
        <v>69119142.240484655</v>
      </c>
      <c r="AF380" s="149">
        <f t="shared" si="227"/>
        <v>69118891.526075825</v>
      </c>
      <c r="AG380" s="149">
        <f t="shared" si="227"/>
        <v>69118800.356905222</v>
      </c>
    </row>
    <row r="381" spans="1:33" ht="14.25" customHeight="1" x14ac:dyDescent="0.35">
      <c r="A381" s="21"/>
      <c r="B381" s="21"/>
      <c r="C381" s="21"/>
      <c r="D381" s="128" t="s">
        <v>4057</v>
      </c>
      <c r="E381" s="128"/>
      <c r="F381" s="21"/>
      <c r="G381" s="21"/>
      <c r="H381" s="21"/>
      <c r="I381" s="22" t="s">
        <v>4060</v>
      </c>
      <c r="J381" s="148">
        <v>20537500</v>
      </c>
      <c r="K381" s="148">
        <v>41737500</v>
      </c>
      <c r="L381" s="148">
        <v>89437500</v>
      </c>
      <c r="M381" s="148">
        <v>60287500</v>
      </c>
      <c r="N381" s="148">
        <v>193237500</v>
      </c>
      <c r="O381" s="148">
        <v>101875000</v>
      </c>
      <c r="P381" s="148">
        <v>96000000</v>
      </c>
      <c r="Q381" s="148">
        <v>77600000</v>
      </c>
      <c r="R381" s="149">
        <f t="shared" ref="R381:AG381" si="228">R377*R379</f>
        <v>86667791.263225675</v>
      </c>
      <c r="S381" s="149">
        <f t="shared" si="228"/>
        <v>84660060.796780586</v>
      </c>
      <c r="T381" s="149">
        <f t="shared" si="228"/>
        <v>84265935.945358634</v>
      </c>
      <c r="U381" s="149">
        <f t="shared" si="228"/>
        <v>84509659.134998903</v>
      </c>
      <c r="V381" s="149">
        <f t="shared" si="228"/>
        <v>84478501.642719522</v>
      </c>
      <c r="W381" s="149">
        <f t="shared" si="228"/>
        <v>84418052.681245416</v>
      </c>
      <c r="X381" s="149">
        <f t="shared" si="228"/>
        <v>84468745.866641611</v>
      </c>
      <c r="Y381" s="149">
        <f t="shared" si="228"/>
        <v>84455098.341736868</v>
      </c>
      <c r="Z381" s="149">
        <f t="shared" si="228"/>
        <v>84447299.228770271</v>
      </c>
      <c r="AA381" s="149">
        <f t="shared" si="228"/>
        <v>84457048.203899264</v>
      </c>
      <c r="AB381" s="149">
        <f t="shared" si="228"/>
        <v>84453148.5613904</v>
      </c>
      <c r="AC381" s="149">
        <f t="shared" si="228"/>
        <v>84452498.656666964</v>
      </c>
      <c r="AD381" s="149">
        <f t="shared" si="228"/>
        <v>84454231.82204479</v>
      </c>
      <c r="AE381" s="149">
        <f t="shared" si="228"/>
        <v>84453293.014186755</v>
      </c>
      <c r="AF381" s="149">
        <f t="shared" si="228"/>
        <v>84453341.163548008</v>
      </c>
      <c r="AG381" s="149">
        <f t="shared" si="228"/>
        <v>84453622.000358075</v>
      </c>
    </row>
    <row r="382" spans="1:33" ht="14.25" customHeight="1" x14ac:dyDescent="0.35">
      <c r="A382" s="21"/>
      <c r="B382" s="21"/>
      <c r="C382" s="21"/>
      <c r="D382" s="128" t="s">
        <v>4061</v>
      </c>
      <c r="E382" s="128"/>
      <c r="F382" s="21"/>
      <c r="G382" s="21"/>
      <c r="H382" s="21"/>
      <c r="I382" s="22" t="s">
        <v>3915</v>
      </c>
      <c r="J382" s="132">
        <v>26499.997800000001</v>
      </c>
      <c r="K382" s="132">
        <v>26499.999</v>
      </c>
      <c r="L382" s="132">
        <v>26499.999899999999</v>
      </c>
      <c r="M382" s="132">
        <v>26499.999899999999</v>
      </c>
      <c r="N382" s="132">
        <v>37274.5098</v>
      </c>
      <c r="O382" s="132">
        <v>38456.327799999999</v>
      </c>
      <c r="P382" s="132">
        <v>35344.844599999997</v>
      </c>
      <c r="Q382" s="132">
        <v>33799.844899999996</v>
      </c>
      <c r="R382" s="140">
        <f t="shared" ref="R382:AG382" si="229">IF((R376+R377)=0,R379,(R380+R381)/(R376+R377))</f>
        <v>32690.535619065857</v>
      </c>
      <c r="S382" s="140">
        <f t="shared" si="229"/>
        <v>32219.380208561117</v>
      </c>
      <c r="T382" s="140">
        <f t="shared" si="229"/>
        <v>32008.239075479058</v>
      </c>
      <c r="U382" s="140">
        <f t="shared" si="229"/>
        <v>31912.826877100772</v>
      </c>
      <c r="V382" s="140">
        <f t="shared" si="229"/>
        <v>31869.937654707104</v>
      </c>
      <c r="W382" s="140">
        <f t="shared" si="229"/>
        <v>31850.644231735252</v>
      </c>
      <c r="X382" s="140">
        <f t="shared" si="229"/>
        <v>31841.954209195061</v>
      </c>
      <c r="Y382" s="140">
        <f t="shared" si="229"/>
        <v>31838.044361893579</v>
      </c>
      <c r="Z382" s="140">
        <f t="shared" si="229"/>
        <v>31836.28469550993</v>
      </c>
      <c r="AA382" s="140">
        <f t="shared" si="229"/>
        <v>31835.492612546288</v>
      </c>
      <c r="AB382" s="140">
        <f t="shared" si="229"/>
        <v>31835.136144513068</v>
      </c>
      <c r="AC382" s="140">
        <f t="shared" si="229"/>
        <v>31834.975706409045</v>
      </c>
      <c r="AD382" s="140">
        <f t="shared" si="229"/>
        <v>31834.903495981693</v>
      </c>
      <c r="AE382" s="140">
        <f t="shared" si="229"/>
        <v>31834.8709965079</v>
      </c>
      <c r="AF382" s="140">
        <f t="shared" si="229"/>
        <v>31834.856369295238</v>
      </c>
      <c r="AG382" s="140">
        <f t="shared" si="229"/>
        <v>31834.849785955608</v>
      </c>
    </row>
    <row r="383" spans="1:33" ht="14.25" customHeight="1" x14ac:dyDescent="0.35">
      <c r="A383" s="21"/>
      <c r="B383" s="21"/>
      <c r="C383" s="21"/>
      <c r="D383" s="128" t="s">
        <v>4049</v>
      </c>
      <c r="E383" s="128"/>
      <c r="F383" s="21"/>
      <c r="G383" s="21"/>
      <c r="H383" s="21"/>
      <c r="I383" s="22" t="s">
        <v>4060</v>
      </c>
      <c r="J383" s="148">
        <v>49024995.93</v>
      </c>
      <c r="K383" s="148">
        <v>62274997.649999999</v>
      </c>
      <c r="L383" s="148">
        <v>41737499.840000004</v>
      </c>
      <c r="M383" s="148">
        <v>76849999.709999993</v>
      </c>
      <c r="N383" s="148">
        <v>117414705.87</v>
      </c>
      <c r="O383" s="148">
        <v>98063635.890000001</v>
      </c>
      <c r="P383" s="148">
        <v>120172471.64</v>
      </c>
      <c r="Q383" s="148">
        <v>106469511.44</v>
      </c>
      <c r="R383" s="149">
        <f t="shared" ref="R383:AG383" si="230">R370*R382</f>
        <v>86694511.053920656</v>
      </c>
      <c r="S383" s="149">
        <f t="shared" si="230"/>
        <v>85575713.051726416</v>
      </c>
      <c r="T383" s="149">
        <f t="shared" si="230"/>
        <v>84855431.980817363</v>
      </c>
      <c r="U383" s="149">
        <f t="shared" si="230"/>
        <v>84665282.348130569</v>
      </c>
      <c r="V383" s="149">
        <f t="shared" si="230"/>
        <v>84562566.698372647</v>
      </c>
      <c r="W383" s="149">
        <f t="shared" si="230"/>
        <v>84483094.618343383</v>
      </c>
      <c r="X383" s="149">
        <f t="shared" si="230"/>
        <v>84475203.860296294</v>
      </c>
      <c r="Y383" s="149">
        <f t="shared" si="230"/>
        <v>84464147.303903028</v>
      </c>
      <c r="Z383" s="149">
        <f t="shared" si="230"/>
        <v>84454882.101800784</v>
      </c>
      <c r="AA383" s="149">
        <f t="shared" si="230"/>
        <v>84456073.298632368</v>
      </c>
      <c r="AB383" s="149">
        <f t="shared" si="230"/>
        <v>84454464.908271492</v>
      </c>
      <c r="AC383" s="149">
        <f t="shared" si="230"/>
        <v>84453383.614512056</v>
      </c>
      <c r="AD383" s="149">
        <f t="shared" si="230"/>
        <v>84453850.066267133</v>
      </c>
      <c r="AE383" s="149">
        <f t="shared" si="230"/>
        <v>84453543.72859557</v>
      </c>
      <c r="AF383" s="149">
        <f t="shared" si="230"/>
        <v>84453432.332718611</v>
      </c>
      <c r="AG383" s="149">
        <f t="shared" si="230"/>
        <v>84453536.635969758</v>
      </c>
    </row>
    <row r="384" spans="1:33" ht="14.25" customHeight="1" x14ac:dyDescent="0.35">
      <c r="A384" s="21"/>
      <c r="B384" s="21"/>
      <c r="C384" s="21"/>
      <c r="D384" s="128" t="s">
        <v>4058</v>
      </c>
      <c r="E384" s="128"/>
      <c r="F384" s="21"/>
      <c r="G384" s="21"/>
      <c r="H384" s="21"/>
      <c r="I384" s="22" t="s">
        <v>4060</v>
      </c>
      <c r="J384" s="148">
        <v>33787497.25</v>
      </c>
      <c r="K384" s="148">
        <v>13249999.6</v>
      </c>
      <c r="L384" s="148">
        <v>60949999.759999998</v>
      </c>
      <c r="M384" s="148">
        <v>44387500.049999997</v>
      </c>
      <c r="N384" s="148">
        <v>120210294.18000001</v>
      </c>
      <c r="O384" s="148">
        <v>124021658.29000001</v>
      </c>
      <c r="P384" s="148">
        <v>99849186.650000006</v>
      </c>
      <c r="Q384" s="148">
        <v>70979675.209999993</v>
      </c>
      <c r="R384" s="149">
        <f t="shared" ref="R384:AG384" si="231">R380+R381-R383</f>
        <v>70952955.209305018</v>
      </c>
      <c r="S384" s="149">
        <f t="shared" si="231"/>
        <v>70037302.954359189</v>
      </c>
      <c r="T384" s="149">
        <f t="shared" si="231"/>
        <v>69447806.918900445</v>
      </c>
      <c r="U384" s="149">
        <f t="shared" si="231"/>
        <v>69292183.705768779</v>
      </c>
      <c r="V384" s="149">
        <f t="shared" si="231"/>
        <v>69208118.650115654</v>
      </c>
      <c r="W384" s="149">
        <f t="shared" si="231"/>
        <v>69143076.713017672</v>
      </c>
      <c r="X384" s="149">
        <f t="shared" si="231"/>
        <v>69136618.719362989</v>
      </c>
      <c r="Y384" s="149">
        <f t="shared" si="231"/>
        <v>69127569.757196829</v>
      </c>
      <c r="Z384" s="149">
        <f t="shared" si="231"/>
        <v>69119986.884166315</v>
      </c>
      <c r="AA384" s="149">
        <f t="shared" si="231"/>
        <v>69120961.789433196</v>
      </c>
      <c r="AB384" s="149">
        <f t="shared" si="231"/>
        <v>69119645.44255209</v>
      </c>
      <c r="AC384" s="149">
        <f t="shared" si="231"/>
        <v>69118760.484706998</v>
      </c>
      <c r="AD384" s="149">
        <f t="shared" si="231"/>
        <v>69119142.240484655</v>
      </c>
      <c r="AE384" s="149">
        <f t="shared" si="231"/>
        <v>69118891.526075825</v>
      </c>
      <c r="AF384" s="149">
        <f t="shared" si="231"/>
        <v>69118800.356905222</v>
      </c>
      <c r="AG384" s="149">
        <f t="shared" si="231"/>
        <v>69118885.721293539</v>
      </c>
    </row>
    <row r="385" spans="1:33" s="79" customFormat="1" ht="14.25" customHeight="1" x14ac:dyDescent="0.35">
      <c r="A385" s="168"/>
      <c r="B385" s="167" t="s">
        <v>4077</v>
      </c>
      <c r="C385" s="167" t="s">
        <v>4078</v>
      </c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  <c r="Z385" s="168"/>
      <c r="AA385" s="168"/>
      <c r="AB385" s="168"/>
      <c r="AC385" s="168"/>
      <c r="AD385" s="168"/>
      <c r="AE385" s="168"/>
      <c r="AF385" s="168"/>
      <c r="AG385" s="168"/>
    </row>
    <row r="386" spans="1:33" ht="14.25" customHeight="1" x14ac:dyDescent="0.35">
      <c r="A386" s="21"/>
      <c r="B386" s="21"/>
      <c r="C386" s="21"/>
      <c r="D386" s="128" t="s">
        <v>4049</v>
      </c>
      <c r="E386" s="128"/>
      <c r="F386" s="21"/>
      <c r="G386" s="21"/>
      <c r="H386" s="21"/>
      <c r="I386" s="22" t="s">
        <v>4079</v>
      </c>
      <c r="J386" s="132">
        <v>10275</v>
      </c>
      <c r="K386" s="132">
        <v>5100</v>
      </c>
      <c r="L386" s="132">
        <v>3690</v>
      </c>
      <c r="M386" s="132">
        <v>5360</v>
      </c>
      <c r="N386" s="132">
        <v>6750</v>
      </c>
      <c r="O386" s="132">
        <v>10190</v>
      </c>
      <c r="P386" s="132">
        <v>2360</v>
      </c>
      <c r="Q386" s="132">
        <v>9530</v>
      </c>
      <c r="R386" s="140">
        <f t="shared" ref="R386:AG386" si="232">R472+R628+R792</f>
        <v>6719.3995689087851</v>
      </c>
      <c r="S386" s="140">
        <f t="shared" si="232"/>
        <v>6730.7343866549163</v>
      </c>
      <c r="T386" s="140">
        <f t="shared" si="232"/>
        <v>6716.8115652693396</v>
      </c>
      <c r="U386" s="140">
        <f t="shared" si="232"/>
        <v>6722.3097383130707</v>
      </c>
      <c r="V386" s="140">
        <f t="shared" si="232"/>
        <v>6723.2803550368326</v>
      </c>
      <c r="W386" s="140">
        <f t="shared" si="232"/>
        <v>6720.7993453905601</v>
      </c>
      <c r="X386" s="140">
        <f t="shared" si="232"/>
        <v>6722.1296578838974</v>
      </c>
      <c r="Y386" s="140">
        <f t="shared" si="232"/>
        <v>6722.0696332181897</v>
      </c>
      <c r="Z386" s="140">
        <f t="shared" si="232"/>
        <v>6721.666156173098</v>
      </c>
      <c r="AA386" s="140">
        <f t="shared" si="232"/>
        <v>6721.9551427900178</v>
      </c>
      <c r="AB386" s="140">
        <f t="shared" si="232"/>
        <v>6721.8969731056577</v>
      </c>
      <c r="AC386" s="140">
        <f t="shared" si="232"/>
        <v>6721.8394217058521</v>
      </c>
      <c r="AD386" s="140">
        <f t="shared" si="232"/>
        <v>6721.8971788684721</v>
      </c>
      <c r="AE386" s="140">
        <f t="shared" si="232"/>
        <v>6721.8778577834355</v>
      </c>
      <c r="AF386" s="140">
        <f t="shared" si="232"/>
        <v>6721.8714860335194</v>
      </c>
      <c r="AG386" s="140">
        <f t="shared" si="232"/>
        <v>6721.882174210722</v>
      </c>
    </row>
    <row r="387" spans="1:33" ht="14.25" customHeight="1" x14ac:dyDescent="0.35">
      <c r="A387" s="21"/>
      <c r="B387" s="21"/>
      <c r="C387" s="21"/>
      <c r="D387" s="128" t="s">
        <v>4050</v>
      </c>
      <c r="E387" s="128"/>
      <c r="F387" s="21"/>
      <c r="G387" s="21"/>
      <c r="H387" s="21"/>
      <c r="I387" s="22" t="s">
        <v>4079</v>
      </c>
      <c r="J387" s="132"/>
      <c r="K387" s="132"/>
      <c r="L387" s="132"/>
      <c r="M387" s="132"/>
      <c r="N387" s="132"/>
      <c r="O387" s="132"/>
      <c r="P387" s="132"/>
      <c r="Q387" s="132"/>
      <c r="R387" s="140">
        <f>IF('Input Operasional'!Q7=0,0,R386/'Input Operasional'!Q7)</f>
        <v>258.43844495803017</v>
      </c>
      <c r="S387" s="140">
        <f>IF('Input Operasional'!R7=0,0,S386/'Input Operasional'!R7)</f>
        <v>249.28645876499689</v>
      </c>
      <c r="T387" s="140">
        <f>IF('Input Operasional'!S7=0,0,T386/'Input Operasional'!S7)</f>
        <v>258.33890635651306</v>
      </c>
      <c r="U387" s="140">
        <f>IF('Input Operasional'!T7=0,0,U386/'Input Operasional'!T7)</f>
        <v>248.97443475233595</v>
      </c>
      <c r="V387" s="140">
        <f>IF('Input Operasional'!U7=0,0,V386/'Input Operasional'!U7)</f>
        <v>249.01038351988268</v>
      </c>
      <c r="W387" s="140">
        <f>IF('Input Operasional'!V7=0,0,W386/'Input Operasional'!V7)</f>
        <v>280.03330605794002</v>
      </c>
      <c r="X387" s="140">
        <f>IF('Input Operasional'!W7=0,0,X386/'Input Operasional'!W7)</f>
        <v>248.96776510681102</v>
      </c>
      <c r="Y387" s="140">
        <f>IF('Input Operasional'!X7=0,0,Y386/'Input Operasional'!X7)</f>
        <v>258.54113973916117</v>
      </c>
      <c r="Z387" s="140">
        <f>IF('Input Operasional'!Y7=0,0,Z386/'Input Operasional'!Y7)</f>
        <v>248.95059837678141</v>
      </c>
      <c r="AA387" s="140">
        <f>IF('Input Operasional'!Z7=0,0,AA386/'Input Operasional'!Z7)</f>
        <v>258.53673626115454</v>
      </c>
      <c r="AB387" s="140">
        <f>IF('Input Operasional'!AA7=0,0,AB386/'Input Operasional'!AA7)</f>
        <v>248.9591471520614</v>
      </c>
      <c r="AC387" s="140">
        <f>IF('Input Operasional'!AB7=0,0,AC386/'Input Operasional'!AB7)</f>
        <v>248.95701561873526</v>
      </c>
      <c r="AD387" s="140">
        <f>IF('Input Operasional'!AC7=0,0,AD386/'Input Operasional'!AC7)</f>
        <v>258.5345068795566</v>
      </c>
      <c r="AE387" s="140">
        <f>IF('Input Operasional'!AD7=0,0,AE386/'Input Operasional'!AD7)</f>
        <v>248.95843917716428</v>
      </c>
      <c r="AF387" s="140">
        <f>IF('Input Operasional'!AE7=0,0,AF386/'Input Operasional'!AE7)</f>
        <v>258.53351869359687</v>
      </c>
      <c r="AG387" s="140">
        <f>IF('Input Operasional'!AF7=0,0,AG386/'Input Operasional'!AF7)</f>
        <v>248.95859904484155</v>
      </c>
    </row>
    <row r="388" spans="1:33" ht="14.25" customHeight="1" x14ac:dyDescent="0.35">
      <c r="A388" s="21"/>
      <c r="B388" s="21"/>
      <c r="C388" s="21"/>
      <c r="D388" s="128" t="s">
        <v>4051</v>
      </c>
      <c r="E388" s="128"/>
      <c r="F388" s="21"/>
      <c r="G388" s="21"/>
      <c r="H388" s="21"/>
      <c r="I388" s="22" t="s">
        <v>13</v>
      </c>
      <c r="J388" s="142"/>
      <c r="K388" s="142"/>
      <c r="L388" s="142"/>
      <c r="M388" s="142"/>
      <c r="N388" s="142"/>
      <c r="O388" s="142"/>
      <c r="P388" s="142"/>
      <c r="Q388" s="142"/>
      <c r="R388" s="126">
        <f>'Input Operasional'!Q172</f>
        <v>2.9819740000000001</v>
      </c>
      <c r="S388" s="126">
        <f>'Input Operasional'!R172</f>
        <v>2.9819740000000001</v>
      </c>
      <c r="T388" s="126">
        <f>'Input Operasional'!S172</f>
        <v>2.9819740000000001</v>
      </c>
      <c r="U388" s="126">
        <f>'Input Operasional'!T172</f>
        <v>2.9819740000000001</v>
      </c>
      <c r="V388" s="126">
        <f>'Input Operasional'!U172</f>
        <v>2.9819740000000001</v>
      </c>
      <c r="W388" s="126">
        <f>'Input Operasional'!V172</f>
        <v>2.9819740000000001</v>
      </c>
      <c r="X388" s="126">
        <f>'Input Operasional'!W172</f>
        <v>2.9819740000000001</v>
      </c>
      <c r="Y388" s="126">
        <f>'Input Operasional'!X172</f>
        <v>2.9819740000000001</v>
      </c>
      <c r="Z388" s="126">
        <f>'Input Operasional'!Y172</f>
        <v>2.9819740000000001</v>
      </c>
      <c r="AA388" s="126">
        <f>'Input Operasional'!Z172</f>
        <v>2.9819740000000001</v>
      </c>
      <c r="AB388" s="126">
        <f>'Input Operasional'!AA172</f>
        <v>2.9819740000000001</v>
      </c>
      <c r="AC388" s="126">
        <f>'Input Operasional'!AB172</f>
        <v>2.9819740000000001</v>
      </c>
      <c r="AD388" s="126">
        <f>'Input Operasional'!AC172</f>
        <v>2.9819740000000001</v>
      </c>
      <c r="AE388" s="126">
        <f>'Input Operasional'!AD172</f>
        <v>2.9819740000000001</v>
      </c>
      <c r="AF388" s="126">
        <f>'Input Operasional'!AE172</f>
        <v>2.9819740000000001</v>
      </c>
      <c r="AG388" s="126">
        <f>'Input Operasional'!AF172</f>
        <v>2.9819740000000001</v>
      </c>
    </row>
    <row r="389" spans="1:33" ht="14.25" customHeight="1" x14ac:dyDescent="0.35">
      <c r="A389" s="21"/>
      <c r="B389" s="21"/>
      <c r="C389" s="21"/>
      <c r="D389" s="128" t="s">
        <v>4052</v>
      </c>
      <c r="E389" s="128"/>
      <c r="F389" s="21"/>
      <c r="G389" s="21"/>
      <c r="H389" s="21"/>
      <c r="I389" s="22" t="s">
        <v>4079</v>
      </c>
      <c r="J389" s="132"/>
      <c r="K389" s="132"/>
      <c r="L389" s="132"/>
      <c r="M389" s="132"/>
      <c r="N389" s="132"/>
      <c r="O389" s="132"/>
      <c r="P389" s="132"/>
      <c r="Q389" s="132"/>
      <c r="R389" s="140">
        <f t="shared" ref="R389:AG389" si="233">R388*R386</f>
        <v>20037.074810097205</v>
      </c>
      <c r="S389" s="140">
        <f t="shared" si="233"/>
        <v>20070.874941910908</v>
      </c>
      <c r="T389" s="140">
        <f t="shared" si="233"/>
        <v>20029.357450532476</v>
      </c>
      <c r="U389" s="140">
        <f t="shared" si="233"/>
        <v>20045.752859596381</v>
      </c>
      <c r="V389" s="140">
        <f t="shared" si="233"/>
        <v>20048.647213430606</v>
      </c>
      <c r="W389" s="140">
        <f t="shared" si="233"/>
        <v>20041.24890717167</v>
      </c>
      <c r="X389" s="140">
        <f t="shared" si="233"/>
        <v>20045.215864438676</v>
      </c>
      <c r="Y389" s="140">
        <f t="shared" si="233"/>
        <v>20045.03687244618</v>
      </c>
      <c r="Z389" s="140">
        <f t="shared" si="233"/>
        <v>20043.833714388118</v>
      </c>
      <c r="AA389" s="140">
        <f t="shared" si="233"/>
        <v>20044.69546496612</v>
      </c>
      <c r="AB389" s="140">
        <f t="shared" si="233"/>
        <v>20044.522004479772</v>
      </c>
      <c r="AC389" s="140">
        <f t="shared" si="233"/>
        <v>20044.350387701888</v>
      </c>
      <c r="AD389" s="140">
        <f t="shared" si="233"/>
        <v>20044.522618059134</v>
      </c>
      <c r="AE389" s="140">
        <f t="shared" si="233"/>
        <v>20044.465003085905</v>
      </c>
      <c r="AF389" s="140">
        <f t="shared" si="233"/>
        <v>20044.446002693319</v>
      </c>
      <c r="AG389" s="140">
        <f t="shared" si="233"/>
        <v>20044.477874559845</v>
      </c>
    </row>
    <row r="390" spans="1:33" ht="14.25" customHeight="1" x14ac:dyDescent="0.35">
      <c r="A390" s="21"/>
      <c r="B390" s="21"/>
      <c r="C390" s="21"/>
      <c r="D390" s="128" t="s">
        <v>4053</v>
      </c>
      <c r="E390" s="128"/>
      <c r="F390" s="21"/>
      <c r="G390" s="21"/>
      <c r="H390" s="21"/>
      <c r="I390" s="22" t="s">
        <v>4054</v>
      </c>
      <c r="J390" s="132"/>
      <c r="K390" s="132"/>
      <c r="L390" s="132"/>
      <c r="M390" s="132"/>
      <c r="N390" s="132"/>
      <c r="O390" s="132"/>
      <c r="P390" s="132"/>
      <c r="Q390" s="132"/>
      <c r="R390" s="140">
        <f>'Input Operasional'!Q182</f>
        <v>0</v>
      </c>
      <c r="S390" s="140">
        <f>'Input Operasional'!R182</f>
        <v>0</v>
      </c>
      <c r="T390" s="140">
        <f>'Input Operasional'!S182</f>
        <v>0</v>
      </c>
      <c r="U390" s="140">
        <f>'Input Operasional'!T182</f>
        <v>0</v>
      </c>
      <c r="V390" s="140">
        <f>'Input Operasional'!U182</f>
        <v>0</v>
      </c>
      <c r="W390" s="140">
        <f>'Input Operasional'!V182</f>
        <v>0</v>
      </c>
      <c r="X390" s="140">
        <f>'Input Operasional'!W182</f>
        <v>0</v>
      </c>
      <c r="Y390" s="140">
        <f>'Input Operasional'!X182</f>
        <v>0</v>
      </c>
      <c r="Z390" s="140">
        <f>'Input Operasional'!Y182</f>
        <v>0</v>
      </c>
      <c r="AA390" s="140">
        <f>'Input Operasional'!Z182</f>
        <v>0</v>
      </c>
      <c r="AB390" s="140">
        <f>'Input Operasional'!AA182</f>
        <v>0</v>
      </c>
      <c r="AC390" s="140">
        <f>'Input Operasional'!AB182</f>
        <v>0</v>
      </c>
      <c r="AD390" s="140">
        <f>'Input Operasional'!AC182</f>
        <v>0</v>
      </c>
      <c r="AE390" s="140">
        <f>'Input Operasional'!AD182</f>
        <v>0</v>
      </c>
      <c r="AF390" s="140">
        <f>'Input Operasional'!AE182</f>
        <v>0</v>
      </c>
      <c r="AG390" s="140">
        <f>'Input Operasional'!AF182</f>
        <v>0</v>
      </c>
    </row>
    <row r="391" spans="1:33" ht="14.25" customHeight="1" x14ac:dyDescent="0.35">
      <c r="A391" s="21"/>
      <c r="B391" s="21"/>
      <c r="C391" s="21"/>
      <c r="D391" s="128" t="s">
        <v>4055</v>
      </c>
      <c r="E391" s="128"/>
      <c r="F391" s="21"/>
      <c r="G391" s="21"/>
      <c r="H391" s="21"/>
      <c r="I391" s="22" t="s">
        <v>4079</v>
      </c>
      <c r="J391" s="132"/>
      <c r="K391" s="132"/>
      <c r="L391" s="132"/>
      <c r="M391" s="132"/>
      <c r="N391" s="132"/>
      <c r="O391" s="132"/>
      <c r="P391" s="132"/>
      <c r="Q391" s="132"/>
      <c r="R391" s="140">
        <f t="shared" ref="R391:AG391" si="234">R389+R390*R387</f>
        <v>20037.074810097205</v>
      </c>
      <c r="S391" s="140">
        <f t="shared" si="234"/>
        <v>20070.874941910908</v>
      </c>
      <c r="T391" s="140">
        <f t="shared" si="234"/>
        <v>20029.357450532476</v>
      </c>
      <c r="U391" s="140">
        <f t="shared" si="234"/>
        <v>20045.752859596381</v>
      </c>
      <c r="V391" s="140">
        <f t="shared" si="234"/>
        <v>20048.647213430606</v>
      </c>
      <c r="W391" s="140">
        <f t="shared" si="234"/>
        <v>20041.24890717167</v>
      </c>
      <c r="X391" s="140">
        <f t="shared" si="234"/>
        <v>20045.215864438676</v>
      </c>
      <c r="Y391" s="140">
        <f t="shared" si="234"/>
        <v>20045.03687244618</v>
      </c>
      <c r="Z391" s="140">
        <f t="shared" si="234"/>
        <v>20043.833714388118</v>
      </c>
      <c r="AA391" s="140">
        <f t="shared" si="234"/>
        <v>20044.69546496612</v>
      </c>
      <c r="AB391" s="140">
        <f t="shared" si="234"/>
        <v>20044.522004479772</v>
      </c>
      <c r="AC391" s="140">
        <f t="shared" si="234"/>
        <v>20044.350387701888</v>
      </c>
      <c r="AD391" s="140">
        <f t="shared" si="234"/>
        <v>20044.522618059134</v>
      </c>
      <c r="AE391" s="140">
        <f t="shared" si="234"/>
        <v>20044.465003085905</v>
      </c>
      <c r="AF391" s="140">
        <f t="shared" si="234"/>
        <v>20044.446002693319</v>
      </c>
      <c r="AG391" s="140">
        <f t="shared" si="234"/>
        <v>20044.477874559845</v>
      </c>
    </row>
    <row r="392" spans="1:33" ht="14.25" customHeight="1" x14ac:dyDescent="0.35">
      <c r="A392" s="21"/>
      <c r="B392" s="21"/>
      <c r="C392" s="21"/>
      <c r="D392" s="128" t="s">
        <v>4056</v>
      </c>
      <c r="E392" s="128"/>
      <c r="F392" s="21"/>
      <c r="G392" s="21"/>
      <c r="H392" s="21"/>
      <c r="I392" s="22" t="s">
        <v>4079</v>
      </c>
      <c r="J392" s="132">
        <v>11305</v>
      </c>
      <c r="K392" s="132">
        <v>10910</v>
      </c>
      <c r="L392" s="132">
        <v>20680</v>
      </c>
      <c r="M392" s="132">
        <v>21880</v>
      </c>
      <c r="N392" s="132">
        <v>23980</v>
      </c>
      <c r="O392" s="132">
        <v>29550</v>
      </c>
      <c r="P392" s="132">
        <v>19360</v>
      </c>
      <c r="Q392" s="132">
        <v>17000</v>
      </c>
      <c r="R392" s="140">
        <v>15450</v>
      </c>
      <c r="S392" s="140">
        <f t="shared" ref="S392:AG392" si="235">R394</f>
        <v>20037.074810097205</v>
      </c>
      <c r="T392" s="140">
        <f t="shared" si="235"/>
        <v>20070.874941910908</v>
      </c>
      <c r="U392" s="140">
        <f t="shared" si="235"/>
        <v>20029.35745053248</v>
      </c>
      <c r="V392" s="140">
        <f t="shared" si="235"/>
        <v>20045.752859596381</v>
      </c>
      <c r="W392" s="140">
        <f t="shared" si="235"/>
        <v>20048.647213430606</v>
      </c>
      <c r="X392" s="140">
        <f t="shared" si="235"/>
        <v>20041.24890717167</v>
      </c>
      <c r="Y392" s="140">
        <f t="shared" si="235"/>
        <v>20045.21586443868</v>
      </c>
      <c r="Z392" s="140">
        <f t="shared" si="235"/>
        <v>20045.03687244618</v>
      </c>
      <c r="AA392" s="140">
        <f t="shared" si="235"/>
        <v>20043.833714388118</v>
      </c>
      <c r="AB392" s="140">
        <f t="shared" si="235"/>
        <v>20044.69546496612</v>
      </c>
      <c r="AC392" s="140">
        <f t="shared" si="235"/>
        <v>20044.522004479772</v>
      </c>
      <c r="AD392" s="140">
        <f t="shared" si="235"/>
        <v>20044.350387701888</v>
      </c>
      <c r="AE392" s="140">
        <f t="shared" si="235"/>
        <v>20044.522618059134</v>
      </c>
      <c r="AF392" s="140">
        <f t="shared" si="235"/>
        <v>20044.465003085905</v>
      </c>
      <c r="AG392" s="140">
        <f t="shared" si="235"/>
        <v>20044.446002693319</v>
      </c>
    </row>
    <row r="393" spans="1:33" ht="14.25" customHeight="1" x14ac:dyDescent="0.35">
      <c r="A393" s="21"/>
      <c r="B393" s="21"/>
      <c r="C393" s="21"/>
      <c r="D393" s="128" t="s">
        <v>4057</v>
      </c>
      <c r="E393" s="128"/>
      <c r="F393" s="21"/>
      <c r="G393" s="21"/>
      <c r="H393" s="21"/>
      <c r="I393" s="22" t="s">
        <v>4079</v>
      </c>
      <c r="J393" s="132">
        <v>9880</v>
      </c>
      <c r="K393" s="132">
        <v>14870</v>
      </c>
      <c r="L393" s="132">
        <v>4890</v>
      </c>
      <c r="M393" s="132">
        <v>7460</v>
      </c>
      <c r="N393" s="132">
        <v>12320</v>
      </c>
      <c r="O393" s="132">
        <v>0</v>
      </c>
      <c r="P393" s="132">
        <v>0</v>
      </c>
      <c r="Q393" s="132">
        <v>7980</v>
      </c>
      <c r="R393" s="140">
        <f t="shared" ref="R393:AG393" si="236">MAX(0,R386+R391-R392)</f>
        <v>11306.474379005991</v>
      </c>
      <c r="S393" s="140">
        <f t="shared" si="236"/>
        <v>6764.5345184686194</v>
      </c>
      <c r="T393" s="140">
        <f t="shared" si="236"/>
        <v>6675.2940738909092</v>
      </c>
      <c r="U393" s="140">
        <f t="shared" si="236"/>
        <v>6738.7051473769716</v>
      </c>
      <c r="V393" s="140">
        <f t="shared" si="236"/>
        <v>6726.1747088710581</v>
      </c>
      <c r="W393" s="140">
        <f t="shared" si="236"/>
        <v>6713.4010391316224</v>
      </c>
      <c r="X393" s="140">
        <f t="shared" si="236"/>
        <v>6726.0966151509056</v>
      </c>
      <c r="Y393" s="140">
        <f t="shared" si="236"/>
        <v>6721.8906412256911</v>
      </c>
      <c r="Z393" s="140">
        <f t="shared" si="236"/>
        <v>6720.4629981150356</v>
      </c>
      <c r="AA393" s="140">
        <f t="shared" si="236"/>
        <v>6722.8168933680208</v>
      </c>
      <c r="AB393" s="140">
        <f t="shared" si="236"/>
        <v>6721.7235126193082</v>
      </c>
      <c r="AC393" s="140">
        <f t="shared" si="236"/>
        <v>6721.667804927969</v>
      </c>
      <c r="AD393" s="140">
        <f t="shared" si="236"/>
        <v>6722.0694092257181</v>
      </c>
      <c r="AE393" s="140">
        <f t="shared" si="236"/>
        <v>6721.8202428102049</v>
      </c>
      <c r="AF393" s="140">
        <f t="shared" si="236"/>
        <v>6721.8524856409349</v>
      </c>
      <c r="AG393" s="140">
        <f t="shared" si="236"/>
        <v>6721.9140460772469</v>
      </c>
    </row>
    <row r="394" spans="1:33" ht="14.25" customHeight="1" x14ac:dyDescent="0.35">
      <c r="A394" s="21"/>
      <c r="B394" s="21"/>
      <c r="C394" s="21"/>
      <c r="D394" s="128" t="s">
        <v>4058</v>
      </c>
      <c r="E394" s="128"/>
      <c r="F394" s="21"/>
      <c r="G394" s="21"/>
      <c r="H394" s="21"/>
      <c r="I394" s="22" t="s">
        <v>4079</v>
      </c>
      <c r="J394" s="132">
        <v>10910</v>
      </c>
      <c r="K394" s="132">
        <v>20680</v>
      </c>
      <c r="L394" s="132">
        <v>21880</v>
      </c>
      <c r="M394" s="132">
        <v>23980</v>
      </c>
      <c r="N394" s="132">
        <v>29550</v>
      </c>
      <c r="O394" s="132">
        <v>19360</v>
      </c>
      <c r="P394" s="132">
        <v>17000</v>
      </c>
      <c r="Q394" s="132">
        <v>15450</v>
      </c>
      <c r="R394" s="140">
        <f t="shared" ref="R394:AG394" si="237">R392+R393-R386</f>
        <v>20037.074810097205</v>
      </c>
      <c r="S394" s="140">
        <f t="shared" si="237"/>
        <v>20070.874941910908</v>
      </c>
      <c r="T394" s="140">
        <f t="shared" si="237"/>
        <v>20029.35745053248</v>
      </c>
      <c r="U394" s="140">
        <f t="shared" si="237"/>
        <v>20045.752859596381</v>
      </c>
      <c r="V394" s="140">
        <f t="shared" si="237"/>
        <v>20048.647213430606</v>
      </c>
      <c r="W394" s="140">
        <f t="shared" si="237"/>
        <v>20041.24890717167</v>
      </c>
      <c r="X394" s="140">
        <f t="shared" si="237"/>
        <v>20045.21586443868</v>
      </c>
      <c r="Y394" s="140">
        <f t="shared" si="237"/>
        <v>20045.03687244618</v>
      </c>
      <c r="Z394" s="140">
        <f t="shared" si="237"/>
        <v>20043.833714388118</v>
      </c>
      <c r="AA394" s="140">
        <f t="shared" si="237"/>
        <v>20044.69546496612</v>
      </c>
      <c r="AB394" s="140">
        <f t="shared" si="237"/>
        <v>20044.522004479772</v>
      </c>
      <c r="AC394" s="140">
        <f t="shared" si="237"/>
        <v>20044.350387701888</v>
      </c>
      <c r="AD394" s="140">
        <f t="shared" si="237"/>
        <v>20044.522618059134</v>
      </c>
      <c r="AE394" s="140">
        <f t="shared" si="237"/>
        <v>20044.465003085905</v>
      </c>
      <c r="AF394" s="140">
        <f t="shared" si="237"/>
        <v>20044.446002693319</v>
      </c>
      <c r="AG394" s="140">
        <f t="shared" si="237"/>
        <v>20044.477874559845</v>
      </c>
    </row>
    <row r="395" spans="1:33" ht="14.25" customHeight="1" x14ac:dyDescent="0.35">
      <c r="A395" s="21"/>
      <c r="B395" s="21"/>
      <c r="C395" s="21"/>
      <c r="D395" s="128" t="s">
        <v>4059</v>
      </c>
      <c r="E395" s="128"/>
      <c r="F395" s="21"/>
      <c r="G395" s="21"/>
      <c r="H395" s="21"/>
      <c r="I395" s="22" t="s">
        <v>4080</v>
      </c>
      <c r="J395" s="132">
        <v>8700</v>
      </c>
      <c r="K395" s="132">
        <v>8700</v>
      </c>
      <c r="L395" s="132">
        <v>8700</v>
      </c>
      <c r="M395" s="132">
        <v>9600</v>
      </c>
      <c r="N395" s="132">
        <v>9800</v>
      </c>
      <c r="O395" s="132">
        <v>0</v>
      </c>
      <c r="P395" s="132">
        <v>0</v>
      </c>
      <c r="Q395" s="132">
        <v>10630.277099999999</v>
      </c>
      <c r="R395" s="140">
        <v>9002.8837970000004</v>
      </c>
      <c r="S395" s="140">
        <v>9002.8837970000004</v>
      </c>
      <c r="T395" s="140">
        <v>9002.8837970000004</v>
      </c>
      <c r="U395" s="140">
        <v>9002.8837970000004</v>
      </c>
      <c r="V395" s="140">
        <v>9002.8837970000004</v>
      </c>
      <c r="W395" s="140">
        <v>9002.8837970000004</v>
      </c>
      <c r="X395" s="140">
        <v>9002.8837970000004</v>
      </c>
      <c r="Y395" s="140">
        <v>9002.8837970000004</v>
      </c>
      <c r="Z395" s="140">
        <v>9002.8837970000004</v>
      </c>
      <c r="AA395" s="140">
        <v>9002.8837970000004</v>
      </c>
      <c r="AB395" s="140">
        <v>9002.8837970000004</v>
      </c>
      <c r="AC395" s="140">
        <v>9002.8837970000004</v>
      </c>
      <c r="AD395" s="140">
        <v>9002.8837970000004</v>
      </c>
      <c r="AE395" s="140">
        <v>9002.8837970000004</v>
      </c>
      <c r="AF395" s="140">
        <v>9002.8837970000004</v>
      </c>
      <c r="AG395" s="140">
        <v>9002.8837970000004</v>
      </c>
    </row>
    <row r="396" spans="1:33" ht="14.25" customHeight="1" x14ac:dyDescent="0.35">
      <c r="A396" s="21"/>
      <c r="B396" s="21"/>
      <c r="C396" s="21"/>
      <c r="D396" s="128" t="s">
        <v>4056</v>
      </c>
      <c r="E396" s="128"/>
      <c r="F396" s="21"/>
      <c r="G396" s="21"/>
      <c r="H396" s="21"/>
      <c r="I396" s="22" t="s">
        <v>4060</v>
      </c>
      <c r="J396" s="148">
        <v>93572464.299999997</v>
      </c>
      <c r="K396" s="148">
        <v>92454822.189999998</v>
      </c>
      <c r="L396" s="148">
        <v>177940910.44</v>
      </c>
      <c r="M396" s="148">
        <v>188665936.00999999</v>
      </c>
      <c r="N396" s="148">
        <v>212732134.63</v>
      </c>
      <c r="O396" s="148">
        <v>271459595.77999997</v>
      </c>
      <c r="P396" s="148">
        <v>177849669.25999999</v>
      </c>
      <c r="Q396" s="148">
        <v>156169648.44</v>
      </c>
      <c r="R396" s="149">
        <v>149056787</v>
      </c>
      <c r="S396" s="149">
        <f t="shared" ref="S396:AG396" si="238">R400</f>
        <v>187851855.89078465</v>
      </c>
      <c r="T396" s="149">
        <f t="shared" si="238"/>
        <v>186282611.49211621</v>
      </c>
      <c r="U396" s="149">
        <f t="shared" si="238"/>
        <v>184505797.3841508</v>
      </c>
      <c r="V396" s="149">
        <f t="shared" si="238"/>
        <v>183602713.48076862</v>
      </c>
      <c r="W396" s="149">
        <f t="shared" si="238"/>
        <v>182841942.70462787</v>
      </c>
      <c r="X396" s="149">
        <f t="shared" si="238"/>
        <v>182186105.85591078</v>
      </c>
      <c r="Y396" s="149">
        <f t="shared" si="238"/>
        <v>181780563.69058231</v>
      </c>
      <c r="Z396" s="149">
        <f t="shared" si="238"/>
        <v>181448509.4617489</v>
      </c>
      <c r="AA396" s="149">
        <f t="shared" si="238"/>
        <v>181190219.45141944</v>
      </c>
      <c r="AB396" s="149">
        <f t="shared" si="238"/>
        <v>181012664.15769598</v>
      </c>
      <c r="AC396" s="149">
        <f t="shared" si="238"/>
        <v>180872327.086546</v>
      </c>
      <c r="AD396" s="149">
        <f t="shared" si="238"/>
        <v>180766857.52636224</v>
      </c>
      <c r="AE396" s="149">
        <f t="shared" si="238"/>
        <v>180690582.324532</v>
      </c>
      <c r="AF396" s="149">
        <f t="shared" si="238"/>
        <v>180631782.37221169</v>
      </c>
      <c r="AG396" s="149">
        <f t="shared" si="238"/>
        <v>180587966.33368286</v>
      </c>
    </row>
    <row r="397" spans="1:33" ht="14.25" customHeight="1" x14ac:dyDescent="0.35">
      <c r="A397" s="21"/>
      <c r="B397" s="21"/>
      <c r="C397" s="21"/>
      <c r="D397" s="128" t="s">
        <v>4057</v>
      </c>
      <c r="E397" s="128"/>
      <c r="F397" s="21"/>
      <c r="G397" s="21"/>
      <c r="H397" s="21"/>
      <c r="I397" s="22" t="s">
        <v>4060</v>
      </c>
      <c r="J397" s="148">
        <v>85956000</v>
      </c>
      <c r="K397" s="148">
        <v>129369000</v>
      </c>
      <c r="L397" s="148">
        <v>42543000</v>
      </c>
      <c r="M397" s="148">
        <v>71616000</v>
      </c>
      <c r="N397" s="148">
        <v>120736000</v>
      </c>
      <c r="O397" s="148">
        <v>0</v>
      </c>
      <c r="P397" s="148">
        <v>0</v>
      </c>
      <c r="Q397" s="148">
        <v>84829611.299999997</v>
      </c>
      <c r="R397" s="149">
        <f t="shared" ref="R397:AG397" si="239">R393*R395</f>
        <v>101790874.98794869</v>
      </c>
      <c r="S397" s="149">
        <f t="shared" si="239"/>
        <v>60900318.210568331</v>
      </c>
      <c r="T397" s="149">
        <f t="shared" si="239"/>
        <v>60096896.85804259</v>
      </c>
      <c r="U397" s="149">
        <f t="shared" si="239"/>
        <v>60667779.384080641</v>
      </c>
      <c r="V397" s="149">
        <f t="shared" si="239"/>
        <v>60554969.302286446</v>
      </c>
      <c r="W397" s="149">
        <f t="shared" si="239"/>
        <v>60439969.437961049</v>
      </c>
      <c r="X397" s="149">
        <f t="shared" si="239"/>
        <v>60554266.233598635</v>
      </c>
      <c r="Y397" s="149">
        <f t="shared" si="239"/>
        <v>60516400.339096718</v>
      </c>
      <c r="Z397" s="149">
        <f t="shared" si="239"/>
        <v>60503547.434067897</v>
      </c>
      <c r="AA397" s="149">
        <f t="shared" si="239"/>
        <v>60524739.279500835</v>
      </c>
      <c r="AB397" s="149">
        <f t="shared" si="239"/>
        <v>60514895.699674301</v>
      </c>
      <c r="AC397" s="149">
        <f t="shared" si="239"/>
        <v>60514394.169802569</v>
      </c>
      <c r="AD397" s="149">
        <f t="shared" si="239"/>
        <v>60518009.76662758</v>
      </c>
      <c r="AE397" s="149">
        <f t="shared" si="239"/>
        <v>60515766.550342605</v>
      </c>
      <c r="AF397" s="149">
        <f t="shared" si="239"/>
        <v>60516056.828800954</v>
      </c>
      <c r="AG397" s="149">
        <f t="shared" si="239"/>
        <v>60516611.050255559</v>
      </c>
    </row>
    <row r="398" spans="1:33" ht="14.25" customHeight="1" x14ac:dyDescent="0.35">
      <c r="A398" s="21"/>
      <c r="B398" s="21"/>
      <c r="C398" s="21"/>
      <c r="D398" s="128" t="s">
        <v>4061</v>
      </c>
      <c r="E398" s="128"/>
      <c r="F398" s="21"/>
      <c r="G398" s="21"/>
      <c r="H398" s="21"/>
      <c r="I398" s="22" t="s">
        <v>4080</v>
      </c>
      <c r="J398" s="132">
        <v>8474.3204000000005</v>
      </c>
      <c r="K398" s="132">
        <v>8604.4925000000003</v>
      </c>
      <c r="L398" s="132">
        <v>8622.7572999999993</v>
      </c>
      <c r="M398" s="132">
        <v>8871.2315999999992</v>
      </c>
      <c r="N398" s="132">
        <v>9186.4501999999993</v>
      </c>
      <c r="O398" s="132">
        <v>9186.4501</v>
      </c>
      <c r="P398" s="132">
        <v>9186.4495000000006</v>
      </c>
      <c r="Q398" s="132">
        <v>9647.6885999999995</v>
      </c>
      <c r="R398" s="140">
        <f t="shared" ref="R398:AG398" si="240">IF((R392+R393)=0,R395,(R396+R397)/(R392+R393))</f>
        <v>9375.2135813817094</v>
      </c>
      <c r="S398" s="140">
        <f t="shared" si="240"/>
        <v>9281.2402065806818</v>
      </c>
      <c r="T398" s="140">
        <f t="shared" si="240"/>
        <v>9211.7681677924083</v>
      </c>
      <c r="U398" s="140">
        <f t="shared" si="240"/>
        <v>9159.1827339562169</v>
      </c>
      <c r="V398" s="140">
        <f t="shared" si="240"/>
        <v>9119.9142145681471</v>
      </c>
      <c r="W398" s="140">
        <f t="shared" si="240"/>
        <v>9090.556516700728</v>
      </c>
      <c r="X398" s="140">
        <f t="shared" si="240"/>
        <v>9068.526122139252</v>
      </c>
      <c r="Y398" s="140">
        <f t="shared" si="240"/>
        <v>9052.0416907372819</v>
      </c>
      <c r="Z398" s="140">
        <f t="shared" si="240"/>
        <v>9039.6987938168313</v>
      </c>
      <c r="AA398" s="140">
        <f t="shared" si="240"/>
        <v>9030.4521948995316</v>
      </c>
      <c r="AB398" s="140">
        <f t="shared" si="240"/>
        <v>9023.5290742339803</v>
      </c>
      <c r="AC398" s="140">
        <f t="shared" si="240"/>
        <v>9018.3445225179694</v>
      </c>
      <c r="AD398" s="140">
        <f t="shared" si="240"/>
        <v>9014.4617443639509</v>
      </c>
      <c r="AE398" s="140">
        <f t="shared" si="240"/>
        <v>9011.5541793908142</v>
      </c>
      <c r="AF398" s="140">
        <f t="shared" si="240"/>
        <v>9009.3767774583412</v>
      </c>
      <c r="AG398" s="140">
        <f t="shared" si="240"/>
        <v>9007.7461763431984</v>
      </c>
    </row>
    <row r="399" spans="1:33" ht="14.25" customHeight="1" x14ac:dyDescent="0.35">
      <c r="A399" s="21"/>
      <c r="B399" s="21"/>
      <c r="C399" s="21"/>
      <c r="D399" s="128" t="s">
        <v>4049</v>
      </c>
      <c r="E399" s="128"/>
      <c r="F399" s="21"/>
      <c r="G399" s="21"/>
      <c r="H399" s="21"/>
      <c r="I399" s="22" t="s">
        <v>4060</v>
      </c>
      <c r="J399" s="148">
        <v>87073642.109999999</v>
      </c>
      <c r="K399" s="148">
        <v>43882911.75</v>
      </c>
      <c r="L399" s="148">
        <v>31817974.440000001</v>
      </c>
      <c r="M399" s="148">
        <v>47549801.380000003</v>
      </c>
      <c r="N399" s="148">
        <v>62008538.850000001</v>
      </c>
      <c r="O399" s="148">
        <v>93609926.519999996</v>
      </c>
      <c r="P399" s="148">
        <v>21680020.82</v>
      </c>
      <c r="Q399" s="148">
        <v>91942472.359999999</v>
      </c>
      <c r="R399" s="149">
        <f t="shared" ref="R399:AG399" si="241">R386*R398</f>
        <v>62995806.097164042</v>
      </c>
      <c r="S399" s="149">
        <f t="shared" si="241"/>
        <v>62469562.609236777</v>
      </c>
      <c r="T399" s="149">
        <f t="shared" si="241"/>
        <v>61873710.966008</v>
      </c>
      <c r="U399" s="149">
        <f t="shared" si="241"/>
        <v>61570863.287462816</v>
      </c>
      <c r="V399" s="149">
        <f t="shared" si="241"/>
        <v>61315740.078427188</v>
      </c>
      <c r="W399" s="149">
        <f t="shared" si="241"/>
        <v>61095806.286678143</v>
      </c>
      <c r="X399" s="149">
        <f t="shared" si="241"/>
        <v>60959808.398927115</v>
      </c>
      <c r="Y399" s="149">
        <f t="shared" si="241"/>
        <v>60848454.567930125</v>
      </c>
      <c r="Z399" s="149">
        <f t="shared" si="241"/>
        <v>60761837.444397368</v>
      </c>
      <c r="AA399" s="149">
        <f t="shared" si="241"/>
        <v>60702294.573224314</v>
      </c>
      <c r="AB399" s="149">
        <f t="shared" si="241"/>
        <v>60655232.770824291</v>
      </c>
      <c r="AC399" s="149">
        <f t="shared" si="241"/>
        <v>60619863.729986325</v>
      </c>
      <c r="AD399" s="149">
        <f t="shared" si="241"/>
        <v>60594284.968457811</v>
      </c>
      <c r="AE399" s="149">
        <f t="shared" si="241"/>
        <v>60574566.50266289</v>
      </c>
      <c r="AF399" s="149">
        <f t="shared" si="241"/>
        <v>60559872.867329784</v>
      </c>
      <c r="AG399" s="149">
        <f t="shared" si="241"/>
        <v>60549008.452576138</v>
      </c>
    </row>
    <row r="400" spans="1:33" ht="14.25" customHeight="1" x14ac:dyDescent="0.35">
      <c r="A400" s="21"/>
      <c r="B400" s="21"/>
      <c r="C400" s="21"/>
      <c r="D400" s="128" t="s">
        <v>4058</v>
      </c>
      <c r="E400" s="128"/>
      <c r="F400" s="21"/>
      <c r="G400" s="21"/>
      <c r="H400" s="21"/>
      <c r="I400" s="22" t="s">
        <v>4060</v>
      </c>
      <c r="J400" s="148">
        <v>92454822.189999998</v>
      </c>
      <c r="K400" s="148">
        <v>177940910.44</v>
      </c>
      <c r="L400" s="148">
        <v>188665936.00999999</v>
      </c>
      <c r="M400" s="148">
        <v>212732134.63</v>
      </c>
      <c r="N400" s="148">
        <v>271459595.77999997</v>
      </c>
      <c r="O400" s="148">
        <v>177849669.25999999</v>
      </c>
      <c r="P400" s="148">
        <v>156169648.44</v>
      </c>
      <c r="Q400" s="148">
        <v>149056787.38</v>
      </c>
      <c r="R400" s="149">
        <f t="shared" ref="R400:AG400" si="242">R396+R397-R399</f>
        <v>187851855.89078465</v>
      </c>
      <c r="S400" s="149">
        <f t="shared" si="242"/>
        <v>186282611.49211621</v>
      </c>
      <c r="T400" s="149">
        <f t="shared" si="242"/>
        <v>184505797.3841508</v>
      </c>
      <c r="U400" s="149">
        <f t="shared" si="242"/>
        <v>183602713.48076862</v>
      </c>
      <c r="V400" s="149">
        <f t="shared" si="242"/>
        <v>182841942.70462787</v>
      </c>
      <c r="W400" s="149">
        <f t="shared" si="242"/>
        <v>182186105.85591078</v>
      </c>
      <c r="X400" s="149">
        <f t="shared" si="242"/>
        <v>181780563.69058231</v>
      </c>
      <c r="Y400" s="149">
        <f t="shared" si="242"/>
        <v>181448509.4617489</v>
      </c>
      <c r="Z400" s="149">
        <f t="shared" si="242"/>
        <v>181190219.45141944</v>
      </c>
      <c r="AA400" s="149">
        <f t="shared" si="242"/>
        <v>181012664.15769598</v>
      </c>
      <c r="AB400" s="149">
        <f t="shared" si="242"/>
        <v>180872327.086546</v>
      </c>
      <c r="AC400" s="149">
        <f t="shared" si="242"/>
        <v>180766857.52636224</v>
      </c>
      <c r="AD400" s="149">
        <f t="shared" si="242"/>
        <v>180690582.324532</v>
      </c>
      <c r="AE400" s="149">
        <f t="shared" si="242"/>
        <v>180631782.37221169</v>
      </c>
      <c r="AF400" s="149">
        <f t="shared" si="242"/>
        <v>180587966.33368286</v>
      </c>
      <c r="AG400" s="149">
        <f t="shared" si="242"/>
        <v>180555568.9313623</v>
      </c>
    </row>
    <row r="401" spans="1:33" s="79" customFormat="1" ht="14.25" customHeight="1" x14ac:dyDescent="0.35">
      <c r="A401" s="168"/>
      <c r="B401" s="167"/>
      <c r="C401" s="167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  <c r="Z401" s="168"/>
      <c r="AA401" s="168"/>
      <c r="AB401" s="168"/>
      <c r="AC401" s="168"/>
      <c r="AD401" s="168"/>
      <c r="AE401" s="168"/>
      <c r="AF401" s="168"/>
      <c r="AG401" s="168"/>
    </row>
    <row r="402" spans="1:33" ht="14.25" customHeight="1" x14ac:dyDescent="0.35">
      <c r="A402" s="21"/>
      <c r="B402" s="21"/>
      <c r="C402" s="21"/>
      <c r="D402" s="128" t="s">
        <v>4081</v>
      </c>
      <c r="E402" s="128"/>
      <c r="F402" s="21"/>
      <c r="G402" s="21"/>
      <c r="H402" s="21"/>
      <c r="I402" s="22" t="s">
        <v>4060</v>
      </c>
      <c r="J402" s="148">
        <f t="shared" ref="J402:Q402" si="243">(J268+J269-J271-J272)+(J284+J285-J287-J288)+(J300+J301-J303-J304)+(J316+J317-J319-J320)+(J332+J333-J335-J336)+(J348+J349-J351-J352)+(J364+J365-J367-J368)+(J380+J381-J383-J384)+(J396+J397-J399-J400)</f>
        <v>2.2098425400685073E-7</v>
      </c>
      <c r="K402" s="148">
        <f t="shared" si="243"/>
        <v>3.32742892794613E-7</v>
      </c>
      <c r="L402" s="148">
        <f t="shared" si="243"/>
        <v>-2.9999771397520192E-2</v>
      </c>
      <c r="M402" s="148">
        <f t="shared" si="243"/>
        <v>-86.129999900460263</v>
      </c>
      <c r="N402" s="148">
        <f t="shared" si="243"/>
        <v>2.0265570555011436E-8</v>
      </c>
      <c r="O402" s="148">
        <f t="shared" si="243"/>
        <v>8.2105376719709966E-8</v>
      </c>
      <c r="P402" s="148">
        <f t="shared" si="243"/>
        <v>9.9999195337687752E-3</v>
      </c>
      <c r="Q402" s="148">
        <f t="shared" si="243"/>
        <v>1.5608966563718241E-7</v>
      </c>
      <c r="R402" s="149">
        <f t="shared" ref="R402:AG402" si="244">(R272-R266*R270)+(R288-R282*R286)+(R304-R298*R302)+(R320-R314*R318)+(R336-R330*R334)+(R352-R346*R350)+(R368-R362*R366)+(R384-R378*R382)+(R400-R394*R398)</f>
        <v>1.5273690223693848E-7</v>
      </c>
      <c r="S402" s="149">
        <f t="shared" si="244"/>
        <v>-4.8428773880004883E-8</v>
      </c>
      <c r="T402" s="149">
        <f t="shared" si="244"/>
        <v>-1.1175870895385742E-8</v>
      </c>
      <c r="U402" s="149">
        <f t="shared" si="244"/>
        <v>-1.7508864402770996E-7</v>
      </c>
      <c r="V402" s="149">
        <f t="shared" si="244"/>
        <v>3.3527612686157227E-8</v>
      </c>
      <c r="W402" s="149">
        <f t="shared" si="244"/>
        <v>5.5879354476928711E-8</v>
      </c>
      <c r="X402" s="149">
        <f t="shared" si="244"/>
        <v>-1.3411045074462891E-7</v>
      </c>
      <c r="Y402" s="149">
        <f t="shared" si="244"/>
        <v>8.9406967163085938E-8</v>
      </c>
      <c r="Z402" s="149">
        <f t="shared" si="244"/>
        <v>5.9604644775390625E-8</v>
      </c>
      <c r="AA402" s="149">
        <f t="shared" si="244"/>
        <v>-2.9802322387695313E-8</v>
      </c>
      <c r="AB402" s="149">
        <f t="shared" si="244"/>
        <v>1.4528632164001465E-7</v>
      </c>
      <c r="AC402" s="149">
        <f t="shared" si="244"/>
        <v>3.7252902984619141E-9</v>
      </c>
      <c r="AD402" s="149">
        <f t="shared" si="244"/>
        <v>1.2665987014770508E-7</v>
      </c>
      <c r="AE402" s="149">
        <f t="shared" si="244"/>
        <v>5.9604644775390625E-8</v>
      </c>
      <c r="AF402" s="149">
        <f t="shared" si="244"/>
        <v>-1.1175870895385742E-8</v>
      </c>
      <c r="AG402" s="149">
        <f t="shared" si="244"/>
        <v>1.862645149230957E-8</v>
      </c>
    </row>
    <row r="403" spans="1:33" ht="14.25" customHeight="1" x14ac:dyDescent="0.35">
      <c r="A403" s="21"/>
      <c r="B403" s="21"/>
      <c r="C403" s="21"/>
      <c r="D403" s="128" t="s">
        <v>4082</v>
      </c>
      <c r="E403" s="128"/>
      <c r="F403" s="21"/>
      <c r="G403" s="21"/>
      <c r="H403" s="21"/>
      <c r="I403" s="22" t="s">
        <v>3900</v>
      </c>
      <c r="J403" s="132">
        <f t="shared" ref="J403:AG403" si="245">MIN(0,J266)+MIN(0,J282)+MIN(0,J298)+MIN(0,J314)+MIN(0,J330)+MIN(0,J346)+MIN(0,J362)+MIN(0,J378)+MIN(0,J394)</f>
        <v>0</v>
      </c>
      <c r="K403" s="132">
        <f t="shared" si="245"/>
        <v>0</v>
      </c>
      <c r="L403" s="132">
        <f t="shared" si="245"/>
        <v>0</v>
      </c>
      <c r="M403" s="132">
        <f t="shared" si="245"/>
        <v>0</v>
      </c>
      <c r="N403" s="132">
        <f t="shared" si="245"/>
        <v>0</v>
      </c>
      <c r="O403" s="132">
        <f t="shared" si="245"/>
        <v>0</v>
      </c>
      <c r="P403" s="132">
        <f t="shared" si="245"/>
        <v>0</v>
      </c>
      <c r="Q403" s="132">
        <f t="shared" si="245"/>
        <v>0</v>
      </c>
      <c r="R403" s="140">
        <f t="shared" si="245"/>
        <v>0</v>
      </c>
      <c r="S403" s="140">
        <f t="shared" si="245"/>
        <v>0</v>
      </c>
      <c r="T403" s="140">
        <f t="shared" si="245"/>
        <v>0</v>
      </c>
      <c r="U403" s="140">
        <f t="shared" si="245"/>
        <v>0</v>
      </c>
      <c r="V403" s="140">
        <f t="shared" si="245"/>
        <v>0</v>
      </c>
      <c r="W403" s="140">
        <f t="shared" si="245"/>
        <v>0</v>
      </c>
      <c r="X403" s="140">
        <f t="shared" si="245"/>
        <v>0</v>
      </c>
      <c r="Y403" s="140">
        <f t="shared" si="245"/>
        <v>0</v>
      </c>
      <c r="Z403" s="140">
        <f t="shared" si="245"/>
        <v>0</v>
      </c>
      <c r="AA403" s="140">
        <f t="shared" si="245"/>
        <v>0</v>
      </c>
      <c r="AB403" s="140">
        <f t="shared" si="245"/>
        <v>0</v>
      </c>
      <c r="AC403" s="140">
        <f t="shared" si="245"/>
        <v>0</v>
      </c>
      <c r="AD403" s="140">
        <f t="shared" si="245"/>
        <v>0</v>
      </c>
      <c r="AE403" s="140">
        <f t="shared" si="245"/>
        <v>0</v>
      </c>
      <c r="AF403" s="140">
        <f t="shared" si="245"/>
        <v>0</v>
      </c>
      <c r="AG403" s="140">
        <f t="shared" si="245"/>
        <v>0</v>
      </c>
    </row>
    <row r="404" spans="1:33" ht="14.25" customHeight="1" x14ac:dyDescent="0.35">
      <c r="A404" s="21"/>
      <c r="B404" s="21"/>
      <c r="C404" s="21"/>
      <c r="D404" s="128" t="s">
        <v>4083</v>
      </c>
      <c r="E404" s="128"/>
      <c r="F404" s="21"/>
      <c r="G404" s="21"/>
      <c r="H404" s="21"/>
      <c r="I404" s="22" t="s">
        <v>4060</v>
      </c>
      <c r="J404" s="148">
        <f t="shared" ref="J404:AG404" si="246">J272+J288+J304+J320+J336+J352+J368+J384+J400</f>
        <v>213233234.19</v>
      </c>
      <c r="K404" s="148">
        <f t="shared" si="246"/>
        <v>439060010.78999996</v>
      </c>
      <c r="L404" s="148">
        <f t="shared" si="246"/>
        <v>560556029.12999988</v>
      </c>
      <c r="M404" s="148">
        <f t="shared" si="246"/>
        <v>560831423.96000004</v>
      </c>
      <c r="N404" s="148">
        <f t="shared" si="246"/>
        <v>813258118.20000005</v>
      </c>
      <c r="O404" s="148">
        <f t="shared" si="246"/>
        <v>519949956.44999999</v>
      </c>
      <c r="P404" s="148">
        <f t="shared" si="246"/>
        <v>752544897.35000014</v>
      </c>
      <c r="Q404" s="148">
        <f t="shared" si="246"/>
        <v>507366538.74999994</v>
      </c>
      <c r="R404" s="149">
        <f t="shared" si="246"/>
        <v>576163001.86516809</v>
      </c>
      <c r="S404" s="149">
        <f t="shared" si="246"/>
        <v>555607162.41954005</v>
      </c>
      <c r="T404" s="149">
        <f t="shared" si="246"/>
        <v>550668662.65788889</v>
      </c>
      <c r="U404" s="149">
        <f t="shared" si="246"/>
        <v>548788827.53095901</v>
      </c>
      <c r="V404" s="149">
        <f t="shared" si="246"/>
        <v>547415044.04231</v>
      </c>
      <c r="W404" s="149">
        <f t="shared" si="246"/>
        <v>546276600.85529017</v>
      </c>
      <c r="X404" s="149">
        <f t="shared" si="246"/>
        <v>545746921.80842423</v>
      </c>
      <c r="Y404" s="149">
        <f t="shared" si="246"/>
        <v>545304855.92975545</v>
      </c>
      <c r="Z404" s="149">
        <f t="shared" si="246"/>
        <v>544965198.4226656</v>
      </c>
      <c r="AA404" s="149">
        <f t="shared" si="246"/>
        <v>544767516.44006824</v>
      </c>
      <c r="AB404" s="149">
        <f t="shared" si="246"/>
        <v>544603416.52895308</v>
      </c>
      <c r="AC404" s="149">
        <f t="shared" si="246"/>
        <v>544482399.63686442</v>
      </c>
      <c r="AD404" s="149">
        <f t="shared" si="246"/>
        <v>544401324.07533276</v>
      </c>
      <c r="AE404" s="149">
        <f t="shared" si="246"/>
        <v>544336615.70326591</v>
      </c>
      <c r="AF404" s="149">
        <f t="shared" si="246"/>
        <v>544289318.15875077</v>
      </c>
      <c r="AG404" s="149">
        <f t="shared" si="246"/>
        <v>544255418.82314146</v>
      </c>
    </row>
    <row r="405" spans="1:33" ht="14.25" customHeight="1" x14ac:dyDescent="0.35">
      <c r="A405" s="21"/>
      <c r="B405" s="21"/>
      <c r="C405" s="21"/>
      <c r="D405" s="128" t="s">
        <v>4084</v>
      </c>
      <c r="E405" s="128"/>
      <c r="F405" s="21"/>
      <c r="G405" s="21"/>
      <c r="H405" s="21"/>
      <c r="I405" s="22" t="s">
        <v>4060</v>
      </c>
      <c r="J405" s="148">
        <v>167778969.93000001</v>
      </c>
      <c r="K405" s="148">
        <v>153702189.31999999</v>
      </c>
      <c r="L405" s="148">
        <v>153924301.55000001</v>
      </c>
      <c r="M405" s="148">
        <v>180241175.90000001</v>
      </c>
      <c r="N405" s="148">
        <v>165589825.36000001</v>
      </c>
      <c r="O405" s="148">
        <v>141065563.19</v>
      </c>
      <c r="P405" s="148">
        <v>226537640.52000001</v>
      </c>
      <c r="Q405" s="148">
        <v>229410405.62</v>
      </c>
      <c r="R405" s="149">
        <v>229410405.62</v>
      </c>
      <c r="S405" s="149">
        <v>229410405.62</v>
      </c>
      <c r="T405" s="149">
        <v>229410405.62</v>
      </c>
      <c r="U405" s="149">
        <v>229410405.62</v>
      </c>
      <c r="V405" s="149">
        <v>229410405.62</v>
      </c>
      <c r="W405" s="149">
        <v>229410405.62</v>
      </c>
      <c r="X405" s="149">
        <v>229410405.62</v>
      </c>
      <c r="Y405" s="149">
        <v>229410405.62</v>
      </c>
      <c r="Z405" s="149">
        <v>229410405.62</v>
      </c>
      <c r="AA405" s="149">
        <v>229410405.62</v>
      </c>
      <c r="AB405" s="149">
        <v>229410405.62</v>
      </c>
      <c r="AC405" s="149">
        <v>229410405.62</v>
      </c>
      <c r="AD405" s="149">
        <v>229410405.62</v>
      </c>
      <c r="AE405" s="149">
        <v>229410405.62</v>
      </c>
      <c r="AF405" s="149">
        <v>229410405.62</v>
      </c>
      <c r="AG405" s="149">
        <v>229410405.62</v>
      </c>
    </row>
    <row r="406" spans="1:33" ht="14.25" customHeight="1" x14ac:dyDescent="0.35">
      <c r="A406" s="21"/>
      <c r="B406" s="21"/>
      <c r="C406" s="21"/>
      <c r="D406" s="128" t="s">
        <v>4085</v>
      </c>
      <c r="E406" s="128"/>
      <c r="F406" s="21"/>
      <c r="G406" s="21"/>
      <c r="H406" s="21"/>
      <c r="I406" s="22" t="s">
        <v>4060</v>
      </c>
      <c r="J406" s="148">
        <f>'BS Actual MTM - Aug 26'!E46-J404-J405</f>
        <v>78230305.609999001</v>
      </c>
      <c r="K406" s="148">
        <f>'BS Actual MTM - Aug 26'!F46-K404-K405</f>
        <v>77090304.269998014</v>
      </c>
      <c r="L406" s="148">
        <f>'BS Actual MTM - Aug 26'!G46-L404-L405</f>
        <v>77090304.259999096</v>
      </c>
      <c r="M406" s="148">
        <f>'BS Actual MTM - Aug 26'!H46-M404-M405</f>
        <v>77090218.039998978</v>
      </c>
      <c r="N406" s="148">
        <f>'BS Actual MTM - Aug 26'!I46-N404-N405</f>
        <v>77090216.279999971</v>
      </c>
      <c r="O406" s="148">
        <f>'BS Actual MTM - Aug 26'!J46-O404-O405</f>
        <v>77090216.259999037</v>
      </c>
      <c r="P406" s="148">
        <f>'BS Actual MTM - Aug 26'!K46-P404-P405</f>
        <v>2230247.8499978483</v>
      </c>
      <c r="Q406" s="148">
        <f>'BS Actual MTM - Aug 26'!L46-Q404-Q405</f>
        <v>2230248.169999063</v>
      </c>
      <c r="R406" s="149">
        <v>0</v>
      </c>
      <c r="S406" s="149">
        <v>0</v>
      </c>
      <c r="T406" s="149">
        <v>0</v>
      </c>
      <c r="U406" s="149">
        <v>0</v>
      </c>
      <c r="V406" s="149">
        <v>0</v>
      </c>
      <c r="W406" s="149">
        <v>0</v>
      </c>
      <c r="X406" s="149">
        <v>0</v>
      </c>
      <c r="Y406" s="149">
        <v>0</v>
      </c>
      <c r="Z406" s="149">
        <v>0</v>
      </c>
      <c r="AA406" s="149">
        <v>0</v>
      </c>
      <c r="AB406" s="149">
        <v>0</v>
      </c>
      <c r="AC406" s="149">
        <v>0</v>
      </c>
      <c r="AD406" s="149">
        <v>0</v>
      </c>
      <c r="AE406" s="149">
        <v>0</v>
      </c>
      <c r="AF406" s="149">
        <v>0</v>
      </c>
      <c r="AG406" s="149">
        <v>0</v>
      </c>
    </row>
    <row r="407" spans="1:33" ht="14.25" customHeight="1" x14ac:dyDescent="0.35">
      <c r="A407" s="21"/>
      <c r="B407" s="21"/>
      <c r="C407" s="21"/>
      <c r="D407" s="128" t="s">
        <v>4086</v>
      </c>
      <c r="E407" s="128"/>
      <c r="F407" s="21"/>
      <c r="G407" s="21"/>
      <c r="H407" s="21"/>
      <c r="I407" s="22" t="s">
        <v>4060</v>
      </c>
      <c r="J407" s="148">
        <f t="shared" ref="J407:AG407" si="247">J404+J405+J406</f>
        <v>459242509.72999901</v>
      </c>
      <c r="K407" s="148">
        <f t="shared" si="247"/>
        <v>669852504.37999797</v>
      </c>
      <c r="L407" s="148">
        <f t="shared" si="247"/>
        <v>791570634.93999887</v>
      </c>
      <c r="M407" s="148">
        <f t="shared" si="247"/>
        <v>818162817.89999902</v>
      </c>
      <c r="N407" s="148">
        <f t="shared" si="247"/>
        <v>1055938159.84</v>
      </c>
      <c r="O407" s="148">
        <f t="shared" si="247"/>
        <v>738105735.89999902</v>
      </c>
      <c r="P407" s="148">
        <f t="shared" si="247"/>
        <v>981312785.719998</v>
      </c>
      <c r="Q407" s="148">
        <f t="shared" si="247"/>
        <v>739007192.53999901</v>
      </c>
      <c r="R407" s="149">
        <f t="shared" si="247"/>
        <v>805573407.4851681</v>
      </c>
      <c r="S407" s="149">
        <f t="shared" si="247"/>
        <v>785017568.03954005</v>
      </c>
      <c r="T407" s="149">
        <f t="shared" si="247"/>
        <v>780079068.27788889</v>
      </c>
      <c r="U407" s="149">
        <f t="shared" si="247"/>
        <v>778199233.15095901</v>
      </c>
      <c r="V407" s="149">
        <f t="shared" si="247"/>
        <v>776825449.66231</v>
      </c>
      <c r="W407" s="149">
        <f t="shared" si="247"/>
        <v>775687006.47529018</v>
      </c>
      <c r="X407" s="149">
        <f t="shared" si="247"/>
        <v>775157327.42842424</v>
      </c>
      <c r="Y407" s="149">
        <f t="shared" si="247"/>
        <v>774715261.54975545</v>
      </c>
      <c r="Z407" s="149">
        <f t="shared" si="247"/>
        <v>774375604.0426656</v>
      </c>
      <c r="AA407" s="149">
        <f t="shared" si="247"/>
        <v>774177922.06006825</v>
      </c>
      <c r="AB407" s="149">
        <f t="shared" si="247"/>
        <v>774013822.14895308</v>
      </c>
      <c r="AC407" s="149">
        <f t="shared" si="247"/>
        <v>773892805.25686443</v>
      </c>
      <c r="AD407" s="149">
        <f t="shared" si="247"/>
        <v>773811729.69533277</v>
      </c>
      <c r="AE407" s="149">
        <f t="shared" si="247"/>
        <v>773747021.32326591</v>
      </c>
      <c r="AF407" s="149">
        <f t="shared" si="247"/>
        <v>773699723.77875078</v>
      </c>
      <c r="AG407" s="149">
        <f t="shared" si="247"/>
        <v>773665824.44314146</v>
      </c>
    </row>
    <row r="408" spans="1:33" ht="14.25" customHeight="1" x14ac:dyDescent="0.35">
      <c r="A408" s="119">
        <v>6</v>
      </c>
      <c r="B408" s="119" t="s">
        <v>4038</v>
      </c>
      <c r="C408" s="119"/>
      <c r="D408" s="119"/>
      <c r="E408" s="119"/>
      <c r="F408" s="119"/>
      <c r="G408" s="119"/>
      <c r="H408" s="119"/>
      <c r="I408" s="120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  <c r="AA408" s="121"/>
      <c r="AB408" s="121"/>
      <c r="AC408" s="121"/>
      <c r="AD408" s="121"/>
      <c r="AE408" s="121"/>
      <c r="AF408" s="121"/>
      <c r="AG408" s="121"/>
    </row>
    <row r="409" spans="1:33" ht="14.25" customHeight="1" x14ac:dyDescent="0.35">
      <c r="A409" s="21"/>
      <c r="B409" s="169" t="s">
        <v>4087</v>
      </c>
      <c r="C409" s="21" t="s">
        <v>4088</v>
      </c>
      <c r="D409" s="21"/>
      <c r="E409" s="21"/>
      <c r="F409" s="21"/>
      <c r="G409" s="21"/>
      <c r="H409" s="21"/>
      <c r="I409" s="22"/>
      <c r="J409" s="21"/>
      <c r="K409" s="21"/>
      <c r="L409" s="21"/>
      <c r="M409" s="21"/>
      <c r="N409" s="21"/>
      <c r="O409" s="21"/>
      <c r="P409" s="60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</row>
    <row r="410" spans="1:33" ht="14.25" customHeight="1" x14ac:dyDescent="0.35">
      <c r="A410" s="21"/>
      <c r="B410" s="169"/>
      <c r="C410" s="21" t="s">
        <v>4089</v>
      </c>
      <c r="D410" s="21" t="s">
        <v>4090</v>
      </c>
      <c r="E410" s="21"/>
      <c r="F410" s="21"/>
      <c r="G410" s="21"/>
      <c r="H410" s="21"/>
      <c r="I410" s="22"/>
      <c r="J410" s="21"/>
      <c r="K410" s="21"/>
      <c r="L410" s="21"/>
      <c r="M410" s="21"/>
      <c r="N410" s="21"/>
      <c r="O410" s="21"/>
      <c r="P410" s="60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</row>
    <row r="411" spans="1:33" ht="14.25" customHeight="1" x14ac:dyDescent="0.35">
      <c r="A411" s="21"/>
      <c r="B411" s="21"/>
      <c r="C411" s="21"/>
      <c r="D411" s="128" t="s">
        <v>4091</v>
      </c>
      <c r="E411" s="128"/>
      <c r="F411" s="21"/>
      <c r="G411" s="21"/>
      <c r="H411" s="21"/>
      <c r="I411" s="22" t="s">
        <v>13</v>
      </c>
      <c r="J411" s="142">
        <v>0.94985816147029301</v>
      </c>
      <c r="K411" s="142">
        <v>0.94399247951376997</v>
      </c>
      <c r="L411" s="142">
        <v>0.94147693562740997</v>
      </c>
      <c r="M411" s="142">
        <v>0.92845785681898296</v>
      </c>
      <c r="N411" s="142">
        <v>0.92937268717035704</v>
      </c>
      <c r="O411" s="142">
        <v>0.93423606902508205</v>
      </c>
      <c r="P411" s="142">
        <v>0.92220393813208501</v>
      </c>
      <c r="Q411" s="142">
        <v>0.93217976835789396</v>
      </c>
      <c r="R411" s="126">
        <f>'Input Operasional'!Q31-R414</f>
        <v>0.92953992517168693</v>
      </c>
      <c r="S411" s="126">
        <f>'Input Operasional'!R31-S414</f>
        <v>0.92797454388722189</v>
      </c>
      <c r="T411" s="126">
        <f>'Input Operasional'!S31-T414</f>
        <v>0.92989807913893419</v>
      </c>
      <c r="U411" s="126">
        <f>'Input Operasional'!T31-U414</f>
        <v>0.92913751606594763</v>
      </c>
      <c r="V411" s="126">
        <f>'Input Operasional'!U31-V414</f>
        <v>0.9290033796973679</v>
      </c>
      <c r="W411" s="126">
        <f>'Input Operasional'!V31-W414</f>
        <v>0.92934632496741665</v>
      </c>
      <c r="X411" s="126">
        <f>'Input Operasional'!W31-X414</f>
        <v>0.9291624069102441</v>
      </c>
      <c r="Y411" s="126">
        <f>'Input Operasional'!X31-Y414</f>
        <v>0.92917070385834288</v>
      </c>
      <c r="Z411" s="126">
        <f>'Input Operasional'!Y31-Z414</f>
        <v>0.9292264785786678</v>
      </c>
      <c r="AA411" s="126">
        <f>'Input Operasional'!Z31-AA414</f>
        <v>0.92918652978241834</v>
      </c>
      <c r="AB411" s="126">
        <f>'Input Operasional'!AA31-AB414</f>
        <v>0.9291945707398096</v>
      </c>
      <c r="AC411" s="126">
        <f>'Input Operasional'!AB31-AC414</f>
        <v>0.92920252636696521</v>
      </c>
      <c r="AD411" s="126">
        <f>'Input Operasional'!AC31-AD414</f>
        <v>0.92919454229639775</v>
      </c>
      <c r="AE411" s="126">
        <f>'Input Operasional'!AD31-AE414</f>
        <v>0.92919721313439085</v>
      </c>
      <c r="AF411" s="126">
        <f>'Input Operasional'!AE31-AF414</f>
        <v>0.92919809393258468</v>
      </c>
      <c r="AG411" s="126">
        <f>'Input Operasional'!AF31-AG414</f>
        <v>0.92919661645445784</v>
      </c>
    </row>
    <row r="412" spans="1:33" ht="14.25" customHeight="1" x14ac:dyDescent="0.35">
      <c r="A412" s="21"/>
      <c r="B412" s="21"/>
      <c r="C412" s="21"/>
      <c r="D412" s="128" t="s">
        <v>38</v>
      </c>
      <c r="E412" s="128"/>
      <c r="F412" s="21"/>
      <c r="G412" s="21"/>
      <c r="H412" s="21"/>
      <c r="I412" s="22" t="s">
        <v>13</v>
      </c>
      <c r="J412" s="142">
        <v>2.2825443129389101E-2</v>
      </c>
      <c r="K412" s="142">
        <v>2.7377053057266901E-2</v>
      </c>
      <c r="L412" s="142">
        <v>2.93181612990598E-2</v>
      </c>
      <c r="M412" s="142">
        <v>3.9903269686130297E-2</v>
      </c>
      <c r="N412" s="142">
        <v>3.7846550495609602E-2</v>
      </c>
      <c r="O412" s="142">
        <v>3.86113988678497E-2</v>
      </c>
      <c r="P412" s="142">
        <v>4.4115519902525199E-2</v>
      </c>
      <c r="Q412" s="142">
        <v>4.0357658933037999E-2</v>
      </c>
      <c r="R412" s="126">
        <f>'Input Operasional'!Q32</f>
        <v>3.5044381921358572E-2</v>
      </c>
      <c r="S412" s="126">
        <f>'Input Operasional'!R32</f>
        <v>3.657174927035476E-2</v>
      </c>
      <c r="T412" s="126">
        <f>'Input Operasional'!S32</f>
        <v>3.7721086296990745E-2</v>
      </c>
      <c r="U412" s="126">
        <f>'Input Operasional'!T32</f>
        <v>3.8771451921732106E-2</v>
      </c>
      <c r="V412" s="126">
        <f>'Input Operasional'!U32</f>
        <v>3.8629974701182332E-2</v>
      </c>
      <c r="W412" s="126">
        <f>'Input Operasional'!V32</f>
        <v>3.8727902726878927E-2</v>
      </c>
      <c r="X412" s="126">
        <f>'Input Operasional'!W32</f>
        <v>3.874246570925758E-2</v>
      </c>
      <c r="Y412" s="126">
        <f>'Input Operasional'!X32</f>
        <v>3.8070833935099135E-2</v>
      </c>
      <c r="Z412" s="126">
        <f>'Input Operasional'!Y32</f>
        <v>3.7784980810356777E-2</v>
      </c>
      <c r="AA412" s="126">
        <f>'Input Operasional'!Z32</f>
        <v>3.8127555671481544E-2</v>
      </c>
      <c r="AB412" s="126">
        <f>'Input Operasional'!AA32</f>
        <v>3.8322031471622386E-2</v>
      </c>
      <c r="AC412" s="126">
        <f>'Input Operasional'!AB32</f>
        <v>3.8397149618451351E-2</v>
      </c>
      <c r="AD412" s="126">
        <f>'Input Operasional'!AC32</f>
        <v>3.8350361830541253E-2</v>
      </c>
      <c r="AE412" s="126">
        <f>'Input Operasional'!AD32</f>
        <v>3.8315410221711116E-2</v>
      </c>
      <c r="AF412" s="126">
        <f>'Input Operasional'!AE32</f>
        <v>3.8263848658565136E-2</v>
      </c>
      <c r="AG412" s="126">
        <f>'Input Operasional'!AF32</f>
        <v>3.8204021527228585E-2</v>
      </c>
    </row>
    <row r="413" spans="1:33" ht="14.25" customHeight="1" x14ac:dyDescent="0.35">
      <c r="A413" s="21"/>
      <c r="B413" s="21"/>
      <c r="C413" s="21"/>
      <c r="D413" s="128" t="s">
        <v>4092</v>
      </c>
      <c r="E413" s="128"/>
      <c r="F413" s="21"/>
      <c r="G413" s="21"/>
      <c r="H413" s="21"/>
      <c r="I413" s="22" t="s">
        <v>13</v>
      </c>
      <c r="J413" s="142">
        <v>2.7316395400318199E-2</v>
      </c>
      <c r="K413" s="142">
        <v>2.8630467428963299E-2</v>
      </c>
      <c r="L413" s="142">
        <v>2.9204903073529999E-2</v>
      </c>
      <c r="M413" s="142">
        <v>3.1638873494886401E-2</v>
      </c>
      <c r="N413" s="142">
        <v>3.2780762334033799E-2</v>
      </c>
      <c r="O413" s="142">
        <v>2.71525321070685E-2</v>
      </c>
      <c r="P413" s="142">
        <v>3.3680541965390297E-2</v>
      </c>
      <c r="Q413" s="142">
        <v>2.7462572709068399E-2</v>
      </c>
      <c r="R413" s="126">
        <f>'Input Operasional'!Q33</f>
        <v>3.5415692906954455E-2</v>
      </c>
      <c r="S413" s="126">
        <f>'Input Operasional'!R33</f>
        <v>3.5453706842423327E-2</v>
      </c>
      <c r="T413" s="126">
        <f>'Input Operasional'!S33</f>
        <v>3.2380834564075034E-2</v>
      </c>
      <c r="U413" s="126">
        <f>'Input Operasional'!T33</f>
        <v>3.209103201232022E-2</v>
      </c>
      <c r="V413" s="126">
        <f>'Input Operasional'!U33</f>
        <v>3.2366645601449751E-2</v>
      </c>
      <c r="W413" s="126">
        <f>'Input Operasional'!V33</f>
        <v>3.1925772305704481E-2</v>
      </c>
      <c r="X413" s="126">
        <f>'Input Operasional'!W33</f>
        <v>3.2095127380498356E-2</v>
      </c>
      <c r="Y413" s="126">
        <f>'Input Operasional'!X33</f>
        <v>3.2758462206557981E-2</v>
      </c>
      <c r="Z413" s="126">
        <f>'Input Operasional'!Y33</f>
        <v>3.2988540610975448E-2</v>
      </c>
      <c r="AA413" s="126">
        <f>'Input Operasional'!Z33</f>
        <v>3.2685914546100148E-2</v>
      </c>
      <c r="AB413" s="126">
        <f>'Input Operasional'!AA33</f>
        <v>3.2483397788568014E-2</v>
      </c>
      <c r="AC413" s="126">
        <f>'Input Operasional'!AB33</f>
        <v>3.2400324014583481E-2</v>
      </c>
      <c r="AD413" s="126">
        <f>'Input Operasional'!AC33</f>
        <v>3.2455095873060946E-2</v>
      </c>
      <c r="AE413" s="126">
        <f>'Input Operasional'!AD33</f>
        <v>3.2487376643898003E-2</v>
      </c>
      <c r="AF413" s="126">
        <f>'Input Operasional'!AE33</f>
        <v>3.2538057408850185E-2</v>
      </c>
      <c r="AG413" s="126">
        <f>'Input Operasional'!AF33</f>
        <v>3.2599362018313593E-2</v>
      </c>
    </row>
    <row r="414" spans="1:33" ht="14.25" customHeight="1" x14ac:dyDescent="0.35">
      <c r="A414" s="21"/>
      <c r="B414" s="21"/>
      <c r="C414" s="21"/>
      <c r="D414" s="128" t="s">
        <v>4093</v>
      </c>
      <c r="E414" s="128"/>
      <c r="F414" s="21"/>
      <c r="G414" s="21"/>
      <c r="H414" s="21"/>
      <c r="I414" s="22" t="s">
        <v>13</v>
      </c>
      <c r="J414" s="142">
        <f>'Input Operasional'!I41</f>
        <v>0</v>
      </c>
      <c r="K414" s="142">
        <f>'Input Operasional'!J41</f>
        <v>0</v>
      </c>
      <c r="L414" s="142">
        <f>'Input Operasional'!K41</f>
        <v>0</v>
      </c>
      <c r="M414" s="142">
        <f>'Input Operasional'!L41</f>
        <v>0</v>
      </c>
      <c r="N414" s="142">
        <f>'Input Operasional'!M41</f>
        <v>0</v>
      </c>
      <c r="O414" s="142">
        <f>'Input Operasional'!N41</f>
        <v>0</v>
      </c>
      <c r="P414" s="142">
        <f>'Input Operasional'!O41</f>
        <v>0</v>
      </c>
      <c r="Q414" s="142">
        <f>'Input Operasional'!P41</f>
        <v>0</v>
      </c>
      <c r="R414" s="126">
        <v>0</v>
      </c>
      <c r="S414" s="126">
        <v>0</v>
      </c>
      <c r="T414" s="126">
        <v>0</v>
      </c>
      <c r="U414" s="126">
        <v>0</v>
      </c>
      <c r="V414" s="126">
        <v>0</v>
      </c>
      <c r="W414" s="126">
        <v>0</v>
      </c>
      <c r="X414" s="126">
        <v>0</v>
      </c>
      <c r="Y414" s="126">
        <v>0</v>
      </c>
      <c r="Z414" s="126">
        <v>0</v>
      </c>
      <c r="AA414" s="126">
        <v>0</v>
      </c>
      <c r="AB414" s="126">
        <v>0</v>
      </c>
      <c r="AC414" s="126">
        <v>0</v>
      </c>
      <c r="AD414" s="126">
        <v>0</v>
      </c>
      <c r="AE414" s="126">
        <v>0</v>
      </c>
      <c r="AF414" s="126">
        <v>0</v>
      </c>
      <c r="AG414" s="126">
        <v>0</v>
      </c>
    </row>
    <row r="415" spans="1:33" ht="14.25" customHeight="1" x14ac:dyDescent="0.35">
      <c r="A415" s="21"/>
      <c r="B415" s="21"/>
      <c r="C415" s="21"/>
      <c r="D415" s="128" t="s">
        <v>4094</v>
      </c>
      <c r="E415" s="128"/>
      <c r="F415" s="21"/>
      <c r="G415" s="21"/>
      <c r="H415" s="21"/>
      <c r="I415" s="22" t="s">
        <v>13</v>
      </c>
      <c r="J415" s="170">
        <f t="shared" ref="J415:Q415" si="248">IF(SUM(J411:J413)=0,0,SUM(J411:J413)-1)</f>
        <v>2.2204460492503131E-16</v>
      </c>
      <c r="K415" s="170">
        <f t="shared" si="248"/>
        <v>2.2204460492503131E-16</v>
      </c>
      <c r="L415" s="170">
        <f t="shared" si="248"/>
        <v>-2.2204460492503131E-16</v>
      </c>
      <c r="M415" s="170">
        <f t="shared" si="248"/>
        <v>-3.3306690738754696E-16</v>
      </c>
      <c r="N415" s="170">
        <f t="shared" si="248"/>
        <v>4.4408920985006262E-16</v>
      </c>
      <c r="O415" s="170">
        <f t="shared" si="248"/>
        <v>2.2204460492503131E-16</v>
      </c>
      <c r="P415" s="170">
        <f t="shared" si="248"/>
        <v>4.4408920985006262E-16</v>
      </c>
      <c r="Q415" s="170">
        <f t="shared" si="248"/>
        <v>4.4408920985006262E-16</v>
      </c>
      <c r="R415" s="171">
        <f t="shared" ref="R415:AG415" si="249">1-SUM(R411:R414)</f>
        <v>0</v>
      </c>
      <c r="S415" s="171">
        <f t="shared" si="249"/>
        <v>0</v>
      </c>
      <c r="T415" s="171">
        <f t="shared" si="249"/>
        <v>0</v>
      </c>
      <c r="U415" s="171">
        <f t="shared" si="249"/>
        <v>0</v>
      </c>
      <c r="V415" s="171">
        <f t="shared" si="249"/>
        <v>0</v>
      </c>
      <c r="W415" s="171">
        <f t="shared" si="249"/>
        <v>0</v>
      </c>
      <c r="X415" s="171">
        <f t="shared" si="249"/>
        <v>0</v>
      </c>
      <c r="Y415" s="171">
        <f t="shared" si="249"/>
        <v>0</v>
      </c>
      <c r="Z415" s="171">
        <f t="shared" si="249"/>
        <v>0</v>
      </c>
      <c r="AA415" s="171">
        <f t="shared" si="249"/>
        <v>0</v>
      </c>
      <c r="AB415" s="171">
        <f t="shared" si="249"/>
        <v>0</v>
      </c>
      <c r="AC415" s="171">
        <f t="shared" si="249"/>
        <v>0</v>
      </c>
      <c r="AD415" s="171">
        <f t="shared" si="249"/>
        <v>0</v>
      </c>
      <c r="AE415" s="171">
        <f t="shared" si="249"/>
        <v>0</v>
      </c>
      <c r="AF415" s="171">
        <f t="shared" si="249"/>
        <v>0</v>
      </c>
      <c r="AG415" s="171">
        <f t="shared" si="249"/>
        <v>0</v>
      </c>
    </row>
    <row r="416" spans="1:33" ht="14.25" customHeight="1" x14ac:dyDescent="0.35">
      <c r="A416" s="21"/>
      <c r="B416" s="21"/>
      <c r="C416" s="21" t="s">
        <v>4095</v>
      </c>
      <c r="D416" s="128" t="s">
        <v>4096</v>
      </c>
      <c r="E416" s="128"/>
      <c r="F416" s="21"/>
      <c r="G416" s="21"/>
      <c r="H416" s="21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</row>
    <row r="417" spans="1:33" ht="14.25" customHeight="1" x14ac:dyDescent="0.35">
      <c r="A417" s="21"/>
      <c r="B417" s="21"/>
      <c r="C417" s="21"/>
      <c r="D417" s="128" t="s">
        <v>4097</v>
      </c>
      <c r="E417" s="128"/>
      <c r="F417" s="21"/>
      <c r="G417" s="21"/>
      <c r="H417" s="21"/>
      <c r="I417" s="22" t="s">
        <v>3900</v>
      </c>
      <c r="J417" s="172"/>
      <c r="K417" s="172"/>
      <c r="L417" s="172"/>
      <c r="M417" s="172"/>
      <c r="N417" s="172"/>
      <c r="O417" s="172"/>
      <c r="P417" s="172"/>
      <c r="Q417" s="172"/>
      <c r="R417" s="140">
        <f>'Input Operasional'!Q9</f>
        <v>278373.51664254075</v>
      </c>
      <c r="S417" s="140">
        <f>'Input Operasional'!R9</f>
        <v>278373.51664254075</v>
      </c>
      <c r="T417" s="140">
        <f>'Input Operasional'!S9</f>
        <v>278373.51664254075</v>
      </c>
      <c r="U417" s="140">
        <f>'Input Operasional'!T9</f>
        <v>278373.51664254075</v>
      </c>
      <c r="V417" s="140">
        <f>'Input Operasional'!U9</f>
        <v>278373.51664254075</v>
      </c>
      <c r="W417" s="140">
        <f>'Input Operasional'!V9</f>
        <v>278373.51664254075</v>
      </c>
      <c r="X417" s="140">
        <f>'Input Operasional'!W9</f>
        <v>278373.51664254075</v>
      </c>
      <c r="Y417" s="140">
        <f>'Input Operasional'!X9</f>
        <v>278373.51664254075</v>
      </c>
      <c r="Z417" s="140">
        <f>'Input Operasional'!Y9</f>
        <v>278373.51664254075</v>
      </c>
      <c r="AA417" s="140">
        <f>'Input Operasional'!Z9</f>
        <v>278373.51664254075</v>
      </c>
      <c r="AB417" s="140">
        <f>'Input Operasional'!AA9</f>
        <v>278373.51664254075</v>
      </c>
      <c r="AC417" s="140">
        <f>'Input Operasional'!AB9</f>
        <v>278373.51664254075</v>
      </c>
      <c r="AD417" s="140">
        <f>'Input Operasional'!AC9</f>
        <v>278373.51664254075</v>
      </c>
      <c r="AE417" s="140">
        <f>'Input Operasional'!AD9</f>
        <v>278373.51664254075</v>
      </c>
      <c r="AF417" s="140">
        <f>'Input Operasional'!AE9</f>
        <v>278373.51664254075</v>
      </c>
      <c r="AG417" s="140">
        <f>'Input Operasional'!AF9</f>
        <v>278373.51664254075</v>
      </c>
    </row>
    <row r="418" spans="1:33" ht="14.25" customHeight="1" x14ac:dyDescent="0.35">
      <c r="A418" s="21"/>
      <c r="B418" s="21"/>
      <c r="C418" s="21"/>
      <c r="D418" s="128" t="s">
        <v>38</v>
      </c>
      <c r="E418" s="128"/>
      <c r="F418" s="21"/>
      <c r="G418" s="21"/>
      <c r="H418" s="21"/>
      <c r="I418" s="22" t="s">
        <v>3900</v>
      </c>
      <c r="J418" s="172"/>
      <c r="K418" s="172"/>
      <c r="L418" s="172"/>
      <c r="M418" s="172"/>
      <c r="N418" s="172"/>
      <c r="O418" s="172"/>
      <c r="P418" s="172"/>
      <c r="Q418" s="172"/>
      <c r="R418" s="140">
        <f>R417/R411*R412</f>
        <v>10494.899218246088</v>
      </c>
      <c r="S418" s="140">
        <f t="shared" ref="S418:AG418" si="250">S417/S411*S412</f>
        <v>10970.782034076134</v>
      </c>
      <c r="T418" s="140">
        <f t="shared" si="250"/>
        <v>11292.153064552362</v>
      </c>
      <c r="U418" s="140">
        <f t="shared" si="250"/>
        <v>11616.090438892263</v>
      </c>
      <c r="V418" s="140">
        <f t="shared" si="250"/>
        <v>11575.37436395935</v>
      </c>
      <c r="W418" s="140">
        <f t="shared" si="250"/>
        <v>11600.435902783078</v>
      </c>
      <c r="X418" s="140">
        <f t="shared" si="250"/>
        <v>11607.095102730395</v>
      </c>
      <c r="Y418" s="140">
        <f t="shared" si="250"/>
        <v>11405.774934595262</v>
      </c>
      <c r="Z418" s="140">
        <f t="shared" si="250"/>
        <v>11319.455726809079</v>
      </c>
      <c r="AA418" s="140">
        <f t="shared" si="250"/>
        <v>11422.573846114525</v>
      </c>
      <c r="AB418" s="140">
        <f t="shared" si="250"/>
        <v>11480.737190648979</v>
      </c>
      <c r="AC418" s="140">
        <f t="shared" si="250"/>
        <v>11503.143033983573</v>
      </c>
      <c r="AD418" s="140">
        <f t="shared" si="250"/>
        <v>11489.224916127687</v>
      </c>
      <c r="AE418" s="140">
        <f t="shared" si="250"/>
        <v>11478.720915488409</v>
      </c>
      <c r="AF418" s="140">
        <f t="shared" si="250"/>
        <v>11463.26298010631</v>
      </c>
      <c r="AG418" s="140">
        <f t="shared" si="250"/>
        <v>11445.357886689202</v>
      </c>
    </row>
    <row r="419" spans="1:33" ht="14.25" customHeight="1" x14ac:dyDescent="0.35">
      <c r="A419" s="21"/>
      <c r="B419" s="21"/>
      <c r="C419" s="21"/>
      <c r="D419" s="128" t="s">
        <v>4092</v>
      </c>
      <c r="E419" s="128"/>
      <c r="F419" s="21"/>
      <c r="G419" s="21"/>
      <c r="H419" s="21"/>
      <c r="I419" s="22" t="s">
        <v>3900</v>
      </c>
      <c r="J419" s="172"/>
      <c r="K419" s="172"/>
      <c r="L419" s="172"/>
      <c r="M419" s="172"/>
      <c r="N419" s="172"/>
      <c r="O419" s="172"/>
      <c r="P419" s="172"/>
      <c r="Q419" s="172"/>
      <c r="R419" s="140">
        <f t="shared" ref="R419:AG419" si="251">R417/R411*R413</f>
        <v>10606.097394923914</v>
      </c>
      <c r="S419" s="140">
        <f t="shared" si="251"/>
        <v>10635.3920123681</v>
      </c>
      <c r="T419" s="140">
        <f t="shared" si="251"/>
        <v>9693.4997411422137</v>
      </c>
      <c r="U419" s="140">
        <f t="shared" si="251"/>
        <v>9614.6084723629538</v>
      </c>
      <c r="V419" s="140">
        <f t="shared" si="251"/>
        <v>9698.5836164917855</v>
      </c>
      <c r="W419" s="140">
        <f t="shared" si="251"/>
        <v>9562.9468471611854</v>
      </c>
      <c r="X419" s="140">
        <f t="shared" si="251"/>
        <v>9615.5778683614772</v>
      </c>
      <c r="Y419" s="140">
        <f t="shared" si="251"/>
        <v>9814.2228186647226</v>
      </c>
      <c r="Z419" s="140">
        <f t="shared" si="251"/>
        <v>9882.5596025082123</v>
      </c>
      <c r="AA419" s="140">
        <f t="shared" si="251"/>
        <v>9792.3212242498867</v>
      </c>
      <c r="AB419" s="140">
        <f t="shared" si="251"/>
        <v>9731.5653358829932</v>
      </c>
      <c r="AC419" s="140">
        <f t="shared" si="251"/>
        <v>9706.5945048188387</v>
      </c>
      <c r="AD419" s="140">
        <f t="shared" si="251"/>
        <v>9723.0867809734573</v>
      </c>
      <c r="AE419" s="140">
        <f t="shared" si="251"/>
        <v>9732.7296670923606</v>
      </c>
      <c r="AF419" s="140">
        <f t="shared" si="251"/>
        <v>9747.9036222341438</v>
      </c>
      <c r="AG419" s="140">
        <f t="shared" si="251"/>
        <v>9766.2850731936633</v>
      </c>
    </row>
    <row r="420" spans="1:33" ht="14.25" customHeight="1" x14ac:dyDescent="0.35">
      <c r="A420" s="21"/>
      <c r="B420" s="21"/>
      <c r="C420" s="21"/>
      <c r="D420" s="128" t="s">
        <v>4098</v>
      </c>
      <c r="E420" s="128"/>
      <c r="F420" s="21"/>
      <c r="G420" s="21"/>
      <c r="H420" s="21"/>
      <c r="I420" s="22" t="s">
        <v>3900</v>
      </c>
      <c r="J420" s="172"/>
      <c r="K420" s="172"/>
      <c r="L420" s="172"/>
      <c r="M420" s="172"/>
      <c r="N420" s="172"/>
      <c r="O420" s="172"/>
      <c r="P420" s="172"/>
      <c r="Q420" s="172"/>
      <c r="R420" s="140">
        <f t="shared" ref="R420:AG420" si="252">R417*R414</f>
        <v>0</v>
      </c>
      <c r="S420" s="140">
        <f t="shared" si="252"/>
        <v>0</v>
      </c>
      <c r="T420" s="140">
        <f t="shared" si="252"/>
        <v>0</v>
      </c>
      <c r="U420" s="140">
        <f t="shared" si="252"/>
        <v>0</v>
      </c>
      <c r="V420" s="140">
        <f t="shared" si="252"/>
        <v>0</v>
      </c>
      <c r="W420" s="140">
        <f t="shared" si="252"/>
        <v>0</v>
      </c>
      <c r="X420" s="140">
        <f t="shared" si="252"/>
        <v>0</v>
      </c>
      <c r="Y420" s="140">
        <f t="shared" si="252"/>
        <v>0</v>
      </c>
      <c r="Z420" s="140">
        <f t="shared" si="252"/>
        <v>0</v>
      </c>
      <c r="AA420" s="140">
        <f t="shared" si="252"/>
        <v>0</v>
      </c>
      <c r="AB420" s="140">
        <f t="shared" si="252"/>
        <v>0</v>
      </c>
      <c r="AC420" s="140">
        <f t="shared" si="252"/>
        <v>0</v>
      </c>
      <c r="AD420" s="140">
        <f t="shared" si="252"/>
        <v>0</v>
      </c>
      <c r="AE420" s="140">
        <f t="shared" si="252"/>
        <v>0</v>
      </c>
      <c r="AF420" s="140">
        <f t="shared" si="252"/>
        <v>0</v>
      </c>
      <c r="AG420" s="140">
        <f t="shared" si="252"/>
        <v>0</v>
      </c>
    </row>
    <row r="421" spans="1:33" ht="14.25" customHeight="1" x14ac:dyDescent="0.35">
      <c r="A421" s="21"/>
      <c r="B421" s="21"/>
      <c r="C421" s="21"/>
      <c r="D421" s="128" t="s">
        <v>4099</v>
      </c>
      <c r="E421" s="128"/>
      <c r="F421" s="21"/>
      <c r="G421" s="21"/>
      <c r="H421" s="21"/>
      <c r="I421" s="22" t="s">
        <v>3900</v>
      </c>
      <c r="J421" s="172">
        <v>350705.13</v>
      </c>
      <c r="K421" s="172">
        <v>338276</v>
      </c>
      <c r="L421" s="172">
        <v>248105.60000000001</v>
      </c>
      <c r="M421" s="172">
        <v>248112.5</v>
      </c>
      <c r="N421" s="172">
        <v>275771.5</v>
      </c>
      <c r="O421" s="172">
        <v>281005.09999999998</v>
      </c>
      <c r="P421" s="172">
        <v>293819.5</v>
      </c>
      <c r="Q421" s="172">
        <v>340827.5</v>
      </c>
      <c r="R421" s="140">
        <f t="shared" ref="R421:AG421" si="253">SUM(R417:R420)</f>
        <v>299474.51325571077</v>
      </c>
      <c r="S421" s="140">
        <f t="shared" si="253"/>
        <v>299979.69068898493</v>
      </c>
      <c r="T421" s="140">
        <f t="shared" si="253"/>
        <v>299359.16944823531</v>
      </c>
      <c r="U421" s="140">
        <f t="shared" si="253"/>
        <v>299604.21555379598</v>
      </c>
      <c r="V421" s="140">
        <f t="shared" si="253"/>
        <v>299647.47462299187</v>
      </c>
      <c r="W421" s="140">
        <f t="shared" si="253"/>
        <v>299536.89939248498</v>
      </c>
      <c r="X421" s="140">
        <f t="shared" si="253"/>
        <v>299596.18961363262</v>
      </c>
      <c r="Y421" s="140">
        <f t="shared" si="253"/>
        <v>299593.51439580077</v>
      </c>
      <c r="Z421" s="140">
        <f t="shared" si="253"/>
        <v>299575.53197185806</v>
      </c>
      <c r="AA421" s="140">
        <f t="shared" si="253"/>
        <v>299588.41171290516</v>
      </c>
      <c r="AB421" s="140">
        <f t="shared" si="253"/>
        <v>299585.81916907273</v>
      </c>
      <c r="AC421" s="140">
        <f t="shared" si="253"/>
        <v>299583.25418134319</v>
      </c>
      <c r="AD421" s="140">
        <f t="shared" si="253"/>
        <v>299585.82833964191</v>
      </c>
      <c r="AE421" s="140">
        <f t="shared" si="253"/>
        <v>299584.96722512157</v>
      </c>
      <c r="AF421" s="140">
        <f t="shared" si="253"/>
        <v>299584.68324488116</v>
      </c>
      <c r="AG421" s="140">
        <f t="shared" si="253"/>
        <v>299585.15960242361</v>
      </c>
    </row>
    <row r="422" spans="1:33" ht="14.25" customHeight="1" x14ac:dyDescent="0.35">
      <c r="A422" s="21"/>
      <c r="B422" s="134" t="s">
        <v>4100</v>
      </c>
      <c r="C422" s="28" t="s">
        <v>4101</v>
      </c>
      <c r="D422" s="21"/>
      <c r="E422" s="21"/>
      <c r="F422" s="21"/>
      <c r="G422" s="21"/>
      <c r="H422" s="21"/>
      <c r="I422" s="22"/>
      <c r="J422" s="3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</row>
    <row r="423" spans="1:33" ht="14.25" customHeight="1" x14ac:dyDescent="0.35">
      <c r="A423" s="21"/>
      <c r="B423" s="28"/>
      <c r="C423" s="28" t="s">
        <v>4102</v>
      </c>
      <c r="D423" s="28" t="s">
        <v>4103</v>
      </c>
      <c r="E423" s="21"/>
      <c r="F423" s="21"/>
      <c r="G423" s="21"/>
      <c r="H423" s="21"/>
      <c r="I423" s="22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</row>
    <row r="424" spans="1:33" ht="14.25" customHeight="1" x14ac:dyDescent="0.35">
      <c r="A424" s="21"/>
      <c r="B424" s="28"/>
      <c r="C424" s="21"/>
      <c r="D424" s="21" t="s">
        <v>4104</v>
      </c>
      <c r="E424" s="21"/>
      <c r="F424" s="21"/>
      <c r="G424" s="21"/>
      <c r="H424" s="21"/>
      <c r="I424" s="22" t="s">
        <v>13</v>
      </c>
      <c r="J424" s="173">
        <f>'Input Operasional'!I60</f>
        <v>3.2842462270226802</v>
      </c>
      <c r="K424" s="173">
        <f>'Input Operasional'!J60</f>
        <v>3.10046698976153</v>
      </c>
      <c r="L424" s="173">
        <f>'Input Operasional'!K60</f>
        <v>3.3701548280824198</v>
      </c>
      <c r="M424" s="173">
        <f>'Input Operasional'!L60</f>
        <v>3.32374253720893</v>
      </c>
      <c r="N424" s="173">
        <f>'Input Operasional'!M60</f>
        <v>3.33125431743309</v>
      </c>
      <c r="O424" s="173">
        <f>'Input Operasional'!N60</f>
        <v>3.19984533071769</v>
      </c>
      <c r="P424" s="173">
        <f>'Input Operasional'!O60</f>
        <v>3.1299999015159399</v>
      </c>
      <c r="Q424" s="173">
        <f>'Input Operasional'!P60</f>
        <v>3.2533552741899801</v>
      </c>
      <c r="R424" s="174">
        <f>'Input Operasional'!Q60</f>
        <v>3.2</v>
      </c>
      <c r="S424" s="174">
        <f>'Input Operasional'!R60</f>
        <v>3.2</v>
      </c>
      <c r="T424" s="174">
        <f>'Input Operasional'!S60</f>
        <v>3.2</v>
      </c>
      <c r="U424" s="174">
        <f>'Input Operasional'!T60</f>
        <v>3.2</v>
      </c>
      <c r="V424" s="174">
        <f>'Input Operasional'!U60</f>
        <v>3.2</v>
      </c>
      <c r="W424" s="174">
        <f>'Input Operasional'!V60</f>
        <v>3.2</v>
      </c>
      <c r="X424" s="174">
        <f>'Input Operasional'!W60</f>
        <v>3.2</v>
      </c>
      <c r="Y424" s="174">
        <f>'Input Operasional'!X60</f>
        <v>3.2</v>
      </c>
      <c r="Z424" s="174">
        <f>'Input Operasional'!Y60</f>
        <v>3.2</v>
      </c>
      <c r="AA424" s="174">
        <f>'Input Operasional'!Z60</f>
        <v>3.2</v>
      </c>
      <c r="AB424" s="174">
        <f>'Input Operasional'!AA60</f>
        <v>3.2</v>
      </c>
      <c r="AC424" s="174">
        <f>'Input Operasional'!AB60</f>
        <v>3.2</v>
      </c>
      <c r="AD424" s="174">
        <f>'Input Operasional'!AC60</f>
        <v>3.2</v>
      </c>
      <c r="AE424" s="174">
        <f>'Input Operasional'!AD60</f>
        <v>3.2</v>
      </c>
      <c r="AF424" s="174">
        <f>'Input Operasional'!AE60</f>
        <v>3.2</v>
      </c>
      <c r="AG424" s="174">
        <f>'Input Operasional'!AF60</f>
        <v>3.2</v>
      </c>
    </row>
    <row r="425" spans="1:33" ht="14.25" customHeight="1" x14ac:dyDescent="0.35">
      <c r="A425" s="21"/>
      <c r="B425" s="28"/>
      <c r="C425" s="28"/>
      <c r="D425" s="175" t="s">
        <v>4105</v>
      </c>
      <c r="E425" s="175"/>
      <c r="F425" s="21"/>
      <c r="G425" s="21"/>
      <c r="H425" s="21"/>
      <c r="I425" s="22" t="s">
        <v>13</v>
      </c>
      <c r="J425" s="132">
        <f t="shared" ref="J425:AG425" si="254">J421*J424</f>
        <v>1151801.9999999986</v>
      </c>
      <c r="K425" s="132">
        <f t="shared" si="254"/>
        <v>1048813.5714285714</v>
      </c>
      <c r="L425" s="132">
        <f t="shared" si="254"/>
        <v>836154.28571428568</v>
      </c>
      <c r="M425" s="132">
        <f t="shared" si="254"/>
        <v>824662.07026325061</v>
      </c>
      <c r="N425" s="132">
        <f t="shared" si="254"/>
        <v>918664.99999999942</v>
      </c>
      <c r="O425" s="132">
        <f t="shared" si="254"/>
        <v>899172.85714285751</v>
      </c>
      <c r="P425" s="132">
        <f t="shared" si="254"/>
        <v>919655.0060634627</v>
      </c>
      <c r="Q425" s="132">
        <f t="shared" si="254"/>
        <v>1108832.9447139853</v>
      </c>
      <c r="R425" s="140">
        <f t="shared" si="254"/>
        <v>958318.44241827447</v>
      </c>
      <c r="S425" s="140">
        <f t="shared" si="254"/>
        <v>959935.01020475186</v>
      </c>
      <c r="T425" s="140">
        <f t="shared" si="254"/>
        <v>957949.34223435307</v>
      </c>
      <c r="U425" s="140">
        <f t="shared" si="254"/>
        <v>958733.48977214715</v>
      </c>
      <c r="V425" s="140">
        <f t="shared" si="254"/>
        <v>958871.91879357398</v>
      </c>
      <c r="W425" s="140">
        <f t="shared" si="254"/>
        <v>958518.07805595198</v>
      </c>
      <c r="X425" s="140">
        <f t="shared" si="254"/>
        <v>958707.80676362442</v>
      </c>
      <c r="Y425" s="140">
        <f t="shared" si="254"/>
        <v>958699.24606656248</v>
      </c>
      <c r="Z425" s="140">
        <f t="shared" si="254"/>
        <v>958641.70230994583</v>
      </c>
      <c r="AA425" s="140">
        <f t="shared" si="254"/>
        <v>958682.91748129658</v>
      </c>
      <c r="AB425" s="140">
        <f t="shared" si="254"/>
        <v>958674.62134103279</v>
      </c>
      <c r="AC425" s="140">
        <f t="shared" si="254"/>
        <v>958666.4133802983</v>
      </c>
      <c r="AD425" s="140">
        <f t="shared" si="254"/>
        <v>958674.65068685415</v>
      </c>
      <c r="AE425" s="140">
        <f t="shared" si="254"/>
        <v>958671.89512038906</v>
      </c>
      <c r="AF425" s="140">
        <f t="shared" si="254"/>
        <v>958670.98638361972</v>
      </c>
      <c r="AG425" s="140">
        <f t="shared" si="254"/>
        <v>958672.51072775561</v>
      </c>
    </row>
    <row r="426" spans="1:33" ht="14.25" customHeight="1" x14ac:dyDescent="0.35">
      <c r="A426" s="21"/>
      <c r="B426" s="28"/>
      <c r="C426" s="28"/>
      <c r="D426" s="176" t="s">
        <v>4048</v>
      </c>
      <c r="E426" s="176"/>
      <c r="F426" s="21"/>
      <c r="G426" s="21"/>
      <c r="H426" s="21"/>
      <c r="I426" s="22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</row>
    <row r="427" spans="1:33" ht="14.25" customHeight="1" x14ac:dyDescent="0.35">
      <c r="A427" s="21"/>
      <c r="B427" s="28"/>
      <c r="C427" s="28"/>
      <c r="D427" s="175" t="s">
        <v>4106</v>
      </c>
      <c r="E427" s="175"/>
      <c r="F427" s="21"/>
      <c r="G427" s="21"/>
      <c r="H427" s="21"/>
      <c r="I427" s="22" t="s">
        <v>13</v>
      </c>
      <c r="J427" s="122">
        <f t="shared" ref="J427:AG427" si="255">1-J433</f>
        <v>1</v>
      </c>
      <c r="K427" s="122">
        <f t="shared" si="255"/>
        <v>1</v>
      </c>
      <c r="L427" s="122">
        <f t="shared" si="255"/>
        <v>1</v>
      </c>
      <c r="M427" s="122">
        <f t="shared" si="255"/>
        <v>0.97976514204272214</v>
      </c>
      <c r="N427" s="122">
        <f t="shared" si="255"/>
        <v>1</v>
      </c>
      <c r="O427" s="122">
        <f t="shared" si="255"/>
        <v>1</v>
      </c>
      <c r="P427" s="122">
        <f t="shared" si="255"/>
        <v>0.92319824760574964</v>
      </c>
      <c r="Q427" s="122">
        <f t="shared" si="255"/>
        <v>0.66414720820006101</v>
      </c>
      <c r="R427" s="126">
        <f t="shared" si="255"/>
        <v>0.92509938190162333</v>
      </c>
      <c r="S427" s="126">
        <f t="shared" si="255"/>
        <v>0.92522551744738213</v>
      </c>
      <c r="T427" s="126">
        <f t="shared" si="255"/>
        <v>0.92507052251345212</v>
      </c>
      <c r="U427" s="126">
        <f t="shared" si="255"/>
        <v>0.9251318072874859</v>
      </c>
      <c r="V427" s="126">
        <f t="shared" si="255"/>
        <v>0.92514261574944001</v>
      </c>
      <c r="W427" s="126">
        <f t="shared" si="255"/>
        <v>0.92511498185012597</v>
      </c>
      <c r="X427" s="126">
        <f t="shared" si="255"/>
        <v>0.92512980162901726</v>
      </c>
      <c r="Y427" s="126">
        <f t="shared" si="255"/>
        <v>0.92512913307619449</v>
      </c>
      <c r="Z427" s="126">
        <f t="shared" si="255"/>
        <v>0.92512463885177931</v>
      </c>
      <c r="AA427" s="126">
        <f t="shared" si="255"/>
        <v>0.92512785785233032</v>
      </c>
      <c r="AB427" s="126">
        <f t="shared" si="255"/>
        <v>0.925127209926768</v>
      </c>
      <c r="AC427" s="126">
        <f t="shared" si="255"/>
        <v>0.92512656887695921</v>
      </c>
      <c r="AD427" s="126">
        <f t="shared" si="255"/>
        <v>0.92512721221868588</v>
      </c>
      <c r="AE427" s="126">
        <f t="shared" si="255"/>
        <v>0.92512699700747103</v>
      </c>
      <c r="AF427" s="126">
        <f t="shared" si="255"/>
        <v>0.92512692603437197</v>
      </c>
      <c r="AG427" s="126">
        <f t="shared" si="255"/>
        <v>0.92512704508684296</v>
      </c>
    </row>
    <row r="428" spans="1:33" ht="14.25" customHeight="1" x14ac:dyDescent="0.35">
      <c r="A428" s="21"/>
      <c r="B428" s="28"/>
      <c r="C428" s="28"/>
      <c r="D428" s="175" t="s">
        <v>4107</v>
      </c>
      <c r="E428" s="175"/>
      <c r="F428" s="21"/>
      <c r="G428" s="21"/>
      <c r="H428" s="21"/>
      <c r="I428" s="22" t="s">
        <v>13</v>
      </c>
      <c r="J428" s="122">
        <v>3.22617681373326</v>
      </c>
      <c r="K428" s="122">
        <v>3.2522107380127299</v>
      </c>
      <c r="L428" s="122">
        <v>3.5493101164446501</v>
      </c>
      <c r="M428" s="122">
        <v>3.5024541096651798</v>
      </c>
      <c r="N428" s="122">
        <v>3.5275607180570199</v>
      </c>
      <c r="O428" s="122">
        <v>3.4051890449840001</v>
      </c>
      <c r="P428" s="122">
        <v>3.26331974306955</v>
      </c>
      <c r="Q428" s="122">
        <v>2.9608321618332001</v>
      </c>
      <c r="R428" s="126">
        <f>IF(R421*R427=0,0,R429/R421/R427)</f>
        <v>3.2159077996958163</v>
      </c>
      <c r="S428" s="126">
        <f t="shared" ref="S428:AG428" si="256">IF(S421*S427=0,0,S429/S421/S427)</f>
        <v>3.2159056309932033</v>
      </c>
      <c r="T428" s="126">
        <f t="shared" si="256"/>
        <v>3.2159082959708072</v>
      </c>
      <c r="U428" s="126">
        <f t="shared" si="256"/>
        <v>3.21590724213576</v>
      </c>
      <c r="V428" s="126">
        <f t="shared" si="256"/>
        <v>3.2159070562910919</v>
      </c>
      <c r="W428" s="126">
        <f t="shared" si="256"/>
        <v>3.2159075314471521</v>
      </c>
      <c r="X428" s="126">
        <f t="shared" si="256"/>
        <v>3.2159072766222669</v>
      </c>
      <c r="Y428" s="126">
        <f t="shared" si="256"/>
        <v>3.2159072881178008</v>
      </c>
      <c r="Z428" s="126">
        <f t="shared" si="256"/>
        <v>3.2159073653948727</v>
      </c>
      <c r="AA428" s="126">
        <f t="shared" si="256"/>
        <v>3.2159073100448823</v>
      </c>
      <c r="AB428" s="126">
        <f t="shared" si="256"/>
        <v>3.2159073211857829</v>
      </c>
      <c r="AC428" s="126">
        <f t="shared" si="256"/>
        <v>3.2159073322084759</v>
      </c>
      <c r="AD428" s="126">
        <f t="shared" si="256"/>
        <v>3.2159073211463771</v>
      </c>
      <c r="AE428" s="126">
        <f t="shared" si="256"/>
        <v>3.2159073248468788</v>
      </c>
      <c r="AF428" s="126">
        <f t="shared" si="256"/>
        <v>3.2159073260672413</v>
      </c>
      <c r="AG428" s="126">
        <f t="shared" si="256"/>
        <v>3.2159073240201628</v>
      </c>
    </row>
    <row r="429" spans="1:33" ht="14.25" customHeight="1" x14ac:dyDescent="0.35">
      <c r="A429" s="21"/>
      <c r="B429" s="28"/>
      <c r="C429" s="28"/>
      <c r="D429" s="175" t="s">
        <v>4108</v>
      </c>
      <c r="E429" s="175"/>
      <c r="F429" s="21"/>
      <c r="G429" s="21"/>
      <c r="H429" s="21"/>
      <c r="I429" s="22" t="s">
        <v>3880</v>
      </c>
      <c r="J429" s="132">
        <v>1151802</v>
      </c>
      <c r="K429" s="132">
        <v>1048813.57142857</v>
      </c>
      <c r="L429" s="132">
        <v>836154.28571428603</v>
      </c>
      <c r="M429" s="132">
        <v>800377.14285714296</v>
      </c>
      <c r="N429" s="132">
        <v>918665</v>
      </c>
      <c r="O429" s="132">
        <v>899172.85714285704</v>
      </c>
      <c r="P429" s="132">
        <v>823647.14285714296</v>
      </c>
      <c r="Q429" s="132">
        <v>625461.88571428601</v>
      </c>
      <c r="R429" s="140">
        <v>890946.95422757894</v>
      </c>
      <c r="S429" s="140">
        <v>892570.95635452797</v>
      </c>
      <c r="T429" s="140">
        <v>890576.15661008295</v>
      </c>
      <c r="U429" s="140">
        <v>891363.91031881899</v>
      </c>
      <c r="V429" s="140">
        <v>891502.97595349804</v>
      </c>
      <c r="W429" s="140">
        <v>891147.50795809005</v>
      </c>
      <c r="X429" s="140">
        <v>891338.10919818794</v>
      </c>
      <c r="Y429" s="140">
        <v>891329.50913182902</v>
      </c>
      <c r="Z429" s="140">
        <v>891271.70074054506</v>
      </c>
      <c r="AA429" s="140">
        <v>891313.10545397305</v>
      </c>
      <c r="AB429" s="140">
        <v>891304.77116106695</v>
      </c>
      <c r="AC429" s="140">
        <v>891296.525453215</v>
      </c>
      <c r="AD429" s="140">
        <v>891304.80064184603</v>
      </c>
      <c r="AE429" s="140">
        <v>891302.03240296501</v>
      </c>
      <c r="AF429" s="140">
        <v>891301.11948705802</v>
      </c>
      <c r="AG429" s="140">
        <v>891302.65084141202</v>
      </c>
    </row>
    <row r="430" spans="1:33" ht="14.25" customHeight="1" x14ac:dyDescent="0.35">
      <c r="A430" s="21"/>
      <c r="B430" s="28"/>
      <c r="C430" s="28"/>
      <c r="D430" s="175" t="s">
        <v>4061</v>
      </c>
      <c r="E430" s="175"/>
      <c r="F430" s="21"/>
      <c r="G430" s="21"/>
      <c r="H430" s="21"/>
      <c r="I430" s="22" t="s">
        <v>3915</v>
      </c>
      <c r="J430" s="132">
        <f>'Input Operasional'!I54</f>
        <v>1868.9025652846601</v>
      </c>
      <c r="K430" s="132">
        <f>'Input Operasional'!J54</f>
        <v>1886.75606114782</v>
      </c>
      <c r="L430" s="132">
        <f>'Input Operasional'!K54</f>
        <v>1906.31892135269</v>
      </c>
      <c r="M430" s="132">
        <f>'Input Operasional'!L54</f>
        <v>2001.60403245049</v>
      </c>
      <c r="N430" s="132">
        <f>'Input Operasional'!M54</f>
        <v>2202.97196898021</v>
      </c>
      <c r="O430" s="132">
        <f>'Input Operasional'!N54</f>
        <v>2600.1174401980702</v>
      </c>
      <c r="P430" s="132">
        <f>'Input Operasional'!O54</f>
        <v>2757.9522868243498</v>
      </c>
      <c r="Q430" s="132">
        <f>'Input Operasional'!P54</f>
        <v>2673.5488886888002</v>
      </c>
      <c r="R430" s="140">
        <f t="shared" ref="R430:AG430" si="257">R270</f>
        <v>2949.9992423791373</v>
      </c>
      <c r="S430" s="140">
        <f t="shared" si="257"/>
        <v>3000</v>
      </c>
      <c r="T430" s="140">
        <f t="shared" si="257"/>
        <v>3100</v>
      </c>
      <c r="U430" s="140">
        <f t="shared" si="257"/>
        <v>3100</v>
      </c>
      <c r="V430" s="140">
        <f t="shared" si="257"/>
        <v>3100</v>
      </c>
      <c r="W430" s="140">
        <f t="shared" si="257"/>
        <v>3100</v>
      </c>
      <c r="X430" s="140">
        <f t="shared" si="257"/>
        <v>3100.0000000000005</v>
      </c>
      <c r="Y430" s="140">
        <f t="shared" si="257"/>
        <v>3100</v>
      </c>
      <c r="Z430" s="140">
        <f t="shared" si="257"/>
        <v>3100</v>
      </c>
      <c r="AA430" s="140">
        <f t="shared" si="257"/>
        <v>3100.0000000000005</v>
      </c>
      <c r="AB430" s="140">
        <f t="shared" si="257"/>
        <v>3100</v>
      </c>
      <c r="AC430" s="140">
        <f t="shared" si="257"/>
        <v>3100</v>
      </c>
      <c r="AD430" s="140">
        <f t="shared" si="257"/>
        <v>3100</v>
      </c>
      <c r="AE430" s="140">
        <f t="shared" si="257"/>
        <v>3100</v>
      </c>
      <c r="AF430" s="140">
        <f t="shared" si="257"/>
        <v>3100</v>
      </c>
      <c r="AG430" s="140">
        <f t="shared" si="257"/>
        <v>3100</v>
      </c>
    </row>
    <row r="431" spans="1:33" ht="14.25" customHeight="1" x14ac:dyDescent="0.35">
      <c r="A431" s="21"/>
      <c r="B431" s="28"/>
      <c r="C431" s="28"/>
      <c r="D431" s="175" t="s">
        <v>4109</v>
      </c>
      <c r="E431" s="175"/>
      <c r="F431" s="21"/>
      <c r="G431" s="21"/>
      <c r="H431" s="21"/>
      <c r="I431" s="22" t="s">
        <v>4060</v>
      </c>
      <c r="J431" s="148">
        <f t="shared" ref="J431:AG431" si="258">J429*J430</f>
        <v>2152605712.5000019</v>
      </c>
      <c r="K431" s="148">
        <f t="shared" si="258"/>
        <v>1978855362.9069464</v>
      </c>
      <c r="L431" s="148">
        <f t="shared" si="258"/>
        <v>1593976736.0272868</v>
      </c>
      <c r="M431" s="148">
        <f t="shared" si="258"/>
        <v>1602038116.6240592</v>
      </c>
      <c r="N431" s="148">
        <f t="shared" si="258"/>
        <v>2023793243.8832047</v>
      </c>
      <c r="O431" s="148">
        <f t="shared" si="258"/>
        <v>2337955027.6098704</v>
      </c>
      <c r="P431" s="148">
        <f t="shared" si="258"/>
        <v>2271579521.1791992</v>
      </c>
      <c r="Q431" s="148">
        <f t="shared" si="258"/>
        <v>1672202929.4686308</v>
      </c>
      <c r="R431" s="149">
        <f t="shared" si="258"/>
        <v>2628292839.9713578</v>
      </c>
      <c r="S431" s="149">
        <f t="shared" si="258"/>
        <v>2677712869.0635839</v>
      </c>
      <c r="T431" s="149">
        <f t="shared" si="258"/>
        <v>2760786085.4912572</v>
      </c>
      <c r="U431" s="149">
        <f t="shared" si="258"/>
        <v>2763228121.9883389</v>
      </c>
      <c r="V431" s="149">
        <f t="shared" si="258"/>
        <v>2763659225.4558439</v>
      </c>
      <c r="W431" s="149">
        <f t="shared" si="258"/>
        <v>2762557274.6700792</v>
      </c>
      <c r="X431" s="149">
        <f t="shared" si="258"/>
        <v>2763148138.5143828</v>
      </c>
      <c r="Y431" s="149">
        <f t="shared" si="258"/>
        <v>2763121478.30867</v>
      </c>
      <c r="Z431" s="149">
        <f t="shared" si="258"/>
        <v>2762942272.2956896</v>
      </c>
      <c r="AA431" s="149">
        <f t="shared" si="258"/>
        <v>2763070626.9073167</v>
      </c>
      <c r="AB431" s="149">
        <f t="shared" si="258"/>
        <v>2763044790.5993075</v>
      </c>
      <c r="AC431" s="149">
        <f t="shared" si="258"/>
        <v>2763019228.9049664</v>
      </c>
      <c r="AD431" s="149">
        <f t="shared" si="258"/>
        <v>2763044881.9897227</v>
      </c>
      <c r="AE431" s="149">
        <f t="shared" si="258"/>
        <v>2763036300.4491916</v>
      </c>
      <c r="AF431" s="149">
        <f t="shared" si="258"/>
        <v>2763033470.4098797</v>
      </c>
      <c r="AG431" s="149">
        <f t="shared" si="258"/>
        <v>2763038217.6083775</v>
      </c>
    </row>
    <row r="432" spans="1:33" ht="14.25" customHeight="1" x14ac:dyDescent="0.35">
      <c r="A432" s="21"/>
      <c r="B432" s="28"/>
      <c r="C432" s="28"/>
      <c r="D432" s="176" t="s">
        <v>4110</v>
      </c>
      <c r="E432" s="176"/>
      <c r="F432" s="21"/>
      <c r="G432" s="21"/>
      <c r="H432" s="21"/>
      <c r="I432" s="22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</row>
    <row r="433" spans="1:33" ht="14.25" customHeight="1" x14ac:dyDescent="0.35">
      <c r="A433" s="21"/>
      <c r="B433" s="28"/>
      <c r="C433" s="28"/>
      <c r="D433" s="175" t="s">
        <v>4111</v>
      </c>
      <c r="E433" s="175"/>
      <c r="F433" s="21"/>
      <c r="G433" s="21"/>
      <c r="H433" s="21"/>
      <c r="I433" s="22" t="s">
        <v>13</v>
      </c>
      <c r="J433" s="122">
        <v>0</v>
      </c>
      <c r="K433" s="122">
        <v>0</v>
      </c>
      <c r="L433" s="122">
        <v>0</v>
      </c>
      <c r="M433" s="122">
        <v>2.0234857957277901E-2</v>
      </c>
      <c r="N433" s="122">
        <v>0</v>
      </c>
      <c r="O433" s="122">
        <v>0</v>
      </c>
      <c r="P433" s="122">
        <v>7.68017523942503E-2</v>
      </c>
      <c r="Q433" s="122">
        <v>0.33585279179993899</v>
      </c>
      <c r="R433" s="126">
        <f t="shared" ref="R433:AG433" si="259">R439/R425</f>
        <v>7.4900618098376628E-2</v>
      </c>
      <c r="S433" s="126">
        <f t="shared" si="259"/>
        <v>7.4774482552617899E-2</v>
      </c>
      <c r="T433" s="126">
        <f t="shared" si="259"/>
        <v>7.492947748654788E-2</v>
      </c>
      <c r="U433" s="126">
        <f t="shared" si="259"/>
        <v>7.4868192712514131E-2</v>
      </c>
      <c r="V433" s="126">
        <f t="shared" si="259"/>
        <v>7.4857384250559975E-2</v>
      </c>
      <c r="W433" s="126">
        <f t="shared" si="259"/>
        <v>7.4885018149874E-2</v>
      </c>
      <c r="X433" s="126">
        <f t="shared" si="259"/>
        <v>7.4870198370982702E-2</v>
      </c>
      <c r="Y433" s="126">
        <f t="shared" si="259"/>
        <v>7.487086692380554E-2</v>
      </c>
      <c r="Z433" s="126">
        <f t="shared" si="259"/>
        <v>7.4875361148220729E-2</v>
      </c>
      <c r="AA433" s="126">
        <f t="shared" si="259"/>
        <v>7.4872142147669671E-2</v>
      </c>
      <c r="AB433" s="126">
        <f t="shared" si="259"/>
        <v>7.4872790073231985E-2</v>
      </c>
      <c r="AC433" s="126">
        <f t="shared" si="259"/>
        <v>7.4873431123040776E-2</v>
      </c>
      <c r="AD433" s="126">
        <f t="shared" si="259"/>
        <v>7.4872787781314148E-2</v>
      </c>
      <c r="AE433" s="126">
        <f t="shared" si="259"/>
        <v>7.487300299252897E-2</v>
      </c>
      <c r="AF433" s="126">
        <f t="shared" si="259"/>
        <v>7.4873073965627993E-2</v>
      </c>
      <c r="AG433" s="126">
        <f t="shared" si="259"/>
        <v>7.4872954913157042E-2</v>
      </c>
    </row>
    <row r="434" spans="1:33" ht="14.25" customHeight="1" x14ac:dyDescent="0.35">
      <c r="A434" s="21"/>
      <c r="B434" s="28"/>
      <c r="C434" s="28"/>
      <c r="D434" s="175" t="s">
        <v>4112</v>
      </c>
      <c r="E434" s="175"/>
      <c r="F434" s="21"/>
      <c r="G434" s="21"/>
      <c r="H434" s="21"/>
      <c r="I434" s="22" t="s">
        <v>13</v>
      </c>
      <c r="J434" s="122">
        <v>0</v>
      </c>
      <c r="K434" s="122">
        <v>0</v>
      </c>
      <c r="L434" s="122">
        <v>0</v>
      </c>
      <c r="M434" s="122">
        <v>7.08716614109592E-2</v>
      </c>
      <c r="N434" s="122">
        <v>0</v>
      </c>
      <c r="O434" s="122">
        <v>0</v>
      </c>
      <c r="P434" s="122">
        <v>0.25062867489049601</v>
      </c>
      <c r="Q434" s="122">
        <v>0.99440374760272898</v>
      </c>
      <c r="R434" s="126">
        <f t="shared" ref="R434:AG434" si="260">IF(R421=0,0,R435/R421)</f>
        <v>0.16751842904629327</v>
      </c>
      <c r="S434" s="126">
        <f t="shared" si="260"/>
        <v>0.16723632151488887</v>
      </c>
      <c r="T434" s="126">
        <f t="shared" si="260"/>
        <v>0.16758297429962266</v>
      </c>
      <c r="U434" s="126">
        <f t="shared" si="260"/>
        <v>0.16744590828693492</v>
      </c>
      <c r="V434" s="126">
        <f t="shared" si="260"/>
        <v>0.16742173470048213</v>
      </c>
      <c r="W434" s="126">
        <f t="shared" si="260"/>
        <v>0.16748353909567992</v>
      </c>
      <c r="X434" s="126">
        <f t="shared" si="260"/>
        <v>0.16745039402769898</v>
      </c>
      <c r="Y434" s="126">
        <f t="shared" si="260"/>
        <v>0.16745188927462032</v>
      </c>
      <c r="Z434" s="126">
        <f t="shared" si="260"/>
        <v>0.16746194079933305</v>
      </c>
      <c r="AA434" s="126">
        <f t="shared" si="260"/>
        <v>0.16745474136721747</v>
      </c>
      <c r="AB434" s="126">
        <f t="shared" si="260"/>
        <v>0.16745619048039029</v>
      </c>
      <c r="AC434" s="126">
        <f t="shared" si="260"/>
        <v>0.16745762421564692</v>
      </c>
      <c r="AD434" s="126">
        <f t="shared" si="260"/>
        <v>0.16745618535441822</v>
      </c>
      <c r="AE434" s="126">
        <f t="shared" si="260"/>
        <v>0.16745666668348513</v>
      </c>
      <c r="AF434" s="126">
        <f t="shared" si="260"/>
        <v>0.16745682541785015</v>
      </c>
      <c r="AG434" s="126">
        <f t="shared" si="260"/>
        <v>0.16745655915191784</v>
      </c>
    </row>
    <row r="435" spans="1:33" ht="14.25" customHeight="1" x14ac:dyDescent="0.35">
      <c r="A435" s="21"/>
      <c r="B435" s="28"/>
      <c r="C435" s="28"/>
      <c r="D435" s="175" t="s">
        <v>4108</v>
      </c>
      <c r="E435" s="175"/>
      <c r="F435" s="21"/>
      <c r="G435" s="21"/>
      <c r="H435" s="21"/>
      <c r="I435" s="22" t="s">
        <v>3880</v>
      </c>
      <c r="J435" s="132">
        <v>0</v>
      </c>
      <c r="K435" s="132">
        <v>0</v>
      </c>
      <c r="L435" s="132">
        <v>0</v>
      </c>
      <c r="M435" s="132">
        <v>16530</v>
      </c>
      <c r="N435" s="132">
        <v>0</v>
      </c>
      <c r="O435" s="132">
        <v>0</v>
      </c>
      <c r="P435" s="132">
        <v>68520</v>
      </c>
      <c r="Q435" s="132">
        <v>316290</v>
      </c>
      <c r="R435" s="140">
        <f>'Input Operasional'!Q49</f>
        <v>50167.5</v>
      </c>
      <c r="S435" s="140">
        <f>'Input Operasional'!R49</f>
        <v>50167.5</v>
      </c>
      <c r="T435" s="140">
        <f>'Input Operasional'!S49</f>
        <v>50167.5</v>
      </c>
      <c r="U435" s="140">
        <f>'Input Operasional'!T49</f>
        <v>50167.5</v>
      </c>
      <c r="V435" s="140">
        <f>'Input Operasional'!U49</f>
        <v>50167.5</v>
      </c>
      <c r="W435" s="140">
        <f>'Input Operasional'!V49</f>
        <v>50167.5</v>
      </c>
      <c r="X435" s="140">
        <f>'Input Operasional'!W49</f>
        <v>50167.5</v>
      </c>
      <c r="Y435" s="140">
        <f>'Input Operasional'!X49</f>
        <v>50167.5</v>
      </c>
      <c r="Z435" s="140">
        <f>'Input Operasional'!Y49</f>
        <v>50167.5</v>
      </c>
      <c r="AA435" s="140">
        <f>'Input Operasional'!Z49</f>
        <v>50167.5</v>
      </c>
      <c r="AB435" s="140">
        <f>'Input Operasional'!AA49</f>
        <v>50167.5</v>
      </c>
      <c r="AC435" s="140">
        <f>'Input Operasional'!AB49</f>
        <v>50167.5</v>
      </c>
      <c r="AD435" s="140">
        <f>'Input Operasional'!AC49</f>
        <v>50167.5</v>
      </c>
      <c r="AE435" s="140">
        <f>'Input Operasional'!AD49</f>
        <v>50167.5</v>
      </c>
      <c r="AF435" s="140">
        <f>'Input Operasional'!AE49</f>
        <v>50167.5</v>
      </c>
      <c r="AG435" s="140">
        <f>'Input Operasional'!AF49</f>
        <v>50167.5</v>
      </c>
    </row>
    <row r="436" spans="1:33" ht="14.25" customHeight="1" x14ac:dyDescent="0.35">
      <c r="A436" s="21"/>
      <c r="B436" s="28"/>
      <c r="C436" s="28"/>
      <c r="D436" s="175" t="s">
        <v>4061</v>
      </c>
      <c r="E436" s="175"/>
      <c r="F436" s="21"/>
      <c r="G436" s="21"/>
      <c r="H436" s="21"/>
      <c r="I436" s="22" t="s">
        <v>3915</v>
      </c>
      <c r="J436" s="132">
        <f>'Input Operasional'!I55</f>
        <v>0</v>
      </c>
      <c r="K436" s="132">
        <f>'Input Operasional'!J55</f>
        <v>0</v>
      </c>
      <c r="L436" s="132">
        <f>'Input Operasional'!K55</f>
        <v>0</v>
      </c>
      <c r="M436" s="132">
        <f>'Input Operasional'!L55</f>
        <v>2950</v>
      </c>
      <c r="N436" s="132">
        <f>'Input Operasional'!M55</f>
        <v>0</v>
      </c>
      <c r="O436" s="132">
        <f>'Input Operasional'!N55</f>
        <v>0</v>
      </c>
      <c r="P436" s="132">
        <f>'Input Operasional'!O55</f>
        <v>4450.6129597197896</v>
      </c>
      <c r="Q436" s="132">
        <f>'Input Operasional'!P55</f>
        <v>4526.8045148439696</v>
      </c>
      <c r="R436" s="140">
        <f t="shared" ref="R436:AG436" si="261">R286</f>
        <v>4600.0004983305926</v>
      </c>
      <c r="S436" s="140">
        <f t="shared" si="261"/>
        <v>4700</v>
      </c>
      <c r="T436" s="140">
        <f t="shared" si="261"/>
        <v>4700</v>
      </c>
      <c r="U436" s="140">
        <f t="shared" si="261"/>
        <v>4700</v>
      </c>
      <c r="V436" s="140">
        <f t="shared" si="261"/>
        <v>4700</v>
      </c>
      <c r="W436" s="140">
        <f t="shared" si="261"/>
        <v>4700</v>
      </c>
      <c r="X436" s="140">
        <f t="shared" si="261"/>
        <v>4700</v>
      </c>
      <c r="Y436" s="140">
        <f t="shared" si="261"/>
        <v>4700</v>
      </c>
      <c r="Z436" s="140">
        <f t="shared" si="261"/>
        <v>4700</v>
      </c>
      <c r="AA436" s="140">
        <f t="shared" si="261"/>
        <v>4700</v>
      </c>
      <c r="AB436" s="140">
        <f t="shared" si="261"/>
        <v>4700</v>
      </c>
      <c r="AC436" s="140">
        <f t="shared" si="261"/>
        <v>4700</v>
      </c>
      <c r="AD436" s="140">
        <f t="shared" si="261"/>
        <v>4700</v>
      </c>
      <c r="AE436" s="140">
        <f t="shared" si="261"/>
        <v>4700</v>
      </c>
      <c r="AF436" s="140">
        <f t="shared" si="261"/>
        <v>4700</v>
      </c>
      <c r="AG436" s="140">
        <f t="shared" si="261"/>
        <v>4700</v>
      </c>
    </row>
    <row r="437" spans="1:33" ht="14.25" customHeight="1" x14ac:dyDescent="0.35">
      <c r="A437" s="21"/>
      <c r="B437" s="28"/>
      <c r="C437" s="28"/>
      <c r="D437" s="175" t="s">
        <v>4113</v>
      </c>
      <c r="E437" s="175"/>
      <c r="F437" s="21"/>
      <c r="G437" s="21"/>
      <c r="H437" s="21"/>
      <c r="I437" s="22" t="s">
        <v>4060</v>
      </c>
      <c r="J437" s="148">
        <f t="shared" ref="J437:AG437" si="262">J435*J436</f>
        <v>0</v>
      </c>
      <c r="K437" s="148">
        <f t="shared" si="262"/>
        <v>0</v>
      </c>
      <c r="L437" s="148">
        <f t="shared" si="262"/>
        <v>0</v>
      </c>
      <c r="M437" s="148">
        <f t="shared" si="262"/>
        <v>48763500</v>
      </c>
      <c r="N437" s="148">
        <f t="shared" si="262"/>
        <v>0</v>
      </c>
      <c r="O437" s="148">
        <f t="shared" si="262"/>
        <v>0</v>
      </c>
      <c r="P437" s="148">
        <f t="shared" si="262"/>
        <v>304956000</v>
      </c>
      <c r="Q437" s="148">
        <f t="shared" si="262"/>
        <v>1431782999.999999</v>
      </c>
      <c r="R437" s="149">
        <f t="shared" si="262"/>
        <v>230770525</v>
      </c>
      <c r="S437" s="149">
        <f t="shared" si="262"/>
        <v>235787250</v>
      </c>
      <c r="T437" s="149">
        <f t="shared" si="262"/>
        <v>235787250</v>
      </c>
      <c r="U437" s="149">
        <f t="shared" si="262"/>
        <v>235787250</v>
      </c>
      <c r="V437" s="149">
        <f t="shared" si="262"/>
        <v>235787250</v>
      </c>
      <c r="W437" s="149">
        <f t="shared" si="262"/>
        <v>235787250</v>
      </c>
      <c r="X437" s="149">
        <f t="shared" si="262"/>
        <v>235787250</v>
      </c>
      <c r="Y437" s="149">
        <f t="shared" si="262"/>
        <v>235787250</v>
      </c>
      <c r="Z437" s="149">
        <f t="shared" si="262"/>
        <v>235787250</v>
      </c>
      <c r="AA437" s="149">
        <f t="shared" si="262"/>
        <v>235787250</v>
      </c>
      <c r="AB437" s="149">
        <f t="shared" si="262"/>
        <v>235787250</v>
      </c>
      <c r="AC437" s="149">
        <f t="shared" si="262"/>
        <v>235787250</v>
      </c>
      <c r="AD437" s="149">
        <f t="shared" si="262"/>
        <v>235787250</v>
      </c>
      <c r="AE437" s="149">
        <f t="shared" si="262"/>
        <v>235787250</v>
      </c>
      <c r="AF437" s="149">
        <f t="shared" si="262"/>
        <v>235787250</v>
      </c>
      <c r="AG437" s="149">
        <f t="shared" si="262"/>
        <v>235787250</v>
      </c>
    </row>
    <row r="438" spans="1:33" ht="14.25" customHeight="1" x14ac:dyDescent="0.35">
      <c r="A438" s="21"/>
      <c r="B438" s="28"/>
      <c r="C438" s="28"/>
      <c r="D438" s="175" t="s">
        <v>4114</v>
      </c>
      <c r="E438" s="175"/>
      <c r="F438" s="21"/>
      <c r="G438" s="21"/>
      <c r="H438" s="21"/>
      <c r="I438" s="22" t="s">
        <v>13</v>
      </c>
      <c r="J438" s="122">
        <f>'Input Operasional'!I61</f>
        <v>0.713072212064226</v>
      </c>
      <c r="K438" s="122">
        <f>'Input Operasional'!J61</f>
        <v>0.69010167270637202</v>
      </c>
      <c r="L438" s="122">
        <f>'Input Operasional'!K61</f>
        <v>0.68787544335631801</v>
      </c>
      <c r="M438" s="122">
        <f>'Input Operasional'!L61</f>
        <v>0.68066911313237999</v>
      </c>
      <c r="N438" s="122">
        <f>'Input Operasional'!M61</f>
        <v>0.68902810055896302</v>
      </c>
      <c r="O438" s="122">
        <f>'Input Operasional'!N61</f>
        <v>0.71877725719351604</v>
      </c>
      <c r="P438" s="122">
        <f>'Input Operasional'!O61</f>
        <v>0.71369154266823698</v>
      </c>
      <c r="Q438" s="122">
        <f>'Input Operasional'!P61</f>
        <v>0.654342030022521</v>
      </c>
      <c r="R438" s="126">
        <f>'Input Operasional'!Q61</f>
        <v>0.69891958712823032</v>
      </c>
      <c r="S438" s="126">
        <f>'Input Operasional'!R61</f>
        <v>0.69891958712823032</v>
      </c>
      <c r="T438" s="126">
        <f>'Input Operasional'!S61</f>
        <v>0.69891958712823032</v>
      </c>
      <c r="U438" s="126">
        <f>'Input Operasional'!T61</f>
        <v>0.69891958712823032</v>
      </c>
      <c r="V438" s="126">
        <f>'Input Operasional'!U61</f>
        <v>0.69891958712823032</v>
      </c>
      <c r="W438" s="126">
        <f>'Input Operasional'!V61</f>
        <v>0.69891958712823032</v>
      </c>
      <c r="X438" s="126">
        <f>'Input Operasional'!W61</f>
        <v>0.69891958712823032</v>
      </c>
      <c r="Y438" s="126">
        <f>'Input Operasional'!X61</f>
        <v>0.69891958712823032</v>
      </c>
      <c r="Z438" s="126">
        <f>'Input Operasional'!Y61</f>
        <v>0.69891958712823032</v>
      </c>
      <c r="AA438" s="126">
        <f>'Input Operasional'!Z61</f>
        <v>0.69891958712823032</v>
      </c>
      <c r="AB438" s="126">
        <f>'Input Operasional'!AA61</f>
        <v>0.69891958712823032</v>
      </c>
      <c r="AC438" s="126">
        <f>'Input Operasional'!AB61</f>
        <v>0.69891958712823032</v>
      </c>
      <c r="AD438" s="126">
        <f>'Input Operasional'!AC61</f>
        <v>0.69891958712823032</v>
      </c>
      <c r="AE438" s="126">
        <f>'Input Operasional'!AD61</f>
        <v>0.69891958712823032</v>
      </c>
      <c r="AF438" s="126">
        <f>'Input Operasional'!AE61</f>
        <v>0.69891958712823032</v>
      </c>
      <c r="AG438" s="126">
        <f>'Input Operasional'!AF61</f>
        <v>0.69891958712823032</v>
      </c>
    </row>
    <row r="439" spans="1:33" ht="14.25" customHeight="1" x14ac:dyDescent="0.35">
      <c r="A439" s="21"/>
      <c r="B439" s="28"/>
      <c r="C439" s="28"/>
      <c r="D439" s="175" t="s">
        <v>4115</v>
      </c>
      <c r="E439" s="175"/>
      <c r="F439" s="21"/>
      <c r="G439" s="21"/>
      <c r="H439" s="21"/>
      <c r="I439" s="22" t="s">
        <v>3880</v>
      </c>
      <c r="J439" s="132">
        <f t="shared" ref="J439:AG439" si="263">J435/J438</f>
        <v>0</v>
      </c>
      <c r="K439" s="132">
        <f t="shared" si="263"/>
        <v>0</v>
      </c>
      <c r="L439" s="132">
        <f t="shared" si="263"/>
        <v>0</v>
      </c>
      <c r="M439" s="132">
        <f t="shared" si="263"/>
        <v>24284.927406108349</v>
      </c>
      <c r="N439" s="132">
        <f t="shared" si="263"/>
        <v>0</v>
      </c>
      <c r="O439" s="132">
        <f t="shared" si="263"/>
        <v>0</v>
      </c>
      <c r="P439" s="132">
        <f t="shared" si="263"/>
        <v>96007.863206320573</v>
      </c>
      <c r="Q439" s="132">
        <f t="shared" si="263"/>
        <v>483371.05899970082</v>
      </c>
      <c r="R439" s="140">
        <f t="shared" si="263"/>
        <v>71778.643672202306</v>
      </c>
      <c r="S439" s="140">
        <f t="shared" si="263"/>
        <v>71778.643672202306</v>
      </c>
      <c r="T439" s="140">
        <f t="shared" si="263"/>
        <v>71778.643672202306</v>
      </c>
      <c r="U439" s="140">
        <f t="shared" si="263"/>
        <v>71778.643672202306</v>
      </c>
      <c r="V439" s="140">
        <f t="shared" si="263"/>
        <v>71778.643672202306</v>
      </c>
      <c r="W439" s="140">
        <f t="shared" si="263"/>
        <v>71778.643672202306</v>
      </c>
      <c r="X439" s="140">
        <f t="shared" si="263"/>
        <v>71778.643672202306</v>
      </c>
      <c r="Y439" s="140">
        <f t="shared" si="263"/>
        <v>71778.643672202306</v>
      </c>
      <c r="Z439" s="140">
        <f t="shared" si="263"/>
        <v>71778.643672202306</v>
      </c>
      <c r="AA439" s="140">
        <f t="shared" si="263"/>
        <v>71778.643672202306</v>
      </c>
      <c r="AB439" s="140">
        <f t="shared" si="263"/>
        <v>71778.643672202306</v>
      </c>
      <c r="AC439" s="140">
        <f t="shared" si="263"/>
        <v>71778.643672202306</v>
      </c>
      <c r="AD439" s="140">
        <f t="shared" si="263"/>
        <v>71778.643672202306</v>
      </c>
      <c r="AE439" s="140">
        <f t="shared" si="263"/>
        <v>71778.643672202306</v>
      </c>
      <c r="AF439" s="140">
        <f t="shared" si="263"/>
        <v>71778.643672202306</v>
      </c>
      <c r="AG439" s="140">
        <f t="shared" si="263"/>
        <v>71778.643672202306</v>
      </c>
    </row>
    <row r="440" spans="1:33" ht="14.25" customHeight="1" x14ac:dyDescent="0.35">
      <c r="A440" s="21"/>
      <c r="B440" s="28"/>
      <c r="C440" s="28" t="s">
        <v>4116</v>
      </c>
      <c r="D440" s="28" t="s">
        <v>4117</v>
      </c>
      <c r="E440" s="21"/>
      <c r="F440" s="21"/>
      <c r="G440" s="21"/>
      <c r="H440" s="21"/>
      <c r="I440" s="22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</row>
    <row r="441" spans="1:33" ht="14.25" customHeight="1" x14ac:dyDescent="0.35">
      <c r="A441" s="21"/>
      <c r="B441" s="28"/>
      <c r="C441" s="28"/>
      <c r="D441" s="175" t="s">
        <v>4112</v>
      </c>
      <c r="E441" s="175"/>
      <c r="F441" s="21"/>
      <c r="G441" s="21"/>
      <c r="H441" s="21"/>
      <c r="I441" s="22" t="s">
        <v>13</v>
      </c>
      <c r="J441" s="122">
        <v>0.27065330079077599</v>
      </c>
      <c r="K441" s="122">
        <v>0.264914687938479</v>
      </c>
      <c r="L441" s="122">
        <v>0.279736754304867</v>
      </c>
      <c r="M441" s="122">
        <v>0.28650715898104301</v>
      </c>
      <c r="N441" s="122">
        <v>0.28059902083133298</v>
      </c>
      <c r="O441" s="122">
        <v>0.27344963031073299</v>
      </c>
      <c r="P441" s="122">
        <v>0.283173459403605</v>
      </c>
      <c r="Q441" s="122">
        <v>0.248146634388657</v>
      </c>
      <c r="R441" s="126">
        <f>'Input Operasional'!Q69</f>
        <v>0.2819670835019949</v>
      </c>
      <c r="S441" s="126">
        <f>'Input Operasional'!R69</f>
        <v>0.2819670835019949</v>
      </c>
      <c r="T441" s="126">
        <f>'Input Operasional'!S69</f>
        <v>0.2819670835019949</v>
      </c>
      <c r="U441" s="126">
        <f>'Input Operasional'!T69</f>
        <v>0.2819670835019949</v>
      </c>
      <c r="V441" s="126">
        <f>'Input Operasional'!U69</f>
        <v>0.2819670835019949</v>
      </c>
      <c r="W441" s="126">
        <f>'Input Operasional'!V69</f>
        <v>0.2819670835019949</v>
      </c>
      <c r="X441" s="126">
        <f>'Input Operasional'!W69</f>
        <v>0.2819670835019949</v>
      </c>
      <c r="Y441" s="126">
        <f>'Input Operasional'!X69</f>
        <v>0.2819670835019949</v>
      </c>
      <c r="Z441" s="126">
        <f>'Input Operasional'!Y69</f>
        <v>0.2819670835019949</v>
      </c>
      <c r="AA441" s="126">
        <f>'Input Operasional'!Z69</f>
        <v>0.2819670835019949</v>
      </c>
      <c r="AB441" s="126">
        <f>'Input Operasional'!AA69</f>
        <v>0.2819670835019949</v>
      </c>
      <c r="AC441" s="126">
        <f>'Input Operasional'!AB69</f>
        <v>0.2819670835019949</v>
      </c>
      <c r="AD441" s="126">
        <f>'Input Operasional'!AC69</f>
        <v>0.2819670835019949</v>
      </c>
      <c r="AE441" s="126">
        <f>'Input Operasional'!AD69</f>
        <v>0.2819670835019949</v>
      </c>
      <c r="AF441" s="126">
        <f>'Input Operasional'!AE69</f>
        <v>0.2819670835019949</v>
      </c>
      <c r="AG441" s="126">
        <f>'Input Operasional'!AF69</f>
        <v>0.2819670835019949</v>
      </c>
    </row>
    <row r="442" spans="1:33" ht="14.25" customHeight="1" x14ac:dyDescent="0.35">
      <c r="A442" s="21"/>
      <c r="B442" s="28"/>
      <c r="C442" s="28"/>
      <c r="D442" s="175" t="s">
        <v>4108</v>
      </c>
      <c r="E442" s="175"/>
      <c r="F442" s="21"/>
      <c r="G442" s="21"/>
      <c r="H442" s="21"/>
      <c r="I442" s="22" t="s">
        <v>3900</v>
      </c>
      <c r="J442" s="132">
        <v>96628</v>
      </c>
      <c r="K442" s="132">
        <v>85433</v>
      </c>
      <c r="L442" s="132">
        <v>65901</v>
      </c>
      <c r="M442" s="132">
        <v>66824.5</v>
      </c>
      <c r="N442" s="132">
        <v>73075</v>
      </c>
      <c r="O442" s="132">
        <v>72207</v>
      </c>
      <c r="P442" s="132">
        <v>77417.5</v>
      </c>
      <c r="Q442" s="132">
        <v>78928</v>
      </c>
      <c r="R442" s="140">
        <f t="shared" ref="R442:AG442" si="264">R441*R421</f>
        <v>84441.955085892274</v>
      </c>
      <c r="S442" s="140">
        <f t="shared" si="264"/>
        <v>84584.398493403613</v>
      </c>
      <c r="T442" s="140">
        <f t="shared" si="264"/>
        <v>84409.431928898397</v>
      </c>
      <c r="U442" s="140">
        <f t="shared" si="264"/>
        <v>84478.526864606873</v>
      </c>
      <c r="V442" s="140">
        <f t="shared" si="264"/>
        <v>84490.724498183044</v>
      </c>
      <c r="W442" s="140">
        <f t="shared" si="264"/>
        <v>84459.54592292945</v>
      </c>
      <c r="X442" s="140">
        <f t="shared" si="264"/>
        <v>84476.26381366665</v>
      </c>
      <c r="Y442" s="140">
        <f t="shared" si="264"/>
        <v>84475.50949029687</v>
      </c>
      <c r="Z442" s="140">
        <f t="shared" si="264"/>
        <v>84470.439038663448</v>
      </c>
      <c r="AA442" s="140">
        <f t="shared" si="264"/>
        <v>84474.070701682751</v>
      </c>
      <c r="AB442" s="140">
        <f t="shared" si="264"/>
        <v>84473.339689659479</v>
      </c>
      <c r="AC442" s="140">
        <f t="shared" si="264"/>
        <v>84472.616447550157</v>
      </c>
      <c r="AD442" s="140">
        <f t="shared" si="264"/>
        <v>84473.342275458126</v>
      </c>
      <c r="AE442" s="140">
        <f t="shared" si="264"/>
        <v>84473.099469508263</v>
      </c>
      <c r="AF442" s="140">
        <f t="shared" si="264"/>
        <v>84473.019396428092</v>
      </c>
      <c r="AG442" s="140">
        <f t="shared" si="264"/>
        <v>84473.15371357504</v>
      </c>
    </row>
    <row r="443" spans="1:33" ht="14.25" customHeight="1" x14ac:dyDescent="0.35">
      <c r="A443" s="21"/>
      <c r="B443" s="28"/>
      <c r="C443" s="28"/>
      <c r="D443" s="175" t="s">
        <v>4061</v>
      </c>
      <c r="E443" s="175"/>
      <c r="F443" s="21"/>
      <c r="G443" s="21"/>
      <c r="H443" s="21"/>
      <c r="I443" s="22" t="s">
        <v>3915</v>
      </c>
      <c r="J443" s="132">
        <v>15543.041330030999</v>
      </c>
      <c r="K443" s="132">
        <v>16240.054653028499</v>
      </c>
      <c r="L443" s="132">
        <v>16327.731217809</v>
      </c>
      <c r="M443" s="132">
        <v>17165.665626502501</v>
      </c>
      <c r="N443" s="132">
        <v>17381.708880801001</v>
      </c>
      <c r="O443" s="132">
        <v>17437.818543501799</v>
      </c>
      <c r="P443" s="132">
        <v>17240.006011421701</v>
      </c>
      <c r="Q443" s="132">
        <v>17257.997793724498</v>
      </c>
      <c r="R443" s="140">
        <f t="shared" ref="R443:AG443" si="265">R302</f>
        <v>16796.409879772029</v>
      </c>
      <c r="S443" s="140">
        <f t="shared" si="265"/>
        <v>16774.634009465663</v>
      </c>
      <c r="T443" s="140">
        <f t="shared" si="265"/>
        <v>16772.354069528057</v>
      </c>
      <c r="U443" s="140">
        <f t="shared" si="265"/>
        <v>16772.114334387828</v>
      </c>
      <c r="V443" s="140">
        <f t="shared" si="265"/>
        <v>16772.089204902855</v>
      </c>
      <c r="W443" s="140">
        <f t="shared" si="265"/>
        <v>16772.086569059626</v>
      </c>
      <c r="X443" s="140">
        <f t="shared" si="265"/>
        <v>16772.086292417611</v>
      </c>
      <c r="Y443" s="140">
        <f t="shared" si="265"/>
        <v>16772.086263400983</v>
      </c>
      <c r="Z443" s="140">
        <f t="shared" si="265"/>
        <v>16772.08626035682</v>
      </c>
      <c r="AA443" s="140">
        <f t="shared" si="265"/>
        <v>16772.086260037435</v>
      </c>
      <c r="AB443" s="140">
        <f t="shared" si="265"/>
        <v>16772.086260003925</v>
      </c>
      <c r="AC443" s="140">
        <f t="shared" si="265"/>
        <v>16772.086260000411</v>
      </c>
      <c r="AD443" s="140">
        <f t="shared" si="265"/>
        <v>16772.086260000044</v>
      </c>
      <c r="AE443" s="140">
        <f t="shared" si="265"/>
        <v>16772.086260000004</v>
      </c>
      <c r="AF443" s="140">
        <f t="shared" si="265"/>
        <v>16772.08626</v>
      </c>
      <c r="AG443" s="140">
        <f t="shared" si="265"/>
        <v>16772.08626</v>
      </c>
    </row>
    <row r="444" spans="1:33" ht="14.25" customHeight="1" x14ac:dyDescent="0.35">
      <c r="A444" s="21"/>
      <c r="B444" s="28"/>
      <c r="C444" s="28"/>
      <c r="D444" s="175" t="s">
        <v>4117</v>
      </c>
      <c r="E444" s="175"/>
      <c r="F444" s="21"/>
      <c r="G444" s="21"/>
      <c r="H444" s="21"/>
      <c r="I444" s="22" t="s">
        <v>4060</v>
      </c>
      <c r="J444" s="148">
        <f t="shared" ref="J444:AG444" si="266">J442*J443</f>
        <v>1501892997.6382353</v>
      </c>
      <c r="K444" s="148">
        <f t="shared" si="266"/>
        <v>1387436589.1721838</v>
      </c>
      <c r="L444" s="148">
        <f t="shared" si="266"/>
        <v>1076013814.9848309</v>
      </c>
      <c r="M444" s="148">
        <f t="shared" si="266"/>
        <v>1147087022.6582165</v>
      </c>
      <c r="N444" s="148">
        <f t="shared" si="266"/>
        <v>1270168376.4645331</v>
      </c>
      <c r="O444" s="148">
        <f t="shared" si="266"/>
        <v>1259132563.5706344</v>
      </c>
      <c r="P444" s="148">
        <f t="shared" si="266"/>
        <v>1334678165.3892395</v>
      </c>
      <c r="Q444" s="148">
        <f t="shared" si="266"/>
        <v>1362139249.8630872</v>
      </c>
      <c r="R444" s="149">
        <f t="shared" si="266"/>
        <v>1418321688.671947</v>
      </c>
      <c r="S444" s="149">
        <f t="shared" si="266"/>
        <v>1418872327.6376443</v>
      </c>
      <c r="T444" s="149">
        <f t="shared" si="266"/>
        <v>1415744879.1192105</v>
      </c>
      <c r="U444" s="149">
        <f t="shared" si="266"/>
        <v>1416883511.3738401</v>
      </c>
      <c r="V444" s="149">
        <f t="shared" si="266"/>
        <v>1417085968.2703969</v>
      </c>
      <c r="W444" s="149">
        <f t="shared" si="266"/>
        <v>1416562815.8028398</v>
      </c>
      <c r="X444" s="149">
        <f t="shared" si="266"/>
        <v>1416843186.3438523</v>
      </c>
      <c r="Y444" s="149">
        <f t="shared" si="266"/>
        <v>1416830532.3160074</v>
      </c>
      <c r="Z444" s="149">
        <f t="shared" si="266"/>
        <v>1416745490.0066755</v>
      </c>
      <c r="AA444" s="149">
        <f t="shared" si="266"/>
        <v>1416806400.5451241</v>
      </c>
      <c r="AB444" s="149">
        <f t="shared" si="266"/>
        <v>1416794139.9455819</v>
      </c>
      <c r="AC444" s="149">
        <f t="shared" si="266"/>
        <v>1416782009.6662407</v>
      </c>
      <c r="AD444" s="149">
        <f t="shared" si="266"/>
        <v>1416794183.314492</v>
      </c>
      <c r="AE444" s="149">
        <f t="shared" si="266"/>
        <v>1416790110.9521532</v>
      </c>
      <c r="AF444" s="149">
        <f t="shared" si="266"/>
        <v>1416788767.9595451</v>
      </c>
      <c r="AG444" s="149">
        <f t="shared" si="266"/>
        <v>1416791020.7383199</v>
      </c>
    </row>
    <row r="445" spans="1:33" ht="14.25" customHeight="1" x14ac:dyDescent="0.35">
      <c r="A445" s="21"/>
      <c r="B445" s="28"/>
      <c r="C445" s="28" t="s">
        <v>4118</v>
      </c>
      <c r="D445" s="28" t="s">
        <v>32</v>
      </c>
      <c r="E445" s="21"/>
      <c r="F445" s="21"/>
      <c r="G445" s="21"/>
      <c r="H445" s="21"/>
      <c r="I445" s="22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</row>
    <row r="446" spans="1:33" ht="14.25" customHeight="1" x14ac:dyDescent="0.35">
      <c r="A446" s="21"/>
      <c r="B446" s="28"/>
      <c r="C446" s="28"/>
      <c r="D446" s="175" t="s">
        <v>4112</v>
      </c>
      <c r="E446" s="175"/>
      <c r="F446" s="21"/>
      <c r="G446" s="21"/>
      <c r="H446" s="21"/>
      <c r="I446" s="22" t="s">
        <v>13</v>
      </c>
      <c r="J446" s="122">
        <v>0.32234729333002099</v>
      </c>
      <c r="K446" s="122">
        <v>0.32849404874731702</v>
      </c>
      <c r="L446" s="122">
        <v>0.35805646659330298</v>
      </c>
      <c r="M446" s="122">
        <v>0.36972144429106502</v>
      </c>
      <c r="N446" s="122">
        <v>0.37646787849337898</v>
      </c>
      <c r="O446" s="122">
        <v>0.38000977748355702</v>
      </c>
      <c r="P446" s="122">
        <v>0.37366726148031099</v>
      </c>
      <c r="Q446" s="122">
        <v>0.35746456591354397</v>
      </c>
      <c r="R446" s="126">
        <f>'Input Operasional'!Q73</f>
        <v>1.5203583764663077E-2</v>
      </c>
      <c r="S446" s="126">
        <f>'Input Operasional'!R73</f>
        <v>1.5203583764663077E-2</v>
      </c>
      <c r="T446" s="126">
        <f>'Input Operasional'!S73</f>
        <v>1.5203583764663077E-2</v>
      </c>
      <c r="U446" s="126">
        <f>'Input Operasional'!T73</f>
        <v>1.5203583764663077E-2</v>
      </c>
      <c r="V446" s="126">
        <f>'Input Operasional'!U73</f>
        <v>1.5203583764663077E-2</v>
      </c>
      <c r="W446" s="126">
        <f>'Input Operasional'!V73</f>
        <v>1.5203583764663077E-2</v>
      </c>
      <c r="X446" s="126">
        <f>'Input Operasional'!W73</f>
        <v>1.5203583764663077E-2</v>
      </c>
      <c r="Y446" s="126">
        <f>'Input Operasional'!X73</f>
        <v>1.5203583764663077E-2</v>
      </c>
      <c r="Z446" s="126">
        <f>'Input Operasional'!Y73</f>
        <v>1.5203583764663077E-2</v>
      </c>
      <c r="AA446" s="126">
        <f>'Input Operasional'!Z73</f>
        <v>1.5203583764663077E-2</v>
      </c>
      <c r="AB446" s="126">
        <f>'Input Operasional'!AA73</f>
        <v>1.5203583764663077E-2</v>
      </c>
      <c r="AC446" s="126">
        <f>'Input Operasional'!AB73</f>
        <v>1.5203583764663077E-2</v>
      </c>
      <c r="AD446" s="126">
        <f>'Input Operasional'!AC73</f>
        <v>1.5203583764663077E-2</v>
      </c>
      <c r="AE446" s="126">
        <f>'Input Operasional'!AD73</f>
        <v>1.5203583764663077E-2</v>
      </c>
      <c r="AF446" s="126">
        <f>'Input Operasional'!AE73</f>
        <v>1.5203583764663077E-2</v>
      </c>
      <c r="AG446" s="126">
        <f>'Input Operasional'!AF73</f>
        <v>1.5203583764663077E-2</v>
      </c>
    </row>
    <row r="447" spans="1:33" ht="14.25" customHeight="1" x14ac:dyDescent="0.35">
      <c r="A447" s="21"/>
      <c r="B447" s="28"/>
      <c r="C447" s="28"/>
      <c r="D447" s="175" t="s">
        <v>4108</v>
      </c>
      <c r="E447" s="175"/>
      <c r="F447" s="21"/>
      <c r="G447" s="21"/>
      <c r="H447" s="21"/>
      <c r="I447" s="22" t="s">
        <v>4067</v>
      </c>
      <c r="J447" s="132">
        <f t="shared" ref="J447:Q447" si="267">J449/(J448*J13)</f>
        <v>5176.8721013957002</v>
      </c>
      <c r="K447" s="132">
        <f t="shared" si="267"/>
        <v>4766.8889612036628</v>
      </c>
      <c r="L447" s="132">
        <f t="shared" si="267"/>
        <v>3775.3451403707318</v>
      </c>
      <c r="M447" s="132">
        <f t="shared" si="267"/>
        <v>3851.453091824118</v>
      </c>
      <c r="N447" s="132">
        <f t="shared" si="267"/>
        <v>4368.7767851289109</v>
      </c>
      <c r="O447" s="132">
        <f t="shared" si="267"/>
        <v>4491.6603291371057</v>
      </c>
      <c r="P447" s="132">
        <f t="shared" si="267"/>
        <v>4577.5483937049694</v>
      </c>
      <c r="Q447" s="132">
        <f t="shared" si="267"/>
        <v>5124.6394701504232</v>
      </c>
      <c r="R447" s="140">
        <f t="shared" ref="R447:AG447" si="268">R446*R421</f>
        <v>4553.0858476649018</v>
      </c>
      <c r="S447" s="140">
        <f t="shared" si="268"/>
        <v>4560.7663550877032</v>
      </c>
      <c r="T447" s="140">
        <f t="shared" si="268"/>
        <v>4551.3322084262136</v>
      </c>
      <c r="U447" s="140">
        <f t="shared" si="268"/>
        <v>4555.05778741831</v>
      </c>
      <c r="V447" s="140">
        <f t="shared" si="268"/>
        <v>4555.7154803004105</v>
      </c>
      <c r="W447" s="140">
        <f t="shared" si="268"/>
        <v>4554.0343405211024</v>
      </c>
      <c r="X447" s="140">
        <f t="shared" si="268"/>
        <v>4554.9357643647454</v>
      </c>
      <c r="Y447" s="140">
        <f t="shared" si="268"/>
        <v>4554.8950914663501</v>
      </c>
      <c r="Z447" s="140">
        <f t="shared" si="268"/>
        <v>4554.6216941776456</v>
      </c>
      <c r="AA447" s="140">
        <f t="shared" si="268"/>
        <v>4554.8175123995225</v>
      </c>
      <c r="AB447" s="140">
        <f t="shared" si="268"/>
        <v>4554.7780964422027</v>
      </c>
      <c r="AC447" s="140">
        <f t="shared" si="268"/>
        <v>4554.7390994364014</v>
      </c>
      <c r="AD447" s="140">
        <f t="shared" si="268"/>
        <v>4554.7782358677196</v>
      </c>
      <c r="AE447" s="140">
        <f t="shared" si="268"/>
        <v>4554.7651438409785</v>
      </c>
      <c r="AF447" s="140">
        <f t="shared" si="268"/>
        <v>4554.7608263236061</v>
      </c>
      <c r="AG447" s="140">
        <f t="shared" si="268"/>
        <v>4554.7680686654039</v>
      </c>
    </row>
    <row r="448" spans="1:33" ht="14.25" customHeight="1" x14ac:dyDescent="0.35">
      <c r="A448" s="21"/>
      <c r="B448" s="28"/>
      <c r="C448" s="28"/>
      <c r="D448" s="175" t="s">
        <v>4061</v>
      </c>
      <c r="E448" s="175"/>
      <c r="F448" s="21"/>
      <c r="G448" s="21"/>
      <c r="H448" s="21"/>
      <c r="I448" s="22" t="s">
        <v>4119</v>
      </c>
      <c r="J448" s="177">
        <v>12.75</v>
      </c>
      <c r="K448" s="177">
        <v>12.75</v>
      </c>
      <c r="L448" s="177">
        <v>12.75</v>
      </c>
      <c r="M448" s="177">
        <v>12.75</v>
      </c>
      <c r="N448" s="177">
        <v>12.75</v>
      </c>
      <c r="O448" s="177">
        <v>12.75</v>
      </c>
      <c r="P448" s="177">
        <v>12.75</v>
      </c>
      <c r="Q448" s="177">
        <v>12.75</v>
      </c>
      <c r="R448" s="178">
        <v>12.75</v>
      </c>
      <c r="S448" s="178">
        <v>12.75</v>
      </c>
      <c r="T448" s="178">
        <v>12.75</v>
      </c>
      <c r="U448" s="178">
        <v>12.75</v>
      </c>
      <c r="V448" s="178">
        <v>12.75</v>
      </c>
      <c r="W448" s="178">
        <v>12.75</v>
      </c>
      <c r="X448" s="178">
        <v>12.75</v>
      </c>
      <c r="Y448" s="178">
        <v>12.75</v>
      </c>
      <c r="Z448" s="178">
        <v>12.75</v>
      </c>
      <c r="AA448" s="178">
        <v>12.75</v>
      </c>
      <c r="AB448" s="178">
        <v>12.75</v>
      </c>
      <c r="AC448" s="178">
        <v>12.75</v>
      </c>
      <c r="AD448" s="178">
        <v>12.75</v>
      </c>
      <c r="AE448" s="178">
        <v>12.75</v>
      </c>
      <c r="AF448" s="178">
        <v>12.75</v>
      </c>
      <c r="AG448" s="178">
        <v>12.75</v>
      </c>
    </row>
    <row r="449" spans="1:33" ht="14.25" customHeight="1" x14ac:dyDescent="0.35">
      <c r="A449" s="21"/>
      <c r="B449" s="28"/>
      <c r="C449" s="28"/>
      <c r="D449" s="175" t="s">
        <v>32</v>
      </c>
      <c r="E449" s="175"/>
      <c r="F449" s="21"/>
      <c r="G449" s="21"/>
      <c r="H449" s="21"/>
      <c r="I449" s="22" t="s">
        <v>4060</v>
      </c>
      <c r="J449" s="148">
        <v>1107961932.4488599</v>
      </c>
      <c r="K449" s="148">
        <v>1018514946.4511</v>
      </c>
      <c r="L449" s="148">
        <v>817969109.62157798</v>
      </c>
      <c r="M449" s="148">
        <v>850712810.37520301</v>
      </c>
      <c r="N449" s="148">
        <v>990881170.44089198</v>
      </c>
      <c r="O449" s="148">
        <v>1022589357.17267</v>
      </c>
      <c r="P449" s="148">
        <v>1055099728.23283</v>
      </c>
      <c r="Q449" s="148">
        <v>1156699029.8859301</v>
      </c>
      <c r="R449" s="149">
        <f t="shared" ref="R449:AG449" si="269">R447*R318</f>
        <v>1044933192.5160584</v>
      </c>
      <c r="S449" s="149">
        <f t="shared" si="269"/>
        <v>1046695878.4926279</v>
      </c>
      <c r="T449" s="149">
        <f t="shared" si="269"/>
        <v>1044530741.8338162</v>
      </c>
      <c r="U449" s="149">
        <f t="shared" si="269"/>
        <v>1045385762.212502</v>
      </c>
      <c r="V449" s="149">
        <f t="shared" si="269"/>
        <v>1045536702.7289441</v>
      </c>
      <c r="W449" s="149">
        <f t="shared" si="269"/>
        <v>1045150881.149593</v>
      </c>
      <c r="X449" s="149">
        <f t="shared" si="269"/>
        <v>1045357757.9217091</v>
      </c>
      <c r="Y449" s="149">
        <f t="shared" si="269"/>
        <v>1045348423.4915273</v>
      </c>
      <c r="Z449" s="149">
        <f t="shared" si="269"/>
        <v>1045285678.8137697</v>
      </c>
      <c r="AA449" s="149">
        <f t="shared" si="269"/>
        <v>1045330619.0956903</v>
      </c>
      <c r="AB449" s="149">
        <f t="shared" si="269"/>
        <v>1045321573.1334857</v>
      </c>
      <c r="AC449" s="149">
        <f t="shared" si="269"/>
        <v>1045312623.3206543</v>
      </c>
      <c r="AD449" s="149">
        <f t="shared" si="269"/>
        <v>1045321605.1316416</v>
      </c>
      <c r="AE449" s="149">
        <f t="shared" si="269"/>
        <v>1045318600.5115044</v>
      </c>
      <c r="AF449" s="149">
        <f t="shared" si="269"/>
        <v>1045317609.6412677</v>
      </c>
      <c r="AG449" s="149">
        <f t="shared" si="269"/>
        <v>1045319271.7587101</v>
      </c>
    </row>
    <row r="450" spans="1:33" ht="14.25" customHeight="1" x14ac:dyDescent="0.35">
      <c r="A450" s="21"/>
      <c r="B450" s="28"/>
      <c r="C450" s="143" t="s">
        <v>4120</v>
      </c>
      <c r="D450" s="28" t="s">
        <v>4121</v>
      </c>
      <c r="E450" s="21"/>
      <c r="F450" s="21"/>
      <c r="G450" s="21"/>
      <c r="H450" s="21"/>
      <c r="I450" s="22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</row>
    <row r="451" spans="1:33" ht="14.25" customHeight="1" x14ac:dyDescent="0.35">
      <c r="A451" s="21"/>
      <c r="B451" s="28"/>
      <c r="C451" s="28"/>
      <c r="D451" s="175" t="s">
        <v>4112</v>
      </c>
      <c r="E451" s="175"/>
      <c r="F451" s="21"/>
      <c r="G451" s="21"/>
      <c r="H451" s="21"/>
      <c r="I451" s="22" t="s">
        <v>13</v>
      </c>
      <c r="J451" s="122">
        <v>6.4786716555146001E-3</v>
      </c>
      <c r="K451" s="122">
        <v>7.4017225206787799E-3</v>
      </c>
      <c r="L451" s="122">
        <v>7.1100448166287597E-3</v>
      </c>
      <c r="M451" s="122">
        <v>7.7174222952042697E-3</v>
      </c>
      <c r="N451" s="122">
        <v>8.5437266007487803E-3</v>
      </c>
      <c r="O451" s="122">
        <v>7.9527500609710804E-3</v>
      </c>
      <c r="P451" s="122">
        <v>8.5042567005312892E-3</v>
      </c>
      <c r="Q451" s="122">
        <v>7.2311126481592099E-3</v>
      </c>
      <c r="R451" s="126">
        <f>'Input Operasional'!Q77</f>
        <v>7.2056027501848068E-3</v>
      </c>
      <c r="S451" s="126">
        <f>'Input Operasional'!R77</f>
        <v>7.2056027501848068E-3</v>
      </c>
      <c r="T451" s="126">
        <f>'Input Operasional'!S77</f>
        <v>7.2056027501848068E-3</v>
      </c>
      <c r="U451" s="126">
        <f>'Input Operasional'!T77</f>
        <v>7.2056027501848068E-3</v>
      </c>
      <c r="V451" s="126">
        <f>'Input Operasional'!U77</f>
        <v>7.2056027501848068E-3</v>
      </c>
      <c r="W451" s="126">
        <f>'Input Operasional'!V77</f>
        <v>7.2056027501848068E-3</v>
      </c>
      <c r="X451" s="126">
        <f>'Input Operasional'!W77</f>
        <v>7.2056027501848068E-3</v>
      </c>
      <c r="Y451" s="126">
        <f>'Input Operasional'!X77</f>
        <v>7.2056027501848068E-3</v>
      </c>
      <c r="Z451" s="126">
        <f>'Input Operasional'!Y77</f>
        <v>7.2056027501848068E-3</v>
      </c>
      <c r="AA451" s="126">
        <f>'Input Operasional'!Z77</f>
        <v>7.2056027501848068E-3</v>
      </c>
      <c r="AB451" s="126">
        <f>'Input Operasional'!AA77</f>
        <v>7.2056027501848068E-3</v>
      </c>
      <c r="AC451" s="126">
        <f>'Input Operasional'!AB77</f>
        <v>7.2056027501848068E-3</v>
      </c>
      <c r="AD451" s="126">
        <f>'Input Operasional'!AC77</f>
        <v>7.2056027501848068E-3</v>
      </c>
      <c r="AE451" s="126">
        <f>'Input Operasional'!AD77</f>
        <v>7.2056027501848068E-3</v>
      </c>
      <c r="AF451" s="126">
        <f>'Input Operasional'!AE77</f>
        <v>7.2056027501848068E-3</v>
      </c>
      <c r="AG451" s="126">
        <f>'Input Operasional'!AF77</f>
        <v>7.2056027501848068E-3</v>
      </c>
    </row>
    <row r="452" spans="1:33" ht="14.25" customHeight="1" x14ac:dyDescent="0.35">
      <c r="A452" s="21"/>
      <c r="B452" s="28"/>
      <c r="C452" s="28"/>
      <c r="D452" s="175" t="s">
        <v>4108</v>
      </c>
      <c r="E452" s="175"/>
      <c r="F452" s="21"/>
      <c r="G452" s="21"/>
      <c r="H452" s="21"/>
      <c r="I452" s="22" t="s">
        <v>3900</v>
      </c>
      <c r="J452" s="132">
        <v>2313</v>
      </c>
      <c r="K452" s="132">
        <v>2387</v>
      </c>
      <c r="L452" s="132">
        <v>1675</v>
      </c>
      <c r="M452" s="132">
        <v>1800</v>
      </c>
      <c r="N452" s="132">
        <v>2225</v>
      </c>
      <c r="O452" s="132">
        <v>2100</v>
      </c>
      <c r="P452" s="132">
        <v>2325</v>
      </c>
      <c r="Q452" s="132">
        <v>2300</v>
      </c>
      <c r="R452" s="140">
        <f t="shared" ref="R452:AG452" si="270">R451*R421</f>
        <v>2157.8943763256061</v>
      </c>
      <c r="S452" s="140">
        <f t="shared" si="270"/>
        <v>2161.5344842281374</v>
      </c>
      <c r="T452" s="140">
        <f t="shared" si="270"/>
        <v>2157.0632546692441</v>
      </c>
      <c r="U452" s="140">
        <f t="shared" si="270"/>
        <v>2158.8289595613942</v>
      </c>
      <c r="V452" s="140">
        <f t="shared" si="270"/>
        <v>2159.1406672293624</v>
      </c>
      <c r="W452" s="140">
        <f t="shared" si="270"/>
        <v>2158.3439060443197</v>
      </c>
      <c r="X452" s="140">
        <f t="shared" si="270"/>
        <v>2158.7711278248803</v>
      </c>
      <c r="Y452" s="140">
        <f t="shared" si="270"/>
        <v>2158.7518512679135</v>
      </c>
      <c r="Z452" s="140">
        <f t="shared" si="270"/>
        <v>2158.6222770644968</v>
      </c>
      <c r="AA452" s="140">
        <f t="shared" si="270"/>
        <v>2158.7150833620076</v>
      </c>
      <c r="AB452" s="140">
        <f t="shared" si="270"/>
        <v>2158.6964025210386</v>
      </c>
      <c r="AC452" s="140">
        <f t="shared" si="270"/>
        <v>2158.6779202384005</v>
      </c>
      <c r="AD452" s="140">
        <f t="shared" si="270"/>
        <v>2158.6964686005172</v>
      </c>
      <c r="AE452" s="140">
        <f t="shared" si="270"/>
        <v>2158.6902637513613</v>
      </c>
      <c r="AF452" s="140">
        <f t="shared" si="270"/>
        <v>2158.6882175025598</v>
      </c>
      <c r="AG452" s="140">
        <f t="shared" si="270"/>
        <v>2158.691649945778</v>
      </c>
    </row>
    <row r="453" spans="1:33" ht="14.25" customHeight="1" x14ac:dyDescent="0.35">
      <c r="A453" s="21"/>
      <c r="B453" s="28"/>
      <c r="C453" s="28"/>
      <c r="D453" s="175" t="s">
        <v>4061</v>
      </c>
      <c r="E453" s="175"/>
      <c r="F453" s="21"/>
      <c r="G453" s="21"/>
      <c r="H453" s="21"/>
      <c r="I453" s="22" t="s">
        <v>3861</v>
      </c>
      <c r="J453" s="132">
        <v>4559.2044414599804</v>
      </c>
      <c r="K453" s="132">
        <v>4593.3839523898596</v>
      </c>
      <c r="L453" s="132">
        <v>4593.3839523898596</v>
      </c>
      <c r="M453" s="132">
        <v>4593.3839523898596</v>
      </c>
      <c r="N453" s="132">
        <v>4653.4493313251596</v>
      </c>
      <c r="O453" s="132">
        <v>4653.4493313251496</v>
      </c>
      <c r="P453" s="132">
        <v>4638.58661997323</v>
      </c>
      <c r="Q453" s="132">
        <v>4638.58661997322</v>
      </c>
      <c r="R453" s="140">
        <f t="shared" ref="R453:AG453" si="271">R334</f>
        <v>4630.0491108003798</v>
      </c>
      <c r="S453" s="140">
        <f t="shared" si="271"/>
        <v>4626.1795798090243</v>
      </c>
      <c r="T453" s="140">
        <f t="shared" si="271"/>
        <v>4623.4142183342383</v>
      </c>
      <c r="U453" s="140">
        <f t="shared" si="271"/>
        <v>4621.3957757639037</v>
      </c>
      <c r="V453" s="140">
        <f t="shared" si="271"/>
        <v>4619.94037255085</v>
      </c>
      <c r="W453" s="140">
        <f t="shared" si="271"/>
        <v>4618.8898071626854</v>
      </c>
      <c r="X453" s="140">
        <f t="shared" si="271"/>
        <v>4618.1289370940112</v>
      </c>
      <c r="Y453" s="140">
        <f t="shared" si="271"/>
        <v>4617.5793016519474</v>
      </c>
      <c r="Z453" s="140">
        <f t="shared" si="271"/>
        <v>4617.1820138940911</v>
      </c>
      <c r="AA453" s="140">
        <f t="shared" si="271"/>
        <v>4616.8947159927411</v>
      </c>
      <c r="AB453" s="140">
        <f t="shared" si="271"/>
        <v>4616.6870622591896</v>
      </c>
      <c r="AC453" s="140">
        <f t="shared" si="271"/>
        <v>4616.5369458795076</v>
      </c>
      <c r="AD453" s="140">
        <f t="shared" si="271"/>
        <v>4616.428419400605</v>
      </c>
      <c r="AE453" s="140">
        <f t="shared" si="271"/>
        <v>4616.3499675008925</v>
      </c>
      <c r="AF453" s="140">
        <f t="shared" si="271"/>
        <v>4616.2932533582361</v>
      </c>
      <c r="AG453" s="140">
        <f t="shared" si="271"/>
        <v>4616.2522538040603</v>
      </c>
    </row>
    <row r="454" spans="1:33" ht="14.25" customHeight="1" x14ac:dyDescent="0.35">
      <c r="A454" s="21"/>
      <c r="B454" s="28"/>
      <c r="C454" s="28"/>
      <c r="D454" s="175" t="s">
        <v>4121</v>
      </c>
      <c r="E454" s="175"/>
      <c r="F454" s="21"/>
      <c r="G454" s="21"/>
      <c r="H454" s="21"/>
      <c r="I454" s="22" t="s">
        <v>4060</v>
      </c>
      <c r="J454" s="148">
        <f t="shared" ref="J454:AG454" si="272">J452*J453</f>
        <v>10545439.873096935</v>
      </c>
      <c r="K454" s="148">
        <f t="shared" si="272"/>
        <v>10964407.494354594</v>
      </c>
      <c r="L454" s="148">
        <f t="shared" si="272"/>
        <v>7693918.1202530144</v>
      </c>
      <c r="M454" s="148">
        <f t="shared" si="272"/>
        <v>8268091.1143017476</v>
      </c>
      <c r="N454" s="148">
        <f t="shared" si="272"/>
        <v>10353924.76219848</v>
      </c>
      <c r="O454" s="148">
        <f t="shared" si="272"/>
        <v>9772243.5957828145</v>
      </c>
      <c r="P454" s="148">
        <f t="shared" si="272"/>
        <v>10784713.89143776</v>
      </c>
      <c r="Q454" s="148">
        <f t="shared" si="272"/>
        <v>10668749.225938406</v>
      </c>
      <c r="R454" s="149">
        <f t="shared" si="272"/>
        <v>9991156.9383075126</v>
      </c>
      <c r="S454" s="149">
        <f t="shared" si="272"/>
        <v>9999646.6919892412</v>
      </c>
      <c r="T454" s="149">
        <f t="shared" si="272"/>
        <v>9972996.9214841109</v>
      </c>
      <c r="U454" s="149">
        <f t="shared" si="272"/>
        <v>9976803.034313811</v>
      </c>
      <c r="V454" s="149">
        <f t="shared" si="272"/>
        <v>9975101.1385493111</v>
      </c>
      <c r="W454" s="149">
        <f t="shared" si="272"/>
        <v>9969152.6679798048</v>
      </c>
      <c r="X454" s="149">
        <f t="shared" si="272"/>
        <v>9969483.413971154</v>
      </c>
      <c r="Y454" s="149">
        <f t="shared" si="272"/>
        <v>9968207.8658175413</v>
      </c>
      <c r="Z454" s="149">
        <f t="shared" si="272"/>
        <v>9966751.9524533022</v>
      </c>
      <c r="AA454" s="149">
        <f t="shared" si="272"/>
        <v>9966560.2617078833</v>
      </c>
      <c r="AB454" s="149">
        <f t="shared" si="272"/>
        <v>9966025.7528643347</v>
      </c>
      <c r="AC454" s="149">
        <f t="shared" si="272"/>
        <v>9965616.3730349131</v>
      </c>
      <c r="AD454" s="149">
        <f t="shared" si="272"/>
        <v>9965467.7265071534</v>
      </c>
      <c r="AE454" s="149">
        <f t="shared" si="272"/>
        <v>9965269.7289130893</v>
      </c>
      <c r="AF454" s="149">
        <f t="shared" si="272"/>
        <v>9965137.8545609843</v>
      </c>
      <c r="AG454" s="149">
        <f t="shared" si="272"/>
        <v>9965065.1943302024</v>
      </c>
    </row>
    <row r="455" spans="1:33" ht="14.25" customHeight="1" x14ac:dyDescent="0.35">
      <c r="A455" s="21"/>
      <c r="B455" s="28"/>
      <c r="C455" s="143" t="s">
        <v>4122</v>
      </c>
      <c r="D455" s="28" t="s">
        <v>4072</v>
      </c>
      <c r="E455" s="21"/>
      <c r="F455" s="21"/>
      <c r="G455" s="21"/>
      <c r="H455" s="21"/>
      <c r="I455" s="22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</row>
    <row r="456" spans="1:33" ht="14.25" customHeight="1" x14ac:dyDescent="0.35">
      <c r="A456" s="21"/>
      <c r="B456" s="28"/>
      <c r="C456" s="28"/>
      <c r="D456" s="175" t="s">
        <v>4123</v>
      </c>
      <c r="E456" s="175"/>
      <c r="F456" s="21"/>
      <c r="G456" s="21"/>
      <c r="H456" s="21"/>
      <c r="I456" s="22" t="s">
        <v>13</v>
      </c>
      <c r="J456" s="122">
        <v>4.6090160869646698E-4</v>
      </c>
      <c r="K456" s="122">
        <v>5.4968720202795403E-4</v>
      </c>
      <c r="L456" s="122">
        <v>6.8579035258181599E-4</v>
      </c>
      <c r="M456" s="122">
        <v>2.9577020946370399E-3</v>
      </c>
      <c r="N456" s="122">
        <v>2.9067869828165501E-3</v>
      </c>
      <c r="O456" s="122">
        <v>5.5915406976303798E-4</v>
      </c>
      <c r="P456" s="122">
        <v>5.84690509066635E-4</v>
      </c>
      <c r="Q456" s="122">
        <v>5.1529537523186699E-4</v>
      </c>
      <c r="R456" s="126">
        <f>'Input Operasional'!Q81</f>
        <v>1.0189374474703671E-3</v>
      </c>
      <c r="S456" s="126">
        <f>'Input Operasional'!R81</f>
        <v>1.0189374474703671E-3</v>
      </c>
      <c r="T456" s="126">
        <f>'Input Operasional'!S81</f>
        <v>1.0189374474703671E-3</v>
      </c>
      <c r="U456" s="126">
        <f>'Input Operasional'!T81</f>
        <v>1.0189374474703671E-3</v>
      </c>
      <c r="V456" s="126">
        <f>'Input Operasional'!U81</f>
        <v>1.0189374474703671E-3</v>
      </c>
      <c r="W456" s="126">
        <f>'Input Operasional'!V81</f>
        <v>1.0189374474703671E-3</v>
      </c>
      <c r="X456" s="126">
        <f>'Input Operasional'!W81</f>
        <v>1.0189374474703671E-3</v>
      </c>
      <c r="Y456" s="126">
        <f>'Input Operasional'!X81</f>
        <v>1.0189374474703671E-3</v>
      </c>
      <c r="Z456" s="126">
        <f>'Input Operasional'!Y81</f>
        <v>1.0189374474703671E-3</v>
      </c>
      <c r="AA456" s="126">
        <f>'Input Operasional'!Z81</f>
        <v>1.0189374474703671E-3</v>
      </c>
      <c r="AB456" s="126">
        <f>'Input Operasional'!AA81</f>
        <v>1.0189374474703671E-3</v>
      </c>
      <c r="AC456" s="126">
        <f>'Input Operasional'!AB81</f>
        <v>1.0189374474703671E-3</v>
      </c>
      <c r="AD456" s="126">
        <f>'Input Operasional'!AC81</f>
        <v>1.0189374474703671E-3</v>
      </c>
      <c r="AE456" s="126">
        <f>'Input Operasional'!AD81</f>
        <v>1.0189374474703671E-3</v>
      </c>
      <c r="AF456" s="126">
        <f>'Input Operasional'!AE81</f>
        <v>1.0189374474703671E-3</v>
      </c>
      <c r="AG456" s="126">
        <f>'Input Operasional'!AF81</f>
        <v>1.0189374474703671E-3</v>
      </c>
    </row>
    <row r="457" spans="1:33" ht="14.25" customHeight="1" x14ac:dyDescent="0.35">
      <c r="A457" s="21"/>
      <c r="B457" s="28"/>
      <c r="C457" s="28"/>
      <c r="D457" s="175" t="s">
        <v>4108</v>
      </c>
      <c r="E457" s="175"/>
      <c r="F457" s="21"/>
      <c r="G457" s="21"/>
      <c r="H457" s="21"/>
      <c r="I457" s="22" t="s">
        <v>3900</v>
      </c>
      <c r="J457" s="132">
        <v>164.55</v>
      </c>
      <c r="K457" s="132">
        <v>177.27</v>
      </c>
      <c r="L457" s="132">
        <v>161.56</v>
      </c>
      <c r="M457" s="132">
        <v>689.85</v>
      </c>
      <c r="N457" s="132">
        <v>757</v>
      </c>
      <c r="O457" s="132">
        <v>147.65</v>
      </c>
      <c r="P457" s="132">
        <v>159.85</v>
      </c>
      <c r="Q457" s="132">
        <v>163.9</v>
      </c>
      <c r="R457" s="140">
        <f t="shared" ref="R457:AG457" si="273">R456*R421</f>
        <v>305.14579611920453</v>
      </c>
      <c r="S457" s="140">
        <f t="shared" si="273"/>
        <v>305.66054032358454</v>
      </c>
      <c r="T457" s="140">
        <f t="shared" si="273"/>
        <v>305.02826799443397</v>
      </c>
      <c r="U457" s="140">
        <f t="shared" si="273"/>
        <v>305.27795464774653</v>
      </c>
      <c r="V457" s="140">
        <f t="shared" si="273"/>
        <v>305.32203293329292</v>
      </c>
      <c r="W457" s="140">
        <f t="shared" si="273"/>
        <v>305.20936369016681</v>
      </c>
      <c r="X457" s="140">
        <f t="shared" si="273"/>
        <v>305.26977671676292</v>
      </c>
      <c r="Y457" s="140">
        <f t="shared" si="273"/>
        <v>305.26705083713392</v>
      </c>
      <c r="Z457" s="140">
        <f t="shared" si="273"/>
        <v>305.2487278719824</v>
      </c>
      <c r="AA457" s="140">
        <f t="shared" si="273"/>
        <v>305.26185152244904</v>
      </c>
      <c r="AB457" s="140">
        <f t="shared" si="273"/>
        <v>305.25920988245394</v>
      </c>
      <c r="AC457" s="140">
        <f t="shared" si="273"/>
        <v>305.25659632040401</v>
      </c>
      <c r="AD457" s="140">
        <f t="shared" si="273"/>
        <v>305.25921922669028</v>
      </c>
      <c r="AE457" s="140">
        <f t="shared" si="273"/>
        <v>305.25834180485896</v>
      </c>
      <c r="AF457" s="140">
        <f t="shared" si="273"/>
        <v>305.25805244675769</v>
      </c>
      <c r="AG457" s="140">
        <f t="shared" si="273"/>
        <v>305.25853782529606</v>
      </c>
    </row>
    <row r="458" spans="1:33" ht="14.25" customHeight="1" x14ac:dyDescent="0.35">
      <c r="A458" s="21"/>
      <c r="B458" s="28"/>
      <c r="C458" s="28"/>
      <c r="D458" s="175" t="s">
        <v>4061</v>
      </c>
      <c r="E458" s="175"/>
      <c r="F458" s="21"/>
      <c r="G458" s="21"/>
      <c r="H458" s="21"/>
      <c r="I458" s="22" t="s">
        <v>3861</v>
      </c>
      <c r="J458" s="132">
        <f t="shared" ref="J458:Q458" si="274">J459/J457</f>
        <v>26499.856102476209</v>
      </c>
      <c r="K458" s="132">
        <f t="shared" si="274"/>
        <v>26499.856102476224</v>
      </c>
      <c r="L458" s="132">
        <f t="shared" si="274"/>
        <v>26499.944209512443</v>
      </c>
      <c r="M458" s="132">
        <f t="shared" si="274"/>
        <v>26499.944209512501</v>
      </c>
      <c r="N458" s="132">
        <f t="shared" si="274"/>
        <v>34445.43730112206</v>
      </c>
      <c r="O458" s="132">
        <f t="shared" si="274"/>
        <v>34605.650593126447</v>
      </c>
      <c r="P458" s="132">
        <f t="shared" si="274"/>
        <v>34605.650593126491</v>
      </c>
      <c r="Q458" s="132">
        <f t="shared" si="274"/>
        <v>34605.650593126418</v>
      </c>
      <c r="R458" s="140">
        <f t="shared" ref="R458:AG458" si="275">R350</f>
        <v>31999.803314511719</v>
      </c>
      <c r="S458" s="140">
        <f t="shared" si="275"/>
        <v>31542.625913469608</v>
      </c>
      <c r="T458" s="140">
        <f t="shared" si="275"/>
        <v>31233.237937795209</v>
      </c>
      <c r="U458" s="140">
        <f t="shared" si="275"/>
        <v>31020.119924617753</v>
      </c>
      <c r="V458" s="140">
        <f t="shared" si="275"/>
        <v>30874.829430536367</v>
      </c>
      <c r="W458" s="140">
        <f t="shared" si="275"/>
        <v>30775.680799431091</v>
      </c>
      <c r="X458" s="140">
        <f t="shared" si="275"/>
        <v>30707.831449863519</v>
      </c>
      <c r="Y458" s="140">
        <f t="shared" si="275"/>
        <v>30661.502351357416</v>
      </c>
      <c r="Z458" s="140">
        <f t="shared" si="275"/>
        <v>30629.850965944148</v>
      </c>
      <c r="AA458" s="140">
        <f t="shared" si="275"/>
        <v>30608.219066360089</v>
      </c>
      <c r="AB458" s="140">
        <f t="shared" si="275"/>
        <v>30593.441226316554</v>
      </c>
      <c r="AC458" s="140">
        <f t="shared" si="275"/>
        <v>30583.344126134554</v>
      </c>
      <c r="AD458" s="140">
        <f t="shared" si="275"/>
        <v>30576.444938169865</v>
      </c>
      <c r="AE458" s="140">
        <f t="shared" si="275"/>
        <v>30571.73119681087</v>
      </c>
      <c r="AF458" s="140">
        <f t="shared" si="275"/>
        <v>30568.510493805505</v>
      </c>
      <c r="AG458" s="140">
        <f t="shared" si="275"/>
        <v>30566.309922986758</v>
      </c>
    </row>
    <row r="459" spans="1:33" ht="14.25" customHeight="1" x14ac:dyDescent="0.35">
      <c r="A459" s="21"/>
      <c r="B459" s="28"/>
      <c r="C459" s="28"/>
      <c r="D459" s="175" t="s">
        <v>4072</v>
      </c>
      <c r="E459" s="175"/>
      <c r="F459" s="21"/>
      <c r="G459" s="21"/>
      <c r="H459" s="21"/>
      <c r="I459" s="22" t="s">
        <v>4060</v>
      </c>
      <c r="J459" s="148">
        <v>4360551.3216624605</v>
      </c>
      <c r="K459" s="148">
        <v>4697629.4912859602</v>
      </c>
      <c r="L459" s="148">
        <v>4281330.9864888303</v>
      </c>
      <c r="M459" s="148">
        <v>18280986.5129322</v>
      </c>
      <c r="N459" s="148">
        <v>26075196.0369494</v>
      </c>
      <c r="O459" s="148">
        <v>5109524.3100751201</v>
      </c>
      <c r="P459" s="148">
        <v>5531713.2473112699</v>
      </c>
      <c r="Q459" s="148">
        <v>5671866.1322134202</v>
      </c>
      <c r="R459" s="149">
        <f t="shared" ref="R459:AG459" si="276">R457*R458</f>
        <v>9764605.4580646381</v>
      </c>
      <c r="S459" s="149">
        <f t="shared" si="276"/>
        <v>9641336.0799358208</v>
      </c>
      <c r="T459" s="149">
        <f t="shared" si="276"/>
        <v>9527020.4720237199</v>
      </c>
      <c r="U459" s="149">
        <f t="shared" si="276"/>
        <v>9469758.7635151166</v>
      </c>
      <c r="V459" s="149">
        <f t="shared" si="276"/>
        <v>9426765.6882000268</v>
      </c>
      <c r="W459" s="149">
        <f t="shared" si="276"/>
        <v>9393025.9539260473</v>
      </c>
      <c r="X459" s="149">
        <f t="shared" si="276"/>
        <v>9374172.8501558267</v>
      </c>
      <c r="Y459" s="149">
        <f t="shared" si="276"/>
        <v>9359946.3970347252</v>
      </c>
      <c r="Z459" s="149">
        <f t="shared" si="276"/>
        <v>9349723.0422628615</v>
      </c>
      <c r="AA459" s="149">
        <f t="shared" si="276"/>
        <v>9343521.6240018066</v>
      </c>
      <c r="AB459" s="149">
        <f t="shared" si="276"/>
        <v>9338929.6963306833</v>
      </c>
      <c r="AC459" s="149">
        <f t="shared" si="276"/>
        <v>9335767.5320394542</v>
      </c>
      <c r="AD459" s="149">
        <f t="shared" si="276"/>
        <v>9333741.7085536197</v>
      </c>
      <c r="AE459" s="149">
        <f t="shared" si="276"/>
        <v>9332275.9712423626</v>
      </c>
      <c r="AF459" s="149">
        <f t="shared" si="276"/>
        <v>9331283.9795373436</v>
      </c>
      <c r="AG459" s="149">
        <f t="shared" si="276"/>
        <v>9330627.0738057755</v>
      </c>
    </row>
    <row r="460" spans="1:33" ht="14.25" customHeight="1" x14ac:dyDescent="0.35">
      <c r="A460" s="21"/>
      <c r="B460" s="28"/>
      <c r="C460" s="143" t="s">
        <v>4124</v>
      </c>
      <c r="D460" s="28" t="s">
        <v>4074</v>
      </c>
      <c r="E460" s="21"/>
      <c r="F460" s="21"/>
      <c r="G460" s="21"/>
      <c r="H460" s="21"/>
      <c r="I460" s="22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</row>
    <row r="461" spans="1:33" ht="14.25" customHeight="1" x14ac:dyDescent="0.35">
      <c r="A461" s="21"/>
      <c r="B461" s="28"/>
      <c r="C461" s="28"/>
      <c r="D461" s="175" t="s">
        <v>4123</v>
      </c>
      <c r="E461" s="175"/>
      <c r="F461" s="21"/>
      <c r="G461" s="21"/>
      <c r="H461" s="21"/>
      <c r="I461" s="22" t="s">
        <v>13</v>
      </c>
      <c r="J461" s="122">
        <v>8.9215482159802593E-3</v>
      </c>
      <c r="K461" s="122">
        <v>8.6549299596114706E-3</v>
      </c>
      <c r="L461" s="122">
        <v>8.4276316292147806E-3</v>
      </c>
      <c r="M461" s="122">
        <v>4.5562803739519799E-3</v>
      </c>
      <c r="N461" s="122">
        <v>4.0664298742440303E-3</v>
      </c>
      <c r="O461" s="122">
        <v>7.9705490730122997E-3</v>
      </c>
      <c r="P461" s="122">
        <v>6.5253070219556102E-3</v>
      </c>
      <c r="Q461" s="122">
        <v>8.1344672556355503E-3</v>
      </c>
      <c r="R461" s="126">
        <f>'Input Operasional'!Q85</f>
        <v>6.9676179959947612E-3</v>
      </c>
      <c r="S461" s="126">
        <f>'Input Operasional'!R85</f>
        <v>6.9676179959947612E-3</v>
      </c>
      <c r="T461" s="126">
        <f>'Input Operasional'!S85</f>
        <v>6.9676179959947612E-3</v>
      </c>
      <c r="U461" s="126">
        <f>'Input Operasional'!T85</f>
        <v>6.9676179959947612E-3</v>
      </c>
      <c r="V461" s="126">
        <f>'Input Operasional'!U85</f>
        <v>6.9676179959947612E-3</v>
      </c>
      <c r="W461" s="126">
        <f>'Input Operasional'!V85</f>
        <v>6.9676179959947612E-3</v>
      </c>
      <c r="X461" s="126">
        <f>'Input Operasional'!W85</f>
        <v>6.9676179959947612E-3</v>
      </c>
      <c r="Y461" s="126">
        <f>'Input Operasional'!X85</f>
        <v>6.9676179959947612E-3</v>
      </c>
      <c r="Z461" s="126">
        <f>'Input Operasional'!Y85</f>
        <v>6.9676179959947612E-3</v>
      </c>
      <c r="AA461" s="126">
        <f>'Input Operasional'!Z85</f>
        <v>6.9676179959947612E-3</v>
      </c>
      <c r="AB461" s="126">
        <f>'Input Operasional'!AA85</f>
        <v>6.9676179959947612E-3</v>
      </c>
      <c r="AC461" s="126">
        <f>'Input Operasional'!AB85</f>
        <v>6.9676179959947612E-3</v>
      </c>
      <c r="AD461" s="126">
        <f>'Input Operasional'!AC85</f>
        <v>6.9676179959947612E-3</v>
      </c>
      <c r="AE461" s="126">
        <f>'Input Operasional'!AD85</f>
        <v>6.9676179959947612E-3</v>
      </c>
      <c r="AF461" s="126">
        <f>'Input Operasional'!AE85</f>
        <v>6.9676179959947612E-3</v>
      </c>
      <c r="AG461" s="126">
        <f>'Input Operasional'!AF85</f>
        <v>6.9676179959947612E-3</v>
      </c>
    </row>
    <row r="462" spans="1:33" ht="14.25" customHeight="1" x14ac:dyDescent="0.35">
      <c r="A462" s="21"/>
      <c r="B462" s="28"/>
      <c r="C462" s="28"/>
      <c r="D462" s="175" t="s">
        <v>4108</v>
      </c>
      <c r="E462" s="175"/>
      <c r="F462" s="21"/>
      <c r="G462" s="21"/>
      <c r="H462" s="21"/>
      <c r="I462" s="22" t="s">
        <v>3900</v>
      </c>
      <c r="J462" s="132">
        <f t="shared" ref="J462:Q462" si="277">J464/J463</f>
        <v>3185.15</v>
      </c>
      <c r="K462" s="132">
        <f t="shared" si="277"/>
        <v>2791.1500000000005</v>
      </c>
      <c r="L462" s="132">
        <f t="shared" si="277"/>
        <v>1985.4000000000015</v>
      </c>
      <c r="M462" s="132">
        <f t="shared" si="277"/>
        <v>1062.6999999999989</v>
      </c>
      <c r="N462" s="132">
        <f t="shared" si="277"/>
        <v>1059.0000000000002</v>
      </c>
      <c r="O462" s="132">
        <f t="shared" si="277"/>
        <v>2104.699999999998</v>
      </c>
      <c r="P462" s="132">
        <f t="shared" si="277"/>
        <v>1783.9699999999996</v>
      </c>
      <c r="Q462" s="132">
        <f t="shared" si="277"/>
        <v>2587.3300000000004</v>
      </c>
      <c r="R462" s="140">
        <f t="shared" ref="R462:AG462" si="278">R461*R421</f>
        <v>2086.6240079022618</v>
      </c>
      <c r="S462" s="140">
        <f t="shared" si="278"/>
        <v>2090.1438912775134</v>
      </c>
      <c r="T462" s="140">
        <f t="shared" si="278"/>
        <v>2085.8203363135694</v>
      </c>
      <c r="U462" s="140">
        <f t="shared" si="278"/>
        <v>2087.5277239685224</v>
      </c>
      <c r="V462" s="140">
        <f t="shared" si="278"/>
        <v>2087.8291366375415</v>
      </c>
      <c r="W462" s="140">
        <f t="shared" si="278"/>
        <v>2087.0586906715507</v>
      </c>
      <c r="X462" s="140">
        <f t="shared" si="278"/>
        <v>2087.4718022834054</v>
      </c>
      <c r="Y462" s="140">
        <f t="shared" si="278"/>
        <v>2087.4531623874968</v>
      </c>
      <c r="Z462" s="140">
        <f t="shared" si="278"/>
        <v>2087.3278677268222</v>
      </c>
      <c r="AA462" s="140">
        <f t="shared" si="278"/>
        <v>2087.4176088423255</v>
      </c>
      <c r="AB462" s="140">
        <f t="shared" si="278"/>
        <v>2087.3995449872637</v>
      </c>
      <c r="AC462" s="140">
        <f t="shared" si="278"/>
        <v>2087.3816731325996</v>
      </c>
      <c r="AD462" s="140">
        <f t="shared" si="278"/>
        <v>2087.3996088842864</v>
      </c>
      <c r="AE462" s="140">
        <f t="shared" si="278"/>
        <v>2087.3936089672579</v>
      </c>
      <c r="AF462" s="140">
        <f t="shared" si="278"/>
        <v>2087.3916303014244</v>
      </c>
      <c r="AG462" s="140">
        <f t="shared" si="278"/>
        <v>2087.3949493788095</v>
      </c>
    </row>
    <row r="463" spans="1:33" ht="14.25" customHeight="1" x14ac:dyDescent="0.35">
      <c r="A463" s="21"/>
      <c r="B463" s="28"/>
      <c r="C463" s="28"/>
      <c r="D463" s="175" t="s">
        <v>4061</v>
      </c>
      <c r="E463" s="175"/>
      <c r="F463" s="21"/>
      <c r="G463" s="21"/>
      <c r="H463" s="21"/>
      <c r="I463" s="22" t="s">
        <v>3861</v>
      </c>
      <c r="J463" s="132">
        <v>26499.999989038599</v>
      </c>
      <c r="K463" s="132">
        <v>26499.999995827198</v>
      </c>
      <c r="L463" s="132">
        <v>26499.999996557399</v>
      </c>
      <c r="M463" s="132">
        <v>26499.9999995826</v>
      </c>
      <c r="N463" s="132">
        <v>43388.324873096397</v>
      </c>
      <c r="O463" s="132">
        <v>41270.213540662699</v>
      </c>
      <c r="P463" s="132">
        <v>40694.264173574004</v>
      </c>
      <c r="Q463" s="132">
        <v>34879.084201740901</v>
      </c>
      <c r="R463" s="140">
        <f t="shared" ref="R463:AG463" si="279">R366</f>
        <v>34879.083979057592</v>
      </c>
      <c r="S463" s="140">
        <f t="shared" si="279"/>
        <v>33900.038425008875</v>
      </c>
      <c r="T463" s="140">
        <f t="shared" si="279"/>
        <v>33127.132905379724</v>
      </c>
      <c r="U463" s="140">
        <f t="shared" si="279"/>
        <v>32725.337495661246</v>
      </c>
      <c r="V463" s="140">
        <f t="shared" si="279"/>
        <v>32517.8604235598</v>
      </c>
      <c r="W463" s="140">
        <f t="shared" si="279"/>
        <v>32410.633919260799</v>
      </c>
      <c r="X463" s="140">
        <f t="shared" si="279"/>
        <v>32355.125367417462</v>
      </c>
      <c r="Y463" s="140">
        <f t="shared" si="279"/>
        <v>32326.430026639762</v>
      </c>
      <c r="Z463" s="140">
        <f t="shared" si="279"/>
        <v>32311.590325880832</v>
      </c>
      <c r="AA463" s="140">
        <f t="shared" si="279"/>
        <v>32303.91436445561</v>
      </c>
      <c r="AB463" s="140">
        <f t="shared" si="279"/>
        <v>32299.944974766011</v>
      </c>
      <c r="AC463" s="140">
        <f t="shared" si="279"/>
        <v>32297.892105998271</v>
      </c>
      <c r="AD463" s="140">
        <f t="shared" si="279"/>
        <v>32296.830394465778</v>
      </c>
      <c r="AE463" s="140">
        <f t="shared" si="279"/>
        <v>32296.28132016382</v>
      </c>
      <c r="AF463" s="140">
        <f t="shared" si="279"/>
        <v>32295.99735379258</v>
      </c>
      <c r="AG463" s="140">
        <f t="shared" si="279"/>
        <v>32295.850494256105</v>
      </c>
    </row>
    <row r="464" spans="1:33" ht="14.25" customHeight="1" x14ac:dyDescent="0.35">
      <c r="A464" s="21"/>
      <c r="B464" s="28"/>
      <c r="C464" s="28"/>
      <c r="D464" s="175" t="s">
        <v>4074</v>
      </c>
      <c r="E464" s="175"/>
      <c r="F464" s="21"/>
      <c r="G464" s="21"/>
      <c r="H464" s="21"/>
      <c r="I464" s="22" t="s">
        <v>4060</v>
      </c>
      <c r="J464" s="148">
        <v>84406474.965086296</v>
      </c>
      <c r="K464" s="148">
        <v>73965474.988353103</v>
      </c>
      <c r="L464" s="148">
        <v>52613099.993165098</v>
      </c>
      <c r="M464" s="148">
        <v>28161549.9995564</v>
      </c>
      <c r="N464" s="148">
        <v>45948236.040609099</v>
      </c>
      <c r="O464" s="148">
        <v>86861418.439032704</v>
      </c>
      <c r="P464" s="148">
        <v>72597346.4577308</v>
      </c>
      <c r="Q464" s="148">
        <v>90243700.927690297</v>
      </c>
      <c r="R464" s="149">
        <f t="shared" ref="R464:AG464" si="280">R462*R463</f>
        <v>72779534.004340723</v>
      </c>
      <c r="S464" s="149">
        <f t="shared" si="280"/>
        <v>70855958.228105277</v>
      </c>
      <c r="T464" s="149">
        <f t="shared" si="280"/>
        <v>69097247.49780345</v>
      </c>
      <c r="U464" s="149">
        <f t="shared" si="280"/>
        <v>68315049.298419461</v>
      </c>
      <c r="V464" s="149">
        <f t="shared" si="280"/>
        <v>67891736.453420937</v>
      </c>
      <c r="W464" s="149">
        <f t="shared" si="280"/>
        <v>67642895.191367388</v>
      </c>
      <c r="X464" s="149">
        <f t="shared" si="280"/>
        <v>67540411.863828465</v>
      </c>
      <c r="Y464" s="149">
        <f t="shared" si="280"/>
        <v>67479908.587807298</v>
      </c>
      <c r="Z464" s="149">
        <f t="shared" si="280"/>
        <v>67444882.93778345</v>
      </c>
      <c r="AA464" s="149">
        <f t="shared" si="280"/>
        <v>67431759.678899184</v>
      </c>
      <c r="AB464" s="149">
        <f t="shared" si="280"/>
        <v>67422890.443440229</v>
      </c>
      <c r="AC464" s="149">
        <f t="shared" si="280"/>
        <v>67418028.062874854</v>
      </c>
      <c r="AD464" s="149">
        <f t="shared" si="280"/>
        <v>67416391.133609995</v>
      </c>
      <c r="AE464" s="149">
        <f t="shared" si="280"/>
        <v>67415051.221118599</v>
      </c>
      <c r="AF464" s="149">
        <f t="shared" si="280"/>
        <v>67414394.568543583</v>
      </c>
      <c r="AG464" s="149">
        <f t="shared" si="280"/>
        <v>67414195.20760332</v>
      </c>
    </row>
    <row r="465" spans="1:33" ht="14.25" customHeight="1" x14ac:dyDescent="0.35">
      <c r="A465" s="21"/>
      <c r="B465" s="28"/>
      <c r="C465" s="143" t="s">
        <v>4125</v>
      </c>
      <c r="D465" s="179" t="s">
        <v>4076</v>
      </c>
      <c r="E465" s="21"/>
      <c r="F465" s="21"/>
      <c r="G465" s="21"/>
      <c r="H465" s="21"/>
      <c r="I465" s="22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</row>
    <row r="466" spans="1:33" ht="14.25" customHeight="1" x14ac:dyDescent="0.35">
      <c r="A466" s="21"/>
      <c r="B466" s="28"/>
      <c r="C466" s="28"/>
      <c r="D466" s="175" t="s">
        <v>4123</v>
      </c>
      <c r="E466" s="175"/>
      <c r="F466" s="21"/>
      <c r="G466" s="21"/>
      <c r="H466" s="21"/>
      <c r="I466" s="22" t="s">
        <v>13</v>
      </c>
      <c r="J466" s="122">
        <v>6.1307896755686802E-3</v>
      </c>
      <c r="K466" s="122">
        <v>6.2573858306782301E-3</v>
      </c>
      <c r="L466" s="122">
        <v>7.6852156062724598E-3</v>
      </c>
      <c r="M466" s="122">
        <v>1.0713711501317299E-2</v>
      </c>
      <c r="N466" s="122">
        <v>1.0976826341557101E-2</v>
      </c>
      <c r="O466" s="122">
        <v>8.3960969417510301E-3</v>
      </c>
      <c r="P466" s="122">
        <v>1.04422030597035E-2</v>
      </c>
      <c r="Q466" s="122">
        <v>8.2900933756720196E-3</v>
      </c>
      <c r="R466" s="126">
        <f>'Input Operasional'!Q89</f>
        <v>8.0296586227777671E-3</v>
      </c>
      <c r="S466" s="126">
        <f>'Input Operasional'!R89</f>
        <v>8.0296586227777671E-3</v>
      </c>
      <c r="T466" s="126">
        <f>'Input Operasional'!S89</f>
        <v>8.0296586227777671E-3</v>
      </c>
      <c r="U466" s="126">
        <f>'Input Operasional'!T89</f>
        <v>8.0296586227777671E-3</v>
      </c>
      <c r="V466" s="126">
        <f>'Input Operasional'!U89</f>
        <v>8.0296586227777671E-3</v>
      </c>
      <c r="W466" s="126">
        <f>'Input Operasional'!V89</f>
        <v>8.0296586227777671E-3</v>
      </c>
      <c r="X466" s="126">
        <f>'Input Operasional'!W89</f>
        <v>8.0296586227777671E-3</v>
      </c>
      <c r="Y466" s="126">
        <f>'Input Operasional'!X89</f>
        <v>8.0296586227777671E-3</v>
      </c>
      <c r="Z466" s="126">
        <f>'Input Operasional'!Y89</f>
        <v>8.0296586227777671E-3</v>
      </c>
      <c r="AA466" s="126">
        <f>'Input Operasional'!Z89</f>
        <v>8.0296586227777671E-3</v>
      </c>
      <c r="AB466" s="126">
        <f>'Input Operasional'!AA89</f>
        <v>8.0296586227777671E-3</v>
      </c>
      <c r="AC466" s="126">
        <f>'Input Operasional'!AB89</f>
        <v>8.0296586227777671E-3</v>
      </c>
      <c r="AD466" s="126">
        <f>'Input Operasional'!AC89</f>
        <v>8.0296586227777671E-3</v>
      </c>
      <c r="AE466" s="126">
        <f>'Input Operasional'!AD89</f>
        <v>8.0296586227777671E-3</v>
      </c>
      <c r="AF466" s="126">
        <f>'Input Operasional'!AE89</f>
        <v>8.0296586227777671E-3</v>
      </c>
      <c r="AG466" s="126">
        <f>'Input Operasional'!AF89</f>
        <v>8.0296586227777671E-3</v>
      </c>
    </row>
    <row r="467" spans="1:33" ht="14.25" customHeight="1" x14ac:dyDescent="0.35">
      <c r="A467" s="21"/>
      <c r="B467" s="28"/>
      <c r="C467" s="28"/>
      <c r="D467" s="175" t="s">
        <v>4108</v>
      </c>
      <c r="E467" s="175"/>
      <c r="F467" s="21"/>
      <c r="G467" s="21"/>
      <c r="H467" s="21"/>
      <c r="I467" s="22" t="s">
        <v>3900</v>
      </c>
      <c r="J467" s="132">
        <v>2188.8000000000002</v>
      </c>
      <c r="K467" s="132">
        <v>2017.96</v>
      </c>
      <c r="L467" s="132">
        <v>1810.5</v>
      </c>
      <c r="M467" s="132">
        <v>2498.85</v>
      </c>
      <c r="N467" s="132">
        <v>2858.64</v>
      </c>
      <c r="O467" s="132">
        <v>2217.0700000000002</v>
      </c>
      <c r="P467" s="132">
        <v>2854.82</v>
      </c>
      <c r="Q467" s="132">
        <v>2636.83</v>
      </c>
      <c r="R467" s="140">
        <f t="shared" ref="R467:AG467" si="281">R466*R421</f>
        <v>2404.6781076658926</v>
      </c>
      <c r="S467" s="140">
        <f t="shared" si="281"/>
        <v>2408.7345099990152</v>
      </c>
      <c r="T467" s="140">
        <f t="shared" si="281"/>
        <v>2403.7519362676135</v>
      </c>
      <c r="U467" s="140">
        <f t="shared" si="281"/>
        <v>2405.7195728421066</v>
      </c>
      <c r="V467" s="140">
        <f t="shared" si="281"/>
        <v>2406.0669284000887</v>
      </c>
      <c r="W467" s="140">
        <f t="shared" si="281"/>
        <v>2405.1790470469837</v>
      </c>
      <c r="X467" s="140">
        <f t="shared" si="281"/>
        <v>2405.6551272824681</v>
      </c>
      <c r="Y467" s="140">
        <f t="shared" si="281"/>
        <v>2405.6336461965366</v>
      </c>
      <c r="Z467" s="140">
        <f t="shared" si="281"/>
        <v>2405.4892534710666</v>
      </c>
      <c r="AA467" s="140">
        <f t="shared" si="281"/>
        <v>2405.5926733948249</v>
      </c>
      <c r="AB467" s="140">
        <f t="shared" si="281"/>
        <v>2405.5718561528856</v>
      </c>
      <c r="AC467" s="140">
        <f t="shared" si="281"/>
        <v>2405.5512601770461</v>
      </c>
      <c r="AD467" s="140">
        <f t="shared" si="281"/>
        <v>2405.5719297894257</v>
      </c>
      <c r="AE467" s="140">
        <f t="shared" si="281"/>
        <v>2405.565015333792</v>
      </c>
      <c r="AF467" s="140">
        <f t="shared" si="281"/>
        <v>2405.5627350694062</v>
      </c>
      <c r="AG467" s="140">
        <f t="shared" si="281"/>
        <v>2405.5665600578541</v>
      </c>
    </row>
    <row r="468" spans="1:33" ht="14.25" customHeight="1" x14ac:dyDescent="0.35">
      <c r="A468" s="21"/>
      <c r="B468" s="28"/>
      <c r="C468" s="28"/>
      <c r="D468" s="175" t="s">
        <v>4061</v>
      </c>
      <c r="E468" s="175"/>
      <c r="F468" s="21"/>
      <c r="G468" s="21"/>
      <c r="H468" s="21"/>
      <c r="I468" s="22" t="s">
        <v>3861</v>
      </c>
      <c r="J468" s="132">
        <v>26499.997801143501</v>
      </c>
      <c r="K468" s="132">
        <v>26499.999016301001</v>
      </c>
      <c r="L468" s="132">
        <v>26499.999873071101</v>
      </c>
      <c r="M468" s="132">
        <v>26499.999936188698</v>
      </c>
      <c r="N468" s="132">
        <v>37274.509787155497</v>
      </c>
      <c r="O468" s="132">
        <v>38456.327976376801</v>
      </c>
      <c r="P468" s="132">
        <v>35344.844614267597</v>
      </c>
      <c r="Q468" s="132">
        <v>33799.844959105903</v>
      </c>
      <c r="R468" s="140">
        <f t="shared" ref="R468:AG468" si="282">R382</f>
        <v>32690.535619065857</v>
      </c>
      <c r="S468" s="140">
        <f t="shared" si="282"/>
        <v>32219.380208561117</v>
      </c>
      <c r="T468" s="140">
        <f t="shared" si="282"/>
        <v>32008.239075479058</v>
      </c>
      <c r="U468" s="140">
        <f t="shared" si="282"/>
        <v>31912.826877100772</v>
      </c>
      <c r="V468" s="140">
        <f t="shared" si="282"/>
        <v>31869.937654707104</v>
      </c>
      <c r="W468" s="140">
        <f t="shared" si="282"/>
        <v>31850.644231735252</v>
      </c>
      <c r="X468" s="140">
        <f t="shared" si="282"/>
        <v>31841.954209195061</v>
      </c>
      <c r="Y468" s="140">
        <f t="shared" si="282"/>
        <v>31838.044361893579</v>
      </c>
      <c r="Z468" s="140">
        <f t="shared" si="282"/>
        <v>31836.28469550993</v>
      </c>
      <c r="AA468" s="140">
        <f t="shared" si="282"/>
        <v>31835.492612546288</v>
      </c>
      <c r="AB468" s="140">
        <f t="shared" si="282"/>
        <v>31835.136144513068</v>
      </c>
      <c r="AC468" s="140">
        <f t="shared" si="282"/>
        <v>31834.975706409045</v>
      </c>
      <c r="AD468" s="140">
        <f t="shared" si="282"/>
        <v>31834.903495981693</v>
      </c>
      <c r="AE468" s="140">
        <f t="shared" si="282"/>
        <v>31834.8709965079</v>
      </c>
      <c r="AF468" s="140">
        <f t="shared" si="282"/>
        <v>31834.856369295238</v>
      </c>
      <c r="AG468" s="140">
        <f t="shared" si="282"/>
        <v>31834.849785955608</v>
      </c>
    </row>
    <row r="469" spans="1:33" ht="14.25" customHeight="1" x14ac:dyDescent="0.35">
      <c r="A469" s="21"/>
      <c r="B469" s="28"/>
      <c r="C469" s="28"/>
      <c r="D469" s="175" t="s">
        <v>4076</v>
      </c>
      <c r="E469" s="175"/>
      <c r="F469" s="21"/>
      <c r="G469" s="21"/>
      <c r="H469" s="21"/>
      <c r="I469" s="22" t="s">
        <v>4060</v>
      </c>
      <c r="J469" s="148">
        <f t="shared" ref="J469:Q469" si="283">J468*J467</f>
        <v>58003195.187142901</v>
      </c>
      <c r="K469" s="148">
        <f t="shared" si="283"/>
        <v>53475938.014934771</v>
      </c>
      <c r="L469" s="148">
        <f t="shared" si="283"/>
        <v>47978249.770195231</v>
      </c>
      <c r="M469" s="148">
        <f t="shared" si="283"/>
        <v>66219524.840545125</v>
      </c>
      <c r="N469" s="148">
        <f t="shared" si="283"/>
        <v>106554404.65795419</v>
      </c>
      <c r="O469" s="148">
        <f t="shared" si="283"/>
        <v>85260371.06658572</v>
      </c>
      <c r="P469" s="148">
        <f t="shared" si="283"/>
        <v>100903169.30170342</v>
      </c>
      <c r="Q469" s="148">
        <f t="shared" si="283"/>
        <v>89124445.183519214</v>
      </c>
      <c r="R469" s="149">
        <f t="shared" ref="R469:AG469" si="284">R467*R468</f>
        <v>78610215.331039742</v>
      </c>
      <c r="S469" s="149">
        <f t="shared" si="284"/>
        <v>77607932.999140427</v>
      </c>
      <c r="T469" s="149">
        <f t="shared" si="284"/>
        <v>76939866.654199466</v>
      </c>
      <c r="U469" s="149">
        <f t="shared" si="284"/>
        <v>76773312.242962971</v>
      </c>
      <c r="V469" s="149">
        <f t="shared" si="284"/>
        <v>76681203.001163453</v>
      </c>
      <c r="W469" s="149">
        <f t="shared" si="284"/>
        <v>76606502.141117498</v>
      </c>
      <c r="X469" s="149">
        <f t="shared" si="284"/>
        <v>76600760.406043664</v>
      </c>
      <c r="Y469" s="149">
        <f t="shared" si="284"/>
        <v>76590670.746069133</v>
      </c>
      <c r="Z469" s="149">
        <f t="shared" si="284"/>
        <v>76581840.705494523</v>
      </c>
      <c r="AA469" s="149">
        <f t="shared" si="284"/>
        <v>76583227.782656431</v>
      </c>
      <c r="AB469" s="149">
        <f t="shared" si="284"/>
        <v>76581707.546036124</v>
      </c>
      <c r="AC469" s="149">
        <f t="shared" si="284"/>
        <v>76580665.928257927</v>
      </c>
      <c r="AD469" s="149">
        <f t="shared" si="284"/>
        <v>76581150.237488821</v>
      </c>
      <c r="AE469" s="149">
        <f t="shared" si="284"/>
        <v>76580851.93686381</v>
      </c>
      <c r="AF469" s="149">
        <f t="shared" si="284"/>
        <v>76580744.158263564</v>
      </c>
      <c r="AG469" s="149">
        <f t="shared" si="284"/>
        <v>76580850.089559749</v>
      </c>
    </row>
    <row r="470" spans="1:33" ht="14.25" customHeight="1" x14ac:dyDescent="0.35">
      <c r="A470" s="21"/>
      <c r="B470" s="28"/>
      <c r="C470" s="143" t="s">
        <v>4126</v>
      </c>
      <c r="D470" s="179" t="s">
        <v>4127</v>
      </c>
      <c r="E470" s="21"/>
      <c r="F470" s="21"/>
      <c r="G470" s="21"/>
      <c r="H470" s="21"/>
      <c r="I470" s="22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</row>
    <row r="471" spans="1:33" ht="14.25" customHeight="1" x14ac:dyDescent="0.35">
      <c r="A471" s="21"/>
      <c r="B471" s="28"/>
      <c r="C471" s="28"/>
      <c r="D471" s="175" t="s">
        <v>4112</v>
      </c>
      <c r="E471" s="175"/>
      <c r="F471" s="21"/>
      <c r="G471" s="21"/>
      <c r="H471" s="21"/>
      <c r="I471" s="22" t="s">
        <v>13</v>
      </c>
      <c r="J471" s="122">
        <v>2.9256258297384399E-2</v>
      </c>
      <c r="K471" s="122">
        <v>1.57523043171547E-2</v>
      </c>
      <c r="L471" s="122">
        <v>1.5111498237133401E-2</v>
      </c>
      <c r="M471" s="122">
        <v>2.3623887136986401E-2</v>
      </c>
      <c r="N471" s="122">
        <v>2.5919170586541199E-2</v>
      </c>
      <c r="O471" s="122">
        <v>3.8021719339118902E-2</v>
      </c>
      <c r="P471" s="122">
        <v>9.1809394917563604E-3</v>
      </c>
      <c r="Q471" s="122">
        <v>2.9647561857452799E-2</v>
      </c>
      <c r="R471" s="126">
        <f>'Input Operasional'!Q93</f>
        <v>2.2437300242546268E-2</v>
      </c>
      <c r="S471" s="126">
        <f>'Input Operasional'!R93</f>
        <v>2.2437300242546268E-2</v>
      </c>
      <c r="T471" s="126">
        <f>'Input Operasional'!S93</f>
        <v>2.2437300242546268E-2</v>
      </c>
      <c r="U471" s="126">
        <f>'Input Operasional'!T93</f>
        <v>2.2437300242546268E-2</v>
      </c>
      <c r="V471" s="126">
        <f>'Input Operasional'!U93</f>
        <v>2.2437300242546268E-2</v>
      </c>
      <c r="W471" s="126">
        <f>'Input Operasional'!V93</f>
        <v>2.2437300242546268E-2</v>
      </c>
      <c r="X471" s="126">
        <f>'Input Operasional'!W93</f>
        <v>2.2437300242546268E-2</v>
      </c>
      <c r="Y471" s="126">
        <f>'Input Operasional'!X93</f>
        <v>2.2437300242546268E-2</v>
      </c>
      <c r="Z471" s="126">
        <f>'Input Operasional'!Y93</f>
        <v>2.2437300242546268E-2</v>
      </c>
      <c r="AA471" s="126">
        <f>'Input Operasional'!Z93</f>
        <v>2.2437300242546268E-2</v>
      </c>
      <c r="AB471" s="126">
        <f>'Input Operasional'!AA93</f>
        <v>2.2437300242546268E-2</v>
      </c>
      <c r="AC471" s="126">
        <f>'Input Operasional'!AB93</f>
        <v>2.2437300242546268E-2</v>
      </c>
      <c r="AD471" s="126">
        <f>'Input Operasional'!AC93</f>
        <v>2.2437300242546268E-2</v>
      </c>
      <c r="AE471" s="126">
        <f>'Input Operasional'!AD93</f>
        <v>2.2437300242546268E-2</v>
      </c>
      <c r="AF471" s="126">
        <f>'Input Operasional'!AE93</f>
        <v>2.2437300242546268E-2</v>
      </c>
      <c r="AG471" s="126">
        <f>'Input Operasional'!AF93</f>
        <v>2.2437300242546268E-2</v>
      </c>
    </row>
    <row r="472" spans="1:33" ht="14.25" customHeight="1" x14ac:dyDescent="0.35">
      <c r="A472" s="21"/>
      <c r="B472" s="28"/>
      <c r="C472" s="28"/>
      <c r="D472" s="175" t="s">
        <v>4108</v>
      </c>
      <c r="E472" s="175"/>
      <c r="F472" s="21"/>
      <c r="G472" s="21"/>
      <c r="H472" s="21"/>
      <c r="I472" s="22" t="s">
        <v>4128</v>
      </c>
      <c r="J472" s="132">
        <v>10445</v>
      </c>
      <c r="K472" s="132">
        <v>5080</v>
      </c>
      <c r="L472" s="132">
        <v>3560</v>
      </c>
      <c r="M472" s="132">
        <v>5510</v>
      </c>
      <c r="N472" s="132">
        <v>6750</v>
      </c>
      <c r="O472" s="132">
        <v>10040</v>
      </c>
      <c r="P472" s="132">
        <v>2510</v>
      </c>
      <c r="Q472" s="132">
        <v>9430</v>
      </c>
      <c r="R472" s="140">
        <f t="shared" ref="R472:AG472" si="285">R471*R421</f>
        <v>6719.3995689087851</v>
      </c>
      <c r="S472" s="140">
        <f t="shared" si="285"/>
        <v>6730.7343866549163</v>
      </c>
      <c r="T472" s="140">
        <f t="shared" si="285"/>
        <v>6716.8115652693396</v>
      </c>
      <c r="U472" s="140">
        <f t="shared" si="285"/>
        <v>6722.3097383130707</v>
      </c>
      <c r="V472" s="140">
        <f t="shared" si="285"/>
        <v>6723.2803550368326</v>
      </c>
      <c r="W472" s="140">
        <f t="shared" si="285"/>
        <v>6720.7993453905601</v>
      </c>
      <c r="X472" s="140">
        <f t="shared" si="285"/>
        <v>6722.1296578838974</v>
      </c>
      <c r="Y472" s="140">
        <f t="shared" si="285"/>
        <v>6722.0696332181897</v>
      </c>
      <c r="Z472" s="140">
        <f t="shared" si="285"/>
        <v>6721.666156173098</v>
      </c>
      <c r="AA472" s="140">
        <f t="shared" si="285"/>
        <v>6721.9551427900178</v>
      </c>
      <c r="AB472" s="140">
        <f t="shared" si="285"/>
        <v>6721.8969731056577</v>
      </c>
      <c r="AC472" s="140">
        <f t="shared" si="285"/>
        <v>6721.8394217058521</v>
      </c>
      <c r="AD472" s="140">
        <f t="shared" si="285"/>
        <v>6721.8971788684721</v>
      </c>
      <c r="AE472" s="140">
        <f t="shared" si="285"/>
        <v>6721.8778577834355</v>
      </c>
      <c r="AF472" s="140">
        <f t="shared" si="285"/>
        <v>6721.8714860335194</v>
      </c>
      <c r="AG472" s="140">
        <f t="shared" si="285"/>
        <v>6721.882174210722</v>
      </c>
    </row>
    <row r="473" spans="1:33" ht="14.25" customHeight="1" x14ac:dyDescent="0.35">
      <c r="A473" s="21"/>
      <c r="B473" s="28"/>
      <c r="C473" s="28"/>
      <c r="D473" s="175" t="s">
        <v>4061</v>
      </c>
      <c r="E473" s="175"/>
      <c r="F473" s="21"/>
      <c r="G473" s="21"/>
      <c r="H473" s="21"/>
      <c r="I473" s="22" t="s">
        <v>3861</v>
      </c>
      <c r="J473" s="132">
        <v>8474.3192758340192</v>
      </c>
      <c r="K473" s="132">
        <v>8604.4927579266496</v>
      </c>
      <c r="L473" s="132">
        <v>8622.7575375018805</v>
      </c>
      <c r="M473" s="132">
        <v>8871.2315923838196</v>
      </c>
      <c r="N473" s="132">
        <v>9186.4499610293096</v>
      </c>
      <c r="O473" s="132">
        <v>9186.4499610293096</v>
      </c>
      <c r="P473" s="132">
        <v>9186.4499610293096</v>
      </c>
      <c r="Q473" s="132">
        <v>9647.6885763610098</v>
      </c>
      <c r="R473" s="140">
        <f t="shared" ref="R473:AG473" si="286">R398</f>
        <v>9375.2135813817094</v>
      </c>
      <c r="S473" s="140">
        <f t="shared" si="286"/>
        <v>9281.2402065806818</v>
      </c>
      <c r="T473" s="140">
        <f t="shared" si="286"/>
        <v>9211.7681677924083</v>
      </c>
      <c r="U473" s="140">
        <f t="shared" si="286"/>
        <v>9159.1827339562169</v>
      </c>
      <c r="V473" s="140">
        <f t="shared" si="286"/>
        <v>9119.9142145681471</v>
      </c>
      <c r="W473" s="140">
        <f t="shared" si="286"/>
        <v>9090.556516700728</v>
      </c>
      <c r="X473" s="140">
        <f t="shared" si="286"/>
        <v>9068.526122139252</v>
      </c>
      <c r="Y473" s="140">
        <f t="shared" si="286"/>
        <v>9052.0416907372819</v>
      </c>
      <c r="Z473" s="140">
        <f t="shared" si="286"/>
        <v>9039.6987938168313</v>
      </c>
      <c r="AA473" s="140">
        <f t="shared" si="286"/>
        <v>9030.4521948995316</v>
      </c>
      <c r="AB473" s="140">
        <f t="shared" si="286"/>
        <v>9023.5290742339803</v>
      </c>
      <c r="AC473" s="140">
        <f t="shared" si="286"/>
        <v>9018.3445225179694</v>
      </c>
      <c r="AD473" s="140">
        <f t="shared" si="286"/>
        <v>9014.4617443639509</v>
      </c>
      <c r="AE473" s="140">
        <f t="shared" si="286"/>
        <v>9011.5541793908142</v>
      </c>
      <c r="AF473" s="140">
        <f t="shared" si="286"/>
        <v>9009.3767774583412</v>
      </c>
      <c r="AG473" s="140">
        <f t="shared" si="286"/>
        <v>9007.7461763431984</v>
      </c>
    </row>
    <row r="474" spans="1:33" ht="14.25" customHeight="1" x14ac:dyDescent="0.35">
      <c r="A474" s="21"/>
      <c r="B474" s="28"/>
      <c r="C474" s="28"/>
      <c r="D474" s="175" t="s">
        <v>4127</v>
      </c>
      <c r="E474" s="175"/>
      <c r="F474" s="21"/>
      <c r="G474" s="21"/>
      <c r="H474" s="21"/>
      <c r="I474" s="22" t="s">
        <v>4060</v>
      </c>
      <c r="J474" s="148">
        <f t="shared" ref="J474:Q474" si="287">J473*J472</f>
        <v>88514264.836086333</v>
      </c>
      <c r="K474" s="148">
        <f t="shared" si="287"/>
        <v>43710823.21026738</v>
      </c>
      <c r="L474" s="148">
        <f t="shared" si="287"/>
        <v>30697016.833506696</v>
      </c>
      <c r="M474" s="148">
        <f t="shared" si="287"/>
        <v>48880486.074034847</v>
      </c>
      <c r="N474" s="148">
        <f t="shared" si="287"/>
        <v>62008537.236947842</v>
      </c>
      <c r="O474" s="148">
        <f t="shared" si="287"/>
        <v>92231957.608734265</v>
      </c>
      <c r="P474" s="148">
        <f t="shared" si="287"/>
        <v>23057989.402183566</v>
      </c>
      <c r="Q474" s="148">
        <f t="shared" si="287"/>
        <v>90977703.275084317</v>
      </c>
      <c r="R474" s="149">
        <f t="shared" ref="R474:AG474" si="288">R472*R473</f>
        <v>62995806.097164042</v>
      </c>
      <c r="S474" s="149">
        <f t="shared" si="288"/>
        <v>62469562.609236777</v>
      </c>
      <c r="T474" s="149">
        <f t="shared" si="288"/>
        <v>61873710.966008</v>
      </c>
      <c r="U474" s="149">
        <f t="shared" si="288"/>
        <v>61570863.287462816</v>
      </c>
      <c r="V474" s="149">
        <f t="shared" si="288"/>
        <v>61315740.078427188</v>
      </c>
      <c r="W474" s="149">
        <f t="shared" si="288"/>
        <v>61095806.286678143</v>
      </c>
      <c r="X474" s="149">
        <f t="shared" si="288"/>
        <v>60959808.398927115</v>
      </c>
      <c r="Y474" s="149">
        <f t="shared" si="288"/>
        <v>60848454.567930125</v>
      </c>
      <c r="Z474" s="149">
        <f t="shared" si="288"/>
        <v>60761837.444397368</v>
      </c>
      <c r="AA474" s="149">
        <f t="shared" si="288"/>
        <v>60702294.573224314</v>
      </c>
      <c r="AB474" s="149">
        <f t="shared" si="288"/>
        <v>60655232.770824291</v>
      </c>
      <c r="AC474" s="149">
        <f t="shared" si="288"/>
        <v>60619863.729986325</v>
      </c>
      <c r="AD474" s="149">
        <f t="shared" si="288"/>
        <v>60594284.968457811</v>
      </c>
      <c r="AE474" s="149">
        <f t="shared" si="288"/>
        <v>60574566.50266289</v>
      </c>
      <c r="AF474" s="149">
        <f t="shared" si="288"/>
        <v>60559872.867329784</v>
      </c>
      <c r="AG474" s="149">
        <f t="shared" si="288"/>
        <v>60549008.452576138</v>
      </c>
    </row>
    <row r="475" spans="1:33" ht="14.25" customHeight="1" x14ac:dyDescent="0.35">
      <c r="A475" s="21"/>
      <c r="B475" s="28"/>
      <c r="C475" s="143" t="s">
        <v>4129</v>
      </c>
      <c r="D475" s="179" t="s">
        <v>4005</v>
      </c>
      <c r="E475" s="21"/>
      <c r="F475" s="21"/>
      <c r="G475" s="21"/>
      <c r="H475" s="21"/>
      <c r="I475" s="22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</row>
    <row r="476" spans="1:33" ht="14.25" customHeight="1" x14ac:dyDescent="0.35">
      <c r="A476" s="21"/>
      <c r="B476" s="28"/>
      <c r="C476" s="28"/>
      <c r="D476" s="175" t="s">
        <v>4130</v>
      </c>
      <c r="E476" s="175"/>
      <c r="F476" s="21"/>
      <c r="G476" s="21"/>
      <c r="H476" s="21"/>
      <c r="I476" s="22" t="s">
        <v>13</v>
      </c>
      <c r="J476" s="122"/>
      <c r="K476" s="122"/>
      <c r="L476" s="122"/>
      <c r="M476" s="122"/>
      <c r="N476" s="122"/>
      <c r="O476" s="122"/>
      <c r="P476" s="180"/>
      <c r="Q476" s="122"/>
      <c r="R476" s="126">
        <v>0</v>
      </c>
      <c r="S476" s="126">
        <v>0</v>
      </c>
      <c r="T476" s="126">
        <v>0</v>
      </c>
      <c r="U476" s="126">
        <v>0</v>
      </c>
      <c r="V476" s="126">
        <v>0</v>
      </c>
      <c r="W476" s="126">
        <v>0</v>
      </c>
      <c r="X476" s="126">
        <v>0</v>
      </c>
      <c r="Y476" s="126">
        <v>0</v>
      </c>
      <c r="Z476" s="126">
        <v>0</v>
      </c>
      <c r="AA476" s="126">
        <v>0</v>
      </c>
      <c r="AB476" s="126">
        <v>0</v>
      </c>
      <c r="AC476" s="126">
        <v>0</v>
      </c>
      <c r="AD476" s="126">
        <v>0</v>
      </c>
      <c r="AE476" s="126">
        <v>0</v>
      </c>
      <c r="AF476" s="126">
        <v>0</v>
      </c>
      <c r="AG476" s="126">
        <v>0</v>
      </c>
    </row>
    <row r="477" spans="1:33" ht="14.25" customHeight="1" x14ac:dyDescent="0.35">
      <c r="A477" s="21"/>
      <c r="B477" s="28"/>
      <c r="C477" s="28"/>
      <c r="D477" s="175" t="s">
        <v>4131</v>
      </c>
      <c r="E477" s="175"/>
      <c r="F477" s="21"/>
      <c r="G477" s="21"/>
      <c r="H477" s="21"/>
      <c r="I477" s="22" t="s">
        <v>4060</v>
      </c>
      <c r="J477" s="148">
        <v>15087029.5916947</v>
      </c>
      <c r="K477" s="148">
        <v>14257937.0831073</v>
      </c>
      <c r="L477" s="148">
        <v>8960998.8657807</v>
      </c>
      <c r="M477" s="148">
        <v>13926856.2742971</v>
      </c>
      <c r="N477" s="148">
        <v>14961184.295465101</v>
      </c>
      <c r="O477" s="148">
        <v>11817290.490588199</v>
      </c>
      <c r="P477" s="148">
        <v>14267360.902449399</v>
      </c>
      <c r="Q477" s="148">
        <v>14716191.128134999</v>
      </c>
      <c r="R477" s="149">
        <v>13608261.403450318</v>
      </c>
      <c r="S477" s="149">
        <v>13631216.901373604</v>
      </c>
      <c r="T477" s="149">
        <v>13603020.127101518</v>
      </c>
      <c r="U477" s="149">
        <v>13614155.136301849</v>
      </c>
      <c r="V477" s="149">
        <v>13616120.848559923</v>
      </c>
      <c r="W477" s="149">
        <v>13611096.258570191</v>
      </c>
      <c r="X477" s="149">
        <v>13613790.433841649</v>
      </c>
      <c r="Y477" s="149">
        <v>13613668.870697023</v>
      </c>
      <c r="Z477" s="149">
        <v>13612851.740975298</v>
      </c>
      <c r="AA477" s="149">
        <v>13613437.002408976</v>
      </c>
      <c r="AB477" s="149">
        <v>13613319.196009399</v>
      </c>
      <c r="AC477" s="149">
        <v>13613202.641771976</v>
      </c>
      <c r="AD477" s="149">
        <v>13613319.612724334</v>
      </c>
      <c r="AE477" s="149">
        <v>13613280.483279349</v>
      </c>
      <c r="AF477" s="149">
        <v>13613267.579084922</v>
      </c>
      <c r="AG477" s="149">
        <v>13613289.224993579</v>
      </c>
    </row>
    <row r="478" spans="1:33" ht="14.25" customHeight="1" x14ac:dyDescent="0.35">
      <c r="A478" s="21"/>
      <c r="B478" s="28"/>
      <c r="C478" s="143" t="s">
        <v>4132</v>
      </c>
      <c r="D478" s="28" t="s">
        <v>34</v>
      </c>
      <c r="E478" s="21"/>
      <c r="F478" s="21"/>
      <c r="G478" s="21"/>
      <c r="H478" s="21"/>
      <c r="I478" s="22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</row>
    <row r="479" spans="1:33" ht="14.25" customHeight="1" x14ac:dyDescent="0.35">
      <c r="A479" s="21"/>
      <c r="B479" s="28"/>
      <c r="C479" s="28"/>
      <c r="D479" s="175" t="s">
        <v>4133</v>
      </c>
      <c r="E479" s="175"/>
      <c r="F479" s="21"/>
      <c r="G479" s="21"/>
      <c r="H479" s="21"/>
      <c r="I479" s="22" t="s">
        <v>3900</v>
      </c>
      <c r="J479" s="132">
        <f t="shared" ref="J479:AG479" si="289">J429</f>
        <v>1151802</v>
      </c>
      <c r="K479" s="132">
        <f t="shared" si="289"/>
        <v>1048813.57142857</v>
      </c>
      <c r="L479" s="132">
        <f t="shared" si="289"/>
        <v>836154.28571428603</v>
      </c>
      <c r="M479" s="132">
        <f t="shared" si="289"/>
        <v>800377.14285714296</v>
      </c>
      <c r="N479" s="132">
        <f t="shared" si="289"/>
        <v>918665</v>
      </c>
      <c r="O479" s="132">
        <f t="shared" si="289"/>
        <v>899172.85714285704</v>
      </c>
      <c r="P479" s="132">
        <f t="shared" si="289"/>
        <v>823647.14285714296</v>
      </c>
      <c r="Q479" s="132">
        <f t="shared" si="289"/>
        <v>625461.88571428601</v>
      </c>
      <c r="R479" s="140">
        <f t="shared" si="289"/>
        <v>890946.95422757894</v>
      </c>
      <c r="S479" s="140">
        <f t="shared" si="289"/>
        <v>892570.95635452797</v>
      </c>
      <c r="T479" s="140">
        <f t="shared" si="289"/>
        <v>890576.15661008295</v>
      </c>
      <c r="U479" s="140">
        <f t="shared" si="289"/>
        <v>891363.91031881899</v>
      </c>
      <c r="V479" s="140">
        <f t="shared" si="289"/>
        <v>891502.97595349804</v>
      </c>
      <c r="W479" s="140">
        <f t="shared" si="289"/>
        <v>891147.50795809005</v>
      </c>
      <c r="X479" s="140">
        <f t="shared" si="289"/>
        <v>891338.10919818794</v>
      </c>
      <c r="Y479" s="140">
        <f t="shared" si="289"/>
        <v>891329.50913182902</v>
      </c>
      <c r="Z479" s="140">
        <f t="shared" si="289"/>
        <v>891271.70074054506</v>
      </c>
      <c r="AA479" s="140">
        <f t="shared" si="289"/>
        <v>891313.10545397305</v>
      </c>
      <c r="AB479" s="140">
        <f t="shared" si="289"/>
        <v>891304.77116106695</v>
      </c>
      <c r="AC479" s="140">
        <f t="shared" si="289"/>
        <v>891296.525453215</v>
      </c>
      <c r="AD479" s="140">
        <f t="shared" si="289"/>
        <v>891304.80064184603</v>
      </c>
      <c r="AE479" s="140">
        <f t="shared" si="289"/>
        <v>891302.03240296501</v>
      </c>
      <c r="AF479" s="140">
        <f t="shared" si="289"/>
        <v>891301.11948705802</v>
      </c>
      <c r="AG479" s="140">
        <f t="shared" si="289"/>
        <v>891302.65084141202</v>
      </c>
    </row>
    <row r="480" spans="1:33" ht="14.25" customHeight="1" x14ac:dyDescent="0.35">
      <c r="A480" s="21"/>
      <c r="B480" s="28"/>
      <c r="C480" s="28"/>
      <c r="D480" s="175" t="s">
        <v>4134</v>
      </c>
      <c r="E480" s="175"/>
      <c r="F480" s="21"/>
      <c r="G480" s="21"/>
      <c r="H480" s="21"/>
      <c r="I480" s="22" t="s">
        <v>13</v>
      </c>
      <c r="J480" s="122">
        <f t="shared" ref="J480:Q480" si="290">J481/J479</f>
        <v>0.71307221206422633</v>
      </c>
      <c r="K480" s="122">
        <f t="shared" si="290"/>
        <v>0.6901016727063719</v>
      </c>
      <c r="L480" s="122">
        <f t="shared" si="290"/>
        <v>0.68787544335631812</v>
      </c>
      <c r="M480" s="122">
        <f t="shared" si="290"/>
        <v>0.68066911313238032</v>
      </c>
      <c r="N480" s="122">
        <f t="shared" si="290"/>
        <v>0.68902810055896324</v>
      </c>
      <c r="O480" s="122">
        <f t="shared" si="290"/>
        <v>0.71877725719351604</v>
      </c>
      <c r="P480" s="122">
        <f t="shared" si="290"/>
        <v>0.71369154266823687</v>
      </c>
      <c r="Q480" s="122">
        <f t="shared" si="290"/>
        <v>0.65434203002252112</v>
      </c>
      <c r="R480" s="126">
        <v>0.69891958712822999</v>
      </c>
      <c r="S480" s="126">
        <v>0.69891958712822999</v>
      </c>
      <c r="T480" s="126">
        <v>0.69891958712822999</v>
      </c>
      <c r="U480" s="126">
        <v>0.69891958712822999</v>
      </c>
      <c r="V480" s="126">
        <v>0.69891958712822999</v>
      </c>
      <c r="W480" s="126">
        <v>0.69891958712822999</v>
      </c>
      <c r="X480" s="126">
        <v>0.69891958712822999</v>
      </c>
      <c r="Y480" s="126">
        <v>0.69891958712822999</v>
      </c>
      <c r="Z480" s="126">
        <v>0.69891958712822999</v>
      </c>
      <c r="AA480" s="126">
        <v>0.69891958712822999</v>
      </c>
      <c r="AB480" s="126">
        <v>0.69891958712822999</v>
      </c>
      <c r="AC480" s="126">
        <v>0.69891958712822999</v>
      </c>
      <c r="AD480" s="126">
        <v>0.69891958712822999</v>
      </c>
      <c r="AE480" s="126">
        <v>0.69891958712822999</v>
      </c>
      <c r="AF480" s="126">
        <v>0.69891958712822999</v>
      </c>
      <c r="AG480" s="126">
        <v>0.69891958712822999</v>
      </c>
    </row>
    <row r="481" spans="1:33" ht="14.25" customHeight="1" x14ac:dyDescent="0.35">
      <c r="A481" s="21"/>
      <c r="B481" s="28"/>
      <c r="C481" s="28"/>
      <c r="D481" s="175" t="s">
        <v>4135</v>
      </c>
      <c r="E481" s="175"/>
      <c r="F481" s="21"/>
      <c r="G481" s="21"/>
      <c r="H481" s="21"/>
      <c r="I481" s="22" t="s">
        <v>3900</v>
      </c>
      <c r="J481" s="132">
        <v>821318</v>
      </c>
      <c r="K481" s="132">
        <v>723788</v>
      </c>
      <c r="L481" s="132">
        <v>575170</v>
      </c>
      <c r="M481" s="132">
        <v>544792</v>
      </c>
      <c r="N481" s="132">
        <v>632986</v>
      </c>
      <c r="O481" s="132">
        <v>646305</v>
      </c>
      <c r="P481" s="132">
        <v>587830</v>
      </c>
      <c r="Q481" s="132">
        <v>409266</v>
      </c>
      <c r="R481" s="140">
        <f t="shared" ref="R481:AG481" si="291">R479*R480</f>
        <v>622700.27740189352</v>
      </c>
      <c r="S481" s="140">
        <f t="shared" si="291"/>
        <v>623835.32429795607</v>
      </c>
      <c r="T481" s="140">
        <f t="shared" si="291"/>
        <v>622441.11968416511</v>
      </c>
      <c r="U481" s="140">
        <f t="shared" si="291"/>
        <v>622991.69618103362</v>
      </c>
      <c r="V481" s="140">
        <f t="shared" si="291"/>
        <v>623088.89187700721</v>
      </c>
      <c r="W481" s="140">
        <f t="shared" si="291"/>
        <v>622840.44833241939</v>
      </c>
      <c r="X481" s="140">
        <f t="shared" si="291"/>
        <v>622973.66327245475</v>
      </c>
      <c r="Y481" s="140">
        <f t="shared" si="291"/>
        <v>622967.65251762583</v>
      </c>
      <c r="Z481" s="140">
        <f t="shared" si="291"/>
        <v>622927.24910065706</v>
      </c>
      <c r="AA481" s="140">
        <f t="shared" si="291"/>
        <v>622956.18766587134</v>
      </c>
      <c r="AB481" s="140">
        <f t="shared" si="291"/>
        <v>622950.36266531446</v>
      </c>
      <c r="AC481" s="140">
        <f t="shared" si="291"/>
        <v>622944.59957858699</v>
      </c>
      <c r="AD481" s="140">
        <f t="shared" si="291"/>
        <v>622950.38327000837</v>
      </c>
      <c r="AE481" s="140">
        <f t="shared" si="291"/>
        <v>622948.4484936326</v>
      </c>
      <c r="AF481" s="140">
        <f t="shared" si="291"/>
        <v>622947.81043882377</v>
      </c>
      <c r="AG481" s="140">
        <f t="shared" si="291"/>
        <v>622948.88073237659</v>
      </c>
    </row>
    <row r="482" spans="1:33" ht="14.25" customHeight="1" x14ac:dyDescent="0.35">
      <c r="A482" s="21"/>
      <c r="B482" s="28"/>
      <c r="C482" s="28"/>
      <c r="D482" s="175" t="s">
        <v>4136</v>
      </c>
      <c r="E482" s="175"/>
      <c r="F482" s="21"/>
      <c r="G482" s="21"/>
      <c r="H482" s="21"/>
      <c r="I482" s="22" t="s">
        <v>3861</v>
      </c>
      <c r="J482" s="132">
        <v>267.381620624189</v>
      </c>
      <c r="K482" s="132">
        <v>271.90743852230202</v>
      </c>
      <c r="L482" s="132">
        <v>265.789462245945</v>
      </c>
      <c r="M482" s="132">
        <v>264.92473274203701</v>
      </c>
      <c r="N482" s="132">
        <v>274.31748095534499</v>
      </c>
      <c r="O482" s="132">
        <v>270.441200362058</v>
      </c>
      <c r="P482" s="132">
        <v>264.29824531579902</v>
      </c>
      <c r="Q482" s="132">
        <v>268.82669217574897</v>
      </c>
      <c r="R482" s="140">
        <v>268.62986034376183</v>
      </c>
      <c r="S482" s="140">
        <v>268.62986034376183</v>
      </c>
      <c r="T482" s="140">
        <v>268.62986034376183</v>
      </c>
      <c r="U482" s="140">
        <v>268.62986034376183</v>
      </c>
      <c r="V482" s="140">
        <v>268.62986034376183</v>
      </c>
      <c r="W482" s="140">
        <v>268.62986034376183</v>
      </c>
      <c r="X482" s="140">
        <v>268.62986034376183</v>
      </c>
      <c r="Y482" s="140">
        <v>268.62986034376183</v>
      </c>
      <c r="Z482" s="140">
        <v>268.62986034376183</v>
      </c>
      <c r="AA482" s="140">
        <v>268.62986034376183</v>
      </c>
      <c r="AB482" s="140">
        <v>268.62986034376183</v>
      </c>
      <c r="AC482" s="140">
        <v>268.62986034376183</v>
      </c>
      <c r="AD482" s="140">
        <v>268.62986034376183</v>
      </c>
      <c r="AE482" s="140">
        <v>268.62986034376183</v>
      </c>
      <c r="AF482" s="140">
        <v>268.62986034376183</v>
      </c>
      <c r="AG482" s="140">
        <v>268.62986034376183</v>
      </c>
    </row>
    <row r="483" spans="1:33" ht="14.25" customHeight="1" x14ac:dyDescent="0.35">
      <c r="A483" s="21"/>
      <c r="B483" s="28"/>
      <c r="C483" s="28"/>
      <c r="D483" s="175" t="s">
        <v>4137</v>
      </c>
      <c r="E483" s="175"/>
      <c r="F483" s="21"/>
      <c r="G483" s="21"/>
      <c r="H483" s="21"/>
      <c r="I483" s="22" t="s">
        <v>4060</v>
      </c>
      <c r="J483" s="148">
        <f t="shared" ref="J483:AG483" si="292">J481*J482</f>
        <v>219605337.88781765</v>
      </c>
      <c r="K483" s="148">
        <f t="shared" si="292"/>
        <v>196803341.11317992</v>
      </c>
      <c r="L483" s="148">
        <f t="shared" si="292"/>
        <v>152874125.00000018</v>
      </c>
      <c r="M483" s="148">
        <f t="shared" si="292"/>
        <v>144328874.99999982</v>
      </c>
      <c r="N483" s="148">
        <f t="shared" si="292"/>
        <v>173639125</v>
      </c>
      <c r="O483" s="148">
        <f t="shared" si="292"/>
        <v>174787499.99999988</v>
      </c>
      <c r="P483" s="148">
        <f t="shared" si="292"/>
        <v>155362437.54398614</v>
      </c>
      <c r="Q483" s="148">
        <f t="shared" si="292"/>
        <v>110021625.00000007</v>
      </c>
      <c r="R483" s="149">
        <f t="shared" si="292"/>
        <v>167275888.55449241</v>
      </c>
      <c r="S483" s="149">
        <f t="shared" si="292"/>
        <v>167580796.04366532</v>
      </c>
      <c r="T483" s="149">
        <f t="shared" si="292"/>
        <v>167206271.05297202</v>
      </c>
      <c r="U483" s="149">
        <f t="shared" si="292"/>
        <v>167354172.34043437</v>
      </c>
      <c r="V483" s="149">
        <f t="shared" si="292"/>
        <v>167380282.00666976</v>
      </c>
      <c r="W483" s="149">
        <f t="shared" si="292"/>
        <v>167313542.65198383</v>
      </c>
      <c r="X483" s="149">
        <f t="shared" si="292"/>
        <v>167349328.16272122</v>
      </c>
      <c r="Y483" s="149">
        <f t="shared" si="292"/>
        <v>167347713.49449098</v>
      </c>
      <c r="Z483" s="149">
        <f t="shared" si="292"/>
        <v>167336859.93023324</v>
      </c>
      <c r="AA483" s="149">
        <f t="shared" si="292"/>
        <v>167344633.6929653</v>
      </c>
      <c r="AB483" s="149">
        <f t="shared" si="292"/>
        <v>167343068.92387921</v>
      </c>
      <c r="AC483" s="149">
        <f t="shared" si="292"/>
        <v>167341520.78669646</v>
      </c>
      <c r="AD483" s="149">
        <f t="shared" si="292"/>
        <v>167343074.45891526</v>
      </c>
      <c r="AE483" s="149">
        <f t="shared" si="292"/>
        <v>167342554.72020763</v>
      </c>
      <c r="AF483" s="149">
        <f t="shared" si="292"/>
        <v>167342383.31963345</v>
      </c>
      <c r="AG483" s="149">
        <f t="shared" si="292"/>
        <v>167342670.83244106</v>
      </c>
    </row>
    <row r="484" spans="1:33" ht="14.25" customHeight="1" x14ac:dyDescent="0.35">
      <c r="A484" s="21"/>
      <c r="B484" s="28"/>
      <c r="C484" s="143" t="s">
        <v>4138</v>
      </c>
      <c r="D484" s="28" t="s">
        <v>4139</v>
      </c>
      <c r="E484" s="21"/>
      <c r="F484" s="21"/>
      <c r="G484" s="21"/>
      <c r="H484" s="21"/>
      <c r="I484" s="22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</row>
    <row r="485" spans="1:33" ht="14.25" customHeight="1" x14ac:dyDescent="0.35">
      <c r="A485" s="21"/>
      <c r="B485" s="28"/>
      <c r="C485" s="28"/>
      <c r="D485" s="128" t="s">
        <v>4032</v>
      </c>
      <c r="E485" s="175"/>
      <c r="F485" s="21"/>
      <c r="G485" s="21"/>
      <c r="H485" s="21"/>
      <c r="I485" s="22" t="s">
        <v>4060</v>
      </c>
      <c r="J485" s="148">
        <f t="shared" ref="J485:AG485" si="293">J219</f>
        <v>763229294.63783896</v>
      </c>
      <c r="K485" s="148">
        <f t="shared" si="293"/>
        <v>659605873.21866286</v>
      </c>
      <c r="L485" s="148">
        <f t="shared" si="293"/>
        <v>511705884.02579129</v>
      </c>
      <c r="M485" s="148">
        <f t="shared" si="293"/>
        <v>783736350.16021574</v>
      </c>
      <c r="N485" s="148">
        <f t="shared" si="293"/>
        <v>816782216.28747547</v>
      </c>
      <c r="O485" s="148">
        <f t="shared" si="293"/>
        <v>799590329.31506741</v>
      </c>
      <c r="P485" s="148">
        <f t="shared" si="293"/>
        <v>838004033.39459646</v>
      </c>
      <c r="Q485" s="148">
        <f t="shared" si="293"/>
        <v>837037868.02872133</v>
      </c>
      <c r="R485" s="149">
        <f t="shared" si="293"/>
        <v>840609360.03719616</v>
      </c>
      <c r="S485" s="149">
        <f t="shared" si="293"/>
        <v>840325756.40021169</v>
      </c>
      <c r="T485" s="149">
        <f t="shared" si="293"/>
        <v>840458024.87188172</v>
      </c>
      <c r="U485" s="149">
        <f t="shared" si="293"/>
        <v>840464383.4203918</v>
      </c>
      <c r="V485" s="149">
        <f t="shared" si="293"/>
        <v>840416056.80046809</v>
      </c>
      <c r="W485" s="149">
        <f t="shared" si="293"/>
        <v>840446155.21247423</v>
      </c>
      <c r="X485" s="149">
        <f t="shared" si="293"/>
        <v>840442198.53798938</v>
      </c>
      <c r="Y485" s="149">
        <f t="shared" si="293"/>
        <v>840434803.58742023</v>
      </c>
      <c r="Z485" s="149">
        <f t="shared" si="293"/>
        <v>840441052.45828283</v>
      </c>
      <c r="AA485" s="149">
        <f t="shared" si="293"/>
        <v>840439351.52888751</v>
      </c>
      <c r="AB485" s="149">
        <f t="shared" si="293"/>
        <v>840438402.52712607</v>
      </c>
      <c r="AC485" s="149">
        <f t="shared" si="293"/>
        <v>840439602.17210317</v>
      </c>
      <c r="AD485" s="149">
        <f t="shared" si="293"/>
        <v>840439118.74273312</v>
      </c>
      <c r="AE485" s="149">
        <f t="shared" si="293"/>
        <v>840439041.14738274</v>
      </c>
      <c r="AF485" s="149">
        <f t="shared" si="293"/>
        <v>840439254.02077043</v>
      </c>
      <c r="AG485" s="149">
        <f t="shared" si="293"/>
        <v>840439137.97029769</v>
      </c>
    </row>
    <row r="486" spans="1:33" ht="14.25" customHeight="1" x14ac:dyDescent="0.35">
      <c r="A486" s="21"/>
      <c r="B486" s="28"/>
      <c r="C486" s="28"/>
      <c r="D486" s="175" t="s">
        <v>4033</v>
      </c>
      <c r="E486" s="175"/>
      <c r="F486" s="21"/>
      <c r="G486" s="21"/>
      <c r="H486" s="21"/>
      <c r="I486" s="22" t="s">
        <v>4060</v>
      </c>
      <c r="J486" s="148">
        <f t="shared" ref="J486:AG486" si="294">J224</f>
        <v>237490750.88121164</v>
      </c>
      <c r="K486" s="148">
        <f t="shared" si="294"/>
        <v>243145045.36636519</v>
      </c>
      <c r="L486" s="148">
        <f t="shared" si="294"/>
        <v>246685668.13021711</v>
      </c>
      <c r="M486" s="148">
        <f t="shared" si="294"/>
        <v>241135735.58749253</v>
      </c>
      <c r="N486" s="148">
        <f t="shared" si="294"/>
        <v>233339136.83260033</v>
      </c>
      <c r="O486" s="148">
        <f t="shared" si="294"/>
        <v>216991445.86544546</v>
      </c>
      <c r="P486" s="148">
        <f t="shared" si="294"/>
        <v>213982523.8029725</v>
      </c>
      <c r="Q486" s="148">
        <f t="shared" si="294"/>
        <v>174374063.22335592</v>
      </c>
      <c r="R486" s="149">
        <f t="shared" si="294"/>
        <v>190378217.37873942</v>
      </c>
      <c r="S486" s="149">
        <f t="shared" si="294"/>
        <v>190176887.00507385</v>
      </c>
      <c r="T486" s="149">
        <f t="shared" si="294"/>
        <v>190287726.89284757</v>
      </c>
      <c r="U486" s="149">
        <f t="shared" si="294"/>
        <v>190280946.05627415</v>
      </c>
      <c r="V486" s="149">
        <f t="shared" si="294"/>
        <v>190248521.55683506</v>
      </c>
      <c r="W486" s="149">
        <f t="shared" si="294"/>
        <v>190272398.37517309</v>
      </c>
      <c r="X486" s="149">
        <f t="shared" si="294"/>
        <v>190267288.71257105</v>
      </c>
      <c r="Y486" s="149">
        <f t="shared" si="294"/>
        <v>190262736.27096879</v>
      </c>
      <c r="Z486" s="149">
        <f t="shared" si="294"/>
        <v>190267474.46494287</v>
      </c>
      <c r="AA486" s="149">
        <f t="shared" si="294"/>
        <v>190265833.15059856</v>
      </c>
      <c r="AB486" s="149">
        <f t="shared" si="294"/>
        <v>190265347.963925</v>
      </c>
      <c r="AC486" s="149">
        <f t="shared" si="294"/>
        <v>190266218.52708879</v>
      </c>
      <c r="AD486" s="149">
        <f t="shared" si="294"/>
        <v>190265799.88058001</v>
      </c>
      <c r="AE486" s="149">
        <f t="shared" si="294"/>
        <v>190265788.79057878</v>
      </c>
      <c r="AF486" s="149">
        <f t="shared" si="294"/>
        <v>190265935.73277509</v>
      </c>
      <c r="AG486" s="149">
        <f t="shared" si="294"/>
        <v>190265841.46798068</v>
      </c>
    </row>
    <row r="487" spans="1:33" ht="14.25" customHeight="1" x14ac:dyDescent="0.35">
      <c r="A487" s="21"/>
      <c r="B487" s="28"/>
      <c r="C487" s="28"/>
      <c r="D487" s="175" t="s">
        <v>4034</v>
      </c>
      <c r="E487" s="175"/>
      <c r="F487" s="21"/>
      <c r="G487" s="21"/>
      <c r="H487" s="21"/>
      <c r="I487" s="22" t="s">
        <v>4060</v>
      </c>
      <c r="J487" s="148">
        <f t="shared" ref="J487:AG487" si="295">J229</f>
        <v>63261168</v>
      </c>
      <c r="K487" s="148">
        <f t="shared" si="295"/>
        <v>52871694.384894066</v>
      </c>
      <c r="L487" s="148">
        <f t="shared" si="295"/>
        <v>41886668.561955705</v>
      </c>
      <c r="M487" s="148">
        <f t="shared" si="295"/>
        <v>48116582.781041518</v>
      </c>
      <c r="N487" s="148">
        <f t="shared" si="295"/>
        <v>52443691.561371177</v>
      </c>
      <c r="O487" s="148">
        <f t="shared" si="295"/>
        <v>50783494.691081204</v>
      </c>
      <c r="P487" s="148">
        <f t="shared" si="295"/>
        <v>55154422.914767154</v>
      </c>
      <c r="Q487" s="148">
        <f t="shared" si="295"/>
        <v>53171505.331224233</v>
      </c>
      <c r="R487" s="149">
        <f t="shared" si="295"/>
        <v>51322202.442948453</v>
      </c>
      <c r="S487" s="149">
        <f t="shared" si="295"/>
        <v>51325551.958841383</v>
      </c>
      <c r="T487" s="149">
        <f t="shared" si="295"/>
        <v>49728774.524332315</v>
      </c>
      <c r="U487" s="149">
        <f t="shared" si="295"/>
        <v>50792159.41302754</v>
      </c>
      <c r="V487" s="149">
        <f t="shared" si="295"/>
        <v>50615474.450894959</v>
      </c>
      <c r="W487" s="149">
        <f t="shared" si="295"/>
        <v>50378795.484581135</v>
      </c>
      <c r="X487" s="149">
        <f t="shared" si="295"/>
        <v>50595475.783465557</v>
      </c>
      <c r="Y487" s="149">
        <f t="shared" si="295"/>
        <v>50529914.664322615</v>
      </c>
      <c r="Z487" s="149">
        <f t="shared" si="295"/>
        <v>50501395.000730053</v>
      </c>
      <c r="AA487" s="149">
        <f t="shared" si="295"/>
        <v>50542261.778361768</v>
      </c>
      <c r="AB487" s="149">
        <f t="shared" si="295"/>
        <v>50524523.800445721</v>
      </c>
      <c r="AC487" s="149">
        <f t="shared" si="295"/>
        <v>50522726.848204084</v>
      </c>
      <c r="AD487" s="149">
        <f t="shared" si="295"/>
        <v>50529837.47349605</v>
      </c>
      <c r="AE487" s="149">
        <f t="shared" si="295"/>
        <v>50525696.040385365</v>
      </c>
      <c r="AF487" s="149">
        <f t="shared" si="295"/>
        <v>50526086.786974542</v>
      </c>
      <c r="AG487" s="149">
        <f t="shared" si="295"/>
        <v>50527206.766840637</v>
      </c>
    </row>
    <row r="488" spans="1:33" ht="14.25" customHeight="1" x14ac:dyDescent="0.35">
      <c r="A488" s="21"/>
      <c r="B488" s="28"/>
      <c r="C488" s="28"/>
      <c r="D488" s="175" t="s">
        <v>4035</v>
      </c>
      <c r="E488" s="175"/>
      <c r="F488" s="21"/>
      <c r="G488" s="21"/>
      <c r="H488" s="21"/>
      <c r="I488" s="22" t="s">
        <v>4060</v>
      </c>
      <c r="J488" s="148">
        <f t="shared" ref="J488:AG488" si="296">J234</f>
        <v>263699374.15509221</v>
      </c>
      <c r="K488" s="148">
        <f t="shared" si="296"/>
        <v>215851181.36673936</v>
      </c>
      <c r="L488" s="148">
        <f t="shared" si="296"/>
        <v>305559305.29496777</v>
      </c>
      <c r="M488" s="148">
        <f t="shared" si="296"/>
        <v>381324954.00749862</v>
      </c>
      <c r="N488" s="148">
        <f t="shared" si="296"/>
        <v>256026137.37306172</v>
      </c>
      <c r="O488" s="148">
        <f t="shared" si="296"/>
        <v>255043025.01806676</v>
      </c>
      <c r="P488" s="148">
        <f t="shared" si="296"/>
        <v>235780634.62469795</v>
      </c>
      <c r="Q488" s="148">
        <f t="shared" si="296"/>
        <v>227483417.89208138</v>
      </c>
      <c r="R488" s="149">
        <f t="shared" si="296"/>
        <v>273360033.00056672</v>
      </c>
      <c r="S488" s="149">
        <f t="shared" si="296"/>
        <v>273363673.32682836</v>
      </c>
      <c r="T488" s="149">
        <f t="shared" si="296"/>
        <v>272297505.35505247</v>
      </c>
      <c r="U488" s="149">
        <f t="shared" si="296"/>
        <v>270238957.52700949</v>
      </c>
      <c r="V488" s="149">
        <f t="shared" si="296"/>
        <v>270239265.89966011</v>
      </c>
      <c r="W488" s="149">
        <f t="shared" si="296"/>
        <v>270238477.48742545</v>
      </c>
      <c r="X488" s="149">
        <f t="shared" si="296"/>
        <v>270238900.30430883</v>
      </c>
      <c r="Y488" s="149">
        <f t="shared" si="296"/>
        <v>263088627.69535273</v>
      </c>
      <c r="Z488" s="149">
        <f t="shared" si="296"/>
        <v>263088502.86505544</v>
      </c>
      <c r="AA488" s="149">
        <f t="shared" si="296"/>
        <v>262745207.47812858</v>
      </c>
      <c r="AB488" s="149">
        <f t="shared" si="296"/>
        <v>262578402.61504924</v>
      </c>
      <c r="AC488" s="149">
        <f t="shared" si="296"/>
        <v>262205567.1151413</v>
      </c>
      <c r="AD488" s="149">
        <f t="shared" si="296"/>
        <v>262205584.9244442</v>
      </c>
      <c r="AE488" s="149">
        <f t="shared" si="296"/>
        <v>262205578.96686098</v>
      </c>
      <c r="AF488" s="149">
        <f t="shared" si="296"/>
        <v>262205577.00214863</v>
      </c>
      <c r="AG488" s="149">
        <f t="shared" si="296"/>
        <v>262205580.29781789</v>
      </c>
    </row>
    <row r="489" spans="1:33" ht="14.25" customHeight="1" x14ac:dyDescent="0.35">
      <c r="A489" s="21"/>
      <c r="B489" s="28"/>
      <c r="C489" s="28"/>
      <c r="D489" s="175" t="s">
        <v>4036</v>
      </c>
      <c r="E489" s="175"/>
      <c r="F489" s="21"/>
      <c r="G489" s="21"/>
      <c r="H489" s="21"/>
      <c r="I489" s="22" t="s">
        <v>4060</v>
      </c>
      <c r="J489" s="148">
        <f t="shared" ref="J489:AG489" si="297">J239</f>
        <v>133719123.23526369</v>
      </c>
      <c r="K489" s="148">
        <f t="shared" si="297"/>
        <v>266290578.8541095</v>
      </c>
      <c r="L489" s="148">
        <f t="shared" si="297"/>
        <v>238659799.39164153</v>
      </c>
      <c r="M489" s="148">
        <f t="shared" si="297"/>
        <v>157997301.01988974</v>
      </c>
      <c r="N489" s="148">
        <f t="shared" si="297"/>
        <v>77342103.420198694</v>
      </c>
      <c r="O489" s="148">
        <f t="shared" si="297"/>
        <v>76702452.709805056</v>
      </c>
      <c r="P489" s="148">
        <f t="shared" si="297"/>
        <v>120960317.59420469</v>
      </c>
      <c r="Q489" s="148">
        <f t="shared" si="297"/>
        <v>126272704.82918875</v>
      </c>
      <c r="R489" s="149">
        <f t="shared" si="297"/>
        <v>145244070.33349967</v>
      </c>
      <c r="S489" s="149">
        <f t="shared" si="297"/>
        <v>146571564.56579235</v>
      </c>
      <c r="T489" s="149">
        <f t="shared" si="297"/>
        <v>143910373.78748611</v>
      </c>
      <c r="U489" s="149">
        <f t="shared" si="297"/>
        <v>144125433.99293035</v>
      </c>
      <c r="V489" s="149">
        <f t="shared" si="297"/>
        <v>143296693.54943231</v>
      </c>
      <c r="W489" s="149">
        <f t="shared" si="297"/>
        <v>142685132.49282724</v>
      </c>
      <c r="X489" s="149">
        <f t="shared" si="297"/>
        <v>142395386.05849832</v>
      </c>
      <c r="Y489" s="149">
        <f t="shared" si="297"/>
        <v>142354949.01725557</v>
      </c>
      <c r="Z489" s="149">
        <f t="shared" si="297"/>
        <v>141766909.18762857</v>
      </c>
      <c r="AA489" s="149">
        <f t="shared" si="297"/>
        <v>141463672.67290735</v>
      </c>
      <c r="AB489" s="149">
        <f t="shared" si="297"/>
        <v>141459371.58869898</v>
      </c>
      <c r="AC489" s="149">
        <f t="shared" si="297"/>
        <v>140868326.4240391</v>
      </c>
      <c r="AD489" s="149">
        <f t="shared" si="297"/>
        <v>140747620.25527805</v>
      </c>
      <c r="AE489" s="149">
        <f t="shared" si="297"/>
        <v>140122620.52501076</v>
      </c>
      <c r="AF489" s="149">
        <f t="shared" si="297"/>
        <v>140028292.07930511</v>
      </c>
      <c r="AG489" s="149">
        <f t="shared" si="297"/>
        <v>139527853.29531607</v>
      </c>
    </row>
    <row r="490" spans="1:33" ht="14.25" customHeight="1" x14ac:dyDescent="0.35">
      <c r="A490" s="21"/>
      <c r="B490" s="134" t="s">
        <v>4140</v>
      </c>
      <c r="C490" s="28" t="s">
        <v>4141</v>
      </c>
      <c r="D490" s="21"/>
      <c r="E490" s="21"/>
      <c r="F490" s="21"/>
      <c r="G490" s="21"/>
      <c r="H490" s="21"/>
      <c r="I490" s="22"/>
      <c r="J490" s="3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</row>
    <row r="491" spans="1:33" ht="14.25" customHeight="1" x14ac:dyDescent="0.35">
      <c r="A491" s="21"/>
      <c r="B491" s="28"/>
      <c r="C491" s="28" t="s">
        <v>4142</v>
      </c>
      <c r="D491" s="28" t="s">
        <v>4143</v>
      </c>
      <c r="E491" s="21"/>
      <c r="F491" s="21"/>
      <c r="G491" s="21"/>
      <c r="H491" s="21"/>
      <c r="I491" s="22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</row>
    <row r="492" spans="1:33" ht="14.25" customHeight="1" x14ac:dyDescent="0.35">
      <c r="A492" s="21"/>
      <c r="B492" s="28"/>
      <c r="C492" s="21"/>
      <c r="D492" s="21" t="s">
        <v>4103</v>
      </c>
      <c r="E492" s="21"/>
      <c r="F492" s="21"/>
      <c r="G492" s="21"/>
      <c r="H492" s="21"/>
      <c r="I492" s="22" t="s">
        <v>4060</v>
      </c>
      <c r="J492" s="148">
        <f t="shared" ref="J492:AG492" si="298">SUM(J431,J437)</f>
        <v>2152605712.5000019</v>
      </c>
      <c r="K492" s="148">
        <f t="shared" si="298"/>
        <v>1978855362.9069464</v>
      </c>
      <c r="L492" s="148">
        <f t="shared" si="298"/>
        <v>1593976736.0272868</v>
      </c>
      <c r="M492" s="148">
        <f t="shared" si="298"/>
        <v>1650801616.6240592</v>
      </c>
      <c r="N492" s="148">
        <f t="shared" si="298"/>
        <v>2023793243.8832047</v>
      </c>
      <c r="O492" s="148">
        <f t="shared" si="298"/>
        <v>2337955027.6098704</v>
      </c>
      <c r="P492" s="148">
        <f t="shared" si="298"/>
        <v>2576535521.1791992</v>
      </c>
      <c r="Q492" s="148">
        <f t="shared" si="298"/>
        <v>3103985929.4686298</v>
      </c>
      <c r="R492" s="149">
        <f t="shared" si="298"/>
        <v>2859063364.9713578</v>
      </c>
      <c r="S492" s="149">
        <f t="shared" si="298"/>
        <v>2913500119.0635839</v>
      </c>
      <c r="T492" s="149">
        <f t="shared" si="298"/>
        <v>2996573335.4912572</v>
      </c>
      <c r="U492" s="149">
        <f t="shared" si="298"/>
        <v>2999015371.9883389</v>
      </c>
      <c r="V492" s="149">
        <f t="shared" si="298"/>
        <v>2999446475.4558439</v>
      </c>
      <c r="W492" s="149">
        <f t="shared" si="298"/>
        <v>2998344524.6700792</v>
      </c>
      <c r="X492" s="149">
        <f t="shared" si="298"/>
        <v>2998935388.5143828</v>
      </c>
      <c r="Y492" s="149">
        <f t="shared" si="298"/>
        <v>2998908728.30867</v>
      </c>
      <c r="Z492" s="149">
        <f t="shared" si="298"/>
        <v>2998729522.2956896</v>
      </c>
      <c r="AA492" s="149">
        <f t="shared" si="298"/>
        <v>2998857876.9073167</v>
      </c>
      <c r="AB492" s="149">
        <f t="shared" si="298"/>
        <v>2998832040.5993075</v>
      </c>
      <c r="AC492" s="149">
        <f t="shared" si="298"/>
        <v>2998806478.9049664</v>
      </c>
      <c r="AD492" s="149">
        <f t="shared" si="298"/>
        <v>2998832131.9897227</v>
      </c>
      <c r="AE492" s="149">
        <f t="shared" si="298"/>
        <v>2998823550.4491916</v>
      </c>
      <c r="AF492" s="149">
        <f t="shared" si="298"/>
        <v>2998820720.4098797</v>
      </c>
      <c r="AG492" s="149">
        <f t="shared" si="298"/>
        <v>2998825467.6083775</v>
      </c>
    </row>
    <row r="493" spans="1:33" ht="14.25" customHeight="1" x14ac:dyDescent="0.35">
      <c r="A493" s="21"/>
      <c r="B493" s="28"/>
      <c r="C493" s="21"/>
      <c r="D493" s="21" t="s">
        <v>4117</v>
      </c>
      <c r="E493" s="21"/>
      <c r="F493" s="21"/>
      <c r="G493" s="21"/>
      <c r="H493" s="21"/>
      <c r="I493" s="22" t="s">
        <v>4060</v>
      </c>
      <c r="J493" s="148">
        <f t="shared" ref="J493:AG493" si="299">J444</f>
        <v>1501892997.6382353</v>
      </c>
      <c r="K493" s="148">
        <f t="shared" si="299"/>
        <v>1387436589.1721838</v>
      </c>
      <c r="L493" s="148">
        <f t="shared" si="299"/>
        <v>1076013814.9848309</v>
      </c>
      <c r="M493" s="148">
        <f t="shared" si="299"/>
        <v>1147087022.6582165</v>
      </c>
      <c r="N493" s="148">
        <f t="shared" si="299"/>
        <v>1270168376.4645331</v>
      </c>
      <c r="O493" s="148">
        <f t="shared" si="299"/>
        <v>1259132563.5706344</v>
      </c>
      <c r="P493" s="148">
        <f t="shared" si="299"/>
        <v>1334678165.3892395</v>
      </c>
      <c r="Q493" s="148">
        <f t="shared" si="299"/>
        <v>1362139249.8630872</v>
      </c>
      <c r="R493" s="149">
        <f t="shared" si="299"/>
        <v>1418321688.671947</v>
      </c>
      <c r="S493" s="149">
        <f t="shared" si="299"/>
        <v>1418872327.6376443</v>
      </c>
      <c r="T493" s="149">
        <f t="shared" si="299"/>
        <v>1415744879.1192105</v>
      </c>
      <c r="U493" s="149">
        <f t="shared" si="299"/>
        <v>1416883511.3738401</v>
      </c>
      <c r="V493" s="149">
        <f t="shared" si="299"/>
        <v>1417085968.2703969</v>
      </c>
      <c r="W493" s="149">
        <f t="shared" si="299"/>
        <v>1416562815.8028398</v>
      </c>
      <c r="X493" s="149">
        <f t="shared" si="299"/>
        <v>1416843186.3438523</v>
      </c>
      <c r="Y493" s="149">
        <f t="shared" si="299"/>
        <v>1416830532.3160074</v>
      </c>
      <c r="Z493" s="149">
        <f t="shared" si="299"/>
        <v>1416745490.0066755</v>
      </c>
      <c r="AA493" s="149">
        <f t="shared" si="299"/>
        <v>1416806400.5451241</v>
      </c>
      <c r="AB493" s="149">
        <f t="shared" si="299"/>
        <v>1416794139.9455819</v>
      </c>
      <c r="AC493" s="149">
        <f t="shared" si="299"/>
        <v>1416782009.6662407</v>
      </c>
      <c r="AD493" s="149">
        <f t="shared" si="299"/>
        <v>1416794183.314492</v>
      </c>
      <c r="AE493" s="149">
        <f t="shared" si="299"/>
        <v>1416790110.9521532</v>
      </c>
      <c r="AF493" s="149">
        <f t="shared" si="299"/>
        <v>1416788767.9595451</v>
      </c>
      <c r="AG493" s="149">
        <f t="shared" si="299"/>
        <v>1416791020.7383199</v>
      </c>
    </row>
    <row r="494" spans="1:33" ht="14.25" customHeight="1" x14ac:dyDescent="0.35">
      <c r="A494" s="21"/>
      <c r="B494" s="28"/>
      <c r="C494" s="21"/>
      <c r="D494" s="21" t="s">
        <v>32</v>
      </c>
      <c r="E494" s="21"/>
      <c r="F494" s="21"/>
      <c r="G494" s="21"/>
      <c r="H494" s="21"/>
      <c r="I494" s="22" t="s">
        <v>4060</v>
      </c>
      <c r="J494" s="148">
        <f t="shared" ref="J494:AG494" si="300">J449</f>
        <v>1107961932.4488599</v>
      </c>
      <c r="K494" s="148">
        <f t="shared" si="300"/>
        <v>1018514946.4511</v>
      </c>
      <c r="L494" s="148">
        <f t="shared" si="300"/>
        <v>817969109.62157798</v>
      </c>
      <c r="M494" s="148">
        <f t="shared" si="300"/>
        <v>850712810.37520301</v>
      </c>
      <c r="N494" s="148">
        <f t="shared" si="300"/>
        <v>990881170.44089198</v>
      </c>
      <c r="O494" s="148">
        <f t="shared" si="300"/>
        <v>1022589357.17267</v>
      </c>
      <c r="P494" s="148">
        <f t="shared" si="300"/>
        <v>1055099728.23283</v>
      </c>
      <c r="Q494" s="148">
        <f t="shared" si="300"/>
        <v>1156699029.8859301</v>
      </c>
      <c r="R494" s="149">
        <f t="shared" si="300"/>
        <v>1044933192.5160584</v>
      </c>
      <c r="S494" s="149">
        <f t="shared" si="300"/>
        <v>1046695878.4926279</v>
      </c>
      <c r="T494" s="149">
        <f t="shared" si="300"/>
        <v>1044530741.8338162</v>
      </c>
      <c r="U494" s="149">
        <f t="shared" si="300"/>
        <v>1045385762.212502</v>
      </c>
      <c r="V494" s="149">
        <f t="shared" si="300"/>
        <v>1045536702.7289441</v>
      </c>
      <c r="W494" s="149">
        <f t="shared" si="300"/>
        <v>1045150881.149593</v>
      </c>
      <c r="X494" s="149">
        <f t="shared" si="300"/>
        <v>1045357757.9217091</v>
      </c>
      <c r="Y494" s="149">
        <f t="shared" si="300"/>
        <v>1045348423.4915273</v>
      </c>
      <c r="Z494" s="149">
        <f t="shared" si="300"/>
        <v>1045285678.8137697</v>
      </c>
      <c r="AA494" s="149">
        <f t="shared" si="300"/>
        <v>1045330619.0956903</v>
      </c>
      <c r="AB494" s="149">
        <f t="shared" si="300"/>
        <v>1045321573.1334857</v>
      </c>
      <c r="AC494" s="149">
        <f t="shared" si="300"/>
        <v>1045312623.3206543</v>
      </c>
      <c r="AD494" s="149">
        <f t="shared" si="300"/>
        <v>1045321605.1316416</v>
      </c>
      <c r="AE494" s="149">
        <f t="shared" si="300"/>
        <v>1045318600.5115044</v>
      </c>
      <c r="AF494" s="149">
        <f t="shared" si="300"/>
        <v>1045317609.6412677</v>
      </c>
      <c r="AG494" s="149">
        <f t="shared" si="300"/>
        <v>1045319271.7587101</v>
      </c>
    </row>
    <row r="495" spans="1:33" ht="14.25" customHeight="1" x14ac:dyDescent="0.35">
      <c r="A495" s="21"/>
      <c r="B495" s="28"/>
      <c r="C495" s="21"/>
      <c r="D495" s="21" t="s">
        <v>4121</v>
      </c>
      <c r="E495" s="21"/>
      <c r="F495" s="21"/>
      <c r="G495" s="21"/>
      <c r="H495" s="21"/>
      <c r="I495" s="22" t="s">
        <v>4060</v>
      </c>
      <c r="J495" s="148">
        <f t="shared" ref="J495:AG495" si="301">J454</f>
        <v>10545439.873096935</v>
      </c>
      <c r="K495" s="148">
        <f t="shared" si="301"/>
        <v>10964407.494354594</v>
      </c>
      <c r="L495" s="148">
        <f t="shared" si="301"/>
        <v>7693918.1202530144</v>
      </c>
      <c r="M495" s="148">
        <f t="shared" si="301"/>
        <v>8268091.1143017476</v>
      </c>
      <c r="N495" s="148">
        <f t="shared" si="301"/>
        <v>10353924.76219848</v>
      </c>
      <c r="O495" s="148">
        <f t="shared" si="301"/>
        <v>9772243.5957828145</v>
      </c>
      <c r="P495" s="148">
        <f t="shared" si="301"/>
        <v>10784713.89143776</v>
      </c>
      <c r="Q495" s="148">
        <f t="shared" si="301"/>
        <v>10668749.225938406</v>
      </c>
      <c r="R495" s="149">
        <f t="shared" si="301"/>
        <v>9991156.9383075126</v>
      </c>
      <c r="S495" s="149">
        <f t="shared" si="301"/>
        <v>9999646.6919892412</v>
      </c>
      <c r="T495" s="149">
        <f t="shared" si="301"/>
        <v>9972996.9214841109</v>
      </c>
      <c r="U495" s="149">
        <f t="shared" si="301"/>
        <v>9976803.034313811</v>
      </c>
      <c r="V495" s="149">
        <f t="shared" si="301"/>
        <v>9975101.1385493111</v>
      </c>
      <c r="W495" s="149">
        <f t="shared" si="301"/>
        <v>9969152.6679798048</v>
      </c>
      <c r="X495" s="149">
        <f t="shared" si="301"/>
        <v>9969483.413971154</v>
      </c>
      <c r="Y495" s="149">
        <f t="shared" si="301"/>
        <v>9968207.8658175413</v>
      </c>
      <c r="Z495" s="149">
        <f t="shared" si="301"/>
        <v>9966751.9524533022</v>
      </c>
      <c r="AA495" s="149">
        <f t="shared" si="301"/>
        <v>9966560.2617078833</v>
      </c>
      <c r="AB495" s="149">
        <f t="shared" si="301"/>
        <v>9966025.7528643347</v>
      </c>
      <c r="AC495" s="149">
        <f t="shared" si="301"/>
        <v>9965616.3730349131</v>
      </c>
      <c r="AD495" s="149">
        <f t="shared" si="301"/>
        <v>9965467.7265071534</v>
      </c>
      <c r="AE495" s="149">
        <f t="shared" si="301"/>
        <v>9965269.7289130893</v>
      </c>
      <c r="AF495" s="149">
        <f t="shared" si="301"/>
        <v>9965137.8545609843</v>
      </c>
      <c r="AG495" s="149">
        <f t="shared" si="301"/>
        <v>9965065.1943302024</v>
      </c>
    </row>
    <row r="496" spans="1:33" ht="14.25" customHeight="1" x14ac:dyDescent="0.35">
      <c r="A496" s="21"/>
      <c r="B496" s="28"/>
      <c r="C496" s="21"/>
      <c r="D496" s="21" t="s">
        <v>4072</v>
      </c>
      <c r="E496" s="21"/>
      <c r="F496" s="21"/>
      <c r="G496" s="21"/>
      <c r="H496" s="21"/>
      <c r="I496" s="22" t="s">
        <v>4060</v>
      </c>
      <c r="J496" s="148">
        <f t="shared" ref="J496:AG496" si="302">J459</f>
        <v>4360551.3216624605</v>
      </c>
      <c r="K496" s="148">
        <f t="shared" si="302"/>
        <v>4697629.4912859602</v>
      </c>
      <c r="L496" s="148">
        <f t="shared" si="302"/>
        <v>4281330.9864888303</v>
      </c>
      <c r="M496" s="148">
        <f t="shared" si="302"/>
        <v>18280986.5129322</v>
      </c>
      <c r="N496" s="148">
        <f t="shared" si="302"/>
        <v>26075196.0369494</v>
      </c>
      <c r="O496" s="148">
        <f t="shared" si="302"/>
        <v>5109524.3100751201</v>
      </c>
      <c r="P496" s="148">
        <f t="shared" si="302"/>
        <v>5531713.2473112699</v>
      </c>
      <c r="Q496" s="148">
        <f t="shared" si="302"/>
        <v>5671866.1322134202</v>
      </c>
      <c r="R496" s="149">
        <f t="shared" si="302"/>
        <v>9764605.4580646381</v>
      </c>
      <c r="S496" s="149">
        <f t="shared" si="302"/>
        <v>9641336.0799358208</v>
      </c>
      <c r="T496" s="149">
        <f t="shared" si="302"/>
        <v>9527020.4720237199</v>
      </c>
      <c r="U496" s="149">
        <f t="shared" si="302"/>
        <v>9469758.7635151166</v>
      </c>
      <c r="V496" s="149">
        <f t="shared" si="302"/>
        <v>9426765.6882000268</v>
      </c>
      <c r="W496" s="149">
        <f t="shared" si="302"/>
        <v>9393025.9539260473</v>
      </c>
      <c r="X496" s="149">
        <f t="shared" si="302"/>
        <v>9374172.8501558267</v>
      </c>
      <c r="Y496" s="149">
        <f t="shared" si="302"/>
        <v>9359946.3970347252</v>
      </c>
      <c r="Z496" s="149">
        <f t="shared" si="302"/>
        <v>9349723.0422628615</v>
      </c>
      <c r="AA496" s="149">
        <f t="shared" si="302"/>
        <v>9343521.6240018066</v>
      </c>
      <c r="AB496" s="149">
        <f t="shared" si="302"/>
        <v>9338929.6963306833</v>
      </c>
      <c r="AC496" s="149">
        <f t="shared" si="302"/>
        <v>9335767.5320394542</v>
      </c>
      <c r="AD496" s="149">
        <f t="shared" si="302"/>
        <v>9333741.7085536197</v>
      </c>
      <c r="AE496" s="149">
        <f t="shared" si="302"/>
        <v>9332275.9712423626</v>
      </c>
      <c r="AF496" s="149">
        <f t="shared" si="302"/>
        <v>9331283.9795373436</v>
      </c>
      <c r="AG496" s="149">
        <f t="shared" si="302"/>
        <v>9330627.0738057755</v>
      </c>
    </row>
    <row r="497" spans="1:33" ht="14.25" customHeight="1" x14ac:dyDescent="0.35">
      <c r="A497" s="21"/>
      <c r="B497" s="28"/>
      <c r="C497" s="21"/>
      <c r="D497" s="21" t="s">
        <v>4074</v>
      </c>
      <c r="E497" s="21"/>
      <c r="F497" s="21"/>
      <c r="G497" s="21"/>
      <c r="H497" s="21"/>
      <c r="I497" s="22" t="s">
        <v>4060</v>
      </c>
      <c r="J497" s="148">
        <f t="shared" ref="J497:AG497" si="303">J464</f>
        <v>84406474.965086296</v>
      </c>
      <c r="K497" s="148">
        <f t="shared" si="303"/>
        <v>73965474.988353103</v>
      </c>
      <c r="L497" s="148">
        <f t="shared" si="303"/>
        <v>52613099.993165098</v>
      </c>
      <c r="M497" s="148">
        <f t="shared" si="303"/>
        <v>28161549.9995564</v>
      </c>
      <c r="N497" s="148">
        <f t="shared" si="303"/>
        <v>45948236.040609099</v>
      </c>
      <c r="O497" s="148">
        <f t="shared" si="303"/>
        <v>86861418.439032704</v>
      </c>
      <c r="P497" s="148">
        <f t="shared" si="303"/>
        <v>72597346.4577308</v>
      </c>
      <c r="Q497" s="148">
        <f t="shared" si="303"/>
        <v>90243700.927690297</v>
      </c>
      <c r="R497" s="149">
        <f t="shared" si="303"/>
        <v>72779534.004340723</v>
      </c>
      <c r="S497" s="149">
        <f t="shared" si="303"/>
        <v>70855958.228105277</v>
      </c>
      <c r="T497" s="149">
        <f t="shared" si="303"/>
        <v>69097247.49780345</v>
      </c>
      <c r="U497" s="149">
        <f t="shared" si="303"/>
        <v>68315049.298419461</v>
      </c>
      <c r="V497" s="149">
        <f t="shared" si="303"/>
        <v>67891736.453420937</v>
      </c>
      <c r="W497" s="149">
        <f t="shared" si="303"/>
        <v>67642895.191367388</v>
      </c>
      <c r="X497" s="149">
        <f t="shared" si="303"/>
        <v>67540411.863828465</v>
      </c>
      <c r="Y497" s="149">
        <f t="shared" si="303"/>
        <v>67479908.587807298</v>
      </c>
      <c r="Z497" s="149">
        <f t="shared" si="303"/>
        <v>67444882.93778345</v>
      </c>
      <c r="AA497" s="149">
        <f t="shared" si="303"/>
        <v>67431759.678899184</v>
      </c>
      <c r="AB497" s="149">
        <f t="shared" si="303"/>
        <v>67422890.443440229</v>
      </c>
      <c r="AC497" s="149">
        <f t="shared" si="303"/>
        <v>67418028.062874854</v>
      </c>
      <c r="AD497" s="149">
        <f t="shared" si="303"/>
        <v>67416391.133609995</v>
      </c>
      <c r="AE497" s="149">
        <f t="shared" si="303"/>
        <v>67415051.221118599</v>
      </c>
      <c r="AF497" s="149">
        <f t="shared" si="303"/>
        <v>67414394.568543583</v>
      </c>
      <c r="AG497" s="149">
        <f t="shared" si="303"/>
        <v>67414195.20760332</v>
      </c>
    </row>
    <row r="498" spans="1:33" ht="14.25" customHeight="1" x14ac:dyDescent="0.35">
      <c r="A498" s="21"/>
      <c r="B498" s="28"/>
      <c r="C498" s="21"/>
      <c r="D498" s="21" t="s">
        <v>4076</v>
      </c>
      <c r="E498" s="21"/>
      <c r="F498" s="21"/>
      <c r="G498" s="21"/>
      <c r="H498" s="21"/>
      <c r="I498" s="22" t="s">
        <v>4060</v>
      </c>
      <c r="J498" s="148">
        <f t="shared" ref="J498:AG498" si="304">J469</f>
        <v>58003195.187142901</v>
      </c>
      <c r="K498" s="148">
        <f t="shared" si="304"/>
        <v>53475938.014934771</v>
      </c>
      <c r="L498" s="148">
        <f t="shared" si="304"/>
        <v>47978249.770195231</v>
      </c>
      <c r="M498" s="148">
        <f t="shared" si="304"/>
        <v>66219524.840545125</v>
      </c>
      <c r="N498" s="148">
        <f t="shared" si="304"/>
        <v>106554404.65795419</v>
      </c>
      <c r="O498" s="148">
        <f t="shared" si="304"/>
        <v>85260371.06658572</v>
      </c>
      <c r="P498" s="148">
        <f t="shared" si="304"/>
        <v>100903169.30170342</v>
      </c>
      <c r="Q498" s="148">
        <f t="shared" si="304"/>
        <v>89124445.183519214</v>
      </c>
      <c r="R498" s="149">
        <f t="shared" si="304"/>
        <v>78610215.331039742</v>
      </c>
      <c r="S498" s="149">
        <f t="shared" si="304"/>
        <v>77607932.999140427</v>
      </c>
      <c r="T498" s="149">
        <f t="shared" si="304"/>
        <v>76939866.654199466</v>
      </c>
      <c r="U498" s="149">
        <f t="shared" si="304"/>
        <v>76773312.242962971</v>
      </c>
      <c r="V498" s="149">
        <f t="shared" si="304"/>
        <v>76681203.001163453</v>
      </c>
      <c r="W498" s="149">
        <f t="shared" si="304"/>
        <v>76606502.141117498</v>
      </c>
      <c r="X498" s="149">
        <f t="shared" si="304"/>
        <v>76600760.406043664</v>
      </c>
      <c r="Y498" s="149">
        <f t="shared" si="304"/>
        <v>76590670.746069133</v>
      </c>
      <c r="Z498" s="149">
        <f t="shared" si="304"/>
        <v>76581840.705494523</v>
      </c>
      <c r="AA498" s="149">
        <f t="shared" si="304"/>
        <v>76583227.782656431</v>
      </c>
      <c r="AB498" s="149">
        <f t="shared" si="304"/>
        <v>76581707.546036124</v>
      </c>
      <c r="AC498" s="149">
        <f t="shared" si="304"/>
        <v>76580665.928257927</v>
      </c>
      <c r="AD498" s="149">
        <f t="shared" si="304"/>
        <v>76581150.237488821</v>
      </c>
      <c r="AE498" s="149">
        <f t="shared" si="304"/>
        <v>76580851.93686381</v>
      </c>
      <c r="AF498" s="149">
        <f t="shared" si="304"/>
        <v>76580744.158263564</v>
      </c>
      <c r="AG498" s="149">
        <f t="shared" si="304"/>
        <v>76580850.089559749</v>
      </c>
    </row>
    <row r="499" spans="1:33" ht="14.25" customHeight="1" x14ac:dyDescent="0.35">
      <c r="A499" s="21"/>
      <c r="B499" s="28"/>
      <c r="C499" s="21"/>
      <c r="D499" s="21" t="s">
        <v>4127</v>
      </c>
      <c r="E499" s="21"/>
      <c r="F499" s="21"/>
      <c r="G499" s="21"/>
      <c r="H499" s="21"/>
      <c r="I499" s="22" t="s">
        <v>4060</v>
      </c>
      <c r="J499" s="148">
        <f t="shared" ref="J499:AG499" si="305">J474</f>
        <v>88514264.836086333</v>
      </c>
      <c r="K499" s="148">
        <f t="shared" si="305"/>
        <v>43710823.21026738</v>
      </c>
      <c r="L499" s="148">
        <f t="shared" si="305"/>
        <v>30697016.833506696</v>
      </c>
      <c r="M499" s="148">
        <f t="shared" si="305"/>
        <v>48880486.074034847</v>
      </c>
      <c r="N499" s="148">
        <f t="shared" si="305"/>
        <v>62008537.236947842</v>
      </c>
      <c r="O499" s="148">
        <f t="shared" si="305"/>
        <v>92231957.608734265</v>
      </c>
      <c r="P499" s="148">
        <f t="shared" si="305"/>
        <v>23057989.402183566</v>
      </c>
      <c r="Q499" s="148">
        <f t="shared" si="305"/>
        <v>90977703.275084317</v>
      </c>
      <c r="R499" s="149">
        <f t="shared" si="305"/>
        <v>62995806.097164042</v>
      </c>
      <c r="S499" s="149">
        <f t="shared" si="305"/>
        <v>62469562.609236777</v>
      </c>
      <c r="T499" s="149">
        <f t="shared" si="305"/>
        <v>61873710.966008</v>
      </c>
      <c r="U499" s="149">
        <f t="shared" si="305"/>
        <v>61570863.287462816</v>
      </c>
      <c r="V499" s="149">
        <f t="shared" si="305"/>
        <v>61315740.078427188</v>
      </c>
      <c r="W499" s="149">
        <f t="shared" si="305"/>
        <v>61095806.286678143</v>
      </c>
      <c r="X499" s="149">
        <f t="shared" si="305"/>
        <v>60959808.398927115</v>
      </c>
      <c r="Y499" s="149">
        <f t="shared" si="305"/>
        <v>60848454.567930125</v>
      </c>
      <c r="Z499" s="149">
        <f t="shared" si="305"/>
        <v>60761837.444397368</v>
      </c>
      <c r="AA499" s="149">
        <f t="shared" si="305"/>
        <v>60702294.573224314</v>
      </c>
      <c r="AB499" s="149">
        <f t="shared" si="305"/>
        <v>60655232.770824291</v>
      </c>
      <c r="AC499" s="149">
        <f t="shared" si="305"/>
        <v>60619863.729986325</v>
      </c>
      <c r="AD499" s="149">
        <f t="shared" si="305"/>
        <v>60594284.968457811</v>
      </c>
      <c r="AE499" s="149">
        <f t="shared" si="305"/>
        <v>60574566.50266289</v>
      </c>
      <c r="AF499" s="149">
        <f t="shared" si="305"/>
        <v>60559872.867329784</v>
      </c>
      <c r="AG499" s="149">
        <f t="shared" si="305"/>
        <v>60549008.452576138</v>
      </c>
    </row>
    <row r="500" spans="1:33" ht="14.25" customHeight="1" x14ac:dyDescent="0.35">
      <c r="A500" s="21"/>
      <c r="B500" s="28"/>
      <c r="C500" s="21"/>
      <c r="D500" s="21" t="s">
        <v>4005</v>
      </c>
      <c r="E500" s="21"/>
      <c r="F500" s="21"/>
      <c r="G500" s="21"/>
      <c r="H500" s="21"/>
      <c r="I500" s="22" t="s">
        <v>4060</v>
      </c>
      <c r="J500" s="148">
        <f t="shared" ref="J500:AG500" si="306">J477</f>
        <v>15087029.5916947</v>
      </c>
      <c r="K500" s="148">
        <f t="shared" si="306"/>
        <v>14257937.0831073</v>
      </c>
      <c r="L500" s="148">
        <f t="shared" si="306"/>
        <v>8960998.8657807</v>
      </c>
      <c r="M500" s="148">
        <f t="shared" si="306"/>
        <v>13926856.2742971</v>
      </c>
      <c r="N500" s="148">
        <f t="shared" si="306"/>
        <v>14961184.295465101</v>
      </c>
      <c r="O500" s="148">
        <f t="shared" si="306"/>
        <v>11817290.490588199</v>
      </c>
      <c r="P500" s="148">
        <f t="shared" si="306"/>
        <v>14267360.902449399</v>
      </c>
      <c r="Q500" s="148">
        <f t="shared" si="306"/>
        <v>14716191.128134999</v>
      </c>
      <c r="R500" s="149">
        <f t="shared" si="306"/>
        <v>13608261.403450318</v>
      </c>
      <c r="S500" s="149">
        <f t="shared" si="306"/>
        <v>13631216.901373604</v>
      </c>
      <c r="T500" s="149">
        <f t="shared" si="306"/>
        <v>13603020.127101518</v>
      </c>
      <c r="U500" s="149">
        <f t="shared" si="306"/>
        <v>13614155.136301849</v>
      </c>
      <c r="V500" s="149">
        <f t="shared" si="306"/>
        <v>13616120.848559923</v>
      </c>
      <c r="W500" s="149">
        <f t="shared" si="306"/>
        <v>13611096.258570191</v>
      </c>
      <c r="X500" s="149">
        <f t="shared" si="306"/>
        <v>13613790.433841649</v>
      </c>
      <c r="Y500" s="149">
        <f t="shared" si="306"/>
        <v>13613668.870697023</v>
      </c>
      <c r="Z500" s="149">
        <f t="shared" si="306"/>
        <v>13612851.740975298</v>
      </c>
      <c r="AA500" s="149">
        <f t="shared" si="306"/>
        <v>13613437.002408976</v>
      </c>
      <c r="AB500" s="149">
        <f t="shared" si="306"/>
        <v>13613319.196009399</v>
      </c>
      <c r="AC500" s="149">
        <f t="shared" si="306"/>
        <v>13613202.641771976</v>
      </c>
      <c r="AD500" s="149">
        <f t="shared" si="306"/>
        <v>13613319.612724334</v>
      </c>
      <c r="AE500" s="149">
        <f t="shared" si="306"/>
        <v>13613280.483279349</v>
      </c>
      <c r="AF500" s="149">
        <f t="shared" si="306"/>
        <v>13613267.579084922</v>
      </c>
      <c r="AG500" s="149">
        <f t="shared" si="306"/>
        <v>13613289.224993579</v>
      </c>
    </row>
    <row r="501" spans="1:33" ht="14.25" customHeight="1" x14ac:dyDescent="0.35">
      <c r="A501" s="21"/>
      <c r="B501" s="28"/>
      <c r="C501" s="21"/>
      <c r="D501" s="21" t="s">
        <v>34</v>
      </c>
      <c r="E501" s="21"/>
      <c r="F501" s="21"/>
      <c r="G501" s="21"/>
      <c r="H501" s="21"/>
      <c r="I501" s="22" t="s">
        <v>4060</v>
      </c>
      <c r="J501" s="148">
        <f t="shared" ref="J501:AG501" si="307">J483</f>
        <v>219605337.88781765</v>
      </c>
      <c r="K501" s="148">
        <f t="shared" si="307"/>
        <v>196803341.11317992</v>
      </c>
      <c r="L501" s="148">
        <f t="shared" si="307"/>
        <v>152874125.00000018</v>
      </c>
      <c r="M501" s="148">
        <f t="shared" si="307"/>
        <v>144328874.99999982</v>
      </c>
      <c r="N501" s="148">
        <f t="shared" si="307"/>
        <v>173639125</v>
      </c>
      <c r="O501" s="148">
        <f t="shared" si="307"/>
        <v>174787499.99999988</v>
      </c>
      <c r="P501" s="148">
        <f t="shared" si="307"/>
        <v>155362437.54398614</v>
      </c>
      <c r="Q501" s="148">
        <f t="shared" si="307"/>
        <v>110021625.00000007</v>
      </c>
      <c r="R501" s="149">
        <f t="shared" si="307"/>
        <v>167275888.55449241</v>
      </c>
      <c r="S501" s="149">
        <f t="shared" si="307"/>
        <v>167580796.04366532</v>
      </c>
      <c r="T501" s="149">
        <f t="shared" si="307"/>
        <v>167206271.05297202</v>
      </c>
      <c r="U501" s="149">
        <f t="shared" si="307"/>
        <v>167354172.34043437</v>
      </c>
      <c r="V501" s="149">
        <f t="shared" si="307"/>
        <v>167380282.00666976</v>
      </c>
      <c r="W501" s="149">
        <f t="shared" si="307"/>
        <v>167313542.65198383</v>
      </c>
      <c r="X501" s="149">
        <f t="shared" si="307"/>
        <v>167349328.16272122</v>
      </c>
      <c r="Y501" s="149">
        <f t="shared" si="307"/>
        <v>167347713.49449098</v>
      </c>
      <c r="Z501" s="149">
        <f t="shared" si="307"/>
        <v>167336859.93023324</v>
      </c>
      <c r="AA501" s="149">
        <f t="shared" si="307"/>
        <v>167344633.6929653</v>
      </c>
      <c r="AB501" s="149">
        <f t="shared" si="307"/>
        <v>167343068.92387921</v>
      </c>
      <c r="AC501" s="149">
        <f t="shared" si="307"/>
        <v>167341520.78669646</v>
      </c>
      <c r="AD501" s="149">
        <f t="shared" si="307"/>
        <v>167343074.45891526</v>
      </c>
      <c r="AE501" s="149">
        <f t="shared" si="307"/>
        <v>167342554.72020763</v>
      </c>
      <c r="AF501" s="149">
        <f t="shared" si="307"/>
        <v>167342383.31963345</v>
      </c>
      <c r="AG501" s="149">
        <f t="shared" si="307"/>
        <v>167342670.83244106</v>
      </c>
    </row>
    <row r="502" spans="1:33" ht="14.25" customHeight="1" x14ac:dyDescent="0.35">
      <c r="A502" s="21"/>
      <c r="B502" s="28"/>
      <c r="C502" s="21"/>
      <c r="D502" s="21" t="s">
        <v>4032</v>
      </c>
      <c r="E502" s="21"/>
      <c r="F502" s="21"/>
      <c r="G502" s="21"/>
      <c r="H502" s="21"/>
      <c r="I502" s="22" t="s">
        <v>4060</v>
      </c>
      <c r="J502" s="148">
        <f t="shared" ref="J502:AG502" si="308">J485</f>
        <v>763229294.63783896</v>
      </c>
      <c r="K502" s="148">
        <f t="shared" si="308"/>
        <v>659605873.21866286</v>
      </c>
      <c r="L502" s="148">
        <f t="shared" si="308"/>
        <v>511705884.02579129</v>
      </c>
      <c r="M502" s="148">
        <f t="shared" si="308"/>
        <v>783736350.16021574</v>
      </c>
      <c r="N502" s="148">
        <f t="shared" si="308"/>
        <v>816782216.28747547</v>
      </c>
      <c r="O502" s="148">
        <f t="shared" si="308"/>
        <v>799590329.31506741</v>
      </c>
      <c r="P502" s="148">
        <f t="shared" si="308"/>
        <v>838004033.39459646</v>
      </c>
      <c r="Q502" s="148">
        <f t="shared" si="308"/>
        <v>837037868.02872133</v>
      </c>
      <c r="R502" s="149">
        <f t="shared" si="308"/>
        <v>840609360.03719616</v>
      </c>
      <c r="S502" s="149">
        <f t="shared" si="308"/>
        <v>840325756.40021169</v>
      </c>
      <c r="T502" s="149">
        <f t="shared" si="308"/>
        <v>840458024.87188172</v>
      </c>
      <c r="U502" s="149">
        <f t="shared" si="308"/>
        <v>840464383.4203918</v>
      </c>
      <c r="V502" s="149">
        <f t="shared" si="308"/>
        <v>840416056.80046809</v>
      </c>
      <c r="W502" s="149">
        <f t="shared" si="308"/>
        <v>840446155.21247423</v>
      </c>
      <c r="X502" s="149">
        <f t="shared" si="308"/>
        <v>840442198.53798938</v>
      </c>
      <c r="Y502" s="149">
        <f t="shared" si="308"/>
        <v>840434803.58742023</v>
      </c>
      <c r="Z502" s="149">
        <f t="shared" si="308"/>
        <v>840441052.45828283</v>
      </c>
      <c r="AA502" s="149">
        <f t="shared" si="308"/>
        <v>840439351.52888751</v>
      </c>
      <c r="AB502" s="149">
        <f t="shared" si="308"/>
        <v>840438402.52712607</v>
      </c>
      <c r="AC502" s="149">
        <f t="shared" si="308"/>
        <v>840439602.17210317</v>
      </c>
      <c r="AD502" s="149">
        <f t="shared" si="308"/>
        <v>840439118.74273312</v>
      </c>
      <c r="AE502" s="149">
        <f t="shared" si="308"/>
        <v>840439041.14738274</v>
      </c>
      <c r="AF502" s="149">
        <f t="shared" si="308"/>
        <v>840439254.02077043</v>
      </c>
      <c r="AG502" s="149">
        <f t="shared" si="308"/>
        <v>840439137.97029769</v>
      </c>
    </row>
    <row r="503" spans="1:33" ht="14.25" customHeight="1" x14ac:dyDescent="0.35">
      <c r="A503" s="21"/>
      <c r="B503" s="28"/>
      <c r="C503" s="21"/>
      <c r="D503" s="21" t="s">
        <v>4033</v>
      </c>
      <c r="E503" s="21"/>
      <c r="F503" s="21"/>
      <c r="G503" s="21"/>
      <c r="H503" s="21"/>
      <c r="I503" s="22" t="s">
        <v>4060</v>
      </c>
      <c r="J503" s="148">
        <f t="shared" ref="J503:AG503" si="309">J486</f>
        <v>237490750.88121164</v>
      </c>
      <c r="K503" s="148">
        <f t="shared" si="309"/>
        <v>243145045.36636519</v>
      </c>
      <c r="L503" s="148">
        <f t="shared" si="309"/>
        <v>246685668.13021711</v>
      </c>
      <c r="M503" s="148">
        <f t="shared" si="309"/>
        <v>241135735.58749253</v>
      </c>
      <c r="N503" s="148">
        <f t="shared" si="309"/>
        <v>233339136.83260033</v>
      </c>
      <c r="O503" s="148">
        <f t="shared" si="309"/>
        <v>216991445.86544546</v>
      </c>
      <c r="P503" s="148">
        <f t="shared" si="309"/>
        <v>213982523.8029725</v>
      </c>
      <c r="Q503" s="148">
        <f t="shared" si="309"/>
        <v>174374063.22335592</v>
      </c>
      <c r="R503" s="149">
        <f t="shared" si="309"/>
        <v>190378217.37873942</v>
      </c>
      <c r="S503" s="149">
        <f t="shared" si="309"/>
        <v>190176887.00507385</v>
      </c>
      <c r="T503" s="149">
        <f t="shared" si="309"/>
        <v>190287726.89284757</v>
      </c>
      <c r="U503" s="149">
        <f t="shared" si="309"/>
        <v>190280946.05627415</v>
      </c>
      <c r="V503" s="149">
        <f t="shared" si="309"/>
        <v>190248521.55683506</v>
      </c>
      <c r="W503" s="149">
        <f t="shared" si="309"/>
        <v>190272398.37517309</v>
      </c>
      <c r="X503" s="149">
        <f t="shared" si="309"/>
        <v>190267288.71257105</v>
      </c>
      <c r="Y503" s="149">
        <f t="shared" si="309"/>
        <v>190262736.27096879</v>
      </c>
      <c r="Z503" s="149">
        <f t="shared" si="309"/>
        <v>190267474.46494287</v>
      </c>
      <c r="AA503" s="149">
        <f t="shared" si="309"/>
        <v>190265833.15059856</v>
      </c>
      <c r="AB503" s="149">
        <f t="shared" si="309"/>
        <v>190265347.963925</v>
      </c>
      <c r="AC503" s="149">
        <f t="shared" si="309"/>
        <v>190266218.52708879</v>
      </c>
      <c r="AD503" s="149">
        <f t="shared" si="309"/>
        <v>190265799.88058001</v>
      </c>
      <c r="AE503" s="149">
        <f t="shared" si="309"/>
        <v>190265788.79057878</v>
      </c>
      <c r="AF503" s="149">
        <f t="shared" si="309"/>
        <v>190265935.73277509</v>
      </c>
      <c r="AG503" s="149">
        <f t="shared" si="309"/>
        <v>190265841.46798068</v>
      </c>
    </row>
    <row r="504" spans="1:33" ht="14.25" customHeight="1" x14ac:dyDescent="0.35">
      <c r="A504" s="21"/>
      <c r="B504" s="28"/>
      <c r="C504" s="21"/>
      <c r="D504" s="21" t="s">
        <v>4034</v>
      </c>
      <c r="E504" s="21"/>
      <c r="F504" s="21"/>
      <c r="G504" s="21"/>
      <c r="H504" s="21"/>
      <c r="I504" s="22" t="s">
        <v>4060</v>
      </c>
      <c r="J504" s="148">
        <f t="shared" ref="J504:AG504" si="310">J487</f>
        <v>63261168</v>
      </c>
      <c r="K504" s="148">
        <f t="shared" si="310"/>
        <v>52871694.384894066</v>
      </c>
      <c r="L504" s="148">
        <f t="shared" si="310"/>
        <v>41886668.561955705</v>
      </c>
      <c r="M504" s="148">
        <f t="shared" si="310"/>
        <v>48116582.781041518</v>
      </c>
      <c r="N504" s="148">
        <f t="shared" si="310"/>
        <v>52443691.561371177</v>
      </c>
      <c r="O504" s="148">
        <f t="shared" si="310"/>
        <v>50783494.691081204</v>
      </c>
      <c r="P504" s="148">
        <f t="shared" si="310"/>
        <v>55154422.914767154</v>
      </c>
      <c r="Q504" s="148">
        <f t="shared" si="310"/>
        <v>53171505.331224233</v>
      </c>
      <c r="R504" s="149">
        <f t="shared" si="310"/>
        <v>51322202.442948453</v>
      </c>
      <c r="S504" s="149">
        <f t="shared" si="310"/>
        <v>51325551.958841383</v>
      </c>
      <c r="T504" s="149">
        <f t="shared" si="310"/>
        <v>49728774.524332315</v>
      </c>
      <c r="U504" s="149">
        <f t="shared" si="310"/>
        <v>50792159.41302754</v>
      </c>
      <c r="V504" s="149">
        <f t="shared" si="310"/>
        <v>50615474.450894959</v>
      </c>
      <c r="W504" s="149">
        <f t="shared" si="310"/>
        <v>50378795.484581135</v>
      </c>
      <c r="X504" s="149">
        <f t="shared" si="310"/>
        <v>50595475.783465557</v>
      </c>
      <c r="Y504" s="149">
        <f t="shared" si="310"/>
        <v>50529914.664322615</v>
      </c>
      <c r="Z504" s="149">
        <f t="shared" si="310"/>
        <v>50501395.000730053</v>
      </c>
      <c r="AA504" s="149">
        <f t="shared" si="310"/>
        <v>50542261.778361768</v>
      </c>
      <c r="AB504" s="149">
        <f t="shared" si="310"/>
        <v>50524523.800445721</v>
      </c>
      <c r="AC504" s="149">
        <f t="shared" si="310"/>
        <v>50522726.848204084</v>
      </c>
      <c r="AD504" s="149">
        <f t="shared" si="310"/>
        <v>50529837.47349605</v>
      </c>
      <c r="AE504" s="149">
        <f t="shared" si="310"/>
        <v>50525696.040385365</v>
      </c>
      <c r="AF504" s="149">
        <f t="shared" si="310"/>
        <v>50526086.786974542</v>
      </c>
      <c r="AG504" s="149">
        <f t="shared" si="310"/>
        <v>50527206.766840637</v>
      </c>
    </row>
    <row r="505" spans="1:33" ht="14.25" customHeight="1" x14ac:dyDescent="0.35">
      <c r="A505" s="21"/>
      <c r="B505" s="28"/>
      <c r="C505" s="21"/>
      <c r="D505" s="21" t="s">
        <v>4035</v>
      </c>
      <c r="E505" s="21"/>
      <c r="F505" s="21"/>
      <c r="G505" s="21"/>
      <c r="H505" s="21"/>
      <c r="I505" s="22" t="s">
        <v>4060</v>
      </c>
      <c r="J505" s="148">
        <f t="shared" ref="J505:AG505" si="311">J488</f>
        <v>263699374.15509221</v>
      </c>
      <c r="K505" s="148">
        <f t="shared" si="311"/>
        <v>215851181.36673936</v>
      </c>
      <c r="L505" s="148">
        <f t="shared" si="311"/>
        <v>305559305.29496777</v>
      </c>
      <c r="M505" s="148">
        <f t="shared" si="311"/>
        <v>381324954.00749862</v>
      </c>
      <c r="N505" s="148">
        <f t="shared" si="311"/>
        <v>256026137.37306172</v>
      </c>
      <c r="O505" s="148">
        <f t="shared" si="311"/>
        <v>255043025.01806676</v>
      </c>
      <c r="P505" s="148">
        <f t="shared" si="311"/>
        <v>235780634.62469795</v>
      </c>
      <c r="Q505" s="148">
        <f t="shared" si="311"/>
        <v>227483417.89208138</v>
      </c>
      <c r="R505" s="149">
        <f t="shared" si="311"/>
        <v>273360033.00056672</v>
      </c>
      <c r="S505" s="149">
        <f t="shared" si="311"/>
        <v>273363673.32682836</v>
      </c>
      <c r="T505" s="149">
        <f t="shared" si="311"/>
        <v>272297505.35505247</v>
      </c>
      <c r="U505" s="149">
        <f t="shared" si="311"/>
        <v>270238957.52700949</v>
      </c>
      <c r="V505" s="149">
        <f t="shared" si="311"/>
        <v>270239265.89966011</v>
      </c>
      <c r="W505" s="149">
        <f t="shared" si="311"/>
        <v>270238477.48742545</v>
      </c>
      <c r="X505" s="149">
        <f t="shared" si="311"/>
        <v>270238900.30430883</v>
      </c>
      <c r="Y505" s="149">
        <f t="shared" si="311"/>
        <v>263088627.69535273</v>
      </c>
      <c r="Z505" s="149">
        <f t="shared" si="311"/>
        <v>263088502.86505544</v>
      </c>
      <c r="AA505" s="149">
        <f t="shared" si="311"/>
        <v>262745207.47812858</v>
      </c>
      <c r="AB505" s="149">
        <f t="shared" si="311"/>
        <v>262578402.61504924</v>
      </c>
      <c r="AC505" s="149">
        <f t="shared" si="311"/>
        <v>262205567.1151413</v>
      </c>
      <c r="AD505" s="149">
        <f t="shared" si="311"/>
        <v>262205584.9244442</v>
      </c>
      <c r="AE505" s="149">
        <f t="shared" si="311"/>
        <v>262205578.96686098</v>
      </c>
      <c r="AF505" s="149">
        <f t="shared" si="311"/>
        <v>262205577.00214863</v>
      </c>
      <c r="AG505" s="149">
        <f t="shared" si="311"/>
        <v>262205580.29781789</v>
      </c>
    </row>
    <row r="506" spans="1:33" ht="14.25" customHeight="1" x14ac:dyDescent="0.35">
      <c r="A506" s="21"/>
      <c r="B506" s="28"/>
      <c r="C506" s="21"/>
      <c r="D506" s="21" t="s">
        <v>4036</v>
      </c>
      <c r="E506" s="21"/>
      <c r="F506" s="21"/>
      <c r="G506" s="21"/>
      <c r="H506" s="21"/>
      <c r="I506" s="22" t="s">
        <v>4060</v>
      </c>
      <c r="J506" s="148">
        <f t="shared" ref="J506:AG506" si="312">J489</f>
        <v>133719123.23526369</v>
      </c>
      <c r="K506" s="148">
        <f t="shared" si="312"/>
        <v>266290578.8541095</v>
      </c>
      <c r="L506" s="148">
        <f t="shared" si="312"/>
        <v>238659799.39164153</v>
      </c>
      <c r="M506" s="148">
        <f t="shared" si="312"/>
        <v>157997301.01988974</v>
      </c>
      <c r="N506" s="148">
        <f t="shared" si="312"/>
        <v>77342103.420198694</v>
      </c>
      <c r="O506" s="148">
        <f t="shared" si="312"/>
        <v>76702452.709805056</v>
      </c>
      <c r="P506" s="148">
        <f t="shared" si="312"/>
        <v>120960317.59420469</v>
      </c>
      <c r="Q506" s="148">
        <f t="shared" si="312"/>
        <v>126272704.82918875</v>
      </c>
      <c r="R506" s="149">
        <f t="shared" si="312"/>
        <v>145244070.33349967</v>
      </c>
      <c r="S506" s="149">
        <f t="shared" si="312"/>
        <v>146571564.56579235</v>
      </c>
      <c r="T506" s="149">
        <f t="shared" si="312"/>
        <v>143910373.78748611</v>
      </c>
      <c r="U506" s="149">
        <f t="shared" si="312"/>
        <v>144125433.99293035</v>
      </c>
      <c r="V506" s="149">
        <f t="shared" si="312"/>
        <v>143296693.54943231</v>
      </c>
      <c r="W506" s="149">
        <f t="shared" si="312"/>
        <v>142685132.49282724</v>
      </c>
      <c r="X506" s="149">
        <f t="shared" si="312"/>
        <v>142395386.05849832</v>
      </c>
      <c r="Y506" s="149">
        <f t="shared" si="312"/>
        <v>142354949.01725557</v>
      </c>
      <c r="Z506" s="149">
        <f t="shared" si="312"/>
        <v>141766909.18762857</v>
      </c>
      <c r="AA506" s="149">
        <f t="shared" si="312"/>
        <v>141463672.67290735</v>
      </c>
      <c r="AB506" s="149">
        <f t="shared" si="312"/>
        <v>141459371.58869898</v>
      </c>
      <c r="AC506" s="149">
        <f t="shared" si="312"/>
        <v>140868326.4240391</v>
      </c>
      <c r="AD506" s="149">
        <f t="shared" si="312"/>
        <v>140747620.25527805</v>
      </c>
      <c r="AE506" s="149">
        <f t="shared" si="312"/>
        <v>140122620.52501076</v>
      </c>
      <c r="AF506" s="149">
        <f t="shared" si="312"/>
        <v>140028292.07930511</v>
      </c>
      <c r="AG506" s="149">
        <f t="shared" si="312"/>
        <v>139527853.29531607</v>
      </c>
    </row>
    <row r="507" spans="1:33" ht="14.25" customHeight="1" x14ac:dyDescent="0.35">
      <c r="A507" s="21"/>
      <c r="B507" s="28"/>
      <c r="C507" s="21"/>
      <c r="D507" s="28" t="s">
        <v>4144</v>
      </c>
      <c r="E507" s="175"/>
      <c r="F507" s="21"/>
      <c r="G507" s="21"/>
      <c r="H507" s="21"/>
      <c r="I507" s="22" t="s">
        <v>4060</v>
      </c>
      <c r="J507" s="181">
        <f t="shared" ref="J507:AG507" si="313">SUM(J492:J506)</f>
        <v>6704382647.159091</v>
      </c>
      <c r="K507" s="181">
        <f t="shared" si="313"/>
        <v>6220446823.1164846</v>
      </c>
      <c r="L507" s="181">
        <f t="shared" si="313"/>
        <v>5137555725.6076584</v>
      </c>
      <c r="M507" s="181">
        <f t="shared" si="313"/>
        <v>5588978743.0292845</v>
      </c>
      <c r="N507" s="181">
        <f t="shared" si="313"/>
        <v>6160316684.2934618</v>
      </c>
      <c r="O507" s="181">
        <f t="shared" si="313"/>
        <v>6484628001.463439</v>
      </c>
      <c r="P507" s="181">
        <f t="shared" si="313"/>
        <v>6812700077.8793106</v>
      </c>
      <c r="Q507" s="181">
        <f t="shared" si="313"/>
        <v>7452588049.3948002</v>
      </c>
      <c r="R507" s="182">
        <f t="shared" si="313"/>
        <v>7238257597.1391726</v>
      </c>
      <c r="S507" s="182">
        <f t="shared" si="313"/>
        <v>7292618208.0040493</v>
      </c>
      <c r="T507" s="182">
        <f t="shared" si="313"/>
        <v>7361751495.5674772</v>
      </c>
      <c r="U507" s="182">
        <f t="shared" si="313"/>
        <v>7364260640.0877256</v>
      </c>
      <c r="V507" s="182">
        <f t="shared" si="313"/>
        <v>7363172107.9274673</v>
      </c>
      <c r="W507" s="182">
        <f t="shared" si="313"/>
        <v>7359711201.8266163</v>
      </c>
      <c r="X507" s="182">
        <f t="shared" si="313"/>
        <v>7360483337.7062674</v>
      </c>
      <c r="Y507" s="182">
        <f t="shared" si="313"/>
        <v>7352967285.8813715</v>
      </c>
      <c r="Z507" s="182">
        <f t="shared" si="313"/>
        <v>7351880772.8463745</v>
      </c>
      <c r="AA507" s="182">
        <f t="shared" si="313"/>
        <v>7351436657.7728767</v>
      </c>
      <c r="AB507" s="182">
        <f t="shared" si="313"/>
        <v>7351134976.503006</v>
      </c>
      <c r="AC507" s="182">
        <f t="shared" si="313"/>
        <v>7350078218.0330982</v>
      </c>
      <c r="AD507" s="182">
        <f t="shared" si="313"/>
        <v>7349983311.5586443</v>
      </c>
      <c r="AE507" s="182">
        <f t="shared" si="313"/>
        <v>7349314837.9473543</v>
      </c>
      <c r="AF507" s="182">
        <f t="shared" si="313"/>
        <v>7349199327.9596186</v>
      </c>
      <c r="AG507" s="182">
        <f t="shared" si="313"/>
        <v>7348697085.9789696</v>
      </c>
    </row>
    <row r="508" spans="1:33" ht="14.25" customHeight="1" x14ac:dyDescent="0.35">
      <c r="A508" s="21"/>
      <c r="B508" s="28"/>
      <c r="C508" s="21"/>
      <c r="D508" s="21" t="s">
        <v>4145</v>
      </c>
      <c r="E508" s="21"/>
      <c r="F508" s="21"/>
      <c r="G508" s="21"/>
      <c r="H508" s="21"/>
      <c r="I508" s="22" t="s">
        <v>3900</v>
      </c>
      <c r="J508" s="160">
        <f t="shared" ref="J508:Q508" si="314">J421*J411</f>
        <v>333120.13000000012</v>
      </c>
      <c r="K508" s="160">
        <f t="shared" si="314"/>
        <v>319330.00000000006</v>
      </c>
      <c r="L508" s="160">
        <f t="shared" si="314"/>
        <v>233585.69999999992</v>
      </c>
      <c r="M508" s="160">
        <f t="shared" si="314"/>
        <v>230361.99999999991</v>
      </c>
      <c r="N508" s="160">
        <f t="shared" si="314"/>
        <v>256294.50000000012</v>
      </c>
      <c r="O508" s="160">
        <f t="shared" si="314"/>
        <v>262525.10000000003</v>
      </c>
      <c r="P508" s="160">
        <f t="shared" si="314"/>
        <v>270961.50000000017</v>
      </c>
      <c r="Q508" s="160">
        <f t="shared" si="314"/>
        <v>317712.50000000012</v>
      </c>
      <c r="R508" s="161">
        <f t="shared" ref="R508:AG508" si="315">R417</f>
        <v>278373.51664254075</v>
      </c>
      <c r="S508" s="161">
        <f t="shared" si="315"/>
        <v>278373.51664254075</v>
      </c>
      <c r="T508" s="161">
        <f t="shared" si="315"/>
        <v>278373.51664254075</v>
      </c>
      <c r="U508" s="161">
        <f t="shared" si="315"/>
        <v>278373.51664254075</v>
      </c>
      <c r="V508" s="161">
        <f t="shared" si="315"/>
        <v>278373.51664254075</v>
      </c>
      <c r="W508" s="161">
        <f t="shared" si="315"/>
        <v>278373.51664254075</v>
      </c>
      <c r="X508" s="161">
        <f t="shared" si="315"/>
        <v>278373.51664254075</v>
      </c>
      <c r="Y508" s="161">
        <f t="shared" si="315"/>
        <v>278373.51664254075</v>
      </c>
      <c r="Z508" s="161">
        <f t="shared" si="315"/>
        <v>278373.51664254075</v>
      </c>
      <c r="AA508" s="161">
        <f t="shared" si="315"/>
        <v>278373.51664254075</v>
      </c>
      <c r="AB508" s="161">
        <f t="shared" si="315"/>
        <v>278373.51664254075</v>
      </c>
      <c r="AC508" s="161">
        <f t="shared" si="315"/>
        <v>278373.51664254075</v>
      </c>
      <c r="AD508" s="161">
        <f t="shared" si="315"/>
        <v>278373.51664254075</v>
      </c>
      <c r="AE508" s="161">
        <f t="shared" si="315"/>
        <v>278373.51664254075</v>
      </c>
      <c r="AF508" s="161">
        <f t="shared" si="315"/>
        <v>278373.51664254075</v>
      </c>
      <c r="AG508" s="161">
        <f t="shared" si="315"/>
        <v>278373.51664254075</v>
      </c>
    </row>
    <row r="509" spans="1:33" ht="14.25" customHeight="1" x14ac:dyDescent="0.35">
      <c r="A509" s="21"/>
      <c r="B509" s="28"/>
      <c r="C509" s="21"/>
      <c r="D509" s="21" t="s">
        <v>38</v>
      </c>
      <c r="E509" s="21"/>
      <c r="F509" s="21"/>
      <c r="G509" s="21"/>
      <c r="H509" s="21"/>
      <c r="I509" s="22" t="s">
        <v>3900</v>
      </c>
      <c r="J509" s="160"/>
      <c r="K509" s="160"/>
      <c r="L509" s="160"/>
      <c r="M509" s="160"/>
      <c r="N509" s="160"/>
      <c r="O509" s="160"/>
      <c r="P509" s="160"/>
      <c r="Q509" s="160"/>
      <c r="R509" s="161">
        <f t="shared" ref="R509:AG509" si="316">R418</f>
        <v>10494.899218246088</v>
      </c>
      <c r="S509" s="161">
        <f t="shared" si="316"/>
        <v>10970.782034076134</v>
      </c>
      <c r="T509" s="161">
        <f t="shared" si="316"/>
        <v>11292.153064552362</v>
      </c>
      <c r="U509" s="161">
        <f t="shared" si="316"/>
        <v>11616.090438892263</v>
      </c>
      <c r="V509" s="161">
        <f t="shared" si="316"/>
        <v>11575.37436395935</v>
      </c>
      <c r="W509" s="161">
        <f t="shared" si="316"/>
        <v>11600.435902783078</v>
      </c>
      <c r="X509" s="161">
        <f t="shared" si="316"/>
        <v>11607.095102730395</v>
      </c>
      <c r="Y509" s="161">
        <f t="shared" si="316"/>
        <v>11405.774934595262</v>
      </c>
      <c r="Z509" s="161">
        <f t="shared" si="316"/>
        <v>11319.455726809079</v>
      </c>
      <c r="AA509" s="161">
        <f t="shared" si="316"/>
        <v>11422.573846114525</v>
      </c>
      <c r="AB509" s="161">
        <f t="shared" si="316"/>
        <v>11480.737190648979</v>
      </c>
      <c r="AC509" s="161">
        <f t="shared" si="316"/>
        <v>11503.143033983573</v>
      </c>
      <c r="AD509" s="161">
        <f t="shared" si="316"/>
        <v>11489.224916127687</v>
      </c>
      <c r="AE509" s="161">
        <f t="shared" si="316"/>
        <v>11478.720915488409</v>
      </c>
      <c r="AF509" s="161">
        <f t="shared" si="316"/>
        <v>11463.26298010631</v>
      </c>
      <c r="AG509" s="161">
        <f t="shared" si="316"/>
        <v>11445.357886689202</v>
      </c>
    </row>
    <row r="510" spans="1:33" ht="14.25" customHeight="1" x14ac:dyDescent="0.35">
      <c r="A510" s="21"/>
      <c r="B510" s="28"/>
      <c r="C510" s="21"/>
      <c r="D510" s="21" t="s">
        <v>4146</v>
      </c>
      <c r="E510" s="21"/>
      <c r="F510" s="21"/>
      <c r="G510" s="21"/>
      <c r="H510" s="21"/>
      <c r="I510" s="22" t="s">
        <v>3900</v>
      </c>
      <c r="J510" s="160"/>
      <c r="K510" s="160"/>
      <c r="L510" s="160"/>
      <c r="M510" s="160"/>
      <c r="N510" s="160"/>
      <c r="O510" s="160"/>
      <c r="P510" s="160"/>
      <c r="Q510" s="160"/>
      <c r="R510" s="161">
        <f t="shared" ref="R510:AG510" si="317">R419</f>
        <v>10606.097394923914</v>
      </c>
      <c r="S510" s="161">
        <f t="shared" si="317"/>
        <v>10635.3920123681</v>
      </c>
      <c r="T510" s="161">
        <f t="shared" si="317"/>
        <v>9693.4997411422137</v>
      </c>
      <c r="U510" s="161">
        <f t="shared" si="317"/>
        <v>9614.6084723629538</v>
      </c>
      <c r="V510" s="161">
        <f t="shared" si="317"/>
        <v>9698.5836164917855</v>
      </c>
      <c r="W510" s="161">
        <f t="shared" si="317"/>
        <v>9562.9468471611854</v>
      </c>
      <c r="X510" s="161">
        <f t="shared" si="317"/>
        <v>9615.5778683614772</v>
      </c>
      <c r="Y510" s="161">
        <f t="shared" si="317"/>
        <v>9814.2228186647226</v>
      </c>
      <c r="Z510" s="161">
        <f t="shared" si="317"/>
        <v>9882.5596025082123</v>
      </c>
      <c r="AA510" s="161">
        <f t="shared" si="317"/>
        <v>9792.3212242498867</v>
      </c>
      <c r="AB510" s="161">
        <f t="shared" si="317"/>
        <v>9731.5653358829932</v>
      </c>
      <c r="AC510" s="161">
        <f t="shared" si="317"/>
        <v>9706.5945048188387</v>
      </c>
      <c r="AD510" s="161">
        <f t="shared" si="317"/>
        <v>9723.0867809734573</v>
      </c>
      <c r="AE510" s="161">
        <f t="shared" si="317"/>
        <v>9732.7296670923606</v>
      </c>
      <c r="AF510" s="161">
        <f t="shared" si="317"/>
        <v>9747.9036222341438</v>
      </c>
      <c r="AG510" s="161">
        <f t="shared" si="317"/>
        <v>9766.2850731936633</v>
      </c>
    </row>
    <row r="511" spans="1:33" ht="14.25" customHeight="1" x14ac:dyDescent="0.35">
      <c r="A511" s="21"/>
      <c r="B511" s="28"/>
      <c r="C511" s="21"/>
      <c r="D511" s="28" t="s">
        <v>4147</v>
      </c>
      <c r="E511" s="175"/>
      <c r="F511" s="21"/>
      <c r="G511" s="21"/>
      <c r="H511" s="21"/>
      <c r="I511" s="22" t="s">
        <v>3861</v>
      </c>
      <c r="J511" s="160">
        <f t="shared" ref="J511:Q511" si="318">J507/J508</f>
        <v>20126.020745606362</v>
      </c>
      <c r="K511" s="160">
        <f t="shared" si="318"/>
        <v>19479.68190623018</v>
      </c>
      <c r="L511" s="160">
        <f t="shared" si="318"/>
        <v>21994.307552250244</v>
      </c>
      <c r="M511" s="160">
        <f t="shared" si="318"/>
        <v>24261.721738087388</v>
      </c>
      <c r="N511" s="160">
        <f t="shared" si="318"/>
        <v>24036.08615984135</v>
      </c>
      <c r="O511" s="160">
        <f t="shared" si="318"/>
        <v>24700.982883021235</v>
      </c>
      <c r="P511" s="160">
        <f t="shared" si="318"/>
        <v>25142.686610013992</v>
      </c>
      <c r="Q511" s="160">
        <f t="shared" si="318"/>
        <v>23457.018686374624</v>
      </c>
      <c r="R511" s="161">
        <f t="shared" ref="R511:AG511" si="319">R507/SUM(R508:R510)</f>
        <v>24169.861797082809</v>
      </c>
      <c r="S511" s="161">
        <f t="shared" si="319"/>
        <v>24310.373116441879</v>
      </c>
      <c r="T511" s="161">
        <f t="shared" si="319"/>
        <v>24591.702031831228</v>
      </c>
      <c r="U511" s="161">
        <f t="shared" si="319"/>
        <v>24579.963357576398</v>
      </c>
      <c r="V511" s="161">
        <f t="shared" si="319"/>
        <v>24572.782124032936</v>
      </c>
      <c r="W511" s="161">
        <f t="shared" si="319"/>
        <v>24570.29907418232</v>
      </c>
      <c r="X511" s="161">
        <f t="shared" si="319"/>
        <v>24568.013856246125</v>
      </c>
      <c r="Y511" s="161">
        <f t="shared" si="319"/>
        <v>24543.145737685016</v>
      </c>
      <c r="Z511" s="161">
        <f t="shared" si="319"/>
        <v>24540.992131283292</v>
      </c>
      <c r="AA511" s="161">
        <f t="shared" si="319"/>
        <v>24538.454660982483</v>
      </c>
      <c r="AB511" s="161">
        <f t="shared" si="319"/>
        <v>24537.660016392019</v>
      </c>
      <c r="AC511" s="161">
        <f t="shared" si="319"/>
        <v>24534.342675855849</v>
      </c>
      <c r="AD511" s="161">
        <f t="shared" si="319"/>
        <v>24533.815074943839</v>
      </c>
      <c r="AE511" s="161">
        <f t="shared" si="319"/>
        <v>24531.654261626383</v>
      </c>
      <c r="AF511" s="161">
        <f t="shared" si="319"/>
        <v>24531.291948435053</v>
      </c>
      <c r="AG511" s="161">
        <f t="shared" si="319"/>
        <v>24529.576484133428</v>
      </c>
    </row>
    <row r="512" spans="1:33" ht="14.25" customHeight="1" x14ac:dyDescent="0.35">
      <c r="A512" s="21"/>
      <c r="B512" s="28"/>
      <c r="C512" s="28" t="s">
        <v>4148</v>
      </c>
      <c r="D512" s="28" t="s">
        <v>4149</v>
      </c>
      <c r="E512" s="21"/>
      <c r="F512" s="21"/>
      <c r="G512" s="21"/>
      <c r="H512" s="21"/>
      <c r="I512" s="22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</row>
    <row r="513" spans="1:33" ht="14.25" customHeight="1" x14ac:dyDescent="0.35">
      <c r="A513" s="21"/>
      <c r="B513" s="28"/>
      <c r="C513" s="28"/>
      <c r="D513" s="21" t="s">
        <v>4150</v>
      </c>
      <c r="E513" s="21"/>
      <c r="F513" s="21"/>
      <c r="G513" s="21"/>
      <c r="H513" s="21"/>
      <c r="I513" s="22" t="s">
        <v>3900</v>
      </c>
      <c r="J513" s="160">
        <v>333120.13</v>
      </c>
      <c r="K513" s="160">
        <v>319330</v>
      </c>
      <c r="L513" s="160">
        <v>233585.7</v>
      </c>
      <c r="M513" s="160">
        <v>230362</v>
      </c>
      <c r="N513" s="160">
        <v>256294.5</v>
      </c>
      <c r="O513" s="160">
        <v>262525.09999999998</v>
      </c>
      <c r="P513" s="160">
        <v>270961.5</v>
      </c>
      <c r="Q513" s="160">
        <v>317712.5</v>
      </c>
      <c r="R513" s="161">
        <f t="shared" ref="R513:AG513" si="320">R55</f>
        <v>278373.51664254075</v>
      </c>
      <c r="S513" s="161">
        <f t="shared" si="320"/>
        <v>278373.51664254075</v>
      </c>
      <c r="T513" s="161">
        <f t="shared" si="320"/>
        <v>278373.51664254075</v>
      </c>
      <c r="U513" s="161">
        <f t="shared" si="320"/>
        <v>278373.51664254075</v>
      </c>
      <c r="V513" s="161">
        <f t="shared" si="320"/>
        <v>278373.51664254075</v>
      </c>
      <c r="W513" s="161">
        <f t="shared" si="320"/>
        <v>278373.51664254075</v>
      </c>
      <c r="X513" s="161">
        <f t="shared" si="320"/>
        <v>278373.51664254075</v>
      </c>
      <c r="Y513" s="161">
        <f t="shared" si="320"/>
        <v>278373.51664254075</v>
      </c>
      <c r="Z513" s="161">
        <f t="shared" si="320"/>
        <v>278373.51664254075</v>
      </c>
      <c r="AA513" s="161">
        <f t="shared" si="320"/>
        <v>278373.51664254075</v>
      </c>
      <c r="AB513" s="161">
        <f t="shared" si="320"/>
        <v>278373.51664254075</v>
      </c>
      <c r="AC513" s="161">
        <f t="shared" si="320"/>
        <v>278373.51664254075</v>
      </c>
      <c r="AD513" s="161">
        <f t="shared" si="320"/>
        <v>278373.51664254075</v>
      </c>
      <c r="AE513" s="161">
        <f t="shared" si="320"/>
        <v>278373.51664254075</v>
      </c>
      <c r="AF513" s="161">
        <f t="shared" si="320"/>
        <v>278373.51664254075</v>
      </c>
      <c r="AG513" s="161">
        <f t="shared" si="320"/>
        <v>278373.51664254075</v>
      </c>
    </row>
    <row r="514" spans="1:33" ht="14.25" customHeight="1" x14ac:dyDescent="0.35">
      <c r="A514" s="21"/>
      <c r="B514" s="28"/>
      <c r="C514" s="28"/>
      <c r="D514" s="21" t="s">
        <v>4151</v>
      </c>
      <c r="E514" s="21"/>
      <c r="F514" s="21"/>
      <c r="G514" s="21"/>
      <c r="H514" s="21"/>
      <c r="I514" s="22" t="s">
        <v>3900</v>
      </c>
      <c r="J514" s="160">
        <v>8005.00000000001</v>
      </c>
      <c r="K514" s="160">
        <v>9261.00000000002</v>
      </c>
      <c r="L514" s="160">
        <v>7274.00000000001</v>
      </c>
      <c r="M514" s="160">
        <v>9900.5</v>
      </c>
      <c r="N514" s="160">
        <v>10437</v>
      </c>
      <c r="O514" s="160">
        <v>10850</v>
      </c>
      <c r="P514" s="160">
        <v>12962</v>
      </c>
      <c r="Q514" s="160">
        <v>13755</v>
      </c>
      <c r="R514" s="161">
        <f>'Business Plan - Model Details'!R418</f>
        <v>10494.899218246088</v>
      </c>
      <c r="S514" s="161">
        <f>'Business Plan - Model Details'!S418</f>
        <v>10970.782034076134</v>
      </c>
      <c r="T514" s="161">
        <f>'Business Plan - Model Details'!T418</f>
        <v>11292.153064552362</v>
      </c>
      <c r="U514" s="161">
        <f>'Business Plan - Model Details'!U418</f>
        <v>11616.090438892263</v>
      </c>
      <c r="V514" s="161">
        <f>'Business Plan - Model Details'!V418</f>
        <v>11575.37436395935</v>
      </c>
      <c r="W514" s="161">
        <f>'Business Plan - Model Details'!W418</f>
        <v>11600.435902783078</v>
      </c>
      <c r="X514" s="161">
        <f>'Business Plan - Model Details'!X418</f>
        <v>11607.095102730395</v>
      </c>
      <c r="Y514" s="161">
        <f>'Business Plan - Model Details'!Y418</f>
        <v>11405.774934595262</v>
      </c>
      <c r="Z514" s="161">
        <f>'Business Plan - Model Details'!Z418</f>
        <v>11319.455726809079</v>
      </c>
      <c r="AA514" s="161">
        <f>'Business Plan - Model Details'!AA418</f>
        <v>11422.573846114525</v>
      </c>
      <c r="AB514" s="161">
        <f>'Business Plan - Model Details'!AB418</f>
        <v>11480.737190648979</v>
      </c>
      <c r="AC514" s="161">
        <f>'Business Plan - Model Details'!AC418</f>
        <v>11503.143033983573</v>
      </c>
      <c r="AD514" s="161">
        <f>'Business Plan - Model Details'!AD418</f>
        <v>11489.224916127687</v>
      </c>
      <c r="AE514" s="161">
        <f>'Business Plan - Model Details'!AE418</f>
        <v>11478.720915488409</v>
      </c>
      <c r="AF514" s="161">
        <f>'Business Plan - Model Details'!AF418</f>
        <v>11463.26298010631</v>
      </c>
      <c r="AG514" s="161">
        <f>'Business Plan - Model Details'!AG418</f>
        <v>11445.357886689202</v>
      </c>
    </row>
    <row r="515" spans="1:33" ht="14.25" customHeight="1" x14ac:dyDescent="0.35">
      <c r="A515" s="21"/>
      <c r="B515" s="28"/>
      <c r="C515" s="28"/>
      <c r="D515" s="21" t="s">
        <v>4092</v>
      </c>
      <c r="E515" s="21"/>
      <c r="F515" s="21"/>
      <c r="G515" s="21"/>
      <c r="H515" s="21"/>
      <c r="I515" s="22" t="s">
        <v>3900</v>
      </c>
      <c r="J515" s="160">
        <v>9580</v>
      </c>
      <c r="K515" s="160">
        <v>9684.9999999999909</v>
      </c>
      <c r="L515" s="160">
        <v>7245.9000000000096</v>
      </c>
      <c r="M515" s="160">
        <v>7850</v>
      </c>
      <c r="N515" s="160">
        <v>9040</v>
      </c>
      <c r="O515" s="160">
        <v>7629.99999999999</v>
      </c>
      <c r="P515" s="160">
        <v>9896</v>
      </c>
      <c r="Q515" s="160">
        <v>9360.0000000000091</v>
      </c>
      <c r="R515" s="161">
        <f>'Business Plan - Model Details'!R419</f>
        <v>10606.097394923914</v>
      </c>
      <c r="S515" s="161">
        <f>'Business Plan - Model Details'!S419</f>
        <v>10635.3920123681</v>
      </c>
      <c r="T515" s="161">
        <f>'Business Plan - Model Details'!T419</f>
        <v>9693.4997411422137</v>
      </c>
      <c r="U515" s="161">
        <f>'Business Plan - Model Details'!U419</f>
        <v>9614.6084723629538</v>
      </c>
      <c r="V515" s="161">
        <f>'Business Plan - Model Details'!V419</f>
        <v>9698.5836164917855</v>
      </c>
      <c r="W515" s="161">
        <f>'Business Plan - Model Details'!W419</f>
        <v>9562.9468471611854</v>
      </c>
      <c r="X515" s="161">
        <f>'Business Plan - Model Details'!X419</f>
        <v>9615.5778683614772</v>
      </c>
      <c r="Y515" s="161">
        <f>'Business Plan - Model Details'!Y419</f>
        <v>9814.2228186647226</v>
      </c>
      <c r="Z515" s="161">
        <f>'Business Plan - Model Details'!Z419</f>
        <v>9882.5596025082123</v>
      </c>
      <c r="AA515" s="161">
        <f>'Business Plan - Model Details'!AA419</f>
        <v>9792.3212242498867</v>
      </c>
      <c r="AB515" s="161">
        <f>'Business Plan - Model Details'!AB419</f>
        <v>9731.5653358829932</v>
      </c>
      <c r="AC515" s="161">
        <f>'Business Plan - Model Details'!AC419</f>
        <v>9706.5945048188387</v>
      </c>
      <c r="AD515" s="161">
        <f>'Business Plan - Model Details'!AD419</f>
        <v>9723.0867809734573</v>
      </c>
      <c r="AE515" s="161">
        <f>'Business Plan - Model Details'!AE419</f>
        <v>9732.7296670923606</v>
      </c>
      <c r="AF515" s="161">
        <f>'Business Plan - Model Details'!AF419</f>
        <v>9747.9036222341438</v>
      </c>
      <c r="AG515" s="161">
        <f>'Business Plan - Model Details'!AG419</f>
        <v>9766.2850731936633</v>
      </c>
    </row>
    <row r="516" spans="1:33" ht="14.25" customHeight="1" x14ac:dyDescent="0.35">
      <c r="A516" s="21"/>
      <c r="B516" s="28"/>
      <c r="C516" s="28"/>
      <c r="D516" s="21" t="s">
        <v>4152</v>
      </c>
      <c r="E516" s="21"/>
      <c r="F516" s="21"/>
      <c r="G516" s="21"/>
      <c r="H516" s="21"/>
      <c r="I516" s="22" t="s">
        <v>3900</v>
      </c>
      <c r="J516" s="160">
        <f t="shared" ref="J516:Q516" si="321">J420</f>
        <v>0</v>
      </c>
      <c r="K516" s="160">
        <f t="shared" si="321"/>
        <v>0</v>
      </c>
      <c r="L516" s="160">
        <f t="shared" si="321"/>
        <v>0</v>
      </c>
      <c r="M516" s="160">
        <f t="shared" si="321"/>
        <v>0</v>
      </c>
      <c r="N516" s="160">
        <f t="shared" si="321"/>
        <v>0</v>
      </c>
      <c r="O516" s="160">
        <f t="shared" si="321"/>
        <v>0</v>
      </c>
      <c r="P516" s="160">
        <f t="shared" si="321"/>
        <v>0</v>
      </c>
      <c r="Q516" s="160">
        <f t="shared" si="321"/>
        <v>0</v>
      </c>
      <c r="R516" s="161">
        <f>'Business Plan - Model Details'!R420</f>
        <v>0</v>
      </c>
      <c r="S516" s="161">
        <f>'Business Plan - Model Details'!S420</f>
        <v>0</v>
      </c>
      <c r="T516" s="161">
        <f>'Business Plan - Model Details'!T420</f>
        <v>0</v>
      </c>
      <c r="U516" s="161">
        <f>'Business Plan - Model Details'!U420</f>
        <v>0</v>
      </c>
      <c r="V516" s="161">
        <f>'Business Plan - Model Details'!V420</f>
        <v>0</v>
      </c>
      <c r="W516" s="161">
        <f>'Business Plan - Model Details'!W420</f>
        <v>0</v>
      </c>
      <c r="X516" s="161">
        <f>'Business Plan - Model Details'!X420</f>
        <v>0</v>
      </c>
      <c r="Y516" s="161">
        <f>'Business Plan - Model Details'!Y420</f>
        <v>0</v>
      </c>
      <c r="Z516" s="161">
        <f>'Business Plan - Model Details'!Z420</f>
        <v>0</v>
      </c>
      <c r="AA516" s="161">
        <f>'Business Plan - Model Details'!AA420</f>
        <v>0</v>
      </c>
      <c r="AB516" s="161">
        <f>'Business Plan - Model Details'!AB420</f>
        <v>0</v>
      </c>
      <c r="AC516" s="161">
        <f>'Business Plan - Model Details'!AC420</f>
        <v>0</v>
      </c>
      <c r="AD516" s="161">
        <f>'Business Plan - Model Details'!AD420</f>
        <v>0</v>
      </c>
      <c r="AE516" s="161">
        <f>'Business Plan - Model Details'!AE420</f>
        <v>0</v>
      </c>
      <c r="AF516" s="161">
        <f>'Business Plan - Model Details'!AF420</f>
        <v>0</v>
      </c>
      <c r="AG516" s="161">
        <f>'Business Plan - Model Details'!AG420</f>
        <v>0</v>
      </c>
    </row>
    <row r="517" spans="1:33" ht="14.25" customHeight="1" x14ac:dyDescent="0.35">
      <c r="A517" s="21"/>
      <c r="B517" s="21"/>
      <c r="D517" s="21" t="s">
        <v>4153</v>
      </c>
      <c r="E517" s="21"/>
      <c r="F517" s="21"/>
      <c r="G517" s="21"/>
      <c r="H517" s="21"/>
      <c r="I517" s="22"/>
      <c r="J517" s="21"/>
      <c r="K517" s="21"/>
      <c r="L517" s="21"/>
      <c r="M517" s="21"/>
      <c r="N517" s="21"/>
      <c r="O517" s="21"/>
      <c r="P517" s="60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</row>
    <row r="518" spans="1:33" ht="14.25" customHeight="1" x14ac:dyDescent="0.35">
      <c r="A518" s="21"/>
      <c r="B518" s="28"/>
      <c r="C518" s="28"/>
      <c r="D518" s="21"/>
      <c r="E518" s="21" t="s">
        <v>4056</v>
      </c>
      <c r="F518" s="21"/>
      <c r="G518" s="21"/>
      <c r="H518" s="21"/>
      <c r="I518" s="22" t="s">
        <v>3900</v>
      </c>
      <c r="J518" s="160"/>
      <c r="K518" s="160"/>
      <c r="L518" s="160"/>
      <c r="M518" s="160"/>
      <c r="N518" s="160"/>
      <c r="O518" s="160"/>
      <c r="P518" s="160"/>
      <c r="Q518" s="160"/>
      <c r="R518" s="161">
        <f>'Data Aktual'!$P$184</f>
        <v>357.5</v>
      </c>
      <c r="S518" s="161">
        <f t="shared" ref="S518:AG518" si="322">R523</f>
        <v>357.50000000001819</v>
      </c>
      <c r="T518" s="161">
        <f t="shared" si="322"/>
        <v>357.49999999994907</v>
      </c>
      <c r="U518" s="161">
        <f t="shared" si="322"/>
        <v>357.49999999991996</v>
      </c>
      <c r="V518" s="161">
        <f t="shared" si="322"/>
        <v>357.49999999995089</v>
      </c>
      <c r="W518" s="161">
        <f t="shared" si="322"/>
        <v>357.49999999992178</v>
      </c>
      <c r="X518" s="161">
        <f t="shared" si="322"/>
        <v>357.49999999990541</v>
      </c>
      <c r="Y518" s="161">
        <f t="shared" si="322"/>
        <v>357.4999999998854</v>
      </c>
      <c r="Z518" s="161">
        <f t="shared" si="322"/>
        <v>357.49999999991633</v>
      </c>
      <c r="AA518" s="161">
        <f t="shared" si="322"/>
        <v>357.49999999995634</v>
      </c>
      <c r="AB518" s="161">
        <f t="shared" si="322"/>
        <v>357.49999999993815</v>
      </c>
      <c r="AC518" s="161">
        <f t="shared" si="322"/>
        <v>357.49999999994361</v>
      </c>
      <c r="AD518" s="161">
        <f t="shared" si="322"/>
        <v>357.49999999996726</v>
      </c>
      <c r="AE518" s="161">
        <f t="shared" si="322"/>
        <v>357.49999999995998</v>
      </c>
      <c r="AF518" s="161">
        <f t="shared" si="322"/>
        <v>357.49999999998727</v>
      </c>
      <c r="AG518" s="161">
        <f t="shared" si="322"/>
        <v>357.49999999995634</v>
      </c>
    </row>
    <row r="519" spans="1:33" ht="14.25" customHeight="1" x14ac:dyDescent="0.35">
      <c r="A519" s="21"/>
      <c r="B519" s="28"/>
      <c r="C519" s="28"/>
      <c r="D519" s="21"/>
      <c r="E519" s="21" t="s">
        <v>4154</v>
      </c>
      <c r="F519" s="21"/>
      <c r="G519" s="21"/>
      <c r="H519" s="21"/>
      <c r="I519" s="22" t="s">
        <v>3900</v>
      </c>
      <c r="J519" s="160"/>
      <c r="K519" s="160"/>
      <c r="L519" s="160"/>
      <c r="M519" s="160"/>
      <c r="N519" s="160"/>
      <c r="O519" s="160"/>
      <c r="P519" s="160"/>
      <c r="Q519" s="160"/>
      <c r="R519" s="161">
        <f t="shared" ref="R519:AG519" si="323">SUM(R513:R516)</f>
        <v>299474.51325571077</v>
      </c>
      <c r="S519" s="161">
        <f t="shared" si="323"/>
        <v>299979.69068898493</v>
      </c>
      <c r="T519" s="161">
        <f t="shared" si="323"/>
        <v>299359.16944823531</v>
      </c>
      <c r="U519" s="161">
        <f t="shared" si="323"/>
        <v>299604.21555379598</v>
      </c>
      <c r="V519" s="161">
        <f t="shared" si="323"/>
        <v>299647.47462299187</v>
      </c>
      <c r="W519" s="161">
        <f t="shared" si="323"/>
        <v>299536.89939248498</v>
      </c>
      <c r="X519" s="161">
        <f t="shared" si="323"/>
        <v>299596.18961363262</v>
      </c>
      <c r="Y519" s="161">
        <f t="shared" si="323"/>
        <v>299593.51439580077</v>
      </c>
      <c r="Z519" s="161">
        <f t="shared" si="323"/>
        <v>299575.53197185806</v>
      </c>
      <c r="AA519" s="161">
        <f t="shared" si="323"/>
        <v>299588.41171290516</v>
      </c>
      <c r="AB519" s="161">
        <f t="shared" si="323"/>
        <v>299585.81916907273</v>
      </c>
      <c r="AC519" s="161">
        <f t="shared" si="323"/>
        <v>299583.25418134319</v>
      </c>
      <c r="AD519" s="161">
        <f t="shared" si="323"/>
        <v>299585.82833964191</v>
      </c>
      <c r="AE519" s="161">
        <f t="shared" si="323"/>
        <v>299584.96722512157</v>
      </c>
      <c r="AF519" s="161">
        <f t="shared" si="323"/>
        <v>299584.68324488116</v>
      </c>
      <c r="AG519" s="161">
        <f t="shared" si="323"/>
        <v>299585.15960242361</v>
      </c>
    </row>
    <row r="520" spans="1:33" ht="14.25" customHeight="1" x14ac:dyDescent="0.35">
      <c r="A520" s="21"/>
      <c r="B520" s="28"/>
      <c r="C520" s="28"/>
      <c r="D520" s="21"/>
      <c r="E520" s="21" t="s">
        <v>4155</v>
      </c>
      <c r="F520" s="21"/>
      <c r="G520" s="21"/>
      <c r="H520" s="21"/>
      <c r="I520" s="22" t="s">
        <v>3900</v>
      </c>
      <c r="J520" s="160"/>
      <c r="K520" s="160"/>
      <c r="L520" s="160"/>
      <c r="M520" s="160"/>
      <c r="N520" s="160"/>
      <c r="O520" s="160"/>
      <c r="P520" s="160"/>
      <c r="Q520" s="160"/>
      <c r="R520" s="183">
        <f>-R513</f>
        <v>-278373.51664254075</v>
      </c>
      <c r="S520" s="183">
        <f t="shared" ref="S520:AG520" si="324">-S513-R516</f>
        <v>-278373.51664254075</v>
      </c>
      <c r="T520" s="183">
        <f t="shared" si="324"/>
        <v>-278373.51664254075</v>
      </c>
      <c r="U520" s="183">
        <f t="shared" si="324"/>
        <v>-278373.51664254075</v>
      </c>
      <c r="V520" s="183">
        <f t="shared" si="324"/>
        <v>-278373.51664254075</v>
      </c>
      <c r="W520" s="183">
        <f t="shared" si="324"/>
        <v>-278373.51664254075</v>
      </c>
      <c r="X520" s="183">
        <f t="shared" si="324"/>
        <v>-278373.51664254075</v>
      </c>
      <c r="Y520" s="183">
        <f t="shared" si="324"/>
        <v>-278373.51664254075</v>
      </c>
      <c r="Z520" s="183">
        <f t="shared" si="324"/>
        <v>-278373.51664254075</v>
      </c>
      <c r="AA520" s="183">
        <f t="shared" si="324"/>
        <v>-278373.51664254075</v>
      </c>
      <c r="AB520" s="183">
        <f t="shared" si="324"/>
        <v>-278373.51664254075</v>
      </c>
      <c r="AC520" s="183">
        <f t="shared" si="324"/>
        <v>-278373.51664254075</v>
      </c>
      <c r="AD520" s="183">
        <f t="shared" si="324"/>
        <v>-278373.51664254075</v>
      </c>
      <c r="AE520" s="183">
        <f t="shared" si="324"/>
        <v>-278373.51664254075</v>
      </c>
      <c r="AF520" s="183">
        <f t="shared" si="324"/>
        <v>-278373.51664254075</v>
      </c>
      <c r="AG520" s="183">
        <f t="shared" si="324"/>
        <v>-278373.51664254075</v>
      </c>
    </row>
    <row r="521" spans="1:33" ht="14.25" customHeight="1" x14ac:dyDescent="0.35">
      <c r="A521" s="21"/>
      <c r="B521" s="28"/>
      <c r="C521" s="28"/>
      <c r="D521" s="21"/>
      <c r="E521" s="21" t="s">
        <v>4156</v>
      </c>
      <c r="F521" s="21"/>
      <c r="G521" s="21"/>
      <c r="H521" s="21"/>
      <c r="I521" s="22" t="s">
        <v>3900</v>
      </c>
      <c r="J521" s="160"/>
      <c r="K521" s="160"/>
      <c r="L521" s="160"/>
      <c r="M521" s="160"/>
      <c r="N521" s="160"/>
      <c r="O521" s="160"/>
      <c r="P521" s="160"/>
      <c r="Q521" s="160"/>
      <c r="R521" s="183">
        <f>-R514</f>
        <v>-10494.899218246088</v>
      </c>
      <c r="S521" s="183">
        <f t="shared" ref="S521:AG521" si="325">-S514</f>
        <v>-10970.782034076134</v>
      </c>
      <c r="T521" s="183">
        <f t="shared" si="325"/>
        <v>-11292.153064552362</v>
      </c>
      <c r="U521" s="183">
        <f t="shared" si="325"/>
        <v>-11616.090438892263</v>
      </c>
      <c r="V521" s="183">
        <f t="shared" si="325"/>
        <v>-11575.37436395935</v>
      </c>
      <c r="W521" s="183">
        <f t="shared" si="325"/>
        <v>-11600.435902783078</v>
      </c>
      <c r="X521" s="183">
        <f t="shared" si="325"/>
        <v>-11607.095102730395</v>
      </c>
      <c r="Y521" s="183">
        <f t="shared" si="325"/>
        <v>-11405.774934595262</v>
      </c>
      <c r="Z521" s="183">
        <f t="shared" si="325"/>
        <v>-11319.455726809079</v>
      </c>
      <c r="AA521" s="183">
        <f t="shared" si="325"/>
        <v>-11422.573846114525</v>
      </c>
      <c r="AB521" s="183">
        <f t="shared" si="325"/>
        <v>-11480.737190648979</v>
      </c>
      <c r="AC521" s="183">
        <f t="shared" si="325"/>
        <v>-11503.143033983573</v>
      </c>
      <c r="AD521" s="183">
        <f t="shared" si="325"/>
        <v>-11489.224916127687</v>
      </c>
      <c r="AE521" s="183">
        <f t="shared" si="325"/>
        <v>-11478.720915488409</v>
      </c>
      <c r="AF521" s="183">
        <f t="shared" si="325"/>
        <v>-11463.26298010631</v>
      </c>
      <c r="AG521" s="183">
        <f t="shared" si="325"/>
        <v>-11445.357886689202</v>
      </c>
    </row>
    <row r="522" spans="1:33" ht="14.25" customHeight="1" x14ac:dyDescent="0.35">
      <c r="A522" s="21"/>
      <c r="B522" s="28"/>
      <c r="C522" s="28"/>
      <c r="D522" s="21"/>
      <c r="E522" s="21" t="s">
        <v>4157</v>
      </c>
      <c r="F522" s="21"/>
      <c r="G522" s="21"/>
      <c r="H522" s="21"/>
      <c r="I522" s="22" t="s">
        <v>3900</v>
      </c>
      <c r="J522" s="160"/>
      <c r="K522" s="160"/>
      <c r="L522" s="160"/>
      <c r="M522" s="160"/>
      <c r="N522" s="160"/>
      <c r="O522" s="160"/>
      <c r="P522" s="160"/>
      <c r="Q522" s="160"/>
      <c r="R522" s="183">
        <f>-R515</f>
        <v>-10606.097394923914</v>
      </c>
      <c r="S522" s="183">
        <f t="shared" ref="S522:AG522" si="326">-S515</f>
        <v>-10635.3920123681</v>
      </c>
      <c r="T522" s="183">
        <f t="shared" si="326"/>
        <v>-9693.4997411422137</v>
      </c>
      <c r="U522" s="183">
        <f t="shared" si="326"/>
        <v>-9614.6084723629538</v>
      </c>
      <c r="V522" s="183">
        <f t="shared" si="326"/>
        <v>-9698.5836164917855</v>
      </c>
      <c r="W522" s="183">
        <f t="shared" si="326"/>
        <v>-9562.9468471611854</v>
      </c>
      <c r="X522" s="183">
        <f t="shared" si="326"/>
        <v>-9615.5778683614772</v>
      </c>
      <c r="Y522" s="183">
        <f t="shared" si="326"/>
        <v>-9814.2228186647226</v>
      </c>
      <c r="Z522" s="183">
        <f t="shared" si="326"/>
        <v>-9882.5596025082123</v>
      </c>
      <c r="AA522" s="183">
        <f t="shared" si="326"/>
        <v>-9792.3212242498867</v>
      </c>
      <c r="AB522" s="183">
        <f t="shared" si="326"/>
        <v>-9731.5653358829932</v>
      </c>
      <c r="AC522" s="183">
        <f t="shared" si="326"/>
        <v>-9706.5945048188387</v>
      </c>
      <c r="AD522" s="183">
        <f t="shared" si="326"/>
        <v>-9723.0867809734573</v>
      </c>
      <c r="AE522" s="183">
        <f t="shared" si="326"/>
        <v>-9732.7296670923606</v>
      </c>
      <c r="AF522" s="183">
        <f t="shared" si="326"/>
        <v>-9747.9036222341438</v>
      </c>
      <c r="AG522" s="183">
        <f t="shared" si="326"/>
        <v>-9766.2850731936633</v>
      </c>
    </row>
    <row r="523" spans="1:33" ht="14.25" customHeight="1" x14ac:dyDescent="0.35">
      <c r="A523" s="21"/>
      <c r="B523" s="28"/>
      <c r="C523" s="28"/>
      <c r="D523" s="21"/>
      <c r="E523" s="21" t="s">
        <v>4158</v>
      </c>
      <c r="F523" s="21"/>
      <c r="G523" s="21"/>
      <c r="H523" s="21"/>
      <c r="I523" s="22" t="s">
        <v>3900</v>
      </c>
      <c r="J523" s="160"/>
      <c r="K523" s="160"/>
      <c r="L523" s="160"/>
      <c r="M523" s="160"/>
      <c r="N523" s="160"/>
      <c r="O523" s="160"/>
      <c r="P523" s="160"/>
      <c r="Q523" s="160"/>
      <c r="R523" s="161">
        <f t="shared" ref="R523:AG523" si="327">SUM(R518:R522)</f>
        <v>357.50000000001819</v>
      </c>
      <c r="S523" s="161">
        <f t="shared" si="327"/>
        <v>357.49999999994907</v>
      </c>
      <c r="T523" s="161">
        <f t="shared" si="327"/>
        <v>357.49999999991996</v>
      </c>
      <c r="U523" s="161">
        <f t="shared" si="327"/>
        <v>357.49999999995089</v>
      </c>
      <c r="V523" s="161">
        <f t="shared" si="327"/>
        <v>357.49999999992178</v>
      </c>
      <c r="W523" s="161">
        <f t="shared" si="327"/>
        <v>357.49999999990541</v>
      </c>
      <c r="X523" s="161">
        <f t="shared" si="327"/>
        <v>357.4999999998854</v>
      </c>
      <c r="Y523" s="161">
        <f t="shared" si="327"/>
        <v>357.49999999991633</v>
      </c>
      <c r="Z523" s="161">
        <f t="shared" si="327"/>
        <v>357.49999999995634</v>
      </c>
      <c r="AA523" s="161">
        <f t="shared" si="327"/>
        <v>357.49999999993815</v>
      </c>
      <c r="AB523" s="161">
        <f t="shared" si="327"/>
        <v>357.49999999994361</v>
      </c>
      <c r="AC523" s="161">
        <f t="shared" si="327"/>
        <v>357.49999999996726</v>
      </c>
      <c r="AD523" s="161">
        <f t="shared" si="327"/>
        <v>357.49999999995998</v>
      </c>
      <c r="AE523" s="161">
        <f t="shared" si="327"/>
        <v>357.49999999998727</v>
      </c>
      <c r="AF523" s="161">
        <f t="shared" si="327"/>
        <v>357.49999999995634</v>
      </c>
      <c r="AG523" s="161">
        <f t="shared" si="327"/>
        <v>357.49999999993088</v>
      </c>
    </row>
    <row r="524" spans="1:33" ht="14.25" customHeight="1" x14ac:dyDescent="0.35">
      <c r="A524" s="21"/>
      <c r="B524" s="21"/>
      <c r="C524" s="21"/>
      <c r="D524" s="21" t="s">
        <v>4159</v>
      </c>
      <c r="E524" s="21"/>
      <c r="F524" s="21"/>
      <c r="G524" s="21"/>
      <c r="H524" s="21"/>
      <c r="I524" s="22"/>
      <c r="J524" s="21"/>
      <c r="K524" s="21"/>
      <c r="L524" s="21"/>
      <c r="M524" s="21"/>
      <c r="N524" s="21"/>
      <c r="O524" s="21"/>
      <c r="P524" s="60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</row>
    <row r="525" spans="1:33" ht="14.25" customHeight="1" x14ac:dyDescent="0.35">
      <c r="A525" s="21"/>
      <c r="B525" s="21"/>
      <c r="C525" s="21"/>
      <c r="D525" s="21"/>
      <c r="E525" s="128" t="s">
        <v>4056</v>
      </c>
      <c r="F525" s="21"/>
      <c r="G525" s="21"/>
      <c r="H525" s="21"/>
      <c r="I525" s="22" t="s">
        <v>3900</v>
      </c>
      <c r="J525" s="148"/>
      <c r="K525" s="148"/>
      <c r="L525" s="148"/>
      <c r="M525" s="148"/>
      <c r="N525" s="148"/>
      <c r="O525" s="148"/>
      <c r="P525" s="148"/>
      <c r="Q525" s="148"/>
      <c r="R525" s="161">
        <f>'Data Aktual'!$P$193</f>
        <v>7029</v>
      </c>
      <c r="S525" s="161">
        <f t="shared" ref="S525:AG525" si="328">R528</f>
        <v>7029</v>
      </c>
      <c r="T525" s="161">
        <f t="shared" si="328"/>
        <v>7029</v>
      </c>
      <c r="U525" s="161">
        <f t="shared" si="328"/>
        <v>7029</v>
      </c>
      <c r="V525" s="161">
        <f t="shared" si="328"/>
        <v>7029</v>
      </c>
      <c r="W525" s="161">
        <f t="shared" si="328"/>
        <v>7029</v>
      </c>
      <c r="X525" s="161">
        <f t="shared" si="328"/>
        <v>7029</v>
      </c>
      <c r="Y525" s="161">
        <f t="shared" si="328"/>
        <v>7029</v>
      </c>
      <c r="Z525" s="161">
        <f t="shared" si="328"/>
        <v>7029</v>
      </c>
      <c r="AA525" s="161">
        <f t="shared" si="328"/>
        <v>7029</v>
      </c>
      <c r="AB525" s="161">
        <f t="shared" si="328"/>
        <v>7029</v>
      </c>
      <c r="AC525" s="161">
        <f t="shared" si="328"/>
        <v>7029</v>
      </c>
      <c r="AD525" s="161">
        <f t="shared" si="328"/>
        <v>7029</v>
      </c>
      <c r="AE525" s="161">
        <f t="shared" si="328"/>
        <v>7029</v>
      </c>
      <c r="AF525" s="161">
        <f t="shared" si="328"/>
        <v>7029</v>
      </c>
      <c r="AG525" s="161">
        <f t="shared" si="328"/>
        <v>7029</v>
      </c>
    </row>
    <row r="526" spans="1:33" ht="14.25" customHeight="1" x14ac:dyDescent="0.35">
      <c r="A526" s="21"/>
      <c r="B526" s="21"/>
      <c r="C526" s="21"/>
      <c r="D526" s="21"/>
      <c r="E526" s="128" t="s">
        <v>4160</v>
      </c>
      <c r="F526" s="21"/>
      <c r="G526" s="21"/>
      <c r="H526" s="21"/>
      <c r="I526" s="22" t="s">
        <v>3900</v>
      </c>
      <c r="J526" s="148"/>
      <c r="K526" s="148"/>
      <c r="L526" s="148"/>
      <c r="M526" s="148"/>
      <c r="N526" s="148"/>
      <c r="O526" s="148"/>
      <c r="P526" s="148"/>
      <c r="Q526" s="148"/>
      <c r="R526" s="183">
        <f t="shared" ref="R526:AG526" si="329">-R520</f>
        <v>278373.51664254075</v>
      </c>
      <c r="S526" s="183">
        <f t="shared" si="329"/>
        <v>278373.51664254075</v>
      </c>
      <c r="T526" s="183">
        <f t="shared" si="329"/>
        <v>278373.51664254075</v>
      </c>
      <c r="U526" s="183">
        <f t="shared" si="329"/>
        <v>278373.51664254075</v>
      </c>
      <c r="V526" s="183">
        <f t="shared" si="329"/>
        <v>278373.51664254075</v>
      </c>
      <c r="W526" s="183">
        <f t="shared" si="329"/>
        <v>278373.51664254075</v>
      </c>
      <c r="X526" s="183">
        <f t="shared" si="329"/>
        <v>278373.51664254075</v>
      </c>
      <c r="Y526" s="183">
        <f t="shared" si="329"/>
        <v>278373.51664254075</v>
      </c>
      <c r="Z526" s="183">
        <f t="shared" si="329"/>
        <v>278373.51664254075</v>
      </c>
      <c r="AA526" s="183">
        <f t="shared" si="329"/>
        <v>278373.51664254075</v>
      </c>
      <c r="AB526" s="183">
        <f t="shared" si="329"/>
        <v>278373.51664254075</v>
      </c>
      <c r="AC526" s="183">
        <f t="shared" si="329"/>
        <v>278373.51664254075</v>
      </c>
      <c r="AD526" s="183">
        <f t="shared" si="329"/>
        <v>278373.51664254075</v>
      </c>
      <c r="AE526" s="183">
        <f t="shared" si="329"/>
        <v>278373.51664254075</v>
      </c>
      <c r="AF526" s="183">
        <f t="shared" si="329"/>
        <v>278373.51664254075</v>
      </c>
      <c r="AG526" s="183">
        <f t="shared" si="329"/>
        <v>278373.51664254075</v>
      </c>
    </row>
    <row r="527" spans="1:33" ht="14.25" customHeight="1" x14ac:dyDescent="0.35">
      <c r="A527" s="21"/>
      <c r="B527" s="21"/>
      <c r="C527" s="21"/>
      <c r="D527" s="21"/>
      <c r="E527" s="128" t="s">
        <v>4161</v>
      </c>
      <c r="F527" s="21"/>
      <c r="G527" s="21"/>
      <c r="H527" s="21"/>
      <c r="I527" s="22" t="s">
        <v>3900</v>
      </c>
      <c r="J527" s="148"/>
      <c r="K527" s="148"/>
      <c r="L527" s="148"/>
      <c r="M527" s="148"/>
      <c r="N527" s="148"/>
      <c r="O527" s="148"/>
      <c r="P527" s="148"/>
      <c r="Q527" s="148"/>
      <c r="R527" s="183">
        <f t="shared" ref="R527:AG527" si="330">-R513</f>
        <v>-278373.51664254075</v>
      </c>
      <c r="S527" s="183">
        <f t="shared" si="330"/>
        <v>-278373.51664254075</v>
      </c>
      <c r="T527" s="183">
        <f t="shared" si="330"/>
        <v>-278373.51664254075</v>
      </c>
      <c r="U527" s="183">
        <f t="shared" si="330"/>
        <v>-278373.51664254075</v>
      </c>
      <c r="V527" s="183">
        <f t="shared" si="330"/>
        <v>-278373.51664254075</v>
      </c>
      <c r="W527" s="183">
        <f t="shared" si="330"/>
        <v>-278373.51664254075</v>
      </c>
      <c r="X527" s="183">
        <f t="shared" si="330"/>
        <v>-278373.51664254075</v>
      </c>
      <c r="Y527" s="183">
        <f t="shared" si="330"/>
        <v>-278373.51664254075</v>
      </c>
      <c r="Z527" s="183">
        <f t="shared" si="330"/>
        <v>-278373.51664254075</v>
      </c>
      <c r="AA527" s="183">
        <f t="shared" si="330"/>
        <v>-278373.51664254075</v>
      </c>
      <c r="AB527" s="183">
        <f t="shared" si="330"/>
        <v>-278373.51664254075</v>
      </c>
      <c r="AC527" s="183">
        <f t="shared" si="330"/>
        <v>-278373.51664254075</v>
      </c>
      <c r="AD527" s="183">
        <f t="shared" si="330"/>
        <v>-278373.51664254075</v>
      </c>
      <c r="AE527" s="183">
        <f t="shared" si="330"/>
        <v>-278373.51664254075</v>
      </c>
      <c r="AF527" s="183">
        <f t="shared" si="330"/>
        <v>-278373.51664254075</v>
      </c>
      <c r="AG527" s="183">
        <f t="shared" si="330"/>
        <v>-278373.51664254075</v>
      </c>
    </row>
    <row r="528" spans="1:33" ht="14.25" customHeight="1" x14ac:dyDescent="0.35">
      <c r="A528" s="21"/>
      <c r="B528" s="21"/>
      <c r="C528" s="21"/>
      <c r="D528" s="21"/>
      <c r="E528" s="128" t="s">
        <v>4158</v>
      </c>
      <c r="F528" s="21"/>
      <c r="G528" s="21"/>
      <c r="H528" s="21"/>
      <c r="I528" s="22" t="s">
        <v>3900</v>
      </c>
      <c r="J528" s="148"/>
      <c r="K528" s="148"/>
      <c r="L528" s="148"/>
      <c r="M528" s="148"/>
      <c r="N528" s="148"/>
      <c r="O528" s="148"/>
      <c r="P528" s="148"/>
      <c r="Q528" s="148"/>
      <c r="R528" s="183">
        <f t="shared" ref="R528:AG528" si="331">SUM(R525:R527)</f>
        <v>7029</v>
      </c>
      <c r="S528" s="183">
        <f t="shared" si="331"/>
        <v>7029</v>
      </c>
      <c r="T528" s="183">
        <f t="shared" si="331"/>
        <v>7029</v>
      </c>
      <c r="U528" s="183">
        <f t="shared" si="331"/>
        <v>7029</v>
      </c>
      <c r="V528" s="183">
        <f t="shared" si="331"/>
        <v>7029</v>
      </c>
      <c r="W528" s="183">
        <f t="shared" si="331"/>
        <v>7029</v>
      </c>
      <c r="X528" s="183">
        <f t="shared" si="331"/>
        <v>7029</v>
      </c>
      <c r="Y528" s="183">
        <f t="shared" si="331"/>
        <v>7029</v>
      </c>
      <c r="Z528" s="183">
        <f t="shared" si="331"/>
        <v>7029</v>
      </c>
      <c r="AA528" s="183">
        <f t="shared" si="331"/>
        <v>7029</v>
      </c>
      <c r="AB528" s="183">
        <f t="shared" si="331"/>
        <v>7029</v>
      </c>
      <c r="AC528" s="183">
        <f t="shared" si="331"/>
        <v>7029</v>
      </c>
      <c r="AD528" s="183">
        <f t="shared" si="331"/>
        <v>7029</v>
      </c>
      <c r="AE528" s="183">
        <f t="shared" si="331"/>
        <v>7029</v>
      </c>
      <c r="AF528" s="183">
        <f t="shared" si="331"/>
        <v>7029</v>
      </c>
      <c r="AG528" s="183">
        <f t="shared" si="331"/>
        <v>7029</v>
      </c>
    </row>
    <row r="529" spans="1:33" ht="14.25" customHeight="1" x14ac:dyDescent="0.35">
      <c r="A529" s="21"/>
      <c r="B529" s="28"/>
      <c r="C529" s="28" t="s">
        <v>4162</v>
      </c>
      <c r="D529" s="28" t="s">
        <v>4163</v>
      </c>
      <c r="E529" s="21"/>
      <c r="F529" s="21"/>
      <c r="G529" s="21"/>
      <c r="H529" s="21"/>
      <c r="I529" s="22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</row>
    <row r="530" spans="1:33" ht="14.25" customHeight="1" x14ac:dyDescent="0.35">
      <c r="A530" s="21"/>
      <c r="B530" s="21"/>
      <c r="D530" s="21" t="s">
        <v>4153</v>
      </c>
      <c r="E530" s="21"/>
      <c r="F530" s="21"/>
      <c r="G530" s="21"/>
      <c r="H530" s="21"/>
      <c r="I530" s="22"/>
      <c r="J530" s="21"/>
      <c r="K530" s="21"/>
      <c r="L530" s="21"/>
      <c r="M530" s="21"/>
      <c r="N530" s="21"/>
      <c r="O530" s="21"/>
      <c r="P530" s="60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</row>
    <row r="531" spans="1:33" ht="14.25" customHeight="1" x14ac:dyDescent="0.35">
      <c r="A531" s="21"/>
      <c r="B531" s="21"/>
      <c r="C531" s="21"/>
      <c r="D531" s="21"/>
      <c r="E531" s="128" t="s">
        <v>4056</v>
      </c>
      <c r="F531" s="21"/>
      <c r="G531" s="21"/>
      <c r="H531" s="21"/>
      <c r="I531" s="22" t="s">
        <v>3921</v>
      </c>
      <c r="J531" s="148"/>
      <c r="K531" s="148"/>
      <c r="L531" s="148"/>
      <c r="M531" s="148"/>
      <c r="N531" s="148"/>
      <c r="O531" s="148"/>
      <c r="P531" s="148"/>
      <c r="Q531" s="148"/>
      <c r="R531" s="149">
        <v>7402503.9934763098</v>
      </c>
      <c r="S531" s="149">
        <f t="shared" ref="S531:AG531" si="332">R536</f>
        <v>8825832.4879885316</v>
      </c>
      <c r="T531" s="149">
        <f t="shared" si="332"/>
        <v>8888109.4693396389</v>
      </c>
      <c r="U531" s="149">
        <f t="shared" si="332"/>
        <v>8999007.7224034965</v>
      </c>
      <c r="V531" s="149">
        <f t="shared" si="332"/>
        <v>9000791.5448987782</v>
      </c>
      <c r="W531" s="149">
        <f t="shared" si="332"/>
        <v>8997317.4170110822</v>
      </c>
      <c r="X531" s="149">
        <f t="shared" si="332"/>
        <v>8996950.6181510091</v>
      </c>
      <c r="Y531" s="149">
        <f t="shared" si="332"/>
        <v>8996184.5712875724</v>
      </c>
      <c r="Z531" s="149">
        <f t="shared" si="332"/>
        <v>8983116.8139430583</v>
      </c>
      <c r="AA531" s="149">
        <f t="shared" si="332"/>
        <v>8980673.1733172536</v>
      </c>
      <c r="AB531" s="149">
        <f t="shared" si="332"/>
        <v>8981679.4357658327</v>
      </c>
      <c r="AC531" s="149">
        <f t="shared" si="332"/>
        <v>8982493.7582564652</v>
      </c>
      <c r="AD531" s="149">
        <f t="shared" si="332"/>
        <v>8981691.1086376309</v>
      </c>
      <c r="AE531" s="149">
        <f t="shared" si="332"/>
        <v>8981227.6142519414</v>
      </c>
      <c r="AF531" s="149">
        <f t="shared" si="332"/>
        <v>8980225.6319331527</v>
      </c>
      <c r="AG531" s="149">
        <f t="shared" si="332"/>
        <v>8979796.1766514182</v>
      </c>
    </row>
    <row r="532" spans="1:33" ht="14.25" customHeight="1" x14ac:dyDescent="0.35">
      <c r="A532" s="21"/>
      <c r="B532" s="21"/>
      <c r="C532" s="21"/>
      <c r="D532" s="21"/>
      <c r="E532" s="128" t="s">
        <v>4154</v>
      </c>
      <c r="F532" s="21"/>
      <c r="G532" s="21"/>
      <c r="H532" s="21"/>
      <c r="I532" s="22" t="s">
        <v>3921</v>
      </c>
      <c r="J532" s="148"/>
      <c r="K532" s="148"/>
      <c r="L532" s="148"/>
      <c r="M532" s="148"/>
      <c r="N532" s="148"/>
      <c r="O532" s="148"/>
      <c r="P532" s="148"/>
      <c r="Q532" s="148"/>
      <c r="R532" s="149">
        <f t="shared" ref="R532:AG532" si="333">R507</f>
        <v>7238257597.1391726</v>
      </c>
      <c r="S532" s="149">
        <f t="shared" si="333"/>
        <v>7292618208.0040493</v>
      </c>
      <c r="T532" s="149">
        <f t="shared" si="333"/>
        <v>7361751495.5674772</v>
      </c>
      <c r="U532" s="149">
        <f t="shared" si="333"/>
        <v>7364260640.0877256</v>
      </c>
      <c r="V532" s="149">
        <f t="shared" si="333"/>
        <v>7363172107.9274673</v>
      </c>
      <c r="W532" s="149">
        <f t="shared" si="333"/>
        <v>7359711201.8266163</v>
      </c>
      <c r="X532" s="149">
        <f t="shared" si="333"/>
        <v>7360483337.7062674</v>
      </c>
      <c r="Y532" s="149">
        <f t="shared" si="333"/>
        <v>7352967285.8813715</v>
      </c>
      <c r="Z532" s="149">
        <f t="shared" si="333"/>
        <v>7351880772.8463745</v>
      </c>
      <c r="AA532" s="149">
        <f t="shared" si="333"/>
        <v>7351436657.7728767</v>
      </c>
      <c r="AB532" s="149">
        <f t="shared" si="333"/>
        <v>7351134976.503006</v>
      </c>
      <c r="AC532" s="149">
        <f t="shared" si="333"/>
        <v>7350078218.0330982</v>
      </c>
      <c r="AD532" s="149">
        <f t="shared" si="333"/>
        <v>7349983311.5586443</v>
      </c>
      <c r="AE532" s="149">
        <f t="shared" si="333"/>
        <v>7349314837.9473543</v>
      </c>
      <c r="AF532" s="149">
        <f t="shared" si="333"/>
        <v>7349199327.9596186</v>
      </c>
      <c r="AG532" s="149">
        <f t="shared" si="333"/>
        <v>7348697085.9789696</v>
      </c>
    </row>
    <row r="533" spans="1:33" ht="14.25" customHeight="1" x14ac:dyDescent="0.35">
      <c r="A533" s="21"/>
      <c r="B533" s="21"/>
      <c r="C533" s="21"/>
      <c r="D533" s="21"/>
      <c r="E533" s="128" t="s">
        <v>4155</v>
      </c>
      <c r="F533" s="21"/>
      <c r="G533" s="21"/>
      <c r="H533" s="21"/>
      <c r="I533" s="22" t="s">
        <v>3921</v>
      </c>
      <c r="J533" s="148"/>
      <c r="K533" s="148"/>
      <c r="L533" s="148"/>
      <c r="M533" s="148"/>
      <c r="N533" s="148"/>
      <c r="O533" s="148"/>
      <c r="P533" s="148"/>
      <c r="Q533" s="148"/>
      <c r="R533" s="149">
        <f t="shared" ref="R533:AG533" si="334">R520*R543</f>
        <v>-6872386089.4525194</v>
      </c>
      <c r="S533" s="149">
        <f t="shared" si="334"/>
        <v>-6920879130.8649654</v>
      </c>
      <c r="T533" s="149">
        <f t="shared" si="334"/>
        <v>-7007231960.7808418</v>
      </c>
      <c r="U533" s="149">
        <f t="shared" si="334"/>
        <v>-7008620964.8118248</v>
      </c>
      <c r="V533" s="149">
        <f t="shared" si="334"/>
        <v>-7005915775.4498978</v>
      </c>
      <c r="W533" s="149">
        <f t="shared" si="334"/>
        <v>-7005630161.2153521</v>
      </c>
      <c r="X533" s="149">
        <f t="shared" si="334"/>
        <v>-7005033665.6655035</v>
      </c>
      <c r="Y533" s="149">
        <f t="shared" si="334"/>
        <v>-6994858231.9125366</v>
      </c>
      <c r="Z533" s="149">
        <f t="shared" si="334"/>
        <v>-6992955449.1579714</v>
      </c>
      <c r="AA533" s="149">
        <f t="shared" si="334"/>
        <v>-6993738992.7001419</v>
      </c>
      <c r="AB533" s="149">
        <f t="shared" si="334"/>
        <v>-6994373078.8978891</v>
      </c>
      <c r="AC533" s="149">
        <f t="shared" si="334"/>
        <v>-6993748081.9832363</v>
      </c>
      <c r="AD533" s="149">
        <f t="shared" si="334"/>
        <v>-6993387174.1164293</v>
      </c>
      <c r="AE533" s="149">
        <f t="shared" si="334"/>
        <v>-6992606963.3708</v>
      </c>
      <c r="AF533" s="149">
        <f t="shared" si="334"/>
        <v>-6992272560.6365814</v>
      </c>
      <c r="AG533" s="149">
        <f t="shared" si="334"/>
        <v>-6991510934.8232851</v>
      </c>
    </row>
    <row r="534" spans="1:33" ht="14.25" customHeight="1" x14ac:dyDescent="0.35">
      <c r="A534" s="21"/>
      <c r="B534" s="21"/>
      <c r="C534" s="21"/>
      <c r="D534" s="21"/>
      <c r="E534" s="128" t="s">
        <v>4164</v>
      </c>
      <c r="F534" s="21"/>
      <c r="G534" s="21"/>
      <c r="H534" s="21"/>
      <c r="I534" s="22" t="s">
        <v>3921</v>
      </c>
      <c r="J534" s="148"/>
      <c r="K534" s="148"/>
      <c r="L534" s="148"/>
      <c r="M534" s="148"/>
      <c r="N534" s="148"/>
      <c r="O534" s="148"/>
      <c r="P534" s="148"/>
      <c r="Q534" s="148"/>
      <c r="R534" s="149">
        <f>R521*'Input Operasional'!Q198</f>
        <v>-102608629.656792</v>
      </c>
      <c r="S534" s="149">
        <f>S521*'Input Operasional'!R198</f>
        <v>-107261335.94716236</v>
      </c>
      <c r="T534" s="149">
        <f>T521*'Input Operasional'!S198</f>
        <v>-110403380.51212844</v>
      </c>
      <c r="U534" s="149">
        <f>U521*'Input Operasional'!T198</f>
        <v>-113570516.22104965</v>
      </c>
      <c r="V534" s="149">
        <f>V521*'Input Operasional'!U198</f>
        <v>-113172435.15643057</v>
      </c>
      <c r="W534" s="149">
        <f>W521*'Input Operasional'!V198</f>
        <v>-113417461.82151015</v>
      </c>
      <c r="X534" s="149">
        <f>X521*'Input Operasional'!W198</f>
        <v>-113482568.81939507</v>
      </c>
      <c r="Y534" s="149">
        <f>Y521*'Input Operasional'!X198</f>
        <v>-111514261.53553787</v>
      </c>
      <c r="Z534" s="149">
        <f>Z521*'Input Operasional'!Y198</f>
        <v>-110670318.64101237</v>
      </c>
      <c r="AA534" s="149">
        <f>AA521*'Input Operasional'!Z198</f>
        <v>-111678504.49346171</v>
      </c>
      <c r="AB534" s="149">
        <f>AB521*'Input Operasional'!AA198</f>
        <v>-112247167.51297507</v>
      </c>
      <c r="AC534" s="149">
        <f>AC521*'Input Operasional'!AB198</f>
        <v>-112466229.44325739</v>
      </c>
      <c r="AD534" s="149">
        <f>AD521*'Input Operasional'!AC198</f>
        <v>-112330152.0049804</v>
      </c>
      <c r="AE534" s="149">
        <f>AE521*'Input Operasional'!AD198</f>
        <v>-112227454.39073017</v>
      </c>
      <c r="AF534" s="149">
        <f>AF521*'Input Operasional'!AE198</f>
        <v>-112076322.1564994</v>
      </c>
      <c r="AG534" s="149">
        <f>AG521*'Input Operasional'!AF198</f>
        <v>-111901264.05816033</v>
      </c>
    </row>
    <row r="535" spans="1:33" ht="14.25" customHeight="1" x14ac:dyDescent="0.35">
      <c r="A535" s="21"/>
      <c r="B535" s="21"/>
      <c r="C535" s="21"/>
      <c r="D535" s="21"/>
      <c r="E535" s="128" t="s">
        <v>4165</v>
      </c>
      <c r="F535" s="21"/>
      <c r="G535" s="21"/>
      <c r="H535" s="21"/>
      <c r="I535" s="22" t="s">
        <v>3921</v>
      </c>
      <c r="J535" s="148"/>
      <c r="K535" s="148"/>
      <c r="L535" s="148"/>
      <c r="M535" s="148"/>
      <c r="N535" s="148"/>
      <c r="O535" s="148"/>
      <c r="P535" s="148"/>
      <c r="Q535" s="148"/>
      <c r="R535" s="149">
        <f t="shared" ref="R535:AG535" si="335">R522*R543</f>
        <v>-261839549.53534853</v>
      </c>
      <c r="S535" s="149">
        <f t="shared" si="335"/>
        <v>-264415464.21057031</v>
      </c>
      <c r="T535" s="149">
        <f t="shared" si="335"/>
        <v>-244005256.02144283</v>
      </c>
      <c r="U535" s="149">
        <f t="shared" si="335"/>
        <v>-242067375.23235592</v>
      </c>
      <c r="V535" s="149">
        <f t="shared" si="335"/>
        <v>-244087371.44902691</v>
      </c>
      <c r="W535" s="149">
        <f t="shared" si="335"/>
        <v>-240663945.58861434</v>
      </c>
      <c r="X535" s="149">
        <f t="shared" si="335"/>
        <v>-241967869.26823193</v>
      </c>
      <c r="Y535" s="149">
        <f t="shared" si="335"/>
        <v>-246607860.19064111</v>
      </c>
      <c r="Z535" s="149">
        <f t="shared" si="335"/>
        <v>-248257448.68801641</v>
      </c>
      <c r="AA535" s="149">
        <f t="shared" si="335"/>
        <v>-246018154.31682423</v>
      </c>
      <c r="AB535" s="149">
        <f t="shared" si="335"/>
        <v>-244513915.76965153</v>
      </c>
      <c r="AC535" s="149">
        <f t="shared" si="335"/>
        <v>-243864709.2562238</v>
      </c>
      <c r="AD535" s="149">
        <f t="shared" si="335"/>
        <v>-244266448.93162045</v>
      </c>
      <c r="AE535" s="149">
        <f t="shared" si="335"/>
        <v>-244481422.16814306</v>
      </c>
      <c r="AF535" s="149">
        <f t="shared" si="335"/>
        <v>-244850874.62181956</v>
      </c>
      <c r="AG535" s="149">
        <f t="shared" si="335"/>
        <v>-245285865.21222356</v>
      </c>
    </row>
    <row r="536" spans="1:33" ht="14.25" customHeight="1" x14ac:dyDescent="0.35">
      <c r="A536" s="21"/>
      <c r="B536" s="21"/>
      <c r="C536" s="21"/>
      <c r="D536" s="21"/>
      <c r="E536" s="128" t="s">
        <v>4158</v>
      </c>
      <c r="F536" s="21"/>
      <c r="G536" s="21"/>
      <c r="H536" s="21"/>
      <c r="I536" s="22" t="s">
        <v>3921</v>
      </c>
      <c r="J536" s="148"/>
      <c r="K536" s="148"/>
      <c r="L536" s="148"/>
      <c r="M536" s="148"/>
      <c r="N536" s="148"/>
      <c r="O536" s="148"/>
      <c r="P536" s="148"/>
      <c r="Q536" s="148"/>
      <c r="R536" s="149">
        <f t="shared" ref="R536:AG536" si="336">SUM(R531:R535)</f>
        <v>8825832.4879885316</v>
      </c>
      <c r="S536" s="149">
        <f t="shared" si="336"/>
        <v>8888109.4693396389</v>
      </c>
      <c r="T536" s="149">
        <f t="shared" si="336"/>
        <v>8999007.7224034965</v>
      </c>
      <c r="U536" s="149">
        <f t="shared" si="336"/>
        <v>9000791.5448987782</v>
      </c>
      <c r="V536" s="149">
        <f t="shared" si="336"/>
        <v>8997317.4170110822</v>
      </c>
      <c r="W536" s="149">
        <f t="shared" si="336"/>
        <v>8996950.6181510091</v>
      </c>
      <c r="X536" s="149">
        <f t="shared" si="336"/>
        <v>8996184.5712875724</v>
      </c>
      <c r="Y536" s="149">
        <f t="shared" si="336"/>
        <v>8983116.8139430583</v>
      </c>
      <c r="Z536" s="149">
        <f t="shared" si="336"/>
        <v>8980673.1733172536</v>
      </c>
      <c r="AA536" s="149">
        <f t="shared" si="336"/>
        <v>8981679.4357658327</v>
      </c>
      <c r="AB536" s="149">
        <f t="shared" si="336"/>
        <v>8982493.7582564652</v>
      </c>
      <c r="AC536" s="149">
        <f t="shared" si="336"/>
        <v>8981691.1086376309</v>
      </c>
      <c r="AD536" s="149">
        <f t="shared" si="336"/>
        <v>8981227.6142519414</v>
      </c>
      <c r="AE536" s="149">
        <f t="shared" si="336"/>
        <v>8980225.6319331527</v>
      </c>
      <c r="AF536" s="149">
        <f t="shared" si="336"/>
        <v>8979796.1766514182</v>
      </c>
      <c r="AG536" s="149">
        <f t="shared" si="336"/>
        <v>8978818.0619515777</v>
      </c>
    </row>
    <row r="537" spans="1:33" ht="14.25" customHeight="1" x14ac:dyDescent="0.35">
      <c r="A537" s="21"/>
      <c r="B537" s="21"/>
      <c r="C537" s="21"/>
      <c r="D537" s="21" t="s">
        <v>4159</v>
      </c>
      <c r="E537" s="21"/>
      <c r="F537" s="21"/>
      <c r="G537" s="21"/>
      <c r="H537" s="21"/>
      <c r="I537" s="22" t="s">
        <v>3921</v>
      </c>
      <c r="J537" s="21"/>
      <c r="K537" s="21"/>
      <c r="L537" s="21"/>
      <c r="M537" s="21"/>
      <c r="N537" s="21"/>
      <c r="O537" s="21"/>
      <c r="P537" s="60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</row>
    <row r="538" spans="1:33" ht="14.25" customHeight="1" x14ac:dyDescent="0.35">
      <c r="A538" s="21"/>
      <c r="B538" s="21"/>
      <c r="C538" s="21"/>
      <c r="D538" s="21"/>
      <c r="E538" s="128" t="s">
        <v>4056</v>
      </c>
      <c r="F538" s="21"/>
      <c r="G538" s="21"/>
      <c r="H538" s="21"/>
      <c r="I538" s="22" t="s">
        <v>3921</v>
      </c>
      <c r="J538" s="148">
        <v>0</v>
      </c>
      <c r="K538" s="148">
        <v>0</v>
      </c>
      <c r="L538" s="148">
        <v>0</v>
      </c>
      <c r="M538" s="148">
        <v>0</v>
      </c>
      <c r="N538" s="148">
        <v>0</v>
      </c>
      <c r="O538" s="148">
        <v>0</v>
      </c>
      <c r="P538" s="148">
        <v>0</v>
      </c>
      <c r="Q538" s="148">
        <v>0</v>
      </c>
      <c r="R538" s="149">
        <v>145544598.59</v>
      </c>
      <c r="S538" s="149">
        <f t="shared" ref="S538:AG538" si="337">SUM(R541)</f>
        <v>172840223.64818287</v>
      </c>
      <c r="T538" s="149">
        <f t="shared" si="337"/>
        <v>174706775.29211712</v>
      </c>
      <c r="U538" s="149">
        <f t="shared" si="337"/>
        <v>176879475.23982048</v>
      </c>
      <c r="V538" s="149">
        <f t="shared" si="337"/>
        <v>176967194.21847916</v>
      </c>
      <c r="W538" s="149">
        <f t="shared" si="337"/>
        <v>176902730.17821503</v>
      </c>
      <c r="X538" s="149">
        <f t="shared" si="337"/>
        <v>176894108.31943607</v>
      </c>
      <c r="Y538" s="149">
        <f t="shared" si="337"/>
        <v>176879205.26141357</v>
      </c>
      <c r="Z538" s="149">
        <f t="shared" si="337"/>
        <v>176628233.83240604</v>
      </c>
      <c r="AA538" s="149">
        <f t="shared" si="337"/>
        <v>176575190.36826801</v>
      </c>
      <c r="AB538" s="149">
        <f t="shared" si="337"/>
        <v>176593181.39760017</v>
      </c>
      <c r="AC538" s="149">
        <f t="shared" si="337"/>
        <v>176609240.99960709</v>
      </c>
      <c r="AD538" s="149">
        <f t="shared" si="337"/>
        <v>176594243.86355972</v>
      </c>
      <c r="AE538" s="149">
        <f t="shared" si="337"/>
        <v>176584985.93445587</v>
      </c>
      <c r="AF538" s="149">
        <f t="shared" si="337"/>
        <v>176565542.60445309</v>
      </c>
      <c r="AG538" s="149">
        <f t="shared" si="337"/>
        <v>176556827.95114613</v>
      </c>
    </row>
    <row r="539" spans="1:33" ht="14.25" customHeight="1" x14ac:dyDescent="0.35">
      <c r="A539" s="21"/>
      <c r="B539" s="21"/>
      <c r="C539" s="21"/>
      <c r="D539" s="21"/>
      <c r="E539" s="128" t="s">
        <v>4160</v>
      </c>
      <c r="F539" s="21"/>
      <c r="G539" s="21"/>
      <c r="H539" s="21"/>
      <c r="I539" s="22" t="s">
        <v>3921</v>
      </c>
      <c r="J539" s="148">
        <v>5751529039.8136997</v>
      </c>
      <c r="K539" s="148">
        <v>5722555694.88978</v>
      </c>
      <c r="L539" s="148">
        <v>4310430967.0730495</v>
      </c>
      <c r="M539" s="148">
        <v>4504730654.6920795</v>
      </c>
      <c r="N539" s="148">
        <v>5284842599.8716497</v>
      </c>
      <c r="O539" s="148">
        <v>5572948370.2658997</v>
      </c>
      <c r="P539" s="148">
        <v>5808949351.8843098</v>
      </c>
      <c r="Q539" s="148">
        <v>6578651888.1883698</v>
      </c>
      <c r="R539" s="149">
        <f t="shared" ref="R539:AG539" si="338">-R533</f>
        <v>6872386089.4525194</v>
      </c>
      <c r="S539" s="149">
        <f t="shared" si="338"/>
        <v>6920879130.8649654</v>
      </c>
      <c r="T539" s="149">
        <f t="shared" si="338"/>
        <v>7007231960.7808418</v>
      </c>
      <c r="U539" s="149">
        <f t="shared" si="338"/>
        <v>7008620964.8118248</v>
      </c>
      <c r="V539" s="149">
        <f t="shared" si="338"/>
        <v>7005915775.4498978</v>
      </c>
      <c r="W539" s="149">
        <f t="shared" si="338"/>
        <v>7005630161.2153521</v>
      </c>
      <c r="X539" s="149">
        <f t="shared" si="338"/>
        <v>7005033665.6655035</v>
      </c>
      <c r="Y539" s="149">
        <f t="shared" si="338"/>
        <v>6994858231.9125366</v>
      </c>
      <c r="Z539" s="149">
        <f t="shared" si="338"/>
        <v>6992955449.1579714</v>
      </c>
      <c r="AA539" s="149">
        <f t="shared" si="338"/>
        <v>6993738992.7001419</v>
      </c>
      <c r="AB539" s="149">
        <f t="shared" si="338"/>
        <v>6994373078.8978891</v>
      </c>
      <c r="AC539" s="149">
        <f t="shared" si="338"/>
        <v>6993748081.9832363</v>
      </c>
      <c r="AD539" s="149">
        <f t="shared" si="338"/>
        <v>6993387174.1164293</v>
      </c>
      <c r="AE539" s="149">
        <f t="shared" si="338"/>
        <v>6992606963.3708</v>
      </c>
      <c r="AF539" s="149">
        <f t="shared" si="338"/>
        <v>6992272560.6365814</v>
      </c>
      <c r="AG539" s="149">
        <f t="shared" si="338"/>
        <v>6991510934.8232851</v>
      </c>
    </row>
    <row r="540" spans="1:33" ht="14.25" customHeight="1" x14ac:dyDescent="0.35">
      <c r="A540" s="21"/>
      <c r="B540" s="21"/>
      <c r="C540" s="21"/>
      <c r="D540" s="21"/>
      <c r="E540" s="128" t="s">
        <v>4161</v>
      </c>
      <c r="F540" s="21"/>
      <c r="G540" s="21"/>
      <c r="H540" s="21"/>
      <c r="I540" s="22" t="s">
        <v>3921</v>
      </c>
      <c r="J540" s="148">
        <v>5751529039.8136997</v>
      </c>
      <c r="K540" s="148">
        <v>5722555694.88978</v>
      </c>
      <c r="L540" s="148">
        <v>4310430967.0730495</v>
      </c>
      <c r="M540" s="148">
        <v>4504730654.6920795</v>
      </c>
      <c r="N540" s="148">
        <v>5284842599.8716497</v>
      </c>
      <c r="O540" s="148">
        <v>5572948370.2658997</v>
      </c>
      <c r="P540" s="148">
        <v>5808949351.8843098</v>
      </c>
      <c r="Q540" s="148">
        <v>6578651888.1883698</v>
      </c>
      <c r="R540" s="149">
        <f t="shared" ref="R540:AG540" si="339">R527*R544</f>
        <v>-6845090464.3943367</v>
      </c>
      <c r="S540" s="149">
        <f t="shared" si="339"/>
        <v>-6919012579.2210312</v>
      </c>
      <c r="T540" s="149">
        <f t="shared" si="339"/>
        <v>-7005059260.8331385</v>
      </c>
      <c r="U540" s="149">
        <f t="shared" si="339"/>
        <v>-7008533245.8331661</v>
      </c>
      <c r="V540" s="149">
        <f t="shared" si="339"/>
        <v>-7005980239.4901619</v>
      </c>
      <c r="W540" s="149">
        <f t="shared" si="339"/>
        <v>-7005638783.074131</v>
      </c>
      <c r="X540" s="149">
        <f t="shared" si="339"/>
        <v>-7005048568.723526</v>
      </c>
      <c r="Y540" s="149">
        <f t="shared" si="339"/>
        <v>-6995109203.3415442</v>
      </c>
      <c r="Z540" s="149">
        <f t="shared" si="339"/>
        <v>-6993008492.6221094</v>
      </c>
      <c r="AA540" s="149">
        <f t="shared" si="339"/>
        <v>-6993721001.6708097</v>
      </c>
      <c r="AB540" s="149">
        <f t="shared" si="339"/>
        <v>-6994357019.2958822</v>
      </c>
      <c r="AC540" s="149">
        <f t="shared" si="339"/>
        <v>-6993763079.1192837</v>
      </c>
      <c r="AD540" s="149">
        <f t="shared" si="339"/>
        <v>-6993396432.0455332</v>
      </c>
      <c r="AE540" s="149">
        <f t="shared" si="339"/>
        <v>-6992626406.7008028</v>
      </c>
      <c r="AF540" s="149">
        <f t="shared" si="339"/>
        <v>-6992281275.2898884</v>
      </c>
      <c r="AG540" s="149">
        <f t="shared" si="339"/>
        <v>-6991529907.0566187</v>
      </c>
    </row>
    <row r="541" spans="1:33" ht="14.25" customHeight="1" x14ac:dyDescent="0.35">
      <c r="A541" s="21"/>
      <c r="B541" s="21"/>
      <c r="C541" s="21"/>
      <c r="D541" s="21"/>
      <c r="E541" s="128" t="s">
        <v>4158</v>
      </c>
      <c r="F541" s="21"/>
      <c r="G541" s="21"/>
      <c r="H541" s="21"/>
      <c r="I541" s="22" t="s">
        <v>3921</v>
      </c>
      <c r="J541" s="148">
        <f t="shared" ref="J541:Q541" si="340">J538+J539-J540</f>
        <v>0</v>
      </c>
      <c r="K541" s="148">
        <f t="shared" si="340"/>
        <v>0</v>
      </c>
      <c r="L541" s="148">
        <f t="shared" si="340"/>
        <v>0</v>
      </c>
      <c r="M541" s="148">
        <f t="shared" si="340"/>
        <v>0</v>
      </c>
      <c r="N541" s="148">
        <f t="shared" si="340"/>
        <v>0</v>
      </c>
      <c r="O541" s="148">
        <f t="shared" si="340"/>
        <v>0</v>
      </c>
      <c r="P541" s="148">
        <f t="shared" si="340"/>
        <v>0</v>
      </c>
      <c r="Q541" s="148">
        <f t="shared" si="340"/>
        <v>0</v>
      </c>
      <c r="R541" s="149">
        <f t="shared" ref="R541:AG541" si="341">SUM(R538:R540)</f>
        <v>172840223.64818287</v>
      </c>
      <c r="S541" s="149">
        <f t="shared" si="341"/>
        <v>174706775.29211712</v>
      </c>
      <c r="T541" s="149">
        <f t="shared" si="341"/>
        <v>176879475.23982048</v>
      </c>
      <c r="U541" s="149">
        <f t="shared" si="341"/>
        <v>176967194.21847916</v>
      </c>
      <c r="V541" s="149">
        <f t="shared" si="341"/>
        <v>176902730.17821503</v>
      </c>
      <c r="W541" s="149">
        <f t="shared" si="341"/>
        <v>176894108.31943607</v>
      </c>
      <c r="X541" s="149">
        <f t="shared" si="341"/>
        <v>176879205.26141357</v>
      </c>
      <c r="Y541" s="149">
        <f t="shared" si="341"/>
        <v>176628233.83240604</v>
      </c>
      <c r="Z541" s="149">
        <f t="shared" si="341"/>
        <v>176575190.36826801</v>
      </c>
      <c r="AA541" s="149">
        <f t="shared" si="341"/>
        <v>176593181.39760017</v>
      </c>
      <c r="AB541" s="149">
        <f t="shared" si="341"/>
        <v>176609240.99960709</v>
      </c>
      <c r="AC541" s="149">
        <f t="shared" si="341"/>
        <v>176594243.86355972</v>
      </c>
      <c r="AD541" s="149">
        <f t="shared" si="341"/>
        <v>176584985.93445587</v>
      </c>
      <c r="AE541" s="149">
        <f t="shared" si="341"/>
        <v>176565542.60445309</v>
      </c>
      <c r="AF541" s="149">
        <f t="shared" si="341"/>
        <v>176556827.95114613</v>
      </c>
      <c r="AG541" s="149">
        <f t="shared" si="341"/>
        <v>176537855.71781254</v>
      </c>
    </row>
    <row r="542" spans="1:33" ht="14.25" customHeight="1" x14ac:dyDescent="0.35">
      <c r="A542" s="21"/>
      <c r="B542" s="21"/>
      <c r="C542" s="28" t="s">
        <v>4166</v>
      </c>
      <c r="D542" s="21"/>
      <c r="E542" s="128"/>
      <c r="F542" s="21"/>
      <c r="G542" s="21"/>
      <c r="H542" s="21"/>
      <c r="I542" s="22"/>
      <c r="J542" s="148"/>
      <c r="K542" s="148"/>
      <c r="L542" s="148"/>
      <c r="M542" s="148"/>
      <c r="N542" s="148"/>
      <c r="O542" s="148"/>
      <c r="P542" s="148"/>
      <c r="Q542" s="148"/>
      <c r="R542" s="149"/>
      <c r="S542" s="149"/>
      <c r="T542" s="149"/>
      <c r="U542" s="149"/>
      <c r="V542" s="149"/>
      <c r="W542" s="149"/>
      <c r="X542" s="149"/>
      <c r="Y542" s="149"/>
      <c r="Z542" s="149"/>
      <c r="AA542" s="149"/>
      <c r="AB542" s="149"/>
      <c r="AC542" s="149"/>
      <c r="AD542" s="149"/>
      <c r="AE542" s="149"/>
      <c r="AF542" s="149"/>
      <c r="AG542" s="149"/>
    </row>
    <row r="543" spans="1:33" ht="14.25" customHeight="1" x14ac:dyDescent="0.35">
      <c r="A543" s="21"/>
      <c r="B543" s="21"/>
      <c r="C543" s="21"/>
      <c r="D543" s="21" t="s">
        <v>4167</v>
      </c>
      <c r="E543" s="128"/>
      <c r="F543" s="21"/>
      <c r="G543" s="21"/>
      <c r="H543" s="21"/>
      <c r="I543" s="22" t="s">
        <v>3915</v>
      </c>
      <c r="J543" s="148"/>
      <c r="K543" s="148"/>
      <c r="L543" s="148"/>
      <c r="M543" s="148"/>
      <c r="N543" s="148"/>
      <c r="O543" s="148"/>
      <c r="P543" s="148"/>
      <c r="Q543" s="148"/>
      <c r="R543" s="149">
        <f t="shared" ref="R543:AG543" si="342">IF((R518+R519+R521)=0,0,(R531+R532+R534)/(R518+R519+R521))</f>
        <v>24687.643323044074</v>
      </c>
      <c r="S543" s="149">
        <f t="shared" si="342"/>
        <v>24861.844669484351</v>
      </c>
      <c r="T543" s="149">
        <f t="shared" si="342"/>
        <v>25172.049573159733</v>
      </c>
      <c r="U543" s="149">
        <f t="shared" si="342"/>
        <v>25177.039286433235</v>
      </c>
      <c r="V543" s="149">
        <f t="shared" si="342"/>
        <v>25167.321446192705</v>
      </c>
      <c r="W543" s="149">
        <f t="shared" si="342"/>
        <v>25166.295435392574</v>
      </c>
      <c r="X543" s="149">
        <f t="shared" si="342"/>
        <v>25164.152646965562</v>
      </c>
      <c r="Y543" s="149">
        <f t="shared" si="342"/>
        <v>25127.599479567696</v>
      </c>
      <c r="Z543" s="149">
        <f t="shared" si="342"/>
        <v>25120.76412117041</v>
      </c>
      <c r="AA543" s="149">
        <f t="shared" si="342"/>
        <v>25123.578841304785</v>
      </c>
      <c r="AB543" s="149">
        <f t="shared" si="342"/>
        <v>25125.85666645638</v>
      </c>
      <c r="AC543" s="149">
        <f t="shared" si="342"/>
        <v>25123.61149269779</v>
      </c>
      <c r="AD543" s="149">
        <f t="shared" si="342"/>
        <v>25122.315004902688</v>
      </c>
      <c r="AE543" s="149">
        <f t="shared" si="342"/>
        <v>25119.512257159153</v>
      </c>
      <c r="AF543" s="149">
        <f t="shared" si="342"/>
        <v>25118.31098363913</v>
      </c>
      <c r="AG543" s="149">
        <f t="shared" si="342"/>
        <v>25115.574998468979</v>
      </c>
    </row>
    <row r="544" spans="1:33" ht="14.25" customHeight="1" x14ac:dyDescent="0.35">
      <c r="A544" s="21"/>
      <c r="B544" s="21"/>
      <c r="C544" s="21"/>
      <c r="D544" s="21" t="s">
        <v>4168</v>
      </c>
      <c r="E544" s="128"/>
      <c r="F544" s="21"/>
      <c r="G544" s="21"/>
      <c r="H544" s="21"/>
      <c r="I544" s="22" t="s">
        <v>3915</v>
      </c>
      <c r="J544" s="148"/>
      <c r="K544" s="148"/>
      <c r="L544" s="148"/>
      <c r="M544" s="148"/>
      <c r="N544" s="148"/>
      <c r="O544" s="148"/>
      <c r="P544" s="148"/>
      <c r="Q544" s="148"/>
      <c r="R544" s="149">
        <f t="shared" ref="R544:AG544" si="343">IF((R525+R526)=0,0,(R538+R539)/(R525+R526))</f>
        <v>24589.589365227272</v>
      </c>
      <c r="S544" s="149">
        <f t="shared" si="343"/>
        <v>24855.139463951706</v>
      </c>
      <c r="T544" s="149">
        <f t="shared" si="343"/>
        <v>25164.244592377407</v>
      </c>
      <c r="U544" s="149">
        <f t="shared" si="343"/>
        <v>25176.724173919243</v>
      </c>
      <c r="V544" s="149">
        <f t="shared" si="343"/>
        <v>25167.5530200904</v>
      </c>
      <c r="W544" s="149">
        <f t="shared" si="343"/>
        <v>25166.326407659199</v>
      </c>
      <c r="X544" s="149">
        <f t="shared" si="343"/>
        <v>25164.206183157516</v>
      </c>
      <c r="Y544" s="149">
        <f t="shared" si="343"/>
        <v>25128.501043164819</v>
      </c>
      <c r="Z544" s="149">
        <f t="shared" si="343"/>
        <v>25120.954668981056</v>
      </c>
      <c r="AA544" s="149">
        <f t="shared" si="343"/>
        <v>25123.514212206625</v>
      </c>
      <c r="AB544" s="149">
        <f t="shared" si="343"/>
        <v>25125.798975616388</v>
      </c>
      <c r="AC544" s="149">
        <f t="shared" si="343"/>
        <v>25123.665366845835</v>
      </c>
      <c r="AD544" s="149">
        <f t="shared" si="343"/>
        <v>25122.348262122036</v>
      </c>
      <c r="AE544" s="149">
        <f t="shared" si="343"/>
        <v>25119.582103350836</v>
      </c>
      <c r="AF544" s="149">
        <f t="shared" si="343"/>
        <v>25118.342289251144</v>
      </c>
      <c r="AG544" s="149">
        <f t="shared" si="343"/>
        <v>25115.643152342102</v>
      </c>
    </row>
    <row r="545" spans="1:33" ht="14.25" customHeight="1" x14ac:dyDescent="0.35">
      <c r="A545" s="21"/>
      <c r="B545" s="28"/>
      <c r="C545" s="28"/>
      <c r="D545" s="28" t="s">
        <v>29</v>
      </c>
      <c r="E545" s="21"/>
      <c r="F545" s="21"/>
      <c r="G545" s="21"/>
      <c r="H545" s="21"/>
      <c r="I545" s="22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</row>
    <row r="546" spans="1:33" ht="14.25" customHeight="1" x14ac:dyDescent="0.35">
      <c r="A546" s="21"/>
      <c r="B546" s="28"/>
      <c r="C546" s="21"/>
      <c r="D546" s="21" t="s">
        <v>30</v>
      </c>
      <c r="E546" s="175"/>
      <c r="F546" s="21"/>
      <c r="G546" s="21"/>
      <c r="H546" s="21"/>
      <c r="I546" s="22" t="s">
        <v>4060</v>
      </c>
      <c r="J546" s="148">
        <f t="shared" ref="J546:AG546" si="344">J492</f>
        <v>2152605712.5000019</v>
      </c>
      <c r="K546" s="148">
        <f t="shared" si="344"/>
        <v>1978855362.9069464</v>
      </c>
      <c r="L546" s="148">
        <f t="shared" si="344"/>
        <v>1593976736.0272868</v>
      </c>
      <c r="M546" s="148">
        <f t="shared" si="344"/>
        <v>1650801616.6240592</v>
      </c>
      <c r="N546" s="148">
        <f t="shared" si="344"/>
        <v>2023793243.8832047</v>
      </c>
      <c r="O546" s="148">
        <f t="shared" si="344"/>
        <v>2337955027.6098704</v>
      </c>
      <c r="P546" s="148">
        <f t="shared" si="344"/>
        <v>2576535521.1791992</v>
      </c>
      <c r="Q546" s="148">
        <f t="shared" si="344"/>
        <v>3103985929.4686298</v>
      </c>
      <c r="R546" s="149">
        <f t="shared" si="344"/>
        <v>2859063364.9713578</v>
      </c>
      <c r="S546" s="149">
        <f t="shared" si="344"/>
        <v>2913500119.0635839</v>
      </c>
      <c r="T546" s="149">
        <f t="shared" si="344"/>
        <v>2996573335.4912572</v>
      </c>
      <c r="U546" s="149">
        <f t="shared" si="344"/>
        <v>2999015371.9883389</v>
      </c>
      <c r="V546" s="149">
        <f t="shared" si="344"/>
        <v>2999446475.4558439</v>
      </c>
      <c r="W546" s="149">
        <f t="shared" si="344"/>
        <v>2998344524.6700792</v>
      </c>
      <c r="X546" s="149">
        <f t="shared" si="344"/>
        <v>2998935388.5143828</v>
      </c>
      <c r="Y546" s="149">
        <f t="shared" si="344"/>
        <v>2998908728.30867</v>
      </c>
      <c r="Z546" s="149">
        <f t="shared" si="344"/>
        <v>2998729522.2956896</v>
      </c>
      <c r="AA546" s="149">
        <f t="shared" si="344"/>
        <v>2998857876.9073167</v>
      </c>
      <c r="AB546" s="149">
        <f t="shared" si="344"/>
        <v>2998832040.5993075</v>
      </c>
      <c r="AC546" s="149">
        <f t="shared" si="344"/>
        <v>2998806478.9049664</v>
      </c>
      <c r="AD546" s="149">
        <f t="shared" si="344"/>
        <v>2998832131.9897227</v>
      </c>
      <c r="AE546" s="149">
        <f t="shared" si="344"/>
        <v>2998823550.4491916</v>
      </c>
      <c r="AF546" s="149">
        <f t="shared" si="344"/>
        <v>2998820720.4098797</v>
      </c>
      <c r="AG546" s="149">
        <f t="shared" si="344"/>
        <v>2998825467.6083775</v>
      </c>
    </row>
    <row r="547" spans="1:33" ht="14.25" customHeight="1" x14ac:dyDescent="0.35">
      <c r="A547" s="21"/>
      <c r="B547" s="28"/>
      <c r="C547" s="21"/>
      <c r="D547" s="21" t="s">
        <v>31</v>
      </c>
      <c r="E547" s="175"/>
      <c r="F547" s="21"/>
      <c r="G547" s="21"/>
      <c r="H547" s="21"/>
      <c r="I547" s="22" t="s">
        <v>4060</v>
      </c>
      <c r="J547" s="148">
        <f t="shared" ref="J547:AG547" si="345">J493</f>
        <v>1501892997.6382353</v>
      </c>
      <c r="K547" s="148">
        <f t="shared" si="345"/>
        <v>1387436589.1721838</v>
      </c>
      <c r="L547" s="148">
        <f t="shared" si="345"/>
        <v>1076013814.9848309</v>
      </c>
      <c r="M547" s="148">
        <f t="shared" si="345"/>
        <v>1147087022.6582165</v>
      </c>
      <c r="N547" s="148">
        <f t="shared" si="345"/>
        <v>1270168376.4645331</v>
      </c>
      <c r="O547" s="148">
        <f t="shared" si="345"/>
        <v>1259132563.5706344</v>
      </c>
      <c r="P547" s="148">
        <f t="shared" si="345"/>
        <v>1334678165.3892395</v>
      </c>
      <c r="Q547" s="148">
        <f t="shared" si="345"/>
        <v>1362139249.8630872</v>
      </c>
      <c r="R547" s="149">
        <f t="shared" si="345"/>
        <v>1418321688.671947</v>
      </c>
      <c r="S547" s="149">
        <f t="shared" si="345"/>
        <v>1418872327.6376443</v>
      </c>
      <c r="T547" s="149">
        <f t="shared" si="345"/>
        <v>1415744879.1192105</v>
      </c>
      <c r="U547" s="149">
        <f t="shared" si="345"/>
        <v>1416883511.3738401</v>
      </c>
      <c r="V547" s="149">
        <f t="shared" si="345"/>
        <v>1417085968.2703969</v>
      </c>
      <c r="W547" s="149">
        <f t="shared" si="345"/>
        <v>1416562815.8028398</v>
      </c>
      <c r="X547" s="149">
        <f t="shared" si="345"/>
        <v>1416843186.3438523</v>
      </c>
      <c r="Y547" s="149">
        <f t="shared" si="345"/>
        <v>1416830532.3160074</v>
      </c>
      <c r="Z547" s="149">
        <f t="shared" si="345"/>
        <v>1416745490.0066755</v>
      </c>
      <c r="AA547" s="149">
        <f t="shared" si="345"/>
        <v>1416806400.5451241</v>
      </c>
      <c r="AB547" s="149">
        <f t="shared" si="345"/>
        <v>1416794139.9455819</v>
      </c>
      <c r="AC547" s="149">
        <f t="shared" si="345"/>
        <v>1416782009.6662407</v>
      </c>
      <c r="AD547" s="149">
        <f t="shared" si="345"/>
        <v>1416794183.314492</v>
      </c>
      <c r="AE547" s="149">
        <f t="shared" si="345"/>
        <v>1416790110.9521532</v>
      </c>
      <c r="AF547" s="149">
        <f t="shared" si="345"/>
        <v>1416788767.9595451</v>
      </c>
      <c r="AG547" s="149">
        <f t="shared" si="345"/>
        <v>1416791020.7383199</v>
      </c>
    </row>
    <row r="548" spans="1:33" ht="14.25" customHeight="1" x14ac:dyDescent="0.35">
      <c r="A548" s="21"/>
      <c r="B548" s="28"/>
      <c r="C548" s="21"/>
      <c r="D548" s="21" t="s">
        <v>32</v>
      </c>
      <c r="E548" s="175"/>
      <c r="F548" s="21"/>
      <c r="G548" s="21"/>
      <c r="H548" s="21"/>
      <c r="I548" s="22" t="s">
        <v>4060</v>
      </c>
      <c r="J548" s="148">
        <f t="shared" ref="J548:AG548" si="346">J494</f>
        <v>1107961932.4488599</v>
      </c>
      <c r="K548" s="148">
        <f t="shared" si="346"/>
        <v>1018514946.4511</v>
      </c>
      <c r="L548" s="148">
        <f t="shared" si="346"/>
        <v>817969109.62157798</v>
      </c>
      <c r="M548" s="148">
        <f t="shared" si="346"/>
        <v>850712810.37520301</v>
      </c>
      <c r="N548" s="148">
        <f t="shared" si="346"/>
        <v>990881170.44089198</v>
      </c>
      <c r="O548" s="148">
        <f t="shared" si="346"/>
        <v>1022589357.17267</v>
      </c>
      <c r="P548" s="148">
        <f t="shared" si="346"/>
        <v>1055099728.23283</v>
      </c>
      <c r="Q548" s="148">
        <f t="shared" si="346"/>
        <v>1156699029.8859301</v>
      </c>
      <c r="R548" s="149">
        <f t="shared" si="346"/>
        <v>1044933192.5160584</v>
      </c>
      <c r="S548" s="149">
        <f t="shared" si="346"/>
        <v>1046695878.4926279</v>
      </c>
      <c r="T548" s="149">
        <f t="shared" si="346"/>
        <v>1044530741.8338162</v>
      </c>
      <c r="U548" s="149">
        <f t="shared" si="346"/>
        <v>1045385762.212502</v>
      </c>
      <c r="V548" s="149">
        <f t="shared" si="346"/>
        <v>1045536702.7289441</v>
      </c>
      <c r="W548" s="149">
        <f t="shared" si="346"/>
        <v>1045150881.149593</v>
      </c>
      <c r="X548" s="149">
        <f t="shared" si="346"/>
        <v>1045357757.9217091</v>
      </c>
      <c r="Y548" s="149">
        <f t="shared" si="346"/>
        <v>1045348423.4915273</v>
      </c>
      <c r="Z548" s="149">
        <f t="shared" si="346"/>
        <v>1045285678.8137697</v>
      </c>
      <c r="AA548" s="149">
        <f t="shared" si="346"/>
        <v>1045330619.0956903</v>
      </c>
      <c r="AB548" s="149">
        <f t="shared" si="346"/>
        <v>1045321573.1334857</v>
      </c>
      <c r="AC548" s="149">
        <f t="shared" si="346"/>
        <v>1045312623.3206543</v>
      </c>
      <c r="AD548" s="149">
        <f t="shared" si="346"/>
        <v>1045321605.1316416</v>
      </c>
      <c r="AE548" s="149">
        <f t="shared" si="346"/>
        <v>1045318600.5115044</v>
      </c>
      <c r="AF548" s="149">
        <f t="shared" si="346"/>
        <v>1045317609.6412677</v>
      </c>
      <c r="AG548" s="149">
        <f t="shared" si="346"/>
        <v>1045319271.7587101</v>
      </c>
    </row>
    <row r="549" spans="1:33" ht="14.25" customHeight="1" x14ac:dyDescent="0.35">
      <c r="A549" s="21"/>
      <c r="B549" s="28"/>
      <c r="C549" s="21"/>
      <c r="D549" s="21" t="s">
        <v>33</v>
      </c>
      <c r="E549" s="175"/>
      <c r="F549" s="21"/>
      <c r="G549" s="21"/>
      <c r="H549" s="21"/>
      <c r="I549" s="22" t="s">
        <v>4060</v>
      </c>
      <c r="J549" s="148">
        <f t="shared" ref="J549:Q549" si="347">SUM(J495:J499)</f>
        <v>245829926.18307492</v>
      </c>
      <c r="K549" s="148">
        <f t="shared" si="347"/>
        <v>186814273.1991958</v>
      </c>
      <c r="L549" s="148">
        <f t="shared" si="347"/>
        <v>143263615.70360887</v>
      </c>
      <c r="M549" s="148">
        <f t="shared" si="347"/>
        <v>169810638.5413703</v>
      </c>
      <c r="N549" s="148">
        <f t="shared" si="347"/>
        <v>250940298.73465902</v>
      </c>
      <c r="O549" s="148">
        <f t="shared" si="347"/>
        <v>279235515.02021062</v>
      </c>
      <c r="P549" s="148">
        <f t="shared" si="347"/>
        <v>212874932.30036682</v>
      </c>
      <c r="Q549" s="148">
        <f t="shared" si="347"/>
        <v>286686464.74444568</v>
      </c>
      <c r="R549" s="149">
        <f t="shared" ref="R549:AG549" si="348">SUM(R495:R500)</f>
        <v>247749579.23236698</v>
      </c>
      <c r="S549" s="149">
        <f t="shared" si="348"/>
        <v>244205653.50978115</v>
      </c>
      <c r="T549" s="149">
        <f t="shared" si="348"/>
        <v>241013862.63862029</v>
      </c>
      <c r="U549" s="149">
        <f t="shared" si="348"/>
        <v>239719941.76297602</v>
      </c>
      <c r="V549" s="149">
        <f t="shared" si="348"/>
        <v>238906667.20832086</v>
      </c>
      <c r="W549" s="149">
        <f t="shared" si="348"/>
        <v>238318478.49963906</v>
      </c>
      <c r="X549" s="149">
        <f t="shared" si="348"/>
        <v>238058427.36676785</v>
      </c>
      <c r="Y549" s="149">
        <f t="shared" si="348"/>
        <v>237860857.03535584</v>
      </c>
      <c r="Z549" s="149">
        <f t="shared" si="348"/>
        <v>237717887.82336679</v>
      </c>
      <c r="AA549" s="149">
        <f t="shared" si="348"/>
        <v>237640800.92289859</v>
      </c>
      <c r="AB549" s="149">
        <f t="shared" si="348"/>
        <v>237578105.40550506</v>
      </c>
      <c r="AC549" s="149">
        <f t="shared" si="348"/>
        <v>237533144.26796544</v>
      </c>
      <c r="AD549" s="149">
        <f t="shared" si="348"/>
        <v>237504355.38734174</v>
      </c>
      <c r="AE549" s="149">
        <f t="shared" si="348"/>
        <v>237481295.84408009</v>
      </c>
      <c r="AF549" s="149">
        <f t="shared" si="348"/>
        <v>237464701.00732017</v>
      </c>
      <c r="AG549" s="149">
        <f t="shared" si="348"/>
        <v>237453035.24286875</v>
      </c>
    </row>
    <row r="550" spans="1:33" ht="14.25" customHeight="1" x14ac:dyDescent="0.35">
      <c r="A550" s="21"/>
      <c r="B550" s="28"/>
      <c r="C550" s="21"/>
      <c r="D550" s="21" t="s">
        <v>34</v>
      </c>
      <c r="E550" s="175"/>
      <c r="F550" s="21"/>
      <c r="G550" s="21"/>
      <c r="H550" s="21"/>
      <c r="I550" s="22" t="s">
        <v>4060</v>
      </c>
      <c r="J550" s="148">
        <f t="shared" ref="J550:AG550" si="349">J501</f>
        <v>219605337.88781765</v>
      </c>
      <c r="K550" s="148">
        <f t="shared" si="349"/>
        <v>196803341.11317992</v>
      </c>
      <c r="L550" s="148">
        <f t="shared" si="349"/>
        <v>152874125.00000018</v>
      </c>
      <c r="M550" s="148">
        <f t="shared" si="349"/>
        <v>144328874.99999982</v>
      </c>
      <c r="N550" s="148">
        <f t="shared" si="349"/>
        <v>173639125</v>
      </c>
      <c r="O550" s="148">
        <f t="shared" si="349"/>
        <v>174787499.99999988</v>
      </c>
      <c r="P550" s="148">
        <f t="shared" si="349"/>
        <v>155362437.54398614</v>
      </c>
      <c r="Q550" s="148">
        <f t="shared" si="349"/>
        <v>110021625.00000007</v>
      </c>
      <c r="R550" s="149">
        <f t="shared" si="349"/>
        <v>167275888.55449241</v>
      </c>
      <c r="S550" s="149">
        <f t="shared" si="349"/>
        <v>167580796.04366532</v>
      </c>
      <c r="T550" s="149">
        <f t="shared" si="349"/>
        <v>167206271.05297202</v>
      </c>
      <c r="U550" s="149">
        <f t="shared" si="349"/>
        <v>167354172.34043437</v>
      </c>
      <c r="V550" s="149">
        <f t="shared" si="349"/>
        <v>167380282.00666976</v>
      </c>
      <c r="W550" s="149">
        <f t="shared" si="349"/>
        <v>167313542.65198383</v>
      </c>
      <c r="X550" s="149">
        <f t="shared" si="349"/>
        <v>167349328.16272122</v>
      </c>
      <c r="Y550" s="149">
        <f t="shared" si="349"/>
        <v>167347713.49449098</v>
      </c>
      <c r="Z550" s="149">
        <f t="shared" si="349"/>
        <v>167336859.93023324</v>
      </c>
      <c r="AA550" s="149">
        <f t="shared" si="349"/>
        <v>167344633.6929653</v>
      </c>
      <c r="AB550" s="149">
        <f t="shared" si="349"/>
        <v>167343068.92387921</v>
      </c>
      <c r="AC550" s="149">
        <f t="shared" si="349"/>
        <v>167341520.78669646</v>
      </c>
      <c r="AD550" s="149">
        <f t="shared" si="349"/>
        <v>167343074.45891526</v>
      </c>
      <c r="AE550" s="149">
        <f t="shared" si="349"/>
        <v>167342554.72020763</v>
      </c>
      <c r="AF550" s="149">
        <f t="shared" si="349"/>
        <v>167342383.31963345</v>
      </c>
      <c r="AG550" s="149">
        <f t="shared" si="349"/>
        <v>167342670.83244106</v>
      </c>
    </row>
    <row r="551" spans="1:33" ht="14.25" customHeight="1" x14ac:dyDescent="0.35">
      <c r="A551" s="21"/>
      <c r="B551" s="28"/>
      <c r="C551" s="21"/>
      <c r="D551" s="21" t="s">
        <v>35</v>
      </c>
      <c r="E551" s="175"/>
      <c r="F551" s="21"/>
      <c r="G551" s="21"/>
      <c r="H551" s="21"/>
      <c r="I551" s="22" t="s">
        <v>4060</v>
      </c>
      <c r="J551" s="148">
        <f t="shared" ref="J551:AG551" si="350">J502</f>
        <v>763229294.63783896</v>
      </c>
      <c r="K551" s="148">
        <f t="shared" si="350"/>
        <v>659605873.21866286</v>
      </c>
      <c r="L551" s="148">
        <f t="shared" si="350"/>
        <v>511705884.02579129</v>
      </c>
      <c r="M551" s="148">
        <f t="shared" si="350"/>
        <v>783736350.16021574</v>
      </c>
      <c r="N551" s="148">
        <f t="shared" si="350"/>
        <v>816782216.28747547</v>
      </c>
      <c r="O551" s="148">
        <f t="shared" si="350"/>
        <v>799590329.31506741</v>
      </c>
      <c r="P551" s="148">
        <f t="shared" si="350"/>
        <v>838004033.39459646</v>
      </c>
      <c r="Q551" s="148">
        <f t="shared" si="350"/>
        <v>837037868.02872133</v>
      </c>
      <c r="R551" s="149">
        <f t="shared" si="350"/>
        <v>840609360.03719616</v>
      </c>
      <c r="S551" s="149">
        <f t="shared" si="350"/>
        <v>840325756.40021169</v>
      </c>
      <c r="T551" s="149">
        <f t="shared" si="350"/>
        <v>840458024.87188172</v>
      </c>
      <c r="U551" s="149">
        <f t="shared" si="350"/>
        <v>840464383.4203918</v>
      </c>
      <c r="V551" s="149">
        <f t="shared" si="350"/>
        <v>840416056.80046809</v>
      </c>
      <c r="W551" s="149">
        <f t="shared" si="350"/>
        <v>840446155.21247423</v>
      </c>
      <c r="X551" s="149">
        <f t="shared" si="350"/>
        <v>840442198.53798938</v>
      </c>
      <c r="Y551" s="149">
        <f t="shared" si="350"/>
        <v>840434803.58742023</v>
      </c>
      <c r="Z551" s="149">
        <f t="shared" si="350"/>
        <v>840441052.45828283</v>
      </c>
      <c r="AA551" s="149">
        <f t="shared" si="350"/>
        <v>840439351.52888751</v>
      </c>
      <c r="AB551" s="149">
        <f t="shared" si="350"/>
        <v>840438402.52712607</v>
      </c>
      <c r="AC551" s="149">
        <f t="shared" si="350"/>
        <v>840439602.17210317</v>
      </c>
      <c r="AD551" s="149">
        <f t="shared" si="350"/>
        <v>840439118.74273312</v>
      </c>
      <c r="AE551" s="149">
        <f t="shared" si="350"/>
        <v>840439041.14738274</v>
      </c>
      <c r="AF551" s="149">
        <f t="shared" si="350"/>
        <v>840439254.02077043</v>
      </c>
      <c r="AG551" s="149">
        <f t="shared" si="350"/>
        <v>840439137.97029769</v>
      </c>
    </row>
    <row r="552" spans="1:33" ht="14.25" customHeight="1" x14ac:dyDescent="0.35">
      <c r="A552" s="21"/>
      <c r="B552" s="28"/>
      <c r="C552" s="21"/>
      <c r="D552" s="21" t="s">
        <v>36</v>
      </c>
      <c r="E552" s="175"/>
      <c r="F552" s="21"/>
      <c r="G552" s="21"/>
      <c r="H552" s="21"/>
      <c r="I552" s="22" t="s">
        <v>4060</v>
      </c>
      <c r="J552" s="184">
        <f t="shared" ref="J552:AG552" si="351">SUM(J503:J506)</f>
        <v>698170416.27156758</v>
      </c>
      <c r="K552" s="184">
        <f t="shared" si="351"/>
        <v>778158499.97210813</v>
      </c>
      <c r="L552" s="184">
        <f t="shared" si="351"/>
        <v>832791441.37878215</v>
      </c>
      <c r="M552" s="184">
        <f t="shared" si="351"/>
        <v>828574573.3959223</v>
      </c>
      <c r="N552" s="184">
        <f t="shared" si="351"/>
        <v>619151069.1872319</v>
      </c>
      <c r="O552" s="184">
        <f t="shared" si="351"/>
        <v>599520418.28439844</v>
      </c>
      <c r="P552" s="184">
        <f t="shared" si="351"/>
        <v>625877898.93664229</v>
      </c>
      <c r="Q552" s="184">
        <f t="shared" si="351"/>
        <v>581301691.2758503</v>
      </c>
      <c r="R552" s="185">
        <f t="shared" si="351"/>
        <v>660304523.15575433</v>
      </c>
      <c r="S552" s="185">
        <f t="shared" si="351"/>
        <v>661437676.85653591</v>
      </c>
      <c r="T552" s="185">
        <f t="shared" si="351"/>
        <v>656224380.55971849</v>
      </c>
      <c r="U552" s="185">
        <f t="shared" si="351"/>
        <v>655437496.9892416</v>
      </c>
      <c r="V552" s="185">
        <f t="shared" si="351"/>
        <v>654399955.4568224</v>
      </c>
      <c r="W552" s="185">
        <f t="shared" si="351"/>
        <v>653574803.84000683</v>
      </c>
      <c r="X552" s="185">
        <f t="shared" si="351"/>
        <v>653497050.8588438</v>
      </c>
      <c r="Y552" s="185">
        <f t="shared" si="351"/>
        <v>646236227.64789975</v>
      </c>
      <c r="Z552" s="185">
        <f t="shared" si="351"/>
        <v>645624281.51835692</v>
      </c>
      <c r="AA552" s="185">
        <f t="shared" si="351"/>
        <v>645016975.07999623</v>
      </c>
      <c r="AB552" s="185">
        <f t="shared" si="351"/>
        <v>644827645.96811891</v>
      </c>
      <c r="AC552" s="185">
        <f t="shared" si="351"/>
        <v>643862838.9144733</v>
      </c>
      <c r="AD552" s="185">
        <f t="shared" si="351"/>
        <v>643748842.53379822</v>
      </c>
      <c r="AE552" s="185">
        <f t="shared" si="351"/>
        <v>643119684.32283592</v>
      </c>
      <c r="AF552" s="185">
        <f t="shared" si="351"/>
        <v>643025891.60120344</v>
      </c>
      <c r="AG552" s="185">
        <f t="shared" si="351"/>
        <v>642526481.82795525</v>
      </c>
    </row>
    <row r="553" spans="1:33" ht="14.25" customHeight="1" x14ac:dyDescent="0.35">
      <c r="A553" s="21"/>
      <c r="B553" s="28"/>
      <c r="C553" s="21"/>
      <c r="D553" s="21" t="s">
        <v>4144</v>
      </c>
      <c r="E553" s="175"/>
      <c r="F553" s="21"/>
      <c r="G553" s="21"/>
      <c r="H553" s="21"/>
      <c r="I553" s="22" t="s">
        <v>4060</v>
      </c>
      <c r="J553" s="148">
        <f t="shared" ref="J553:AG553" si="352">SUM(J546:J552)</f>
        <v>6689295617.5673962</v>
      </c>
      <c r="K553" s="148">
        <f t="shared" si="352"/>
        <v>6206188886.0333776</v>
      </c>
      <c r="L553" s="148">
        <f t="shared" si="352"/>
        <v>5128594726.7418785</v>
      </c>
      <c r="M553" s="148">
        <f t="shared" si="352"/>
        <v>5575051886.7549877</v>
      </c>
      <c r="N553" s="148">
        <f t="shared" si="352"/>
        <v>6145355499.9979963</v>
      </c>
      <c r="O553" s="148">
        <f t="shared" si="352"/>
        <v>6472810710.9728508</v>
      </c>
      <c r="P553" s="148">
        <f t="shared" si="352"/>
        <v>6798432716.97686</v>
      </c>
      <c r="Q553" s="148">
        <f t="shared" si="352"/>
        <v>7437871858.2666645</v>
      </c>
      <c r="R553" s="149">
        <f t="shared" si="352"/>
        <v>7238257597.1391716</v>
      </c>
      <c r="S553" s="149">
        <f t="shared" si="352"/>
        <v>7292618208.0040493</v>
      </c>
      <c r="T553" s="149">
        <f t="shared" si="352"/>
        <v>7361751495.5674763</v>
      </c>
      <c r="U553" s="149">
        <f t="shared" si="352"/>
        <v>7364260640.0877237</v>
      </c>
      <c r="V553" s="149">
        <f t="shared" si="352"/>
        <v>7363172107.9274664</v>
      </c>
      <c r="W553" s="149">
        <f t="shared" si="352"/>
        <v>7359711201.8266172</v>
      </c>
      <c r="X553" s="149">
        <f t="shared" si="352"/>
        <v>7360483337.7062674</v>
      </c>
      <c r="Y553" s="149">
        <f t="shared" si="352"/>
        <v>7352967285.8813715</v>
      </c>
      <c r="Z553" s="149">
        <f t="shared" si="352"/>
        <v>7351880772.8463745</v>
      </c>
      <c r="AA553" s="149">
        <f t="shared" si="352"/>
        <v>7351436657.7728777</v>
      </c>
      <c r="AB553" s="149">
        <f t="shared" si="352"/>
        <v>7351134976.503005</v>
      </c>
      <c r="AC553" s="149">
        <f t="shared" si="352"/>
        <v>7350078218.0330992</v>
      </c>
      <c r="AD553" s="149">
        <f t="shared" si="352"/>
        <v>7349983311.5586443</v>
      </c>
      <c r="AE553" s="149">
        <f t="shared" si="352"/>
        <v>7349314837.9473543</v>
      </c>
      <c r="AF553" s="149">
        <f t="shared" si="352"/>
        <v>7349199327.9596195</v>
      </c>
      <c r="AG553" s="149">
        <f t="shared" si="352"/>
        <v>7348697085.9789696</v>
      </c>
    </row>
    <row r="554" spans="1:33" ht="14.25" customHeight="1" x14ac:dyDescent="0.35">
      <c r="A554" s="21"/>
      <c r="B554" s="28"/>
      <c r="C554" s="21"/>
      <c r="D554" s="28" t="s">
        <v>4169</v>
      </c>
      <c r="E554" s="175"/>
      <c r="F554" s="21"/>
      <c r="G554" s="21"/>
      <c r="H554" s="21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</row>
    <row r="555" spans="1:33" ht="14.25" customHeight="1" x14ac:dyDescent="0.35">
      <c r="A555" s="21"/>
      <c r="B555" s="28"/>
      <c r="C555" s="21"/>
      <c r="D555" s="21"/>
      <c r="E555" s="175" t="s">
        <v>38</v>
      </c>
      <c r="F555" s="21"/>
      <c r="G555" s="21"/>
      <c r="H555" s="21"/>
      <c r="I555" s="22"/>
      <c r="J555" s="148"/>
      <c r="K555" s="148"/>
      <c r="L555" s="148"/>
      <c r="M555" s="148"/>
      <c r="N555" s="148"/>
      <c r="O555" s="148"/>
      <c r="P555" s="148"/>
      <c r="Q555" s="148"/>
      <c r="R555" s="149">
        <f t="shared" ref="R555:AG555" si="353">R534</f>
        <v>-102608629.656792</v>
      </c>
      <c r="S555" s="149">
        <f t="shared" si="353"/>
        <v>-107261335.94716236</v>
      </c>
      <c r="T555" s="149">
        <f t="shared" si="353"/>
        <v>-110403380.51212844</v>
      </c>
      <c r="U555" s="149">
        <f t="shared" si="353"/>
        <v>-113570516.22104965</v>
      </c>
      <c r="V555" s="149">
        <f t="shared" si="353"/>
        <v>-113172435.15643057</v>
      </c>
      <c r="W555" s="149">
        <f t="shared" si="353"/>
        <v>-113417461.82151015</v>
      </c>
      <c r="X555" s="149">
        <f t="shared" si="353"/>
        <v>-113482568.81939507</v>
      </c>
      <c r="Y555" s="149">
        <f t="shared" si="353"/>
        <v>-111514261.53553787</v>
      </c>
      <c r="Z555" s="149">
        <f t="shared" si="353"/>
        <v>-110670318.64101237</v>
      </c>
      <c r="AA555" s="149">
        <f t="shared" si="353"/>
        <v>-111678504.49346171</v>
      </c>
      <c r="AB555" s="149">
        <f t="shared" si="353"/>
        <v>-112247167.51297507</v>
      </c>
      <c r="AC555" s="149">
        <f t="shared" si="353"/>
        <v>-112466229.44325739</v>
      </c>
      <c r="AD555" s="149">
        <f t="shared" si="353"/>
        <v>-112330152.0049804</v>
      </c>
      <c r="AE555" s="149">
        <f t="shared" si="353"/>
        <v>-112227454.39073017</v>
      </c>
      <c r="AF555" s="149">
        <f t="shared" si="353"/>
        <v>-112076322.1564994</v>
      </c>
      <c r="AG555" s="149">
        <f t="shared" si="353"/>
        <v>-111901264.05816033</v>
      </c>
    </row>
    <row r="556" spans="1:33" ht="14.25" customHeight="1" x14ac:dyDescent="0.35">
      <c r="A556" s="21"/>
      <c r="B556" s="28"/>
      <c r="C556" s="21"/>
      <c r="D556" s="21"/>
      <c r="E556" s="175" t="s">
        <v>4146</v>
      </c>
      <c r="F556" s="21"/>
      <c r="G556" s="21"/>
      <c r="H556" s="21"/>
      <c r="I556" s="22"/>
      <c r="J556" s="148"/>
      <c r="K556" s="148"/>
      <c r="L556" s="148"/>
      <c r="M556" s="148"/>
      <c r="N556" s="148"/>
      <c r="O556" s="148"/>
      <c r="P556" s="148"/>
      <c r="Q556" s="148"/>
      <c r="R556" s="149">
        <f t="shared" ref="R556:AG556" si="354">R535</f>
        <v>-261839549.53534853</v>
      </c>
      <c r="S556" s="149">
        <f t="shared" si="354"/>
        <v>-264415464.21057031</v>
      </c>
      <c r="T556" s="149">
        <f t="shared" si="354"/>
        <v>-244005256.02144283</v>
      </c>
      <c r="U556" s="149">
        <f t="shared" si="354"/>
        <v>-242067375.23235592</v>
      </c>
      <c r="V556" s="149">
        <f t="shared" si="354"/>
        <v>-244087371.44902691</v>
      </c>
      <c r="W556" s="149">
        <f t="shared" si="354"/>
        <v>-240663945.58861434</v>
      </c>
      <c r="X556" s="149">
        <f t="shared" si="354"/>
        <v>-241967869.26823193</v>
      </c>
      <c r="Y556" s="149">
        <f t="shared" si="354"/>
        <v>-246607860.19064111</v>
      </c>
      <c r="Z556" s="149">
        <f t="shared" si="354"/>
        <v>-248257448.68801641</v>
      </c>
      <c r="AA556" s="149">
        <f t="shared" si="354"/>
        <v>-246018154.31682423</v>
      </c>
      <c r="AB556" s="149">
        <f t="shared" si="354"/>
        <v>-244513915.76965153</v>
      </c>
      <c r="AC556" s="149">
        <f t="shared" si="354"/>
        <v>-243864709.2562238</v>
      </c>
      <c r="AD556" s="149">
        <f t="shared" si="354"/>
        <v>-244266448.93162045</v>
      </c>
      <c r="AE556" s="149">
        <f t="shared" si="354"/>
        <v>-244481422.16814306</v>
      </c>
      <c r="AF556" s="149">
        <f t="shared" si="354"/>
        <v>-244850874.62181956</v>
      </c>
      <c r="AG556" s="149">
        <f t="shared" si="354"/>
        <v>-245285865.21222356</v>
      </c>
    </row>
    <row r="557" spans="1:33" ht="14.25" customHeight="1" x14ac:dyDescent="0.35">
      <c r="A557" s="21"/>
      <c r="B557" s="28"/>
      <c r="C557" s="21"/>
      <c r="D557" s="28" t="s">
        <v>4098</v>
      </c>
      <c r="E557" s="175"/>
      <c r="F557" s="21"/>
      <c r="G557" s="21"/>
      <c r="H557" s="21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</row>
    <row r="558" spans="1:33" ht="14.25" customHeight="1" x14ac:dyDescent="0.35">
      <c r="A558" s="21"/>
      <c r="B558" s="28"/>
      <c r="C558" s="21"/>
      <c r="D558" s="21"/>
      <c r="E558" s="175" t="s">
        <v>4170</v>
      </c>
      <c r="F558" s="21"/>
      <c r="G558" s="21"/>
      <c r="H558" s="21"/>
      <c r="I558" s="22"/>
      <c r="J558" s="148"/>
      <c r="K558" s="148"/>
      <c r="L558" s="148"/>
      <c r="M558" s="148"/>
      <c r="N558" s="148"/>
      <c r="O558" s="148"/>
      <c r="P558" s="148"/>
      <c r="Q558" s="148"/>
      <c r="R558" s="149">
        <f t="shared" ref="R558:AG558" si="355">R531</f>
        <v>7402503.9934763098</v>
      </c>
      <c r="S558" s="149">
        <f t="shared" si="355"/>
        <v>8825832.4879885316</v>
      </c>
      <c r="T558" s="149">
        <f t="shared" si="355"/>
        <v>8888109.4693396389</v>
      </c>
      <c r="U558" s="149">
        <f t="shared" si="355"/>
        <v>8999007.7224034965</v>
      </c>
      <c r="V558" s="149">
        <f t="shared" si="355"/>
        <v>9000791.5448987782</v>
      </c>
      <c r="W558" s="149">
        <f t="shared" si="355"/>
        <v>8997317.4170110822</v>
      </c>
      <c r="X558" s="149">
        <f t="shared" si="355"/>
        <v>8996950.6181510091</v>
      </c>
      <c r="Y558" s="149">
        <f t="shared" si="355"/>
        <v>8996184.5712875724</v>
      </c>
      <c r="Z558" s="149">
        <f t="shared" si="355"/>
        <v>8983116.8139430583</v>
      </c>
      <c r="AA558" s="149">
        <f t="shared" si="355"/>
        <v>8980673.1733172536</v>
      </c>
      <c r="AB558" s="149">
        <f t="shared" si="355"/>
        <v>8981679.4357658327</v>
      </c>
      <c r="AC558" s="149">
        <f t="shared" si="355"/>
        <v>8982493.7582564652</v>
      </c>
      <c r="AD558" s="149">
        <f t="shared" si="355"/>
        <v>8981691.1086376309</v>
      </c>
      <c r="AE558" s="149">
        <f t="shared" si="355"/>
        <v>8981227.6142519414</v>
      </c>
      <c r="AF558" s="149">
        <f t="shared" si="355"/>
        <v>8980225.6319331527</v>
      </c>
      <c r="AG558" s="149">
        <f t="shared" si="355"/>
        <v>8979796.1766514182</v>
      </c>
    </row>
    <row r="559" spans="1:33" ht="14.25" customHeight="1" x14ac:dyDescent="0.35">
      <c r="A559" s="21"/>
      <c r="B559" s="28"/>
      <c r="C559" s="21"/>
      <c r="D559" s="21"/>
      <c r="E559" s="175" t="s">
        <v>4171</v>
      </c>
      <c r="F559" s="21"/>
      <c r="G559" s="21"/>
      <c r="H559" s="21"/>
      <c r="I559" s="22"/>
      <c r="J559" s="148"/>
      <c r="K559" s="148"/>
      <c r="L559" s="148"/>
      <c r="M559" s="148"/>
      <c r="N559" s="148"/>
      <c r="O559" s="148"/>
      <c r="P559" s="148"/>
      <c r="Q559" s="148"/>
      <c r="R559" s="149">
        <f t="shared" ref="R559:AG559" si="356">-R536</f>
        <v>-8825832.4879885316</v>
      </c>
      <c r="S559" s="149">
        <f t="shared" si="356"/>
        <v>-8888109.4693396389</v>
      </c>
      <c r="T559" s="149">
        <f t="shared" si="356"/>
        <v>-8999007.7224034965</v>
      </c>
      <c r="U559" s="149">
        <f t="shared" si="356"/>
        <v>-9000791.5448987782</v>
      </c>
      <c r="V559" s="149">
        <f t="shared" si="356"/>
        <v>-8997317.4170110822</v>
      </c>
      <c r="W559" s="149">
        <f t="shared" si="356"/>
        <v>-8996950.6181510091</v>
      </c>
      <c r="X559" s="149">
        <f t="shared" si="356"/>
        <v>-8996184.5712875724</v>
      </c>
      <c r="Y559" s="149">
        <f t="shared" si="356"/>
        <v>-8983116.8139430583</v>
      </c>
      <c r="Z559" s="149">
        <f t="shared" si="356"/>
        <v>-8980673.1733172536</v>
      </c>
      <c r="AA559" s="149">
        <f t="shared" si="356"/>
        <v>-8981679.4357658327</v>
      </c>
      <c r="AB559" s="149">
        <f t="shared" si="356"/>
        <v>-8982493.7582564652</v>
      </c>
      <c r="AC559" s="149">
        <f t="shared" si="356"/>
        <v>-8981691.1086376309</v>
      </c>
      <c r="AD559" s="149">
        <f t="shared" si="356"/>
        <v>-8981227.6142519414</v>
      </c>
      <c r="AE559" s="149">
        <f t="shared" si="356"/>
        <v>-8980225.6319331527</v>
      </c>
      <c r="AF559" s="149">
        <f t="shared" si="356"/>
        <v>-8979796.1766514182</v>
      </c>
      <c r="AG559" s="149">
        <f t="shared" si="356"/>
        <v>-8978818.0619515777</v>
      </c>
    </row>
    <row r="560" spans="1:33" ht="14.25" customHeight="1" x14ac:dyDescent="0.35">
      <c r="A560" s="21"/>
      <c r="B560" s="28"/>
      <c r="C560" s="21"/>
      <c r="D560" s="28" t="s">
        <v>4172</v>
      </c>
      <c r="E560" s="175"/>
      <c r="F560" s="21"/>
      <c r="G560" s="21"/>
      <c r="H560" s="21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</row>
    <row r="561" spans="1:33" ht="14.25" customHeight="1" x14ac:dyDescent="0.35">
      <c r="A561" s="21"/>
      <c r="B561" s="28"/>
      <c r="C561" s="21"/>
      <c r="D561" s="21"/>
      <c r="E561" s="175" t="s">
        <v>4170</v>
      </c>
      <c r="F561" s="21"/>
      <c r="G561" s="21"/>
      <c r="H561" s="21"/>
      <c r="I561" s="22"/>
      <c r="J561" s="148"/>
      <c r="K561" s="148"/>
      <c r="L561" s="148"/>
      <c r="M561" s="148"/>
      <c r="N561" s="148"/>
      <c r="O561" s="148"/>
      <c r="P561" s="148"/>
      <c r="Q561" s="148"/>
      <c r="R561" s="149">
        <f t="shared" ref="R561:AG561" si="357">R538</f>
        <v>145544598.59</v>
      </c>
      <c r="S561" s="149">
        <f t="shared" si="357"/>
        <v>172840223.64818287</v>
      </c>
      <c r="T561" s="149">
        <f t="shared" si="357"/>
        <v>174706775.29211712</v>
      </c>
      <c r="U561" s="149">
        <f t="shared" si="357"/>
        <v>176879475.23982048</v>
      </c>
      <c r="V561" s="149">
        <f t="shared" si="357"/>
        <v>176967194.21847916</v>
      </c>
      <c r="W561" s="149">
        <f t="shared" si="357"/>
        <v>176902730.17821503</v>
      </c>
      <c r="X561" s="149">
        <f t="shared" si="357"/>
        <v>176894108.31943607</v>
      </c>
      <c r="Y561" s="149">
        <f t="shared" si="357"/>
        <v>176879205.26141357</v>
      </c>
      <c r="Z561" s="149">
        <f t="shared" si="357"/>
        <v>176628233.83240604</v>
      </c>
      <c r="AA561" s="149">
        <f t="shared" si="357"/>
        <v>176575190.36826801</v>
      </c>
      <c r="AB561" s="149">
        <f t="shared" si="357"/>
        <v>176593181.39760017</v>
      </c>
      <c r="AC561" s="149">
        <f t="shared" si="357"/>
        <v>176609240.99960709</v>
      </c>
      <c r="AD561" s="149">
        <f t="shared" si="357"/>
        <v>176594243.86355972</v>
      </c>
      <c r="AE561" s="149">
        <f t="shared" si="357"/>
        <v>176584985.93445587</v>
      </c>
      <c r="AF561" s="149">
        <f t="shared" si="357"/>
        <v>176565542.60445309</v>
      </c>
      <c r="AG561" s="149">
        <f t="shared" si="357"/>
        <v>176556827.95114613</v>
      </c>
    </row>
    <row r="562" spans="1:33" ht="14.25" customHeight="1" x14ac:dyDescent="0.35">
      <c r="A562" s="21"/>
      <c r="B562" s="28"/>
      <c r="C562" s="21"/>
      <c r="D562" s="21"/>
      <c r="E562" s="175" t="s">
        <v>4171</v>
      </c>
      <c r="F562" s="21"/>
      <c r="G562" s="21"/>
      <c r="H562" s="21"/>
      <c r="I562" s="22"/>
      <c r="J562" s="148"/>
      <c r="K562" s="148"/>
      <c r="L562" s="148"/>
      <c r="M562" s="148"/>
      <c r="N562" s="148"/>
      <c r="O562" s="148"/>
      <c r="P562" s="148"/>
      <c r="Q562" s="148"/>
      <c r="R562" s="149">
        <f t="shared" ref="R562:AG562" si="358">-R541</f>
        <v>-172840223.64818287</v>
      </c>
      <c r="S562" s="149">
        <f t="shared" si="358"/>
        <v>-174706775.29211712</v>
      </c>
      <c r="T562" s="149">
        <f t="shared" si="358"/>
        <v>-176879475.23982048</v>
      </c>
      <c r="U562" s="149">
        <f t="shared" si="358"/>
        <v>-176967194.21847916</v>
      </c>
      <c r="V562" s="149">
        <f t="shared" si="358"/>
        <v>-176902730.17821503</v>
      </c>
      <c r="W562" s="149">
        <f t="shared" si="358"/>
        <v>-176894108.31943607</v>
      </c>
      <c r="X562" s="149">
        <f t="shared" si="358"/>
        <v>-176879205.26141357</v>
      </c>
      <c r="Y562" s="149">
        <f t="shared" si="358"/>
        <v>-176628233.83240604</v>
      </c>
      <c r="Z562" s="149">
        <f t="shared" si="358"/>
        <v>-176575190.36826801</v>
      </c>
      <c r="AA562" s="149">
        <f t="shared" si="358"/>
        <v>-176593181.39760017</v>
      </c>
      <c r="AB562" s="149">
        <f t="shared" si="358"/>
        <v>-176609240.99960709</v>
      </c>
      <c r="AC562" s="149">
        <f t="shared" si="358"/>
        <v>-176594243.86355972</v>
      </c>
      <c r="AD562" s="149">
        <f t="shared" si="358"/>
        <v>-176584985.93445587</v>
      </c>
      <c r="AE562" s="149">
        <f t="shared" si="358"/>
        <v>-176565542.60445309</v>
      </c>
      <c r="AF562" s="149">
        <f t="shared" si="358"/>
        <v>-176556827.95114613</v>
      </c>
      <c r="AG562" s="149">
        <f t="shared" si="358"/>
        <v>-176537855.71781254</v>
      </c>
    </row>
    <row r="563" spans="1:33" ht="14.25" customHeight="1" x14ac:dyDescent="0.35">
      <c r="A563" s="21"/>
      <c r="B563" s="28"/>
      <c r="C563" s="21"/>
      <c r="D563" s="21" t="s">
        <v>4173</v>
      </c>
      <c r="E563" s="175"/>
      <c r="F563" s="21"/>
      <c r="G563" s="21"/>
      <c r="H563" s="21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</row>
    <row r="564" spans="1:33" ht="14.25" customHeight="1" x14ac:dyDescent="0.35">
      <c r="A564" s="21"/>
      <c r="B564" s="28"/>
      <c r="C564" s="21"/>
      <c r="D564" s="21"/>
      <c r="E564" s="175" t="s">
        <v>4174</v>
      </c>
      <c r="F564" s="21"/>
      <c r="G564" s="21"/>
      <c r="H564" s="21"/>
      <c r="I564" s="22"/>
      <c r="J564" s="148">
        <f t="shared" ref="J564:AG564" si="359">SUM(J553,J555:J556,J558:J559,J561:J562)</f>
        <v>6689295617.5673962</v>
      </c>
      <c r="K564" s="148">
        <f t="shared" si="359"/>
        <v>6206188886.0333776</v>
      </c>
      <c r="L564" s="148">
        <f t="shared" si="359"/>
        <v>5128594726.7418785</v>
      </c>
      <c r="M564" s="148">
        <f t="shared" si="359"/>
        <v>5575051886.7549877</v>
      </c>
      <c r="N564" s="148">
        <f t="shared" si="359"/>
        <v>6145355499.9979963</v>
      </c>
      <c r="O564" s="148">
        <f t="shared" si="359"/>
        <v>6472810710.9728508</v>
      </c>
      <c r="P564" s="148">
        <f t="shared" si="359"/>
        <v>6798432716.97686</v>
      </c>
      <c r="Q564" s="148">
        <f t="shared" si="359"/>
        <v>7437871858.2666645</v>
      </c>
      <c r="R564" s="149">
        <f t="shared" si="359"/>
        <v>6845090464.3943357</v>
      </c>
      <c r="S564" s="149">
        <f t="shared" si="359"/>
        <v>6919012579.2210312</v>
      </c>
      <c r="T564" s="149">
        <f t="shared" si="359"/>
        <v>7005059260.8331375</v>
      </c>
      <c r="U564" s="149">
        <f t="shared" si="359"/>
        <v>7008533245.8331642</v>
      </c>
      <c r="V564" s="149">
        <f t="shared" si="359"/>
        <v>7005980239.4901609</v>
      </c>
      <c r="W564" s="149">
        <f t="shared" si="359"/>
        <v>7005638783.074132</v>
      </c>
      <c r="X564" s="149">
        <f t="shared" si="359"/>
        <v>7005048568.723526</v>
      </c>
      <c r="Y564" s="149">
        <f t="shared" si="359"/>
        <v>6995109203.3415442</v>
      </c>
      <c r="Z564" s="149">
        <f t="shared" si="359"/>
        <v>6993008492.6221094</v>
      </c>
      <c r="AA564" s="149">
        <f t="shared" si="359"/>
        <v>6993721001.6708107</v>
      </c>
      <c r="AB564" s="149">
        <f t="shared" si="359"/>
        <v>6994357019.2958813</v>
      </c>
      <c r="AC564" s="149">
        <f t="shared" si="359"/>
        <v>6993763079.1192846</v>
      </c>
      <c r="AD564" s="149">
        <f t="shared" si="359"/>
        <v>6993396432.0455332</v>
      </c>
      <c r="AE564" s="149">
        <f t="shared" si="359"/>
        <v>6992626406.7008028</v>
      </c>
      <c r="AF564" s="149">
        <f t="shared" si="359"/>
        <v>6992281275.2898893</v>
      </c>
      <c r="AG564" s="149">
        <f t="shared" si="359"/>
        <v>6991529907.0566177</v>
      </c>
    </row>
    <row r="565" spans="1:33" ht="14.25" customHeight="1" x14ac:dyDescent="0.35">
      <c r="A565" s="21"/>
      <c r="B565" s="28"/>
      <c r="C565" s="21"/>
      <c r="D565" s="21"/>
      <c r="E565" s="175" t="s">
        <v>4175</v>
      </c>
      <c r="F565" s="21"/>
      <c r="G565" s="21"/>
      <c r="H565" s="21"/>
      <c r="I565" s="22"/>
      <c r="J565" s="184">
        <f t="shared" ref="J565:AG565" si="360">-J535</f>
        <v>0</v>
      </c>
      <c r="K565" s="184">
        <f t="shared" si="360"/>
        <v>0</v>
      </c>
      <c r="L565" s="184">
        <f t="shared" si="360"/>
        <v>0</v>
      </c>
      <c r="M565" s="184">
        <f t="shared" si="360"/>
        <v>0</v>
      </c>
      <c r="N565" s="184">
        <f t="shared" si="360"/>
        <v>0</v>
      </c>
      <c r="O565" s="184">
        <f t="shared" si="360"/>
        <v>0</v>
      </c>
      <c r="P565" s="184">
        <f t="shared" si="360"/>
        <v>0</v>
      </c>
      <c r="Q565" s="184">
        <f t="shared" si="360"/>
        <v>0</v>
      </c>
      <c r="R565" s="185">
        <f t="shared" si="360"/>
        <v>261839549.53534853</v>
      </c>
      <c r="S565" s="185">
        <f t="shared" si="360"/>
        <v>264415464.21057031</v>
      </c>
      <c r="T565" s="185">
        <f t="shared" si="360"/>
        <v>244005256.02144283</v>
      </c>
      <c r="U565" s="185">
        <f t="shared" si="360"/>
        <v>242067375.23235592</v>
      </c>
      <c r="V565" s="185">
        <f t="shared" si="360"/>
        <v>244087371.44902691</v>
      </c>
      <c r="W565" s="185">
        <f t="shared" si="360"/>
        <v>240663945.58861434</v>
      </c>
      <c r="X565" s="185">
        <f t="shared" si="360"/>
        <v>241967869.26823193</v>
      </c>
      <c r="Y565" s="185">
        <f t="shared" si="360"/>
        <v>246607860.19064111</v>
      </c>
      <c r="Z565" s="185">
        <f t="shared" si="360"/>
        <v>248257448.68801641</v>
      </c>
      <c r="AA565" s="185">
        <f t="shared" si="360"/>
        <v>246018154.31682423</v>
      </c>
      <c r="AB565" s="185">
        <f t="shared" si="360"/>
        <v>244513915.76965153</v>
      </c>
      <c r="AC565" s="185">
        <f t="shared" si="360"/>
        <v>243864709.2562238</v>
      </c>
      <c r="AD565" s="185">
        <f t="shared" si="360"/>
        <v>244266448.93162045</v>
      </c>
      <c r="AE565" s="185">
        <f t="shared" si="360"/>
        <v>244481422.16814306</v>
      </c>
      <c r="AF565" s="185">
        <f t="shared" si="360"/>
        <v>244850874.62181956</v>
      </c>
      <c r="AG565" s="185">
        <f t="shared" si="360"/>
        <v>245285865.21222356</v>
      </c>
    </row>
    <row r="566" spans="1:33" ht="14.25" customHeight="1" x14ac:dyDescent="0.35">
      <c r="A566" s="21"/>
      <c r="B566" s="28"/>
      <c r="C566" s="21"/>
      <c r="D566" s="21"/>
      <c r="E566" s="175" t="s">
        <v>4176</v>
      </c>
      <c r="F566" s="21"/>
      <c r="G566" s="21"/>
      <c r="H566" s="21"/>
      <c r="I566" s="22"/>
      <c r="J566" s="186">
        <f t="shared" ref="J566:AG566" si="361">SUM(J564:J565)</f>
        <v>6689295617.5673962</v>
      </c>
      <c r="K566" s="186">
        <f t="shared" si="361"/>
        <v>6206188886.0333776</v>
      </c>
      <c r="L566" s="186">
        <f t="shared" si="361"/>
        <v>5128594726.7418785</v>
      </c>
      <c r="M566" s="186">
        <f t="shared" si="361"/>
        <v>5575051886.7549877</v>
      </c>
      <c r="N566" s="186">
        <f t="shared" si="361"/>
        <v>6145355499.9979963</v>
      </c>
      <c r="O566" s="186">
        <f t="shared" si="361"/>
        <v>6472810710.9728508</v>
      </c>
      <c r="P566" s="186">
        <f t="shared" si="361"/>
        <v>6798432716.97686</v>
      </c>
      <c r="Q566" s="186">
        <f t="shared" si="361"/>
        <v>7437871858.2666645</v>
      </c>
      <c r="R566" s="187">
        <f t="shared" si="361"/>
        <v>7106930013.9296846</v>
      </c>
      <c r="S566" s="187">
        <f t="shared" si="361"/>
        <v>7183428043.4316015</v>
      </c>
      <c r="T566" s="187">
        <f t="shared" si="361"/>
        <v>7249064516.8545799</v>
      </c>
      <c r="U566" s="187">
        <f t="shared" si="361"/>
        <v>7250600621.0655203</v>
      </c>
      <c r="V566" s="187">
        <f t="shared" si="361"/>
        <v>7250067610.939188</v>
      </c>
      <c r="W566" s="187">
        <f t="shared" si="361"/>
        <v>7246302728.6627464</v>
      </c>
      <c r="X566" s="187">
        <f t="shared" si="361"/>
        <v>7247016437.9917583</v>
      </c>
      <c r="Y566" s="187">
        <f t="shared" si="361"/>
        <v>7241717063.5321856</v>
      </c>
      <c r="Z566" s="187">
        <f t="shared" si="361"/>
        <v>7241265941.3101254</v>
      </c>
      <c r="AA566" s="187">
        <f t="shared" si="361"/>
        <v>7239739155.9876347</v>
      </c>
      <c r="AB566" s="187">
        <f t="shared" si="361"/>
        <v>7238870935.0655327</v>
      </c>
      <c r="AC566" s="187">
        <f t="shared" si="361"/>
        <v>7237627788.3755083</v>
      </c>
      <c r="AD566" s="187">
        <f t="shared" si="361"/>
        <v>7237662880.9771538</v>
      </c>
      <c r="AE566" s="187">
        <f t="shared" si="361"/>
        <v>7237107828.8689461</v>
      </c>
      <c r="AF566" s="187">
        <f t="shared" si="361"/>
        <v>7237132149.9117088</v>
      </c>
      <c r="AG566" s="187">
        <f t="shared" si="361"/>
        <v>7236815772.2688417</v>
      </c>
    </row>
    <row r="567" spans="1:33" ht="14.25" customHeight="1" x14ac:dyDescent="0.35">
      <c r="A567" s="21"/>
      <c r="B567" s="28"/>
      <c r="C567" s="21"/>
      <c r="D567" s="21" t="s">
        <v>4177</v>
      </c>
      <c r="E567" s="175"/>
      <c r="F567" s="21"/>
      <c r="G567" s="21"/>
      <c r="H567" s="21"/>
      <c r="I567" s="22"/>
      <c r="J567" s="22"/>
      <c r="K567" s="22"/>
      <c r="L567" s="22"/>
      <c r="M567" s="22"/>
      <c r="N567" s="22"/>
      <c r="O567" s="22"/>
      <c r="P567" s="22"/>
      <c r="Q567" s="22"/>
      <c r="R567" s="183">
        <f t="shared" ref="R567:AG567" si="362">R566/SUM(R513,R515)</f>
        <v>24593.18813059356</v>
      </c>
      <c r="S567" s="183">
        <f t="shared" si="362"/>
        <v>24855.38621236405</v>
      </c>
      <c r="T567" s="183">
        <f t="shared" si="362"/>
        <v>25164.507231190215</v>
      </c>
      <c r="U567" s="183">
        <f t="shared" si="362"/>
        <v>25176.734694087194</v>
      </c>
      <c r="V567" s="183">
        <f t="shared" si="362"/>
        <v>25167.545223643574</v>
      </c>
      <c r="W567" s="183">
        <f t="shared" si="362"/>
        <v>25166.325379008176</v>
      </c>
      <c r="X567" s="183">
        <f t="shared" si="362"/>
        <v>25164.204395654335</v>
      </c>
      <c r="Y567" s="183">
        <f t="shared" si="362"/>
        <v>25128.470340449832</v>
      </c>
      <c r="Z567" s="183">
        <f t="shared" si="362"/>
        <v>25120.948136247658</v>
      </c>
      <c r="AA567" s="183">
        <f t="shared" si="362"/>
        <v>25123.516408403422</v>
      </c>
      <c r="AB567" s="183">
        <f t="shared" si="362"/>
        <v>25125.800924287942</v>
      </c>
      <c r="AC567" s="183">
        <f t="shared" si="362"/>
        <v>25123.663551605947</v>
      </c>
      <c r="AD567" s="183">
        <f t="shared" si="362"/>
        <v>25122.347139710921</v>
      </c>
      <c r="AE567" s="183">
        <f t="shared" si="362"/>
        <v>25119.579743825103</v>
      </c>
      <c r="AF567" s="183">
        <f t="shared" si="362"/>
        <v>25118.341230100155</v>
      </c>
      <c r="AG567" s="183">
        <f t="shared" si="362"/>
        <v>25115.640842317072</v>
      </c>
    </row>
    <row r="568" spans="1:33" ht="14.25" customHeight="1" x14ac:dyDescent="0.35">
      <c r="A568" s="21"/>
      <c r="B568" s="28"/>
      <c r="C568" s="21"/>
      <c r="D568" s="21" t="s">
        <v>4178</v>
      </c>
      <c r="E568" s="175"/>
      <c r="F568" s="21"/>
      <c r="G568" s="21"/>
      <c r="H568" s="21"/>
      <c r="I568" s="22"/>
      <c r="J568" s="22"/>
      <c r="K568" s="22"/>
      <c r="L568" s="22"/>
      <c r="M568" s="22"/>
      <c r="N568" s="22"/>
      <c r="O568" s="22"/>
      <c r="P568" s="22"/>
      <c r="Q568" s="22"/>
      <c r="R568" s="188" t="b">
        <f t="shared" ref="R568:AG568" si="363">R567=R511</f>
        <v>0</v>
      </c>
      <c r="S568" s="188" t="b">
        <f t="shared" si="363"/>
        <v>0</v>
      </c>
      <c r="T568" s="188" t="b">
        <f t="shared" si="363"/>
        <v>0</v>
      </c>
      <c r="U568" s="188" t="b">
        <f t="shared" si="363"/>
        <v>0</v>
      </c>
      <c r="V568" s="188" t="b">
        <f t="shared" si="363"/>
        <v>0</v>
      </c>
      <c r="W568" s="188" t="b">
        <f t="shared" si="363"/>
        <v>0</v>
      </c>
      <c r="X568" s="188" t="b">
        <f t="shared" si="363"/>
        <v>0</v>
      </c>
      <c r="Y568" s="188" t="b">
        <f t="shared" si="363"/>
        <v>0</v>
      </c>
      <c r="Z568" s="188" t="b">
        <f t="shared" si="363"/>
        <v>0</v>
      </c>
      <c r="AA568" s="188" t="b">
        <f t="shared" si="363"/>
        <v>0</v>
      </c>
      <c r="AB568" s="188" t="b">
        <f t="shared" si="363"/>
        <v>0</v>
      </c>
      <c r="AC568" s="188" t="b">
        <f t="shared" si="363"/>
        <v>0</v>
      </c>
      <c r="AD568" s="188" t="b">
        <f t="shared" si="363"/>
        <v>0</v>
      </c>
      <c r="AE568" s="188" t="b">
        <f t="shared" si="363"/>
        <v>0</v>
      </c>
      <c r="AF568" s="188" t="b">
        <f t="shared" si="363"/>
        <v>0</v>
      </c>
      <c r="AG568" s="188" t="b">
        <f t="shared" si="363"/>
        <v>0</v>
      </c>
    </row>
    <row r="569" spans="1:33" ht="14.25" customHeight="1" x14ac:dyDescent="0.35">
      <c r="A569" s="119">
        <v>7</v>
      </c>
      <c r="B569" s="119" t="s">
        <v>21</v>
      </c>
      <c r="C569" s="119"/>
      <c r="D569" s="119"/>
      <c r="E569" s="119"/>
      <c r="F569" s="119"/>
      <c r="G569" s="119"/>
      <c r="H569" s="119"/>
      <c r="I569" s="120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  <c r="AA569" s="121"/>
      <c r="AB569" s="121"/>
      <c r="AC569" s="121"/>
      <c r="AD569" s="121"/>
      <c r="AE569" s="121"/>
      <c r="AF569" s="121"/>
      <c r="AG569" s="121"/>
    </row>
    <row r="570" spans="1:33" ht="14.25" customHeight="1" x14ac:dyDescent="0.35">
      <c r="A570" s="21"/>
      <c r="B570" s="169" t="s">
        <v>4179</v>
      </c>
      <c r="C570" s="21" t="s">
        <v>4088</v>
      </c>
      <c r="D570" s="21"/>
      <c r="E570" s="21"/>
      <c r="F570" s="21"/>
      <c r="G570" s="21"/>
      <c r="H570" s="21"/>
      <c r="I570" s="22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</row>
    <row r="571" spans="1:33" ht="14.25" customHeight="1" x14ac:dyDescent="0.35">
      <c r="A571" s="21"/>
      <c r="C571" s="169" t="s">
        <v>4180</v>
      </c>
      <c r="D571" s="21" t="s">
        <v>4181</v>
      </c>
      <c r="E571" s="21"/>
      <c r="F571" s="21"/>
      <c r="G571" s="21"/>
      <c r="H571" s="21"/>
      <c r="I571" s="22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</row>
    <row r="572" spans="1:33" ht="14.25" customHeight="1" x14ac:dyDescent="0.35">
      <c r="A572" s="21"/>
      <c r="B572" s="21"/>
      <c r="C572" s="21"/>
      <c r="D572" s="128" t="s">
        <v>4091</v>
      </c>
      <c r="E572" s="128"/>
      <c r="F572" s="21"/>
      <c r="G572" s="21"/>
      <c r="H572" s="21"/>
      <c r="I572" s="22" t="s">
        <v>13</v>
      </c>
      <c r="J572" s="142">
        <v>0</v>
      </c>
      <c r="K572" s="142">
        <v>1</v>
      </c>
      <c r="L572" s="142">
        <v>1</v>
      </c>
      <c r="M572" s="142">
        <v>1</v>
      </c>
      <c r="N572" s="142">
        <v>1</v>
      </c>
      <c r="O572" s="142">
        <v>1</v>
      </c>
      <c r="P572" s="142">
        <v>1</v>
      </c>
      <c r="Q572" s="142">
        <v>1</v>
      </c>
      <c r="R572" s="126">
        <f>'Input Operasional'!Q34</f>
        <v>0.99</v>
      </c>
      <c r="S572" s="126">
        <f>'Input Operasional'!R34</f>
        <v>0.99</v>
      </c>
      <c r="T572" s="126">
        <f>'Input Operasional'!S34</f>
        <v>0.99</v>
      </c>
      <c r="U572" s="126">
        <f>'Input Operasional'!T34</f>
        <v>0.99</v>
      </c>
      <c r="V572" s="126">
        <f>'Input Operasional'!U34</f>
        <v>0.99</v>
      </c>
      <c r="W572" s="126">
        <f>'Input Operasional'!V34</f>
        <v>0.99</v>
      </c>
      <c r="X572" s="126">
        <f>'Input Operasional'!W34</f>
        <v>0.99</v>
      </c>
      <c r="Y572" s="126">
        <f>'Input Operasional'!X34</f>
        <v>0.99</v>
      </c>
      <c r="Z572" s="126">
        <f>'Input Operasional'!Y34</f>
        <v>0.99</v>
      </c>
      <c r="AA572" s="126">
        <f>'Input Operasional'!Z34</f>
        <v>0.99</v>
      </c>
      <c r="AB572" s="126">
        <f>'Input Operasional'!AA34</f>
        <v>0.99</v>
      </c>
      <c r="AC572" s="126">
        <f>'Input Operasional'!AB34</f>
        <v>0.99</v>
      </c>
      <c r="AD572" s="126">
        <f>'Input Operasional'!AC34</f>
        <v>0.99</v>
      </c>
      <c r="AE572" s="126">
        <f>'Input Operasional'!AD34</f>
        <v>0.99</v>
      </c>
      <c r="AF572" s="126">
        <f>'Input Operasional'!AE34</f>
        <v>0.99</v>
      </c>
      <c r="AG572" s="126">
        <f>'Input Operasional'!AF34</f>
        <v>0.99</v>
      </c>
    </row>
    <row r="573" spans="1:33" ht="14.25" customHeight="1" x14ac:dyDescent="0.35">
      <c r="A573" s="21"/>
      <c r="B573" s="21"/>
      <c r="C573" s="21"/>
      <c r="D573" s="128" t="s">
        <v>38</v>
      </c>
      <c r="E573" s="128"/>
      <c r="F573" s="21"/>
      <c r="G573" s="21"/>
      <c r="H573" s="21"/>
      <c r="I573" s="22" t="s">
        <v>13</v>
      </c>
      <c r="J573" s="142">
        <v>0</v>
      </c>
      <c r="K573" s="142">
        <v>0</v>
      </c>
      <c r="L573" s="142">
        <v>0</v>
      </c>
      <c r="M573" s="142">
        <v>0</v>
      </c>
      <c r="N573" s="142">
        <v>0</v>
      </c>
      <c r="O573" s="142">
        <v>0</v>
      </c>
      <c r="P573" s="142">
        <v>0</v>
      </c>
      <c r="Q573" s="142">
        <v>0</v>
      </c>
      <c r="R573" s="126">
        <f>'Input Operasional'!Q35</f>
        <v>0</v>
      </c>
      <c r="S573" s="126">
        <f>'Input Operasional'!R35</f>
        <v>0</v>
      </c>
      <c r="T573" s="126">
        <f>'Input Operasional'!S35</f>
        <v>0</v>
      </c>
      <c r="U573" s="126">
        <f>'Input Operasional'!T35</f>
        <v>0</v>
      </c>
      <c r="V573" s="126">
        <f>'Input Operasional'!U35</f>
        <v>0</v>
      </c>
      <c r="W573" s="126">
        <f>'Input Operasional'!V35</f>
        <v>0</v>
      </c>
      <c r="X573" s="126">
        <f>'Input Operasional'!W35</f>
        <v>0</v>
      </c>
      <c r="Y573" s="126">
        <f>'Input Operasional'!X35</f>
        <v>0</v>
      </c>
      <c r="Z573" s="126">
        <f>'Input Operasional'!Y35</f>
        <v>0</v>
      </c>
      <c r="AA573" s="126">
        <f>'Input Operasional'!Z35</f>
        <v>0</v>
      </c>
      <c r="AB573" s="126">
        <f>'Input Operasional'!AA35</f>
        <v>0</v>
      </c>
      <c r="AC573" s="126">
        <f>'Input Operasional'!AB35</f>
        <v>0</v>
      </c>
      <c r="AD573" s="126">
        <f>'Input Operasional'!AC35</f>
        <v>0</v>
      </c>
      <c r="AE573" s="126">
        <f>'Input Operasional'!AD35</f>
        <v>0</v>
      </c>
      <c r="AF573" s="126">
        <f>'Input Operasional'!AE35</f>
        <v>0</v>
      </c>
      <c r="AG573" s="126">
        <f>'Input Operasional'!AF35</f>
        <v>0</v>
      </c>
    </row>
    <row r="574" spans="1:33" ht="14.25" customHeight="1" x14ac:dyDescent="0.35">
      <c r="A574" s="21"/>
      <c r="B574" s="21"/>
      <c r="C574" s="21"/>
      <c r="D574" s="128" t="s">
        <v>4092</v>
      </c>
      <c r="E574" s="128"/>
      <c r="F574" s="21"/>
      <c r="G574" s="21"/>
      <c r="H574" s="21"/>
      <c r="I574" s="22" t="s">
        <v>13</v>
      </c>
      <c r="J574" s="142">
        <v>0</v>
      </c>
      <c r="K574" s="142">
        <v>0</v>
      </c>
      <c r="L574" s="142">
        <v>0</v>
      </c>
      <c r="M574" s="142">
        <v>0</v>
      </c>
      <c r="N574" s="142">
        <v>0</v>
      </c>
      <c r="O574" s="142">
        <v>0</v>
      </c>
      <c r="P574" s="142">
        <v>0</v>
      </c>
      <c r="Q574" s="142">
        <v>0</v>
      </c>
      <c r="R574" s="126">
        <f>'Input Operasional'!Q36</f>
        <v>0.01</v>
      </c>
      <c r="S574" s="126">
        <f>'Input Operasional'!R36</f>
        <v>0.01</v>
      </c>
      <c r="T574" s="126">
        <f>'Input Operasional'!S36</f>
        <v>0.01</v>
      </c>
      <c r="U574" s="126">
        <f>'Input Operasional'!T36</f>
        <v>0.01</v>
      </c>
      <c r="V574" s="126">
        <f>'Input Operasional'!U36</f>
        <v>0.01</v>
      </c>
      <c r="W574" s="126">
        <f>'Input Operasional'!V36</f>
        <v>0.01</v>
      </c>
      <c r="X574" s="126">
        <f>'Input Operasional'!W36</f>
        <v>0.01</v>
      </c>
      <c r="Y574" s="126">
        <f>'Input Operasional'!X36</f>
        <v>0.01</v>
      </c>
      <c r="Z574" s="126">
        <f>'Input Operasional'!Y36</f>
        <v>0.01</v>
      </c>
      <c r="AA574" s="126">
        <f>'Input Operasional'!Z36</f>
        <v>0.01</v>
      </c>
      <c r="AB574" s="126">
        <f>'Input Operasional'!AA36</f>
        <v>0.01</v>
      </c>
      <c r="AC574" s="126">
        <f>'Input Operasional'!AB36</f>
        <v>0.01</v>
      </c>
      <c r="AD574" s="126">
        <f>'Input Operasional'!AC36</f>
        <v>0.01</v>
      </c>
      <c r="AE574" s="126">
        <f>'Input Operasional'!AD36</f>
        <v>0.01</v>
      </c>
      <c r="AF574" s="126">
        <f>'Input Operasional'!AE36</f>
        <v>0.01</v>
      </c>
      <c r="AG574" s="126">
        <f>'Input Operasional'!AF36</f>
        <v>0.01</v>
      </c>
    </row>
    <row r="575" spans="1:33" ht="14.25" customHeight="1" x14ac:dyDescent="0.35">
      <c r="A575" s="21"/>
      <c r="B575" s="21"/>
      <c r="C575" s="21"/>
      <c r="D575" s="128" t="s">
        <v>4093</v>
      </c>
      <c r="E575" s="128"/>
      <c r="F575" s="21"/>
      <c r="G575" s="21"/>
      <c r="H575" s="21"/>
      <c r="I575" s="22" t="s">
        <v>13</v>
      </c>
      <c r="J575" s="170">
        <f t="shared" ref="J575:AG575" si="364">IF(SUM(J572:J574)=0,0,SUM(J572:J574)-1)</f>
        <v>0</v>
      </c>
      <c r="K575" s="170">
        <f t="shared" si="364"/>
        <v>0</v>
      </c>
      <c r="L575" s="170">
        <f t="shared" si="364"/>
        <v>0</v>
      </c>
      <c r="M575" s="170">
        <f t="shared" si="364"/>
        <v>0</v>
      </c>
      <c r="N575" s="170">
        <f t="shared" si="364"/>
        <v>0</v>
      </c>
      <c r="O575" s="170">
        <f t="shared" si="364"/>
        <v>0</v>
      </c>
      <c r="P575" s="170">
        <f t="shared" si="364"/>
        <v>0</v>
      </c>
      <c r="Q575" s="170">
        <f t="shared" si="364"/>
        <v>0</v>
      </c>
      <c r="R575" s="171">
        <f t="shared" si="364"/>
        <v>0</v>
      </c>
      <c r="S575" s="171">
        <f t="shared" si="364"/>
        <v>0</v>
      </c>
      <c r="T575" s="171">
        <f t="shared" si="364"/>
        <v>0</v>
      </c>
      <c r="U575" s="171">
        <f t="shared" si="364"/>
        <v>0</v>
      </c>
      <c r="V575" s="171">
        <f t="shared" si="364"/>
        <v>0</v>
      </c>
      <c r="W575" s="171">
        <f t="shared" si="364"/>
        <v>0</v>
      </c>
      <c r="X575" s="171">
        <f t="shared" si="364"/>
        <v>0</v>
      </c>
      <c r="Y575" s="171">
        <f t="shared" si="364"/>
        <v>0</v>
      </c>
      <c r="Z575" s="171">
        <f t="shared" si="364"/>
        <v>0</v>
      </c>
      <c r="AA575" s="171">
        <f t="shared" si="364"/>
        <v>0</v>
      </c>
      <c r="AB575" s="171">
        <f t="shared" si="364"/>
        <v>0</v>
      </c>
      <c r="AC575" s="171">
        <f t="shared" si="364"/>
        <v>0</v>
      </c>
      <c r="AD575" s="171">
        <f t="shared" si="364"/>
        <v>0</v>
      </c>
      <c r="AE575" s="171">
        <f t="shared" si="364"/>
        <v>0</v>
      </c>
      <c r="AF575" s="171">
        <f t="shared" si="364"/>
        <v>0</v>
      </c>
      <c r="AG575" s="171">
        <f t="shared" si="364"/>
        <v>0</v>
      </c>
    </row>
    <row r="576" spans="1:33" ht="14.25" customHeight="1" x14ac:dyDescent="0.35">
      <c r="A576" s="21"/>
      <c r="B576" s="21"/>
      <c r="C576" s="21"/>
      <c r="D576" s="21" t="s">
        <v>4094</v>
      </c>
      <c r="E576" s="21"/>
      <c r="F576" s="21"/>
      <c r="G576" s="21"/>
      <c r="H576" s="21"/>
      <c r="I576" s="22"/>
      <c r="J576" s="21"/>
      <c r="K576" s="21"/>
      <c r="L576" s="21"/>
      <c r="M576" s="21"/>
      <c r="N576" s="21"/>
      <c r="O576" s="21"/>
      <c r="P576" s="60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</row>
    <row r="577" spans="1:33" ht="14.25" customHeight="1" x14ac:dyDescent="0.35">
      <c r="A577" s="21"/>
      <c r="C577" s="169" t="s">
        <v>4182</v>
      </c>
      <c r="D577" s="21" t="s">
        <v>4096</v>
      </c>
      <c r="E577" s="21"/>
      <c r="F577" s="21"/>
      <c r="G577" s="21"/>
      <c r="H577" s="21"/>
      <c r="I577" s="22"/>
      <c r="J577" s="21"/>
      <c r="K577" s="21"/>
      <c r="L577" s="21"/>
      <c r="M577" s="21"/>
      <c r="N577" s="21"/>
      <c r="O577" s="21"/>
      <c r="P577" s="60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</row>
    <row r="578" spans="1:33" ht="14.25" customHeight="1" x14ac:dyDescent="0.35">
      <c r="A578" s="21"/>
      <c r="B578" s="21"/>
      <c r="C578" s="21"/>
      <c r="D578" s="128" t="s">
        <v>4097</v>
      </c>
      <c r="E578" s="128"/>
      <c r="F578" s="21"/>
      <c r="G578" s="21"/>
      <c r="H578" s="21"/>
      <c r="I578" s="22" t="s">
        <v>3900</v>
      </c>
      <c r="J578" s="172">
        <f t="shared" ref="J578:Q578" si="365">J582</f>
        <v>0</v>
      </c>
      <c r="K578" s="172">
        <f t="shared" si="365"/>
        <v>1985.4</v>
      </c>
      <c r="L578" s="172">
        <f t="shared" si="365"/>
        <v>1287</v>
      </c>
      <c r="M578" s="172">
        <f t="shared" si="365"/>
        <v>5966.25</v>
      </c>
      <c r="N578" s="172">
        <f t="shared" si="365"/>
        <v>4986</v>
      </c>
      <c r="O578" s="172">
        <f t="shared" si="365"/>
        <v>14778.5</v>
      </c>
      <c r="P578" s="172">
        <f t="shared" si="365"/>
        <v>8721.5</v>
      </c>
      <c r="Q578" s="172">
        <f t="shared" si="365"/>
        <v>13376</v>
      </c>
      <c r="R578" s="140">
        <f>'Input Operasional'!Q10</f>
        <v>6388</v>
      </c>
      <c r="S578" s="140">
        <f>'Input Operasional'!R10</f>
        <v>6388</v>
      </c>
      <c r="T578" s="140">
        <f>'Input Operasional'!S10</f>
        <v>6388</v>
      </c>
      <c r="U578" s="140">
        <f>'Input Operasional'!T10</f>
        <v>6388</v>
      </c>
      <c r="V578" s="140">
        <f>'Input Operasional'!U10</f>
        <v>6388</v>
      </c>
      <c r="W578" s="140">
        <f>'Input Operasional'!V10</f>
        <v>6388</v>
      </c>
      <c r="X578" s="140">
        <f>'Input Operasional'!W10</f>
        <v>6388</v>
      </c>
      <c r="Y578" s="140">
        <f>'Input Operasional'!X10</f>
        <v>6388</v>
      </c>
      <c r="Z578" s="140">
        <f>'Input Operasional'!Y10</f>
        <v>6388</v>
      </c>
      <c r="AA578" s="140">
        <f>'Input Operasional'!Z10</f>
        <v>6388</v>
      </c>
      <c r="AB578" s="140">
        <f>'Input Operasional'!AA10</f>
        <v>6388</v>
      </c>
      <c r="AC578" s="140">
        <f>'Input Operasional'!AB10</f>
        <v>6388</v>
      </c>
      <c r="AD578" s="140">
        <f>'Input Operasional'!AC10</f>
        <v>6388</v>
      </c>
      <c r="AE578" s="140">
        <f>'Input Operasional'!AD10</f>
        <v>6388</v>
      </c>
      <c r="AF578" s="140">
        <f>'Input Operasional'!AE10</f>
        <v>6388</v>
      </c>
      <c r="AG578" s="140">
        <f>'Input Operasional'!AF10</f>
        <v>6388</v>
      </c>
    </row>
    <row r="579" spans="1:33" ht="14.25" customHeight="1" x14ac:dyDescent="0.35">
      <c r="A579" s="21"/>
      <c r="B579" s="21"/>
      <c r="C579" s="21"/>
      <c r="D579" s="128" t="s">
        <v>38</v>
      </c>
      <c r="E579" s="128"/>
      <c r="F579" s="21"/>
      <c r="G579" s="21"/>
      <c r="H579" s="21"/>
      <c r="I579" s="22" t="s">
        <v>3900</v>
      </c>
      <c r="J579" s="172"/>
      <c r="K579" s="172"/>
      <c r="L579" s="172"/>
      <c r="M579" s="172"/>
      <c r="N579" s="172"/>
      <c r="O579" s="172"/>
      <c r="P579" s="172"/>
      <c r="Q579" s="172"/>
      <c r="R579" s="140">
        <v>0</v>
      </c>
      <c r="S579" s="140">
        <v>0</v>
      </c>
      <c r="T579" s="140">
        <v>0</v>
      </c>
      <c r="U579" s="140">
        <v>0</v>
      </c>
      <c r="V579" s="140">
        <v>0</v>
      </c>
      <c r="W579" s="140">
        <v>0</v>
      </c>
      <c r="X579" s="140">
        <v>0</v>
      </c>
      <c r="Y579" s="140">
        <v>0</v>
      </c>
      <c r="Z579" s="140">
        <v>0</v>
      </c>
      <c r="AA579" s="140">
        <v>0</v>
      </c>
      <c r="AB579" s="140">
        <v>0</v>
      </c>
      <c r="AC579" s="140">
        <v>0</v>
      </c>
      <c r="AD579" s="140">
        <v>0</v>
      </c>
      <c r="AE579" s="140">
        <v>0</v>
      </c>
      <c r="AF579" s="140">
        <v>0</v>
      </c>
      <c r="AG579" s="140">
        <v>0</v>
      </c>
    </row>
    <row r="580" spans="1:33" ht="14.25" customHeight="1" x14ac:dyDescent="0.35">
      <c r="A580" s="21"/>
      <c r="B580" s="21"/>
      <c r="C580" s="21"/>
      <c r="D580" s="128" t="s">
        <v>4092</v>
      </c>
      <c r="E580" s="128"/>
      <c r="F580" s="21"/>
      <c r="G580" s="21"/>
      <c r="H580" s="21"/>
      <c r="I580" s="22" t="s">
        <v>3900</v>
      </c>
      <c r="J580" s="172"/>
      <c r="K580" s="172"/>
      <c r="L580" s="172"/>
      <c r="M580" s="172"/>
      <c r="N580" s="172"/>
      <c r="O580" s="172"/>
      <c r="P580" s="172"/>
      <c r="Q580" s="172"/>
      <c r="R580" s="140">
        <f t="shared" ref="R580:AG580" si="366">R578/R572*R574</f>
        <v>64.525252525252526</v>
      </c>
      <c r="S580" s="140">
        <f t="shared" si="366"/>
        <v>64.525252525252526</v>
      </c>
      <c r="T580" s="140">
        <f t="shared" si="366"/>
        <v>64.525252525252526</v>
      </c>
      <c r="U580" s="140">
        <f t="shared" si="366"/>
        <v>64.525252525252526</v>
      </c>
      <c r="V580" s="140">
        <f t="shared" si="366"/>
        <v>64.525252525252526</v>
      </c>
      <c r="W580" s="140">
        <f t="shared" si="366"/>
        <v>64.525252525252526</v>
      </c>
      <c r="X580" s="140">
        <f t="shared" si="366"/>
        <v>64.525252525252526</v>
      </c>
      <c r="Y580" s="140">
        <f t="shared" si="366"/>
        <v>64.525252525252526</v>
      </c>
      <c r="Z580" s="140">
        <f t="shared" si="366"/>
        <v>64.525252525252526</v>
      </c>
      <c r="AA580" s="140">
        <f t="shared" si="366"/>
        <v>64.525252525252526</v>
      </c>
      <c r="AB580" s="140">
        <f t="shared" si="366"/>
        <v>64.525252525252526</v>
      </c>
      <c r="AC580" s="140">
        <f t="shared" si="366"/>
        <v>64.525252525252526</v>
      </c>
      <c r="AD580" s="140">
        <f t="shared" si="366"/>
        <v>64.525252525252526</v>
      </c>
      <c r="AE580" s="140">
        <f t="shared" si="366"/>
        <v>64.525252525252526</v>
      </c>
      <c r="AF580" s="140">
        <f t="shared" si="366"/>
        <v>64.525252525252526</v>
      </c>
      <c r="AG580" s="140">
        <f t="shared" si="366"/>
        <v>64.525252525252526</v>
      </c>
    </row>
    <row r="581" spans="1:33" ht="14.25" customHeight="1" x14ac:dyDescent="0.35">
      <c r="A581" s="21"/>
      <c r="B581" s="21"/>
      <c r="C581" s="21"/>
      <c r="D581" s="128" t="s">
        <v>4098</v>
      </c>
      <c r="E581" s="128"/>
      <c r="F581" s="21"/>
      <c r="G581" s="21"/>
      <c r="H581" s="21"/>
      <c r="I581" s="22" t="s">
        <v>3900</v>
      </c>
      <c r="J581" s="172"/>
      <c r="K581" s="172"/>
      <c r="L581" s="172"/>
      <c r="M581" s="172"/>
      <c r="N581" s="172"/>
      <c r="O581" s="172"/>
      <c r="P581" s="172"/>
      <c r="Q581" s="172"/>
      <c r="R581" s="140">
        <v>0</v>
      </c>
      <c r="S581" s="140">
        <v>0</v>
      </c>
      <c r="T581" s="140">
        <v>0</v>
      </c>
      <c r="U581" s="140">
        <v>0</v>
      </c>
      <c r="V581" s="140">
        <v>0</v>
      </c>
      <c r="W581" s="140">
        <v>0</v>
      </c>
      <c r="X581" s="140">
        <v>0</v>
      </c>
      <c r="Y581" s="140">
        <v>0</v>
      </c>
      <c r="Z581" s="140">
        <v>0</v>
      </c>
      <c r="AA581" s="140">
        <v>0</v>
      </c>
      <c r="AB581" s="140">
        <v>0</v>
      </c>
      <c r="AC581" s="140">
        <v>0</v>
      </c>
      <c r="AD581" s="140">
        <v>0</v>
      </c>
      <c r="AE581" s="140">
        <v>0</v>
      </c>
      <c r="AF581" s="140">
        <v>0</v>
      </c>
      <c r="AG581" s="140">
        <v>0</v>
      </c>
    </row>
    <row r="582" spans="1:33" ht="14.25" customHeight="1" x14ac:dyDescent="0.35">
      <c r="A582" s="21"/>
      <c r="B582" s="21"/>
      <c r="C582" s="21"/>
      <c r="D582" s="21" t="s">
        <v>4099</v>
      </c>
      <c r="E582" s="21"/>
      <c r="F582" s="21"/>
      <c r="G582" s="21"/>
      <c r="H582" s="21"/>
      <c r="I582" s="22" t="s">
        <v>3900</v>
      </c>
      <c r="J582" s="172">
        <v>0</v>
      </c>
      <c r="K582" s="172">
        <v>1985.4</v>
      </c>
      <c r="L582" s="172">
        <v>1287</v>
      </c>
      <c r="M582" s="172">
        <v>5966.25</v>
      </c>
      <c r="N582" s="172">
        <v>4986</v>
      </c>
      <c r="O582" s="172">
        <v>14778.5</v>
      </c>
      <c r="P582" s="172">
        <v>8721.5</v>
      </c>
      <c r="Q582" s="172">
        <v>13376</v>
      </c>
      <c r="R582" s="140">
        <f t="shared" ref="R582:AG582" si="367">SUM(R578:R581)</f>
        <v>6452.5252525252527</v>
      </c>
      <c r="S582" s="140">
        <f t="shared" si="367"/>
        <v>6452.5252525252527</v>
      </c>
      <c r="T582" s="140">
        <f t="shared" si="367"/>
        <v>6452.5252525252527</v>
      </c>
      <c r="U582" s="140">
        <f t="shared" si="367"/>
        <v>6452.5252525252527</v>
      </c>
      <c r="V582" s="140">
        <f t="shared" si="367"/>
        <v>6452.5252525252527</v>
      </c>
      <c r="W582" s="140">
        <f t="shared" si="367"/>
        <v>6452.5252525252527</v>
      </c>
      <c r="X582" s="140">
        <f t="shared" si="367"/>
        <v>6452.5252525252527</v>
      </c>
      <c r="Y582" s="140">
        <f t="shared" si="367"/>
        <v>6452.5252525252527</v>
      </c>
      <c r="Z582" s="140">
        <f t="shared" si="367"/>
        <v>6452.5252525252527</v>
      </c>
      <c r="AA582" s="140">
        <f t="shared" si="367"/>
        <v>6452.5252525252527</v>
      </c>
      <c r="AB582" s="140">
        <f t="shared" si="367"/>
        <v>6452.5252525252527</v>
      </c>
      <c r="AC582" s="140">
        <f t="shared" si="367"/>
        <v>6452.5252525252527</v>
      </c>
      <c r="AD582" s="140">
        <f t="shared" si="367"/>
        <v>6452.5252525252527</v>
      </c>
      <c r="AE582" s="140">
        <f t="shared" si="367"/>
        <v>6452.5252525252527</v>
      </c>
      <c r="AF582" s="140">
        <f t="shared" si="367"/>
        <v>6452.5252525252527</v>
      </c>
      <c r="AG582" s="140">
        <f t="shared" si="367"/>
        <v>6452.5252525252527</v>
      </c>
    </row>
    <row r="583" spans="1:33" ht="14.25" customHeight="1" x14ac:dyDescent="0.35">
      <c r="A583" s="21"/>
      <c r="B583" s="134" t="s">
        <v>4183</v>
      </c>
      <c r="C583" s="28" t="s">
        <v>4101</v>
      </c>
      <c r="D583" s="21"/>
      <c r="E583" s="21"/>
      <c r="F583" s="21"/>
      <c r="G583" s="21"/>
      <c r="H583" s="21"/>
      <c r="I583" s="22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</row>
    <row r="584" spans="1:33" ht="14.25" customHeight="1" x14ac:dyDescent="0.35">
      <c r="A584" s="21"/>
      <c r="B584" s="28"/>
      <c r="C584" s="143" t="s">
        <v>4184</v>
      </c>
      <c r="D584" s="176" t="s">
        <v>21</v>
      </c>
      <c r="E584" s="176"/>
      <c r="F584" s="21"/>
      <c r="G584" s="21"/>
      <c r="H584" s="21"/>
      <c r="I584" s="22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</row>
    <row r="585" spans="1:33" ht="14.25" customHeight="1" x14ac:dyDescent="0.35">
      <c r="A585" s="21"/>
      <c r="B585" s="28"/>
      <c r="C585" s="28"/>
      <c r="D585" s="175" t="s">
        <v>4106</v>
      </c>
      <c r="E585" s="175"/>
      <c r="F585" s="21"/>
      <c r="G585" s="21"/>
      <c r="H585" s="21"/>
      <c r="I585" s="22" t="s">
        <v>13</v>
      </c>
      <c r="J585" s="122"/>
      <c r="K585" s="122"/>
      <c r="L585" s="122"/>
      <c r="M585" s="122"/>
      <c r="N585" s="122"/>
      <c r="O585" s="122"/>
      <c r="P585" s="122"/>
      <c r="Q585" s="122"/>
      <c r="R585" s="126">
        <f t="shared" ref="R585:AG585" si="368">1-R591</f>
        <v>1</v>
      </c>
      <c r="S585" s="126">
        <f t="shared" si="368"/>
        <v>1</v>
      </c>
      <c r="T585" s="126">
        <f t="shared" si="368"/>
        <v>1</v>
      </c>
      <c r="U585" s="126">
        <f t="shared" si="368"/>
        <v>1</v>
      </c>
      <c r="V585" s="126">
        <f t="shared" si="368"/>
        <v>1</v>
      </c>
      <c r="W585" s="126">
        <f t="shared" si="368"/>
        <v>1</v>
      </c>
      <c r="X585" s="126">
        <f t="shared" si="368"/>
        <v>1</v>
      </c>
      <c r="Y585" s="126">
        <f t="shared" si="368"/>
        <v>1</v>
      </c>
      <c r="Z585" s="126">
        <f t="shared" si="368"/>
        <v>1</v>
      </c>
      <c r="AA585" s="126">
        <f t="shared" si="368"/>
        <v>1</v>
      </c>
      <c r="AB585" s="126">
        <f t="shared" si="368"/>
        <v>1</v>
      </c>
      <c r="AC585" s="126">
        <f t="shared" si="368"/>
        <v>1</v>
      </c>
      <c r="AD585" s="126">
        <f t="shared" si="368"/>
        <v>1</v>
      </c>
      <c r="AE585" s="126">
        <f t="shared" si="368"/>
        <v>1</v>
      </c>
      <c r="AF585" s="126">
        <f t="shared" si="368"/>
        <v>1</v>
      </c>
      <c r="AG585" s="126">
        <f t="shared" si="368"/>
        <v>1</v>
      </c>
    </row>
    <row r="586" spans="1:33" ht="14.25" customHeight="1" x14ac:dyDescent="0.35">
      <c r="A586" s="21"/>
      <c r="B586" s="28"/>
      <c r="C586" s="28"/>
      <c r="D586" s="175" t="s">
        <v>4112</v>
      </c>
      <c r="E586" s="175"/>
      <c r="F586" s="21"/>
      <c r="G586" s="21"/>
      <c r="H586" s="21"/>
      <c r="I586" s="22" t="s">
        <v>13</v>
      </c>
      <c r="J586" s="122">
        <f>'Input Operasional'!I66</f>
        <v>0</v>
      </c>
      <c r="K586" s="122">
        <f>'Input Operasional'!J66</f>
        <v>3.4159363352473</v>
      </c>
      <c r="L586" s="122">
        <f>'Input Operasional'!K66</f>
        <v>2.8787878787878798</v>
      </c>
      <c r="M586" s="122">
        <f>'Input Operasional'!L66</f>
        <v>3.25279698302954</v>
      </c>
      <c r="N586" s="122">
        <f>'Input Operasional'!M66</f>
        <v>3.4760930605695899</v>
      </c>
      <c r="O586" s="122">
        <f>'Input Operasional'!N66</f>
        <v>3.4256521297831299</v>
      </c>
      <c r="P586" s="122">
        <f>'Input Operasional'!O66</f>
        <v>2.8842515622312699</v>
      </c>
      <c r="Q586" s="122">
        <f>'Input Operasional'!P66</f>
        <v>3.1297846889952199</v>
      </c>
      <c r="R586" s="126">
        <f>'Input Operasional'!Q66</f>
        <v>3.1297846889952199</v>
      </c>
      <c r="S586" s="126">
        <f>'Input Operasional'!R66</f>
        <v>3.1297846889952199</v>
      </c>
      <c r="T586" s="126">
        <f>'Input Operasional'!S66</f>
        <v>3.1297846889952199</v>
      </c>
      <c r="U586" s="126">
        <f>'Input Operasional'!T66</f>
        <v>3.1297846889952199</v>
      </c>
      <c r="V586" s="126">
        <f>'Input Operasional'!U66</f>
        <v>3.1297846889952199</v>
      </c>
      <c r="W586" s="126">
        <f>'Input Operasional'!V66</f>
        <v>3.1297846889952199</v>
      </c>
      <c r="X586" s="126">
        <f>'Input Operasional'!W66</f>
        <v>3.1297846889952199</v>
      </c>
      <c r="Y586" s="126">
        <f>'Input Operasional'!X66</f>
        <v>3.1297846889952199</v>
      </c>
      <c r="Z586" s="126">
        <f>'Input Operasional'!Y66</f>
        <v>3.1297846889952199</v>
      </c>
      <c r="AA586" s="126">
        <f>'Input Operasional'!Z66</f>
        <v>3.1297846889952199</v>
      </c>
      <c r="AB586" s="126">
        <f>'Input Operasional'!AA66</f>
        <v>3.1297846889952199</v>
      </c>
      <c r="AC586" s="126">
        <f>'Input Operasional'!AB66</f>
        <v>3.1297846889952199</v>
      </c>
      <c r="AD586" s="126">
        <f>'Input Operasional'!AC66</f>
        <v>3.1297846889952199</v>
      </c>
      <c r="AE586" s="126">
        <f>'Input Operasional'!AD66</f>
        <v>3.1297846889952199</v>
      </c>
      <c r="AF586" s="126">
        <f>'Input Operasional'!AE66</f>
        <v>3.1297846889952199</v>
      </c>
      <c r="AG586" s="126">
        <f>'Input Operasional'!AF66</f>
        <v>3.1297846889952199</v>
      </c>
    </row>
    <row r="587" spans="1:33" ht="14.25" customHeight="1" x14ac:dyDescent="0.35">
      <c r="A587" s="21"/>
      <c r="B587" s="28"/>
      <c r="C587" s="28"/>
      <c r="D587" s="175" t="s">
        <v>4108</v>
      </c>
      <c r="E587" s="175"/>
      <c r="F587" s="21"/>
      <c r="G587" s="21"/>
      <c r="H587" s="21"/>
      <c r="I587" s="22" t="s">
        <v>3880</v>
      </c>
      <c r="J587" s="132">
        <v>12351</v>
      </c>
      <c r="K587" s="132">
        <v>6782</v>
      </c>
      <c r="L587" s="132">
        <v>3705</v>
      </c>
      <c r="M587" s="132">
        <v>19407</v>
      </c>
      <c r="N587" s="132">
        <v>17331.8</v>
      </c>
      <c r="O587" s="132">
        <v>50626</v>
      </c>
      <c r="P587" s="132">
        <v>25155</v>
      </c>
      <c r="Q587" s="132">
        <v>41864</v>
      </c>
      <c r="R587" s="140">
        <f t="shared" ref="R587:AG587" si="369">R586*R582</f>
        <v>20195.01474070855</v>
      </c>
      <c r="S587" s="140">
        <f t="shared" si="369"/>
        <v>20195.01474070855</v>
      </c>
      <c r="T587" s="140">
        <f t="shared" si="369"/>
        <v>20195.01474070855</v>
      </c>
      <c r="U587" s="140">
        <f t="shared" si="369"/>
        <v>20195.01474070855</v>
      </c>
      <c r="V587" s="140">
        <f t="shared" si="369"/>
        <v>20195.01474070855</v>
      </c>
      <c r="W587" s="140">
        <f t="shared" si="369"/>
        <v>20195.01474070855</v>
      </c>
      <c r="X587" s="140">
        <f t="shared" si="369"/>
        <v>20195.01474070855</v>
      </c>
      <c r="Y587" s="140">
        <f t="shared" si="369"/>
        <v>20195.01474070855</v>
      </c>
      <c r="Z587" s="140">
        <f t="shared" si="369"/>
        <v>20195.01474070855</v>
      </c>
      <c r="AA587" s="140">
        <f t="shared" si="369"/>
        <v>20195.01474070855</v>
      </c>
      <c r="AB587" s="140">
        <f t="shared" si="369"/>
        <v>20195.01474070855</v>
      </c>
      <c r="AC587" s="140">
        <f t="shared" si="369"/>
        <v>20195.01474070855</v>
      </c>
      <c r="AD587" s="140">
        <f t="shared" si="369"/>
        <v>20195.01474070855</v>
      </c>
      <c r="AE587" s="140">
        <f t="shared" si="369"/>
        <v>20195.01474070855</v>
      </c>
      <c r="AF587" s="140">
        <f t="shared" si="369"/>
        <v>20195.01474070855</v>
      </c>
      <c r="AG587" s="140">
        <f t="shared" si="369"/>
        <v>20195.01474070855</v>
      </c>
    </row>
    <row r="588" spans="1:33" ht="14.25" customHeight="1" x14ac:dyDescent="0.35">
      <c r="A588" s="21"/>
      <c r="B588" s="28"/>
      <c r="C588" s="28"/>
      <c r="D588" s="175" t="s">
        <v>4061</v>
      </c>
      <c r="E588" s="175"/>
      <c r="F588" s="21"/>
      <c r="G588" s="21"/>
      <c r="H588" s="21"/>
      <c r="I588" s="22" t="s">
        <v>3915</v>
      </c>
      <c r="J588" s="132">
        <v>6399.53887009553</v>
      </c>
      <c r="K588" s="132">
        <v>5500</v>
      </c>
      <c r="L588" s="132">
        <v>6393.7921727395396</v>
      </c>
      <c r="M588" s="132">
        <v>5823.0020095841501</v>
      </c>
      <c r="N588" s="132">
        <v>5893.2729025095496</v>
      </c>
      <c r="O588" s="132">
        <v>5906.3760168483204</v>
      </c>
      <c r="P588" s="132">
        <v>5854.3390975949096</v>
      </c>
      <c r="Q588" s="132">
        <v>5884.3015478692896</v>
      </c>
      <c r="R588" s="140">
        <v>5912.37</v>
      </c>
      <c r="S588" s="140">
        <v>5912.37</v>
      </c>
      <c r="T588" s="140">
        <v>5912.37</v>
      </c>
      <c r="U588" s="140">
        <v>5912.37</v>
      </c>
      <c r="V588" s="140">
        <v>5912.37</v>
      </c>
      <c r="W588" s="140">
        <v>5912.37</v>
      </c>
      <c r="X588" s="140">
        <v>5912.37</v>
      </c>
      <c r="Y588" s="140">
        <v>5912.37</v>
      </c>
      <c r="Z588" s="140">
        <v>5912.37</v>
      </c>
      <c r="AA588" s="140">
        <v>5912.37</v>
      </c>
      <c r="AB588" s="140">
        <v>5912.37</v>
      </c>
      <c r="AC588" s="140">
        <v>5912.37</v>
      </c>
      <c r="AD588" s="140">
        <v>5912.37</v>
      </c>
      <c r="AE588" s="140">
        <v>5912.37</v>
      </c>
      <c r="AF588" s="140">
        <v>5912.37</v>
      </c>
      <c r="AG588" s="140">
        <v>5912.37</v>
      </c>
    </row>
    <row r="589" spans="1:33" ht="14.25" customHeight="1" x14ac:dyDescent="0.35">
      <c r="A589" s="21"/>
      <c r="B589" s="28"/>
      <c r="C589" s="28"/>
      <c r="D589" s="175" t="s">
        <v>4185</v>
      </c>
      <c r="E589" s="175"/>
      <c r="F589" s="21"/>
      <c r="G589" s="21"/>
      <c r="H589" s="21"/>
      <c r="I589" s="22" t="s">
        <v>4060</v>
      </c>
      <c r="J589" s="148">
        <f t="shared" ref="J589:AG589" si="370">J587*J588</f>
        <v>79040704.584549889</v>
      </c>
      <c r="K589" s="148">
        <f t="shared" si="370"/>
        <v>37301000</v>
      </c>
      <c r="L589" s="148">
        <f t="shared" si="370"/>
        <v>23688999.999999993</v>
      </c>
      <c r="M589" s="148">
        <f t="shared" si="370"/>
        <v>113006999.9999996</v>
      </c>
      <c r="N589" s="148">
        <f t="shared" si="370"/>
        <v>102141027.29171501</v>
      </c>
      <c r="O589" s="148">
        <f t="shared" si="370"/>
        <v>299016192.22896308</v>
      </c>
      <c r="P589" s="148">
        <f t="shared" si="370"/>
        <v>147265899.99999994</v>
      </c>
      <c r="Q589" s="148">
        <f t="shared" si="370"/>
        <v>246340399.99999994</v>
      </c>
      <c r="R589" s="149">
        <f t="shared" si="370"/>
        <v>119400399.302523</v>
      </c>
      <c r="S589" s="149">
        <f t="shared" si="370"/>
        <v>119400399.302523</v>
      </c>
      <c r="T589" s="149">
        <f t="shared" si="370"/>
        <v>119400399.302523</v>
      </c>
      <c r="U589" s="149">
        <f t="shared" si="370"/>
        <v>119400399.302523</v>
      </c>
      <c r="V589" s="149">
        <f t="shared" si="370"/>
        <v>119400399.302523</v>
      </c>
      <c r="W589" s="149">
        <f t="shared" si="370"/>
        <v>119400399.302523</v>
      </c>
      <c r="X589" s="149">
        <f t="shared" si="370"/>
        <v>119400399.302523</v>
      </c>
      <c r="Y589" s="149">
        <f t="shared" si="370"/>
        <v>119400399.302523</v>
      </c>
      <c r="Z589" s="149">
        <f t="shared" si="370"/>
        <v>119400399.302523</v>
      </c>
      <c r="AA589" s="149">
        <f t="shared" si="370"/>
        <v>119400399.302523</v>
      </c>
      <c r="AB589" s="149">
        <f t="shared" si="370"/>
        <v>119400399.302523</v>
      </c>
      <c r="AC589" s="149">
        <f t="shared" si="370"/>
        <v>119400399.302523</v>
      </c>
      <c r="AD589" s="149">
        <f t="shared" si="370"/>
        <v>119400399.302523</v>
      </c>
      <c r="AE589" s="149">
        <f t="shared" si="370"/>
        <v>119400399.302523</v>
      </c>
      <c r="AF589" s="149">
        <f t="shared" si="370"/>
        <v>119400399.302523</v>
      </c>
      <c r="AG589" s="149">
        <f t="shared" si="370"/>
        <v>119400399.302523</v>
      </c>
    </row>
    <row r="590" spans="1:33" ht="14.25" customHeight="1" x14ac:dyDescent="0.35">
      <c r="A590" s="21"/>
      <c r="B590" s="28"/>
      <c r="C590" s="28"/>
      <c r="D590" s="176" t="s">
        <v>4186</v>
      </c>
      <c r="E590" s="176"/>
      <c r="F590" s="21"/>
      <c r="G590" s="21"/>
      <c r="H590" s="21"/>
      <c r="I590" s="22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</row>
    <row r="591" spans="1:33" ht="14.25" customHeight="1" x14ac:dyDescent="0.35">
      <c r="A591" s="21"/>
      <c r="B591" s="28"/>
      <c r="C591" s="28"/>
      <c r="D591" s="175" t="s">
        <v>4106</v>
      </c>
      <c r="E591" s="175"/>
      <c r="F591" s="21"/>
      <c r="G591" s="21"/>
      <c r="H591" s="21"/>
      <c r="I591" s="22" t="s">
        <v>13</v>
      </c>
      <c r="J591" s="122">
        <v>0</v>
      </c>
      <c r="K591" s="122">
        <v>0</v>
      </c>
      <c r="L591" s="122">
        <v>0</v>
      </c>
      <c r="M591" s="122">
        <v>0</v>
      </c>
      <c r="N591" s="122">
        <v>0</v>
      </c>
      <c r="O591" s="122">
        <v>0</v>
      </c>
      <c r="P591" s="122">
        <v>0</v>
      </c>
      <c r="Q591" s="122">
        <v>0</v>
      </c>
      <c r="R591" s="126">
        <v>0</v>
      </c>
      <c r="S591" s="126">
        <v>0</v>
      </c>
      <c r="T591" s="126">
        <v>0</v>
      </c>
      <c r="U591" s="126">
        <v>0</v>
      </c>
      <c r="V591" s="126">
        <v>0</v>
      </c>
      <c r="W591" s="126">
        <v>0</v>
      </c>
      <c r="X591" s="126">
        <v>0</v>
      </c>
      <c r="Y591" s="126">
        <v>0</v>
      </c>
      <c r="Z591" s="126">
        <v>0</v>
      </c>
      <c r="AA591" s="126">
        <v>0</v>
      </c>
      <c r="AB591" s="126">
        <v>0</v>
      </c>
      <c r="AC591" s="126">
        <v>0</v>
      </c>
      <c r="AD591" s="126">
        <v>0</v>
      </c>
      <c r="AE591" s="126">
        <v>0</v>
      </c>
      <c r="AF591" s="126">
        <v>0</v>
      </c>
      <c r="AG591" s="126">
        <v>0</v>
      </c>
    </row>
    <row r="592" spans="1:33" ht="14.25" customHeight="1" x14ac:dyDescent="0.35">
      <c r="A592" s="21"/>
      <c r="B592" s="28"/>
      <c r="C592" s="28"/>
      <c r="D592" s="175" t="s">
        <v>4112</v>
      </c>
      <c r="E592" s="175"/>
      <c r="F592" s="21"/>
      <c r="G592" s="21"/>
      <c r="H592" s="21"/>
      <c r="I592" s="22" t="s">
        <v>13</v>
      </c>
      <c r="J592" s="122">
        <v>0</v>
      </c>
      <c r="K592" s="122">
        <f t="shared" ref="K592:AG592" si="371">IF(K581=0,0,K593/K581)</f>
        <v>0</v>
      </c>
      <c r="L592" s="122">
        <f t="shared" si="371"/>
        <v>0</v>
      </c>
      <c r="M592" s="122">
        <f t="shared" si="371"/>
        <v>0</v>
      </c>
      <c r="N592" s="122">
        <f t="shared" si="371"/>
        <v>0</v>
      </c>
      <c r="O592" s="122">
        <f t="shared" si="371"/>
        <v>0</v>
      </c>
      <c r="P592" s="122">
        <f t="shared" si="371"/>
        <v>0</v>
      </c>
      <c r="Q592" s="122">
        <f t="shared" si="371"/>
        <v>0</v>
      </c>
      <c r="R592" s="126">
        <f t="shared" si="371"/>
        <v>0</v>
      </c>
      <c r="S592" s="126">
        <f t="shared" si="371"/>
        <v>0</v>
      </c>
      <c r="T592" s="126">
        <f t="shared" si="371"/>
        <v>0</v>
      </c>
      <c r="U592" s="126">
        <f t="shared" si="371"/>
        <v>0</v>
      </c>
      <c r="V592" s="126">
        <f t="shared" si="371"/>
        <v>0</v>
      </c>
      <c r="W592" s="126">
        <f t="shared" si="371"/>
        <v>0</v>
      </c>
      <c r="X592" s="126">
        <f t="shared" si="371"/>
        <v>0</v>
      </c>
      <c r="Y592" s="126">
        <f t="shared" si="371"/>
        <v>0</v>
      </c>
      <c r="Z592" s="126">
        <f t="shared" si="371"/>
        <v>0</v>
      </c>
      <c r="AA592" s="126">
        <f t="shared" si="371"/>
        <v>0</v>
      </c>
      <c r="AB592" s="126">
        <f t="shared" si="371"/>
        <v>0</v>
      </c>
      <c r="AC592" s="126">
        <f t="shared" si="371"/>
        <v>0</v>
      </c>
      <c r="AD592" s="126">
        <f t="shared" si="371"/>
        <v>0</v>
      </c>
      <c r="AE592" s="126">
        <f t="shared" si="371"/>
        <v>0</v>
      </c>
      <c r="AF592" s="126">
        <f t="shared" si="371"/>
        <v>0</v>
      </c>
      <c r="AG592" s="126">
        <f t="shared" si="371"/>
        <v>0</v>
      </c>
    </row>
    <row r="593" spans="1:33" ht="14.25" customHeight="1" x14ac:dyDescent="0.35">
      <c r="A593" s="21"/>
      <c r="B593" s="28"/>
      <c r="C593" s="28"/>
      <c r="D593" s="175" t="s">
        <v>4108</v>
      </c>
      <c r="E593" s="175"/>
      <c r="F593" s="21"/>
      <c r="G593" s="21"/>
      <c r="H593" s="21"/>
      <c r="I593" s="22" t="s">
        <v>3880</v>
      </c>
      <c r="J593" s="132">
        <v>0</v>
      </c>
      <c r="K593" s="132">
        <v>0</v>
      </c>
      <c r="L593" s="132">
        <v>0</v>
      </c>
      <c r="M593" s="132">
        <v>0</v>
      </c>
      <c r="N593" s="132">
        <v>0</v>
      </c>
      <c r="O593" s="132">
        <v>0</v>
      </c>
      <c r="P593" s="132">
        <v>0</v>
      </c>
      <c r="Q593" s="132">
        <v>0</v>
      </c>
      <c r="R593" s="140">
        <v>0</v>
      </c>
      <c r="S593" s="140">
        <v>0</v>
      </c>
      <c r="T593" s="140">
        <v>0</v>
      </c>
      <c r="U593" s="140">
        <v>0</v>
      </c>
      <c r="V593" s="140">
        <v>0</v>
      </c>
      <c r="W593" s="140">
        <v>0</v>
      </c>
      <c r="X593" s="140">
        <v>0</v>
      </c>
      <c r="Y593" s="140">
        <v>0</v>
      </c>
      <c r="Z593" s="140">
        <v>0</v>
      </c>
      <c r="AA593" s="140">
        <v>0</v>
      </c>
      <c r="AB593" s="140">
        <v>0</v>
      </c>
      <c r="AC593" s="140">
        <v>0</v>
      </c>
      <c r="AD593" s="140">
        <v>0</v>
      </c>
      <c r="AE593" s="140">
        <v>0</v>
      </c>
      <c r="AF593" s="140">
        <v>0</v>
      </c>
      <c r="AG593" s="140">
        <v>0</v>
      </c>
    </row>
    <row r="594" spans="1:33" ht="14.25" customHeight="1" x14ac:dyDescent="0.35">
      <c r="A594" s="21"/>
      <c r="B594" s="28"/>
      <c r="C594" s="28"/>
      <c r="D594" s="175" t="s">
        <v>4061</v>
      </c>
      <c r="E594" s="175"/>
      <c r="F594" s="21"/>
      <c r="G594" s="21"/>
      <c r="H594" s="21"/>
      <c r="I594" s="22" t="s">
        <v>3915</v>
      </c>
      <c r="J594" s="132">
        <v>0</v>
      </c>
      <c r="K594" s="132">
        <v>0</v>
      </c>
      <c r="L594" s="132">
        <v>0</v>
      </c>
      <c r="M594" s="132">
        <v>0</v>
      </c>
      <c r="N594" s="132">
        <v>0</v>
      </c>
      <c r="O594" s="132">
        <v>0</v>
      </c>
      <c r="P594" s="132">
        <v>0</v>
      </c>
      <c r="Q594" s="132">
        <v>0</v>
      </c>
      <c r="R594" s="140">
        <v>0</v>
      </c>
      <c r="S594" s="140">
        <v>0</v>
      </c>
      <c r="T594" s="140">
        <v>0</v>
      </c>
      <c r="U594" s="140">
        <v>0</v>
      </c>
      <c r="V594" s="140">
        <v>0</v>
      </c>
      <c r="W594" s="140">
        <v>0</v>
      </c>
      <c r="X594" s="140">
        <v>0</v>
      </c>
      <c r="Y594" s="140">
        <v>0</v>
      </c>
      <c r="Z594" s="140">
        <v>0</v>
      </c>
      <c r="AA594" s="140">
        <v>0</v>
      </c>
      <c r="AB594" s="140">
        <v>0</v>
      </c>
      <c r="AC594" s="140">
        <v>0</v>
      </c>
      <c r="AD594" s="140">
        <v>0</v>
      </c>
      <c r="AE594" s="140">
        <v>0</v>
      </c>
      <c r="AF594" s="140">
        <v>0</v>
      </c>
      <c r="AG594" s="140">
        <v>0</v>
      </c>
    </row>
    <row r="595" spans="1:33" ht="14.25" customHeight="1" x14ac:dyDescent="0.35">
      <c r="A595" s="21"/>
      <c r="B595" s="28"/>
      <c r="C595" s="28"/>
      <c r="D595" s="175" t="s">
        <v>4187</v>
      </c>
      <c r="E595" s="175"/>
      <c r="F595" s="21"/>
      <c r="G595" s="21"/>
      <c r="H595" s="21"/>
      <c r="I595" s="22" t="s">
        <v>4060</v>
      </c>
      <c r="J595" s="148">
        <v>0</v>
      </c>
      <c r="K595" s="148">
        <v>0</v>
      </c>
      <c r="L595" s="148">
        <v>0</v>
      </c>
      <c r="M595" s="148">
        <v>0</v>
      </c>
      <c r="N595" s="148">
        <v>0</v>
      </c>
      <c r="O595" s="148">
        <v>0</v>
      </c>
      <c r="P595" s="148">
        <v>0</v>
      </c>
      <c r="Q595" s="148">
        <v>0</v>
      </c>
      <c r="R595" s="149">
        <f t="shared" ref="R595:AG595" si="372">R593*R594</f>
        <v>0</v>
      </c>
      <c r="S595" s="149">
        <f t="shared" si="372"/>
        <v>0</v>
      </c>
      <c r="T595" s="149">
        <f t="shared" si="372"/>
        <v>0</v>
      </c>
      <c r="U595" s="149">
        <f t="shared" si="372"/>
        <v>0</v>
      </c>
      <c r="V595" s="149">
        <f t="shared" si="372"/>
        <v>0</v>
      </c>
      <c r="W595" s="149">
        <f t="shared" si="372"/>
        <v>0</v>
      </c>
      <c r="X595" s="149">
        <f t="shared" si="372"/>
        <v>0</v>
      </c>
      <c r="Y595" s="149">
        <f t="shared" si="372"/>
        <v>0</v>
      </c>
      <c r="Z595" s="149">
        <f t="shared" si="372"/>
        <v>0</v>
      </c>
      <c r="AA595" s="149">
        <f t="shared" si="372"/>
        <v>0</v>
      </c>
      <c r="AB595" s="149">
        <f t="shared" si="372"/>
        <v>0</v>
      </c>
      <c r="AC595" s="149">
        <f t="shared" si="372"/>
        <v>0</v>
      </c>
      <c r="AD595" s="149">
        <f t="shared" si="372"/>
        <v>0</v>
      </c>
      <c r="AE595" s="149">
        <f t="shared" si="372"/>
        <v>0</v>
      </c>
      <c r="AF595" s="149">
        <f t="shared" si="372"/>
        <v>0</v>
      </c>
      <c r="AG595" s="149">
        <f t="shared" si="372"/>
        <v>0</v>
      </c>
    </row>
    <row r="596" spans="1:33" ht="14.25" customHeight="1" x14ac:dyDescent="0.35">
      <c r="A596" s="21"/>
      <c r="B596" s="28"/>
      <c r="C596" s="143" t="s">
        <v>4188</v>
      </c>
      <c r="D596" s="176" t="s">
        <v>4065</v>
      </c>
      <c r="E596" s="21"/>
      <c r="F596" s="21"/>
      <c r="G596" s="21"/>
      <c r="H596" s="21"/>
      <c r="I596" s="22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</row>
    <row r="597" spans="1:33" ht="14.25" customHeight="1" x14ac:dyDescent="0.35">
      <c r="A597" s="21"/>
      <c r="B597" s="28"/>
      <c r="C597" s="28"/>
      <c r="D597" s="175" t="s">
        <v>4112</v>
      </c>
      <c r="E597" s="175"/>
      <c r="F597" s="21"/>
      <c r="G597" s="21"/>
      <c r="H597" s="21"/>
      <c r="I597" s="22" t="s">
        <v>13</v>
      </c>
      <c r="J597" s="122">
        <v>0</v>
      </c>
      <c r="K597" s="122">
        <f t="shared" ref="K597:Q597" si="373">IF(K582=0,0,K598/K582)</f>
        <v>0.41654074745643194</v>
      </c>
      <c r="L597" s="122">
        <f t="shared" si="373"/>
        <v>0.30536130536130535</v>
      </c>
      <c r="M597" s="122">
        <f t="shared" si="373"/>
        <v>0.45648439136811231</v>
      </c>
      <c r="N597" s="122">
        <f t="shared" si="373"/>
        <v>0.41175290814279986</v>
      </c>
      <c r="O597" s="122">
        <f t="shared" si="373"/>
        <v>0.40900632675846671</v>
      </c>
      <c r="P597" s="122">
        <f t="shared" si="373"/>
        <v>0.42446826807315258</v>
      </c>
      <c r="Q597" s="122">
        <f t="shared" si="373"/>
        <v>0.31107954545454547</v>
      </c>
      <c r="R597" s="126">
        <f>'Input Operasional'!Q70</f>
        <v>0.39703995937429365</v>
      </c>
      <c r="S597" s="126">
        <f>'Input Operasional'!R70</f>
        <v>0.39703995937429365</v>
      </c>
      <c r="T597" s="126">
        <f>'Input Operasional'!S70</f>
        <v>0.39703995937429365</v>
      </c>
      <c r="U597" s="126">
        <f>'Input Operasional'!T70</f>
        <v>0.39703995937429365</v>
      </c>
      <c r="V597" s="126">
        <f>'Input Operasional'!U70</f>
        <v>0.39703995937429365</v>
      </c>
      <c r="W597" s="126">
        <f>'Input Operasional'!V70</f>
        <v>0.39703995937429365</v>
      </c>
      <c r="X597" s="126">
        <f>'Input Operasional'!W70</f>
        <v>0.39703995937429365</v>
      </c>
      <c r="Y597" s="126">
        <f>'Input Operasional'!X70</f>
        <v>0.39703995937429365</v>
      </c>
      <c r="Z597" s="126">
        <f>'Input Operasional'!Y70</f>
        <v>0.39703995937429365</v>
      </c>
      <c r="AA597" s="126">
        <f>'Input Operasional'!Z70</f>
        <v>0.39703995937429365</v>
      </c>
      <c r="AB597" s="126">
        <f>'Input Operasional'!AA70</f>
        <v>0.39703995937429365</v>
      </c>
      <c r="AC597" s="126">
        <f>'Input Operasional'!AB70</f>
        <v>0.39703995937429365</v>
      </c>
      <c r="AD597" s="126">
        <f>'Input Operasional'!AC70</f>
        <v>0.39703995937429365</v>
      </c>
      <c r="AE597" s="126">
        <f>'Input Operasional'!AD70</f>
        <v>0.39703995937429365</v>
      </c>
      <c r="AF597" s="126">
        <f>'Input Operasional'!AE70</f>
        <v>0.39703995937429365</v>
      </c>
      <c r="AG597" s="126">
        <f>'Input Operasional'!AF70</f>
        <v>0.39703995937429365</v>
      </c>
    </row>
    <row r="598" spans="1:33" ht="14.25" customHeight="1" x14ac:dyDescent="0.35">
      <c r="A598" s="21"/>
      <c r="B598" s="28"/>
      <c r="C598" s="28"/>
      <c r="D598" s="175" t="s">
        <v>4108</v>
      </c>
      <c r="E598" s="175"/>
      <c r="F598" s="21"/>
      <c r="G598" s="21"/>
      <c r="H598" s="21"/>
      <c r="I598" s="22" t="s">
        <v>3900</v>
      </c>
      <c r="J598" s="132">
        <v>385</v>
      </c>
      <c r="K598" s="132">
        <v>827</v>
      </c>
      <c r="L598" s="132">
        <v>393</v>
      </c>
      <c r="M598" s="132">
        <v>2723.5</v>
      </c>
      <c r="N598" s="132">
        <v>2053</v>
      </c>
      <c r="O598" s="132">
        <v>6044.5</v>
      </c>
      <c r="P598" s="132">
        <v>3702</v>
      </c>
      <c r="Q598" s="132">
        <v>4161</v>
      </c>
      <c r="R598" s="140">
        <f t="shared" ref="R598:AG598" si="374">R597*R582</f>
        <v>2561.91036412423</v>
      </c>
      <c r="S598" s="140">
        <f t="shared" si="374"/>
        <v>2561.91036412423</v>
      </c>
      <c r="T598" s="140">
        <f t="shared" si="374"/>
        <v>2561.91036412423</v>
      </c>
      <c r="U598" s="140">
        <f t="shared" si="374"/>
        <v>2561.91036412423</v>
      </c>
      <c r="V598" s="140">
        <f t="shared" si="374"/>
        <v>2561.91036412423</v>
      </c>
      <c r="W598" s="140">
        <f t="shared" si="374"/>
        <v>2561.91036412423</v>
      </c>
      <c r="X598" s="140">
        <f t="shared" si="374"/>
        <v>2561.91036412423</v>
      </c>
      <c r="Y598" s="140">
        <f t="shared" si="374"/>
        <v>2561.91036412423</v>
      </c>
      <c r="Z598" s="140">
        <f t="shared" si="374"/>
        <v>2561.91036412423</v>
      </c>
      <c r="AA598" s="140">
        <f t="shared" si="374"/>
        <v>2561.91036412423</v>
      </c>
      <c r="AB598" s="140">
        <f t="shared" si="374"/>
        <v>2561.91036412423</v>
      </c>
      <c r="AC598" s="140">
        <f t="shared" si="374"/>
        <v>2561.91036412423</v>
      </c>
      <c r="AD598" s="140">
        <f t="shared" si="374"/>
        <v>2561.91036412423</v>
      </c>
      <c r="AE598" s="140">
        <f t="shared" si="374"/>
        <v>2561.91036412423</v>
      </c>
      <c r="AF598" s="140">
        <f t="shared" si="374"/>
        <v>2561.91036412423</v>
      </c>
      <c r="AG598" s="140">
        <f t="shared" si="374"/>
        <v>2561.91036412423</v>
      </c>
    </row>
    <row r="599" spans="1:33" ht="14.25" customHeight="1" x14ac:dyDescent="0.35">
      <c r="A599" s="21"/>
      <c r="B599" s="28"/>
      <c r="C599" s="28"/>
      <c r="D599" s="175" t="s">
        <v>4061</v>
      </c>
      <c r="E599" s="175"/>
      <c r="F599" s="21"/>
      <c r="G599" s="21"/>
      <c r="H599" s="21"/>
      <c r="I599" s="22" t="s">
        <v>3915</v>
      </c>
      <c r="J599" s="132">
        <v>15543.041330030999</v>
      </c>
      <c r="K599" s="132">
        <v>16240.054653028599</v>
      </c>
      <c r="L599" s="132">
        <v>16327.731217809</v>
      </c>
      <c r="M599" s="132">
        <v>17165.665626502501</v>
      </c>
      <c r="N599" s="132">
        <v>17381.708880801001</v>
      </c>
      <c r="O599" s="132">
        <v>17437.8185435019</v>
      </c>
      <c r="P599" s="132">
        <v>17240.006011421701</v>
      </c>
      <c r="Q599" s="132">
        <v>17257.997793724498</v>
      </c>
      <c r="R599" s="140">
        <f t="shared" ref="R599:AG599" si="375">R302</f>
        <v>16796.409879772029</v>
      </c>
      <c r="S599" s="140">
        <f t="shared" si="375"/>
        <v>16774.634009465663</v>
      </c>
      <c r="T599" s="140">
        <f t="shared" si="375"/>
        <v>16772.354069528057</v>
      </c>
      <c r="U599" s="140">
        <f t="shared" si="375"/>
        <v>16772.114334387828</v>
      </c>
      <c r="V599" s="140">
        <f t="shared" si="375"/>
        <v>16772.089204902855</v>
      </c>
      <c r="W599" s="140">
        <f t="shared" si="375"/>
        <v>16772.086569059626</v>
      </c>
      <c r="X599" s="140">
        <f t="shared" si="375"/>
        <v>16772.086292417611</v>
      </c>
      <c r="Y599" s="140">
        <f t="shared" si="375"/>
        <v>16772.086263400983</v>
      </c>
      <c r="Z599" s="140">
        <f t="shared" si="375"/>
        <v>16772.08626035682</v>
      </c>
      <c r="AA599" s="140">
        <f t="shared" si="375"/>
        <v>16772.086260037435</v>
      </c>
      <c r="AB599" s="140">
        <f t="shared" si="375"/>
        <v>16772.086260003925</v>
      </c>
      <c r="AC599" s="140">
        <f t="shared" si="375"/>
        <v>16772.086260000411</v>
      </c>
      <c r="AD599" s="140">
        <f t="shared" si="375"/>
        <v>16772.086260000044</v>
      </c>
      <c r="AE599" s="140">
        <f t="shared" si="375"/>
        <v>16772.086260000004</v>
      </c>
      <c r="AF599" s="140">
        <f t="shared" si="375"/>
        <v>16772.08626</v>
      </c>
      <c r="AG599" s="140">
        <f t="shared" si="375"/>
        <v>16772.08626</v>
      </c>
    </row>
    <row r="600" spans="1:33" ht="14.25" customHeight="1" x14ac:dyDescent="0.35">
      <c r="A600" s="21"/>
      <c r="B600" s="28"/>
      <c r="C600" s="28"/>
      <c r="D600" s="175" t="s">
        <v>4117</v>
      </c>
      <c r="E600" s="175"/>
      <c r="F600" s="21"/>
      <c r="G600" s="21"/>
      <c r="H600" s="21"/>
      <c r="I600" s="22" t="s">
        <v>4060</v>
      </c>
      <c r="J600" s="148">
        <f t="shared" ref="J600:AG600" si="376">J598*J599</f>
        <v>5984070.9120619344</v>
      </c>
      <c r="K600" s="148">
        <f t="shared" si="376"/>
        <v>13430525.198054651</v>
      </c>
      <c r="L600" s="148">
        <f t="shared" si="376"/>
        <v>6416798.3685989371</v>
      </c>
      <c r="M600" s="148">
        <f t="shared" si="376"/>
        <v>46750690.333779559</v>
      </c>
      <c r="N600" s="148">
        <f t="shared" si="376"/>
        <v>35684648.332284458</v>
      </c>
      <c r="O600" s="148">
        <f t="shared" si="376"/>
        <v>105402894.18619724</v>
      </c>
      <c r="P600" s="148">
        <f t="shared" si="376"/>
        <v>63822502.254283138</v>
      </c>
      <c r="Q600" s="148">
        <f t="shared" si="376"/>
        <v>71810528.819687635</v>
      </c>
      <c r="R600" s="149">
        <f t="shared" si="376"/>
        <v>43030896.55106657</v>
      </c>
      <c r="S600" s="149">
        <f t="shared" si="376"/>
        <v>42975108.723240867</v>
      </c>
      <c r="T600" s="149">
        <f t="shared" si="376"/>
        <v>42969267.721485138</v>
      </c>
      <c r="U600" s="149">
        <f t="shared" si="376"/>
        <v>42968653.541544735</v>
      </c>
      <c r="V600" s="149">
        <f t="shared" si="376"/>
        <v>42968589.162056744</v>
      </c>
      <c r="W600" s="149">
        <f t="shared" si="376"/>
        <v>42968582.40926265</v>
      </c>
      <c r="X600" s="149">
        <f t="shared" si="376"/>
        <v>42968581.700530611</v>
      </c>
      <c r="Y600" s="149">
        <f t="shared" si="376"/>
        <v>42968581.626192607</v>
      </c>
      <c r="Z600" s="149">
        <f t="shared" si="376"/>
        <v>42968581.618393734</v>
      </c>
      <c r="AA600" s="149">
        <f t="shared" si="376"/>
        <v>42968581.617575496</v>
      </c>
      <c r="AB600" s="149">
        <f t="shared" si="376"/>
        <v>42968581.617489651</v>
      </c>
      <c r="AC600" s="149">
        <f t="shared" si="376"/>
        <v>42968581.617480651</v>
      </c>
      <c r="AD600" s="149">
        <f t="shared" si="376"/>
        <v>42968581.617479704</v>
      </c>
      <c r="AE600" s="149">
        <f t="shared" si="376"/>
        <v>42968581.617479607</v>
      </c>
      <c r="AF600" s="149">
        <f t="shared" si="376"/>
        <v>42968581.617479593</v>
      </c>
      <c r="AG600" s="149">
        <f t="shared" si="376"/>
        <v>42968581.617479593</v>
      </c>
    </row>
    <row r="601" spans="1:33" ht="14.25" customHeight="1" x14ac:dyDescent="0.35">
      <c r="A601" s="21"/>
      <c r="B601" s="28"/>
      <c r="C601" s="143" t="s">
        <v>4189</v>
      </c>
      <c r="D601" s="28" t="s">
        <v>32</v>
      </c>
      <c r="E601" s="21"/>
      <c r="F601" s="21"/>
      <c r="G601" s="21"/>
      <c r="H601" s="21"/>
      <c r="I601" s="22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</row>
    <row r="602" spans="1:33" ht="14.25" customHeight="1" x14ac:dyDescent="0.35">
      <c r="A602" s="21"/>
      <c r="B602" s="28"/>
      <c r="C602" s="28"/>
      <c r="D602" s="175" t="s">
        <v>4112</v>
      </c>
      <c r="E602" s="175"/>
      <c r="F602" s="21"/>
      <c r="G602" s="21"/>
      <c r="H602" s="21"/>
      <c r="I602" s="22" t="s">
        <v>13</v>
      </c>
      <c r="J602" s="122">
        <v>0</v>
      </c>
      <c r="K602" s="122">
        <v>0.55657229417653797</v>
      </c>
      <c r="L602" s="122">
        <v>0.34349545928515901</v>
      </c>
      <c r="M602" s="122">
        <v>0.50703004247396299</v>
      </c>
      <c r="N602" s="122">
        <v>0.41099556960511002</v>
      </c>
      <c r="O602" s="122">
        <v>0.41349487310729799</v>
      </c>
      <c r="P602" s="122">
        <v>0.45551912569192599</v>
      </c>
      <c r="Q602" s="122">
        <v>0.38039295552403601</v>
      </c>
      <c r="R602" s="126">
        <f>'Input Operasional'!Q74</f>
        <v>1.911551357985862E-2</v>
      </c>
      <c r="S602" s="126">
        <f>'Input Operasional'!R74</f>
        <v>1.911551357985862E-2</v>
      </c>
      <c r="T602" s="126">
        <f>'Input Operasional'!S74</f>
        <v>1.911551357985862E-2</v>
      </c>
      <c r="U602" s="126">
        <f>'Input Operasional'!T74</f>
        <v>1.911551357985862E-2</v>
      </c>
      <c r="V602" s="126">
        <f>'Input Operasional'!U74</f>
        <v>1.911551357985862E-2</v>
      </c>
      <c r="W602" s="126">
        <f>'Input Operasional'!V74</f>
        <v>1.911551357985862E-2</v>
      </c>
      <c r="X602" s="126">
        <f>'Input Operasional'!W74</f>
        <v>1.911551357985862E-2</v>
      </c>
      <c r="Y602" s="126">
        <f>'Input Operasional'!X74</f>
        <v>1.911551357985862E-2</v>
      </c>
      <c r="Z602" s="126">
        <f>'Input Operasional'!Y74</f>
        <v>1.911551357985862E-2</v>
      </c>
      <c r="AA602" s="126">
        <f>'Input Operasional'!Z74</f>
        <v>1.911551357985862E-2</v>
      </c>
      <c r="AB602" s="126">
        <f>'Input Operasional'!AA74</f>
        <v>1.911551357985862E-2</v>
      </c>
      <c r="AC602" s="126">
        <f>'Input Operasional'!AB74</f>
        <v>1.911551357985862E-2</v>
      </c>
      <c r="AD602" s="126">
        <f>'Input Operasional'!AC74</f>
        <v>1.911551357985862E-2</v>
      </c>
      <c r="AE602" s="126">
        <f>'Input Operasional'!AD74</f>
        <v>1.911551357985862E-2</v>
      </c>
      <c r="AF602" s="126">
        <f>'Input Operasional'!AE74</f>
        <v>1.911551357985862E-2</v>
      </c>
      <c r="AG602" s="126">
        <f>'Input Operasional'!AF74</f>
        <v>1.911551357985862E-2</v>
      </c>
    </row>
    <row r="603" spans="1:33" ht="14.25" customHeight="1" x14ac:dyDescent="0.35">
      <c r="A603" s="21"/>
      <c r="B603" s="28"/>
      <c r="C603" s="28"/>
      <c r="D603" s="175" t="s">
        <v>4108</v>
      </c>
      <c r="E603" s="175"/>
      <c r="F603" s="21"/>
      <c r="G603" s="21"/>
      <c r="H603" s="21"/>
      <c r="I603" s="22" t="s">
        <v>4067</v>
      </c>
      <c r="J603" s="132">
        <v>0</v>
      </c>
      <c r="K603" s="132">
        <f t="shared" ref="K603:Q603" si="377">K605/(K604*K13)</f>
        <v>49.72302156262365</v>
      </c>
      <c r="L603" s="132">
        <f t="shared" si="377"/>
        <v>19.786191741530253</v>
      </c>
      <c r="M603" s="132">
        <f t="shared" si="377"/>
        <v>135.10918442077454</v>
      </c>
      <c r="N603" s="132">
        <f t="shared" si="377"/>
        <v>91.314274048532738</v>
      </c>
      <c r="O603" s="132">
        <f t="shared" si="377"/>
        <v>273.53358620103177</v>
      </c>
      <c r="P603" s="132">
        <f t="shared" si="377"/>
        <v>178.01602536919881</v>
      </c>
      <c r="Q603" s="132">
        <f t="shared" si="377"/>
        <v>229.33288567091074</v>
      </c>
      <c r="R603" s="140">
        <f t="shared" ref="R603:AG603" si="378">R602*R582</f>
        <v>123.34333408902714</v>
      </c>
      <c r="S603" s="140">
        <f t="shared" si="378"/>
        <v>123.34333408902714</v>
      </c>
      <c r="T603" s="140">
        <f t="shared" si="378"/>
        <v>123.34333408902714</v>
      </c>
      <c r="U603" s="140">
        <f t="shared" si="378"/>
        <v>123.34333408902714</v>
      </c>
      <c r="V603" s="140">
        <f t="shared" si="378"/>
        <v>123.34333408902714</v>
      </c>
      <c r="W603" s="140">
        <f t="shared" si="378"/>
        <v>123.34333408902714</v>
      </c>
      <c r="X603" s="140">
        <f t="shared" si="378"/>
        <v>123.34333408902714</v>
      </c>
      <c r="Y603" s="140">
        <f t="shared" si="378"/>
        <v>123.34333408902714</v>
      </c>
      <c r="Z603" s="140">
        <f t="shared" si="378"/>
        <v>123.34333408902714</v>
      </c>
      <c r="AA603" s="140">
        <f t="shared" si="378"/>
        <v>123.34333408902714</v>
      </c>
      <c r="AB603" s="140">
        <f t="shared" si="378"/>
        <v>123.34333408902714</v>
      </c>
      <c r="AC603" s="140">
        <f t="shared" si="378"/>
        <v>123.34333408902714</v>
      </c>
      <c r="AD603" s="140">
        <f t="shared" si="378"/>
        <v>123.34333408902714</v>
      </c>
      <c r="AE603" s="140">
        <f t="shared" si="378"/>
        <v>123.34333408902714</v>
      </c>
      <c r="AF603" s="140">
        <f t="shared" si="378"/>
        <v>123.34333408902714</v>
      </c>
      <c r="AG603" s="140">
        <f t="shared" si="378"/>
        <v>123.34333408902714</v>
      </c>
    </row>
    <row r="604" spans="1:33" ht="14.25" customHeight="1" x14ac:dyDescent="0.35">
      <c r="A604" s="21"/>
      <c r="B604" s="28"/>
      <c r="C604" s="28"/>
      <c r="D604" s="175" t="s">
        <v>4061</v>
      </c>
      <c r="E604" s="175"/>
      <c r="F604" s="21"/>
      <c r="G604" s="21"/>
      <c r="H604" s="21"/>
      <c r="I604" s="22" t="s">
        <v>4119</v>
      </c>
      <c r="J604" s="177">
        <v>12.75</v>
      </c>
      <c r="K604" s="177">
        <v>12.75</v>
      </c>
      <c r="L604" s="177">
        <v>12.75</v>
      </c>
      <c r="M604" s="177">
        <v>12.75</v>
      </c>
      <c r="N604" s="177">
        <v>12.75</v>
      </c>
      <c r="O604" s="177">
        <v>12.75</v>
      </c>
      <c r="P604" s="177">
        <v>12.75</v>
      </c>
      <c r="Q604" s="177">
        <v>12.75</v>
      </c>
      <c r="R604" s="178">
        <v>12.75</v>
      </c>
      <c r="S604" s="178">
        <v>12.75</v>
      </c>
      <c r="T604" s="178">
        <v>12.75</v>
      </c>
      <c r="U604" s="178">
        <v>12.75</v>
      </c>
      <c r="V604" s="178">
        <v>12.75</v>
      </c>
      <c r="W604" s="178">
        <v>12.75</v>
      </c>
      <c r="X604" s="178">
        <v>12.75</v>
      </c>
      <c r="Y604" s="178">
        <v>12.75</v>
      </c>
      <c r="Z604" s="178">
        <v>12.75</v>
      </c>
      <c r="AA604" s="178">
        <v>12.75</v>
      </c>
      <c r="AB604" s="178">
        <v>12.75</v>
      </c>
      <c r="AC604" s="178">
        <v>12.75</v>
      </c>
      <c r="AD604" s="178">
        <v>12.75</v>
      </c>
      <c r="AE604" s="178">
        <v>12.75</v>
      </c>
      <c r="AF604" s="178">
        <v>12.75</v>
      </c>
      <c r="AG604" s="178">
        <v>12.75</v>
      </c>
    </row>
    <row r="605" spans="1:33" ht="14.25" customHeight="1" x14ac:dyDescent="0.35">
      <c r="A605" s="21"/>
      <c r="B605" s="28"/>
      <c r="C605" s="28"/>
      <c r="D605" s="175" t="s">
        <v>32</v>
      </c>
      <c r="E605" s="175"/>
      <c r="F605" s="21"/>
      <c r="G605" s="21"/>
      <c r="H605" s="21"/>
      <c r="I605" s="22" t="s">
        <v>4060</v>
      </c>
      <c r="J605" s="148">
        <v>0</v>
      </c>
      <c r="K605" s="148">
        <v>10624044.5406672</v>
      </c>
      <c r="L605" s="148">
        <v>4286891.1423637504</v>
      </c>
      <c r="M605" s="148">
        <v>29843051.764045101</v>
      </c>
      <c r="N605" s="148">
        <v>20710967.668379199</v>
      </c>
      <c r="O605" s="148">
        <v>62273750.368871696</v>
      </c>
      <c r="P605" s="148">
        <v>41031714.759460799</v>
      </c>
      <c r="Q605" s="148">
        <v>51763470.956659697</v>
      </c>
      <c r="R605" s="149">
        <f t="shared" ref="R605:AG605" si="379">R603*R318</f>
        <v>28307294.915452171</v>
      </c>
      <c r="S605" s="149">
        <f t="shared" si="379"/>
        <v>28307295.173431728</v>
      </c>
      <c r="T605" s="149">
        <f t="shared" si="379"/>
        <v>28307295.173431732</v>
      </c>
      <c r="U605" s="149">
        <f t="shared" si="379"/>
        <v>28307295.173431724</v>
      </c>
      <c r="V605" s="149">
        <f t="shared" si="379"/>
        <v>28307295.173431724</v>
      </c>
      <c r="W605" s="149">
        <f t="shared" si="379"/>
        <v>28307295.173431728</v>
      </c>
      <c r="X605" s="149">
        <f t="shared" si="379"/>
        <v>28307295.173431728</v>
      </c>
      <c r="Y605" s="149">
        <f t="shared" si="379"/>
        <v>28307295.173431728</v>
      </c>
      <c r="Z605" s="149">
        <f t="shared" si="379"/>
        <v>28307295.173431728</v>
      </c>
      <c r="AA605" s="149">
        <f t="shared" si="379"/>
        <v>28307295.173431724</v>
      </c>
      <c r="AB605" s="149">
        <f t="shared" si="379"/>
        <v>28307295.173431732</v>
      </c>
      <c r="AC605" s="149">
        <f t="shared" si="379"/>
        <v>28307295.173431732</v>
      </c>
      <c r="AD605" s="149">
        <f t="shared" si="379"/>
        <v>28307295.173431728</v>
      </c>
      <c r="AE605" s="149">
        <f t="shared" si="379"/>
        <v>28307295.173431724</v>
      </c>
      <c r="AF605" s="149">
        <f t="shared" si="379"/>
        <v>28307295.173431728</v>
      </c>
      <c r="AG605" s="149">
        <f t="shared" si="379"/>
        <v>28307295.173431728</v>
      </c>
    </row>
    <row r="606" spans="1:33" ht="14.25" customHeight="1" x14ac:dyDescent="0.35">
      <c r="A606" s="21"/>
      <c r="B606" s="28"/>
      <c r="C606" s="143" t="s">
        <v>4190</v>
      </c>
      <c r="D606" s="28" t="s">
        <v>4121</v>
      </c>
      <c r="E606" s="21"/>
      <c r="F606" s="21"/>
      <c r="G606" s="21"/>
      <c r="H606" s="21"/>
      <c r="I606" s="22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</row>
    <row r="607" spans="1:33" ht="14.25" customHeight="1" x14ac:dyDescent="0.35">
      <c r="A607" s="21"/>
      <c r="B607" s="28"/>
      <c r="C607" s="28"/>
      <c r="D607" s="175" t="s">
        <v>4112</v>
      </c>
      <c r="E607" s="175"/>
      <c r="F607" s="21"/>
      <c r="G607" s="21"/>
      <c r="H607" s="21"/>
      <c r="I607" s="22" t="s">
        <v>13</v>
      </c>
      <c r="J607" s="122">
        <v>0</v>
      </c>
      <c r="K607" s="122">
        <f t="shared" ref="K607:Q607" si="380">IF(K581=0,0,K608/K581)</f>
        <v>0</v>
      </c>
      <c r="L607" s="122">
        <f t="shared" si="380"/>
        <v>0</v>
      </c>
      <c r="M607" s="122">
        <f t="shared" si="380"/>
        <v>0</v>
      </c>
      <c r="N607" s="122">
        <f t="shared" si="380"/>
        <v>0</v>
      </c>
      <c r="O607" s="122">
        <f t="shared" si="380"/>
        <v>0</v>
      </c>
      <c r="P607" s="122">
        <f t="shared" si="380"/>
        <v>0</v>
      </c>
      <c r="Q607" s="122">
        <f t="shared" si="380"/>
        <v>0</v>
      </c>
      <c r="R607" s="126">
        <f>'Input Operasional'!Q78</f>
        <v>0</v>
      </c>
      <c r="S607" s="126">
        <f>'Input Operasional'!R78</f>
        <v>0</v>
      </c>
      <c r="T607" s="126">
        <f>'Input Operasional'!S78</f>
        <v>0</v>
      </c>
      <c r="U607" s="126">
        <f>'Input Operasional'!T78</f>
        <v>0</v>
      </c>
      <c r="V607" s="126">
        <f>'Input Operasional'!U78</f>
        <v>0</v>
      </c>
      <c r="W607" s="126">
        <f>'Input Operasional'!V78</f>
        <v>0</v>
      </c>
      <c r="X607" s="126">
        <f>'Input Operasional'!W78</f>
        <v>0</v>
      </c>
      <c r="Y607" s="126">
        <f>'Input Operasional'!X78</f>
        <v>0</v>
      </c>
      <c r="Z607" s="126">
        <f>'Input Operasional'!Y78</f>
        <v>0</v>
      </c>
      <c r="AA607" s="126">
        <f>'Input Operasional'!Z78</f>
        <v>0</v>
      </c>
      <c r="AB607" s="126">
        <f>'Input Operasional'!AA78</f>
        <v>0</v>
      </c>
      <c r="AC607" s="126">
        <f>'Input Operasional'!AB78</f>
        <v>0</v>
      </c>
      <c r="AD607" s="126">
        <f>'Input Operasional'!AC78</f>
        <v>0</v>
      </c>
      <c r="AE607" s="126">
        <f>'Input Operasional'!AD78</f>
        <v>0</v>
      </c>
      <c r="AF607" s="126">
        <f>'Input Operasional'!AE78</f>
        <v>0</v>
      </c>
      <c r="AG607" s="126">
        <f>'Input Operasional'!AF78</f>
        <v>0</v>
      </c>
    </row>
    <row r="608" spans="1:33" ht="14.25" customHeight="1" x14ac:dyDescent="0.35">
      <c r="A608" s="21"/>
      <c r="B608" s="28"/>
      <c r="C608" s="28"/>
      <c r="D608" s="175" t="s">
        <v>4108</v>
      </c>
      <c r="E608" s="175"/>
      <c r="F608" s="21"/>
      <c r="G608" s="21"/>
      <c r="H608" s="21"/>
      <c r="I608" s="22" t="s">
        <v>3900</v>
      </c>
      <c r="J608" s="132">
        <v>0</v>
      </c>
      <c r="K608" s="132">
        <v>0</v>
      </c>
      <c r="L608" s="132">
        <v>0</v>
      </c>
      <c r="M608" s="132">
        <v>0</v>
      </c>
      <c r="N608" s="132">
        <v>0</v>
      </c>
      <c r="O608" s="132">
        <v>0</v>
      </c>
      <c r="P608" s="132">
        <v>0</v>
      </c>
      <c r="Q608" s="132">
        <v>0</v>
      </c>
      <c r="R608" s="140">
        <f t="shared" ref="R608:AG608" si="381">R607*R581</f>
        <v>0</v>
      </c>
      <c r="S608" s="140">
        <f t="shared" si="381"/>
        <v>0</v>
      </c>
      <c r="T608" s="140">
        <f t="shared" si="381"/>
        <v>0</v>
      </c>
      <c r="U608" s="140">
        <f t="shared" si="381"/>
        <v>0</v>
      </c>
      <c r="V608" s="140">
        <f t="shared" si="381"/>
        <v>0</v>
      </c>
      <c r="W608" s="140">
        <f t="shared" si="381"/>
        <v>0</v>
      </c>
      <c r="X608" s="140">
        <f t="shared" si="381"/>
        <v>0</v>
      </c>
      <c r="Y608" s="140">
        <f t="shared" si="381"/>
        <v>0</v>
      </c>
      <c r="Z608" s="140">
        <f t="shared" si="381"/>
        <v>0</v>
      </c>
      <c r="AA608" s="140">
        <f t="shared" si="381"/>
        <v>0</v>
      </c>
      <c r="AB608" s="140">
        <f t="shared" si="381"/>
        <v>0</v>
      </c>
      <c r="AC608" s="140">
        <f t="shared" si="381"/>
        <v>0</v>
      </c>
      <c r="AD608" s="140">
        <f t="shared" si="381"/>
        <v>0</v>
      </c>
      <c r="AE608" s="140">
        <f t="shared" si="381"/>
        <v>0</v>
      </c>
      <c r="AF608" s="140">
        <f t="shared" si="381"/>
        <v>0</v>
      </c>
      <c r="AG608" s="140">
        <f t="shared" si="381"/>
        <v>0</v>
      </c>
    </row>
    <row r="609" spans="1:33" ht="14.25" customHeight="1" x14ac:dyDescent="0.35">
      <c r="A609" s="21"/>
      <c r="B609" s="28"/>
      <c r="C609" s="28"/>
      <c r="D609" s="175" t="s">
        <v>4061</v>
      </c>
      <c r="E609" s="175"/>
      <c r="F609" s="21"/>
      <c r="G609" s="21"/>
      <c r="H609" s="21"/>
      <c r="I609" s="22" t="s">
        <v>3861</v>
      </c>
      <c r="J609" s="132">
        <v>0</v>
      </c>
      <c r="K609" s="132">
        <v>0</v>
      </c>
      <c r="L609" s="132">
        <v>0</v>
      </c>
      <c r="M609" s="132">
        <v>0</v>
      </c>
      <c r="N609" s="132">
        <v>0</v>
      </c>
      <c r="O609" s="132">
        <v>0</v>
      </c>
      <c r="P609" s="132">
        <v>0</v>
      </c>
      <c r="Q609" s="132">
        <v>0</v>
      </c>
      <c r="R609" s="140">
        <f t="shared" ref="R609:AG609" si="382">R334</f>
        <v>4630.0491108003798</v>
      </c>
      <c r="S609" s="140">
        <f t="shared" si="382"/>
        <v>4626.1795798090243</v>
      </c>
      <c r="T609" s="140">
        <f t="shared" si="382"/>
        <v>4623.4142183342383</v>
      </c>
      <c r="U609" s="140">
        <f t="shared" si="382"/>
        <v>4621.3957757639037</v>
      </c>
      <c r="V609" s="140">
        <f t="shared" si="382"/>
        <v>4619.94037255085</v>
      </c>
      <c r="W609" s="140">
        <f t="shared" si="382"/>
        <v>4618.8898071626854</v>
      </c>
      <c r="X609" s="140">
        <f t="shared" si="382"/>
        <v>4618.1289370940112</v>
      </c>
      <c r="Y609" s="140">
        <f t="shared" si="382"/>
        <v>4617.5793016519474</v>
      </c>
      <c r="Z609" s="140">
        <f t="shared" si="382"/>
        <v>4617.1820138940911</v>
      </c>
      <c r="AA609" s="140">
        <f t="shared" si="382"/>
        <v>4616.8947159927411</v>
      </c>
      <c r="AB609" s="140">
        <f t="shared" si="382"/>
        <v>4616.6870622591896</v>
      </c>
      <c r="AC609" s="140">
        <f t="shared" si="382"/>
        <v>4616.5369458795076</v>
      </c>
      <c r="AD609" s="140">
        <f t="shared" si="382"/>
        <v>4616.428419400605</v>
      </c>
      <c r="AE609" s="140">
        <f t="shared" si="382"/>
        <v>4616.3499675008925</v>
      </c>
      <c r="AF609" s="140">
        <f t="shared" si="382"/>
        <v>4616.2932533582361</v>
      </c>
      <c r="AG609" s="140">
        <f t="shared" si="382"/>
        <v>4616.2522538040603</v>
      </c>
    </row>
    <row r="610" spans="1:33" ht="14.25" customHeight="1" x14ac:dyDescent="0.35">
      <c r="A610" s="21"/>
      <c r="B610" s="28"/>
      <c r="C610" s="28"/>
      <c r="D610" s="175" t="s">
        <v>4121</v>
      </c>
      <c r="E610" s="175"/>
      <c r="F610" s="21"/>
      <c r="G610" s="21"/>
      <c r="H610" s="21"/>
      <c r="I610" s="22" t="s">
        <v>4060</v>
      </c>
      <c r="J610" s="148">
        <v>0</v>
      </c>
      <c r="K610" s="148">
        <v>0</v>
      </c>
      <c r="L610" s="148">
        <v>0</v>
      </c>
      <c r="M610" s="148">
        <v>0</v>
      </c>
      <c r="N610" s="148">
        <v>0</v>
      </c>
      <c r="O610" s="148">
        <v>0</v>
      </c>
      <c r="P610" s="148">
        <v>0</v>
      </c>
      <c r="Q610" s="148">
        <v>0</v>
      </c>
      <c r="R610" s="149">
        <f t="shared" ref="R610:AG610" si="383">R608*R609</f>
        <v>0</v>
      </c>
      <c r="S610" s="149">
        <f t="shared" si="383"/>
        <v>0</v>
      </c>
      <c r="T610" s="149">
        <f t="shared" si="383"/>
        <v>0</v>
      </c>
      <c r="U610" s="149">
        <f t="shared" si="383"/>
        <v>0</v>
      </c>
      <c r="V610" s="149">
        <f t="shared" si="383"/>
        <v>0</v>
      </c>
      <c r="W610" s="149">
        <f t="shared" si="383"/>
        <v>0</v>
      </c>
      <c r="X610" s="149">
        <f t="shared" si="383"/>
        <v>0</v>
      </c>
      <c r="Y610" s="149">
        <f t="shared" si="383"/>
        <v>0</v>
      </c>
      <c r="Z610" s="149">
        <f t="shared" si="383"/>
        <v>0</v>
      </c>
      <c r="AA610" s="149">
        <f t="shared" si="383"/>
        <v>0</v>
      </c>
      <c r="AB610" s="149">
        <f t="shared" si="383"/>
        <v>0</v>
      </c>
      <c r="AC610" s="149">
        <f t="shared" si="383"/>
        <v>0</v>
      </c>
      <c r="AD610" s="149">
        <f t="shared" si="383"/>
        <v>0</v>
      </c>
      <c r="AE610" s="149">
        <f t="shared" si="383"/>
        <v>0</v>
      </c>
      <c r="AF610" s="149">
        <f t="shared" si="383"/>
        <v>0</v>
      </c>
      <c r="AG610" s="149">
        <f t="shared" si="383"/>
        <v>0</v>
      </c>
    </row>
    <row r="611" spans="1:33" ht="14.25" customHeight="1" x14ac:dyDescent="0.35">
      <c r="A611" s="21"/>
      <c r="B611" s="28"/>
      <c r="C611" s="143" t="s">
        <v>4191</v>
      </c>
      <c r="D611" s="28" t="s">
        <v>4072</v>
      </c>
      <c r="E611" s="21"/>
      <c r="F611" s="21"/>
      <c r="G611" s="21"/>
      <c r="H611" s="21"/>
      <c r="I611" s="22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</row>
    <row r="612" spans="1:33" ht="14.25" customHeight="1" x14ac:dyDescent="0.35">
      <c r="A612" s="21"/>
      <c r="B612" s="28"/>
      <c r="C612" s="28"/>
      <c r="D612" s="175" t="s">
        <v>4123</v>
      </c>
      <c r="E612" s="175"/>
      <c r="F612" s="21"/>
      <c r="G612" s="21"/>
      <c r="H612" s="21"/>
      <c r="I612" s="22" t="s">
        <v>13</v>
      </c>
      <c r="J612" s="122">
        <v>0</v>
      </c>
      <c r="K612" s="122">
        <f t="shared" ref="K612:Q612" si="384">IF(K582=0,0,K613/K582)</f>
        <v>5.0367684093885357E-3</v>
      </c>
      <c r="L612" s="122">
        <f t="shared" si="384"/>
        <v>0</v>
      </c>
      <c r="M612" s="122">
        <f t="shared" si="384"/>
        <v>1.6760946993505132E-3</v>
      </c>
      <c r="N612" s="122">
        <f t="shared" si="384"/>
        <v>0</v>
      </c>
      <c r="O612" s="122">
        <f t="shared" si="384"/>
        <v>0</v>
      </c>
      <c r="P612" s="122">
        <f t="shared" si="384"/>
        <v>1.5261691074892735E-3</v>
      </c>
      <c r="Q612" s="122">
        <f t="shared" si="384"/>
        <v>0</v>
      </c>
      <c r="R612" s="126">
        <f>'Input Operasional'!Q82</f>
        <v>9.2582939494835579E-4</v>
      </c>
      <c r="S612" s="126">
        <f>'Input Operasional'!R82</f>
        <v>9.2582939494835579E-4</v>
      </c>
      <c r="T612" s="126">
        <f>'Input Operasional'!S82</f>
        <v>9.2582939494835579E-4</v>
      </c>
      <c r="U612" s="126">
        <f>'Input Operasional'!T82</f>
        <v>9.2582939494835579E-4</v>
      </c>
      <c r="V612" s="126">
        <f>'Input Operasional'!U82</f>
        <v>9.2582939494835579E-4</v>
      </c>
      <c r="W612" s="126">
        <f>'Input Operasional'!V82</f>
        <v>9.2582939494835579E-4</v>
      </c>
      <c r="X612" s="126">
        <f>'Input Operasional'!W82</f>
        <v>9.2582939494835579E-4</v>
      </c>
      <c r="Y612" s="126">
        <f>'Input Operasional'!X82</f>
        <v>9.2582939494835579E-4</v>
      </c>
      <c r="Z612" s="126">
        <f>'Input Operasional'!Y82</f>
        <v>9.2582939494835579E-4</v>
      </c>
      <c r="AA612" s="126">
        <f>'Input Operasional'!Z82</f>
        <v>9.2582939494835579E-4</v>
      </c>
      <c r="AB612" s="126">
        <f>'Input Operasional'!AA82</f>
        <v>9.2582939494835579E-4</v>
      </c>
      <c r="AC612" s="126">
        <f>'Input Operasional'!AB82</f>
        <v>9.2582939494835579E-4</v>
      </c>
      <c r="AD612" s="126">
        <f>'Input Operasional'!AC82</f>
        <v>9.2582939494835579E-4</v>
      </c>
      <c r="AE612" s="126">
        <f>'Input Operasional'!AD82</f>
        <v>9.2582939494835579E-4</v>
      </c>
      <c r="AF612" s="126">
        <f>'Input Operasional'!AE82</f>
        <v>9.2582939494835579E-4</v>
      </c>
      <c r="AG612" s="126">
        <f>'Input Operasional'!AF82</f>
        <v>9.2582939494835579E-4</v>
      </c>
    </row>
    <row r="613" spans="1:33" ht="14.25" customHeight="1" x14ac:dyDescent="0.35">
      <c r="A613" s="21"/>
      <c r="B613" s="28"/>
      <c r="C613" s="28"/>
      <c r="D613" s="175" t="s">
        <v>4108</v>
      </c>
      <c r="E613" s="175"/>
      <c r="F613" s="21"/>
      <c r="G613" s="21"/>
      <c r="H613" s="21"/>
      <c r="I613" s="22" t="s">
        <v>3900</v>
      </c>
      <c r="J613" s="132">
        <v>14</v>
      </c>
      <c r="K613" s="132">
        <v>10</v>
      </c>
      <c r="L613" s="132">
        <v>0</v>
      </c>
      <c r="M613" s="132">
        <v>10</v>
      </c>
      <c r="N613" s="132">
        <v>0</v>
      </c>
      <c r="O613" s="132">
        <v>0</v>
      </c>
      <c r="P613" s="132">
        <v>13.310483870967699</v>
      </c>
      <c r="Q613" s="132">
        <v>0</v>
      </c>
      <c r="R613" s="140">
        <f t="shared" ref="R613:AG613" si="385">R612*R582</f>
        <v>5.9739375504344414</v>
      </c>
      <c r="S613" s="140">
        <f t="shared" si="385"/>
        <v>5.9739375504344414</v>
      </c>
      <c r="T613" s="140">
        <f t="shared" si="385"/>
        <v>5.9739375504344414</v>
      </c>
      <c r="U613" s="140">
        <f t="shared" si="385"/>
        <v>5.9739375504344414</v>
      </c>
      <c r="V613" s="140">
        <f t="shared" si="385"/>
        <v>5.9739375504344414</v>
      </c>
      <c r="W613" s="140">
        <f t="shared" si="385"/>
        <v>5.9739375504344414</v>
      </c>
      <c r="X613" s="140">
        <f t="shared" si="385"/>
        <v>5.9739375504344414</v>
      </c>
      <c r="Y613" s="140">
        <f t="shared" si="385"/>
        <v>5.9739375504344414</v>
      </c>
      <c r="Z613" s="140">
        <f t="shared" si="385"/>
        <v>5.9739375504344414</v>
      </c>
      <c r="AA613" s="140">
        <f t="shared" si="385"/>
        <v>5.9739375504344414</v>
      </c>
      <c r="AB613" s="140">
        <f t="shared" si="385"/>
        <v>5.9739375504344414</v>
      </c>
      <c r="AC613" s="140">
        <f t="shared" si="385"/>
        <v>5.9739375504344414</v>
      </c>
      <c r="AD613" s="140">
        <f t="shared" si="385"/>
        <v>5.9739375504344414</v>
      </c>
      <c r="AE613" s="140">
        <f t="shared" si="385"/>
        <v>5.9739375504344414</v>
      </c>
      <c r="AF613" s="140">
        <f t="shared" si="385"/>
        <v>5.9739375504344414</v>
      </c>
      <c r="AG613" s="140">
        <f t="shared" si="385"/>
        <v>5.9739375504344414</v>
      </c>
    </row>
    <row r="614" spans="1:33" ht="14.25" customHeight="1" x14ac:dyDescent="0.35">
      <c r="A614" s="21"/>
      <c r="B614" s="28"/>
      <c r="C614" s="28"/>
      <c r="D614" s="175" t="s">
        <v>4061</v>
      </c>
      <c r="E614" s="175"/>
      <c r="F614" s="21"/>
      <c r="G614" s="21"/>
      <c r="H614" s="21"/>
      <c r="I614" s="22" t="s">
        <v>3861</v>
      </c>
      <c r="J614" s="132">
        <v>26499.856102476198</v>
      </c>
      <c r="K614" s="132">
        <v>26499.856102476198</v>
      </c>
      <c r="L614" s="132">
        <v>0</v>
      </c>
      <c r="M614" s="132">
        <v>26499.944209512501</v>
      </c>
      <c r="N614" s="132">
        <v>0</v>
      </c>
      <c r="O614" s="132">
        <v>0</v>
      </c>
      <c r="P614" s="132">
        <v>34605.650593126498</v>
      </c>
      <c r="Q614" s="132">
        <v>0</v>
      </c>
      <c r="R614" s="140">
        <f t="shared" ref="R614:AG614" si="386">R350</f>
        <v>31999.803314511719</v>
      </c>
      <c r="S614" s="140">
        <f t="shared" si="386"/>
        <v>31542.625913469608</v>
      </c>
      <c r="T614" s="140">
        <f t="shared" si="386"/>
        <v>31233.237937795209</v>
      </c>
      <c r="U614" s="140">
        <f t="shared" si="386"/>
        <v>31020.119924617753</v>
      </c>
      <c r="V614" s="140">
        <f t="shared" si="386"/>
        <v>30874.829430536367</v>
      </c>
      <c r="W614" s="140">
        <f t="shared" si="386"/>
        <v>30775.680799431091</v>
      </c>
      <c r="X614" s="140">
        <f t="shared" si="386"/>
        <v>30707.831449863519</v>
      </c>
      <c r="Y614" s="140">
        <f t="shared" si="386"/>
        <v>30661.502351357416</v>
      </c>
      <c r="Z614" s="140">
        <f t="shared" si="386"/>
        <v>30629.850965944148</v>
      </c>
      <c r="AA614" s="140">
        <f t="shared" si="386"/>
        <v>30608.219066360089</v>
      </c>
      <c r="AB614" s="140">
        <f t="shared" si="386"/>
        <v>30593.441226316554</v>
      </c>
      <c r="AC614" s="140">
        <f t="shared" si="386"/>
        <v>30583.344126134554</v>
      </c>
      <c r="AD614" s="140">
        <f t="shared" si="386"/>
        <v>30576.444938169865</v>
      </c>
      <c r="AE614" s="140">
        <f t="shared" si="386"/>
        <v>30571.73119681087</v>
      </c>
      <c r="AF614" s="140">
        <f t="shared" si="386"/>
        <v>30568.510493805505</v>
      </c>
      <c r="AG614" s="140">
        <f t="shared" si="386"/>
        <v>30566.309922986758</v>
      </c>
    </row>
    <row r="615" spans="1:33" ht="14.25" customHeight="1" x14ac:dyDescent="0.35">
      <c r="A615" s="21"/>
      <c r="B615" s="28"/>
      <c r="C615" s="28"/>
      <c r="D615" s="175" t="s">
        <v>4072</v>
      </c>
      <c r="E615" s="175"/>
      <c r="F615" s="21"/>
      <c r="G615" s="21"/>
      <c r="H615" s="21"/>
      <c r="I615" s="22" t="s">
        <v>4060</v>
      </c>
      <c r="J615" s="148">
        <f>J613*J614</f>
        <v>370997.9854346668</v>
      </c>
      <c r="K615" s="148">
        <f>K613*K614</f>
        <v>264998.56102476199</v>
      </c>
      <c r="L615" s="148">
        <v>0</v>
      </c>
      <c r="M615" s="148">
        <f>M613*M614</f>
        <v>264999.44209512504</v>
      </c>
      <c r="N615" s="148">
        <v>0</v>
      </c>
      <c r="O615" s="148">
        <v>0</v>
      </c>
      <c r="P615" s="148">
        <f>P613*P614</f>
        <v>460617.95406415407</v>
      </c>
      <c r="Q615" s="148">
        <v>0</v>
      </c>
      <c r="R615" s="149">
        <f t="shared" ref="R615:AG615" si="387">R613*R614</f>
        <v>191164.82662707806</v>
      </c>
      <c r="S615" s="149">
        <f t="shared" si="387"/>
        <v>188433.67738378257</v>
      </c>
      <c r="T615" s="149">
        <f t="shared" si="387"/>
        <v>186585.41293824837</v>
      </c>
      <c r="U615" s="149">
        <f t="shared" si="387"/>
        <v>185312.2592366536</v>
      </c>
      <c r="V615" s="149">
        <f t="shared" si="387"/>
        <v>184444.30289833964</v>
      </c>
      <c r="W615" s="149">
        <f t="shared" si="387"/>
        <v>183851.99516790564</v>
      </c>
      <c r="X615" s="149">
        <f t="shared" si="387"/>
        <v>183446.66739075136</v>
      </c>
      <c r="Y615" s="149">
        <f t="shared" si="387"/>
        <v>183169.90024950798</v>
      </c>
      <c r="Z615" s="149">
        <f t="shared" si="387"/>
        <v>182980.81684966438</v>
      </c>
      <c r="AA615" s="149">
        <f t="shared" si="387"/>
        <v>182851.58923245195</v>
      </c>
      <c r="AB615" s="149">
        <f t="shared" si="387"/>
        <v>182763.30733890156</v>
      </c>
      <c r="AC615" s="149">
        <f t="shared" si="387"/>
        <v>182702.98789297382</v>
      </c>
      <c r="AD615" s="149">
        <f t="shared" si="387"/>
        <v>182661.77257492405</v>
      </c>
      <c r="AE615" s="149">
        <f t="shared" si="387"/>
        <v>182633.61297841652</v>
      </c>
      <c r="AF615" s="149">
        <f t="shared" si="387"/>
        <v>182614.37269979398</v>
      </c>
      <c r="AG615" s="149">
        <f t="shared" si="387"/>
        <v>182601.22662714747</v>
      </c>
    </row>
    <row r="616" spans="1:33" ht="14.25" customHeight="1" x14ac:dyDescent="0.35">
      <c r="A616" s="21"/>
      <c r="B616" s="28"/>
      <c r="C616" s="143" t="s">
        <v>4192</v>
      </c>
      <c r="D616" s="28" t="s">
        <v>4193</v>
      </c>
      <c r="E616" s="21"/>
      <c r="F616" s="21"/>
      <c r="G616" s="21"/>
      <c r="H616" s="21"/>
      <c r="I616" s="22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</row>
    <row r="617" spans="1:33" ht="14.25" customHeight="1" x14ac:dyDescent="0.35">
      <c r="A617" s="21"/>
      <c r="B617" s="28"/>
      <c r="C617" s="28"/>
      <c r="D617" s="175" t="s">
        <v>4123</v>
      </c>
      <c r="E617" s="175"/>
      <c r="F617" s="21"/>
      <c r="G617" s="21"/>
      <c r="H617" s="21"/>
      <c r="I617" s="22" t="s">
        <v>13</v>
      </c>
      <c r="J617" s="122">
        <v>0</v>
      </c>
      <c r="K617" s="122">
        <f t="shared" ref="K617:Q617" si="388">IF(K581=0,0,K618/K581)</f>
        <v>0</v>
      </c>
      <c r="L617" s="122">
        <f t="shared" si="388"/>
        <v>0</v>
      </c>
      <c r="M617" s="122">
        <f t="shared" si="388"/>
        <v>0</v>
      </c>
      <c r="N617" s="122">
        <f t="shared" si="388"/>
        <v>0</v>
      </c>
      <c r="O617" s="122">
        <f t="shared" si="388"/>
        <v>0</v>
      </c>
      <c r="P617" s="122">
        <f t="shared" si="388"/>
        <v>0</v>
      </c>
      <c r="Q617" s="122">
        <f t="shared" si="388"/>
        <v>0</v>
      </c>
      <c r="R617" s="126">
        <f>'Input Operasional'!Q86</f>
        <v>0</v>
      </c>
      <c r="S617" s="126">
        <f>'Input Operasional'!R86</f>
        <v>0</v>
      </c>
      <c r="T617" s="126">
        <f>'Input Operasional'!S86</f>
        <v>0</v>
      </c>
      <c r="U617" s="126">
        <f>'Input Operasional'!T86</f>
        <v>0</v>
      </c>
      <c r="V617" s="126">
        <f>'Input Operasional'!U86</f>
        <v>0</v>
      </c>
      <c r="W617" s="126">
        <f>'Input Operasional'!V86</f>
        <v>0</v>
      </c>
      <c r="X617" s="126">
        <f>'Input Operasional'!W86</f>
        <v>0</v>
      </c>
      <c r="Y617" s="126">
        <f>'Input Operasional'!X86</f>
        <v>0</v>
      </c>
      <c r="Z617" s="126">
        <f>'Input Operasional'!Y86</f>
        <v>0</v>
      </c>
      <c r="AA617" s="126">
        <f>'Input Operasional'!Z86</f>
        <v>0</v>
      </c>
      <c r="AB617" s="126">
        <f>'Input Operasional'!AA86</f>
        <v>0</v>
      </c>
      <c r="AC617" s="126">
        <f>'Input Operasional'!AB86</f>
        <v>0</v>
      </c>
      <c r="AD617" s="126">
        <f>'Input Operasional'!AC86</f>
        <v>0</v>
      </c>
      <c r="AE617" s="126">
        <f>'Input Operasional'!AD86</f>
        <v>0</v>
      </c>
      <c r="AF617" s="126">
        <f>'Input Operasional'!AE86</f>
        <v>0</v>
      </c>
      <c r="AG617" s="126">
        <f>'Input Operasional'!AF86</f>
        <v>0</v>
      </c>
    </row>
    <row r="618" spans="1:33" ht="14.25" customHeight="1" x14ac:dyDescent="0.35">
      <c r="A618" s="21"/>
      <c r="B618" s="28"/>
      <c r="C618" s="28"/>
      <c r="D618" s="175" t="s">
        <v>4108</v>
      </c>
      <c r="E618" s="175"/>
      <c r="F618" s="21"/>
      <c r="G618" s="21"/>
      <c r="H618" s="21"/>
      <c r="I618" s="22" t="s">
        <v>3900</v>
      </c>
      <c r="J618" s="132">
        <v>0</v>
      </c>
      <c r="K618" s="132">
        <v>0</v>
      </c>
      <c r="L618" s="132">
        <v>0</v>
      </c>
      <c r="M618" s="132">
        <v>0</v>
      </c>
      <c r="N618" s="132">
        <v>0</v>
      </c>
      <c r="O618" s="132">
        <v>0</v>
      </c>
      <c r="P618" s="132">
        <v>0</v>
      </c>
      <c r="Q618" s="132">
        <v>0</v>
      </c>
      <c r="R618" s="140">
        <f t="shared" ref="R618:AG618" si="389">R617*R581</f>
        <v>0</v>
      </c>
      <c r="S618" s="140">
        <f t="shared" si="389"/>
        <v>0</v>
      </c>
      <c r="T618" s="140">
        <f t="shared" si="389"/>
        <v>0</v>
      </c>
      <c r="U618" s="140">
        <f t="shared" si="389"/>
        <v>0</v>
      </c>
      <c r="V618" s="140">
        <f t="shared" si="389"/>
        <v>0</v>
      </c>
      <c r="W618" s="140">
        <f t="shared" si="389"/>
        <v>0</v>
      </c>
      <c r="X618" s="140">
        <f t="shared" si="389"/>
        <v>0</v>
      </c>
      <c r="Y618" s="140">
        <f t="shared" si="389"/>
        <v>0</v>
      </c>
      <c r="Z618" s="140">
        <f t="shared" si="389"/>
        <v>0</v>
      </c>
      <c r="AA618" s="140">
        <f t="shared" si="389"/>
        <v>0</v>
      </c>
      <c r="AB618" s="140">
        <f t="shared" si="389"/>
        <v>0</v>
      </c>
      <c r="AC618" s="140">
        <f t="shared" si="389"/>
        <v>0</v>
      </c>
      <c r="AD618" s="140">
        <f t="shared" si="389"/>
        <v>0</v>
      </c>
      <c r="AE618" s="140">
        <f t="shared" si="389"/>
        <v>0</v>
      </c>
      <c r="AF618" s="140">
        <f t="shared" si="389"/>
        <v>0</v>
      </c>
      <c r="AG618" s="140">
        <f t="shared" si="389"/>
        <v>0</v>
      </c>
    </row>
    <row r="619" spans="1:33" ht="14.25" customHeight="1" x14ac:dyDescent="0.35">
      <c r="A619" s="21"/>
      <c r="B619" s="28"/>
      <c r="C619" s="28"/>
      <c r="D619" s="175" t="s">
        <v>4061</v>
      </c>
      <c r="E619" s="175"/>
      <c r="F619" s="21"/>
      <c r="G619" s="21"/>
      <c r="H619" s="21"/>
      <c r="I619" s="22" t="s">
        <v>3861</v>
      </c>
      <c r="J619" s="132">
        <v>0</v>
      </c>
      <c r="K619" s="132">
        <v>0</v>
      </c>
      <c r="L619" s="132">
        <v>0</v>
      </c>
      <c r="M619" s="132">
        <v>0</v>
      </c>
      <c r="N619" s="132">
        <v>0</v>
      </c>
      <c r="O619" s="132">
        <v>0</v>
      </c>
      <c r="P619" s="132">
        <v>0</v>
      </c>
      <c r="Q619" s="132">
        <v>0</v>
      </c>
      <c r="R619" s="140">
        <f t="shared" ref="R619:AG619" si="390">R366</f>
        <v>34879.083979057592</v>
      </c>
      <c r="S619" s="140">
        <f t="shared" si="390"/>
        <v>33900.038425008875</v>
      </c>
      <c r="T619" s="140">
        <f t="shared" si="390"/>
        <v>33127.132905379724</v>
      </c>
      <c r="U619" s="140">
        <f t="shared" si="390"/>
        <v>32725.337495661246</v>
      </c>
      <c r="V619" s="140">
        <f t="shared" si="390"/>
        <v>32517.8604235598</v>
      </c>
      <c r="W619" s="140">
        <f t="shared" si="390"/>
        <v>32410.633919260799</v>
      </c>
      <c r="X619" s="140">
        <f t="shared" si="390"/>
        <v>32355.125367417462</v>
      </c>
      <c r="Y619" s="140">
        <f t="shared" si="390"/>
        <v>32326.430026639762</v>
      </c>
      <c r="Z619" s="140">
        <f t="shared" si="390"/>
        <v>32311.590325880832</v>
      </c>
      <c r="AA619" s="140">
        <f t="shared" si="390"/>
        <v>32303.91436445561</v>
      </c>
      <c r="AB619" s="140">
        <f t="shared" si="390"/>
        <v>32299.944974766011</v>
      </c>
      <c r="AC619" s="140">
        <f t="shared" si="390"/>
        <v>32297.892105998271</v>
      </c>
      <c r="AD619" s="140">
        <f t="shared" si="390"/>
        <v>32296.830394465778</v>
      </c>
      <c r="AE619" s="140">
        <f t="shared" si="390"/>
        <v>32296.28132016382</v>
      </c>
      <c r="AF619" s="140">
        <f t="shared" si="390"/>
        <v>32295.99735379258</v>
      </c>
      <c r="AG619" s="140">
        <f t="shared" si="390"/>
        <v>32295.850494256105</v>
      </c>
    </row>
    <row r="620" spans="1:33" ht="14.25" customHeight="1" x14ac:dyDescent="0.35">
      <c r="A620" s="21"/>
      <c r="B620" s="28"/>
      <c r="C620" s="28"/>
      <c r="D620" s="175" t="s">
        <v>4193</v>
      </c>
      <c r="E620" s="175"/>
      <c r="F620" s="21"/>
      <c r="G620" s="21"/>
      <c r="H620" s="21"/>
      <c r="I620" s="22" t="s">
        <v>4060</v>
      </c>
      <c r="J620" s="148">
        <v>0</v>
      </c>
      <c r="K620" s="148">
        <v>0</v>
      </c>
      <c r="L620" s="148">
        <v>0</v>
      </c>
      <c r="M620" s="148">
        <v>0</v>
      </c>
      <c r="N620" s="148">
        <v>0</v>
      </c>
      <c r="O620" s="148">
        <v>0</v>
      </c>
      <c r="P620" s="148">
        <v>0</v>
      </c>
      <c r="Q620" s="148">
        <v>0</v>
      </c>
      <c r="R620" s="149">
        <f t="shared" ref="R620:AG620" si="391">R618*R619</f>
        <v>0</v>
      </c>
      <c r="S620" s="149">
        <f t="shared" si="391"/>
        <v>0</v>
      </c>
      <c r="T620" s="149">
        <f t="shared" si="391"/>
        <v>0</v>
      </c>
      <c r="U620" s="149">
        <f t="shared" si="391"/>
        <v>0</v>
      </c>
      <c r="V620" s="149">
        <f t="shared" si="391"/>
        <v>0</v>
      </c>
      <c r="W620" s="149">
        <f t="shared" si="391"/>
        <v>0</v>
      </c>
      <c r="X620" s="149">
        <f t="shared" si="391"/>
        <v>0</v>
      </c>
      <c r="Y620" s="149">
        <f t="shared" si="391"/>
        <v>0</v>
      </c>
      <c r="Z620" s="149">
        <f t="shared" si="391"/>
        <v>0</v>
      </c>
      <c r="AA620" s="149">
        <f t="shared" si="391"/>
        <v>0</v>
      </c>
      <c r="AB620" s="149">
        <f t="shared" si="391"/>
        <v>0</v>
      </c>
      <c r="AC620" s="149">
        <f t="shared" si="391"/>
        <v>0</v>
      </c>
      <c r="AD620" s="149">
        <f t="shared" si="391"/>
        <v>0</v>
      </c>
      <c r="AE620" s="149">
        <f t="shared" si="391"/>
        <v>0</v>
      </c>
      <c r="AF620" s="149">
        <f t="shared" si="391"/>
        <v>0</v>
      </c>
      <c r="AG620" s="149">
        <f t="shared" si="391"/>
        <v>0</v>
      </c>
    </row>
    <row r="621" spans="1:33" ht="14.25" customHeight="1" x14ac:dyDescent="0.35">
      <c r="A621" s="21"/>
      <c r="B621" s="28"/>
      <c r="C621" s="143" t="s">
        <v>4194</v>
      </c>
      <c r="D621" s="179" t="s">
        <v>4076</v>
      </c>
      <c r="E621" s="21"/>
      <c r="F621" s="21"/>
      <c r="G621" s="21"/>
      <c r="H621" s="21"/>
      <c r="I621" s="22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</row>
    <row r="622" spans="1:33" ht="14.25" customHeight="1" x14ac:dyDescent="0.35">
      <c r="A622" s="21"/>
      <c r="B622" s="28"/>
      <c r="C622" s="28"/>
      <c r="D622" s="175" t="s">
        <v>4123</v>
      </c>
      <c r="E622" s="175"/>
      <c r="F622" s="21"/>
      <c r="G622" s="21"/>
      <c r="H622" s="21"/>
      <c r="I622" s="22" t="s">
        <v>13</v>
      </c>
      <c r="J622" s="122">
        <v>0</v>
      </c>
      <c r="K622" s="122">
        <f t="shared" ref="K622:Q622" si="392">IF(K582=0,0,K623/K582)</f>
        <v>2.0147073637554143E-2</v>
      </c>
      <c r="L622" s="122">
        <f t="shared" si="392"/>
        <v>1.7871017871017872E-2</v>
      </c>
      <c r="M622" s="122">
        <f t="shared" si="392"/>
        <v>1.7337523570081708E-2</v>
      </c>
      <c r="N622" s="122">
        <f t="shared" si="392"/>
        <v>2.0212595266746892E-2</v>
      </c>
      <c r="O622" s="122">
        <f t="shared" si="392"/>
        <v>2.0330209425855127E-2</v>
      </c>
      <c r="P622" s="122">
        <f t="shared" si="392"/>
        <v>2.3161153471306543E-2</v>
      </c>
      <c r="Q622" s="122">
        <f t="shared" si="392"/>
        <v>2.0160735645933014E-2</v>
      </c>
      <c r="R622" s="126">
        <f>'Input Operasional'!Q90</f>
        <v>2.0339075921734853E-2</v>
      </c>
      <c r="S622" s="126">
        <f>'Input Operasional'!R90</f>
        <v>2.0339075921734853E-2</v>
      </c>
      <c r="T622" s="126">
        <f>'Input Operasional'!S90</f>
        <v>2.0339075921734853E-2</v>
      </c>
      <c r="U622" s="126">
        <f>'Input Operasional'!T90</f>
        <v>2.0339075921734853E-2</v>
      </c>
      <c r="V622" s="126">
        <f>'Input Operasional'!U90</f>
        <v>2.0339075921734853E-2</v>
      </c>
      <c r="W622" s="126">
        <f>'Input Operasional'!V90</f>
        <v>2.0339075921734853E-2</v>
      </c>
      <c r="X622" s="126">
        <f>'Input Operasional'!W90</f>
        <v>2.0339075921734853E-2</v>
      </c>
      <c r="Y622" s="126">
        <f>'Input Operasional'!X90</f>
        <v>2.0339075921734853E-2</v>
      </c>
      <c r="Z622" s="126">
        <f>'Input Operasional'!Y90</f>
        <v>2.0339075921734853E-2</v>
      </c>
      <c r="AA622" s="126">
        <f>'Input Operasional'!Z90</f>
        <v>2.0339075921734853E-2</v>
      </c>
      <c r="AB622" s="126">
        <f>'Input Operasional'!AA90</f>
        <v>2.0339075921734853E-2</v>
      </c>
      <c r="AC622" s="126">
        <f>'Input Operasional'!AB90</f>
        <v>2.0339075921734853E-2</v>
      </c>
      <c r="AD622" s="126">
        <f>'Input Operasional'!AC90</f>
        <v>2.0339075921734853E-2</v>
      </c>
      <c r="AE622" s="126">
        <f>'Input Operasional'!AD90</f>
        <v>2.0339075921734853E-2</v>
      </c>
      <c r="AF622" s="126">
        <f>'Input Operasional'!AE90</f>
        <v>2.0339075921734853E-2</v>
      </c>
      <c r="AG622" s="126">
        <f>'Input Operasional'!AF90</f>
        <v>2.0339075921734853E-2</v>
      </c>
    </row>
    <row r="623" spans="1:33" ht="14.25" customHeight="1" x14ac:dyDescent="0.35">
      <c r="A623" s="21"/>
      <c r="B623" s="28"/>
      <c r="C623" s="28"/>
      <c r="D623" s="175" t="s">
        <v>4108</v>
      </c>
      <c r="E623" s="175"/>
      <c r="F623" s="21"/>
      <c r="G623" s="21"/>
      <c r="H623" s="21"/>
      <c r="I623" s="22" t="s">
        <v>3900</v>
      </c>
      <c r="J623" s="132">
        <v>0</v>
      </c>
      <c r="K623" s="132">
        <v>40</v>
      </c>
      <c r="L623" s="132">
        <v>23</v>
      </c>
      <c r="M623" s="132">
        <v>103.44</v>
      </c>
      <c r="N623" s="132">
        <v>100.78</v>
      </c>
      <c r="O623" s="132">
        <v>300.45</v>
      </c>
      <c r="P623" s="132">
        <v>202</v>
      </c>
      <c r="Q623" s="132">
        <v>269.67</v>
      </c>
      <c r="R623" s="140">
        <f t="shared" ref="R623:AG623" si="393">R622*R582</f>
        <v>131.23840099802246</v>
      </c>
      <c r="S623" s="140">
        <f t="shared" si="393"/>
        <v>131.23840099802246</v>
      </c>
      <c r="T623" s="140">
        <f t="shared" si="393"/>
        <v>131.23840099802246</v>
      </c>
      <c r="U623" s="140">
        <f t="shared" si="393"/>
        <v>131.23840099802246</v>
      </c>
      <c r="V623" s="140">
        <f t="shared" si="393"/>
        <v>131.23840099802246</v>
      </c>
      <c r="W623" s="140">
        <f t="shared" si="393"/>
        <v>131.23840099802246</v>
      </c>
      <c r="X623" s="140">
        <f t="shared" si="393"/>
        <v>131.23840099802246</v>
      </c>
      <c r="Y623" s="140">
        <f t="shared" si="393"/>
        <v>131.23840099802246</v>
      </c>
      <c r="Z623" s="140">
        <f t="shared" si="393"/>
        <v>131.23840099802246</v>
      </c>
      <c r="AA623" s="140">
        <f t="shared" si="393"/>
        <v>131.23840099802246</v>
      </c>
      <c r="AB623" s="140">
        <f t="shared" si="393"/>
        <v>131.23840099802246</v>
      </c>
      <c r="AC623" s="140">
        <f t="shared" si="393"/>
        <v>131.23840099802246</v>
      </c>
      <c r="AD623" s="140">
        <f t="shared" si="393"/>
        <v>131.23840099802246</v>
      </c>
      <c r="AE623" s="140">
        <f t="shared" si="393"/>
        <v>131.23840099802246</v>
      </c>
      <c r="AF623" s="140">
        <f t="shared" si="393"/>
        <v>131.23840099802246</v>
      </c>
      <c r="AG623" s="140">
        <f t="shared" si="393"/>
        <v>131.23840099802246</v>
      </c>
    </row>
    <row r="624" spans="1:33" ht="14.25" customHeight="1" x14ac:dyDescent="0.35">
      <c r="A624" s="21"/>
      <c r="B624" s="28"/>
      <c r="C624" s="28"/>
      <c r="D624" s="175" t="s">
        <v>4061</v>
      </c>
      <c r="E624" s="175"/>
      <c r="F624" s="21"/>
      <c r="G624" s="21"/>
      <c r="H624" s="21"/>
      <c r="I624" s="22" t="s">
        <v>3861</v>
      </c>
      <c r="J624" s="132">
        <v>0</v>
      </c>
      <c r="K624" s="132">
        <v>26499.999016301001</v>
      </c>
      <c r="L624" s="132">
        <v>26499.999873071101</v>
      </c>
      <c r="M624" s="132">
        <v>26499.999936188698</v>
      </c>
      <c r="N624" s="132">
        <v>37274.509787155497</v>
      </c>
      <c r="O624" s="132">
        <v>38456.327976376801</v>
      </c>
      <c r="P624" s="132">
        <v>35344.844614267597</v>
      </c>
      <c r="Q624" s="132">
        <v>33799.844959105903</v>
      </c>
      <c r="R624" s="140">
        <f t="shared" ref="R624:AG624" si="394">R382</f>
        <v>32690.535619065857</v>
      </c>
      <c r="S624" s="140">
        <f t="shared" si="394"/>
        <v>32219.380208561117</v>
      </c>
      <c r="T624" s="140">
        <f t="shared" si="394"/>
        <v>32008.239075479058</v>
      </c>
      <c r="U624" s="140">
        <f t="shared" si="394"/>
        <v>31912.826877100772</v>
      </c>
      <c r="V624" s="140">
        <f t="shared" si="394"/>
        <v>31869.937654707104</v>
      </c>
      <c r="W624" s="140">
        <f t="shared" si="394"/>
        <v>31850.644231735252</v>
      </c>
      <c r="X624" s="140">
        <f t="shared" si="394"/>
        <v>31841.954209195061</v>
      </c>
      <c r="Y624" s="140">
        <f t="shared" si="394"/>
        <v>31838.044361893579</v>
      </c>
      <c r="Z624" s="140">
        <f t="shared" si="394"/>
        <v>31836.28469550993</v>
      </c>
      <c r="AA624" s="140">
        <f t="shared" si="394"/>
        <v>31835.492612546288</v>
      </c>
      <c r="AB624" s="140">
        <f t="shared" si="394"/>
        <v>31835.136144513068</v>
      </c>
      <c r="AC624" s="140">
        <f t="shared" si="394"/>
        <v>31834.975706409045</v>
      </c>
      <c r="AD624" s="140">
        <f t="shared" si="394"/>
        <v>31834.903495981693</v>
      </c>
      <c r="AE624" s="140">
        <f t="shared" si="394"/>
        <v>31834.8709965079</v>
      </c>
      <c r="AF624" s="140">
        <f t="shared" si="394"/>
        <v>31834.856369295238</v>
      </c>
      <c r="AG624" s="140">
        <f t="shared" si="394"/>
        <v>31834.849785955608</v>
      </c>
    </row>
    <row r="625" spans="1:33" ht="14.25" customHeight="1" x14ac:dyDescent="0.35">
      <c r="A625" s="21"/>
      <c r="B625" s="28"/>
      <c r="C625" s="28"/>
      <c r="D625" s="175" t="s">
        <v>4076</v>
      </c>
      <c r="E625" s="175"/>
      <c r="F625" s="21"/>
      <c r="G625" s="21"/>
      <c r="H625" s="21"/>
      <c r="I625" s="22" t="s">
        <v>4060</v>
      </c>
      <c r="J625" s="148">
        <v>0</v>
      </c>
      <c r="K625" s="148">
        <f t="shared" ref="K625:AG625" si="395">K623*K624</f>
        <v>1059999.9606520401</v>
      </c>
      <c r="L625" s="148">
        <f t="shared" si="395"/>
        <v>609499.99708063528</v>
      </c>
      <c r="M625" s="148">
        <f t="shared" si="395"/>
        <v>2741159.9933993588</v>
      </c>
      <c r="N625" s="148">
        <f t="shared" si="395"/>
        <v>3756525.0963495309</v>
      </c>
      <c r="O625" s="148">
        <f t="shared" si="395"/>
        <v>11554203.74050241</v>
      </c>
      <c r="P625" s="148">
        <f t="shared" si="395"/>
        <v>7139658.6120820548</v>
      </c>
      <c r="Q625" s="148">
        <f t="shared" si="395"/>
        <v>9114804.1901220903</v>
      </c>
      <c r="R625" s="149">
        <f t="shared" si="395"/>
        <v>4290253.6224151012</v>
      </c>
      <c r="S625" s="149">
        <f t="shared" si="395"/>
        <v>4228419.9397188919</v>
      </c>
      <c r="T625" s="149">
        <f t="shared" si="395"/>
        <v>4200710.1150282919</v>
      </c>
      <c r="U625" s="149">
        <f t="shared" si="395"/>
        <v>4188188.3706774199</v>
      </c>
      <c r="V625" s="149">
        <f t="shared" si="395"/>
        <v>4182559.6577104265</v>
      </c>
      <c r="W625" s="149">
        <f t="shared" si="395"/>
        <v>4180027.619729822</v>
      </c>
      <c r="X625" s="149">
        <f t="shared" si="395"/>
        <v>4178887.1550670103</v>
      </c>
      <c r="Y625" s="149">
        <f t="shared" si="395"/>
        <v>4178374.0329590174</v>
      </c>
      <c r="Z625" s="149">
        <f t="shared" si="395"/>
        <v>4178143.0971565377</v>
      </c>
      <c r="AA625" s="149">
        <f t="shared" si="395"/>
        <v>4178039.1454549311</v>
      </c>
      <c r="AB625" s="149">
        <f t="shared" si="395"/>
        <v>4177992.3631602447</v>
      </c>
      <c r="AC625" s="149">
        <f t="shared" si="395"/>
        <v>4177971.3075200133</v>
      </c>
      <c r="AD625" s="149">
        <f t="shared" si="395"/>
        <v>4177961.8307389924</v>
      </c>
      <c r="AE625" s="149">
        <f t="shared" si="395"/>
        <v>4177957.5655600186</v>
      </c>
      <c r="AF625" s="149">
        <f t="shared" si="395"/>
        <v>4177955.6459080176</v>
      </c>
      <c r="AG625" s="149">
        <f t="shared" si="395"/>
        <v>4177954.7819210514</v>
      </c>
    </row>
    <row r="626" spans="1:33" ht="14.25" customHeight="1" x14ac:dyDescent="0.35">
      <c r="A626" s="21"/>
      <c r="B626" s="28"/>
      <c r="C626" s="143" t="s">
        <v>4195</v>
      </c>
      <c r="D626" s="179" t="s">
        <v>4127</v>
      </c>
      <c r="E626" s="21"/>
      <c r="F626" s="21"/>
      <c r="G626" s="21"/>
      <c r="H626" s="21"/>
      <c r="I626" s="22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</row>
    <row r="627" spans="1:33" ht="14.25" customHeight="1" x14ac:dyDescent="0.35">
      <c r="A627" s="21"/>
      <c r="B627" s="28"/>
      <c r="C627" s="28"/>
      <c r="D627" s="175" t="s">
        <v>4112</v>
      </c>
      <c r="E627" s="175"/>
      <c r="F627" s="21"/>
      <c r="G627" s="21"/>
      <c r="H627" s="21"/>
      <c r="I627" s="22" t="s">
        <v>13</v>
      </c>
      <c r="J627" s="122">
        <v>0</v>
      </c>
      <c r="K627" s="122">
        <f t="shared" ref="K627:Q627" si="396">IF(K581=0,0,K628/K581)</f>
        <v>0</v>
      </c>
      <c r="L627" s="122">
        <f t="shared" si="396"/>
        <v>0</v>
      </c>
      <c r="M627" s="122">
        <f t="shared" si="396"/>
        <v>0</v>
      </c>
      <c r="N627" s="122">
        <f t="shared" si="396"/>
        <v>0</v>
      </c>
      <c r="O627" s="122">
        <f t="shared" si="396"/>
        <v>0</v>
      </c>
      <c r="P627" s="122">
        <f t="shared" si="396"/>
        <v>0</v>
      </c>
      <c r="Q627" s="122">
        <f t="shared" si="396"/>
        <v>0</v>
      </c>
      <c r="R627" s="126">
        <f>'Input Operasional'!Q94</f>
        <v>0</v>
      </c>
      <c r="S627" s="126">
        <f>'Input Operasional'!R94</f>
        <v>0</v>
      </c>
      <c r="T627" s="126">
        <f>'Input Operasional'!S94</f>
        <v>0</v>
      </c>
      <c r="U627" s="126">
        <f>'Input Operasional'!T94</f>
        <v>0</v>
      </c>
      <c r="V627" s="126">
        <f>'Input Operasional'!U94</f>
        <v>0</v>
      </c>
      <c r="W627" s="126">
        <f>'Input Operasional'!V94</f>
        <v>0</v>
      </c>
      <c r="X627" s="126">
        <f>'Input Operasional'!W94</f>
        <v>0</v>
      </c>
      <c r="Y627" s="126">
        <f>'Input Operasional'!X94</f>
        <v>0</v>
      </c>
      <c r="Z627" s="126">
        <f>'Input Operasional'!Y94</f>
        <v>0</v>
      </c>
      <c r="AA627" s="126">
        <f>'Input Operasional'!Z94</f>
        <v>0</v>
      </c>
      <c r="AB627" s="126">
        <f>'Input Operasional'!AA94</f>
        <v>0</v>
      </c>
      <c r="AC627" s="126">
        <f>'Input Operasional'!AB94</f>
        <v>0</v>
      </c>
      <c r="AD627" s="126">
        <f>'Input Operasional'!AC94</f>
        <v>0</v>
      </c>
      <c r="AE627" s="126">
        <f>'Input Operasional'!AD94</f>
        <v>0</v>
      </c>
      <c r="AF627" s="126">
        <f>'Input Operasional'!AE94</f>
        <v>0</v>
      </c>
      <c r="AG627" s="126">
        <f>'Input Operasional'!AF94</f>
        <v>0</v>
      </c>
    </row>
    <row r="628" spans="1:33" ht="14.25" customHeight="1" x14ac:dyDescent="0.35">
      <c r="A628" s="21"/>
      <c r="B628" s="28"/>
      <c r="C628" s="28"/>
      <c r="D628" s="175" t="s">
        <v>4108</v>
      </c>
      <c r="E628" s="175"/>
      <c r="F628" s="21"/>
      <c r="G628" s="21"/>
      <c r="H628" s="21"/>
      <c r="I628" s="22" t="s">
        <v>4128</v>
      </c>
      <c r="J628" s="132">
        <v>0</v>
      </c>
      <c r="K628" s="132">
        <v>0</v>
      </c>
      <c r="L628" s="132">
        <v>0</v>
      </c>
      <c r="M628" s="132">
        <v>0</v>
      </c>
      <c r="N628" s="132">
        <v>0</v>
      </c>
      <c r="O628" s="132">
        <v>0</v>
      </c>
      <c r="P628" s="132">
        <v>0</v>
      </c>
      <c r="Q628" s="132">
        <v>0</v>
      </c>
      <c r="R628" s="140">
        <f t="shared" ref="R628:AG628" si="397">R627*R581</f>
        <v>0</v>
      </c>
      <c r="S628" s="140">
        <f t="shared" si="397"/>
        <v>0</v>
      </c>
      <c r="T628" s="140">
        <f t="shared" si="397"/>
        <v>0</v>
      </c>
      <c r="U628" s="140">
        <f t="shared" si="397"/>
        <v>0</v>
      </c>
      <c r="V628" s="140">
        <f t="shared" si="397"/>
        <v>0</v>
      </c>
      <c r="W628" s="140">
        <f t="shared" si="397"/>
        <v>0</v>
      </c>
      <c r="X628" s="140">
        <f t="shared" si="397"/>
        <v>0</v>
      </c>
      <c r="Y628" s="140">
        <f t="shared" si="397"/>
        <v>0</v>
      </c>
      <c r="Z628" s="140">
        <f t="shared" si="397"/>
        <v>0</v>
      </c>
      <c r="AA628" s="140">
        <f t="shared" si="397"/>
        <v>0</v>
      </c>
      <c r="AB628" s="140">
        <f t="shared" si="397"/>
        <v>0</v>
      </c>
      <c r="AC628" s="140">
        <f t="shared" si="397"/>
        <v>0</v>
      </c>
      <c r="AD628" s="140">
        <f t="shared" si="397"/>
        <v>0</v>
      </c>
      <c r="AE628" s="140">
        <f t="shared" si="397"/>
        <v>0</v>
      </c>
      <c r="AF628" s="140">
        <f t="shared" si="397"/>
        <v>0</v>
      </c>
      <c r="AG628" s="140">
        <f t="shared" si="397"/>
        <v>0</v>
      </c>
    </row>
    <row r="629" spans="1:33" ht="14.25" customHeight="1" x14ac:dyDescent="0.35">
      <c r="A629" s="21"/>
      <c r="B629" s="28"/>
      <c r="C629" s="28"/>
      <c r="D629" s="175" t="s">
        <v>4061</v>
      </c>
      <c r="E629" s="175"/>
      <c r="F629" s="21"/>
      <c r="G629" s="21"/>
      <c r="H629" s="21"/>
      <c r="I629" s="22" t="s">
        <v>3861</v>
      </c>
      <c r="J629" s="132">
        <v>0</v>
      </c>
      <c r="K629" s="132">
        <v>0</v>
      </c>
      <c r="L629" s="132">
        <v>0</v>
      </c>
      <c r="M629" s="132">
        <v>0</v>
      </c>
      <c r="N629" s="132">
        <v>0</v>
      </c>
      <c r="O629" s="132">
        <v>0</v>
      </c>
      <c r="P629" s="132">
        <v>0</v>
      </c>
      <c r="Q629" s="132">
        <v>0</v>
      </c>
      <c r="R629" s="140">
        <f t="shared" ref="R629:AG629" si="398">R398</f>
        <v>9375.2135813817094</v>
      </c>
      <c r="S629" s="140">
        <f t="shared" si="398"/>
        <v>9281.2402065806818</v>
      </c>
      <c r="T629" s="140">
        <f t="shared" si="398"/>
        <v>9211.7681677924083</v>
      </c>
      <c r="U629" s="140">
        <f t="shared" si="398"/>
        <v>9159.1827339562169</v>
      </c>
      <c r="V629" s="140">
        <f t="shared" si="398"/>
        <v>9119.9142145681471</v>
      </c>
      <c r="W629" s="140">
        <f t="shared" si="398"/>
        <v>9090.556516700728</v>
      </c>
      <c r="X629" s="140">
        <f t="shared" si="398"/>
        <v>9068.526122139252</v>
      </c>
      <c r="Y629" s="140">
        <f t="shared" si="398"/>
        <v>9052.0416907372819</v>
      </c>
      <c r="Z629" s="140">
        <f t="shared" si="398"/>
        <v>9039.6987938168313</v>
      </c>
      <c r="AA629" s="140">
        <f t="shared" si="398"/>
        <v>9030.4521948995316</v>
      </c>
      <c r="AB629" s="140">
        <f t="shared" si="398"/>
        <v>9023.5290742339803</v>
      </c>
      <c r="AC629" s="140">
        <f t="shared" si="398"/>
        <v>9018.3445225179694</v>
      </c>
      <c r="AD629" s="140">
        <f t="shared" si="398"/>
        <v>9014.4617443639509</v>
      </c>
      <c r="AE629" s="140">
        <f t="shared" si="398"/>
        <v>9011.5541793908142</v>
      </c>
      <c r="AF629" s="140">
        <f t="shared" si="398"/>
        <v>9009.3767774583412</v>
      </c>
      <c r="AG629" s="140">
        <f t="shared" si="398"/>
        <v>9007.7461763431984</v>
      </c>
    </row>
    <row r="630" spans="1:33" ht="14.25" customHeight="1" x14ac:dyDescent="0.35">
      <c r="A630" s="21"/>
      <c r="B630" s="28"/>
      <c r="C630" s="28"/>
      <c r="D630" s="175" t="s">
        <v>4127</v>
      </c>
      <c r="E630" s="175"/>
      <c r="F630" s="21"/>
      <c r="G630" s="21"/>
      <c r="H630" s="21"/>
      <c r="I630" s="22" t="s">
        <v>4060</v>
      </c>
      <c r="J630" s="148">
        <v>0</v>
      </c>
      <c r="K630" s="148">
        <v>0</v>
      </c>
      <c r="L630" s="148">
        <v>0</v>
      </c>
      <c r="M630" s="148">
        <v>0</v>
      </c>
      <c r="N630" s="148">
        <v>0</v>
      </c>
      <c r="O630" s="148">
        <v>0</v>
      </c>
      <c r="P630" s="148">
        <v>0</v>
      </c>
      <c r="Q630" s="148">
        <v>0</v>
      </c>
      <c r="R630" s="149">
        <f t="shared" ref="R630:AG630" si="399">R628*R629</f>
        <v>0</v>
      </c>
      <c r="S630" s="149">
        <f t="shared" si="399"/>
        <v>0</v>
      </c>
      <c r="T630" s="149">
        <f t="shared" si="399"/>
        <v>0</v>
      </c>
      <c r="U630" s="149">
        <f t="shared" si="399"/>
        <v>0</v>
      </c>
      <c r="V630" s="149">
        <f t="shared" si="399"/>
        <v>0</v>
      </c>
      <c r="W630" s="149">
        <f t="shared" si="399"/>
        <v>0</v>
      </c>
      <c r="X630" s="149">
        <f t="shared" si="399"/>
        <v>0</v>
      </c>
      <c r="Y630" s="149">
        <f t="shared" si="399"/>
        <v>0</v>
      </c>
      <c r="Z630" s="149">
        <f t="shared" si="399"/>
        <v>0</v>
      </c>
      <c r="AA630" s="149">
        <f t="shared" si="399"/>
        <v>0</v>
      </c>
      <c r="AB630" s="149">
        <f t="shared" si="399"/>
        <v>0</v>
      </c>
      <c r="AC630" s="149">
        <f t="shared" si="399"/>
        <v>0</v>
      </c>
      <c r="AD630" s="149">
        <f t="shared" si="399"/>
        <v>0</v>
      </c>
      <c r="AE630" s="149">
        <f t="shared" si="399"/>
        <v>0</v>
      </c>
      <c r="AF630" s="149">
        <f t="shared" si="399"/>
        <v>0</v>
      </c>
      <c r="AG630" s="149">
        <f t="shared" si="399"/>
        <v>0</v>
      </c>
    </row>
    <row r="631" spans="1:33" ht="14.25" customHeight="1" x14ac:dyDescent="0.35">
      <c r="A631" s="21"/>
      <c r="B631" s="28"/>
      <c r="C631" s="143" t="s">
        <v>4196</v>
      </c>
      <c r="D631" s="28" t="s">
        <v>4197</v>
      </c>
      <c r="E631" s="21"/>
      <c r="F631" s="21"/>
      <c r="G631" s="21"/>
      <c r="H631" s="21"/>
      <c r="I631" s="22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</row>
    <row r="632" spans="1:33" ht="14.25" customHeight="1" x14ac:dyDescent="0.35">
      <c r="A632" s="21"/>
      <c r="B632" s="28"/>
      <c r="C632" s="28"/>
      <c r="D632" s="175" t="s">
        <v>4130</v>
      </c>
      <c r="E632" s="175"/>
      <c r="F632" s="21"/>
      <c r="G632" s="21"/>
      <c r="H632" s="21"/>
      <c r="I632" s="22" t="s">
        <v>13</v>
      </c>
      <c r="J632" s="122">
        <v>0</v>
      </c>
      <c r="K632" s="122">
        <v>0</v>
      </c>
      <c r="L632" s="122">
        <v>0</v>
      </c>
      <c r="M632" s="122">
        <v>0</v>
      </c>
      <c r="N632" s="122">
        <v>0</v>
      </c>
      <c r="O632" s="122">
        <v>0</v>
      </c>
      <c r="P632" s="180">
        <v>0</v>
      </c>
      <c r="Q632" s="122">
        <v>0</v>
      </c>
      <c r="R632" s="126">
        <v>0</v>
      </c>
      <c r="S632" s="126">
        <v>0</v>
      </c>
      <c r="T632" s="126">
        <v>0</v>
      </c>
      <c r="U632" s="126">
        <v>0</v>
      </c>
      <c r="V632" s="126">
        <v>0</v>
      </c>
      <c r="W632" s="126">
        <v>0</v>
      </c>
      <c r="X632" s="126">
        <v>0</v>
      </c>
      <c r="Y632" s="126">
        <v>0</v>
      </c>
      <c r="Z632" s="126">
        <v>0</v>
      </c>
      <c r="AA632" s="126">
        <v>0</v>
      </c>
      <c r="AB632" s="126">
        <v>0</v>
      </c>
      <c r="AC632" s="126">
        <v>0</v>
      </c>
      <c r="AD632" s="126">
        <v>0</v>
      </c>
      <c r="AE632" s="126">
        <v>0</v>
      </c>
      <c r="AF632" s="126">
        <v>0</v>
      </c>
      <c r="AG632" s="126">
        <v>0</v>
      </c>
    </row>
    <row r="633" spans="1:33" ht="14.25" customHeight="1" x14ac:dyDescent="0.35">
      <c r="A633" s="21"/>
      <c r="B633" s="28"/>
      <c r="C633" s="28"/>
      <c r="D633" s="175" t="s">
        <v>4131</v>
      </c>
      <c r="E633" s="175"/>
      <c r="F633" s="21"/>
      <c r="G633" s="21"/>
      <c r="H633" s="21"/>
      <c r="I633" s="22" t="s">
        <v>4128</v>
      </c>
      <c r="J633" s="148">
        <v>6012254.8387096804</v>
      </c>
      <c r="K633" s="148">
        <v>1839748.2335828301</v>
      </c>
      <c r="L633" s="148">
        <v>88463.152861848401</v>
      </c>
      <c r="M633" s="148">
        <v>2179557.91673717</v>
      </c>
      <c r="N633" s="148">
        <v>231320.23178072899</v>
      </c>
      <c r="O633" s="148">
        <v>705148.30116316595</v>
      </c>
      <c r="P633" s="148">
        <v>605706.36442275799</v>
      </c>
      <c r="Q633" s="148">
        <v>657006.31456561398</v>
      </c>
      <c r="R633" s="149">
        <v>0</v>
      </c>
      <c r="S633" s="149">
        <v>0</v>
      </c>
      <c r="T633" s="149">
        <v>0</v>
      </c>
      <c r="U633" s="149">
        <v>0</v>
      </c>
      <c r="V633" s="149">
        <v>0</v>
      </c>
      <c r="W633" s="149">
        <v>0</v>
      </c>
      <c r="X633" s="149">
        <v>0</v>
      </c>
      <c r="Y633" s="149">
        <v>0</v>
      </c>
      <c r="Z633" s="149">
        <v>0</v>
      </c>
      <c r="AA633" s="149">
        <v>0</v>
      </c>
      <c r="AB633" s="149">
        <v>0</v>
      </c>
      <c r="AC633" s="149">
        <v>0</v>
      </c>
      <c r="AD633" s="149">
        <v>0</v>
      </c>
      <c r="AE633" s="149">
        <v>0</v>
      </c>
      <c r="AF633" s="149">
        <v>0</v>
      </c>
      <c r="AG633" s="149">
        <v>0</v>
      </c>
    </row>
    <row r="634" spans="1:33" ht="14.25" customHeight="1" x14ac:dyDescent="0.35">
      <c r="A634" s="21"/>
      <c r="B634" s="28"/>
      <c r="C634" s="143" t="s">
        <v>4198</v>
      </c>
      <c r="D634" s="28" t="s">
        <v>34</v>
      </c>
      <c r="E634" s="21"/>
      <c r="F634" s="21"/>
      <c r="G634" s="21"/>
      <c r="H634" s="21"/>
      <c r="I634" s="22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</row>
    <row r="635" spans="1:33" ht="14.25" customHeight="1" x14ac:dyDescent="0.35">
      <c r="A635" s="21"/>
      <c r="B635" s="28"/>
      <c r="C635" s="28"/>
      <c r="D635" s="175" t="s">
        <v>4133</v>
      </c>
      <c r="E635" s="175"/>
      <c r="F635" s="21"/>
      <c r="G635" s="21"/>
      <c r="H635" s="21"/>
      <c r="I635" s="22" t="s">
        <v>3900</v>
      </c>
      <c r="J635" s="132">
        <f t="shared" ref="J635:AG635" si="400">J587</f>
        <v>12351</v>
      </c>
      <c r="K635" s="132">
        <f t="shared" si="400"/>
        <v>6782</v>
      </c>
      <c r="L635" s="132">
        <f t="shared" si="400"/>
        <v>3705</v>
      </c>
      <c r="M635" s="132">
        <f t="shared" si="400"/>
        <v>19407</v>
      </c>
      <c r="N635" s="132">
        <f t="shared" si="400"/>
        <v>17331.8</v>
      </c>
      <c r="O635" s="132">
        <f t="shared" si="400"/>
        <v>50626</v>
      </c>
      <c r="P635" s="132">
        <f t="shared" si="400"/>
        <v>25155</v>
      </c>
      <c r="Q635" s="132">
        <f t="shared" si="400"/>
        <v>41864</v>
      </c>
      <c r="R635" s="140">
        <f t="shared" si="400"/>
        <v>20195.01474070855</v>
      </c>
      <c r="S635" s="140">
        <f t="shared" si="400"/>
        <v>20195.01474070855</v>
      </c>
      <c r="T635" s="140">
        <f t="shared" si="400"/>
        <v>20195.01474070855</v>
      </c>
      <c r="U635" s="140">
        <f t="shared" si="400"/>
        <v>20195.01474070855</v>
      </c>
      <c r="V635" s="140">
        <f t="shared" si="400"/>
        <v>20195.01474070855</v>
      </c>
      <c r="W635" s="140">
        <f t="shared" si="400"/>
        <v>20195.01474070855</v>
      </c>
      <c r="X635" s="140">
        <f t="shared" si="400"/>
        <v>20195.01474070855</v>
      </c>
      <c r="Y635" s="140">
        <f t="shared" si="400"/>
        <v>20195.01474070855</v>
      </c>
      <c r="Z635" s="140">
        <f t="shared" si="400"/>
        <v>20195.01474070855</v>
      </c>
      <c r="AA635" s="140">
        <f t="shared" si="400"/>
        <v>20195.01474070855</v>
      </c>
      <c r="AB635" s="140">
        <f t="shared" si="400"/>
        <v>20195.01474070855</v>
      </c>
      <c r="AC635" s="140">
        <f t="shared" si="400"/>
        <v>20195.01474070855</v>
      </c>
      <c r="AD635" s="140">
        <f t="shared" si="400"/>
        <v>20195.01474070855</v>
      </c>
      <c r="AE635" s="140">
        <f t="shared" si="400"/>
        <v>20195.01474070855</v>
      </c>
      <c r="AF635" s="140">
        <f t="shared" si="400"/>
        <v>20195.01474070855</v>
      </c>
      <c r="AG635" s="140">
        <f t="shared" si="400"/>
        <v>20195.01474070855</v>
      </c>
    </row>
    <row r="636" spans="1:33" ht="14.25" customHeight="1" x14ac:dyDescent="0.35">
      <c r="A636" s="21"/>
      <c r="B636" s="28"/>
      <c r="C636" s="28"/>
      <c r="D636" s="175" t="s">
        <v>4134</v>
      </c>
      <c r="E636" s="175"/>
      <c r="F636" s="21"/>
      <c r="G636" s="21"/>
      <c r="H636" s="21"/>
      <c r="I636" s="22" t="s">
        <v>13</v>
      </c>
      <c r="J636" s="122">
        <f t="shared" ref="J636:Q636" si="401">J637/J635</f>
        <v>0</v>
      </c>
      <c r="K636" s="122">
        <f t="shared" si="401"/>
        <v>0</v>
      </c>
      <c r="L636" s="122">
        <f t="shared" si="401"/>
        <v>0</v>
      </c>
      <c r="M636" s="122">
        <f t="shared" si="401"/>
        <v>0</v>
      </c>
      <c r="N636" s="122">
        <f t="shared" si="401"/>
        <v>0</v>
      </c>
      <c r="O636" s="122">
        <f t="shared" si="401"/>
        <v>0</v>
      </c>
      <c r="P636" s="122">
        <f t="shared" si="401"/>
        <v>0</v>
      </c>
      <c r="Q636" s="122">
        <f t="shared" si="401"/>
        <v>0</v>
      </c>
      <c r="R636" s="126">
        <v>1</v>
      </c>
      <c r="S636" s="126">
        <v>1</v>
      </c>
      <c r="T636" s="126">
        <v>1</v>
      </c>
      <c r="U636" s="126">
        <v>1</v>
      </c>
      <c r="V636" s="126">
        <v>1</v>
      </c>
      <c r="W636" s="126">
        <v>1</v>
      </c>
      <c r="X636" s="126">
        <v>1</v>
      </c>
      <c r="Y636" s="126">
        <v>1</v>
      </c>
      <c r="Z636" s="126">
        <v>1</v>
      </c>
      <c r="AA636" s="126">
        <v>1</v>
      </c>
      <c r="AB636" s="126">
        <v>1</v>
      </c>
      <c r="AC636" s="126">
        <v>1</v>
      </c>
      <c r="AD636" s="126">
        <v>1</v>
      </c>
      <c r="AE636" s="126">
        <v>1</v>
      </c>
      <c r="AF636" s="126">
        <v>1</v>
      </c>
      <c r="AG636" s="126">
        <v>1</v>
      </c>
    </row>
    <row r="637" spans="1:33" ht="14.25" customHeight="1" x14ac:dyDescent="0.35">
      <c r="A637" s="21"/>
      <c r="B637" s="28"/>
      <c r="C637" s="28"/>
      <c r="D637" s="175" t="s">
        <v>4135</v>
      </c>
      <c r="E637" s="175"/>
      <c r="F637" s="21"/>
      <c r="G637" s="21"/>
      <c r="H637" s="21"/>
      <c r="I637" s="22" t="s">
        <v>3900</v>
      </c>
      <c r="J637" s="132">
        <v>0</v>
      </c>
      <c r="K637" s="132">
        <v>0</v>
      </c>
      <c r="L637" s="132">
        <v>0</v>
      </c>
      <c r="M637" s="132">
        <v>0</v>
      </c>
      <c r="N637" s="132">
        <v>0</v>
      </c>
      <c r="O637" s="132">
        <v>0</v>
      </c>
      <c r="P637" s="132">
        <v>0</v>
      </c>
      <c r="Q637" s="132">
        <v>0</v>
      </c>
      <c r="R637" s="140">
        <v>0</v>
      </c>
      <c r="S637" s="140">
        <v>0</v>
      </c>
      <c r="T637" s="140">
        <v>0</v>
      </c>
      <c r="U637" s="140">
        <v>0</v>
      </c>
      <c r="V637" s="140">
        <v>0</v>
      </c>
      <c r="W637" s="140">
        <v>0</v>
      </c>
      <c r="X637" s="140">
        <v>0</v>
      </c>
      <c r="Y637" s="140">
        <v>0</v>
      </c>
      <c r="Z637" s="140">
        <v>0</v>
      </c>
      <c r="AA637" s="140">
        <v>0</v>
      </c>
      <c r="AB637" s="140">
        <v>0</v>
      </c>
      <c r="AC637" s="140">
        <v>0</v>
      </c>
      <c r="AD637" s="140">
        <v>0</v>
      </c>
      <c r="AE637" s="140">
        <v>0</v>
      </c>
      <c r="AF637" s="140">
        <v>0</v>
      </c>
      <c r="AG637" s="140">
        <v>0</v>
      </c>
    </row>
    <row r="638" spans="1:33" ht="14.25" customHeight="1" x14ac:dyDescent="0.35">
      <c r="A638" s="21"/>
      <c r="B638" s="28"/>
      <c r="C638" s="28"/>
      <c r="D638" s="175" t="s">
        <v>4136</v>
      </c>
      <c r="E638" s="175"/>
      <c r="F638" s="21"/>
      <c r="G638" s="21"/>
      <c r="H638" s="21"/>
      <c r="I638" s="22" t="s">
        <v>3861</v>
      </c>
      <c r="J638" s="132">
        <v>0</v>
      </c>
      <c r="K638" s="132">
        <v>0</v>
      </c>
      <c r="L638" s="132">
        <v>0</v>
      </c>
      <c r="M638" s="132">
        <v>0</v>
      </c>
      <c r="N638" s="132">
        <v>0</v>
      </c>
      <c r="O638" s="132">
        <v>0</v>
      </c>
      <c r="P638" s="132">
        <v>0</v>
      </c>
      <c r="Q638" s="132">
        <v>0</v>
      </c>
      <c r="R638" s="140">
        <v>0</v>
      </c>
      <c r="S638" s="140">
        <v>0</v>
      </c>
      <c r="T638" s="140">
        <v>0</v>
      </c>
      <c r="U638" s="140">
        <v>0</v>
      </c>
      <c r="V638" s="140">
        <v>0</v>
      </c>
      <c r="W638" s="140">
        <v>0</v>
      </c>
      <c r="X638" s="140">
        <v>0</v>
      </c>
      <c r="Y638" s="140">
        <v>0</v>
      </c>
      <c r="Z638" s="140">
        <v>0</v>
      </c>
      <c r="AA638" s="140">
        <v>0</v>
      </c>
      <c r="AB638" s="140">
        <v>0</v>
      </c>
      <c r="AC638" s="140">
        <v>0</v>
      </c>
      <c r="AD638" s="140">
        <v>0</v>
      </c>
      <c r="AE638" s="140">
        <v>0</v>
      </c>
      <c r="AF638" s="140">
        <v>0</v>
      </c>
      <c r="AG638" s="140">
        <v>0</v>
      </c>
    </row>
    <row r="639" spans="1:33" ht="14.25" customHeight="1" x14ac:dyDescent="0.35">
      <c r="A639" s="21"/>
      <c r="B639" s="28"/>
      <c r="C639" s="28"/>
      <c r="D639" s="175" t="s">
        <v>34</v>
      </c>
      <c r="E639" s="175"/>
      <c r="F639" s="21"/>
      <c r="G639" s="21"/>
      <c r="H639" s="21"/>
      <c r="I639" s="22" t="s">
        <v>4060</v>
      </c>
      <c r="J639" s="148">
        <v>0</v>
      </c>
      <c r="K639" s="148">
        <v>0</v>
      </c>
      <c r="L639" s="148">
        <v>0</v>
      </c>
      <c r="M639" s="148">
        <v>0</v>
      </c>
      <c r="N639" s="148">
        <v>0</v>
      </c>
      <c r="O639" s="148">
        <v>0</v>
      </c>
      <c r="P639" s="148">
        <v>0</v>
      </c>
      <c r="Q639" s="148">
        <v>0</v>
      </c>
      <c r="R639" s="149">
        <f t="shared" ref="R639:AG639" si="402">R637*R638</f>
        <v>0</v>
      </c>
      <c r="S639" s="149">
        <f t="shared" si="402"/>
        <v>0</v>
      </c>
      <c r="T639" s="149">
        <f t="shared" si="402"/>
        <v>0</v>
      </c>
      <c r="U639" s="149">
        <f t="shared" si="402"/>
        <v>0</v>
      </c>
      <c r="V639" s="149">
        <f t="shared" si="402"/>
        <v>0</v>
      </c>
      <c r="W639" s="149">
        <f t="shared" si="402"/>
        <v>0</v>
      </c>
      <c r="X639" s="149">
        <f t="shared" si="402"/>
        <v>0</v>
      </c>
      <c r="Y639" s="149">
        <f t="shared" si="402"/>
        <v>0</v>
      </c>
      <c r="Z639" s="149">
        <f t="shared" si="402"/>
        <v>0</v>
      </c>
      <c r="AA639" s="149">
        <f t="shared" si="402"/>
        <v>0</v>
      </c>
      <c r="AB639" s="149">
        <f t="shared" si="402"/>
        <v>0</v>
      </c>
      <c r="AC639" s="149">
        <f t="shared" si="402"/>
        <v>0</v>
      </c>
      <c r="AD639" s="149">
        <f t="shared" si="402"/>
        <v>0</v>
      </c>
      <c r="AE639" s="149">
        <f t="shared" si="402"/>
        <v>0</v>
      </c>
      <c r="AF639" s="149">
        <f t="shared" si="402"/>
        <v>0</v>
      </c>
      <c r="AG639" s="149">
        <f t="shared" si="402"/>
        <v>0</v>
      </c>
    </row>
    <row r="640" spans="1:33" ht="14.25" customHeight="1" x14ac:dyDescent="0.35">
      <c r="A640" s="21"/>
      <c r="B640" s="28"/>
      <c r="C640" s="143" t="s">
        <v>4199</v>
      </c>
      <c r="D640" s="28" t="s">
        <v>4139</v>
      </c>
      <c r="E640" s="21"/>
      <c r="F640" s="21"/>
      <c r="G640" s="21"/>
      <c r="H640" s="21"/>
      <c r="I640" s="22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</row>
    <row r="641" spans="1:33" ht="14.25" customHeight="1" x14ac:dyDescent="0.35">
      <c r="A641" s="21"/>
      <c r="B641" s="28"/>
      <c r="C641" s="28"/>
      <c r="D641" s="175" t="s">
        <v>4032</v>
      </c>
      <c r="E641" s="175"/>
      <c r="F641" s="21"/>
      <c r="G641" s="21"/>
      <c r="H641" s="21"/>
      <c r="I641" s="22" t="s">
        <v>4060</v>
      </c>
      <c r="J641" s="148">
        <f t="shared" ref="J641:AG641" si="403">J220</f>
        <v>21689410.419203002</v>
      </c>
      <c r="K641" s="148">
        <f t="shared" si="403"/>
        <v>11358264.90336415</v>
      </c>
      <c r="L641" s="148">
        <f t="shared" si="403"/>
        <v>4535185.8097094474</v>
      </c>
      <c r="M641" s="148">
        <f t="shared" si="403"/>
        <v>30206963.340967592</v>
      </c>
      <c r="N641" s="148">
        <f t="shared" si="403"/>
        <v>27248602.359640453</v>
      </c>
      <c r="O641" s="148">
        <f t="shared" si="403"/>
        <v>61897409.460348226</v>
      </c>
      <c r="P641" s="148">
        <f t="shared" si="403"/>
        <v>39027989.349433184</v>
      </c>
      <c r="Q641" s="148">
        <f t="shared" si="403"/>
        <v>54419152.744344503</v>
      </c>
      <c r="R641" s="149">
        <f t="shared" si="403"/>
        <v>18111902.292392045</v>
      </c>
      <c r="S641" s="149">
        <f t="shared" si="403"/>
        <v>18075300.868089236</v>
      </c>
      <c r="T641" s="149">
        <f t="shared" si="403"/>
        <v>18115618.904103965</v>
      </c>
      <c r="U641" s="149">
        <f t="shared" si="403"/>
        <v>18100939.093410008</v>
      </c>
      <c r="V641" s="149">
        <f t="shared" si="403"/>
        <v>18097285.271486238</v>
      </c>
      <c r="W641" s="149">
        <f t="shared" si="403"/>
        <v>18104614.32596476</v>
      </c>
      <c r="X641" s="149">
        <f t="shared" si="403"/>
        <v>18100946.198106971</v>
      </c>
      <c r="Y641" s="149">
        <f t="shared" si="403"/>
        <v>18100948.560870916</v>
      </c>
      <c r="Z641" s="149">
        <f t="shared" si="403"/>
        <v>18102169.688395649</v>
      </c>
      <c r="AA641" s="149">
        <f t="shared" si="403"/>
        <v>18101354.815262016</v>
      </c>
      <c r="AB641" s="149">
        <f t="shared" si="403"/>
        <v>18101491.020300251</v>
      </c>
      <c r="AC641" s="149">
        <f t="shared" si="403"/>
        <v>18101671.840960637</v>
      </c>
      <c r="AD641" s="149">
        <f t="shared" si="403"/>
        <v>18101505.892159641</v>
      </c>
      <c r="AE641" s="149">
        <f t="shared" si="403"/>
        <v>18101556.251107045</v>
      </c>
      <c r="AF641" s="149">
        <f t="shared" si="403"/>
        <v>18101577.994726025</v>
      </c>
      <c r="AG641" s="149">
        <f t="shared" si="403"/>
        <v>18101546.712663095</v>
      </c>
    </row>
    <row r="642" spans="1:33" ht="14.25" customHeight="1" x14ac:dyDescent="0.35">
      <c r="A642" s="21"/>
      <c r="B642" s="28"/>
      <c r="C642" s="28"/>
      <c r="D642" s="175" t="s">
        <v>4033</v>
      </c>
      <c r="E642" s="175"/>
      <c r="F642" s="21"/>
      <c r="G642" s="21"/>
      <c r="H642" s="21"/>
      <c r="I642" s="22" t="s">
        <v>4060</v>
      </c>
      <c r="J642" s="148">
        <f t="shared" ref="J642:AG642" si="404">J225</f>
        <v>6748999.8127908874</v>
      </c>
      <c r="K642" s="148">
        <f t="shared" si="404"/>
        <v>4186903.0391367506</v>
      </c>
      <c r="L642" s="148">
        <f t="shared" si="404"/>
        <v>2186344.492975316</v>
      </c>
      <c r="M642" s="148">
        <f t="shared" si="404"/>
        <v>9293914.112315461</v>
      </c>
      <c r="N642" s="148">
        <f t="shared" si="404"/>
        <v>7784407.1867689071</v>
      </c>
      <c r="O642" s="148">
        <f t="shared" si="404"/>
        <v>16797612.329343323</v>
      </c>
      <c r="P642" s="148">
        <f t="shared" si="404"/>
        <v>9965712.9645518158</v>
      </c>
      <c r="Q642" s="148">
        <f t="shared" si="404"/>
        <v>11336749.678424565</v>
      </c>
      <c r="R642" s="149">
        <f t="shared" si="404"/>
        <v>4101919.1977721099</v>
      </c>
      <c r="S642" s="149">
        <f t="shared" si="404"/>
        <v>4090680.8158527771</v>
      </c>
      <c r="T642" s="149">
        <f t="shared" si="404"/>
        <v>4101549.2035364001</v>
      </c>
      <c r="U642" s="149">
        <f t="shared" si="404"/>
        <v>4098048.5112101026</v>
      </c>
      <c r="V642" s="149">
        <f t="shared" si="404"/>
        <v>4096758.6699857372</v>
      </c>
      <c r="W642" s="149">
        <f t="shared" si="404"/>
        <v>4098785.3512018821</v>
      </c>
      <c r="X642" s="149">
        <f t="shared" si="404"/>
        <v>4097864.1508447039</v>
      </c>
      <c r="Y642" s="149">
        <f t="shared" si="404"/>
        <v>4097802.6940231593</v>
      </c>
      <c r="Z642" s="149">
        <f t="shared" si="404"/>
        <v>4098150.7255892232</v>
      </c>
      <c r="AA642" s="149">
        <f t="shared" si="404"/>
        <v>4097939.1895621475</v>
      </c>
      <c r="AB642" s="149">
        <f t="shared" si="404"/>
        <v>4097964.2021202487</v>
      </c>
      <c r="AC642" s="149">
        <f t="shared" si="404"/>
        <v>4098018.0387698864</v>
      </c>
      <c r="AD642" s="149">
        <f t="shared" si="404"/>
        <v>4097973.8101280108</v>
      </c>
      <c r="AE642" s="149">
        <f t="shared" si="404"/>
        <v>4097985.3503139922</v>
      </c>
      <c r="AF642" s="149">
        <f t="shared" si="404"/>
        <v>4097992.3997234432</v>
      </c>
      <c r="AG642" s="149">
        <f t="shared" si="404"/>
        <v>4097983.8533870415</v>
      </c>
    </row>
    <row r="643" spans="1:33" ht="14.25" customHeight="1" x14ac:dyDescent="0.35">
      <c r="A643" s="21"/>
      <c r="B643" s="28"/>
      <c r="C643" s="28"/>
      <c r="D643" s="175" t="s">
        <v>4034</v>
      </c>
      <c r="E643" s="175"/>
      <c r="F643" s="21"/>
      <c r="G643" s="21"/>
      <c r="H643" s="21"/>
      <c r="I643" s="22" t="s">
        <v>4060</v>
      </c>
      <c r="J643" s="148">
        <f t="shared" ref="J643:AG643" si="405">J230</f>
        <v>0</v>
      </c>
      <c r="K643" s="148">
        <f t="shared" si="405"/>
        <v>325500.47530335956</v>
      </c>
      <c r="L643" s="148">
        <f t="shared" si="405"/>
        <v>228829.43804428773</v>
      </c>
      <c r="M643" s="148">
        <f t="shared" si="405"/>
        <v>1230824.0792896068</v>
      </c>
      <c r="N643" s="148">
        <f t="shared" si="405"/>
        <v>1004067.3749639884</v>
      </c>
      <c r="O643" s="148">
        <f t="shared" si="405"/>
        <v>2842176.0704482766</v>
      </c>
      <c r="P643" s="148">
        <f t="shared" si="405"/>
        <v>1759482.4271007497</v>
      </c>
      <c r="Q643" s="148">
        <f t="shared" si="405"/>
        <v>2236055.1303500971</v>
      </c>
      <c r="R643" s="149">
        <f t="shared" si="405"/>
        <v>1105796.2952445776</v>
      </c>
      <c r="S643" s="149">
        <f t="shared" si="405"/>
        <v>1104006.1390608721</v>
      </c>
      <c r="T643" s="149">
        <f t="shared" si="405"/>
        <v>1071876.8828321262</v>
      </c>
      <c r="U643" s="149">
        <f t="shared" si="405"/>
        <v>1093902.1356460217</v>
      </c>
      <c r="V643" s="149">
        <f t="shared" si="405"/>
        <v>1089939.528019926</v>
      </c>
      <c r="W643" s="149">
        <f t="shared" si="405"/>
        <v>1085243.4231487561</v>
      </c>
      <c r="X643" s="149">
        <f t="shared" si="405"/>
        <v>1089695.3849024719</v>
      </c>
      <c r="Y643" s="149">
        <f t="shared" si="405"/>
        <v>1088293.0861738899</v>
      </c>
      <c r="Z643" s="149">
        <f t="shared" si="405"/>
        <v>1087744.1304537999</v>
      </c>
      <c r="AA643" s="149">
        <f t="shared" si="405"/>
        <v>1088577.5540515438</v>
      </c>
      <c r="AB643" s="149">
        <f t="shared" si="405"/>
        <v>1088204.9310558434</v>
      </c>
      <c r="AC643" s="149">
        <f t="shared" si="405"/>
        <v>1088175.5447423614</v>
      </c>
      <c r="AD643" s="149">
        <f t="shared" si="405"/>
        <v>1088319.3444453962</v>
      </c>
      <c r="AE643" s="149">
        <f t="shared" si="405"/>
        <v>1088233.2735908506</v>
      </c>
      <c r="AF643" s="149">
        <f t="shared" si="405"/>
        <v>1088242.7211331951</v>
      </c>
      <c r="AG643" s="149">
        <f t="shared" si="405"/>
        <v>1088265.1131159919</v>
      </c>
    </row>
    <row r="644" spans="1:33" ht="14.25" customHeight="1" x14ac:dyDescent="0.35">
      <c r="A644" s="21"/>
      <c r="B644" s="28"/>
      <c r="C644" s="28"/>
      <c r="D644" s="175" t="s">
        <v>4035</v>
      </c>
      <c r="E644" s="175"/>
      <c r="F644" s="21"/>
      <c r="G644" s="21"/>
      <c r="H644" s="21"/>
      <c r="I644" s="22" t="s">
        <v>4060</v>
      </c>
      <c r="J644" s="148">
        <f t="shared" ref="J644:AG644" si="406">J235</f>
        <v>15822173.243506663</v>
      </c>
      <c r="K644" s="148">
        <f t="shared" si="406"/>
        <v>5803100.9464965472</v>
      </c>
      <c r="L644" s="148">
        <f t="shared" si="406"/>
        <v>470353.40603512147</v>
      </c>
      <c r="M644" s="148">
        <f t="shared" si="406"/>
        <v>12240076.476021694</v>
      </c>
      <c r="N644" s="148">
        <f t="shared" si="406"/>
        <v>1727816.7682579705</v>
      </c>
      <c r="O644" s="148">
        <f t="shared" si="406"/>
        <v>4242855.6619585436</v>
      </c>
      <c r="P644" s="148">
        <f t="shared" si="406"/>
        <v>8526191.3577657174</v>
      </c>
      <c r="Q644" s="148">
        <f t="shared" si="406"/>
        <v>3938775.0635768548</v>
      </c>
      <c r="R644" s="149">
        <f t="shared" si="406"/>
        <v>0</v>
      </c>
      <c r="S644" s="149">
        <f t="shared" si="406"/>
        <v>0</v>
      </c>
      <c r="T644" s="149">
        <f t="shared" si="406"/>
        <v>0</v>
      </c>
      <c r="U644" s="149">
        <f t="shared" si="406"/>
        <v>0</v>
      </c>
      <c r="V644" s="149">
        <f t="shared" si="406"/>
        <v>0</v>
      </c>
      <c r="W644" s="149">
        <f t="shared" si="406"/>
        <v>0</v>
      </c>
      <c r="X644" s="149">
        <f t="shared" si="406"/>
        <v>0</v>
      </c>
      <c r="Y644" s="149">
        <f t="shared" si="406"/>
        <v>0</v>
      </c>
      <c r="Z644" s="149">
        <f t="shared" si="406"/>
        <v>0</v>
      </c>
      <c r="AA644" s="149">
        <f t="shared" si="406"/>
        <v>0</v>
      </c>
      <c r="AB644" s="149">
        <f t="shared" si="406"/>
        <v>0</v>
      </c>
      <c r="AC644" s="149">
        <f t="shared" si="406"/>
        <v>0</v>
      </c>
      <c r="AD644" s="149">
        <f t="shared" si="406"/>
        <v>0</v>
      </c>
      <c r="AE644" s="149">
        <f t="shared" si="406"/>
        <v>0</v>
      </c>
      <c r="AF644" s="149">
        <f t="shared" si="406"/>
        <v>0</v>
      </c>
      <c r="AG644" s="149">
        <f t="shared" si="406"/>
        <v>0</v>
      </c>
    </row>
    <row r="645" spans="1:33" ht="14.25" customHeight="1" x14ac:dyDescent="0.35">
      <c r="A645" s="21"/>
      <c r="B645" s="28"/>
      <c r="C645" s="28"/>
      <c r="D645" s="175" t="s">
        <v>4036</v>
      </c>
      <c r="E645" s="175"/>
      <c r="F645" s="21"/>
      <c r="G645" s="21"/>
      <c r="H645" s="21"/>
      <c r="I645" s="22" t="s">
        <v>4060</v>
      </c>
      <c r="J645" s="148">
        <f t="shared" ref="J645:AG645" si="407">J240</f>
        <v>2351662.3203458204</v>
      </c>
      <c r="K645" s="148">
        <f t="shared" si="407"/>
        <v>3729622.2430332601</v>
      </c>
      <c r="L645" s="148">
        <f t="shared" si="407"/>
        <v>2373041.4100654344</v>
      </c>
      <c r="M645" s="148">
        <f t="shared" si="407"/>
        <v>8005996.3850771915</v>
      </c>
      <c r="N645" s="148">
        <f t="shared" si="407"/>
        <v>4255617.5784298852</v>
      </c>
      <c r="O645" s="148">
        <f t="shared" si="407"/>
        <v>6015166.7997926641</v>
      </c>
      <c r="P645" s="148">
        <f t="shared" si="407"/>
        <v>6142461.8842509519</v>
      </c>
      <c r="Q645" s="148">
        <f t="shared" si="407"/>
        <v>8011396.7424226543</v>
      </c>
      <c r="R645" s="149">
        <f t="shared" si="407"/>
        <v>5100773.7345224908</v>
      </c>
      <c r="S645" s="149">
        <f t="shared" si="407"/>
        <v>5093592.613099887</v>
      </c>
      <c r="T645" s="149">
        <f t="shared" si="407"/>
        <v>4933478.4715499114</v>
      </c>
      <c r="U645" s="149">
        <f t="shared" si="407"/>
        <v>4936822.9632819211</v>
      </c>
      <c r="V645" s="149">
        <f t="shared" si="407"/>
        <v>4907729.2393601984</v>
      </c>
      <c r="W645" s="149">
        <f t="shared" si="407"/>
        <v>4888582.2223064741</v>
      </c>
      <c r="X645" s="149">
        <f t="shared" si="407"/>
        <v>4877692.7429000232</v>
      </c>
      <c r="Y645" s="149">
        <f t="shared" si="407"/>
        <v>4876350.9922811389</v>
      </c>
      <c r="Z645" s="149">
        <f t="shared" si="407"/>
        <v>4856498.3238173407</v>
      </c>
      <c r="AA645" s="149">
        <f t="shared" si="407"/>
        <v>4845902.7024179529</v>
      </c>
      <c r="AB645" s="149">
        <f t="shared" si="407"/>
        <v>4845797.1658916222</v>
      </c>
      <c r="AC645" s="149">
        <f t="shared" si="407"/>
        <v>4825591.6519626509</v>
      </c>
      <c r="AD645" s="149">
        <f t="shared" si="407"/>
        <v>4821415.4415418301</v>
      </c>
      <c r="AE645" s="149">
        <f t="shared" si="407"/>
        <v>4800019.3589124307</v>
      </c>
      <c r="AF645" s="149">
        <f t="shared" si="407"/>
        <v>4796792.5902083879</v>
      </c>
      <c r="AG645" s="149">
        <f t="shared" si="407"/>
        <v>4779642.0430273414</v>
      </c>
    </row>
    <row r="646" spans="1:33" ht="14.25" customHeight="1" x14ac:dyDescent="0.35">
      <c r="A646" s="21"/>
      <c r="B646" s="134" t="s">
        <v>4200</v>
      </c>
      <c r="C646" s="28" t="s">
        <v>4141</v>
      </c>
      <c r="D646" s="175"/>
      <c r="E646" s="175"/>
      <c r="F646" s="21"/>
      <c r="G646" s="21"/>
      <c r="H646" s="21"/>
      <c r="I646" s="22"/>
      <c r="J646" s="189"/>
      <c r="K646" s="189"/>
      <c r="L646" s="189"/>
      <c r="M646" s="189"/>
      <c r="N646" s="189"/>
      <c r="O646" s="189"/>
      <c r="P646" s="189"/>
      <c r="Q646" s="189"/>
      <c r="R646" s="190"/>
      <c r="S646" s="190"/>
      <c r="T646" s="190"/>
      <c r="U646" s="190"/>
      <c r="V646" s="190"/>
      <c r="W646" s="190"/>
      <c r="X646" s="190"/>
      <c r="Y646" s="190"/>
      <c r="Z646" s="190"/>
      <c r="AA646" s="190"/>
      <c r="AB646" s="190"/>
      <c r="AC646" s="190"/>
      <c r="AD646" s="190"/>
      <c r="AE646" s="190"/>
      <c r="AF646" s="190"/>
      <c r="AG646" s="190"/>
    </row>
    <row r="647" spans="1:33" ht="14.25" customHeight="1" x14ac:dyDescent="0.35">
      <c r="A647" s="21"/>
      <c r="B647" s="28"/>
      <c r="C647" s="143" t="s">
        <v>4201</v>
      </c>
      <c r="D647" s="28" t="s">
        <v>4143</v>
      </c>
      <c r="E647" s="21"/>
      <c r="F647" s="21"/>
      <c r="G647" s="21"/>
      <c r="H647" s="21"/>
      <c r="I647" s="22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</row>
    <row r="648" spans="1:33" ht="14.25" customHeight="1" x14ac:dyDescent="0.35">
      <c r="A648" s="21"/>
      <c r="B648" s="28"/>
      <c r="C648" s="28"/>
      <c r="D648" s="175" t="s">
        <v>4103</v>
      </c>
      <c r="E648" s="175"/>
      <c r="F648" s="21"/>
      <c r="G648" s="21"/>
      <c r="H648" s="21"/>
      <c r="I648" s="22" t="s">
        <v>4060</v>
      </c>
      <c r="J648" s="148">
        <f t="shared" ref="J648:AG648" si="408">J589</f>
        <v>79040704.584549889</v>
      </c>
      <c r="K648" s="148">
        <f t="shared" si="408"/>
        <v>37301000</v>
      </c>
      <c r="L648" s="148">
        <f t="shared" si="408"/>
        <v>23688999.999999993</v>
      </c>
      <c r="M648" s="148">
        <f t="shared" si="408"/>
        <v>113006999.9999996</v>
      </c>
      <c r="N648" s="148">
        <f t="shared" si="408"/>
        <v>102141027.29171501</v>
      </c>
      <c r="O648" s="148">
        <f t="shared" si="408"/>
        <v>299016192.22896308</v>
      </c>
      <c r="P648" s="148">
        <f t="shared" si="408"/>
        <v>147265899.99999994</v>
      </c>
      <c r="Q648" s="148">
        <f t="shared" si="408"/>
        <v>246340399.99999994</v>
      </c>
      <c r="R648" s="149">
        <f t="shared" si="408"/>
        <v>119400399.302523</v>
      </c>
      <c r="S648" s="149">
        <f t="shared" si="408"/>
        <v>119400399.302523</v>
      </c>
      <c r="T648" s="149">
        <f t="shared" si="408"/>
        <v>119400399.302523</v>
      </c>
      <c r="U648" s="149">
        <f t="shared" si="408"/>
        <v>119400399.302523</v>
      </c>
      <c r="V648" s="149">
        <f t="shared" si="408"/>
        <v>119400399.302523</v>
      </c>
      <c r="W648" s="149">
        <f t="shared" si="408"/>
        <v>119400399.302523</v>
      </c>
      <c r="X648" s="149">
        <f t="shared" si="408"/>
        <v>119400399.302523</v>
      </c>
      <c r="Y648" s="149">
        <f t="shared" si="408"/>
        <v>119400399.302523</v>
      </c>
      <c r="Z648" s="149">
        <f t="shared" si="408"/>
        <v>119400399.302523</v>
      </c>
      <c r="AA648" s="149">
        <f t="shared" si="408"/>
        <v>119400399.302523</v>
      </c>
      <c r="AB648" s="149">
        <f t="shared" si="408"/>
        <v>119400399.302523</v>
      </c>
      <c r="AC648" s="149">
        <f t="shared" si="408"/>
        <v>119400399.302523</v>
      </c>
      <c r="AD648" s="149">
        <f t="shared" si="408"/>
        <v>119400399.302523</v>
      </c>
      <c r="AE648" s="149">
        <f t="shared" si="408"/>
        <v>119400399.302523</v>
      </c>
      <c r="AF648" s="149">
        <f t="shared" si="408"/>
        <v>119400399.302523</v>
      </c>
      <c r="AG648" s="149">
        <f t="shared" si="408"/>
        <v>119400399.302523</v>
      </c>
    </row>
    <row r="649" spans="1:33" ht="14.25" customHeight="1" x14ac:dyDescent="0.35">
      <c r="A649" s="21"/>
      <c r="B649" s="28"/>
      <c r="C649" s="28"/>
      <c r="D649" s="175" t="s">
        <v>4117</v>
      </c>
      <c r="E649" s="175"/>
      <c r="F649" s="21"/>
      <c r="G649" s="21"/>
      <c r="H649" s="21"/>
      <c r="I649" s="22" t="s">
        <v>4060</v>
      </c>
      <c r="J649" s="148">
        <f t="shared" ref="J649:AG649" si="409">J600</f>
        <v>5984070.9120619344</v>
      </c>
      <c r="K649" s="148">
        <f t="shared" si="409"/>
        <v>13430525.198054651</v>
      </c>
      <c r="L649" s="148">
        <f t="shared" si="409"/>
        <v>6416798.3685989371</v>
      </c>
      <c r="M649" s="148">
        <f t="shared" si="409"/>
        <v>46750690.333779559</v>
      </c>
      <c r="N649" s="148">
        <f t="shared" si="409"/>
        <v>35684648.332284458</v>
      </c>
      <c r="O649" s="148">
        <f t="shared" si="409"/>
        <v>105402894.18619724</v>
      </c>
      <c r="P649" s="148">
        <f t="shared" si="409"/>
        <v>63822502.254283138</v>
      </c>
      <c r="Q649" s="148">
        <f t="shared" si="409"/>
        <v>71810528.819687635</v>
      </c>
      <c r="R649" s="149">
        <f t="shared" si="409"/>
        <v>43030896.55106657</v>
      </c>
      <c r="S649" s="149">
        <f t="shared" si="409"/>
        <v>42975108.723240867</v>
      </c>
      <c r="T649" s="149">
        <f t="shared" si="409"/>
        <v>42969267.721485138</v>
      </c>
      <c r="U649" s="149">
        <f t="shared" si="409"/>
        <v>42968653.541544735</v>
      </c>
      <c r="V649" s="149">
        <f t="shared" si="409"/>
        <v>42968589.162056744</v>
      </c>
      <c r="W649" s="149">
        <f t="shared" si="409"/>
        <v>42968582.40926265</v>
      </c>
      <c r="X649" s="149">
        <f t="shared" si="409"/>
        <v>42968581.700530611</v>
      </c>
      <c r="Y649" s="149">
        <f t="shared" si="409"/>
        <v>42968581.626192607</v>
      </c>
      <c r="Z649" s="149">
        <f t="shared" si="409"/>
        <v>42968581.618393734</v>
      </c>
      <c r="AA649" s="149">
        <f t="shared" si="409"/>
        <v>42968581.617575496</v>
      </c>
      <c r="AB649" s="149">
        <f t="shared" si="409"/>
        <v>42968581.617489651</v>
      </c>
      <c r="AC649" s="149">
        <f t="shared" si="409"/>
        <v>42968581.617480651</v>
      </c>
      <c r="AD649" s="149">
        <f t="shared" si="409"/>
        <v>42968581.617479704</v>
      </c>
      <c r="AE649" s="149">
        <f t="shared" si="409"/>
        <v>42968581.617479607</v>
      </c>
      <c r="AF649" s="149">
        <f t="shared" si="409"/>
        <v>42968581.617479593</v>
      </c>
      <c r="AG649" s="149">
        <f t="shared" si="409"/>
        <v>42968581.617479593</v>
      </c>
    </row>
    <row r="650" spans="1:33" ht="14.25" customHeight="1" x14ac:dyDescent="0.35">
      <c r="A650" s="21"/>
      <c r="B650" s="28"/>
      <c r="C650" s="28"/>
      <c r="D650" s="175" t="s">
        <v>32</v>
      </c>
      <c r="E650" s="175"/>
      <c r="F650" s="21"/>
      <c r="G650" s="21"/>
      <c r="H650" s="21"/>
      <c r="I650" s="22" t="s">
        <v>4060</v>
      </c>
      <c r="J650" s="148">
        <f t="shared" ref="J650:AG650" si="410">J605</f>
        <v>0</v>
      </c>
      <c r="K650" s="148">
        <f t="shared" si="410"/>
        <v>10624044.5406672</v>
      </c>
      <c r="L650" s="148">
        <f t="shared" si="410"/>
        <v>4286891.1423637504</v>
      </c>
      <c r="M650" s="148">
        <f t="shared" si="410"/>
        <v>29843051.764045101</v>
      </c>
      <c r="N650" s="148">
        <f t="shared" si="410"/>
        <v>20710967.668379199</v>
      </c>
      <c r="O650" s="148">
        <f t="shared" si="410"/>
        <v>62273750.368871696</v>
      </c>
      <c r="P650" s="148">
        <f t="shared" si="410"/>
        <v>41031714.759460799</v>
      </c>
      <c r="Q650" s="148">
        <f t="shared" si="410"/>
        <v>51763470.956659697</v>
      </c>
      <c r="R650" s="149">
        <f t="shared" si="410"/>
        <v>28307294.915452171</v>
      </c>
      <c r="S650" s="149">
        <f t="shared" si="410"/>
        <v>28307295.173431728</v>
      </c>
      <c r="T650" s="149">
        <f t="shared" si="410"/>
        <v>28307295.173431732</v>
      </c>
      <c r="U650" s="149">
        <f t="shared" si="410"/>
        <v>28307295.173431724</v>
      </c>
      <c r="V650" s="149">
        <f t="shared" si="410"/>
        <v>28307295.173431724</v>
      </c>
      <c r="W650" s="149">
        <f t="shared" si="410"/>
        <v>28307295.173431728</v>
      </c>
      <c r="X650" s="149">
        <f t="shared" si="410"/>
        <v>28307295.173431728</v>
      </c>
      <c r="Y650" s="149">
        <f t="shared" si="410"/>
        <v>28307295.173431728</v>
      </c>
      <c r="Z650" s="149">
        <f t="shared" si="410"/>
        <v>28307295.173431728</v>
      </c>
      <c r="AA650" s="149">
        <f t="shared" si="410"/>
        <v>28307295.173431724</v>
      </c>
      <c r="AB650" s="149">
        <f t="shared" si="410"/>
        <v>28307295.173431732</v>
      </c>
      <c r="AC650" s="149">
        <f t="shared" si="410"/>
        <v>28307295.173431732</v>
      </c>
      <c r="AD650" s="149">
        <f t="shared" si="410"/>
        <v>28307295.173431728</v>
      </c>
      <c r="AE650" s="149">
        <f t="shared" si="410"/>
        <v>28307295.173431724</v>
      </c>
      <c r="AF650" s="149">
        <f t="shared" si="410"/>
        <v>28307295.173431728</v>
      </c>
      <c r="AG650" s="149">
        <f t="shared" si="410"/>
        <v>28307295.173431728</v>
      </c>
    </row>
    <row r="651" spans="1:33" ht="14.25" customHeight="1" x14ac:dyDescent="0.35">
      <c r="A651" s="21"/>
      <c r="B651" s="28"/>
      <c r="C651" s="28"/>
      <c r="D651" s="175" t="s">
        <v>4121</v>
      </c>
      <c r="E651" s="175"/>
      <c r="F651" s="21"/>
      <c r="G651" s="21"/>
      <c r="H651" s="21"/>
      <c r="I651" s="22" t="s">
        <v>4060</v>
      </c>
      <c r="J651" s="148">
        <f t="shared" ref="J651:AG651" si="411">J610</f>
        <v>0</v>
      </c>
      <c r="K651" s="148">
        <f t="shared" si="411"/>
        <v>0</v>
      </c>
      <c r="L651" s="148">
        <f t="shared" si="411"/>
        <v>0</v>
      </c>
      <c r="M651" s="148">
        <f t="shared" si="411"/>
        <v>0</v>
      </c>
      <c r="N651" s="148">
        <f t="shared" si="411"/>
        <v>0</v>
      </c>
      <c r="O651" s="148">
        <f t="shared" si="411"/>
        <v>0</v>
      </c>
      <c r="P651" s="148">
        <f t="shared" si="411"/>
        <v>0</v>
      </c>
      <c r="Q651" s="148">
        <f t="shared" si="411"/>
        <v>0</v>
      </c>
      <c r="R651" s="149">
        <f t="shared" si="411"/>
        <v>0</v>
      </c>
      <c r="S651" s="149">
        <f t="shared" si="411"/>
        <v>0</v>
      </c>
      <c r="T651" s="149">
        <f t="shared" si="411"/>
        <v>0</v>
      </c>
      <c r="U651" s="149">
        <f t="shared" si="411"/>
        <v>0</v>
      </c>
      <c r="V651" s="149">
        <f t="shared" si="411"/>
        <v>0</v>
      </c>
      <c r="W651" s="149">
        <f t="shared" si="411"/>
        <v>0</v>
      </c>
      <c r="X651" s="149">
        <f t="shared" si="411"/>
        <v>0</v>
      </c>
      <c r="Y651" s="149">
        <f t="shared" si="411"/>
        <v>0</v>
      </c>
      <c r="Z651" s="149">
        <f t="shared" si="411"/>
        <v>0</v>
      </c>
      <c r="AA651" s="149">
        <f t="shared" si="411"/>
        <v>0</v>
      </c>
      <c r="AB651" s="149">
        <f t="shared" si="411"/>
        <v>0</v>
      </c>
      <c r="AC651" s="149">
        <f t="shared" si="411"/>
        <v>0</v>
      </c>
      <c r="AD651" s="149">
        <f t="shared" si="411"/>
        <v>0</v>
      </c>
      <c r="AE651" s="149">
        <f t="shared" si="411"/>
        <v>0</v>
      </c>
      <c r="AF651" s="149">
        <f t="shared" si="411"/>
        <v>0</v>
      </c>
      <c r="AG651" s="149">
        <f t="shared" si="411"/>
        <v>0</v>
      </c>
    </row>
    <row r="652" spans="1:33" ht="14.25" customHeight="1" x14ac:dyDescent="0.35">
      <c r="A652" s="21"/>
      <c r="B652" s="28"/>
      <c r="C652" s="28"/>
      <c r="D652" s="175" t="s">
        <v>4072</v>
      </c>
      <c r="E652" s="175"/>
      <c r="F652" s="21"/>
      <c r="G652" s="21"/>
      <c r="H652" s="21"/>
      <c r="I652" s="22" t="s">
        <v>4060</v>
      </c>
      <c r="J652" s="148">
        <f t="shared" ref="J652:AG652" si="412">J615</f>
        <v>370997.9854346668</v>
      </c>
      <c r="K652" s="148">
        <f t="shared" si="412"/>
        <v>264998.56102476199</v>
      </c>
      <c r="L652" s="148">
        <f t="shared" si="412"/>
        <v>0</v>
      </c>
      <c r="M652" s="148">
        <f t="shared" si="412"/>
        <v>264999.44209512504</v>
      </c>
      <c r="N652" s="148">
        <f t="shared" si="412"/>
        <v>0</v>
      </c>
      <c r="O652" s="148">
        <f t="shared" si="412"/>
        <v>0</v>
      </c>
      <c r="P652" s="148">
        <f t="shared" si="412"/>
        <v>460617.95406415407</v>
      </c>
      <c r="Q652" s="148">
        <f t="shared" si="412"/>
        <v>0</v>
      </c>
      <c r="R652" s="149">
        <f t="shared" si="412"/>
        <v>191164.82662707806</v>
      </c>
      <c r="S652" s="149">
        <f t="shared" si="412"/>
        <v>188433.67738378257</v>
      </c>
      <c r="T652" s="149">
        <f t="shared" si="412"/>
        <v>186585.41293824837</v>
      </c>
      <c r="U652" s="149">
        <f t="shared" si="412"/>
        <v>185312.2592366536</v>
      </c>
      <c r="V652" s="149">
        <f t="shared" si="412"/>
        <v>184444.30289833964</v>
      </c>
      <c r="W652" s="149">
        <f t="shared" si="412"/>
        <v>183851.99516790564</v>
      </c>
      <c r="X652" s="149">
        <f t="shared" si="412"/>
        <v>183446.66739075136</v>
      </c>
      <c r="Y652" s="149">
        <f t="shared" si="412"/>
        <v>183169.90024950798</v>
      </c>
      <c r="Z652" s="149">
        <f t="shared" si="412"/>
        <v>182980.81684966438</v>
      </c>
      <c r="AA652" s="149">
        <f t="shared" si="412"/>
        <v>182851.58923245195</v>
      </c>
      <c r="AB652" s="149">
        <f t="shared" si="412"/>
        <v>182763.30733890156</v>
      </c>
      <c r="AC652" s="149">
        <f t="shared" si="412"/>
        <v>182702.98789297382</v>
      </c>
      <c r="AD652" s="149">
        <f t="shared" si="412"/>
        <v>182661.77257492405</v>
      </c>
      <c r="AE652" s="149">
        <f t="shared" si="412"/>
        <v>182633.61297841652</v>
      </c>
      <c r="AF652" s="149">
        <f t="shared" si="412"/>
        <v>182614.37269979398</v>
      </c>
      <c r="AG652" s="149">
        <f t="shared" si="412"/>
        <v>182601.22662714747</v>
      </c>
    </row>
    <row r="653" spans="1:33" ht="14.25" customHeight="1" x14ac:dyDescent="0.35">
      <c r="A653" s="21"/>
      <c r="B653" s="28"/>
      <c r="C653" s="28"/>
      <c r="D653" s="175" t="s">
        <v>4074</v>
      </c>
      <c r="E653" s="175"/>
      <c r="F653" s="21"/>
      <c r="G653" s="21"/>
      <c r="H653" s="21"/>
      <c r="I653" s="22" t="s">
        <v>4060</v>
      </c>
      <c r="J653" s="148">
        <f t="shared" ref="J653:AG653" si="413">J620</f>
        <v>0</v>
      </c>
      <c r="K653" s="148">
        <f t="shared" si="413"/>
        <v>0</v>
      </c>
      <c r="L653" s="148">
        <f t="shared" si="413"/>
        <v>0</v>
      </c>
      <c r="M653" s="148">
        <f t="shared" si="413"/>
        <v>0</v>
      </c>
      <c r="N653" s="148">
        <f t="shared" si="413"/>
        <v>0</v>
      </c>
      <c r="O653" s="148">
        <f t="shared" si="413"/>
        <v>0</v>
      </c>
      <c r="P653" s="148">
        <f t="shared" si="413"/>
        <v>0</v>
      </c>
      <c r="Q653" s="148">
        <f t="shared" si="413"/>
        <v>0</v>
      </c>
      <c r="R653" s="149">
        <f t="shared" si="413"/>
        <v>0</v>
      </c>
      <c r="S653" s="149">
        <f t="shared" si="413"/>
        <v>0</v>
      </c>
      <c r="T653" s="149">
        <f t="shared" si="413"/>
        <v>0</v>
      </c>
      <c r="U653" s="149">
        <f t="shared" si="413"/>
        <v>0</v>
      </c>
      <c r="V653" s="149">
        <f t="shared" si="413"/>
        <v>0</v>
      </c>
      <c r="W653" s="149">
        <f t="shared" si="413"/>
        <v>0</v>
      </c>
      <c r="X653" s="149">
        <f t="shared" si="413"/>
        <v>0</v>
      </c>
      <c r="Y653" s="149">
        <f t="shared" si="413"/>
        <v>0</v>
      </c>
      <c r="Z653" s="149">
        <f t="shared" si="413"/>
        <v>0</v>
      </c>
      <c r="AA653" s="149">
        <f t="shared" si="413"/>
        <v>0</v>
      </c>
      <c r="AB653" s="149">
        <f t="shared" si="413"/>
        <v>0</v>
      </c>
      <c r="AC653" s="149">
        <f t="shared" si="413"/>
        <v>0</v>
      </c>
      <c r="AD653" s="149">
        <f t="shared" si="413"/>
        <v>0</v>
      </c>
      <c r="AE653" s="149">
        <f t="shared" si="413"/>
        <v>0</v>
      </c>
      <c r="AF653" s="149">
        <f t="shared" si="413"/>
        <v>0</v>
      </c>
      <c r="AG653" s="149">
        <f t="shared" si="413"/>
        <v>0</v>
      </c>
    </row>
    <row r="654" spans="1:33" ht="14.25" customHeight="1" x14ac:dyDescent="0.35">
      <c r="A654" s="21"/>
      <c r="B654" s="28"/>
      <c r="C654" s="28"/>
      <c r="D654" s="175" t="s">
        <v>4076</v>
      </c>
      <c r="E654" s="175"/>
      <c r="F654" s="21"/>
      <c r="G654" s="21"/>
      <c r="H654" s="21"/>
      <c r="I654" s="22" t="s">
        <v>4060</v>
      </c>
      <c r="J654" s="148">
        <f t="shared" ref="J654:AG654" si="414">J625</f>
        <v>0</v>
      </c>
      <c r="K654" s="148">
        <f t="shared" si="414"/>
        <v>1059999.9606520401</v>
      </c>
      <c r="L654" s="148">
        <f t="shared" si="414"/>
        <v>609499.99708063528</v>
      </c>
      <c r="M654" s="148">
        <f t="shared" si="414"/>
        <v>2741159.9933993588</v>
      </c>
      <c r="N654" s="148">
        <f t="shared" si="414"/>
        <v>3756525.0963495309</v>
      </c>
      <c r="O654" s="148">
        <f t="shared" si="414"/>
        <v>11554203.74050241</v>
      </c>
      <c r="P654" s="148">
        <f t="shared" si="414"/>
        <v>7139658.6120820548</v>
      </c>
      <c r="Q654" s="148">
        <f t="shared" si="414"/>
        <v>9114804.1901220903</v>
      </c>
      <c r="R654" s="149">
        <f t="shared" si="414"/>
        <v>4290253.6224151012</v>
      </c>
      <c r="S654" s="149">
        <f t="shared" si="414"/>
        <v>4228419.9397188919</v>
      </c>
      <c r="T654" s="149">
        <f t="shared" si="414"/>
        <v>4200710.1150282919</v>
      </c>
      <c r="U654" s="149">
        <f t="shared" si="414"/>
        <v>4188188.3706774199</v>
      </c>
      <c r="V654" s="149">
        <f t="shared" si="414"/>
        <v>4182559.6577104265</v>
      </c>
      <c r="W654" s="149">
        <f t="shared" si="414"/>
        <v>4180027.619729822</v>
      </c>
      <c r="X654" s="149">
        <f t="shared" si="414"/>
        <v>4178887.1550670103</v>
      </c>
      <c r="Y654" s="149">
        <f t="shared" si="414"/>
        <v>4178374.0329590174</v>
      </c>
      <c r="Z654" s="149">
        <f t="shared" si="414"/>
        <v>4178143.0971565377</v>
      </c>
      <c r="AA654" s="149">
        <f t="shared" si="414"/>
        <v>4178039.1454549311</v>
      </c>
      <c r="AB654" s="149">
        <f t="shared" si="414"/>
        <v>4177992.3631602447</v>
      </c>
      <c r="AC654" s="149">
        <f t="shared" si="414"/>
        <v>4177971.3075200133</v>
      </c>
      <c r="AD654" s="149">
        <f t="shared" si="414"/>
        <v>4177961.8307389924</v>
      </c>
      <c r="AE654" s="149">
        <f t="shared" si="414"/>
        <v>4177957.5655600186</v>
      </c>
      <c r="AF654" s="149">
        <f t="shared" si="414"/>
        <v>4177955.6459080176</v>
      </c>
      <c r="AG654" s="149">
        <f t="shared" si="414"/>
        <v>4177954.7819210514</v>
      </c>
    </row>
    <row r="655" spans="1:33" ht="14.25" customHeight="1" x14ac:dyDescent="0.35">
      <c r="A655" s="21"/>
      <c r="B655" s="28"/>
      <c r="C655" s="28"/>
      <c r="D655" s="175" t="s">
        <v>4127</v>
      </c>
      <c r="E655" s="175"/>
      <c r="F655" s="21"/>
      <c r="G655" s="21"/>
      <c r="H655" s="21"/>
      <c r="I655" s="22" t="s">
        <v>4060</v>
      </c>
      <c r="J655" s="148">
        <f t="shared" ref="J655:AG655" si="415">J630</f>
        <v>0</v>
      </c>
      <c r="K655" s="148">
        <f t="shared" si="415"/>
        <v>0</v>
      </c>
      <c r="L655" s="148">
        <f t="shared" si="415"/>
        <v>0</v>
      </c>
      <c r="M655" s="148">
        <f t="shared" si="415"/>
        <v>0</v>
      </c>
      <c r="N655" s="148">
        <f t="shared" si="415"/>
        <v>0</v>
      </c>
      <c r="O655" s="148">
        <f t="shared" si="415"/>
        <v>0</v>
      </c>
      <c r="P655" s="148">
        <f t="shared" si="415"/>
        <v>0</v>
      </c>
      <c r="Q655" s="148">
        <f t="shared" si="415"/>
        <v>0</v>
      </c>
      <c r="R655" s="149">
        <f t="shared" si="415"/>
        <v>0</v>
      </c>
      <c r="S655" s="149">
        <f t="shared" si="415"/>
        <v>0</v>
      </c>
      <c r="T655" s="149">
        <f t="shared" si="415"/>
        <v>0</v>
      </c>
      <c r="U655" s="149">
        <f t="shared" si="415"/>
        <v>0</v>
      </c>
      <c r="V655" s="149">
        <f t="shared" si="415"/>
        <v>0</v>
      </c>
      <c r="W655" s="149">
        <f t="shared" si="415"/>
        <v>0</v>
      </c>
      <c r="X655" s="149">
        <f t="shared" si="415"/>
        <v>0</v>
      </c>
      <c r="Y655" s="149">
        <f t="shared" si="415"/>
        <v>0</v>
      </c>
      <c r="Z655" s="149">
        <f t="shared" si="415"/>
        <v>0</v>
      </c>
      <c r="AA655" s="149">
        <f t="shared" si="415"/>
        <v>0</v>
      </c>
      <c r="AB655" s="149">
        <f t="shared" si="415"/>
        <v>0</v>
      </c>
      <c r="AC655" s="149">
        <f t="shared" si="415"/>
        <v>0</v>
      </c>
      <c r="AD655" s="149">
        <f t="shared" si="415"/>
        <v>0</v>
      </c>
      <c r="AE655" s="149">
        <f t="shared" si="415"/>
        <v>0</v>
      </c>
      <c r="AF655" s="149">
        <f t="shared" si="415"/>
        <v>0</v>
      </c>
      <c r="AG655" s="149">
        <f t="shared" si="415"/>
        <v>0</v>
      </c>
    </row>
    <row r="656" spans="1:33" ht="14.25" customHeight="1" x14ac:dyDescent="0.35">
      <c r="A656" s="21"/>
      <c r="B656" s="28"/>
      <c r="C656" s="28"/>
      <c r="D656" s="175" t="s">
        <v>4005</v>
      </c>
      <c r="E656" s="175"/>
      <c r="F656" s="21"/>
      <c r="G656" s="21"/>
      <c r="H656" s="21"/>
      <c r="I656" s="22" t="s">
        <v>4060</v>
      </c>
      <c r="J656" s="148">
        <f t="shared" ref="J656:AG656" si="416">J633</f>
        <v>6012254.8387096804</v>
      </c>
      <c r="K656" s="148">
        <f t="shared" si="416"/>
        <v>1839748.2335828301</v>
      </c>
      <c r="L656" s="148">
        <f t="shared" si="416"/>
        <v>88463.152861848401</v>
      </c>
      <c r="M656" s="148">
        <f t="shared" si="416"/>
        <v>2179557.91673717</v>
      </c>
      <c r="N656" s="148">
        <f t="shared" si="416"/>
        <v>231320.23178072899</v>
      </c>
      <c r="O656" s="148">
        <f t="shared" si="416"/>
        <v>705148.30116316595</v>
      </c>
      <c r="P656" s="148">
        <f t="shared" si="416"/>
        <v>605706.36442275799</v>
      </c>
      <c r="Q656" s="148">
        <f t="shared" si="416"/>
        <v>657006.31456561398</v>
      </c>
      <c r="R656" s="149">
        <f t="shared" si="416"/>
        <v>0</v>
      </c>
      <c r="S656" s="149">
        <f t="shared" si="416"/>
        <v>0</v>
      </c>
      <c r="T656" s="149">
        <f t="shared" si="416"/>
        <v>0</v>
      </c>
      <c r="U656" s="149">
        <f t="shared" si="416"/>
        <v>0</v>
      </c>
      <c r="V656" s="149">
        <f t="shared" si="416"/>
        <v>0</v>
      </c>
      <c r="W656" s="149">
        <f t="shared" si="416"/>
        <v>0</v>
      </c>
      <c r="X656" s="149">
        <f t="shared" si="416"/>
        <v>0</v>
      </c>
      <c r="Y656" s="149">
        <f t="shared" si="416"/>
        <v>0</v>
      </c>
      <c r="Z656" s="149">
        <f t="shared" si="416"/>
        <v>0</v>
      </c>
      <c r="AA656" s="149">
        <f t="shared" si="416"/>
        <v>0</v>
      </c>
      <c r="AB656" s="149">
        <f t="shared" si="416"/>
        <v>0</v>
      </c>
      <c r="AC656" s="149">
        <f t="shared" si="416"/>
        <v>0</v>
      </c>
      <c r="AD656" s="149">
        <f t="shared" si="416"/>
        <v>0</v>
      </c>
      <c r="AE656" s="149">
        <f t="shared" si="416"/>
        <v>0</v>
      </c>
      <c r="AF656" s="149">
        <f t="shared" si="416"/>
        <v>0</v>
      </c>
      <c r="AG656" s="149">
        <f t="shared" si="416"/>
        <v>0</v>
      </c>
    </row>
    <row r="657" spans="1:33" ht="14.25" customHeight="1" x14ac:dyDescent="0.35">
      <c r="A657" s="21"/>
      <c r="B657" s="28"/>
      <c r="C657" s="28"/>
      <c r="D657" s="175" t="s">
        <v>34</v>
      </c>
      <c r="E657" s="175"/>
      <c r="F657" s="21"/>
      <c r="G657" s="21"/>
      <c r="H657" s="21"/>
      <c r="I657" s="22" t="s">
        <v>4060</v>
      </c>
      <c r="J657" s="148">
        <f t="shared" ref="J657:AG657" si="417">J639</f>
        <v>0</v>
      </c>
      <c r="K657" s="148">
        <f t="shared" si="417"/>
        <v>0</v>
      </c>
      <c r="L657" s="148">
        <f t="shared" si="417"/>
        <v>0</v>
      </c>
      <c r="M657" s="148">
        <f t="shared" si="417"/>
        <v>0</v>
      </c>
      <c r="N657" s="148">
        <f t="shared" si="417"/>
        <v>0</v>
      </c>
      <c r="O657" s="148">
        <f t="shared" si="417"/>
        <v>0</v>
      </c>
      <c r="P657" s="148">
        <f t="shared" si="417"/>
        <v>0</v>
      </c>
      <c r="Q657" s="148">
        <f t="shared" si="417"/>
        <v>0</v>
      </c>
      <c r="R657" s="149">
        <f t="shared" si="417"/>
        <v>0</v>
      </c>
      <c r="S657" s="149">
        <f t="shared" si="417"/>
        <v>0</v>
      </c>
      <c r="T657" s="149">
        <f t="shared" si="417"/>
        <v>0</v>
      </c>
      <c r="U657" s="149">
        <f t="shared" si="417"/>
        <v>0</v>
      </c>
      <c r="V657" s="149">
        <f t="shared" si="417"/>
        <v>0</v>
      </c>
      <c r="W657" s="149">
        <f t="shared" si="417"/>
        <v>0</v>
      </c>
      <c r="X657" s="149">
        <f t="shared" si="417"/>
        <v>0</v>
      </c>
      <c r="Y657" s="149">
        <f t="shared" si="417"/>
        <v>0</v>
      </c>
      <c r="Z657" s="149">
        <f t="shared" si="417"/>
        <v>0</v>
      </c>
      <c r="AA657" s="149">
        <f t="shared" si="417"/>
        <v>0</v>
      </c>
      <c r="AB657" s="149">
        <f t="shared" si="417"/>
        <v>0</v>
      </c>
      <c r="AC657" s="149">
        <f t="shared" si="417"/>
        <v>0</v>
      </c>
      <c r="AD657" s="149">
        <f t="shared" si="417"/>
        <v>0</v>
      </c>
      <c r="AE657" s="149">
        <f t="shared" si="417"/>
        <v>0</v>
      </c>
      <c r="AF657" s="149">
        <f t="shared" si="417"/>
        <v>0</v>
      </c>
      <c r="AG657" s="149">
        <f t="shared" si="417"/>
        <v>0</v>
      </c>
    </row>
    <row r="658" spans="1:33" ht="14.25" customHeight="1" x14ac:dyDescent="0.35">
      <c r="A658" s="21"/>
      <c r="B658" s="28"/>
      <c r="C658" s="28"/>
      <c r="D658" s="175" t="s">
        <v>4032</v>
      </c>
      <c r="E658" s="175"/>
      <c r="F658" s="21"/>
      <c r="G658" s="21"/>
      <c r="H658" s="21"/>
      <c r="I658" s="22" t="s">
        <v>4060</v>
      </c>
      <c r="J658" s="148">
        <f t="shared" ref="J658:AG658" si="418">J641</f>
        <v>21689410.419203002</v>
      </c>
      <c r="K658" s="148">
        <f t="shared" si="418"/>
        <v>11358264.90336415</v>
      </c>
      <c r="L658" s="148">
        <f t="shared" si="418"/>
        <v>4535185.8097094474</v>
      </c>
      <c r="M658" s="148">
        <f t="shared" si="418"/>
        <v>30206963.340967592</v>
      </c>
      <c r="N658" s="148">
        <f t="shared" si="418"/>
        <v>27248602.359640453</v>
      </c>
      <c r="O658" s="148">
        <f t="shared" si="418"/>
        <v>61897409.460348226</v>
      </c>
      <c r="P658" s="148">
        <f t="shared" si="418"/>
        <v>39027989.349433184</v>
      </c>
      <c r="Q658" s="148">
        <f t="shared" si="418"/>
        <v>54419152.744344503</v>
      </c>
      <c r="R658" s="149">
        <f t="shared" si="418"/>
        <v>18111902.292392045</v>
      </c>
      <c r="S658" s="149">
        <f t="shared" si="418"/>
        <v>18075300.868089236</v>
      </c>
      <c r="T658" s="149">
        <f t="shared" si="418"/>
        <v>18115618.904103965</v>
      </c>
      <c r="U658" s="149">
        <f t="shared" si="418"/>
        <v>18100939.093410008</v>
      </c>
      <c r="V658" s="149">
        <f t="shared" si="418"/>
        <v>18097285.271486238</v>
      </c>
      <c r="W658" s="149">
        <f t="shared" si="418"/>
        <v>18104614.32596476</v>
      </c>
      <c r="X658" s="149">
        <f t="shared" si="418"/>
        <v>18100946.198106971</v>
      </c>
      <c r="Y658" s="149">
        <f t="shared" si="418"/>
        <v>18100948.560870916</v>
      </c>
      <c r="Z658" s="149">
        <f t="shared" si="418"/>
        <v>18102169.688395649</v>
      </c>
      <c r="AA658" s="149">
        <f t="shared" si="418"/>
        <v>18101354.815262016</v>
      </c>
      <c r="AB658" s="149">
        <f t="shared" si="418"/>
        <v>18101491.020300251</v>
      </c>
      <c r="AC658" s="149">
        <f t="shared" si="418"/>
        <v>18101671.840960637</v>
      </c>
      <c r="AD658" s="149">
        <f t="shared" si="418"/>
        <v>18101505.892159641</v>
      </c>
      <c r="AE658" s="149">
        <f t="shared" si="418"/>
        <v>18101556.251107045</v>
      </c>
      <c r="AF658" s="149">
        <f t="shared" si="418"/>
        <v>18101577.994726025</v>
      </c>
      <c r="AG658" s="149">
        <f t="shared" si="418"/>
        <v>18101546.712663095</v>
      </c>
    </row>
    <row r="659" spans="1:33" ht="14.25" customHeight="1" x14ac:dyDescent="0.35">
      <c r="A659" s="21"/>
      <c r="B659" s="28"/>
      <c r="C659" s="28"/>
      <c r="D659" s="175" t="s">
        <v>4033</v>
      </c>
      <c r="E659" s="175"/>
      <c r="F659" s="21"/>
      <c r="G659" s="21"/>
      <c r="H659" s="21"/>
      <c r="I659" s="22" t="s">
        <v>4060</v>
      </c>
      <c r="J659" s="148">
        <f t="shared" ref="J659:AG659" si="419">J642</f>
        <v>6748999.8127908874</v>
      </c>
      <c r="K659" s="148">
        <f t="shared" si="419"/>
        <v>4186903.0391367506</v>
      </c>
      <c r="L659" s="148">
        <f t="shared" si="419"/>
        <v>2186344.492975316</v>
      </c>
      <c r="M659" s="148">
        <f t="shared" si="419"/>
        <v>9293914.112315461</v>
      </c>
      <c r="N659" s="148">
        <f t="shared" si="419"/>
        <v>7784407.1867689071</v>
      </c>
      <c r="O659" s="148">
        <f t="shared" si="419"/>
        <v>16797612.329343323</v>
      </c>
      <c r="P659" s="148">
        <f t="shared" si="419"/>
        <v>9965712.9645518158</v>
      </c>
      <c r="Q659" s="148">
        <f t="shared" si="419"/>
        <v>11336749.678424565</v>
      </c>
      <c r="R659" s="149">
        <f t="shared" si="419"/>
        <v>4101919.1977721099</v>
      </c>
      <c r="S659" s="149">
        <f t="shared" si="419"/>
        <v>4090680.8158527771</v>
      </c>
      <c r="T659" s="149">
        <f t="shared" si="419"/>
        <v>4101549.2035364001</v>
      </c>
      <c r="U659" s="149">
        <f t="shared" si="419"/>
        <v>4098048.5112101026</v>
      </c>
      <c r="V659" s="149">
        <f t="shared" si="419"/>
        <v>4096758.6699857372</v>
      </c>
      <c r="W659" s="149">
        <f t="shared" si="419"/>
        <v>4098785.3512018821</v>
      </c>
      <c r="X659" s="149">
        <f t="shared" si="419"/>
        <v>4097864.1508447039</v>
      </c>
      <c r="Y659" s="149">
        <f t="shared" si="419"/>
        <v>4097802.6940231593</v>
      </c>
      <c r="Z659" s="149">
        <f t="shared" si="419"/>
        <v>4098150.7255892232</v>
      </c>
      <c r="AA659" s="149">
        <f t="shared" si="419"/>
        <v>4097939.1895621475</v>
      </c>
      <c r="AB659" s="149">
        <f t="shared" si="419"/>
        <v>4097964.2021202487</v>
      </c>
      <c r="AC659" s="149">
        <f t="shared" si="419"/>
        <v>4098018.0387698864</v>
      </c>
      <c r="AD659" s="149">
        <f t="shared" si="419"/>
        <v>4097973.8101280108</v>
      </c>
      <c r="AE659" s="149">
        <f t="shared" si="419"/>
        <v>4097985.3503139922</v>
      </c>
      <c r="AF659" s="149">
        <f t="shared" si="419"/>
        <v>4097992.3997234432</v>
      </c>
      <c r="AG659" s="149">
        <f t="shared" si="419"/>
        <v>4097983.8533870415</v>
      </c>
    </row>
    <row r="660" spans="1:33" ht="14.25" customHeight="1" x14ac:dyDescent="0.35">
      <c r="A660" s="21"/>
      <c r="B660" s="28"/>
      <c r="C660" s="28"/>
      <c r="D660" s="175" t="s">
        <v>4034</v>
      </c>
      <c r="E660" s="175"/>
      <c r="F660" s="21"/>
      <c r="G660" s="21"/>
      <c r="H660" s="21"/>
      <c r="I660" s="22" t="s">
        <v>4060</v>
      </c>
      <c r="J660" s="148">
        <f t="shared" ref="J660:AG660" si="420">J643</f>
        <v>0</v>
      </c>
      <c r="K660" s="148">
        <f t="shared" si="420"/>
        <v>325500.47530335956</v>
      </c>
      <c r="L660" s="148">
        <f t="shared" si="420"/>
        <v>228829.43804428773</v>
      </c>
      <c r="M660" s="148">
        <f t="shared" si="420"/>
        <v>1230824.0792896068</v>
      </c>
      <c r="N660" s="148">
        <f t="shared" si="420"/>
        <v>1004067.3749639884</v>
      </c>
      <c r="O660" s="148">
        <f t="shared" si="420"/>
        <v>2842176.0704482766</v>
      </c>
      <c r="P660" s="148">
        <f t="shared" si="420"/>
        <v>1759482.4271007497</v>
      </c>
      <c r="Q660" s="148">
        <f t="shared" si="420"/>
        <v>2236055.1303500971</v>
      </c>
      <c r="R660" s="149">
        <f t="shared" si="420"/>
        <v>1105796.2952445776</v>
      </c>
      <c r="S660" s="149">
        <f t="shared" si="420"/>
        <v>1104006.1390608721</v>
      </c>
      <c r="T660" s="149">
        <f t="shared" si="420"/>
        <v>1071876.8828321262</v>
      </c>
      <c r="U660" s="149">
        <f t="shared" si="420"/>
        <v>1093902.1356460217</v>
      </c>
      <c r="V660" s="149">
        <f t="shared" si="420"/>
        <v>1089939.528019926</v>
      </c>
      <c r="W660" s="149">
        <f t="shared" si="420"/>
        <v>1085243.4231487561</v>
      </c>
      <c r="X660" s="149">
        <f t="shared" si="420"/>
        <v>1089695.3849024719</v>
      </c>
      <c r="Y660" s="149">
        <f t="shared" si="420"/>
        <v>1088293.0861738899</v>
      </c>
      <c r="Z660" s="149">
        <f t="shared" si="420"/>
        <v>1087744.1304537999</v>
      </c>
      <c r="AA660" s="149">
        <f t="shared" si="420"/>
        <v>1088577.5540515438</v>
      </c>
      <c r="AB660" s="149">
        <f t="shared" si="420"/>
        <v>1088204.9310558434</v>
      </c>
      <c r="AC660" s="149">
        <f t="shared" si="420"/>
        <v>1088175.5447423614</v>
      </c>
      <c r="AD660" s="149">
        <f t="shared" si="420"/>
        <v>1088319.3444453962</v>
      </c>
      <c r="AE660" s="149">
        <f t="shared" si="420"/>
        <v>1088233.2735908506</v>
      </c>
      <c r="AF660" s="149">
        <f t="shared" si="420"/>
        <v>1088242.7211331951</v>
      </c>
      <c r="AG660" s="149">
        <f t="shared" si="420"/>
        <v>1088265.1131159919</v>
      </c>
    </row>
    <row r="661" spans="1:33" ht="14.25" customHeight="1" x14ac:dyDescent="0.35">
      <c r="A661" s="21"/>
      <c r="B661" s="28"/>
      <c r="C661" s="28"/>
      <c r="D661" s="175" t="s">
        <v>4035</v>
      </c>
      <c r="E661" s="175"/>
      <c r="F661" s="21"/>
      <c r="G661" s="21"/>
      <c r="H661" s="21"/>
      <c r="I661" s="22" t="s">
        <v>4060</v>
      </c>
      <c r="J661" s="148">
        <f t="shared" ref="J661:AG661" si="421">J644</f>
        <v>15822173.243506663</v>
      </c>
      <c r="K661" s="148">
        <f t="shared" si="421"/>
        <v>5803100.9464965472</v>
      </c>
      <c r="L661" s="148">
        <f t="shared" si="421"/>
        <v>470353.40603512147</v>
      </c>
      <c r="M661" s="148">
        <f t="shared" si="421"/>
        <v>12240076.476021694</v>
      </c>
      <c r="N661" s="148">
        <f t="shared" si="421"/>
        <v>1727816.7682579705</v>
      </c>
      <c r="O661" s="148">
        <f t="shared" si="421"/>
        <v>4242855.6619585436</v>
      </c>
      <c r="P661" s="148">
        <f t="shared" si="421"/>
        <v>8526191.3577657174</v>
      </c>
      <c r="Q661" s="148">
        <f t="shared" si="421"/>
        <v>3938775.0635768548</v>
      </c>
      <c r="R661" s="149">
        <f t="shared" si="421"/>
        <v>0</v>
      </c>
      <c r="S661" s="149">
        <f t="shared" si="421"/>
        <v>0</v>
      </c>
      <c r="T661" s="149">
        <f t="shared" si="421"/>
        <v>0</v>
      </c>
      <c r="U661" s="149">
        <f t="shared" si="421"/>
        <v>0</v>
      </c>
      <c r="V661" s="149">
        <f t="shared" si="421"/>
        <v>0</v>
      </c>
      <c r="W661" s="149">
        <f t="shared" si="421"/>
        <v>0</v>
      </c>
      <c r="X661" s="149">
        <f t="shared" si="421"/>
        <v>0</v>
      </c>
      <c r="Y661" s="149">
        <f t="shared" si="421"/>
        <v>0</v>
      </c>
      <c r="Z661" s="149">
        <f t="shared" si="421"/>
        <v>0</v>
      </c>
      <c r="AA661" s="149">
        <f t="shared" si="421"/>
        <v>0</v>
      </c>
      <c r="AB661" s="149">
        <f t="shared" si="421"/>
        <v>0</v>
      </c>
      <c r="AC661" s="149">
        <f t="shared" si="421"/>
        <v>0</v>
      </c>
      <c r="AD661" s="149">
        <f t="shared" si="421"/>
        <v>0</v>
      </c>
      <c r="AE661" s="149">
        <f t="shared" si="421"/>
        <v>0</v>
      </c>
      <c r="AF661" s="149">
        <f t="shared" si="421"/>
        <v>0</v>
      </c>
      <c r="AG661" s="149">
        <f t="shared" si="421"/>
        <v>0</v>
      </c>
    </row>
    <row r="662" spans="1:33" ht="14.25" customHeight="1" x14ac:dyDescent="0.35">
      <c r="A662" s="21"/>
      <c r="B662" s="28"/>
      <c r="C662" s="28"/>
      <c r="D662" s="175" t="s">
        <v>4036</v>
      </c>
      <c r="E662" s="175"/>
      <c r="F662" s="21"/>
      <c r="G662" s="21"/>
      <c r="H662" s="21"/>
      <c r="I662" s="22" t="s">
        <v>4060</v>
      </c>
      <c r="J662" s="148">
        <f t="shared" ref="J662:AG662" si="422">J645</f>
        <v>2351662.3203458204</v>
      </c>
      <c r="K662" s="148">
        <f t="shared" si="422"/>
        <v>3729622.2430332601</v>
      </c>
      <c r="L662" s="148">
        <f t="shared" si="422"/>
        <v>2373041.4100654344</v>
      </c>
      <c r="M662" s="148">
        <f t="shared" si="422"/>
        <v>8005996.3850771915</v>
      </c>
      <c r="N662" s="148">
        <f t="shared" si="422"/>
        <v>4255617.5784298852</v>
      </c>
      <c r="O662" s="148">
        <f t="shared" si="422"/>
        <v>6015166.7997926641</v>
      </c>
      <c r="P662" s="148">
        <f t="shared" si="422"/>
        <v>6142461.8842509519</v>
      </c>
      <c r="Q662" s="148">
        <f t="shared" si="422"/>
        <v>8011396.7424226543</v>
      </c>
      <c r="R662" s="149">
        <f t="shared" si="422"/>
        <v>5100773.7345224908</v>
      </c>
      <c r="S662" s="149">
        <f t="shared" si="422"/>
        <v>5093592.613099887</v>
      </c>
      <c r="T662" s="149">
        <f t="shared" si="422"/>
        <v>4933478.4715499114</v>
      </c>
      <c r="U662" s="149">
        <f t="shared" si="422"/>
        <v>4936822.9632819211</v>
      </c>
      <c r="V662" s="149">
        <f t="shared" si="422"/>
        <v>4907729.2393601984</v>
      </c>
      <c r="W662" s="149">
        <f t="shared" si="422"/>
        <v>4888582.2223064741</v>
      </c>
      <c r="X662" s="149">
        <f t="shared" si="422"/>
        <v>4877692.7429000232</v>
      </c>
      <c r="Y662" s="149">
        <f t="shared" si="422"/>
        <v>4876350.9922811389</v>
      </c>
      <c r="Z662" s="149">
        <f t="shared" si="422"/>
        <v>4856498.3238173407</v>
      </c>
      <c r="AA662" s="149">
        <f t="shared" si="422"/>
        <v>4845902.7024179529</v>
      </c>
      <c r="AB662" s="149">
        <f t="shared" si="422"/>
        <v>4845797.1658916222</v>
      </c>
      <c r="AC662" s="149">
        <f t="shared" si="422"/>
        <v>4825591.6519626509</v>
      </c>
      <c r="AD662" s="149">
        <f t="shared" si="422"/>
        <v>4821415.4415418301</v>
      </c>
      <c r="AE662" s="149">
        <f t="shared" si="422"/>
        <v>4800019.3589124307</v>
      </c>
      <c r="AF662" s="149">
        <f t="shared" si="422"/>
        <v>4796792.5902083879</v>
      </c>
      <c r="AG662" s="149">
        <f t="shared" si="422"/>
        <v>4779642.0430273414</v>
      </c>
    </row>
    <row r="663" spans="1:33" ht="14.25" customHeight="1" x14ac:dyDescent="0.35">
      <c r="A663" s="21"/>
      <c r="B663" s="28"/>
      <c r="C663" s="28"/>
      <c r="D663" s="175" t="s">
        <v>4144</v>
      </c>
      <c r="E663" s="175"/>
      <c r="F663" s="21"/>
      <c r="G663" s="21"/>
      <c r="H663" s="21"/>
      <c r="I663" s="22" t="s">
        <v>4060</v>
      </c>
      <c r="J663" s="181">
        <f t="shared" ref="J663:AG663" si="423">SUM(J648:J662)</f>
        <v>138020274.11660254</v>
      </c>
      <c r="K663" s="181">
        <f t="shared" si="423"/>
        <v>89923708.101315558</v>
      </c>
      <c r="L663" s="181">
        <f t="shared" si="423"/>
        <v>44884407.217734769</v>
      </c>
      <c r="M663" s="181">
        <f t="shared" si="423"/>
        <v>255764233.84372747</v>
      </c>
      <c r="N663" s="181">
        <f t="shared" si="423"/>
        <v>204544999.88857016</v>
      </c>
      <c r="O663" s="181">
        <f t="shared" si="423"/>
        <v>570747409.14758861</v>
      </c>
      <c r="P663" s="181">
        <f t="shared" si="423"/>
        <v>325747937.92741531</v>
      </c>
      <c r="Q663" s="181">
        <f t="shared" si="423"/>
        <v>459628339.64015359</v>
      </c>
      <c r="R663" s="182">
        <f t="shared" si="423"/>
        <v>223640400.73801515</v>
      </c>
      <c r="S663" s="182">
        <f t="shared" si="423"/>
        <v>223463237.25240105</v>
      </c>
      <c r="T663" s="182">
        <f t="shared" si="423"/>
        <v>223286781.1874288</v>
      </c>
      <c r="U663" s="182">
        <f t="shared" si="423"/>
        <v>223279561.35096163</v>
      </c>
      <c r="V663" s="182">
        <f t="shared" si="423"/>
        <v>223235000.30747241</v>
      </c>
      <c r="W663" s="182">
        <f t="shared" si="423"/>
        <v>223217381.82273695</v>
      </c>
      <c r="X663" s="182">
        <f t="shared" si="423"/>
        <v>223204808.47569725</v>
      </c>
      <c r="Y663" s="182">
        <f t="shared" si="423"/>
        <v>223201215.36870497</v>
      </c>
      <c r="Z663" s="182">
        <f t="shared" si="423"/>
        <v>223181962.87661067</v>
      </c>
      <c r="AA663" s="182">
        <f t="shared" si="423"/>
        <v>223170941.08951125</v>
      </c>
      <c r="AB663" s="182">
        <f t="shared" si="423"/>
        <v>223170489.08331147</v>
      </c>
      <c r="AC663" s="182">
        <f t="shared" si="423"/>
        <v>223150407.4652839</v>
      </c>
      <c r="AD663" s="182">
        <f t="shared" si="423"/>
        <v>223146114.18502322</v>
      </c>
      <c r="AE663" s="182">
        <f t="shared" si="423"/>
        <v>223124661.5058971</v>
      </c>
      <c r="AF663" s="182">
        <f t="shared" si="423"/>
        <v>223121451.81783319</v>
      </c>
      <c r="AG663" s="182">
        <f t="shared" si="423"/>
        <v>223104269.82417595</v>
      </c>
    </row>
    <row r="664" spans="1:33" ht="14.25" customHeight="1" x14ac:dyDescent="0.35">
      <c r="A664" s="21"/>
      <c r="B664" s="28"/>
      <c r="C664" s="28"/>
      <c r="D664" s="175" t="s">
        <v>4145</v>
      </c>
      <c r="E664" s="175"/>
      <c r="F664" s="21"/>
      <c r="G664" s="21"/>
      <c r="H664" s="21"/>
      <c r="I664" s="22" t="s">
        <v>3900</v>
      </c>
      <c r="J664" s="160">
        <f t="shared" ref="J664:AG664" si="424">J578</f>
        <v>0</v>
      </c>
      <c r="K664" s="160">
        <f t="shared" si="424"/>
        <v>1985.4</v>
      </c>
      <c r="L664" s="160">
        <f t="shared" si="424"/>
        <v>1287</v>
      </c>
      <c r="M664" s="160">
        <f t="shared" si="424"/>
        <v>5966.25</v>
      </c>
      <c r="N664" s="160">
        <f t="shared" si="424"/>
        <v>4986</v>
      </c>
      <c r="O664" s="160">
        <f t="shared" si="424"/>
        <v>14778.5</v>
      </c>
      <c r="P664" s="160">
        <f t="shared" si="424"/>
        <v>8721.5</v>
      </c>
      <c r="Q664" s="160">
        <f t="shared" si="424"/>
        <v>13376</v>
      </c>
      <c r="R664" s="161">
        <f t="shared" si="424"/>
        <v>6388</v>
      </c>
      <c r="S664" s="161">
        <f t="shared" si="424"/>
        <v>6388</v>
      </c>
      <c r="T664" s="161">
        <f t="shared" si="424"/>
        <v>6388</v>
      </c>
      <c r="U664" s="161">
        <f t="shared" si="424"/>
        <v>6388</v>
      </c>
      <c r="V664" s="161">
        <f t="shared" si="424"/>
        <v>6388</v>
      </c>
      <c r="W664" s="161">
        <f t="shared" si="424"/>
        <v>6388</v>
      </c>
      <c r="X664" s="161">
        <f t="shared" si="424"/>
        <v>6388</v>
      </c>
      <c r="Y664" s="161">
        <f t="shared" si="424"/>
        <v>6388</v>
      </c>
      <c r="Z664" s="161">
        <f t="shared" si="424"/>
        <v>6388</v>
      </c>
      <c r="AA664" s="161">
        <f t="shared" si="424"/>
        <v>6388</v>
      </c>
      <c r="AB664" s="161">
        <f t="shared" si="424"/>
        <v>6388</v>
      </c>
      <c r="AC664" s="161">
        <f t="shared" si="424"/>
        <v>6388</v>
      </c>
      <c r="AD664" s="161">
        <f t="shared" si="424"/>
        <v>6388</v>
      </c>
      <c r="AE664" s="161">
        <f t="shared" si="424"/>
        <v>6388</v>
      </c>
      <c r="AF664" s="161">
        <f t="shared" si="424"/>
        <v>6388</v>
      </c>
      <c r="AG664" s="161">
        <f t="shared" si="424"/>
        <v>6388</v>
      </c>
    </row>
    <row r="665" spans="1:33" ht="14.25" customHeight="1" x14ac:dyDescent="0.35">
      <c r="A665" s="21"/>
      <c r="B665" s="28"/>
      <c r="C665" s="28"/>
      <c r="D665" s="175" t="s">
        <v>38</v>
      </c>
      <c r="E665" s="175"/>
      <c r="F665" s="21"/>
      <c r="G665" s="21"/>
      <c r="H665" s="21"/>
      <c r="I665" s="22" t="s">
        <v>3900</v>
      </c>
      <c r="J665" s="160">
        <f t="shared" ref="J665:AG665" si="425">J579</f>
        <v>0</v>
      </c>
      <c r="K665" s="160">
        <f t="shared" si="425"/>
        <v>0</v>
      </c>
      <c r="L665" s="160">
        <f t="shared" si="425"/>
        <v>0</v>
      </c>
      <c r="M665" s="160">
        <f t="shared" si="425"/>
        <v>0</v>
      </c>
      <c r="N665" s="160">
        <f t="shared" si="425"/>
        <v>0</v>
      </c>
      <c r="O665" s="160">
        <f t="shared" si="425"/>
        <v>0</v>
      </c>
      <c r="P665" s="160">
        <f t="shared" si="425"/>
        <v>0</v>
      </c>
      <c r="Q665" s="160">
        <f t="shared" si="425"/>
        <v>0</v>
      </c>
      <c r="R665" s="161">
        <f t="shared" si="425"/>
        <v>0</v>
      </c>
      <c r="S665" s="161">
        <f t="shared" si="425"/>
        <v>0</v>
      </c>
      <c r="T665" s="161">
        <f t="shared" si="425"/>
        <v>0</v>
      </c>
      <c r="U665" s="161">
        <f t="shared" si="425"/>
        <v>0</v>
      </c>
      <c r="V665" s="161">
        <f t="shared" si="425"/>
        <v>0</v>
      </c>
      <c r="W665" s="161">
        <f t="shared" si="425"/>
        <v>0</v>
      </c>
      <c r="X665" s="161">
        <f t="shared" si="425"/>
        <v>0</v>
      </c>
      <c r="Y665" s="161">
        <f t="shared" si="425"/>
        <v>0</v>
      </c>
      <c r="Z665" s="161">
        <f t="shared" si="425"/>
        <v>0</v>
      </c>
      <c r="AA665" s="161">
        <f t="shared" si="425"/>
        <v>0</v>
      </c>
      <c r="AB665" s="161">
        <f t="shared" si="425"/>
        <v>0</v>
      </c>
      <c r="AC665" s="161">
        <f t="shared" si="425"/>
        <v>0</v>
      </c>
      <c r="AD665" s="161">
        <f t="shared" si="425"/>
        <v>0</v>
      </c>
      <c r="AE665" s="161">
        <f t="shared" si="425"/>
        <v>0</v>
      </c>
      <c r="AF665" s="161">
        <f t="shared" si="425"/>
        <v>0</v>
      </c>
      <c r="AG665" s="161">
        <f t="shared" si="425"/>
        <v>0</v>
      </c>
    </row>
    <row r="666" spans="1:33" ht="14.25" customHeight="1" x14ac:dyDescent="0.35">
      <c r="A666" s="21"/>
      <c r="B666" s="28"/>
      <c r="C666" s="28"/>
      <c r="D666" s="175" t="s">
        <v>4146</v>
      </c>
      <c r="E666" s="175"/>
      <c r="F666" s="21"/>
      <c r="G666" s="21"/>
      <c r="H666" s="21"/>
      <c r="I666" s="22" t="s">
        <v>3900</v>
      </c>
      <c r="J666" s="160">
        <f t="shared" ref="J666:AG666" si="426">J580</f>
        <v>0</v>
      </c>
      <c r="K666" s="160">
        <f t="shared" si="426"/>
        <v>0</v>
      </c>
      <c r="L666" s="160">
        <f t="shared" si="426"/>
        <v>0</v>
      </c>
      <c r="M666" s="160">
        <f t="shared" si="426"/>
        <v>0</v>
      </c>
      <c r="N666" s="160">
        <f t="shared" si="426"/>
        <v>0</v>
      </c>
      <c r="O666" s="160">
        <f t="shared" si="426"/>
        <v>0</v>
      </c>
      <c r="P666" s="160">
        <f t="shared" si="426"/>
        <v>0</v>
      </c>
      <c r="Q666" s="160">
        <f t="shared" si="426"/>
        <v>0</v>
      </c>
      <c r="R666" s="161">
        <f t="shared" si="426"/>
        <v>64.525252525252526</v>
      </c>
      <c r="S666" s="161">
        <f t="shared" si="426"/>
        <v>64.525252525252526</v>
      </c>
      <c r="T666" s="161">
        <f t="shared" si="426"/>
        <v>64.525252525252526</v>
      </c>
      <c r="U666" s="161">
        <f t="shared" si="426"/>
        <v>64.525252525252526</v>
      </c>
      <c r="V666" s="161">
        <f t="shared" si="426"/>
        <v>64.525252525252526</v>
      </c>
      <c r="W666" s="161">
        <f t="shared" si="426"/>
        <v>64.525252525252526</v>
      </c>
      <c r="X666" s="161">
        <f t="shared" si="426"/>
        <v>64.525252525252526</v>
      </c>
      <c r="Y666" s="161">
        <f t="shared" si="426"/>
        <v>64.525252525252526</v>
      </c>
      <c r="Z666" s="161">
        <f t="shared" si="426"/>
        <v>64.525252525252526</v>
      </c>
      <c r="AA666" s="161">
        <f t="shared" si="426"/>
        <v>64.525252525252526</v>
      </c>
      <c r="AB666" s="161">
        <f t="shared" si="426"/>
        <v>64.525252525252526</v>
      </c>
      <c r="AC666" s="161">
        <f t="shared" si="426"/>
        <v>64.525252525252526</v>
      </c>
      <c r="AD666" s="161">
        <f t="shared" si="426"/>
        <v>64.525252525252526</v>
      </c>
      <c r="AE666" s="161">
        <f t="shared" si="426"/>
        <v>64.525252525252526</v>
      </c>
      <c r="AF666" s="161">
        <f t="shared" si="426"/>
        <v>64.525252525252526</v>
      </c>
      <c r="AG666" s="161">
        <f t="shared" si="426"/>
        <v>64.525252525252526</v>
      </c>
    </row>
    <row r="667" spans="1:33" ht="14.25" customHeight="1" x14ac:dyDescent="0.35">
      <c r="A667" s="21"/>
      <c r="B667" s="28"/>
      <c r="C667" s="28"/>
      <c r="D667" s="179" t="s">
        <v>4147</v>
      </c>
      <c r="E667" s="175"/>
      <c r="F667" s="21"/>
      <c r="G667" s="21"/>
      <c r="H667" s="21"/>
      <c r="I667" s="22" t="s">
        <v>3861</v>
      </c>
      <c r="J667" s="160">
        <f t="shared" ref="J667:Q667" si="427">IF(SUM(J664:J666)=0,0,J663/SUM(J664:J666))</f>
        <v>0</v>
      </c>
      <c r="K667" s="160">
        <f t="shared" si="427"/>
        <v>45292.48922197822</v>
      </c>
      <c r="L667" s="160">
        <f t="shared" si="427"/>
        <v>34875.219283399201</v>
      </c>
      <c r="M667" s="160">
        <f t="shared" si="427"/>
        <v>42868.50766289168</v>
      </c>
      <c r="N667" s="160">
        <f t="shared" si="427"/>
        <v>41023.866804767378</v>
      </c>
      <c r="O667" s="160">
        <f t="shared" si="427"/>
        <v>38620.117680927608</v>
      </c>
      <c r="P667" s="160">
        <f t="shared" si="427"/>
        <v>37349.990016329219</v>
      </c>
      <c r="Q667" s="160">
        <f t="shared" si="427"/>
        <v>34362.16654008325</v>
      </c>
      <c r="R667" s="161">
        <f t="shared" ref="R667:AG667" si="428">R663/SUM(R664:R666)</f>
        <v>34659.360790644176</v>
      </c>
      <c r="S667" s="161">
        <f t="shared" si="428"/>
        <v>34631.904333105362</v>
      </c>
      <c r="T667" s="161">
        <f t="shared" si="428"/>
        <v>34604.557510262137</v>
      </c>
      <c r="U667" s="161">
        <f t="shared" si="428"/>
        <v>34603.438593840328</v>
      </c>
      <c r="V667" s="161">
        <f t="shared" si="428"/>
        <v>34596.532608703455</v>
      </c>
      <c r="W667" s="161">
        <f t="shared" si="428"/>
        <v>34593.802129697804</v>
      </c>
      <c r="X667" s="161">
        <f t="shared" si="428"/>
        <v>34591.853536465293</v>
      </c>
      <c r="Y667" s="161">
        <f t="shared" si="428"/>
        <v>34591.296683628352</v>
      </c>
      <c r="Z667" s="161">
        <f t="shared" si="428"/>
        <v>34588.31296929314</v>
      </c>
      <c r="AA667" s="161">
        <f t="shared" si="428"/>
        <v>34586.604833847232</v>
      </c>
      <c r="AB667" s="161">
        <f t="shared" si="428"/>
        <v>34586.534782792478</v>
      </c>
      <c r="AC667" s="161">
        <f t="shared" si="428"/>
        <v>34583.422572108808</v>
      </c>
      <c r="AD667" s="161">
        <f t="shared" si="428"/>
        <v>34582.757207760325</v>
      </c>
      <c r="AE667" s="161">
        <f t="shared" si="428"/>
        <v>34579.432512654683</v>
      </c>
      <c r="AF667" s="161">
        <f t="shared" si="428"/>
        <v>34578.935081348602</v>
      </c>
      <c r="AG667" s="161">
        <f t="shared" si="428"/>
        <v>34576.272248893896</v>
      </c>
    </row>
    <row r="668" spans="1:33" ht="14.25" customHeight="1" x14ac:dyDescent="0.35">
      <c r="A668" s="21"/>
      <c r="B668" s="28"/>
      <c r="C668" s="143" t="s">
        <v>4202</v>
      </c>
      <c r="D668" s="28" t="s">
        <v>4149</v>
      </c>
      <c r="E668" s="175"/>
      <c r="F668" s="21"/>
      <c r="G668" s="21"/>
      <c r="H668" s="21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</row>
    <row r="669" spans="1:33" ht="14.25" customHeight="1" x14ac:dyDescent="0.35">
      <c r="A669" s="21"/>
      <c r="B669" s="28"/>
      <c r="C669" s="143"/>
      <c r="D669" s="21" t="s">
        <v>4150</v>
      </c>
      <c r="E669" s="21"/>
      <c r="F669" s="21"/>
      <c r="G669" s="21"/>
      <c r="H669" s="21"/>
      <c r="I669" s="22" t="s">
        <v>3900</v>
      </c>
      <c r="J669" s="160">
        <f t="shared" ref="J669:AG669" si="429">J578</f>
        <v>0</v>
      </c>
      <c r="K669" s="160">
        <f t="shared" si="429"/>
        <v>1985.4</v>
      </c>
      <c r="L669" s="160">
        <f t="shared" si="429"/>
        <v>1287</v>
      </c>
      <c r="M669" s="160">
        <f t="shared" si="429"/>
        <v>5966.25</v>
      </c>
      <c r="N669" s="160">
        <f t="shared" si="429"/>
        <v>4986</v>
      </c>
      <c r="O669" s="160">
        <f t="shared" si="429"/>
        <v>14778.5</v>
      </c>
      <c r="P669" s="160">
        <f t="shared" si="429"/>
        <v>8721.5</v>
      </c>
      <c r="Q669" s="160">
        <f t="shared" si="429"/>
        <v>13376</v>
      </c>
      <c r="R669" s="161">
        <f t="shared" si="429"/>
        <v>6388</v>
      </c>
      <c r="S669" s="161">
        <f t="shared" si="429"/>
        <v>6388</v>
      </c>
      <c r="T669" s="161">
        <f t="shared" si="429"/>
        <v>6388</v>
      </c>
      <c r="U669" s="161">
        <f t="shared" si="429"/>
        <v>6388</v>
      </c>
      <c r="V669" s="161">
        <f t="shared" si="429"/>
        <v>6388</v>
      </c>
      <c r="W669" s="161">
        <f t="shared" si="429"/>
        <v>6388</v>
      </c>
      <c r="X669" s="161">
        <f t="shared" si="429"/>
        <v>6388</v>
      </c>
      <c r="Y669" s="161">
        <f t="shared" si="429"/>
        <v>6388</v>
      </c>
      <c r="Z669" s="161">
        <f t="shared" si="429"/>
        <v>6388</v>
      </c>
      <c r="AA669" s="161">
        <f t="shared" si="429"/>
        <v>6388</v>
      </c>
      <c r="AB669" s="161">
        <f t="shared" si="429"/>
        <v>6388</v>
      </c>
      <c r="AC669" s="161">
        <f t="shared" si="429"/>
        <v>6388</v>
      </c>
      <c r="AD669" s="161">
        <f t="shared" si="429"/>
        <v>6388</v>
      </c>
      <c r="AE669" s="161">
        <f t="shared" si="429"/>
        <v>6388</v>
      </c>
      <c r="AF669" s="161">
        <f t="shared" si="429"/>
        <v>6388</v>
      </c>
      <c r="AG669" s="161">
        <f t="shared" si="429"/>
        <v>6388</v>
      </c>
    </row>
    <row r="670" spans="1:33" ht="14.25" customHeight="1" x14ac:dyDescent="0.35">
      <c r="A670" s="21"/>
      <c r="B670" s="28"/>
      <c r="C670" s="143"/>
      <c r="D670" s="21" t="s">
        <v>4151</v>
      </c>
      <c r="E670" s="21"/>
      <c r="F670" s="21"/>
      <c r="G670" s="21"/>
      <c r="H670" s="21"/>
      <c r="I670" s="22" t="s">
        <v>3900</v>
      </c>
      <c r="J670" s="160">
        <f t="shared" ref="J670:AG670" si="430">J579</f>
        <v>0</v>
      </c>
      <c r="K670" s="160">
        <f t="shared" si="430"/>
        <v>0</v>
      </c>
      <c r="L670" s="160">
        <f t="shared" si="430"/>
        <v>0</v>
      </c>
      <c r="M670" s="160">
        <f t="shared" si="430"/>
        <v>0</v>
      </c>
      <c r="N670" s="160">
        <f t="shared" si="430"/>
        <v>0</v>
      </c>
      <c r="O670" s="160">
        <f t="shared" si="430"/>
        <v>0</v>
      </c>
      <c r="P670" s="160">
        <f t="shared" si="430"/>
        <v>0</v>
      </c>
      <c r="Q670" s="160">
        <f t="shared" si="430"/>
        <v>0</v>
      </c>
      <c r="R670" s="161">
        <f t="shared" si="430"/>
        <v>0</v>
      </c>
      <c r="S670" s="161">
        <f t="shared" si="430"/>
        <v>0</v>
      </c>
      <c r="T670" s="161">
        <f t="shared" si="430"/>
        <v>0</v>
      </c>
      <c r="U670" s="161">
        <f t="shared" si="430"/>
        <v>0</v>
      </c>
      <c r="V670" s="161">
        <f t="shared" si="430"/>
        <v>0</v>
      </c>
      <c r="W670" s="161">
        <f t="shared" si="430"/>
        <v>0</v>
      </c>
      <c r="X670" s="161">
        <f t="shared" si="430"/>
        <v>0</v>
      </c>
      <c r="Y670" s="161">
        <f t="shared" si="430"/>
        <v>0</v>
      </c>
      <c r="Z670" s="161">
        <f t="shared" si="430"/>
        <v>0</v>
      </c>
      <c r="AA670" s="161">
        <f t="shared" si="430"/>
        <v>0</v>
      </c>
      <c r="AB670" s="161">
        <f t="shared" si="430"/>
        <v>0</v>
      </c>
      <c r="AC670" s="161">
        <f t="shared" si="430"/>
        <v>0</v>
      </c>
      <c r="AD670" s="161">
        <f t="shared" si="430"/>
        <v>0</v>
      </c>
      <c r="AE670" s="161">
        <f t="shared" si="430"/>
        <v>0</v>
      </c>
      <c r="AF670" s="161">
        <f t="shared" si="430"/>
        <v>0</v>
      </c>
      <c r="AG670" s="161">
        <f t="shared" si="430"/>
        <v>0</v>
      </c>
    </row>
    <row r="671" spans="1:33" ht="14.25" customHeight="1" x14ac:dyDescent="0.35">
      <c r="A671" s="21"/>
      <c r="B671" s="28"/>
      <c r="C671" s="143"/>
      <c r="D671" s="21" t="s">
        <v>4092</v>
      </c>
      <c r="E671" s="21"/>
      <c r="F671" s="21"/>
      <c r="G671" s="21"/>
      <c r="H671" s="21"/>
      <c r="I671" s="22" t="s">
        <v>3900</v>
      </c>
      <c r="J671" s="160">
        <f t="shared" ref="J671:AG671" si="431">J580</f>
        <v>0</v>
      </c>
      <c r="K671" s="160">
        <f t="shared" si="431"/>
        <v>0</v>
      </c>
      <c r="L671" s="160">
        <f t="shared" si="431"/>
        <v>0</v>
      </c>
      <c r="M671" s="160">
        <f t="shared" si="431"/>
        <v>0</v>
      </c>
      <c r="N671" s="160">
        <f t="shared" si="431"/>
        <v>0</v>
      </c>
      <c r="O671" s="160">
        <f t="shared" si="431"/>
        <v>0</v>
      </c>
      <c r="P671" s="160">
        <f t="shared" si="431"/>
        <v>0</v>
      </c>
      <c r="Q671" s="160">
        <f t="shared" si="431"/>
        <v>0</v>
      </c>
      <c r="R671" s="161">
        <f t="shared" si="431"/>
        <v>64.525252525252526</v>
      </c>
      <c r="S671" s="161">
        <f t="shared" si="431"/>
        <v>64.525252525252526</v>
      </c>
      <c r="T671" s="161">
        <f t="shared" si="431"/>
        <v>64.525252525252526</v>
      </c>
      <c r="U671" s="161">
        <f t="shared" si="431"/>
        <v>64.525252525252526</v>
      </c>
      <c r="V671" s="161">
        <f t="shared" si="431"/>
        <v>64.525252525252526</v>
      </c>
      <c r="W671" s="161">
        <f t="shared" si="431"/>
        <v>64.525252525252526</v>
      </c>
      <c r="X671" s="161">
        <f t="shared" si="431"/>
        <v>64.525252525252526</v>
      </c>
      <c r="Y671" s="161">
        <f t="shared" si="431"/>
        <v>64.525252525252526</v>
      </c>
      <c r="Z671" s="161">
        <f t="shared" si="431"/>
        <v>64.525252525252526</v>
      </c>
      <c r="AA671" s="161">
        <f t="shared" si="431"/>
        <v>64.525252525252526</v>
      </c>
      <c r="AB671" s="161">
        <f t="shared" si="431"/>
        <v>64.525252525252526</v>
      </c>
      <c r="AC671" s="161">
        <f t="shared" si="431"/>
        <v>64.525252525252526</v>
      </c>
      <c r="AD671" s="161">
        <f t="shared" si="431"/>
        <v>64.525252525252526</v>
      </c>
      <c r="AE671" s="161">
        <f t="shared" si="431"/>
        <v>64.525252525252526</v>
      </c>
      <c r="AF671" s="161">
        <f t="shared" si="431"/>
        <v>64.525252525252526</v>
      </c>
      <c r="AG671" s="161">
        <f t="shared" si="431"/>
        <v>64.525252525252526</v>
      </c>
    </row>
    <row r="672" spans="1:33" ht="14.25" customHeight="1" x14ac:dyDescent="0.35">
      <c r="A672" s="21"/>
      <c r="B672" s="28"/>
      <c r="C672" s="143"/>
      <c r="D672" s="21" t="s">
        <v>4152</v>
      </c>
      <c r="E672" s="21"/>
      <c r="F672" s="21"/>
      <c r="G672" s="21"/>
      <c r="H672" s="21"/>
      <c r="I672" s="22" t="s">
        <v>3900</v>
      </c>
      <c r="J672" s="160">
        <f t="shared" ref="J672:Q672" si="432">J576</f>
        <v>0</v>
      </c>
      <c r="K672" s="160">
        <f t="shared" si="432"/>
        <v>0</v>
      </c>
      <c r="L672" s="160">
        <f t="shared" si="432"/>
        <v>0</v>
      </c>
      <c r="M672" s="160">
        <f t="shared" si="432"/>
        <v>0</v>
      </c>
      <c r="N672" s="160">
        <f t="shared" si="432"/>
        <v>0</v>
      </c>
      <c r="O672" s="160">
        <f t="shared" si="432"/>
        <v>0</v>
      </c>
      <c r="P672" s="160">
        <f t="shared" si="432"/>
        <v>0</v>
      </c>
      <c r="Q672" s="160">
        <f t="shared" si="432"/>
        <v>0</v>
      </c>
      <c r="R672" s="161">
        <f>'Business Plan - Model Details'!R576</f>
        <v>0</v>
      </c>
      <c r="S672" s="161">
        <f>'Business Plan - Model Details'!S576</f>
        <v>0</v>
      </c>
      <c r="T672" s="161">
        <f>'Business Plan - Model Details'!T576</f>
        <v>0</v>
      </c>
      <c r="U672" s="161">
        <f>'Business Plan - Model Details'!U576</f>
        <v>0</v>
      </c>
      <c r="V672" s="161">
        <f>'Business Plan - Model Details'!V576</f>
        <v>0</v>
      </c>
      <c r="W672" s="161">
        <f>'Business Plan - Model Details'!W576</f>
        <v>0</v>
      </c>
      <c r="X672" s="161">
        <f>'Business Plan - Model Details'!X576</f>
        <v>0</v>
      </c>
      <c r="Y672" s="161">
        <f>'Business Plan - Model Details'!Y576</f>
        <v>0</v>
      </c>
      <c r="Z672" s="161">
        <f>'Business Plan - Model Details'!Z576</f>
        <v>0</v>
      </c>
      <c r="AA672" s="161">
        <f>'Business Plan - Model Details'!AA576</f>
        <v>0</v>
      </c>
      <c r="AB672" s="161">
        <f>'Business Plan - Model Details'!AB576</f>
        <v>0</v>
      </c>
      <c r="AC672" s="161">
        <f>'Business Plan - Model Details'!AC576</f>
        <v>0</v>
      </c>
      <c r="AD672" s="161">
        <f>'Business Plan - Model Details'!AD576</f>
        <v>0</v>
      </c>
      <c r="AE672" s="161">
        <f>'Business Plan - Model Details'!AE576</f>
        <v>0</v>
      </c>
      <c r="AF672" s="161">
        <f>'Business Plan - Model Details'!AF576</f>
        <v>0</v>
      </c>
      <c r="AG672" s="161">
        <f>'Business Plan - Model Details'!AG576</f>
        <v>0</v>
      </c>
    </row>
    <row r="673" spans="1:33" ht="14.25" customHeight="1" x14ac:dyDescent="0.35">
      <c r="A673" s="21"/>
      <c r="B673" s="28"/>
      <c r="C673" s="143"/>
      <c r="D673" s="21" t="s">
        <v>4153</v>
      </c>
      <c r="E673" s="21"/>
      <c r="F673" s="21"/>
      <c r="G673" s="21"/>
      <c r="H673" s="21"/>
      <c r="I673" s="22"/>
      <c r="J673" s="21"/>
      <c r="K673" s="21"/>
      <c r="L673" s="21"/>
      <c r="M673" s="21"/>
      <c r="N673" s="21"/>
      <c r="O673" s="21"/>
      <c r="P673" s="60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</row>
    <row r="674" spans="1:33" ht="14.25" customHeight="1" x14ac:dyDescent="0.35">
      <c r="A674" s="21"/>
      <c r="B674" s="28"/>
      <c r="C674" s="143"/>
      <c r="D674" s="21"/>
      <c r="E674" s="21" t="s">
        <v>4203</v>
      </c>
      <c r="F674" s="21"/>
      <c r="G674" s="21"/>
      <c r="H674" s="21"/>
      <c r="I674" s="22" t="s">
        <v>3900</v>
      </c>
      <c r="J674" s="160"/>
      <c r="K674" s="160"/>
      <c r="L674" s="160"/>
      <c r="M674" s="160"/>
      <c r="N674" s="160"/>
      <c r="O674" s="160"/>
      <c r="P674" s="160"/>
      <c r="Q674" s="160"/>
      <c r="R674" s="161">
        <v>4042.5</v>
      </c>
      <c r="S674" s="161">
        <f t="shared" ref="S674:AG674" si="433">R679</f>
        <v>4042.5</v>
      </c>
      <c r="T674" s="161">
        <f t="shared" si="433"/>
        <v>4042.5</v>
      </c>
      <c r="U674" s="161">
        <f t="shared" si="433"/>
        <v>4042.5</v>
      </c>
      <c r="V674" s="161">
        <f t="shared" si="433"/>
        <v>4042.5</v>
      </c>
      <c r="W674" s="161">
        <f t="shared" si="433"/>
        <v>4042.5</v>
      </c>
      <c r="X674" s="161">
        <f t="shared" si="433"/>
        <v>4042.5</v>
      </c>
      <c r="Y674" s="161">
        <f t="shared" si="433"/>
        <v>4042.5</v>
      </c>
      <c r="Z674" s="161">
        <f t="shared" si="433"/>
        <v>4042.5</v>
      </c>
      <c r="AA674" s="161">
        <f t="shared" si="433"/>
        <v>4042.5</v>
      </c>
      <c r="AB674" s="161">
        <f t="shared" si="433"/>
        <v>4042.5</v>
      </c>
      <c r="AC674" s="161">
        <f t="shared" si="433"/>
        <v>4042.5</v>
      </c>
      <c r="AD674" s="161">
        <f t="shared" si="433"/>
        <v>4042.5</v>
      </c>
      <c r="AE674" s="161">
        <f t="shared" si="433"/>
        <v>4042.5</v>
      </c>
      <c r="AF674" s="161">
        <f t="shared" si="433"/>
        <v>4042.5</v>
      </c>
      <c r="AG674" s="161">
        <f t="shared" si="433"/>
        <v>4042.5</v>
      </c>
    </row>
    <row r="675" spans="1:33" ht="14.25" customHeight="1" x14ac:dyDescent="0.35">
      <c r="A675" s="21"/>
      <c r="B675" s="28"/>
      <c r="C675" s="143"/>
      <c r="D675" s="21"/>
      <c r="E675" s="21" t="s">
        <v>4154</v>
      </c>
      <c r="F675" s="21"/>
      <c r="G675" s="21"/>
      <c r="H675" s="21"/>
      <c r="I675" s="22" t="s">
        <v>3900</v>
      </c>
      <c r="J675" s="160"/>
      <c r="K675" s="160"/>
      <c r="L675" s="160"/>
      <c r="M675" s="160"/>
      <c r="N675" s="160"/>
      <c r="O675" s="160"/>
      <c r="P675" s="160"/>
      <c r="Q675" s="160"/>
      <c r="R675" s="161">
        <f t="shared" ref="R675:AG675" si="434">SUM(R669:R672)</f>
        <v>6452.5252525252527</v>
      </c>
      <c r="S675" s="161">
        <f t="shared" si="434"/>
        <v>6452.5252525252527</v>
      </c>
      <c r="T675" s="161">
        <f t="shared" si="434"/>
        <v>6452.5252525252527</v>
      </c>
      <c r="U675" s="161">
        <f t="shared" si="434"/>
        <v>6452.5252525252527</v>
      </c>
      <c r="V675" s="161">
        <f t="shared" si="434"/>
        <v>6452.5252525252527</v>
      </c>
      <c r="W675" s="161">
        <f t="shared" si="434"/>
        <v>6452.5252525252527</v>
      </c>
      <c r="X675" s="161">
        <f t="shared" si="434"/>
        <v>6452.5252525252527</v>
      </c>
      <c r="Y675" s="161">
        <f t="shared" si="434"/>
        <v>6452.5252525252527</v>
      </c>
      <c r="Z675" s="161">
        <f t="shared" si="434"/>
        <v>6452.5252525252527</v>
      </c>
      <c r="AA675" s="161">
        <f t="shared" si="434"/>
        <v>6452.5252525252527</v>
      </c>
      <c r="AB675" s="161">
        <f t="shared" si="434"/>
        <v>6452.5252525252527</v>
      </c>
      <c r="AC675" s="161">
        <f t="shared" si="434"/>
        <v>6452.5252525252527</v>
      </c>
      <c r="AD675" s="161">
        <f t="shared" si="434"/>
        <v>6452.5252525252527</v>
      </c>
      <c r="AE675" s="161">
        <f t="shared" si="434"/>
        <v>6452.5252525252527</v>
      </c>
      <c r="AF675" s="161">
        <f t="shared" si="434"/>
        <v>6452.5252525252527</v>
      </c>
      <c r="AG675" s="161">
        <f t="shared" si="434"/>
        <v>6452.5252525252527</v>
      </c>
    </row>
    <row r="676" spans="1:33" ht="14.25" customHeight="1" x14ac:dyDescent="0.35">
      <c r="A676" s="21"/>
      <c r="B676" s="28"/>
      <c r="C676" s="143"/>
      <c r="D676" s="21"/>
      <c r="E676" s="21" t="s">
        <v>4155</v>
      </c>
      <c r="F676" s="21"/>
      <c r="G676" s="21"/>
      <c r="H676" s="21"/>
      <c r="I676" s="22" t="s">
        <v>3900</v>
      </c>
      <c r="J676" s="160"/>
      <c r="K676" s="160"/>
      <c r="L676" s="160"/>
      <c r="M676" s="160"/>
      <c r="N676" s="160"/>
      <c r="O676" s="160"/>
      <c r="P676" s="160"/>
      <c r="Q676" s="160"/>
      <c r="R676" s="183">
        <f>-R669</f>
        <v>-6388</v>
      </c>
      <c r="S676" s="183">
        <f t="shared" ref="S676:AG676" si="435">-S669-R672</f>
        <v>-6388</v>
      </c>
      <c r="T676" s="183">
        <f t="shared" si="435"/>
        <v>-6388</v>
      </c>
      <c r="U676" s="183">
        <f t="shared" si="435"/>
        <v>-6388</v>
      </c>
      <c r="V676" s="183">
        <f t="shared" si="435"/>
        <v>-6388</v>
      </c>
      <c r="W676" s="183">
        <f t="shared" si="435"/>
        <v>-6388</v>
      </c>
      <c r="X676" s="183">
        <f t="shared" si="435"/>
        <v>-6388</v>
      </c>
      <c r="Y676" s="183">
        <f t="shared" si="435"/>
        <v>-6388</v>
      </c>
      <c r="Z676" s="183">
        <f t="shared" si="435"/>
        <v>-6388</v>
      </c>
      <c r="AA676" s="183">
        <f t="shared" si="435"/>
        <v>-6388</v>
      </c>
      <c r="AB676" s="183">
        <f t="shared" si="435"/>
        <v>-6388</v>
      </c>
      <c r="AC676" s="183">
        <f t="shared" si="435"/>
        <v>-6388</v>
      </c>
      <c r="AD676" s="183">
        <f t="shared" si="435"/>
        <v>-6388</v>
      </c>
      <c r="AE676" s="183">
        <f t="shared" si="435"/>
        <v>-6388</v>
      </c>
      <c r="AF676" s="183">
        <f t="shared" si="435"/>
        <v>-6388</v>
      </c>
      <c r="AG676" s="183">
        <f t="shared" si="435"/>
        <v>-6388</v>
      </c>
    </row>
    <row r="677" spans="1:33" ht="14.25" customHeight="1" x14ac:dyDescent="0.35">
      <c r="A677" s="21"/>
      <c r="B677" s="28"/>
      <c r="C677" s="143"/>
      <c r="D677" s="21"/>
      <c r="E677" s="21" t="s">
        <v>4156</v>
      </c>
      <c r="F677" s="21"/>
      <c r="G677" s="21"/>
      <c r="H677" s="21"/>
      <c r="I677" s="22" t="s">
        <v>3900</v>
      </c>
      <c r="J677" s="160"/>
      <c r="K677" s="160"/>
      <c r="L677" s="160"/>
      <c r="M677" s="160"/>
      <c r="N677" s="160"/>
      <c r="O677" s="160"/>
      <c r="P677" s="160"/>
      <c r="Q677" s="160"/>
      <c r="R677" s="183">
        <f>-R670</f>
        <v>0</v>
      </c>
      <c r="S677" s="183">
        <f t="shared" ref="S677:AG677" si="436">-S670</f>
        <v>0</v>
      </c>
      <c r="T677" s="183">
        <f t="shared" si="436"/>
        <v>0</v>
      </c>
      <c r="U677" s="183">
        <f t="shared" si="436"/>
        <v>0</v>
      </c>
      <c r="V677" s="183">
        <f t="shared" si="436"/>
        <v>0</v>
      </c>
      <c r="W677" s="183">
        <f t="shared" si="436"/>
        <v>0</v>
      </c>
      <c r="X677" s="183">
        <f t="shared" si="436"/>
        <v>0</v>
      </c>
      <c r="Y677" s="183">
        <f t="shared" si="436"/>
        <v>0</v>
      </c>
      <c r="Z677" s="183">
        <f t="shared" si="436"/>
        <v>0</v>
      </c>
      <c r="AA677" s="183">
        <f t="shared" si="436"/>
        <v>0</v>
      </c>
      <c r="AB677" s="183">
        <f t="shared" si="436"/>
        <v>0</v>
      </c>
      <c r="AC677" s="183">
        <f t="shared" si="436"/>
        <v>0</v>
      </c>
      <c r="AD677" s="183">
        <f t="shared" si="436"/>
        <v>0</v>
      </c>
      <c r="AE677" s="183">
        <f t="shared" si="436"/>
        <v>0</v>
      </c>
      <c r="AF677" s="183">
        <f t="shared" si="436"/>
        <v>0</v>
      </c>
      <c r="AG677" s="183">
        <f t="shared" si="436"/>
        <v>0</v>
      </c>
    </row>
    <row r="678" spans="1:33" ht="14.25" customHeight="1" x14ac:dyDescent="0.35">
      <c r="A678" s="21"/>
      <c r="B678" s="28"/>
      <c r="C678" s="143"/>
      <c r="D678" s="21"/>
      <c r="E678" s="21" t="s">
        <v>4157</v>
      </c>
      <c r="F678" s="21"/>
      <c r="G678" s="21"/>
      <c r="H678" s="21"/>
      <c r="I678" s="22" t="s">
        <v>3900</v>
      </c>
      <c r="J678" s="160"/>
      <c r="K678" s="160"/>
      <c r="L678" s="160"/>
      <c r="M678" s="160"/>
      <c r="N678" s="160"/>
      <c r="O678" s="160"/>
      <c r="P678" s="160"/>
      <c r="Q678" s="160"/>
      <c r="R678" s="183">
        <f>-R671</f>
        <v>-64.525252525252526</v>
      </c>
      <c r="S678" s="183">
        <f t="shared" ref="S678:AG678" si="437">-S671</f>
        <v>-64.525252525252526</v>
      </c>
      <c r="T678" s="183">
        <f t="shared" si="437"/>
        <v>-64.525252525252526</v>
      </c>
      <c r="U678" s="183">
        <f t="shared" si="437"/>
        <v>-64.525252525252526</v>
      </c>
      <c r="V678" s="183">
        <f t="shared" si="437"/>
        <v>-64.525252525252526</v>
      </c>
      <c r="W678" s="183">
        <f t="shared" si="437"/>
        <v>-64.525252525252526</v>
      </c>
      <c r="X678" s="183">
        <f t="shared" si="437"/>
        <v>-64.525252525252526</v>
      </c>
      <c r="Y678" s="183">
        <f t="shared" si="437"/>
        <v>-64.525252525252526</v>
      </c>
      <c r="Z678" s="183">
        <f t="shared" si="437"/>
        <v>-64.525252525252526</v>
      </c>
      <c r="AA678" s="183">
        <f t="shared" si="437"/>
        <v>-64.525252525252526</v>
      </c>
      <c r="AB678" s="183">
        <f t="shared" si="437"/>
        <v>-64.525252525252526</v>
      </c>
      <c r="AC678" s="183">
        <f t="shared" si="437"/>
        <v>-64.525252525252526</v>
      </c>
      <c r="AD678" s="183">
        <f t="shared" si="437"/>
        <v>-64.525252525252526</v>
      </c>
      <c r="AE678" s="183">
        <f t="shared" si="437"/>
        <v>-64.525252525252526</v>
      </c>
      <c r="AF678" s="183">
        <f t="shared" si="437"/>
        <v>-64.525252525252526</v>
      </c>
      <c r="AG678" s="183">
        <f t="shared" si="437"/>
        <v>-64.525252525252526</v>
      </c>
    </row>
    <row r="679" spans="1:33" ht="14.25" customHeight="1" x14ac:dyDescent="0.35">
      <c r="A679" s="21"/>
      <c r="B679" s="28"/>
      <c r="C679" s="143"/>
      <c r="D679" s="21"/>
      <c r="E679" s="21" t="s">
        <v>4158</v>
      </c>
      <c r="F679" s="21"/>
      <c r="G679" s="21"/>
      <c r="H679" s="21"/>
      <c r="I679" s="22" t="s">
        <v>3900</v>
      </c>
      <c r="J679" s="160"/>
      <c r="K679" s="160"/>
      <c r="L679" s="160"/>
      <c r="M679" s="160"/>
      <c r="N679" s="160"/>
      <c r="O679" s="160"/>
      <c r="P679" s="160"/>
      <c r="Q679" s="160">
        <f>'Data Aktual'!P195</f>
        <v>4042.5</v>
      </c>
      <c r="R679" s="161">
        <f t="shared" ref="R679:AG679" si="438">SUM(R674:R678)</f>
        <v>4042.5</v>
      </c>
      <c r="S679" s="161">
        <f t="shared" si="438"/>
        <v>4042.5</v>
      </c>
      <c r="T679" s="161">
        <f t="shared" si="438"/>
        <v>4042.5</v>
      </c>
      <c r="U679" s="161">
        <f t="shared" si="438"/>
        <v>4042.5</v>
      </c>
      <c r="V679" s="161">
        <f t="shared" si="438"/>
        <v>4042.5</v>
      </c>
      <c r="W679" s="161">
        <f t="shared" si="438"/>
        <v>4042.5</v>
      </c>
      <c r="X679" s="161">
        <f t="shared" si="438"/>
        <v>4042.5</v>
      </c>
      <c r="Y679" s="161">
        <f t="shared" si="438"/>
        <v>4042.5</v>
      </c>
      <c r="Z679" s="161">
        <f t="shared" si="438"/>
        <v>4042.5</v>
      </c>
      <c r="AA679" s="161">
        <f t="shared" si="438"/>
        <v>4042.5</v>
      </c>
      <c r="AB679" s="161">
        <f t="shared" si="438"/>
        <v>4042.5</v>
      </c>
      <c r="AC679" s="161">
        <f t="shared" si="438"/>
        <v>4042.5</v>
      </c>
      <c r="AD679" s="161">
        <f t="shared" si="438"/>
        <v>4042.5</v>
      </c>
      <c r="AE679" s="161">
        <f t="shared" si="438"/>
        <v>4042.5</v>
      </c>
      <c r="AF679" s="161">
        <f t="shared" si="438"/>
        <v>4042.5</v>
      </c>
      <c r="AG679" s="161">
        <f t="shared" si="438"/>
        <v>4042.5</v>
      </c>
    </row>
    <row r="680" spans="1:33" ht="14.25" customHeight="1" x14ac:dyDescent="0.35">
      <c r="A680" s="21"/>
      <c r="B680" s="28"/>
      <c r="C680" s="143"/>
      <c r="D680" s="21" t="s">
        <v>4159</v>
      </c>
      <c r="E680" s="21"/>
      <c r="F680" s="21"/>
      <c r="G680" s="21"/>
      <c r="H680" s="21"/>
      <c r="I680" s="22"/>
      <c r="J680" s="21"/>
      <c r="K680" s="21"/>
      <c r="L680" s="21"/>
      <c r="M680" s="21"/>
      <c r="N680" s="21"/>
      <c r="O680" s="21"/>
      <c r="P680" s="60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</row>
    <row r="681" spans="1:33" ht="14.25" customHeight="1" x14ac:dyDescent="0.35">
      <c r="A681" s="21"/>
      <c r="B681" s="28"/>
      <c r="C681" s="143"/>
      <c r="D681" s="21"/>
      <c r="E681" s="128" t="s">
        <v>4056</v>
      </c>
      <c r="F681" s="21"/>
      <c r="G681" s="21"/>
      <c r="H681" s="21"/>
      <c r="I681" s="22" t="s">
        <v>3900</v>
      </c>
      <c r="J681" s="148"/>
      <c r="K681" s="148"/>
      <c r="L681" s="148"/>
      <c r="M681" s="148"/>
      <c r="N681" s="148"/>
      <c r="O681" s="148"/>
      <c r="P681" s="148"/>
      <c r="Q681" s="148"/>
      <c r="R681" s="161">
        <f t="shared" ref="R681:AG681" si="439">Q684</f>
        <v>2123</v>
      </c>
      <c r="S681" s="161">
        <f t="shared" si="439"/>
        <v>2123</v>
      </c>
      <c r="T681" s="161">
        <f t="shared" si="439"/>
        <v>2123</v>
      </c>
      <c r="U681" s="161">
        <f t="shared" si="439"/>
        <v>2123</v>
      </c>
      <c r="V681" s="161">
        <f t="shared" si="439"/>
        <v>2123</v>
      </c>
      <c r="W681" s="161">
        <f t="shared" si="439"/>
        <v>2123</v>
      </c>
      <c r="X681" s="161">
        <f t="shared" si="439"/>
        <v>2123</v>
      </c>
      <c r="Y681" s="161">
        <f t="shared" si="439"/>
        <v>2123</v>
      </c>
      <c r="Z681" s="161">
        <f t="shared" si="439"/>
        <v>2123</v>
      </c>
      <c r="AA681" s="161">
        <f t="shared" si="439"/>
        <v>2123</v>
      </c>
      <c r="AB681" s="161">
        <f t="shared" si="439"/>
        <v>2123</v>
      </c>
      <c r="AC681" s="161">
        <f t="shared" si="439"/>
        <v>2123</v>
      </c>
      <c r="AD681" s="161">
        <f t="shared" si="439"/>
        <v>2123</v>
      </c>
      <c r="AE681" s="161">
        <f t="shared" si="439"/>
        <v>2123</v>
      </c>
      <c r="AF681" s="161">
        <f t="shared" si="439"/>
        <v>2123</v>
      </c>
      <c r="AG681" s="161">
        <f t="shared" si="439"/>
        <v>2123</v>
      </c>
    </row>
    <row r="682" spans="1:33" ht="14.25" customHeight="1" x14ac:dyDescent="0.35">
      <c r="A682" s="21"/>
      <c r="B682" s="28"/>
      <c r="C682" s="143"/>
      <c r="D682" s="21"/>
      <c r="E682" s="128" t="s">
        <v>4160</v>
      </c>
      <c r="F682" s="21"/>
      <c r="G682" s="21"/>
      <c r="H682" s="21"/>
      <c r="I682" s="22" t="s">
        <v>3900</v>
      </c>
      <c r="J682" s="148"/>
      <c r="K682" s="148"/>
      <c r="L682" s="148"/>
      <c r="M682" s="148"/>
      <c r="N682" s="148"/>
      <c r="O682" s="148"/>
      <c r="P682" s="148"/>
      <c r="Q682" s="148"/>
      <c r="R682" s="183">
        <f t="shared" ref="R682:AG682" si="440">-R676</f>
        <v>6388</v>
      </c>
      <c r="S682" s="183">
        <f t="shared" si="440"/>
        <v>6388</v>
      </c>
      <c r="T682" s="183">
        <f t="shared" si="440"/>
        <v>6388</v>
      </c>
      <c r="U682" s="183">
        <f t="shared" si="440"/>
        <v>6388</v>
      </c>
      <c r="V682" s="183">
        <f t="shared" si="440"/>
        <v>6388</v>
      </c>
      <c r="W682" s="183">
        <f t="shared" si="440"/>
        <v>6388</v>
      </c>
      <c r="X682" s="183">
        <f t="shared" si="440"/>
        <v>6388</v>
      </c>
      <c r="Y682" s="183">
        <f t="shared" si="440"/>
        <v>6388</v>
      </c>
      <c r="Z682" s="183">
        <f t="shared" si="440"/>
        <v>6388</v>
      </c>
      <c r="AA682" s="183">
        <f t="shared" si="440"/>
        <v>6388</v>
      </c>
      <c r="AB682" s="183">
        <f t="shared" si="440"/>
        <v>6388</v>
      </c>
      <c r="AC682" s="183">
        <f t="shared" si="440"/>
        <v>6388</v>
      </c>
      <c r="AD682" s="183">
        <f t="shared" si="440"/>
        <v>6388</v>
      </c>
      <c r="AE682" s="183">
        <f t="shared" si="440"/>
        <v>6388</v>
      </c>
      <c r="AF682" s="183">
        <f t="shared" si="440"/>
        <v>6388</v>
      </c>
      <c r="AG682" s="183">
        <f t="shared" si="440"/>
        <v>6388</v>
      </c>
    </row>
    <row r="683" spans="1:33" ht="14.25" customHeight="1" x14ac:dyDescent="0.35">
      <c r="A683" s="21"/>
      <c r="B683" s="28"/>
      <c r="C683" s="143"/>
      <c r="D683" s="21"/>
      <c r="E683" s="128" t="s">
        <v>4161</v>
      </c>
      <c r="F683" s="21"/>
      <c r="G683" s="21"/>
      <c r="H683" s="21"/>
      <c r="I683" s="22" t="s">
        <v>3900</v>
      </c>
      <c r="J683" s="148"/>
      <c r="K683" s="148"/>
      <c r="L683" s="148"/>
      <c r="M683" s="148"/>
      <c r="N683" s="148"/>
      <c r="O683" s="148"/>
      <c r="P683" s="148"/>
      <c r="Q683" s="148"/>
      <c r="R683" s="183">
        <f t="shared" ref="R683:AG683" si="441">-R669</f>
        <v>-6388</v>
      </c>
      <c r="S683" s="183">
        <f t="shared" si="441"/>
        <v>-6388</v>
      </c>
      <c r="T683" s="183">
        <f t="shared" si="441"/>
        <v>-6388</v>
      </c>
      <c r="U683" s="183">
        <f t="shared" si="441"/>
        <v>-6388</v>
      </c>
      <c r="V683" s="183">
        <f t="shared" si="441"/>
        <v>-6388</v>
      </c>
      <c r="W683" s="183">
        <f t="shared" si="441"/>
        <v>-6388</v>
      </c>
      <c r="X683" s="183">
        <f t="shared" si="441"/>
        <v>-6388</v>
      </c>
      <c r="Y683" s="183">
        <f t="shared" si="441"/>
        <v>-6388</v>
      </c>
      <c r="Z683" s="183">
        <f t="shared" si="441"/>
        <v>-6388</v>
      </c>
      <c r="AA683" s="183">
        <f t="shared" si="441"/>
        <v>-6388</v>
      </c>
      <c r="AB683" s="183">
        <f t="shared" si="441"/>
        <v>-6388</v>
      </c>
      <c r="AC683" s="183">
        <f t="shared" si="441"/>
        <v>-6388</v>
      </c>
      <c r="AD683" s="183">
        <f t="shared" si="441"/>
        <v>-6388</v>
      </c>
      <c r="AE683" s="183">
        <f t="shared" si="441"/>
        <v>-6388</v>
      </c>
      <c r="AF683" s="183">
        <f t="shared" si="441"/>
        <v>-6388</v>
      </c>
      <c r="AG683" s="183">
        <f t="shared" si="441"/>
        <v>-6388</v>
      </c>
    </row>
    <row r="684" spans="1:33" ht="14.25" customHeight="1" x14ac:dyDescent="0.35">
      <c r="A684" s="21"/>
      <c r="B684" s="28"/>
      <c r="C684" s="143"/>
      <c r="D684" s="21"/>
      <c r="E684" s="21" t="s">
        <v>4158</v>
      </c>
      <c r="F684" s="21"/>
      <c r="G684" s="21"/>
      <c r="H684" s="21"/>
      <c r="I684" s="22" t="s">
        <v>3900</v>
      </c>
      <c r="J684" s="160"/>
      <c r="K684" s="160"/>
      <c r="L684" s="160"/>
      <c r="M684" s="160"/>
      <c r="N684" s="160"/>
      <c r="O684" s="160"/>
      <c r="P684" s="160"/>
      <c r="Q684" s="160">
        <f>'Data Aktual'!P197</f>
        <v>2123</v>
      </c>
      <c r="R684" s="161">
        <f t="shared" ref="R684:AG684" si="442">SUM(R681:R683)</f>
        <v>2123</v>
      </c>
      <c r="S684" s="161">
        <f t="shared" si="442"/>
        <v>2123</v>
      </c>
      <c r="T684" s="161">
        <f t="shared" si="442"/>
        <v>2123</v>
      </c>
      <c r="U684" s="161">
        <f t="shared" si="442"/>
        <v>2123</v>
      </c>
      <c r="V684" s="161">
        <f t="shared" si="442"/>
        <v>2123</v>
      </c>
      <c r="W684" s="161">
        <f t="shared" si="442"/>
        <v>2123</v>
      </c>
      <c r="X684" s="161">
        <f t="shared" si="442"/>
        <v>2123</v>
      </c>
      <c r="Y684" s="161">
        <f t="shared" si="442"/>
        <v>2123</v>
      </c>
      <c r="Z684" s="161">
        <f t="shared" si="442"/>
        <v>2123</v>
      </c>
      <c r="AA684" s="161">
        <f t="shared" si="442"/>
        <v>2123</v>
      </c>
      <c r="AB684" s="161">
        <f t="shared" si="442"/>
        <v>2123</v>
      </c>
      <c r="AC684" s="161">
        <f t="shared" si="442"/>
        <v>2123</v>
      </c>
      <c r="AD684" s="161">
        <f t="shared" si="442"/>
        <v>2123</v>
      </c>
      <c r="AE684" s="161">
        <f t="shared" si="442"/>
        <v>2123</v>
      </c>
      <c r="AF684" s="161">
        <f t="shared" si="442"/>
        <v>2123</v>
      </c>
      <c r="AG684" s="161">
        <f t="shared" si="442"/>
        <v>2123</v>
      </c>
    </row>
    <row r="685" spans="1:33" ht="14.25" customHeight="1" x14ac:dyDescent="0.35">
      <c r="A685" s="21"/>
      <c r="B685" s="28"/>
      <c r="C685" s="28" t="s">
        <v>4204</v>
      </c>
      <c r="D685" s="28" t="s">
        <v>4163</v>
      </c>
      <c r="E685" s="21"/>
      <c r="F685" s="21"/>
      <c r="G685" s="21"/>
      <c r="H685" s="21"/>
      <c r="I685" s="22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</row>
    <row r="686" spans="1:33" ht="14.25" customHeight="1" x14ac:dyDescent="0.35">
      <c r="A686" s="21"/>
      <c r="B686" s="21"/>
      <c r="D686" s="21" t="s">
        <v>4153</v>
      </c>
      <c r="E686" s="21"/>
      <c r="F686" s="21"/>
      <c r="G686" s="21"/>
      <c r="H686" s="21"/>
      <c r="I686" s="22"/>
      <c r="J686" s="21"/>
      <c r="K686" s="21"/>
      <c r="L686" s="21"/>
      <c r="M686" s="21"/>
      <c r="N686" s="21"/>
      <c r="O686" s="21"/>
      <c r="P686" s="60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</row>
    <row r="687" spans="1:33" ht="14.25" customHeight="1" x14ac:dyDescent="0.35">
      <c r="A687" s="21"/>
      <c r="B687" s="21"/>
      <c r="C687" s="21"/>
      <c r="D687" s="21"/>
      <c r="E687" s="128" t="s">
        <v>4056</v>
      </c>
      <c r="F687" s="21"/>
      <c r="G687" s="21"/>
      <c r="H687" s="21"/>
      <c r="I687" s="22" t="s">
        <v>3921</v>
      </c>
      <c r="J687" s="148"/>
      <c r="K687" s="148"/>
      <c r="L687" s="148"/>
      <c r="M687" s="148"/>
      <c r="N687" s="148"/>
      <c r="O687" s="148"/>
      <c r="P687" s="148"/>
      <c r="Q687" s="148"/>
      <c r="R687" s="149">
        <v>125748779</v>
      </c>
      <c r="S687" s="149">
        <f t="shared" ref="S687:AG687" si="443">R692</f>
        <v>134578595.5828054</v>
      </c>
      <c r="T687" s="149">
        <f t="shared" si="443"/>
        <v>137911446.08137658</v>
      </c>
      <c r="U687" s="149">
        <f t="shared" si="443"/>
        <v>139127233.96094874</v>
      </c>
      <c r="V687" s="149">
        <f t="shared" si="443"/>
        <v>139592753.21380392</v>
      </c>
      <c r="W687" s="149">
        <f t="shared" si="443"/>
        <v>139754898.94670272</v>
      </c>
      <c r="X687" s="149">
        <f t="shared" si="443"/>
        <v>139810568.31258249</v>
      </c>
      <c r="Y687" s="149">
        <f t="shared" si="443"/>
        <v>139827168.14459521</v>
      </c>
      <c r="Z687" s="149">
        <f t="shared" si="443"/>
        <v>139832178.10737562</v>
      </c>
      <c r="AA687" s="149">
        <f t="shared" si="443"/>
        <v>139826692.13441551</v>
      </c>
      <c r="AB687" s="149">
        <f t="shared" si="443"/>
        <v>139820333.63422754</v>
      </c>
      <c r="AC687" s="149">
        <f t="shared" si="443"/>
        <v>139817710.34639257</v>
      </c>
      <c r="AD687" s="149">
        <f t="shared" si="443"/>
        <v>139808964.81412938</v>
      </c>
      <c r="AE687" s="149">
        <f t="shared" si="443"/>
        <v>139803942.49180433</v>
      </c>
      <c r="AF687" s="149">
        <f t="shared" si="443"/>
        <v>139793744.78472009</v>
      </c>
      <c r="AG687" s="149">
        <f t="shared" si="443"/>
        <v>139788580.49082068</v>
      </c>
    </row>
    <row r="688" spans="1:33" ht="14.25" customHeight="1" x14ac:dyDescent="0.35">
      <c r="A688" s="21"/>
      <c r="B688" s="21"/>
      <c r="C688" s="21"/>
      <c r="D688" s="21"/>
      <c r="E688" s="128" t="s">
        <v>4154</v>
      </c>
      <c r="F688" s="21"/>
      <c r="G688" s="21"/>
      <c r="H688" s="21"/>
      <c r="I688" s="22" t="s">
        <v>3921</v>
      </c>
      <c r="J688" s="148"/>
      <c r="K688" s="148"/>
      <c r="L688" s="148"/>
      <c r="M688" s="148"/>
      <c r="N688" s="148"/>
      <c r="O688" s="148"/>
      <c r="P688" s="148"/>
      <c r="Q688" s="148"/>
      <c r="R688" s="149">
        <f t="shared" ref="R688:AG688" si="444">R663</f>
        <v>223640400.73801515</v>
      </c>
      <c r="S688" s="149">
        <f t="shared" si="444"/>
        <v>223463237.25240105</v>
      </c>
      <c r="T688" s="149">
        <f t="shared" si="444"/>
        <v>223286781.1874288</v>
      </c>
      <c r="U688" s="149">
        <f t="shared" si="444"/>
        <v>223279561.35096163</v>
      </c>
      <c r="V688" s="149">
        <f t="shared" si="444"/>
        <v>223235000.30747241</v>
      </c>
      <c r="W688" s="149">
        <f t="shared" si="444"/>
        <v>223217381.82273695</v>
      </c>
      <c r="X688" s="149">
        <f t="shared" si="444"/>
        <v>223204808.47569725</v>
      </c>
      <c r="Y688" s="149">
        <f t="shared" si="444"/>
        <v>223201215.36870497</v>
      </c>
      <c r="Z688" s="149">
        <f t="shared" si="444"/>
        <v>223181962.87661067</v>
      </c>
      <c r="AA688" s="149">
        <f t="shared" si="444"/>
        <v>223170941.08951125</v>
      </c>
      <c r="AB688" s="149">
        <f t="shared" si="444"/>
        <v>223170489.08331147</v>
      </c>
      <c r="AC688" s="149">
        <f t="shared" si="444"/>
        <v>223150407.4652839</v>
      </c>
      <c r="AD688" s="149">
        <f t="shared" si="444"/>
        <v>223146114.18502322</v>
      </c>
      <c r="AE688" s="149">
        <f t="shared" si="444"/>
        <v>223124661.5058971</v>
      </c>
      <c r="AF688" s="149">
        <f t="shared" si="444"/>
        <v>223121451.81783319</v>
      </c>
      <c r="AG688" s="149">
        <f t="shared" si="444"/>
        <v>223104269.82417595</v>
      </c>
    </row>
    <row r="689" spans="1:33" ht="14.25" customHeight="1" x14ac:dyDescent="0.35">
      <c r="A689" s="21"/>
      <c r="B689" s="21"/>
      <c r="C689" s="21"/>
      <c r="D689" s="21"/>
      <c r="E689" s="128" t="s">
        <v>4155</v>
      </c>
      <c r="F689" s="21"/>
      <c r="G689" s="21"/>
      <c r="H689" s="21"/>
      <c r="I689" s="22" t="s">
        <v>3921</v>
      </c>
      <c r="J689" s="148"/>
      <c r="K689" s="148"/>
      <c r="L689" s="148"/>
      <c r="M689" s="148"/>
      <c r="N689" s="148"/>
      <c r="O689" s="148"/>
      <c r="P689" s="148"/>
      <c r="Q689" s="148"/>
      <c r="R689" s="149">
        <f t="shared" ref="R689:AG689" si="445">R676*R699</f>
        <v>-212662478.31365767</v>
      </c>
      <c r="S689" s="149">
        <f t="shared" si="445"/>
        <v>-217929082.88629156</v>
      </c>
      <c r="T689" s="149">
        <f t="shared" si="445"/>
        <v>-219850283.37477809</v>
      </c>
      <c r="U689" s="149">
        <f t="shared" si="445"/>
        <v>-220585901.67712539</v>
      </c>
      <c r="V689" s="149">
        <f t="shared" si="445"/>
        <v>-220842126.02882791</v>
      </c>
      <c r="W689" s="149">
        <f t="shared" si="445"/>
        <v>-220930095.33228862</v>
      </c>
      <c r="X689" s="149">
        <f t="shared" si="445"/>
        <v>-220956326.55724773</v>
      </c>
      <c r="Y689" s="149">
        <f t="shared" si="445"/>
        <v>-220964243.35186532</v>
      </c>
      <c r="Z689" s="149">
        <f t="shared" si="445"/>
        <v>-220955574.36107504</v>
      </c>
      <c r="AA689" s="149">
        <f t="shared" si="445"/>
        <v>-220945526.59380224</v>
      </c>
      <c r="AB689" s="149">
        <f t="shared" si="445"/>
        <v>-220941381.24743497</v>
      </c>
      <c r="AC689" s="149">
        <f t="shared" si="445"/>
        <v>-220927561.46757165</v>
      </c>
      <c r="AD689" s="149">
        <f t="shared" si="445"/>
        <v>-220919625.1422748</v>
      </c>
      <c r="AE689" s="149">
        <f t="shared" si="445"/>
        <v>-220903510.62085149</v>
      </c>
      <c r="AF689" s="149">
        <f t="shared" si="445"/>
        <v>-220895349.95061526</v>
      </c>
      <c r="AG689" s="149">
        <f t="shared" si="445"/>
        <v>-220881748.45071632</v>
      </c>
    </row>
    <row r="690" spans="1:33" ht="14.25" customHeight="1" x14ac:dyDescent="0.35">
      <c r="A690" s="21"/>
      <c r="B690" s="21"/>
      <c r="C690" s="21"/>
      <c r="D690" s="21"/>
      <c r="E690" s="128" t="s">
        <v>4164</v>
      </c>
      <c r="F690" s="21"/>
      <c r="G690" s="21"/>
      <c r="H690" s="21"/>
      <c r="I690" s="22" t="s">
        <v>3921</v>
      </c>
      <c r="J690" s="148"/>
      <c r="K690" s="148"/>
      <c r="L690" s="148"/>
      <c r="M690" s="148"/>
      <c r="N690" s="148"/>
      <c r="O690" s="148"/>
      <c r="P690" s="148"/>
      <c r="Q690" s="148"/>
      <c r="R690" s="149">
        <f>R677*'Input Operasional'!Q198</f>
        <v>0</v>
      </c>
      <c r="S690" s="149">
        <f>S677*'Input Operasional'!R198</f>
        <v>0</v>
      </c>
      <c r="T690" s="149">
        <f>T677*'Input Operasional'!S198</f>
        <v>0</v>
      </c>
      <c r="U690" s="149">
        <f>U677*'Input Operasional'!T198</f>
        <v>0</v>
      </c>
      <c r="V690" s="149">
        <f>V677*'Input Operasional'!U198</f>
        <v>0</v>
      </c>
      <c r="W690" s="149">
        <f>W677*'Input Operasional'!V198</f>
        <v>0</v>
      </c>
      <c r="X690" s="149">
        <f>X677*'Input Operasional'!W198</f>
        <v>0</v>
      </c>
      <c r="Y690" s="149">
        <f>Y677*'Input Operasional'!X198</f>
        <v>0</v>
      </c>
      <c r="Z690" s="149">
        <f>Z677*'Input Operasional'!Y198</f>
        <v>0</v>
      </c>
      <c r="AA690" s="149">
        <f>AA677*'Input Operasional'!Z198</f>
        <v>0</v>
      </c>
      <c r="AB690" s="149">
        <f>AB677*'Input Operasional'!AA198</f>
        <v>0</v>
      </c>
      <c r="AC690" s="149">
        <f>AC677*'Input Operasional'!AB198</f>
        <v>0</v>
      </c>
      <c r="AD690" s="149">
        <f>AD677*'Input Operasional'!AC198</f>
        <v>0</v>
      </c>
      <c r="AE690" s="149">
        <f>AE677*'Input Operasional'!AD198</f>
        <v>0</v>
      </c>
      <c r="AF690" s="149">
        <f>AF677*'Input Operasional'!AE198</f>
        <v>0</v>
      </c>
      <c r="AG690" s="149">
        <f>AG677*'Input Operasional'!AF198</f>
        <v>0</v>
      </c>
    </row>
    <row r="691" spans="1:33" ht="14.25" customHeight="1" x14ac:dyDescent="0.35">
      <c r="A691" s="21"/>
      <c r="B691" s="21"/>
      <c r="C691" s="21"/>
      <c r="D691" s="21"/>
      <c r="E691" s="128" t="s">
        <v>4165</v>
      </c>
      <c r="F691" s="21"/>
      <c r="G691" s="21"/>
      <c r="H691" s="21"/>
      <c r="I691" s="22" t="s">
        <v>3921</v>
      </c>
      <c r="J691" s="148"/>
      <c r="K691" s="148"/>
      <c r="L691" s="148"/>
      <c r="M691" s="148"/>
      <c r="N691" s="148"/>
      <c r="O691" s="148"/>
      <c r="P691" s="148"/>
      <c r="Q691" s="148"/>
      <c r="R691" s="149">
        <f t="shared" ref="R691:AG691" si="446">R678*R699</f>
        <v>-2148105.8415520978</v>
      </c>
      <c r="S691" s="149">
        <f t="shared" si="446"/>
        <v>-2201303.8675382985</v>
      </c>
      <c r="T691" s="149">
        <f t="shared" si="446"/>
        <v>-2220709.9330785666</v>
      </c>
      <c r="U691" s="149">
        <f t="shared" si="446"/>
        <v>-2228140.4209810649</v>
      </c>
      <c r="V691" s="149">
        <f t="shared" si="446"/>
        <v>-2230728.5457457365</v>
      </c>
      <c r="W691" s="149">
        <f t="shared" si="446"/>
        <v>-2231617.1245685723</v>
      </c>
      <c r="X691" s="149">
        <f t="shared" si="446"/>
        <v>-2231882.0864368458</v>
      </c>
      <c r="Y691" s="149">
        <f t="shared" si="446"/>
        <v>-2231962.0540592456</v>
      </c>
      <c r="Z691" s="149">
        <f t="shared" si="446"/>
        <v>-2231874.4884957075</v>
      </c>
      <c r="AA691" s="149">
        <f t="shared" si="446"/>
        <v>-2231772.9958969923</v>
      </c>
      <c r="AB691" s="149">
        <f t="shared" si="446"/>
        <v>-2231731.1237114645</v>
      </c>
      <c r="AC691" s="149">
        <f t="shared" si="446"/>
        <v>-2231591.5299754711</v>
      </c>
      <c r="AD691" s="149">
        <f t="shared" si="446"/>
        <v>-2231511.365073483</v>
      </c>
      <c r="AE691" s="149">
        <f t="shared" si="446"/>
        <v>-2231348.592129813</v>
      </c>
      <c r="AF691" s="149">
        <f t="shared" si="446"/>
        <v>-2231266.161117326</v>
      </c>
      <c r="AG691" s="149">
        <f t="shared" si="446"/>
        <v>-2231128.7722294577</v>
      </c>
    </row>
    <row r="692" spans="1:33" ht="14.25" customHeight="1" x14ac:dyDescent="0.35">
      <c r="A692" s="21"/>
      <c r="B692" s="21"/>
      <c r="C692" s="21"/>
      <c r="D692" s="21"/>
      <c r="E692" s="128" t="s">
        <v>4158</v>
      </c>
      <c r="F692" s="21"/>
      <c r="G692" s="21"/>
      <c r="H692" s="21"/>
      <c r="I692" s="22" t="s">
        <v>3921</v>
      </c>
      <c r="J692" s="148"/>
      <c r="K692" s="148"/>
      <c r="L692" s="148"/>
      <c r="M692" s="148"/>
      <c r="N692" s="148"/>
      <c r="O692" s="148"/>
      <c r="P692" s="148"/>
      <c r="Q692" s="148"/>
      <c r="R692" s="149">
        <f t="shared" ref="R692:AG692" si="447">SUM(R687:R691)</f>
        <v>134578595.5828054</v>
      </c>
      <c r="S692" s="149">
        <f t="shared" si="447"/>
        <v>137911446.08137658</v>
      </c>
      <c r="T692" s="149">
        <f t="shared" si="447"/>
        <v>139127233.96094874</v>
      </c>
      <c r="U692" s="149">
        <f t="shared" si="447"/>
        <v>139592753.21380392</v>
      </c>
      <c r="V692" s="149">
        <f t="shared" si="447"/>
        <v>139754898.94670272</v>
      </c>
      <c r="W692" s="149">
        <f t="shared" si="447"/>
        <v>139810568.31258249</v>
      </c>
      <c r="X692" s="149">
        <f t="shared" si="447"/>
        <v>139827168.14459521</v>
      </c>
      <c r="Y692" s="149">
        <f t="shared" si="447"/>
        <v>139832178.10737562</v>
      </c>
      <c r="Z692" s="149">
        <f t="shared" si="447"/>
        <v>139826692.13441551</v>
      </c>
      <c r="AA692" s="149">
        <f t="shared" si="447"/>
        <v>139820333.63422754</v>
      </c>
      <c r="AB692" s="149">
        <f t="shared" si="447"/>
        <v>139817710.34639257</v>
      </c>
      <c r="AC692" s="149">
        <f t="shared" si="447"/>
        <v>139808964.81412938</v>
      </c>
      <c r="AD692" s="149">
        <f t="shared" si="447"/>
        <v>139803942.49180433</v>
      </c>
      <c r="AE692" s="149">
        <f t="shared" si="447"/>
        <v>139793744.78472009</v>
      </c>
      <c r="AF692" s="149">
        <f t="shared" si="447"/>
        <v>139788580.49082068</v>
      </c>
      <c r="AG692" s="149">
        <f t="shared" si="447"/>
        <v>139779973.09205082</v>
      </c>
    </row>
    <row r="693" spans="1:33" ht="14.25" customHeight="1" x14ac:dyDescent="0.35">
      <c r="A693" s="21"/>
      <c r="B693" s="21"/>
      <c r="C693" s="21"/>
      <c r="D693" s="21" t="s">
        <v>4159</v>
      </c>
      <c r="E693" s="21"/>
      <c r="F693" s="21"/>
      <c r="G693" s="21"/>
      <c r="H693" s="21"/>
      <c r="I693" s="22" t="s">
        <v>3921</v>
      </c>
      <c r="J693" s="21"/>
      <c r="K693" s="21"/>
      <c r="L693" s="21"/>
      <c r="M693" s="21"/>
      <c r="N693" s="21"/>
      <c r="O693" s="21"/>
      <c r="P693" s="60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</row>
    <row r="694" spans="1:33" ht="14.25" customHeight="1" x14ac:dyDescent="0.35">
      <c r="A694" s="21"/>
      <c r="B694" s="21"/>
      <c r="C694" s="21"/>
      <c r="D694" s="21"/>
      <c r="E694" s="128" t="s">
        <v>4056</v>
      </c>
      <c r="F694" s="21"/>
      <c r="G694" s="21"/>
      <c r="H694" s="21"/>
      <c r="I694" s="22" t="s">
        <v>3921</v>
      </c>
      <c r="J694" s="148">
        <v>0</v>
      </c>
      <c r="K694" s="148">
        <v>0</v>
      </c>
      <c r="L694" s="148">
        <v>0</v>
      </c>
      <c r="M694" s="148">
        <v>0</v>
      </c>
      <c r="N694" s="148">
        <v>0</v>
      </c>
      <c r="O694" s="148">
        <v>0</v>
      </c>
      <c r="P694" s="148">
        <v>0</v>
      </c>
      <c r="Q694" s="148">
        <v>0</v>
      </c>
      <c r="R694" s="149">
        <f>Q697</f>
        <v>67731841.709999993</v>
      </c>
      <c r="S694" s="149">
        <f t="shared" ref="S694:AG694" si="448">SUM(R697)</f>
        <v>69942091.576809436</v>
      </c>
      <c r="T694" s="149">
        <f t="shared" si="448"/>
        <v>71807132.344632089</v>
      </c>
      <c r="U694" s="149">
        <f t="shared" si="448"/>
        <v>72751579.552615166</v>
      </c>
      <c r="V694" s="149">
        <f t="shared" si="448"/>
        <v>73170658.283484817</v>
      </c>
      <c r="W694" s="149">
        <f t="shared" si="448"/>
        <v>73339107.166612595</v>
      </c>
      <c r="X694" s="149">
        <f t="shared" si="448"/>
        <v>73403068.605941445</v>
      </c>
      <c r="Y694" s="149">
        <f t="shared" si="448"/>
        <v>73425566.435371935</v>
      </c>
      <c r="Z694" s="149">
        <f t="shared" si="448"/>
        <v>73433153.11694333</v>
      </c>
      <c r="AA694" s="149">
        <f t="shared" si="448"/>
        <v>73432883.143676758</v>
      </c>
      <c r="AB694" s="149">
        <f t="shared" si="448"/>
        <v>73430309.466886103</v>
      </c>
      <c r="AC694" s="149">
        <f t="shared" si="448"/>
        <v>73428633.460992068</v>
      </c>
      <c r="AD694" s="149">
        <f t="shared" si="448"/>
        <v>73424768.162770629</v>
      </c>
      <c r="AE694" s="149">
        <f t="shared" si="448"/>
        <v>73421824.343392253</v>
      </c>
      <c r="AF694" s="149">
        <f t="shared" si="448"/>
        <v>73417070.394676238</v>
      </c>
      <c r="AG694" s="149">
        <f t="shared" si="448"/>
        <v>73413848.947603554</v>
      </c>
    </row>
    <row r="695" spans="1:33" ht="14.25" customHeight="1" x14ac:dyDescent="0.35">
      <c r="A695" s="21"/>
      <c r="B695" s="21"/>
      <c r="C695" s="21"/>
      <c r="D695" s="21"/>
      <c r="E695" s="128" t="s">
        <v>4160</v>
      </c>
      <c r="F695" s="21"/>
      <c r="G695" s="21"/>
      <c r="H695" s="21"/>
      <c r="I695" s="22" t="s">
        <v>3921</v>
      </c>
      <c r="J695" s="148">
        <v>0</v>
      </c>
      <c r="K695" s="148">
        <v>0</v>
      </c>
      <c r="L695" s="148">
        <v>0</v>
      </c>
      <c r="M695" s="148">
        <v>0</v>
      </c>
      <c r="N695" s="148">
        <v>0</v>
      </c>
      <c r="O695" s="148">
        <v>0</v>
      </c>
      <c r="P695" s="148">
        <v>0</v>
      </c>
      <c r="Q695" s="148">
        <v>0</v>
      </c>
      <c r="R695" s="149">
        <f t="shared" ref="R695:AG695" si="449">-R689</f>
        <v>212662478.31365767</v>
      </c>
      <c r="S695" s="149">
        <f t="shared" si="449"/>
        <v>217929082.88629156</v>
      </c>
      <c r="T695" s="149">
        <f t="shared" si="449"/>
        <v>219850283.37477809</v>
      </c>
      <c r="U695" s="149">
        <f t="shared" si="449"/>
        <v>220585901.67712539</v>
      </c>
      <c r="V695" s="149">
        <f t="shared" si="449"/>
        <v>220842126.02882791</v>
      </c>
      <c r="W695" s="149">
        <f t="shared" si="449"/>
        <v>220930095.33228862</v>
      </c>
      <c r="X695" s="149">
        <f t="shared" si="449"/>
        <v>220956326.55724773</v>
      </c>
      <c r="Y695" s="149">
        <f t="shared" si="449"/>
        <v>220964243.35186532</v>
      </c>
      <c r="Z695" s="149">
        <f t="shared" si="449"/>
        <v>220955574.36107504</v>
      </c>
      <c r="AA695" s="149">
        <f t="shared" si="449"/>
        <v>220945526.59380224</v>
      </c>
      <c r="AB695" s="149">
        <f t="shared" si="449"/>
        <v>220941381.24743497</v>
      </c>
      <c r="AC695" s="149">
        <f t="shared" si="449"/>
        <v>220927561.46757165</v>
      </c>
      <c r="AD695" s="149">
        <f t="shared" si="449"/>
        <v>220919625.1422748</v>
      </c>
      <c r="AE695" s="149">
        <f t="shared" si="449"/>
        <v>220903510.62085149</v>
      </c>
      <c r="AF695" s="149">
        <f t="shared" si="449"/>
        <v>220895349.95061526</v>
      </c>
      <c r="AG695" s="149">
        <f t="shared" si="449"/>
        <v>220881748.45071632</v>
      </c>
    </row>
    <row r="696" spans="1:33" ht="14.25" customHeight="1" x14ac:dyDescent="0.35">
      <c r="A696" s="21"/>
      <c r="B696" s="21"/>
      <c r="C696" s="21"/>
      <c r="D696" s="21"/>
      <c r="E696" s="128" t="s">
        <v>4161</v>
      </c>
      <c r="F696" s="21"/>
      <c r="G696" s="21"/>
      <c r="H696" s="21"/>
      <c r="I696" s="22" t="s">
        <v>3921</v>
      </c>
      <c r="J696" s="148">
        <v>0</v>
      </c>
      <c r="K696" s="148">
        <v>0</v>
      </c>
      <c r="L696" s="148">
        <v>0</v>
      </c>
      <c r="M696" s="148">
        <v>0</v>
      </c>
      <c r="N696" s="148">
        <v>0</v>
      </c>
      <c r="O696" s="148">
        <v>0</v>
      </c>
      <c r="P696" s="148">
        <v>0</v>
      </c>
      <c r="Q696" s="148">
        <v>0</v>
      </c>
      <c r="R696" s="149">
        <f t="shared" ref="R696:AG696" si="450">R683*R700</f>
        <v>-210452228.44684824</v>
      </c>
      <c r="S696" s="149">
        <f t="shared" si="450"/>
        <v>-216064042.11846894</v>
      </c>
      <c r="T696" s="149">
        <f t="shared" si="450"/>
        <v>-218905836.16679502</v>
      </c>
      <c r="U696" s="149">
        <f t="shared" si="450"/>
        <v>-220166822.94625574</v>
      </c>
      <c r="V696" s="149">
        <f t="shared" si="450"/>
        <v>-220673677.14570013</v>
      </c>
      <c r="W696" s="149">
        <f t="shared" si="450"/>
        <v>-220866133.8929598</v>
      </c>
      <c r="X696" s="149">
        <f t="shared" si="450"/>
        <v>-220933828.72781724</v>
      </c>
      <c r="Y696" s="149">
        <f t="shared" si="450"/>
        <v>-220956656.67029396</v>
      </c>
      <c r="Z696" s="149">
        <f t="shared" si="450"/>
        <v>-220955844.33434165</v>
      </c>
      <c r="AA696" s="149">
        <f t="shared" si="450"/>
        <v>-220948100.27059287</v>
      </c>
      <c r="AB696" s="149">
        <f t="shared" si="450"/>
        <v>-220943057.25332901</v>
      </c>
      <c r="AC696" s="149">
        <f t="shared" si="450"/>
        <v>-220931426.76579309</v>
      </c>
      <c r="AD696" s="149">
        <f t="shared" si="450"/>
        <v>-220922568.96165317</v>
      </c>
      <c r="AE696" s="149">
        <f t="shared" si="450"/>
        <v>-220908264.56956753</v>
      </c>
      <c r="AF696" s="149">
        <f t="shared" si="450"/>
        <v>-220898571.39768794</v>
      </c>
      <c r="AG696" s="149">
        <f t="shared" si="450"/>
        <v>-220885944.79855096</v>
      </c>
    </row>
    <row r="697" spans="1:33" ht="14.25" customHeight="1" x14ac:dyDescent="0.35">
      <c r="A697" s="21"/>
      <c r="B697" s="21"/>
      <c r="C697" s="21"/>
      <c r="D697" s="21"/>
      <c r="E697" s="128" t="s">
        <v>4158</v>
      </c>
      <c r="F697" s="21"/>
      <c r="G697" s="21"/>
      <c r="H697" s="21"/>
      <c r="I697" s="22" t="s">
        <v>3921</v>
      </c>
      <c r="J697" s="148">
        <f t="shared" ref="J697:P697" si="451">J694+J695-J696</f>
        <v>0</v>
      </c>
      <c r="K697" s="148">
        <f t="shared" si="451"/>
        <v>0</v>
      </c>
      <c r="L697" s="148">
        <f t="shared" si="451"/>
        <v>0</v>
      </c>
      <c r="M697" s="148">
        <f t="shared" si="451"/>
        <v>0</v>
      </c>
      <c r="N697" s="148">
        <f t="shared" si="451"/>
        <v>0</v>
      </c>
      <c r="O697" s="148">
        <f t="shared" si="451"/>
        <v>0</v>
      </c>
      <c r="P697" s="148">
        <f t="shared" si="451"/>
        <v>0</v>
      </c>
      <c r="Q697" s="148">
        <f>'Data Aktual'!P198</f>
        <v>67731841.709999993</v>
      </c>
      <c r="R697" s="149">
        <f t="shared" ref="R697:AG697" si="452">SUM(R694:R696)</f>
        <v>69942091.576809436</v>
      </c>
      <c r="S697" s="149">
        <f t="shared" si="452"/>
        <v>71807132.344632089</v>
      </c>
      <c r="T697" s="149">
        <f t="shared" si="452"/>
        <v>72751579.552615166</v>
      </c>
      <c r="U697" s="149">
        <f t="shared" si="452"/>
        <v>73170658.283484817</v>
      </c>
      <c r="V697" s="149">
        <f t="shared" si="452"/>
        <v>73339107.166612595</v>
      </c>
      <c r="W697" s="149">
        <f t="shared" si="452"/>
        <v>73403068.605941445</v>
      </c>
      <c r="X697" s="149">
        <f t="shared" si="452"/>
        <v>73425566.435371935</v>
      </c>
      <c r="Y697" s="149">
        <f t="shared" si="452"/>
        <v>73433153.11694333</v>
      </c>
      <c r="Z697" s="149">
        <f t="shared" si="452"/>
        <v>73432883.143676758</v>
      </c>
      <c r="AA697" s="149">
        <f t="shared" si="452"/>
        <v>73430309.466886103</v>
      </c>
      <c r="AB697" s="149">
        <f t="shared" si="452"/>
        <v>73428633.460992068</v>
      </c>
      <c r="AC697" s="149">
        <f t="shared" si="452"/>
        <v>73424768.162770629</v>
      </c>
      <c r="AD697" s="149">
        <f t="shared" si="452"/>
        <v>73421824.343392253</v>
      </c>
      <c r="AE697" s="149">
        <f t="shared" si="452"/>
        <v>73417070.394676238</v>
      </c>
      <c r="AF697" s="149">
        <f t="shared" si="452"/>
        <v>73413848.947603554</v>
      </c>
      <c r="AG697" s="149">
        <f t="shared" si="452"/>
        <v>73409652.599768877</v>
      </c>
    </row>
    <row r="698" spans="1:33" ht="14.25" customHeight="1" x14ac:dyDescent="0.35">
      <c r="A698" s="21"/>
      <c r="B698" s="21"/>
      <c r="C698" s="28" t="s">
        <v>4166</v>
      </c>
      <c r="D698" s="21"/>
      <c r="E698" s="128"/>
      <c r="F698" s="21"/>
      <c r="G698" s="21"/>
      <c r="H698" s="21"/>
      <c r="I698" s="22"/>
      <c r="J698" s="148"/>
      <c r="K698" s="148"/>
      <c r="L698" s="148"/>
      <c r="M698" s="148"/>
      <c r="N698" s="148"/>
      <c r="O698" s="148"/>
      <c r="P698" s="148"/>
      <c r="Q698" s="148"/>
      <c r="R698" s="149"/>
      <c r="S698" s="149"/>
      <c r="T698" s="149"/>
      <c r="U698" s="149"/>
      <c r="V698" s="149"/>
      <c r="W698" s="149"/>
      <c r="X698" s="149"/>
      <c r="Y698" s="149"/>
      <c r="Z698" s="149"/>
      <c r="AA698" s="149"/>
      <c r="AB698" s="149"/>
      <c r="AC698" s="149"/>
      <c r="AD698" s="149"/>
      <c r="AE698" s="149"/>
      <c r="AF698" s="149"/>
      <c r="AG698" s="149"/>
    </row>
    <row r="699" spans="1:33" ht="14.25" customHeight="1" x14ac:dyDescent="0.35">
      <c r="A699" s="21"/>
      <c r="B699" s="21"/>
      <c r="C699" s="21"/>
      <c r="D699" s="21" t="s">
        <v>4205</v>
      </c>
      <c r="E699" s="128"/>
      <c r="F699" s="21"/>
      <c r="G699" s="21"/>
      <c r="H699" s="21"/>
      <c r="I699" s="22" t="s">
        <v>3915</v>
      </c>
      <c r="J699" s="148"/>
      <c r="K699" s="148"/>
      <c r="L699" s="148"/>
      <c r="M699" s="148"/>
      <c r="N699" s="148"/>
      <c r="O699" s="148"/>
      <c r="P699" s="148"/>
      <c r="Q699" s="148"/>
      <c r="R699" s="149">
        <f t="shared" ref="R699:AG699" si="453">IF((R674+R675+R677)=0,0,(R687+R688+R690)/(R674+R675+R677))</f>
        <v>33290.932735387862</v>
      </c>
      <c r="S699" s="149">
        <f t="shared" si="453"/>
        <v>34115.385548887221</v>
      </c>
      <c r="T699" s="149">
        <f t="shared" si="453"/>
        <v>34416.137034248291</v>
      </c>
      <c r="U699" s="149">
        <f t="shared" si="453"/>
        <v>34531.293312010865</v>
      </c>
      <c r="V699" s="149">
        <f t="shared" si="453"/>
        <v>34571.403573705058</v>
      </c>
      <c r="W699" s="149">
        <f t="shared" si="453"/>
        <v>34585.174598041427</v>
      </c>
      <c r="X699" s="149">
        <f t="shared" si="453"/>
        <v>34589.280926306783</v>
      </c>
      <c r="Y699" s="149">
        <f t="shared" si="453"/>
        <v>34590.520249196197</v>
      </c>
      <c r="Z699" s="149">
        <f t="shared" si="453"/>
        <v>34589.163174870861</v>
      </c>
      <c r="AA699" s="149">
        <f t="shared" si="453"/>
        <v>34587.590262022895</v>
      </c>
      <c r="AB699" s="149">
        <f t="shared" si="453"/>
        <v>34586.941334914678</v>
      </c>
      <c r="AC699" s="149">
        <f t="shared" si="453"/>
        <v>34584.777937941712</v>
      </c>
      <c r="AD699" s="149">
        <f t="shared" si="453"/>
        <v>34583.535557651034</v>
      </c>
      <c r="AE699" s="149">
        <f t="shared" si="453"/>
        <v>34581.012933758844</v>
      </c>
      <c r="AF699" s="149">
        <f t="shared" si="453"/>
        <v>34579.735433721864</v>
      </c>
      <c r="AG699" s="149">
        <f t="shared" si="453"/>
        <v>34577.606207062665</v>
      </c>
    </row>
    <row r="700" spans="1:33" ht="14.25" customHeight="1" x14ac:dyDescent="0.35">
      <c r="A700" s="21"/>
      <c r="B700" s="21"/>
      <c r="C700" s="21"/>
      <c r="D700" s="21" t="s">
        <v>4206</v>
      </c>
      <c r="E700" s="128"/>
      <c r="F700" s="21"/>
      <c r="G700" s="21"/>
      <c r="H700" s="21"/>
      <c r="I700" s="22" t="s">
        <v>3915</v>
      </c>
      <c r="J700" s="148"/>
      <c r="K700" s="148"/>
      <c r="L700" s="148"/>
      <c r="M700" s="148"/>
      <c r="N700" s="148"/>
      <c r="O700" s="148"/>
      <c r="P700" s="148"/>
      <c r="Q700" s="148"/>
      <c r="R700" s="149">
        <f t="shared" ref="R700:AG700" si="454">IF((R681+R682)=0,0,(R694+R695)/(R681+R682))</f>
        <v>32944.932443150945</v>
      </c>
      <c r="S700" s="149">
        <f t="shared" si="454"/>
        <v>33823.425503830455</v>
      </c>
      <c r="T700" s="149">
        <f t="shared" si="454"/>
        <v>34268.289944708049</v>
      </c>
      <c r="U700" s="149">
        <f t="shared" si="454"/>
        <v>34465.689252701275</v>
      </c>
      <c r="V700" s="149">
        <f t="shared" si="454"/>
        <v>34545.033992752054</v>
      </c>
      <c r="W700" s="149">
        <f t="shared" si="454"/>
        <v>34575.1618492423</v>
      </c>
      <c r="X700" s="149">
        <f t="shared" si="454"/>
        <v>34585.759036915661</v>
      </c>
      <c r="Y700" s="149">
        <f t="shared" si="454"/>
        <v>34589.332603364739</v>
      </c>
      <c r="Z700" s="149">
        <f t="shared" si="454"/>
        <v>34589.205437436074</v>
      </c>
      <c r="AA700" s="149">
        <f t="shared" si="454"/>
        <v>34587.993154444717</v>
      </c>
      <c r="AB700" s="149">
        <f t="shared" si="454"/>
        <v>34587.203702775361</v>
      </c>
      <c r="AC700" s="149">
        <f t="shared" si="454"/>
        <v>34585.383025327661</v>
      </c>
      <c r="AD700" s="149">
        <f t="shared" si="454"/>
        <v>34583.996393496112</v>
      </c>
      <c r="AE700" s="149">
        <f t="shared" si="454"/>
        <v>34581.757133620464</v>
      </c>
      <c r="AF700" s="149">
        <f t="shared" si="454"/>
        <v>34580.239730383211</v>
      </c>
      <c r="AG700" s="149">
        <f t="shared" si="454"/>
        <v>34578.263118120063</v>
      </c>
    </row>
    <row r="701" spans="1:33" ht="14.25" customHeight="1" x14ac:dyDescent="0.35">
      <c r="A701" s="21"/>
      <c r="B701" s="28"/>
      <c r="C701" s="28"/>
      <c r="D701" s="28" t="s">
        <v>29</v>
      </c>
      <c r="E701" s="21"/>
      <c r="F701" s="21"/>
      <c r="G701" s="21"/>
      <c r="H701" s="21"/>
      <c r="I701" s="22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</row>
    <row r="702" spans="1:33" ht="14.25" customHeight="1" x14ac:dyDescent="0.35">
      <c r="A702" s="21"/>
      <c r="B702" s="28"/>
      <c r="C702" s="21"/>
      <c r="D702" s="21" t="s">
        <v>30</v>
      </c>
      <c r="E702" s="175"/>
      <c r="F702" s="21"/>
      <c r="G702" s="21"/>
      <c r="H702" s="21"/>
      <c r="I702" s="22" t="s">
        <v>4060</v>
      </c>
      <c r="J702" s="148">
        <f t="shared" ref="J702:AG702" si="455">J648</f>
        <v>79040704.584549889</v>
      </c>
      <c r="K702" s="148">
        <f t="shared" si="455"/>
        <v>37301000</v>
      </c>
      <c r="L702" s="148">
        <f t="shared" si="455"/>
        <v>23688999.999999993</v>
      </c>
      <c r="M702" s="148">
        <f t="shared" si="455"/>
        <v>113006999.9999996</v>
      </c>
      <c r="N702" s="148">
        <f t="shared" si="455"/>
        <v>102141027.29171501</v>
      </c>
      <c r="O702" s="148">
        <f t="shared" si="455"/>
        <v>299016192.22896308</v>
      </c>
      <c r="P702" s="148">
        <f t="shared" si="455"/>
        <v>147265899.99999994</v>
      </c>
      <c r="Q702" s="148">
        <f t="shared" si="455"/>
        <v>246340399.99999994</v>
      </c>
      <c r="R702" s="149">
        <f t="shared" si="455"/>
        <v>119400399.302523</v>
      </c>
      <c r="S702" s="149">
        <f t="shared" si="455"/>
        <v>119400399.302523</v>
      </c>
      <c r="T702" s="149">
        <f t="shared" si="455"/>
        <v>119400399.302523</v>
      </c>
      <c r="U702" s="149">
        <f t="shared" si="455"/>
        <v>119400399.302523</v>
      </c>
      <c r="V702" s="149">
        <f t="shared" si="455"/>
        <v>119400399.302523</v>
      </c>
      <c r="W702" s="149">
        <f t="shared" si="455"/>
        <v>119400399.302523</v>
      </c>
      <c r="X702" s="149">
        <f t="shared" si="455"/>
        <v>119400399.302523</v>
      </c>
      <c r="Y702" s="149">
        <f t="shared" si="455"/>
        <v>119400399.302523</v>
      </c>
      <c r="Z702" s="149">
        <f t="shared" si="455"/>
        <v>119400399.302523</v>
      </c>
      <c r="AA702" s="149">
        <f t="shared" si="455"/>
        <v>119400399.302523</v>
      </c>
      <c r="AB702" s="149">
        <f t="shared" si="455"/>
        <v>119400399.302523</v>
      </c>
      <c r="AC702" s="149">
        <f t="shared" si="455"/>
        <v>119400399.302523</v>
      </c>
      <c r="AD702" s="149">
        <f t="shared" si="455"/>
        <v>119400399.302523</v>
      </c>
      <c r="AE702" s="149">
        <f t="shared" si="455"/>
        <v>119400399.302523</v>
      </c>
      <c r="AF702" s="149">
        <f t="shared" si="455"/>
        <v>119400399.302523</v>
      </c>
      <c r="AG702" s="149">
        <f t="shared" si="455"/>
        <v>119400399.302523</v>
      </c>
    </row>
    <row r="703" spans="1:33" ht="14.25" customHeight="1" x14ac:dyDescent="0.35">
      <c r="A703" s="21"/>
      <c r="B703" s="28"/>
      <c r="C703" s="21"/>
      <c r="D703" s="21" t="s">
        <v>31</v>
      </c>
      <c r="E703" s="175"/>
      <c r="F703" s="21"/>
      <c r="G703" s="21"/>
      <c r="H703" s="21"/>
      <c r="I703" s="22" t="s">
        <v>4060</v>
      </c>
      <c r="J703" s="148">
        <f t="shared" ref="J703:AG703" si="456">J649</f>
        <v>5984070.9120619344</v>
      </c>
      <c r="K703" s="148">
        <f t="shared" si="456"/>
        <v>13430525.198054651</v>
      </c>
      <c r="L703" s="148">
        <f t="shared" si="456"/>
        <v>6416798.3685989371</v>
      </c>
      <c r="M703" s="148">
        <f t="shared" si="456"/>
        <v>46750690.333779559</v>
      </c>
      <c r="N703" s="148">
        <f t="shared" si="456"/>
        <v>35684648.332284458</v>
      </c>
      <c r="O703" s="148">
        <f t="shared" si="456"/>
        <v>105402894.18619724</v>
      </c>
      <c r="P703" s="148">
        <f t="shared" si="456"/>
        <v>63822502.254283138</v>
      </c>
      <c r="Q703" s="148">
        <f t="shared" si="456"/>
        <v>71810528.819687635</v>
      </c>
      <c r="R703" s="149">
        <f t="shared" si="456"/>
        <v>43030896.55106657</v>
      </c>
      <c r="S703" s="149">
        <f t="shared" si="456"/>
        <v>42975108.723240867</v>
      </c>
      <c r="T703" s="149">
        <f t="shared" si="456"/>
        <v>42969267.721485138</v>
      </c>
      <c r="U703" s="149">
        <f t="shared" si="456"/>
        <v>42968653.541544735</v>
      </c>
      <c r="V703" s="149">
        <f t="shared" si="456"/>
        <v>42968589.162056744</v>
      </c>
      <c r="W703" s="149">
        <f t="shared" si="456"/>
        <v>42968582.40926265</v>
      </c>
      <c r="X703" s="149">
        <f t="shared" si="456"/>
        <v>42968581.700530611</v>
      </c>
      <c r="Y703" s="149">
        <f t="shared" si="456"/>
        <v>42968581.626192607</v>
      </c>
      <c r="Z703" s="149">
        <f t="shared" si="456"/>
        <v>42968581.618393734</v>
      </c>
      <c r="AA703" s="149">
        <f t="shared" si="456"/>
        <v>42968581.617575496</v>
      </c>
      <c r="AB703" s="149">
        <f t="shared" si="456"/>
        <v>42968581.617489651</v>
      </c>
      <c r="AC703" s="149">
        <f t="shared" si="456"/>
        <v>42968581.617480651</v>
      </c>
      <c r="AD703" s="149">
        <f t="shared" si="456"/>
        <v>42968581.617479704</v>
      </c>
      <c r="AE703" s="149">
        <f t="shared" si="456"/>
        <v>42968581.617479607</v>
      </c>
      <c r="AF703" s="149">
        <f t="shared" si="456"/>
        <v>42968581.617479593</v>
      </c>
      <c r="AG703" s="149">
        <f t="shared" si="456"/>
        <v>42968581.617479593</v>
      </c>
    </row>
    <row r="704" spans="1:33" ht="14.25" customHeight="1" x14ac:dyDescent="0.35">
      <c r="A704" s="21"/>
      <c r="B704" s="28"/>
      <c r="C704" s="21"/>
      <c r="D704" s="21" t="s">
        <v>32</v>
      </c>
      <c r="E704" s="175"/>
      <c r="F704" s="21"/>
      <c r="G704" s="21"/>
      <c r="H704" s="21"/>
      <c r="I704" s="22" t="s">
        <v>4060</v>
      </c>
      <c r="J704" s="148">
        <f t="shared" ref="J704:AG704" si="457">J650</f>
        <v>0</v>
      </c>
      <c r="K704" s="148">
        <f t="shared" si="457"/>
        <v>10624044.5406672</v>
      </c>
      <c r="L704" s="148">
        <f t="shared" si="457"/>
        <v>4286891.1423637504</v>
      </c>
      <c r="M704" s="148">
        <f t="shared" si="457"/>
        <v>29843051.764045101</v>
      </c>
      <c r="N704" s="148">
        <f t="shared" si="457"/>
        <v>20710967.668379199</v>
      </c>
      <c r="O704" s="148">
        <f t="shared" si="457"/>
        <v>62273750.368871696</v>
      </c>
      <c r="P704" s="148">
        <f t="shared" si="457"/>
        <v>41031714.759460799</v>
      </c>
      <c r="Q704" s="148">
        <f t="shared" si="457"/>
        <v>51763470.956659697</v>
      </c>
      <c r="R704" s="149">
        <f t="shared" si="457"/>
        <v>28307294.915452171</v>
      </c>
      <c r="S704" s="149">
        <f t="shared" si="457"/>
        <v>28307295.173431728</v>
      </c>
      <c r="T704" s="149">
        <f t="shared" si="457"/>
        <v>28307295.173431732</v>
      </c>
      <c r="U704" s="149">
        <f t="shared" si="457"/>
        <v>28307295.173431724</v>
      </c>
      <c r="V704" s="149">
        <f t="shared" si="457"/>
        <v>28307295.173431724</v>
      </c>
      <c r="W704" s="149">
        <f t="shared" si="457"/>
        <v>28307295.173431728</v>
      </c>
      <c r="X704" s="149">
        <f t="shared" si="457"/>
        <v>28307295.173431728</v>
      </c>
      <c r="Y704" s="149">
        <f t="shared" si="457"/>
        <v>28307295.173431728</v>
      </c>
      <c r="Z704" s="149">
        <f t="shared" si="457"/>
        <v>28307295.173431728</v>
      </c>
      <c r="AA704" s="149">
        <f t="shared" si="457"/>
        <v>28307295.173431724</v>
      </c>
      <c r="AB704" s="149">
        <f t="shared" si="457"/>
        <v>28307295.173431732</v>
      </c>
      <c r="AC704" s="149">
        <f t="shared" si="457"/>
        <v>28307295.173431732</v>
      </c>
      <c r="AD704" s="149">
        <f t="shared" si="457"/>
        <v>28307295.173431728</v>
      </c>
      <c r="AE704" s="149">
        <f t="shared" si="457"/>
        <v>28307295.173431724</v>
      </c>
      <c r="AF704" s="149">
        <f t="shared" si="457"/>
        <v>28307295.173431728</v>
      </c>
      <c r="AG704" s="149">
        <f t="shared" si="457"/>
        <v>28307295.173431728</v>
      </c>
    </row>
    <row r="705" spans="1:33" ht="14.25" customHeight="1" x14ac:dyDescent="0.35">
      <c r="A705" s="21"/>
      <c r="B705" s="28"/>
      <c r="C705" s="21"/>
      <c r="D705" s="21" t="s">
        <v>33</v>
      </c>
      <c r="E705" s="175"/>
      <c r="F705" s="21"/>
      <c r="G705" s="21"/>
      <c r="H705" s="21"/>
      <c r="I705" s="22" t="s">
        <v>4060</v>
      </c>
      <c r="J705" s="148">
        <f t="shared" ref="J705:Q705" si="458">SUM(J651:J655)</f>
        <v>370997.9854346668</v>
      </c>
      <c r="K705" s="148">
        <f t="shared" si="458"/>
        <v>1324998.5216768021</v>
      </c>
      <c r="L705" s="148">
        <f t="shared" si="458"/>
        <v>609499.99708063528</v>
      </c>
      <c r="M705" s="148">
        <f t="shared" si="458"/>
        <v>3006159.4354944839</v>
      </c>
      <c r="N705" s="148">
        <f t="shared" si="458"/>
        <v>3756525.0963495309</v>
      </c>
      <c r="O705" s="148">
        <f t="shared" si="458"/>
        <v>11554203.74050241</v>
      </c>
      <c r="P705" s="148">
        <f t="shared" si="458"/>
        <v>7600276.5661462089</v>
      </c>
      <c r="Q705" s="148">
        <f t="shared" si="458"/>
        <v>9114804.1901220903</v>
      </c>
      <c r="R705" s="149">
        <f t="shared" ref="R705:AG705" si="459">SUM(R651:R656)</f>
        <v>4481418.4490421796</v>
      </c>
      <c r="S705" s="149">
        <f t="shared" si="459"/>
        <v>4416853.6171026742</v>
      </c>
      <c r="T705" s="149">
        <f t="shared" si="459"/>
        <v>4387295.5279665403</v>
      </c>
      <c r="U705" s="149">
        <f t="shared" si="459"/>
        <v>4373500.6299140733</v>
      </c>
      <c r="V705" s="149">
        <f t="shared" si="459"/>
        <v>4367003.9606087664</v>
      </c>
      <c r="W705" s="149">
        <f t="shared" si="459"/>
        <v>4363879.614897728</v>
      </c>
      <c r="X705" s="149">
        <f t="shared" si="459"/>
        <v>4362333.8224577615</v>
      </c>
      <c r="Y705" s="149">
        <f t="shared" si="459"/>
        <v>4361543.9332085252</v>
      </c>
      <c r="Z705" s="149">
        <f t="shared" si="459"/>
        <v>4361123.9140062025</v>
      </c>
      <c r="AA705" s="149">
        <f t="shared" si="459"/>
        <v>4360890.7346873833</v>
      </c>
      <c r="AB705" s="149">
        <f t="shared" si="459"/>
        <v>4360755.670499146</v>
      </c>
      <c r="AC705" s="149">
        <f t="shared" si="459"/>
        <v>4360674.2954129875</v>
      </c>
      <c r="AD705" s="149">
        <f t="shared" si="459"/>
        <v>4360623.6033139164</v>
      </c>
      <c r="AE705" s="149">
        <f t="shared" si="459"/>
        <v>4360591.1785384351</v>
      </c>
      <c r="AF705" s="149">
        <f t="shared" si="459"/>
        <v>4360570.018607812</v>
      </c>
      <c r="AG705" s="149">
        <f t="shared" si="459"/>
        <v>4360556.0085481992</v>
      </c>
    </row>
    <row r="706" spans="1:33" ht="14.25" customHeight="1" x14ac:dyDescent="0.35">
      <c r="A706" s="21"/>
      <c r="B706" s="28"/>
      <c r="C706" s="21"/>
      <c r="D706" s="21" t="s">
        <v>34</v>
      </c>
      <c r="E706" s="175"/>
      <c r="F706" s="21"/>
      <c r="G706" s="21"/>
      <c r="H706" s="21"/>
      <c r="I706" s="22" t="s">
        <v>4060</v>
      </c>
      <c r="J706" s="148">
        <f t="shared" ref="J706:AG706" si="460">J657</f>
        <v>0</v>
      </c>
      <c r="K706" s="148">
        <f t="shared" si="460"/>
        <v>0</v>
      </c>
      <c r="L706" s="148">
        <f t="shared" si="460"/>
        <v>0</v>
      </c>
      <c r="M706" s="148">
        <f t="shared" si="460"/>
        <v>0</v>
      </c>
      <c r="N706" s="148">
        <f t="shared" si="460"/>
        <v>0</v>
      </c>
      <c r="O706" s="148">
        <f t="shared" si="460"/>
        <v>0</v>
      </c>
      <c r="P706" s="148">
        <f t="shared" si="460"/>
        <v>0</v>
      </c>
      <c r="Q706" s="148">
        <f t="shared" si="460"/>
        <v>0</v>
      </c>
      <c r="R706" s="149">
        <f t="shared" si="460"/>
        <v>0</v>
      </c>
      <c r="S706" s="149">
        <f t="shared" si="460"/>
        <v>0</v>
      </c>
      <c r="T706" s="149">
        <f t="shared" si="460"/>
        <v>0</v>
      </c>
      <c r="U706" s="149">
        <f t="shared" si="460"/>
        <v>0</v>
      </c>
      <c r="V706" s="149">
        <f t="shared" si="460"/>
        <v>0</v>
      </c>
      <c r="W706" s="149">
        <f t="shared" si="460"/>
        <v>0</v>
      </c>
      <c r="X706" s="149">
        <f t="shared" si="460"/>
        <v>0</v>
      </c>
      <c r="Y706" s="149">
        <f t="shared" si="460"/>
        <v>0</v>
      </c>
      <c r="Z706" s="149">
        <f t="shared" si="460"/>
        <v>0</v>
      </c>
      <c r="AA706" s="149">
        <f t="shared" si="460"/>
        <v>0</v>
      </c>
      <c r="AB706" s="149">
        <f t="shared" si="460"/>
        <v>0</v>
      </c>
      <c r="AC706" s="149">
        <f t="shared" si="460"/>
        <v>0</v>
      </c>
      <c r="AD706" s="149">
        <f t="shared" si="460"/>
        <v>0</v>
      </c>
      <c r="AE706" s="149">
        <f t="shared" si="460"/>
        <v>0</v>
      </c>
      <c r="AF706" s="149">
        <f t="shared" si="460"/>
        <v>0</v>
      </c>
      <c r="AG706" s="149">
        <f t="shared" si="460"/>
        <v>0</v>
      </c>
    </row>
    <row r="707" spans="1:33" ht="14.25" customHeight="1" x14ac:dyDescent="0.35">
      <c r="A707" s="21"/>
      <c r="B707" s="28"/>
      <c r="C707" s="21"/>
      <c r="D707" s="21" t="s">
        <v>35</v>
      </c>
      <c r="E707" s="175"/>
      <c r="F707" s="21"/>
      <c r="G707" s="21"/>
      <c r="H707" s="21"/>
      <c r="I707" s="22" t="s">
        <v>4060</v>
      </c>
      <c r="J707" s="148">
        <f t="shared" ref="J707:AG707" si="461">J658</f>
        <v>21689410.419203002</v>
      </c>
      <c r="K707" s="148">
        <f t="shared" si="461"/>
        <v>11358264.90336415</v>
      </c>
      <c r="L707" s="148">
        <f t="shared" si="461"/>
        <v>4535185.8097094474</v>
      </c>
      <c r="M707" s="148">
        <f t="shared" si="461"/>
        <v>30206963.340967592</v>
      </c>
      <c r="N707" s="148">
        <f t="shared" si="461"/>
        <v>27248602.359640453</v>
      </c>
      <c r="O707" s="148">
        <f t="shared" si="461"/>
        <v>61897409.460348226</v>
      </c>
      <c r="P707" s="148">
        <f t="shared" si="461"/>
        <v>39027989.349433184</v>
      </c>
      <c r="Q707" s="148">
        <f t="shared" si="461"/>
        <v>54419152.744344503</v>
      </c>
      <c r="R707" s="149">
        <f t="shared" si="461"/>
        <v>18111902.292392045</v>
      </c>
      <c r="S707" s="149">
        <f t="shared" si="461"/>
        <v>18075300.868089236</v>
      </c>
      <c r="T707" s="149">
        <f t="shared" si="461"/>
        <v>18115618.904103965</v>
      </c>
      <c r="U707" s="149">
        <f t="shared" si="461"/>
        <v>18100939.093410008</v>
      </c>
      <c r="V707" s="149">
        <f t="shared" si="461"/>
        <v>18097285.271486238</v>
      </c>
      <c r="W707" s="149">
        <f t="shared" si="461"/>
        <v>18104614.32596476</v>
      </c>
      <c r="X707" s="149">
        <f t="shared" si="461"/>
        <v>18100946.198106971</v>
      </c>
      <c r="Y707" s="149">
        <f t="shared" si="461"/>
        <v>18100948.560870916</v>
      </c>
      <c r="Z707" s="149">
        <f t="shared" si="461"/>
        <v>18102169.688395649</v>
      </c>
      <c r="AA707" s="149">
        <f t="shared" si="461"/>
        <v>18101354.815262016</v>
      </c>
      <c r="AB707" s="149">
        <f t="shared" si="461"/>
        <v>18101491.020300251</v>
      </c>
      <c r="AC707" s="149">
        <f t="shared" si="461"/>
        <v>18101671.840960637</v>
      </c>
      <c r="AD707" s="149">
        <f t="shared" si="461"/>
        <v>18101505.892159641</v>
      </c>
      <c r="AE707" s="149">
        <f t="shared" si="461"/>
        <v>18101556.251107045</v>
      </c>
      <c r="AF707" s="149">
        <f t="shared" si="461"/>
        <v>18101577.994726025</v>
      </c>
      <c r="AG707" s="149">
        <f t="shared" si="461"/>
        <v>18101546.712663095</v>
      </c>
    </row>
    <row r="708" spans="1:33" ht="14.25" customHeight="1" x14ac:dyDescent="0.35">
      <c r="A708" s="21"/>
      <c r="B708" s="28"/>
      <c r="C708" s="21"/>
      <c r="D708" s="21" t="s">
        <v>36</v>
      </c>
      <c r="E708" s="175"/>
      <c r="F708" s="21"/>
      <c r="G708" s="21"/>
      <c r="H708" s="21"/>
      <c r="I708" s="22" t="s">
        <v>4060</v>
      </c>
      <c r="J708" s="184">
        <f t="shared" ref="J708:AG708" si="462">SUM(J659:J662)</f>
        <v>24922835.376643367</v>
      </c>
      <c r="K708" s="184">
        <f t="shared" si="462"/>
        <v>14045126.703969918</v>
      </c>
      <c r="L708" s="184">
        <f t="shared" si="462"/>
        <v>5258568.7471201597</v>
      </c>
      <c r="M708" s="184">
        <f t="shared" si="462"/>
        <v>30770811.052703954</v>
      </c>
      <c r="N708" s="184">
        <f t="shared" si="462"/>
        <v>14771908.908420751</v>
      </c>
      <c r="O708" s="184">
        <f t="shared" si="462"/>
        <v>29897810.861542806</v>
      </c>
      <c r="P708" s="184">
        <f t="shared" si="462"/>
        <v>26393848.633669235</v>
      </c>
      <c r="Q708" s="184">
        <f t="shared" si="462"/>
        <v>25522976.614774171</v>
      </c>
      <c r="R708" s="185">
        <f t="shared" si="462"/>
        <v>10308489.227539178</v>
      </c>
      <c r="S708" s="185">
        <f t="shared" si="462"/>
        <v>10288279.568013538</v>
      </c>
      <c r="T708" s="185">
        <f t="shared" si="462"/>
        <v>10106904.557918437</v>
      </c>
      <c r="U708" s="185">
        <f t="shared" si="462"/>
        <v>10128773.610138046</v>
      </c>
      <c r="V708" s="185">
        <f t="shared" si="462"/>
        <v>10094427.437365862</v>
      </c>
      <c r="W708" s="185">
        <f t="shared" si="462"/>
        <v>10072610.996657113</v>
      </c>
      <c r="X708" s="185">
        <f t="shared" si="462"/>
        <v>10065252.278647199</v>
      </c>
      <c r="Y708" s="185">
        <f t="shared" si="462"/>
        <v>10062446.772478189</v>
      </c>
      <c r="Z708" s="185">
        <f t="shared" si="462"/>
        <v>10042393.179860365</v>
      </c>
      <c r="AA708" s="185">
        <f t="shared" si="462"/>
        <v>10032419.446031645</v>
      </c>
      <c r="AB708" s="185">
        <f t="shared" si="462"/>
        <v>10031966.299067713</v>
      </c>
      <c r="AC708" s="185">
        <f t="shared" si="462"/>
        <v>10011785.235474899</v>
      </c>
      <c r="AD708" s="185">
        <f t="shared" si="462"/>
        <v>10007708.596115237</v>
      </c>
      <c r="AE708" s="185">
        <f t="shared" si="462"/>
        <v>9986237.9828172736</v>
      </c>
      <c r="AF708" s="185">
        <f t="shared" si="462"/>
        <v>9983027.711065026</v>
      </c>
      <c r="AG708" s="185">
        <f t="shared" si="462"/>
        <v>9965891.0095303748</v>
      </c>
    </row>
    <row r="709" spans="1:33" ht="14.25" customHeight="1" x14ac:dyDescent="0.35">
      <c r="A709" s="21"/>
      <c r="B709" s="28"/>
      <c r="C709" s="21"/>
      <c r="D709" s="21" t="s">
        <v>4144</v>
      </c>
      <c r="E709" s="175"/>
      <c r="F709" s="21"/>
      <c r="G709" s="21"/>
      <c r="H709" s="21"/>
      <c r="I709" s="22" t="s">
        <v>4060</v>
      </c>
      <c r="J709" s="148">
        <f t="shared" ref="J709:AG709" si="463">SUM(J702:J708)</f>
        <v>132008019.27789286</v>
      </c>
      <c r="K709" s="148">
        <f t="shared" si="463"/>
        <v>88083959.867732704</v>
      </c>
      <c r="L709" s="148">
        <f t="shared" si="463"/>
        <v>44795944.064872921</v>
      </c>
      <c r="M709" s="148">
        <f t="shared" si="463"/>
        <v>253584675.92699027</v>
      </c>
      <c r="N709" s="148">
        <f t="shared" si="463"/>
        <v>204313679.65678939</v>
      </c>
      <c r="O709" s="148">
        <f t="shared" si="463"/>
        <v>570042260.84642541</v>
      </c>
      <c r="P709" s="148">
        <f t="shared" si="463"/>
        <v>325142231.56299251</v>
      </c>
      <c r="Q709" s="148">
        <f t="shared" si="463"/>
        <v>458971333.32558805</v>
      </c>
      <c r="R709" s="149">
        <f t="shared" si="463"/>
        <v>223640400.73801515</v>
      </c>
      <c r="S709" s="149">
        <f t="shared" si="463"/>
        <v>223463237.25240105</v>
      </c>
      <c r="T709" s="149">
        <f t="shared" si="463"/>
        <v>223286781.1874288</v>
      </c>
      <c r="U709" s="149">
        <f t="shared" si="463"/>
        <v>223279561.35096163</v>
      </c>
      <c r="V709" s="149">
        <f t="shared" si="463"/>
        <v>223235000.30747238</v>
      </c>
      <c r="W709" s="149">
        <f t="shared" si="463"/>
        <v>223217381.82273695</v>
      </c>
      <c r="X709" s="149">
        <f t="shared" si="463"/>
        <v>223204808.47569728</v>
      </c>
      <c r="Y709" s="149">
        <f t="shared" si="463"/>
        <v>223201215.36870497</v>
      </c>
      <c r="Z709" s="149">
        <f t="shared" si="463"/>
        <v>223181962.87661067</v>
      </c>
      <c r="AA709" s="149">
        <f t="shared" si="463"/>
        <v>223170941.08951128</v>
      </c>
      <c r="AB709" s="149">
        <f t="shared" si="463"/>
        <v>223170489.08331147</v>
      </c>
      <c r="AC709" s="149">
        <f t="shared" si="463"/>
        <v>223150407.46528387</v>
      </c>
      <c r="AD709" s="149">
        <f t="shared" si="463"/>
        <v>223146114.18502322</v>
      </c>
      <c r="AE709" s="149">
        <f t="shared" si="463"/>
        <v>223124661.50589707</v>
      </c>
      <c r="AF709" s="149">
        <f t="shared" si="463"/>
        <v>223121451.81783319</v>
      </c>
      <c r="AG709" s="149">
        <f t="shared" si="463"/>
        <v>223104269.82417595</v>
      </c>
    </row>
    <row r="710" spans="1:33" ht="14.25" customHeight="1" x14ac:dyDescent="0.35">
      <c r="A710" s="21"/>
      <c r="B710" s="28"/>
      <c r="C710" s="21"/>
      <c r="D710" s="28" t="s">
        <v>4169</v>
      </c>
      <c r="E710" s="175"/>
      <c r="F710" s="21"/>
      <c r="G710" s="21"/>
      <c r="H710" s="21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</row>
    <row r="711" spans="1:33" ht="14.25" customHeight="1" x14ac:dyDescent="0.35">
      <c r="A711" s="21"/>
      <c r="B711" s="28"/>
      <c r="C711" s="21"/>
      <c r="D711" s="21"/>
      <c r="E711" s="175" t="s">
        <v>38</v>
      </c>
      <c r="F711" s="21"/>
      <c r="G711" s="21"/>
      <c r="H711" s="21"/>
      <c r="I711" s="22"/>
      <c r="J711" s="148"/>
      <c r="K711" s="148"/>
      <c r="L711" s="148"/>
      <c r="M711" s="148"/>
      <c r="N711" s="148"/>
      <c r="O711" s="148"/>
      <c r="P711" s="148"/>
      <c r="Q711" s="148"/>
      <c r="R711" s="149">
        <f t="shared" ref="R711:AG711" si="464">R690</f>
        <v>0</v>
      </c>
      <c r="S711" s="149">
        <f t="shared" si="464"/>
        <v>0</v>
      </c>
      <c r="T711" s="149">
        <f t="shared" si="464"/>
        <v>0</v>
      </c>
      <c r="U711" s="149">
        <f t="shared" si="464"/>
        <v>0</v>
      </c>
      <c r="V711" s="149">
        <f t="shared" si="464"/>
        <v>0</v>
      </c>
      <c r="W711" s="149">
        <f t="shared" si="464"/>
        <v>0</v>
      </c>
      <c r="X711" s="149">
        <f t="shared" si="464"/>
        <v>0</v>
      </c>
      <c r="Y711" s="149">
        <f t="shared" si="464"/>
        <v>0</v>
      </c>
      <c r="Z711" s="149">
        <f t="shared" si="464"/>
        <v>0</v>
      </c>
      <c r="AA711" s="149">
        <f t="shared" si="464"/>
        <v>0</v>
      </c>
      <c r="AB711" s="149">
        <f t="shared" si="464"/>
        <v>0</v>
      </c>
      <c r="AC711" s="149">
        <f t="shared" si="464"/>
        <v>0</v>
      </c>
      <c r="AD711" s="149">
        <f t="shared" si="464"/>
        <v>0</v>
      </c>
      <c r="AE711" s="149">
        <f t="shared" si="464"/>
        <v>0</v>
      </c>
      <c r="AF711" s="149">
        <f t="shared" si="464"/>
        <v>0</v>
      </c>
      <c r="AG711" s="149">
        <f t="shared" si="464"/>
        <v>0</v>
      </c>
    </row>
    <row r="712" spans="1:33" ht="14.25" customHeight="1" x14ac:dyDescent="0.35">
      <c r="A712" s="21"/>
      <c r="B712" s="28"/>
      <c r="C712" s="21"/>
      <c r="D712" s="21"/>
      <c r="E712" s="175" t="s">
        <v>4146</v>
      </c>
      <c r="F712" s="21"/>
      <c r="G712" s="21"/>
      <c r="H712" s="21"/>
      <c r="I712" s="22"/>
      <c r="J712" s="148"/>
      <c r="K712" s="148"/>
      <c r="L712" s="148"/>
      <c r="M712" s="148"/>
      <c r="N712" s="148"/>
      <c r="O712" s="148"/>
      <c r="P712" s="148"/>
      <c r="Q712" s="148"/>
      <c r="R712" s="149">
        <f t="shared" ref="R712:AG712" si="465">R691</f>
        <v>-2148105.8415520978</v>
      </c>
      <c r="S712" s="149">
        <f t="shared" si="465"/>
        <v>-2201303.8675382985</v>
      </c>
      <c r="T712" s="149">
        <f t="shared" si="465"/>
        <v>-2220709.9330785666</v>
      </c>
      <c r="U712" s="149">
        <f t="shared" si="465"/>
        <v>-2228140.4209810649</v>
      </c>
      <c r="V712" s="149">
        <f t="shared" si="465"/>
        <v>-2230728.5457457365</v>
      </c>
      <c r="W712" s="149">
        <f t="shared" si="465"/>
        <v>-2231617.1245685723</v>
      </c>
      <c r="X712" s="149">
        <f t="shared" si="465"/>
        <v>-2231882.0864368458</v>
      </c>
      <c r="Y712" s="149">
        <f t="shared" si="465"/>
        <v>-2231962.0540592456</v>
      </c>
      <c r="Z712" s="149">
        <f t="shared" si="465"/>
        <v>-2231874.4884957075</v>
      </c>
      <c r="AA712" s="149">
        <f t="shared" si="465"/>
        <v>-2231772.9958969923</v>
      </c>
      <c r="AB712" s="149">
        <f t="shared" si="465"/>
        <v>-2231731.1237114645</v>
      </c>
      <c r="AC712" s="149">
        <f t="shared" si="465"/>
        <v>-2231591.5299754711</v>
      </c>
      <c r="AD712" s="149">
        <f t="shared" si="465"/>
        <v>-2231511.365073483</v>
      </c>
      <c r="AE712" s="149">
        <f t="shared" si="465"/>
        <v>-2231348.592129813</v>
      </c>
      <c r="AF712" s="149">
        <f t="shared" si="465"/>
        <v>-2231266.161117326</v>
      </c>
      <c r="AG712" s="149">
        <f t="shared" si="465"/>
        <v>-2231128.7722294577</v>
      </c>
    </row>
    <row r="713" spans="1:33" ht="14.25" customHeight="1" x14ac:dyDescent="0.35">
      <c r="A713" s="21"/>
      <c r="B713" s="28"/>
      <c r="C713" s="21"/>
      <c r="D713" s="28" t="s">
        <v>4098</v>
      </c>
      <c r="E713" s="175"/>
      <c r="F713" s="21"/>
      <c r="G713" s="21"/>
      <c r="H713" s="21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</row>
    <row r="714" spans="1:33" ht="14.25" customHeight="1" x14ac:dyDescent="0.35">
      <c r="A714" s="21"/>
      <c r="B714" s="28"/>
      <c r="C714" s="21"/>
      <c r="D714" s="21"/>
      <c r="E714" s="175" t="s">
        <v>4170</v>
      </c>
      <c r="F714" s="21"/>
      <c r="G714" s="21"/>
      <c r="H714" s="21"/>
      <c r="I714" s="22"/>
      <c r="J714" s="148"/>
      <c r="K714" s="148"/>
      <c r="L714" s="148"/>
      <c r="M714" s="148"/>
      <c r="N714" s="148"/>
      <c r="O714" s="148"/>
      <c r="P714" s="148"/>
      <c r="Q714" s="148"/>
      <c r="R714" s="149">
        <f t="shared" ref="R714:AG714" si="466">R687</f>
        <v>125748779</v>
      </c>
      <c r="S714" s="149">
        <f t="shared" si="466"/>
        <v>134578595.5828054</v>
      </c>
      <c r="T714" s="149">
        <f t="shared" si="466"/>
        <v>137911446.08137658</v>
      </c>
      <c r="U714" s="149">
        <f t="shared" si="466"/>
        <v>139127233.96094874</v>
      </c>
      <c r="V714" s="149">
        <f t="shared" si="466"/>
        <v>139592753.21380392</v>
      </c>
      <c r="W714" s="149">
        <f t="shared" si="466"/>
        <v>139754898.94670272</v>
      </c>
      <c r="X714" s="149">
        <f t="shared" si="466"/>
        <v>139810568.31258249</v>
      </c>
      <c r="Y714" s="149">
        <f t="shared" si="466"/>
        <v>139827168.14459521</v>
      </c>
      <c r="Z714" s="149">
        <f t="shared" si="466"/>
        <v>139832178.10737562</v>
      </c>
      <c r="AA714" s="149">
        <f t="shared" si="466"/>
        <v>139826692.13441551</v>
      </c>
      <c r="AB714" s="149">
        <f t="shared" si="466"/>
        <v>139820333.63422754</v>
      </c>
      <c r="AC714" s="149">
        <f t="shared" si="466"/>
        <v>139817710.34639257</v>
      </c>
      <c r="AD714" s="149">
        <f t="shared" si="466"/>
        <v>139808964.81412938</v>
      </c>
      <c r="AE714" s="149">
        <f t="shared" si="466"/>
        <v>139803942.49180433</v>
      </c>
      <c r="AF714" s="149">
        <f t="shared" si="466"/>
        <v>139793744.78472009</v>
      </c>
      <c r="AG714" s="149">
        <f t="shared" si="466"/>
        <v>139788580.49082068</v>
      </c>
    </row>
    <row r="715" spans="1:33" ht="14.25" customHeight="1" x14ac:dyDescent="0.35">
      <c r="A715" s="21"/>
      <c r="B715" s="28"/>
      <c r="C715" s="21"/>
      <c r="D715" s="21"/>
      <c r="E715" s="175" t="s">
        <v>4171</v>
      </c>
      <c r="F715" s="21"/>
      <c r="G715" s="21"/>
      <c r="H715" s="21"/>
      <c r="I715" s="22"/>
      <c r="J715" s="148"/>
      <c r="K715" s="148"/>
      <c r="L715" s="148"/>
      <c r="M715" s="148"/>
      <c r="N715" s="148"/>
      <c r="O715" s="148"/>
      <c r="P715" s="148"/>
      <c r="Q715" s="148"/>
      <c r="R715" s="149">
        <f t="shared" ref="R715:AG715" si="467">-R692</f>
        <v>-134578595.5828054</v>
      </c>
      <c r="S715" s="149">
        <f t="shared" si="467"/>
        <v>-137911446.08137658</v>
      </c>
      <c r="T715" s="149">
        <f t="shared" si="467"/>
        <v>-139127233.96094874</v>
      </c>
      <c r="U715" s="149">
        <f t="shared" si="467"/>
        <v>-139592753.21380392</v>
      </c>
      <c r="V715" s="149">
        <f t="shared" si="467"/>
        <v>-139754898.94670272</v>
      </c>
      <c r="W715" s="149">
        <f t="shared" si="467"/>
        <v>-139810568.31258249</v>
      </c>
      <c r="X715" s="149">
        <f t="shared" si="467"/>
        <v>-139827168.14459521</v>
      </c>
      <c r="Y715" s="149">
        <f t="shared" si="467"/>
        <v>-139832178.10737562</v>
      </c>
      <c r="Z715" s="149">
        <f t="shared" si="467"/>
        <v>-139826692.13441551</v>
      </c>
      <c r="AA715" s="149">
        <f t="shared" si="467"/>
        <v>-139820333.63422754</v>
      </c>
      <c r="AB715" s="149">
        <f t="shared" si="467"/>
        <v>-139817710.34639257</v>
      </c>
      <c r="AC715" s="149">
        <f t="shared" si="467"/>
        <v>-139808964.81412938</v>
      </c>
      <c r="AD715" s="149">
        <f t="shared" si="467"/>
        <v>-139803942.49180433</v>
      </c>
      <c r="AE715" s="149">
        <f t="shared" si="467"/>
        <v>-139793744.78472009</v>
      </c>
      <c r="AF715" s="149">
        <f t="shared" si="467"/>
        <v>-139788580.49082068</v>
      </c>
      <c r="AG715" s="149">
        <f t="shared" si="467"/>
        <v>-139779973.09205082</v>
      </c>
    </row>
    <row r="716" spans="1:33" ht="14.25" customHeight="1" x14ac:dyDescent="0.35">
      <c r="A716" s="21"/>
      <c r="B716" s="28"/>
      <c r="C716" s="21"/>
      <c r="D716" s="28" t="s">
        <v>4172</v>
      </c>
      <c r="E716" s="175"/>
      <c r="F716" s="21"/>
      <c r="G716" s="21"/>
      <c r="H716" s="21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</row>
    <row r="717" spans="1:33" ht="14.25" customHeight="1" x14ac:dyDescent="0.35">
      <c r="A717" s="21"/>
      <c r="B717" s="28"/>
      <c r="C717" s="21"/>
      <c r="D717" s="21"/>
      <c r="E717" s="175" t="s">
        <v>4170</v>
      </c>
      <c r="F717" s="21"/>
      <c r="G717" s="21"/>
      <c r="H717" s="21"/>
      <c r="I717" s="22"/>
      <c r="J717" s="148"/>
      <c r="K717" s="148"/>
      <c r="L717" s="148"/>
      <c r="M717" s="148"/>
      <c r="N717" s="148"/>
      <c r="O717" s="148"/>
      <c r="P717" s="148"/>
      <c r="Q717" s="148"/>
      <c r="R717" s="149">
        <f t="shared" ref="R717:AG717" si="468">R694</f>
        <v>67731841.709999993</v>
      </c>
      <c r="S717" s="149">
        <f t="shared" si="468"/>
        <v>69942091.576809436</v>
      </c>
      <c r="T717" s="149">
        <f t="shared" si="468"/>
        <v>71807132.344632089</v>
      </c>
      <c r="U717" s="149">
        <f t="shared" si="468"/>
        <v>72751579.552615166</v>
      </c>
      <c r="V717" s="149">
        <f t="shared" si="468"/>
        <v>73170658.283484817</v>
      </c>
      <c r="W717" s="149">
        <f t="shared" si="468"/>
        <v>73339107.166612595</v>
      </c>
      <c r="X717" s="149">
        <f t="shared" si="468"/>
        <v>73403068.605941445</v>
      </c>
      <c r="Y717" s="149">
        <f t="shared" si="468"/>
        <v>73425566.435371935</v>
      </c>
      <c r="Z717" s="149">
        <f t="shared" si="468"/>
        <v>73433153.11694333</v>
      </c>
      <c r="AA717" s="149">
        <f t="shared" si="468"/>
        <v>73432883.143676758</v>
      </c>
      <c r="AB717" s="149">
        <f t="shared" si="468"/>
        <v>73430309.466886103</v>
      </c>
      <c r="AC717" s="149">
        <f t="shared" si="468"/>
        <v>73428633.460992068</v>
      </c>
      <c r="AD717" s="149">
        <f t="shared" si="468"/>
        <v>73424768.162770629</v>
      </c>
      <c r="AE717" s="149">
        <f t="shared" si="468"/>
        <v>73421824.343392253</v>
      </c>
      <c r="AF717" s="149">
        <f t="shared" si="468"/>
        <v>73417070.394676238</v>
      </c>
      <c r="AG717" s="149">
        <f t="shared" si="468"/>
        <v>73413848.947603554</v>
      </c>
    </row>
    <row r="718" spans="1:33" ht="14.25" customHeight="1" x14ac:dyDescent="0.35">
      <c r="A718" s="21"/>
      <c r="B718" s="28"/>
      <c r="C718" s="21"/>
      <c r="D718" s="21"/>
      <c r="E718" s="175" t="s">
        <v>4171</v>
      </c>
      <c r="F718" s="21"/>
      <c r="G718" s="21"/>
      <c r="H718" s="21"/>
      <c r="I718" s="22"/>
      <c r="J718" s="148"/>
      <c r="K718" s="148"/>
      <c r="L718" s="148"/>
      <c r="M718" s="148"/>
      <c r="N718" s="148"/>
      <c r="O718" s="148"/>
      <c r="P718" s="148"/>
      <c r="Q718" s="148"/>
      <c r="R718" s="149">
        <f t="shared" ref="R718:AG718" si="469">-R697</f>
        <v>-69942091.576809436</v>
      </c>
      <c r="S718" s="149">
        <f t="shared" si="469"/>
        <v>-71807132.344632089</v>
      </c>
      <c r="T718" s="149">
        <f t="shared" si="469"/>
        <v>-72751579.552615166</v>
      </c>
      <c r="U718" s="149">
        <f t="shared" si="469"/>
        <v>-73170658.283484817</v>
      </c>
      <c r="V718" s="149">
        <f t="shared" si="469"/>
        <v>-73339107.166612595</v>
      </c>
      <c r="W718" s="149">
        <f t="shared" si="469"/>
        <v>-73403068.605941445</v>
      </c>
      <c r="X718" s="149">
        <f t="shared" si="469"/>
        <v>-73425566.435371935</v>
      </c>
      <c r="Y718" s="149">
        <f t="shared" si="469"/>
        <v>-73433153.11694333</v>
      </c>
      <c r="Z718" s="149">
        <f t="shared" si="469"/>
        <v>-73432883.143676758</v>
      </c>
      <c r="AA718" s="149">
        <f t="shared" si="469"/>
        <v>-73430309.466886103</v>
      </c>
      <c r="AB718" s="149">
        <f t="shared" si="469"/>
        <v>-73428633.460992068</v>
      </c>
      <c r="AC718" s="149">
        <f t="shared" si="469"/>
        <v>-73424768.162770629</v>
      </c>
      <c r="AD718" s="149">
        <f t="shared" si="469"/>
        <v>-73421824.343392253</v>
      </c>
      <c r="AE718" s="149">
        <f t="shared" si="469"/>
        <v>-73417070.394676238</v>
      </c>
      <c r="AF718" s="149">
        <f t="shared" si="469"/>
        <v>-73413848.947603554</v>
      </c>
      <c r="AG718" s="149">
        <f t="shared" si="469"/>
        <v>-73409652.599768877</v>
      </c>
    </row>
    <row r="719" spans="1:33" ht="14.25" customHeight="1" x14ac:dyDescent="0.35">
      <c r="A719" s="21"/>
      <c r="B719" s="28"/>
      <c r="C719" s="21"/>
      <c r="D719" s="21" t="s">
        <v>4173</v>
      </c>
      <c r="E719" s="175"/>
      <c r="F719" s="21"/>
      <c r="G719" s="21"/>
      <c r="H719" s="21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</row>
    <row r="720" spans="1:33" ht="14.25" customHeight="1" x14ac:dyDescent="0.35">
      <c r="A720" s="21"/>
      <c r="B720" s="28"/>
      <c r="C720" s="21"/>
      <c r="D720" s="21"/>
      <c r="E720" s="175" t="s">
        <v>4174</v>
      </c>
      <c r="F720" s="21"/>
      <c r="G720" s="21"/>
      <c r="H720" s="21"/>
      <c r="I720" s="22"/>
      <c r="J720" s="148">
        <f t="shared" ref="J720:AG720" si="470">SUM(J709,J711:J712,J714:J715,J717:J718)</f>
        <v>132008019.27789286</v>
      </c>
      <c r="K720" s="148">
        <f t="shared" si="470"/>
        <v>88083959.867732704</v>
      </c>
      <c r="L720" s="148">
        <f t="shared" si="470"/>
        <v>44795944.064872921</v>
      </c>
      <c r="M720" s="148">
        <f t="shared" si="470"/>
        <v>253584675.92699027</v>
      </c>
      <c r="N720" s="148">
        <f t="shared" si="470"/>
        <v>204313679.65678939</v>
      </c>
      <c r="O720" s="148">
        <f t="shared" si="470"/>
        <v>570042260.84642541</v>
      </c>
      <c r="P720" s="148">
        <f t="shared" si="470"/>
        <v>325142231.56299251</v>
      </c>
      <c r="Q720" s="148">
        <f t="shared" si="470"/>
        <v>458971333.32558805</v>
      </c>
      <c r="R720" s="149">
        <f t="shared" si="470"/>
        <v>210452228.44684818</v>
      </c>
      <c r="S720" s="149">
        <f t="shared" si="470"/>
        <v>216064042.11846894</v>
      </c>
      <c r="T720" s="149">
        <f t="shared" si="470"/>
        <v>218905836.16679502</v>
      </c>
      <c r="U720" s="149">
        <f t="shared" si="470"/>
        <v>220166822.94625568</v>
      </c>
      <c r="V720" s="149">
        <f t="shared" si="470"/>
        <v>220673677.14570007</v>
      </c>
      <c r="W720" s="149">
        <f t="shared" si="470"/>
        <v>220866133.8929598</v>
      </c>
      <c r="X720" s="149">
        <f t="shared" si="470"/>
        <v>220933828.72781724</v>
      </c>
      <c r="Y720" s="149">
        <f t="shared" si="470"/>
        <v>220956656.6702939</v>
      </c>
      <c r="Z720" s="149">
        <f t="shared" si="470"/>
        <v>220955844.33434165</v>
      </c>
      <c r="AA720" s="149">
        <f t="shared" si="470"/>
        <v>220948100.27059287</v>
      </c>
      <c r="AB720" s="149">
        <f t="shared" si="470"/>
        <v>220943057.25332901</v>
      </c>
      <c r="AC720" s="149">
        <f t="shared" si="470"/>
        <v>220931426.76579303</v>
      </c>
      <c r="AD720" s="149">
        <f t="shared" si="470"/>
        <v>220922568.96165311</v>
      </c>
      <c r="AE720" s="149">
        <f t="shared" si="470"/>
        <v>220908264.56956753</v>
      </c>
      <c r="AF720" s="149">
        <f t="shared" si="470"/>
        <v>220898571.39768794</v>
      </c>
      <c r="AG720" s="149">
        <f t="shared" si="470"/>
        <v>220885944.79855102</v>
      </c>
    </row>
    <row r="721" spans="1:33" ht="14.25" customHeight="1" x14ac:dyDescent="0.35">
      <c r="A721" s="21"/>
      <c r="B721" s="28"/>
      <c r="C721" s="21"/>
      <c r="D721" s="21"/>
      <c r="E721" s="175" t="s">
        <v>4175</v>
      </c>
      <c r="F721" s="21"/>
      <c r="G721" s="21"/>
      <c r="H721" s="21"/>
      <c r="I721" s="22"/>
      <c r="J721" s="184">
        <f t="shared" ref="J721:AG721" si="471">-J691</f>
        <v>0</v>
      </c>
      <c r="K721" s="184">
        <f t="shared" si="471"/>
        <v>0</v>
      </c>
      <c r="L721" s="184">
        <f t="shared" si="471"/>
        <v>0</v>
      </c>
      <c r="M721" s="184">
        <f t="shared" si="471"/>
        <v>0</v>
      </c>
      <c r="N721" s="184">
        <f t="shared" si="471"/>
        <v>0</v>
      </c>
      <c r="O721" s="184">
        <f t="shared" si="471"/>
        <v>0</v>
      </c>
      <c r="P721" s="184">
        <f t="shared" si="471"/>
        <v>0</v>
      </c>
      <c r="Q721" s="184">
        <f t="shared" si="471"/>
        <v>0</v>
      </c>
      <c r="R721" s="185">
        <f t="shared" si="471"/>
        <v>2148105.8415520978</v>
      </c>
      <c r="S721" s="185">
        <f t="shared" si="471"/>
        <v>2201303.8675382985</v>
      </c>
      <c r="T721" s="185">
        <f t="shared" si="471"/>
        <v>2220709.9330785666</v>
      </c>
      <c r="U721" s="185">
        <f t="shared" si="471"/>
        <v>2228140.4209810649</v>
      </c>
      <c r="V721" s="185">
        <f t="shared" si="471"/>
        <v>2230728.5457457365</v>
      </c>
      <c r="W721" s="185">
        <f t="shared" si="471"/>
        <v>2231617.1245685723</v>
      </c>
      <c r="X721" s="185">
        <f t="shared" si="471"/>
        <v>2231882.0864368458</v>
      </c>
      <c r="Y721" s="185">
        <f t="shared" si="471"/>
        <v>2231962.0540592456</v>
      </c>
      <c r="Z721" s="185">
        <f t="shared" si="471"/>
        <v>2231874.4884957075</v>
      </c>
      <c r="AA721" s="185">
        <f t="shared" si="471"/>
        <v>2231772.9958969923</v>
      </c>
      <c r="AB721" s="185">
        <f t="shared" si="471"/>
        <v>2231731.1237114645</v>
      </c>
      <c r="AC721" s="185">
        <f t="shared" si="471"/>
        <v>2231591.5299754711</v>
      </c>
      <c r="AD721" s="185">
        <f t="shared" si="471"/>
        <v>2231511.365073483</v>
      </c>
      <c r="AE721" s="185">
        <f t="shared" si="471"/>
        <v>2231348.592129813</v>
      </c>
      <c r="AF721" s="185">
        <f t="shared" si="471"/>
        <v>2231266.161117326</v>
      </c>
      <c r="AG721" s="185">
        <f t="shared" si="471"/>
        <v>2231128.7722294577</v>
      </c>
    </row>
    <row r="722" spans="1:33" ht="14.25" customHeight="1" x14ac:dyDescent="0.35">
      <c r="A722" s="21"/>
      <c r="B722" s="28"/>
      <c r="C722" s="21"/>
      <c r="D722" s="21"/>
      <c r="E722" s="175" t="s">
        <v>4176</v>
      </c>
      <c r="F722" s="21"/>
      <c r="G722" s="21"/>
      <c r="H722" s="21"/>
      <c r="I722" s="22"/>
      <c r="J722" s="186">
        <f t="shared" ref="J722:AG722" si="472">SUM(J720:J721)</f>
        <v>132008019.27789286</v>
      </c>
      <c r="K722" s="186">
        <f t="shared" si="472"/>
        <v>88083959.867732704</v>
      </c>
      <c r="L722" s="186">
        <f t="shared" si="472"/>
        <v>44795944.064872921</v>
      </c>
      <c r="M722" s="186">
        <f t="shared" si="472"/>
        <v>253584675.92699027</v>
      </c>
      <c r="N722" s="186">
        <f t="shared" si="472"/>
        <v>204313679.65678939</v>
      </c>
      <c r="O722" s="186">
        <f t="shared" si="472"/>
        <v>570042260.84642541</v>
      </c>
      <c r="P722" s="186">
        <f t="shared" si="472"/>
        <v>325142231.56299251</v>
      </c>
      <c r="Q722" s="186">
        <f t="shared" si="472"/>
        <v>458971333.32558805</v>
      </c>
      <c r="R722" s="187">
        <f t="shared" si="472"/>
        <v>212600334.28840029</v>
      </c>
      <c r="S722" s="187">
        <f t="shared" si="472"/>
        <v>218265345.98600724</v>
      </c>
      <c r="T722" s="187">
        <f t="shared" si="472"/>
        <v>221126546.09987357</v>
      </c>
      <c r="U722" s="187">
        <f t="shared" si="472"/>
        <v>222394963.36723676</v>
      </c>
      <c r="V722" s="187">
        <f t="shared" si="472"/>
        <v>222904405.6914458</v>
      </c>
      <c r="W722" s="187">
        <f t="shared" si="472"/>
        <v>223097751.01752838</v>
      </c>
      <c r="X722" s="187">
        <f t="shared" si="472"/>
        <v>223165710.81425408</v>
      </c>
      <c r="Y722" s="187">
        <f t="shared" si="472"/>
        <v>223188618.72435313</v>
      </c>
      <c r="Z722" s="187">
        <f t="shared" si="472"/>
        <v>223187718.82283735</v>
      </c>
      <c r="AA722" s="187">
        <f t="shared" si="472"/>
        <v>223179873.26648986</v>
      </c>
      <c r="AB722" s="187">
        <f t="shared" si="472"/>
        <v>223174788.37704048</v>
      </c>
      <c r="AC722" s="187">
        <f t="shared" si="472"/>
        <v>223163018.2957685</v>
      </c>
      <c r="AD722" s="187">
        <f t="shared" si="472"/>
        <v>223154080.32672659</v>
      </c>
      <c r="AE722" s="187">
        <f t="shared" si="472"/>
        <v>223139613.16169736</v>
      </c>
      <c r="AF722" s="187">
        <f t="shared" si="472"/>
        <v>223129837.55880526</v>
      </c>
      <c r="AG722" s="187">
        <f t="shared" si="472"/>
        <v>223117073.57078049</v>
      </c>
    </row>
    <row r="723" spans="1:33" ht="14.25" customHeight="1" x14ac:dyDescent="0.35">
      <c r="A723" s="21"/>
      <c r="B723" s="28"/>
      <c r="C723" s="21"/>
      <c r="D723" s="21" t="s">
        <v>4177</v>
      </c>
      <c r="E723" s="175"/>
      <c r="F723" s="21"/>
      <c r="G723" s="21"/>
      <c r="H723" s="21"/>
      <c r="I723" s="22"/>
      <c r="J723" s="22"/>
      <c r="K723" s="22"/>
      <c r="L723" s="22"/>
      <c r="M723" s="22"/>
      <c r="N723" s="22"/>
      <c r="O723" s="22"/>
      <c r="P723" s="22"/>
      <c r="Q723" s="22"/>
      <c r="R723" s="183">
        <f t="shared" ref="R723:AG723" si="473">R722/SUM(R669,R671)</f>
        <v>32948.392446073311</v>
      </c>
      <c r="S723" s="183">
        <f t="shared" si="473"/>
        <v>33826.345104281019</v>
      </c>
      <c r="T723" s="183">
        <f t="shared" si="473"/>
        <v>34269.768415603452</v>
      </c>
      <c r="U723" s="183">
        <f t="shared" si="473"/>
        <v>34466.345293294362</v>
      </c>
      <c r="V723" s="183">
        <f t="shared" si="473"/>
        <v>34545.297688561572</v>
      </c>
      <c r="W723" s="183">
        <f t="shared" si="473"/>
        <v>34575.261976730289</v>
      </c>
      <c r="X723" s="183">
        <f t="shared" si="473"/>
        <v>34585.794255809567</v>
      </c>
      <c r="Y723" s="183">
        <f t="shared" si="473"/>
        <v>34589.344479823041</v>
      </c>
      <c r="Z723" s="183">
        <f t="shared" si="473"/>
        <v>34589.205014810424</v>
      </c>
      <c r="AA723" s="183">
        <f t="shared" si="473"/>
        <v>34587.9891255205</v>
      </c>
      <c r="AB723" s="183">
        <f t="shared" si="473"/>
        <v>34587.201079096754</v>
      </c>
      <c r="AC723" s="183">
        <f t="shared" si="473"/>
        <v>34585.376974453793</v>
      </c>
      <c r="AD723" s="183">
        <f t="shared" si="473"/>
        <v>34583.991785137652</v>
      </c>
      <c r="AE723" s="183">
        <f t="shared" si="473"/>
        <v>34581.749691621852</v>
      </c>
      <c r="AF723" s="183">
        <f t="shared" si="473"/>
        <v>34580.234687416596</v>
      </c>
      <c r="AG723" s="183">
        <f t="shared" si="473"/>
        <v>34578.2565490095</v>
      </c>
    </row>
    <row r="724" spans="1:33" ht="14.25" customHeight="1" x14ac:dyDescent="0.35">
      <c r="A724" s="21"/>
      <c r="B724" s="28"/>
      <c r="C724" s="21"/>
      <c r="D724" s="21" t="s">
        <v>4178</v>
      </c>
      <c r="E724" s="175"/>
      <c r="F724" s="21"/>
      <c r="G724" s="21"/>
      <c r="H724" s="21"/>
      <c r="I724" s="22"/>
      <c r="J724" s="22"/>
      <c r="K724" s="22"/>
      <c r="L724" s="22"/>
      <c r="M724" s="22"/>
      <c r="N724" s="22"/>
      <c r="O724" s="22"/>
      <c r="P724" s="22"/>
      <c r="Q724" s="22"/>
      <c r="R724" s="188" t="b">
        <f t="shared" ref="R724:AG724" si="474">R723=R667</f>
        <v>0</v>
      </c>
      <c r="S724" s="188" t="b">
        <f t="shared" si="474"/>
        <v>0</v>
      </c>
      <c r="T724" s="188" t="b">
        <f t="shared" si="474"/>
        <v>0</v>
      </c>
      <c r="U724" s="188" t="b">
        <f t="shared" si="474"/>
        <v>0</v>
      </c>
      <c r="V724" s="188" t="b">
        <f t="shared" si="474"/>
        <v>0</v>
      </c>
      <c r="W724" s="188" t="b">
        <f t="shared" si="474"/>
        <v>0</v>
      </c>
      <c r="X724" s="188" t="b">
        <f t="shared" si="474"/>
        <v>0</v>
      </c>
      <c r="Y724" s="188" t="b">
        <f t="shared" si="474"/>
        <v>0</v>
      </c>
      <c r="Z724" s="188" t="b">
        <f t="shared" si="474"/>
        <v>0</v>
      </c>
      <c r="AA724" s="188" t="b">
        <f t="shared" si="474"/>
        <v>0</v>
      </c>
      <c r="AB724" s="188" t="b">
        <f t="shared" si="474"/>
        <v>0</v>
      </c>
      <c r="AC724" s="188" t="b">
        <f t="shared" si="474"/>
        <v>0</v>
      </c>
      <c r="AD724" s="188" t="b">
        <f t="shared" si="474"/>
        <v>0</v>
      </c>
      <c r="AE724" s="188" t="b">
        <f t="shared" si="474"/>
        <v>0</v>
      </c>
      <c r="AF724" s="188" t="b">
        <f t="shared" si="474"/>
        <v>0</v>
      </c>
      <c r="AG724" s="188" t="b">
        <f t="shared" si="474"/>
        <v>0</v>
      </c>
    </row>
    <row r="725" spans="1:33" ht="14.25" customHeight="1" x14ac:dyDescent="0.35">
      <c r="A725" s="21"/>
      <c r="B725" s="21"/>
      <c r="C725" s="21" t="s">
        <v>4207</v>
      </c>
      <c r="D725" s="128"/>
      <c r="E725" s="128"/>
      <c r="F725" s="21"/>
      <c r="G725" s="21"/>
      <c r="H725" s="21"/>
      <c r="I725" s="22"/>
      <c r="J725" s="148"/>
      <c r="K725" s="148"/>
      <c r="L725" s="148"/>
      <c r="M725" s="148"/>
      <c r="N725" s="148"/>
      <c r="O725" s="148"/>
      <c r="P725" s="148"/>
      <c r="Q725" s="148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</row>
    <row r="726" spans="1:33" ht="14.25" customHeight="1" x14ac:dyDescent="0.35">
      <c r="A726" s="21"/>
      <c r="B726" s="21"/>
      <c r="C726" s="21"/>
      <c r="D726" s="128" t="s">
        <v>4208</v>
      </c>
      <c r="E726" s="128"/>
      <c r="F726" s="21"/>
      <c r="G726" s="21"/>
      <c r="H726" s="21"/>
      <c r="I726" s="22" t="s">
        <v>3900</v>
      </c>
      <c r="J726" s="191"/>
      <c r="K726" s="191"/>
      <c r="L726" s="191"/>
      <c r="M726" s="191"/>
      <c r="N726" s="191"/>
      <c r="O726" s="191"/>
      <c r="P726" s="191"/>
      <c r="Q726" s="191"/>
      <c r="R726" s="140">
        <f>'Data Aktual'!$P$197+'Data Aktual'!$P$199</f>
        <v>2123</v>
      </c>
      <c r="S726" s="140">
        <f t="shared" ref="S726:AG726" si="475">R729</f>
        <v>2123</v>
      </c>
      <c r="T726" s="140">
        <f t="shared" si="475"/>
        <v>2123</v>
      </c>
      <c r="U726" s="140">
        <f t="shared" si="475"/>
        <v>2123</v>
      </c>
      <c r="V726" s="140">
        <f t="shared" si="475"/>
        <v>2123</v>
      </c>
      <c r="W726" s="140">
        <f t="shared" si="475"/>
        <v>2123</v>
      </c>
      <c r="X726" s="140">
        <f t="shared" si="475"/>
        <v>2123</v>
      </c>
      <c r="Y726" s="140">
        <f t="shared" si="475"/>
        <v>2123</v>
      </c>
      <c r="Z726" s="140">
        <f t="shared" si="475"/>
        <v>2123</v>
      </c>
      <c r="AA726" s="140">
        <f t="shared" si="475"/>
        <v>2123</v>
      </c>
      <c r="AB726" s="140">
        <f t="shared" si="475"/>
        <v>2123</v>
      </c>
      <c r="AC726" s="140">
        <f t="shared" si="475"/>
        <v>2123</v>
      </c>
      <c r="AD726" s="140">
        <f t="shared" si="475"/>
        <v>2123</v>
      </c>
      <c r="AE726" s="140">
        <f t="shared" si="475"/>
        <v>2123</v>
      </c>
      <c r="AF726" s="140">
        <f t="shared" si="475"/>
        <v>2123</v>
      </c>
      <c r="AG726" s="140">
        <f t="shared" si="475"/>
        <v>2123</v>
      </c>
    </row>
    <row r="727" spans="1:33" ht="14.25" customHeight="1" x14ac:dyDescent="0.35">
      <c r="A727" s="21"/>
      <c r="B727" s="21"/>
      <c r="C727" s="21"/>
      <c r="D727" s="128" t="s">
        <v>4209</v>
      </c>
      <c r="E727" s="128"/>
      <c r="F727" s="21"/>
      <c r="G727" s="21"/>
      <c r="H727" s="21"/>
      <c r="I727" s="22" t="s">
        <v>3900</v>
      </c>
      <c r="J727" s="191"/>
      <c r="K727" s="191"/>
      <c r="L727" s="191"/>
      <c r="M727" s="191"/>
      <c r="N727" s="191"/>
      <c r="O727" s="191"/>
      <c r="P727" s="191"/>
      <c r="Q727" s="191"/>
      <c r="R727" s="140">
        <f t="shared" ref="R727:AG727" si="476">R578</f>
        <v>6388</v>
      </c>
      <c r="S727" s="140">
        <f t="shared" si="476"/>
        <v>6388</v>
      </c>
      <c r="T727" s="140">
        <f t="shared" si="476"/>
        <v>6388</v>
      </c>
      <c r="U727" s="140">
        <f t="shared" si="476"/>
        <v>6388</v>
      </c>
      <c r="V727" s="140">
        <f t="shared" si="476"/>
        <v>6388</v>
      </c>
      <c r="W727" s="140">
        <f t="shared" si="476"/>
        <v>6388</v>
      </c>
      <c r="X727" s="140">
        <f t="shared" si="476"/>
        <v>6388</v>
      </c>
      <c r="Y727" s="140">
        <f t="shared" si="476"/>
        <v>6388</v>
      </c>
      <c r="Z727" s="140">
        <f t="shared" si="476"/>
        <v>6388</v>
      </c>
      <c r="AA727" s="140">
        <f t="shared" si="476"/>
        <v>6388</v>
      </c>
      <c r="AB727" s="140">
        <f t="shared" si="476"/>
        <v>6388</v>
      </c>
      <c r="AC727" s="140">
        <f t="shared" si="476"/>
        <v>6388</v>
      </c>
      <c r="AD727" s="140">
        <f t="shared" si="476"/>
        <v>6388</v>
      </c>
      <c r="AE727" s="140">
        <f t="shared" si="476"/>
        <v>6388</v>
      </c>
      <c r="AF727" s="140">
        <f t="shared" si="476"/>
        <v>6388</v>
      </c>
      <c r="AG727" s="140">
        <f t="shared" si="476"/>
        <v>6388</v>
      </c>
    </row>
    <row r="728" spans="1:33" ht="14.25" customHeight="1" x14ac:dyDescent="0.35">
      <c r="A728" s="21"/>
      <c r="B728" s="21"/>
      <c r="C728" s="21"/>
      <c r="D728" s="128" t="s">
        <v>4210</v>
      </c>
      <c r="E728" s="128"/>
      <c r="F728" s="21"/>
      <c r="G728" s="21"/>
      <c r="H728" s="21"/>
      <c r="I728" s="22" t="s">
        <v>3900</v>
      </c>
      <c r="J728" s="191"/>
      <c r="K728" s="191"/>
      <c r="L728" s="191"/>
      <c r="M728" s="191"/>
      <c r="N728" s="191"/>
      <c r="O728" s="191"/>
      <c r="P728" s="191"/>
      <c r="Q728" s="191"/>
      <c r="R728" s="140">
        <f>'Input Operasional'!Q10</f>
        <v>6388</v>
      </c>
      <c r="S728" s="140">
        <f>'Input Operasional'!R10</f>
        <v>6388</v>
      </c>
      <c r="T728" s="140">
        <f>'Input Operasional'!S10</f>
        <v>6388</v>
      </c>
      <c r="U728" s="140">
        <f>'Input Operasional'!T10</f>
        <v>6388</v>
      </c>
      <c r="V728" s="140">
        <f>'Input Operasional'!U10</f>
        <v>6388</v>
      </c>
      <c r="W728" s="140">
        <f>'Input Operasional'!V10</f>
        <v>6388</v>
      </c>
      <c r="X728" s="140">
        <f>'Input Operasional'!W10</f>
        <v>6388</v>
      </c>
      <c r="Y728" s="140">
        <f>'Input Operasional'!X10</f>
        <v>6388</v>
      </c>
      <c r="Z728" s="140">
        <f>'Input Operasional'!Y10</f>
        <v>6388</v>
      </c>
      <c r="AA728" s="140">
        <f>'Input Operasional'!Z10</f>
        <v>6388</v>
      </c>
      <c r="AB728" s="140">
        <f>'Input Operasional'!AA10</f>
        <v>6388</v>
      </c>
      <c r="AC728" s="140">
        <f>'Input Operasional'!AB10</f>
        <v>6388</v>
      </c>
      <c r="AD728" s="140">
        <f>'Input Operasional'!AC10</f>
        <v>6388</v>
      </c>
      <c r="AE728" s="140">
        <f>'Input Operasional'!AD10</f>
        <v>6388</v>
      </c>
      <c r="AF728" s="140">
        <f>'Input Operasional'!AE10</f>
        <v>6388</v>
      </c>
      <c r="AG728" s="140">
        <f>'Input Operasional'!AF10</f>
        <v>6388</v>
      </c>
    </row>
    <row r="729" spans="1:33" ht="14.25" customHeight="1" x14ac:dyDescent="0.35">
      <c r="A729" s="21"/>
      <c r="B729" s="21"/>
      <c r="C729" s="21"/>
      <c r="D729" s="128" t="s">
        <v>4211</v>
      </c>
      <c r="E729" s="128"/>
      <c r="F729" s="21"/>
      <c r="G729" s="21"/>
      <c r="H729" s="21"/>
      <c r="I729" s="22" t="s">
        <v>3900</v>
      </c>
      <c r="J729" s="191"/>
      <c r="K729" s="191"/>
      <c r="L729" s="191"/>
      <c r="M729" s="191"/>
      <c r="N729" s="191"/>
      <c r="O729" s="191"/>
      <c r="P729" s="191"/>
      <c r="Q729" s="191"/>
      <c r="R729" s="140">
        <f t="shared" ref="R729:AG729" si="477">R726+R727-R728</f>
        <v>2123</v>
      </c>
      <c r="S729" s="140">
        <f t="shared" si="477"/>
        <v>2123</v>
      </c>
      <c r="T729" s="140">
        <f t="shared" si="477"/>
        <v>2123</v>
      </c>
      <c r="U729" s="140">
        <f t="shared" si="477"/>
        <v>2123</v>
      </c>
      <c r="V729" s="140">
        <f t="shared" si="477"/>
        <v>2123</v>
      </c>
      <c r="W729" s="140">
        <f t="shared" si="477"/>
        <v>2123</v>
      </c>
      <c r="X729" s="140">
        <f t="shared" si="477"/>
        <v>2123</v>
      </c>
      <c r="Y729" s="140">
        <f t="shared" si="477"/>
        <v>2123</v>
      </c>
      <c r="Z729" s="140">
        <f t="shared" si="477"/>
        <v>2123</v>
      </c>
      <c r="AA729" s="140">
        <f t="shared" si="477"/>
        <v>2123</v>
      </c>
      <c r="AB729" s="140">
        <f t="shared" si="477"/>
        <v>2123</v>
      </c>
      <c r="AC729" s="140">
        <f t="shared" si="477"/>
        <v>2123</v>
      </c>
      <c r="AD729" s="140">
        <f t="shared" si="477"/>
        <v>2123</v>
      </c>
      <c r="AE729" s="140">
        <f t="shared" si="477"/>
        <v>2123</v>
      </c>
      <c r="AF729" s="140">
        <f t="shared" si="477"/>
        <v>2123</v>
      </c>
      <c r="AG729" s="140">
        <f t="shared" si="477"/>
        <v>2123</v>
      </c>
    </row>
    <row r="730" spans="1:33" ht="14.25" customHeight="1" x14ac:dyDescent="0.35">
      <c r="A730" s="21"/>
      <c r="B730" s="21"/>
      <c r="C730" s="21"/>
      <c r="D730" s="128" t="s">
        <v>4212</v>
      </c>
      <c r="E730" s="128"/>
      <c r="F730" s="21"/>
      <c r="G730" s="21"/>
      <c r="H730" s="21"/>
      <c r="I730" s="22" t="s">
        <v>3900</v>
      </c>
      <c r="J730" s="191"/>
      <c r="K730" s="191"/>
      <c r="L730" s="191"/>
      <c r="M730" s="191"/>
      <c r="N730" s="191"/>
      <c r="O730" s="191"/>
      <c r="P730" s="191"/>
      <c r="Q730" s="191"/>
      <c r="R730" s="140">
        <f t="shared" ref="R730:AG730" si="478">MIN(0,R729)</f>
        <v>0</v>
      </c>
      <c r="S730" s="140">
        <f t="shared" si="478"/>
        <v>0</v>
      </c>
      <c r="T730" s="140">
        <f t="shared" si="478"/>
        <v>0</v>
      </c>
      <c r="U730" s="140">
        <f t="shared" si="478"/>
        <v>0</v>
      </c>
      <c r="V730" s="140">
        <f t="shared" si="478"/>
        <v>0</v>
      </c>
      <c r="W730" s="140">
        <f t="shared" si="478"/>
        <v>0</v>
      </c>
      <c r="X730" s="140">
        <f t="shared" si="478"/>
        <v>0</v>
      </c>
      <c r="Y730" s="140">
        <f t="shared" si="478"/>
        <v>0</v>
      </c>
      <c r="Z730" s="140">
        <f t="shared" si="478"/>
        <v>0</v>
      </c>
      <c r="AA730" s="140">
        <f t="shared" si="478"/>
        <v>0</v>
      </c>
      <c r="AB730" s="140">
        <f t="shared" si="478"/>
        <v>0</v>
      </c>
      <c r="AC730" s="140">
        <f t="shared" si="478"/>
        <v>0</v>
      </c>
      <c r="AD730" s="140">
        <f t="shared" si="478"/>
        <v>0</v>
      </c>
      <c r="AE730" s="140">
        <f t="shared" si="478"/>
        <v>0</v>
      </c>
      <c r="AF730" s="140">
        <f t="shared" si="478"/>
        <v>0</v>
      </c>
      <c r="AG730" s="140">
        <f t="shared" si="478"/>
        <v>0</v>
      </c>
    </row>
    <row r="731" spans="1:33" ht="14.25" customHeight="1" x14ac:dyDescent="0.35">
      <c r="A731" s="21"/>
      <c r="B731" s="21"/>
      <c r="C731" s="21"/>
      <c r="D731" s="128" t="s">
        <v>4213</v>
      </c>
      <c r="E731" s="128"/>
      <c r="F731" s="21"/>
      <c r="G731" s="21"/>
      <c r="H731" s="21"/>
      <c r="I731" s="22" t="s">
        <v>4214</v>
      </c>
      <c r="J731" s="192"/>
      <c r="K731" s="192"/>
      <c r="L731" s="192"/>
      <c r="M731" s="192"/>
      <c r="N731" s="192"/>
      <c r="O731" s="192"/>
      <c r="P731" s="192"/>
      <c r="Q731" s="192"/>
      <c r="R731" s="193">
        <v>0.33234189104571071</v>
      </c>
      <c r="S731" s="193">
        <v>0.33234189104571071</v>
      </c>
      <c r="T731" s="193">
        <v>0.33234189104571071</v>
      </c>
      <c r="U731" s="193">
        <v>0.33234189104571071</v>
      </c>
      <c r="V731" s="193">
        <v>0.33234189104571071</v>
      </c>
      <c r="W731" s="193">
        <v>0.33234189104571071</v>
      </c>
      <c r="X731" s="193">
        <v>0.33234189104571071</v>
      </c>
      <c r="Y731" s="193">
        <v>0.33234189104571071</v>
      </c>
      <c r="Z731" s="193">
        <v>0.33234189104571071</v>
      </c>
      <c r="AA731" s="193">
        <v>0.33234189104571071</v>
      </c>
      <c r="AB731" s="193">
        <v>0.33234189104571071</v>
      </c>
      <c r="AC731" s="193">
        <v>0.33234189104571071</v>
      </c>
      <c r="AD731" s="193">
        <v>0.33234189104571071</v>
      </c>
      <c r="AE731" s="193">
        <v>0.33234189104571071</v>
      </c>
      <c r="AF731" s="193">
        <v>0.33234189104571071</v>
      </c>
      <c r="AG731" s="193">
        <v>0.33234189104571071</v>
      </c>
    </row>
    <row r="732" spans="1:33" ht="14.25" customHeight="1" x14ac:dyDescent="0.35">
      <c r="A732" s="119">
        <v>8</v>
      </c>
      <c r="B732" s="119" t="s">
        <v>22</v>
      </c>
      <c r="C732" s="119"/>
      <c r="D732" s="119"/>
      <c r="E732" s="119"/>
      <c r="F732" s="119"/>
      <c r="G732" s="119"/>
      <c r="H732" s="119"/>
      <c r="I732" s="120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</row>
    <row r="733" spans="1:33" ht="14.25" customHeight="1" x14ac:dyDescent="0.35">
      <c r="A733" s="21"/>
      <c r="B733" s="134" t="s">
        <v>4215</v>
      </c>
      <c r="C733" s="28" t="s">
        <v>4088</v>
      </c>
      <c r="D733" s="28"/>
      <c r="E733" s="28"/>
      <c r="F733" s="28"/>
      <c r="G733" s="28"/>
      <c r="H733" s="21"/>
      <c r="I733" s="22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</row>
    <row r="734" spans="1:33" ht="14.25" customHeight="1" x14ac:dyDescent="0.35">
      <c r="A734" s="21"/>
      <c r="B734" s="21"/>
      <c r="C734" s="21" t="s">
        <v>4216</v>
      </c>
      <c r="D734" s="128" t="s">
        <v>4217</v>
      </c>
      <c r="E734" s="128"/>
      <c r="F734" s="21"/>
      <c r="G734" s="21"/>
      <c r="H734" s="21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</row>
    <row r="735" spans="1:33" ht="14.25" customHeight="1" x14ac:dyDescent="0.35">
      <c r="A735" s="21"/>
      <c r="B735" s="21"/>
      <c r="C735" s="128"/>
      <c r="D735" s="128" t="s">
        <v>4091</v>
      </c>
      <c r="E735" s="128"/>
      <c r="F735" s="21"/>
      <c r="G735" s="21"/>
      <c r="H735" s="21"/>
      <c r="I735" s="22" t="s">
        <v>13</v>
      </c>
      <c r="J735" s="142">
        <f>'Input Operasional'!I37</f>
        <v>1</v>
      </c>
      <c r="K735" s="142">
        <f>'Input Operasional'!J37</f>
        <v>1</v>
      </c>
      <c r="L735" s="142">
        <f>'Input Operasional'!K37</f>
        <v>1</v>
      </c>
      <c r="M735" s="142">
        <f>'Input Operasional'!L37</f>
        <v>1</v>
      </c>
      <c r="N735" s="142">
        <f>'Input Operasional'!M37</f>
        <v>1</v>
      </c>
      <c r="O735" s="142">
        <f>'Input Operasional'!N37</f>
        <v>1</v>
      </c>
      <c r="P735" s="142">
        <f>'Input Operasional'!O37</f>
        <v>1</v>
      </c>
      <c r="Q735" s="142">
        <f>'Input Operasional'!P37</f>
        <v>1</v>
      </c>
      <c r="R735" s="126">
        <f>'Input Operasional'!Q37</f>
        <v>0.99</v>
      </c>
      <c r="S735" s="126">
        <f>'Input Operasional'!R37</f>
        <v>0.99</v>
      </c>
      <c r="T735" s="126">
        <f>'Input Operasional'!S37</f>
        <v>0.99</v>
      </c>
      <c r="U735" s="126">
        <f>'Input Operasional'!T37</f>
        <v>0.99</v>
      </c>
      <c r="V735" s="126">
        <f>'Input Operasional'!U37</f>
        <v>0.99</v>
      </c>
      <c r="W735" s="126">
        <f>'Input Operasional'!V37</f>
        <v>0.99</v>
      </c>
      <c r="X735" s="126">
        <f>'Input Operasional'!W37</f>
        <v>0.99</v>
      </c>
      <c r="Y735" s="126">
        <f>'Input Operasional'!X37</f>
        <v>0.99</v>
      </c>
      <c r="Z735" s="126">
        <f>'Input Operasional'!Y37</f>
        <v>0.99</v>
      </c>
      <c r="AA735" s="126">
        <f>'Input Operasional'!Z37</f>
        <v>0.99</v>
      </c>
      <c r="AB735" s="126">
        <f>'Input Operasional'!AA37</f>
        <v>0.99</v>
      </c>
      <c r="AC735" s="126">
        <f>'Input Operasional'!AB37</f>
        <v>0.99</v>
      </c>
      <c r="AD735" s="126">
        <f>'Input Operasional'!AC37</f>
        <v>0.99</v>
      </c>
      <c r="AE735" s="126">
        <f>'Input Operasional'!AD37</f>
        <v>0.99</v>
      </c>
      <c r="AF735" s="126">
        <f>'Input Operasional'!AE37</f>
        <v>0.99</v>
      </c>
      <c r="AG735" s="126">
        <f>'Input Operasional'!AF37</f>
        <v>0.99</v>
      </c>
    </row>
    <row r="736" spans="1:33" ht="14.25" customHeight="1" x14ac:dyDescent="0.35">
      <c r="A736" s="21"/>
      <c r="B736" s="21"/>
      <c r="C736" s="128"/>
      <c r="D736" s="128" t="s">
        <v>38</v>
      </c>
      <c r="E736" s="128"/>
      <c r="F736" s="21"/>
      <c r="G736" s="21"/>
      <c r="H736" s="21"/>
      <c r="I736" s="22" t="s">
        <v>13</v>
      </c>
      <c r="J736" s="142">
        <v>0</v>
      </c>
      <c r="K736" s="142">
        <v>0</v>
      </c>
      <c r="L736" s="142">
        <v>0</v>
      </c>
      <c r="M736" s="142">
        <v>0</v>
      </c>
      <c r="N736" s="142">
        <v>0</v>
      </c>
      <c r="O736" s="142">
        <v>0</v>
      </c>
      <c r="P736" s="142">
        <v>0</v>
      </c>
      <c r="Q736" s="142">
        <v>0</v>
      </c>
      <c r="R736" s="126">
        <f>'Input Operasional'!Q38</f>
        <v>0</v>
      </c>
      <c r="S736" s="126">
        <f>'Input Operasional'!R38</f>
        <v>0</v>
      </c>
      <c r="T736" s="126">
        <f>'Input Operasional'!S38</f>
        <v>0</v>
      </c>
      <c r="U736" s="126">
        <f>'Input Operasional'!T38</f>
        <v>0</v>
      </c>
      <c r="V736" s="126">
        <f>'Input Operasional'!U38</f>
        <v>0</v>
      </c>
      <c r="W736" s="126">
        <f>'Input Operasional'!V38</f>
        <v>0</v>
      </c>
      <c r="X736" s="126">
        <f>'Input Operasional'!W38</f>
        <v>0</v>
      </c>
      <c r="Y736" s="126">
        <f>'Input Operasional'!X38</f>
        <v>0</v>
      </c>
      <c r="Z736" s="126">
        <f>'Input Operasional'!Y38</f>
        <v>0</v>
      </c>
      <c r="AA736" s="126">
        <f>'Input Operasional'!Z38</f>
        <v>0</v>
      </c>
      <c r="AB736" s="126">
        <f>'Input Operasional'!AA38</f>
        <v>0</v>
      </c>
      <c r="AC736" s="126">
        <f>'Input Operasional'!AB38</f>
        <v>0</v>
      </c>
      <c r="AD736" s="126">
        <f>'Input Operasional'!AC38</f>
        <v>0</v>
      </c>
      <c r="AE736" s="126">
        <f>'Input Operasional'!AD38</f>
        <v>0</v>
      </c>
      <c r="AF736" s="126">
        <f>'Input Operasional'!AE38</f>
        <v>0</v>
      </c>
      <c r="AG736" s="126">
        <f>'Input Operasional'!AF38</f>
        <v>0</v>
      </c>
    </row>
    <row r="737" spans="1:33" ht="14.25" customHeight="1" x14ac:dyDescent="0.35">
      <c r="A737" s="21"/>
      <c r="B737" s="21"/>
      <c r="C737" s="128"/>
      <c r="D737" s="128" t="s">
        <v>4092</v>
      </c>
      <c r="E737" s="128"/>
      <c r="F737" s="21"/>
      <c r="G737" s="21"/>
      <c r="H737" s="21"/>
      <c r="I737" s="22" t="s">
        <v>13</v>
      </c>
      <c r="J737" s="142">
        <v>0</v>
      </c>
      <c r="K737" s="142">
        <v>0</v>
      </c>
      <c r="L737" s="142">
        <v>0</v>
      </c>
      <c r="M737" s="142">
        <v>0</v>
      </c>
      <c r="N737" s="142">
        <v>0</v>
      </c>
      <c r="O737" s="142">
        <v>0</v>
      </c>
      <c r="P737" s="142">
        <v>0</v>
      </c>
      <c r="Q737" s="142">
        <v>0</v>
      </c>
      <c r="R737" s="126">
        <f>'Input Operasional'!Q39</f>
        <v>0.01</v>
      </c>
      <c r="S737" s="126">
        <f>'Input Operasional'!R39</f>
        <v>0.01</v>
      </c>
      <c r="T737" s="126">
        <f>'Input Operasional'!S39</f>
        <v>0.01</v>
      </c>
      <c r="U737" s="126">
        <f>'Input Operasional'!T39</f>
        <v>0.01</v>
      </c>
      <c r="V737" s="126">
        <f>'Input Operasional'!U39</f>
        <v>0.01</v>
      </c>
      <c r="W737" s="126">
        <f>'Input Operasional'!V39</f>
        <v>0.01</v>
      </c>
      <c r="X737" s="126">
        <f>'Input Operasional'!W39</f>
        <v>0.01</v>
      </c>
      <c r="Y737" s="126">
        <f>'Input Operasional'!X39</f>
        <v>0.01</v>
      </c>
      <c r="Z737" s="126">
        <f>'Input Operasional'!Y39</f>
        <v>0.01</v>
      </c>
      <c r="AA737" s="126">
        <f>'Input Operasional'!Z39</f>
        <v>0.01</v>
      </c>
      <c r="AB737" s="126">
        <f>'Input Operasional'!AA39</f>
        <v>0.01</v>
      </c>
      <c r="AC737" s="126">
        <f>'Input Operasional'!AB39</f>
        <v>0.01</v>
      </c>
      <c r="AD737" s="126">
        <f>'Input Operasional'!AC39</f>
        <v>0.01</v>
      </c>
      <c r="AE737" s="126">
        <f>'Input Operasional'!AD39</f>
        <v>0.01</v>
      </c>
      <c r="AF737" s="126">
        <f>'Input Operasional'!AE39</f>
        <v>0.01</v>
      </c>
      <c r="AG737" s="126">
        <f>'Input Operasional'!AF39</f>
        <v>0.01</v>
      </c>
    </row>
    <row r="738" spans="1:33" ht="14.25" customHeight="1" x14ac:dyDescent="0.35">
      <c r="A738" s="21"/>
      <c r="B738" s="21"/>
      <c r="C738" s="21"/>
      <c r="D738" s="128" t="s">
        <v>4093</v>
      </c>
      <c r="E738" s="128"/>
      <c r="F738" s="21"/>
      <c r="G738" s="21"/>
      <c r="H738" s="21"/>
      <c r="I738" s="22" t="s">
        <v>13</v>
      </c>
      <c r="J738" s="170">
        <f t="shared" ref="J738:Q738" si="479">IF(SUM(J735:J737)=0,0,SUM(J735:J737)-1)</f>
        <v>0</v>
      </c>
      <c r="K738" s="170">
        <f t="shared" si="479"/>
        <v>0</v>
      </c>
      <c r="L738" s="170">
        <f t="shared" si="479"/>
        <v>0</v>
      </c>
      <c r="M738" s="170">
        <f t="shared" si="479"/>
        <v>0</v>
      </c>
      <c r="N738" s="170">
        <f t="shared" si="479"/>
        <v>0</v>
      </c>
      <c r="O738" s="170">
        <f t="shared" si="479"/>
        <v>0</v>
      </c>
      <c r="P738" s="170">
        <f t="shared" si="479"/>
        <v>0</v>
      </c>
      <c r="Q738" s="170">
        <f t="shared" si="479"/>
        <v>0</v>
      </c>
      <c r="R738" s="171">
        <f>'Input Operasional'!Q40</f>
        <v>0</v>
      </c>
      <c r="S738" s="171">
        <f>'Input Operasional'!R40</f>
        <v>0</v>
      </c>
      <c r="T738" s="171">
        <f>'Input Operasional'!S40</f>
        <v>0</v>
      </c>
      <c r="U738" s="171">
        <f>'Input Operasional'!T40</f>
        <v>0</v>
      </c>
      <c r="V738" s="171">
        <f>'Input Operasional'!U40</f>
        <v>0</v>
      </c>
      <c r="W738" s="171">
        <f>'Input Operasional'!V40</f>
        <v>0</v>
      </c>
      <c r="X738" s="171">
        <f>'Input Operasional'!W40</f>
        <v>0</v>
      </c>
      <c r="Y738" s="171">
        <f>'Input Operasional'!X40</f>
        <v>0</v>
      </c>
      <c r="Z738" s="171">
        <f>'Input Operasional'!Y40</f>
        <v>0</v>
      </c>
      <c r="AA738" s="171">
        <f>'Input Operasional'!Z40</f>
        <v>0</v>
      </c>
      <c r="AB738" s="171">
        <f>'Input Operasional'!AA40</f>
        <v>0</v>
      </c>
      <c r="AC738" s="171">
        <f>'Input Operasional'!AB40</f>
        <v>0</v>
      </c>
      <c r="AD738" s="171">
        <f>'Input Operasional'!AC40</f>
        <v>0</v>
      </c>
      <c r="AE738" s="171">
        <f>'Input Operasional'!AD40</f>
        <v>0</v>
      </c>
      <c r="AF738" s="171">
        <f>'Input Operasional'!AE40</f>
        <v>0</v>
      </c>
      <c r="AG738" s="171">
        <f>'Input Operasional'!AF40</f>
        <v>0</v>
      </c>
    </row>
    <row r="739" spans="1:33" ht="14.25" customHeight="1" x14ac:dyDescent="0.35">
      <c r="A739" s="21"/>
      <c r="B739" s="21"/>
      <c r="C739" s="128"/>
      <c r="D739" s="128" t="s">
        <v>4094</v>
      </c>
      <c r="E739" s="128"/>
      <c r="F739" s="21"/>
      <c r="G739" s="21"/>
      <c r="H739" s="21"/>
      <c r="I739" s="22" t="s">
        <v>13</v>
      </c>
      <c r="J739" s="142">
        <f t="shared" ref="J739:AG739" si="480">1-SUM(J735:J738)</f>
        <v>0</v>
      </c>
      <c r="K739" s="142">
        <f t="shared" si="480"/>
        <v>0</v>
      </c>
      <c r="L739" s="142">
        <f t="shared" si="480"/>
        <v>0</v>
      </c>
      <c r="M739" s="142">
        <f t="shared" si="480"/>
        <v>0</v>
      </c>
      <c r="N739" s="142">
        <f t="shared" si="480"/>
        <v>0</v>
      </c>
      <c r="O739" s="142">
        <f t="shared" si="480"/>
        <v>0</v>
      </c>
      <c r="P739" s="142">
        <f t="shared" si="480"/>
        <v>0</v>
      </c>
      <c r="Q739" s="142">
        <f t="shared" si="480"/>
        <v>0</v>
      </c>
      <c r="R739" s="126">
        <f t="shared" si="480"/>
        <v>0</v>
      </c>
      <c r="S739" s="126">
        <f t="shared" si="480"/>
        <v>0</v>
      </c>
      <c r="T739" s="126">
        <f t="shared" si="480"/>
        <v>0</v>
      </c>
      <c r="U739" s="126">
        <f t="shared" si="480"/>
        <v>0</v>
      </c>
      <c r="V739" s="126">
        <f t="shared" si="480"/>
        <v>0</v>
      </c>
      <c r="W739" s="126">
        <f t="shared" si="480"/>
        <v>0</v>
      </c>
      <c r="X739" s="126">
        <f t="shared" si="480"/>
        <v>0</v>
      </c>
      <c r="Y739" s="126">
        <f t="shared" si="480"/>
        <v>0</v>
      </c>
      <c r="Z739" s="126">
        <f t="shared" si="480"/>
        <v>0</v>
      </c>
      <c r="AA739" s="126">
        <f t="shared" si="480"/>
        <v>0</v>
      </c>
      <c r="AB739" s="126">
        <f t="shared" si="480"/>
        <v>0</v>
      </c>
      <c r="AC739" s="126">
        <f t="shared" si="480"/>
        <v>0</v>
      </c>
      <c r="AD739" s="126">
        <f t="shared" si="480"/>
        <v>0</v>
      </c>
      <c r="AE739" s="126">
        <f t="shared" si="480"/>
        <v>0</v>
      </c>
      <c r="AF739" s="126">
        <f t="shared" si="480"/>
        <v>0</v>
      </c>
      <c r="AG739" s="126">
        <f t="shared" si="480"/>
        <v>0</v>
      </c>
    </row>
    <row r="740" spans="1:33" ht="14.25" customHeight="1" x14ac:dyDescent="0.35">
      <c r="A740" s="21"/>
      <c r="B740" s="21"/>
      <c r="C740" s="21" t="s">
        <v>4218</v>
      </c>
      <c r="D740" s="128" t="s">
        <v>4096</v>
      </c>
      <c r="E740" s="21"/>
      <c r="F740" s="21"/>
      <c r="G740" s="21"/>
      <c r="H740" s="21"/>
      <c r="I740" s="22"/>
      <c r="J740" s="21"/>
      <c r="K740" s="21"/>
      <c r="L740" s="21"/>
      <c r="M740" s="21"/>
      <c r="N740" s="21"/>
      <c r="O740" s="21"/>
      <c r="P740" s="60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</row>
    <row r="741" spans="1:33" ht="14.25" customHeight="1" x14ac:dyDescent="0.35">
      <c r="A741" s="21"/>
      <c r="B741" s="21"/>
      <c r="C741" s="21"/>
      <c r="D741" s="128" t="s">
        <v>4219</v>
      </c>
      <c r="E741" s="128"/>
      <c r="F741" s="21"/>
      <c r="G741" s="21"/>
      <c r="H741" s="21"/>
      <c r="I741" s="22" t="s">
        <v>3900</v>
      </c>
      <c r="J741" s="172">
        <f>'Input Operasional'!I46</f>
        <v>0</v>
      </c>
      <c r="K741" s="172">
        <f>'Input Operasional'!J46</f>
        <v>3540.4</v>
      </c>
      <c r="L741" s="172">
        <f>'Input Operasional'!K46</f>
        <v>0</v>
      </c>
      <c r="M741" s="172">
        <f>'Input Operasional'!L46</f>
        <v>5836</v>
      </c>
      <c r="N741" s="172">
        <f>'Input Operasional'!M46</f>
        <v>5335</v>
      </c>
      <c r="O741" s="172">
        <f>'Input Operasional'!N46</f>
        <v>14113</v>
      </c>
      <c r="P741" s="172">
        <f>'Input Operasional'!O46</f>
        <v>8288</v>
      </c>
      <c r="Q741" s="172">
        <f>'Input Operasional'!P46</f>
        <v>7403</v>
      </c>
      <c r="R741" s="140">
        <f>'Input Operasional'!Q46</f>
        <v>5564.4250000000002</v>
      </c>
      <c r="S741" s="140">
        <f>'Input Operasional'!R46</f>
        <v>5564.4250000000002</v>
      </c>
      <c r="T741" s="140">
        <f>'Input Operasional'!S46</f>
        <v>5564.4250000000002</v>
      </c>
      <c r="U741" s="140">
        <f>'Input Operasional'!T46</f>
        <v>5564.4250000000002</v>
      </c>
      <c r="V741" s="140">
        <f>'Input Operasional'!U46</f>
        <v>5564.4250000000002</v>
      </c>
      <c r="W741" s="140">
        <f>'Input Operasional'!V46</f>
        <v>5564.4250000000002</v>
      </c>
      <c r="X741" s="140">
        <f>'Input Operasional'!W46</f>
        <v>5564.4250000000002</v>
      </c>
      <c r="Y741" s="140">
        <f>'Input Operasional'!X46</f>
        <v>5564.4250000000002</v>
      </c>
      <c r="Z741" s="140">
        <f>'Input Operasional'!Y46</f>
        <v>5564.4250000000002</v>
      </c>
      <c r="AA741" s="140">
        <f>'Input Operasional'!Z46</f>
        <v>5564.4250000000002</v>
      </c>
      <c r="AB741" s="140">
        <f>'Input Operasional'!AA46</f>
        <v>5564.4250000000002</v>
      </c>
      <c r="AC741" s="140">
        <f>'Input Operasional'!AB46</f>
        <v>5564.4250000000002</v>
      </c>
      <c r="AD741" s="140">
        <f>'Input Operasional'!AC46</f>
        <v>5564.4250000000002</v>
      </c>
      <c r="AE741" s="140">
        <f>'Input Operasional'!AD46</f>
        <v>5564.4250000000002</v>
      </c>
      <c r="AF741" s="140">
        <f>'Input Operasional'!AE46</f>
        <v>5564.4250000000002</v>
      </c>
      <c r="AG741" s="140">
        <f>'Input Operasional'!AF46</f>
        <v>5564.4250000000002</v>
      </c>
    </row>
    <row r="742" spans="1:33" ht="14.25" customHeight="1" x14ac:dyDescent="0.35">
      <c r="A742" s="21"/>
      <c r="B742" s="21"/>
      <c r="C742" s="21"/>
      <c r="D742" s="128" t="s">
        <v>38</v>
      </c>
      <c r="E742" s="128"/>
      <c r="F742" s="21"/>
      <c r="G742" s="21"/>
      <c r="H742" s="21"/>
      <c r="I742" s="22" t="s">
        <v>3900</v>
      </c>
      <c r="J742" s="172"/>
      <c r="K742" s="172"/>
      <c r="L742" s="172"/>
      <c r="M742" s="172"/>
      <c r="N742" s="172"/>
      <c r="O742" s="172"/>
      <c r="P742" s="172"/>
      <c r="Q742" s="172"/>
      <c r="R742" s="140">
        <v>0</v>
      </c>
      <c r="S742" s="140">
        <v>0</v>
      </c>
      <c r="T742" s="140">
        <v>0</v>
      </c>
      <c r="U742" s="140">
        <v>0</v>
      </c>
      <c r="V742" s="140">
        <v>0</v>
      </c>
      <c r="W742" s="140">
        <v>0</v>
      </c>
      <c r="X742" s="140">
        <v>0</v>
      </c>
      <c r="Y742" s="140">
        <v>0</v>
      </c>
      <c r="Z742" s="140">
        <v>0</v>
      </c>
      <c r="AA742" s="140">
        <v>0</v>
      </c>
      <c r="AB742" s="140">
        <v>0</v>
      </c>
      <c r="AC742" s="140">
        <v>0</v>
      </c>
      <c r="AD742" s="140">
        <v>0</v>
      </c>
      <c r="AE742" s="140">
        <v>0</v>
      </c>
      <c r="AF742" s="140">
        <v>0</v>
      </c>
      <c r="AG742" s="140">
        <v>0</v>
      </c>
    </row>
    <row r="743" spans="1:33" ht="14.25" customHeight="1" x14ac:dyDescent="0.35">
      <c r="A743" s="21"/>
      <c r="B743" s="21"/>
      <c r="C743" s="21"/>
      <c r="D743" s="128" t="s">
        <v>4092</v>
      </c>
      <c r="E743" s="128"/>
      <c r="F743" s="21"/>
      <c r="G743" s="21"/>
      <c r="H743" s="21"/>
      <c r="I743" s="22" t="s">
        <v>3900</v>
      </c>
      <c r="J743" s="172"/>
      <c r="K743" s="172"/>
      <c r="L743" s="172"/>
      <c r="M743" s="172"/>
      <c r="N743" s="172"/>
      <c r="O743" s="172"/>
      <c r="P743" s="172"/>
      <c r="Q743" s="172"/>
      <c r="R743" s="140">
        <f t="shared" ref="R743:AG743" si="481">R741/R735*R737</f>
        <v>56.206313131313138</v>
      </c>
      <c r="S743" s="140">
        <f t="shared" si="481"/>
        <v>56.206313131313138</v>
      </c>
      <c r="T743" s="140">
        <f t="shared" si="481"/>
        <v>56.206313131313138</v>
      </c>
      <c r="U743" s="140">
        <f t="shared" si="481"/>
        <v>56.206313131313138</v>
      </c>
      <c r="V743" s="140">
        <f t="shared" si="481"/>
        <v>56.206313131313138</v>
      </c>
      <c r="W743" s="140">
        <f t="shared" si="481"/>
        <v>56.206313131313138</v>
      </c>
      <c r="X743" s="140">
        <f t="shared" si="481"/>
        <v>56.206313131313138</v>
      </c>
      <c r="Y743" s="140">
        <f t="shared" si="481"/>
        <v>56.206313131313138</v>
      </c>
      <c r="Z743" s="140">
        <f t="shared" si="481"/>
        <v>56.206313131313138</v>
      </c>
      <c r="AA743" s="140">
        <f t="shared" si="481"/>
        <v>56.206313131313138</v>
      </c>
      <c r="AB743" s="140">
        <f t="shared" si="481"/>
        <v>56.206313131313138</v>
      </c>
      <c r="AC743" s="140">
        <f t="shared" si="481"/>
        <v>56.206313131313138</v>
      </c>
      <c r="AD743" s="140">
        <f t="shared" si="481"/>
        <v>56.206313131313138</v>
      </c>
      <c r="AE743" s="140">
        <f t="shared" si="481"/>
        <v>56.206313131313138</v>
      </c>
      <c r="AF743" s="140">
        <f t="shared" si="481"/>
        <v>56.206313131313138</v>
      </c>
      <c r="AG743" s="140">
        <f t="shared" si="481"/>
        <v>56.206313131313138</v>
      </c>
    </row>
    <row r="744" spans="1:33" ht="14.25" customHeight="1" x14ac:dyDescent="0.35">
      <c r="A744" s="21"/>
      <c r="B744" s="21"/>
      <c r="C744" s="21"/>
      <c r="D744" s="128" t="s">
        <v>4098</v>
      </c>
      <c r="E744" s="128"/>
      <c r="F744" s="21"/>
      <c r="G744" s="21"/>
      <c r="H744" s="21"/>
      <c r="I744" s="22" t="s">
        <v>3900</v>
      </c>
      <c r="J744" s="172"/>
      <c r="K744" s="172"/>
      <c r="L744" s="172"/>
      <c r="M744" s="172"/>
      <c r="N744" s="172"/>
      <c r="O744" s="172"/>
      <c r="P744" s="172"/>
      <c r="Q744" s="172"/>
      <c r="R744" s="140">
        <f t="shared" ref="R744:AG744" si="482">R741/R735*R738</f>
        <v>0</v>
      </c>
      <c r="S744" s="140">
        <f t="shared" si="482"/>
        <v>0</v>
      </c>
      <c r="T744" s="140">
        <f t="shared" si="482"/>
        <v>0</v>
      </c>
      <c r="U744" s="140">
        <f t="shared" si="482"/>
        <v>0</v>
      </c>
      <c r="V744" s="140">
        <f t="shared" si="482"/>
        <v>0</v>
      </c>
      <c r="W744" s="140">
        <f t="shared" si="482"/>
        <v>0</v>
      </c>
      <c r="X744" s="140">
        <f t="shared" si="482"/>
        <v>0</v>
      </c>
      <c r="Y744" s="140">
        <f t="shared" si="482"/>
        <v>0</v>
      </c>
      <c r="Z744" s="140">
        <f t="shared" si="482"/>
        <v>0</v>
      </c>
      <c r="AA744" s="140">
        <f t="shared" si="482"/>
        <v>0</v>
      </c>
      <c r="AB744" s="140">
        <f t="shared" si="482"/>
        <v>0</v>
      </c>
      <c r="AC744" s="140">
        <f t="shared" si="482"/>
        <v>0</v>
      </c>
      <c r="AD744" s="140">
        <f t="shared" si="482"/>
        <v>0</v>
      </c>
      <c r="AE744" s="140">
        <f t="shared" si="482"/>
        <v>0</v>
      </c>
      <c r="AF744" s="140">
        <f t="shared" si="482"/>
        <v>0</v>
      </c>
      <c r="AG744" s="140">
        <f t="shared" si="482"/>
        <v>0</v>
      </c>
    </row>
    <row r="745" spans="1:33" ht="14.25" customHeight="1" x14ac:dyDescent="0.35">
      <c r="A745" s="21"/>
      <c r="B745" s="21"/>
      <c r="C745" s="21"/>
      <c r="D745" s="21" t="s">
        <v>4099</v>
      </c>
      <c r="E745" s="21"/>
      <c r="F745" s="21"/>
      <c r="G745" s="21"/>
      <c r="H745" s="21"/>
      <c r="I745" s="22" t="s">
        <v>3900</v>
      </c>
      <c r="J745" s="172">
        <f t="shared" ref="J745:AG745" si="483">SUM(J741:J744)</f>
        <v>0</v>
      </c>
      <c r="K745" s="172">
        <f t="shared" si="483"/>
        <v>3540.4</v>
      </c>
      <c r="L745" s="172">
        <f t="shared" si="483"/>
        <v>0</v>
      </c>
      <c r="M745" s="172">
        <f t="shared" si="483"/>
        <v>5836</v>
      </c>
      <c r="N745" s="172">
        <f t="shared" si="483"/>
        <v>5335</v>
      </c>
      <c r="O745" s="172">
        <f t="shared" si="483"/>
        <v>14113</v>
      </c>
      <c r="P745" s="172">
        <f t="shared" si="483"/>
        <v>8288</v>
      </c>
      <c r="Q745" s="172">
        <f t="shared" si="483"/>
        <v>7403</v>
      </c>
      <c r="R745" s="140">
        <f t="shared" si="483"/>
        <v>5620.6313131313136</v>
      </c>
      <c r="S745" s="140">
        <f t="shared" si="483"/>
        <v>5620.6313131313136</v>
      </c>
      <c r="T745" s="140">
        <f t="shared" si="483"/>
        <v>5620.6313131313136</v>
      </c>
      <c r="U745" s="140">
        <f t="shared" si="483"/>
        <v>5620.6313131313136</v>
      </c>
      <c r="V745" s="140">
        <f t="shared" si="483"/>
        <v>5620.6313131313136</v>
      </c>
      <c r="W745" s="140">
        <f t="shared" si="483"/>
        <v>5620.6313131313136</v>
      </c>
      <c r="X745" s="140">
        <f t="shared" si="483"/>
        <v>5620.6313131313136</v>
      </c>
      <c r="Y745" s="140">
        <f t="shared" si="483"/>
        <v>5620.6313131313136</v>
      </c>
      <c r="Z745" s="140">
        <f t="shared" si="483"/>
        <v>5620.6313131313136</v>
      </c>
      <c r="AA745" s="140">
        <f t="shared" si="483"/>
        <v>5620.6313131313136</v>
      </c>
      <c r="AB745" s="140">
        <f t="shared" si="483"/>
        <v>5620.6313131313136</v>
      </c>
      <c r="AC745" s="140">
        <f t="shared" si="483"/>
        <v>5620.6313131313136</v>
      </c>
      <c r="AD745" s="140">
        <f t="shared" si="483"/>
        <v>5620.6313131313136</v>
      </c>
      <c r="AE745" s="140">
        <f t="shared" si="483"/>
        <v>5620.6313131313136</v>
      </c>
      <c r="AF745" s="140">
        <f t="shared" si="483"/>
        <v>5620.6313131313136</v>
      </c>
      <c r="AG745" s="140">
        <f t="shared" si="483"/>
        <v>5620.6313131313136</v>
      </c>
    </row>
    <row r="746" spans="1:33" ht="14.25" customHeight="1" x14ac:dyDescent="0.35">
      <c r="A746" s="21"/>
      <c r="B746" s="134" t="s">
        <v>4220</v>
      </c>
      <c r="C746" s="28" t="s">
        <v>4101</v>
      </c>
      <c r="D746" s="21"/>
      <c r="E746" s="128"/>
      <c r="F746" s="21"/>
      <c r="G746" s="21"/>
      <c r="H746" s="21"/>
      <c r="I746" s="22"/>
      <c r="J746" s="194"/>
      <c r="K746" s="194"/>
      <c r="L746" s="194"/>
      <c r="M746" s="194"/>
      <c r="N746" s="194"/>
      <c r="O746" s="194"/>
      <c r="P746" s="194"/>
      <c r="Q746" s="194"/>
      <c r="R746" s="147"/>
      <c r="S746" s="147"/>
      <c r="T746" s="147"/>
      <c r="U746" s="147"/>
      <c r="V746" s="147"/>
      <c r="W746" s="147"/>
      <c r="X746" s="147"/>
      <c r="Y746" s="147"/>
      <c r="Z746" s="147"/>
      <c r="AA746" s="147"/>
      <c r="AB746" s="147"/>
      <c r="AC746" s="147"/>
      <c r="AD746" s="147"/>
      <c r="AE746" s="147"/>
      <c r="AF746" s="147"/>
      <c r="AG746" s="147"/>
    </row>
    <row r="747" spans="1:33" ht="14.25" customHeight="1" x14ac:dyDescent="0.35">
      <c r="A747" s="21"/>
      <c r="B747" s="28"/>
      <c r="C747" s="143" t="s">
        <v>4221</v>
      </c>
      <c r="D747" s="28" t="s">
        <v>4222</v>
      </c>
      <c r="E747" s="21"/>
      <c r="F747" s="21"/>
      <c r="G747" s="21"/>
      <c r="H747" s="21"/>
      <c r="I747" s="22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</row>
    <row r="748" spans="1:33" ht="14.25" customHeight="1" x14ac:dyDescent="0.35">
      <c r="A748" s="21"/>
      <c r="B748" s="28"/>
      <c r="C748" s="28"/>
      <c r="D748" s="176" t="s">
        <v>22</v>
      </c>
      <c r="E748" s="176"/>
      <c r="F748" s="21"/>
      <c r="G748" s="21"/>
      <c r="H748" s="21"/>
      <c r="I748" s="22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</row>
    <row r="749" spans="1:33" ht="14.25" customHeight="1" x14ac:dyDescent="0.35">
      <c r="A749" s="21"/>
      <c r="B749" s="28"/>
      <c r="C749" s="28"/>
      <c r="D749" s="175" t="s">
        <v>4106</v>
      </c>
      <c r="E749" s="175"/>
      <c r="F749" s="21"/>
      <c r="G749" s="21"/>
      <c r="H749" s="21"/>
      <c r="I749" s="22" t="s">
        <v>13</v>
      </c>
      <c r="J749" s="122"/>
      <c r="K749" s="122"/>
      <c r="L749" s="122"/>
      <c r="M749" s="122"/>
      <c r="N749" s="122"/>
      <c r="O749" s="122"/>
      <c r="P749" s="122"/>
      <c r="Q749" s="122"/>
      <c r="R749" s="126">
        <f t="shared" ref="R749:AG749" si="484">1-R755</f>
        <v>1</v>
      </c>
      <c r="S749" s="126">
        <f t="shared" si="484"/>
        <v>1</v>
      </c>
      <c r="T749" s="126">
        <f t="shared" si="484"/>
        <v>1</v>
      </c>
      <c r="U749" s="126">
        <f t="shared" si="484"/>
        <v>1</v>
      </c>
      <c r="V749" s="126">
        <f t="shared" si="484"/>
        <v>1</v>
      </c>
      <c r="W749" s="126">
        <f t="shared" si="484"/>
        <v>1</v>
      </c>
      <c r="X749" s="126">
        <f t="shared" si="484"/>
        <v>1</v>
      </c>
      <c r="Y749" s="126">
        <f t="shared" si="484"/>
        <v>1</v>
      </c>
      <c r="Z749" s="126">
        <f t="shared" si="484"/>
        <v>1</v>
      </c>
      <c r="AA749" s="126">
        <f t="shared" si="484"/>
        <v>1</v>
      </c>
      <c r="AB749" s="126">
        <f t="shared" si="484"/>
        <v>1</v>
      </c>
      <c r="AC749" s="126">
        <f t="shared" si="484"/>
        <v>1</v>
      </c>
      <c r="AD749" s="126">
        <f t="shared" si="484"/>
        <v>1</v>
      </c>
      <c r="AE749" s="126">
        <f t="shared" si="484"/>
        <v>1</v>
      </c>
      <c r="AF749" s="126">
        <f t="shared" si="484"/>
        <v>1</v>
      </c>
      <c r="AG749" s="126">
        <f t="shared" si="484"/>
        <v>1</v>
      </c>
    </row>
    <row r="750" spans="1:33" ht="14.25" customHeight="1" x14ac:dyDescent="0.35">
      <c r="A750" s="21"/>
      <c r="B750" s="28"/>
      <c r="C750" s="28"/>
      <c r="D750" s="175" t="s">
        <v>4112</v>
      </c>
      <c r="E750" s="175"/>
      <c r="F750" s="21"/>
      <c r="G750" s="21"/>
      <c r="H750" s="21"/>
      <c r="I750" s="22" t="s">
        <v>13</v>
      </c>
      <c r="J750" s="122">
        <f>'Input Operasional'!I67</f>
        <v>0</v>
      </c>
      <c r="K750" s="122">
        <f>'Input Operasional'!J67</f>
        <v>4.1893571347870298</v>
      </c>
      <c r="L750" s="122">
        <f>'Input Operasional'!K67</f>
        <v>0</v>
      </c>
      <c r="M750" s="122">
        <f>'Input Operasional'!L67</f>
        <v>3.8370459218642901</v>
      </c>
      <c r="N750" s="122">
        <f>'Input Operasional'!M67</f>
        <v>3.6155576382380499</v>
      </c>
      <c r="O750" s="122">
        <f>'Input Operasional'!N67</f>
        <v>3.7400269255296599</v>
      </c>
      <c r="P750" s="122">
        <f>'Input Operasional'!O67</f>
        <v>3.6996187258687301</v>
      </c>
      <c r="Q750" s="122">
        <f>'Input Operasional'!P67</f>
        <v>3.5173578279075999</v>
      </c>
      <c r="R750" s="126">
        <f>'Input Operasional'!Q67</f>
        <v>3.7290115330874301</v>
      </c>
      <c r="S750" s="126">
        <f>'Input Operasional'!R67</f>
        <v>3.7290115330874301</v>
      </c>
      <c r="T750" s="126">
        <f>'Input Operasional'!S67</f>
        <v>3.7290115330874301</v>
      </c>
      <c r="U750" s="126">
        <f>'Input Operasional'!T67</f>
        <v>3.7290115330874301</v>
      </c>
      <c r="V750" s="126">
        <f>'Input Operasional'!U67</f>
        <v>3.7290115330874301</v>
      </c>
      <c r="W750" s="126">
        <f>'Input Operasional'!V67</f>
        <v>3.7290115330874301</v>
      </c>
      <c r="X750" s="126">
        <f>'Input Operasional'!W67</f>
        <v>3.7290115330874301</v>
      </c>
      <c r="Y750" s="126">
        <f>'Input Operasional'!X67</f>
        <v>3.7290115330874301</v>
      </c>
      <c r="Z750" s="126">
        <f>'Input Operasional'!Y67</f>
        <v>3.7290115330874301</v>
      </c>
      <c r="AA750" s="126">
        <f>'Input Operasional'!Z67</f>
        <v>3.7290115330874301</v>
      </c>
      <c r="AB750" s="126">
        <f>'Input Operasional'!AA67</f>
        <v>3.7290115330874301</v>
      </c>
      <c r="AC750" s="126">
        <f>'Input Operasional'!AB67</f>
        <v>3.7290115330874301</v>
      </c>
      <c r="AD750" s="126">
        <f>'Input Operasional'!AC67</f>
        <v>3.7290115330874301</v>
      </c>
      <c r="AE750" s="126">
        <f>'Input Operasional'!AD67</f>
        <v>3.7290115330874301</v>
      </c>
      <c r="AF750" s="126">
        <f>'Input Operasional'!AE67</f>
        <v>3.7290115330874301</v>
      </c>
      <c r="AG750" s="126">
        <f>'Input Operasional'!AF67</f>
        <v>3.7290115330874301</v>
      </c>
    </row>
    <row r="751" spans="1:33" ht="14.25" customHeight="1" x14ac:dyDescent="0.35">
      <c r="A751" s="21"/>
      <c r="B751" s="28"/>
      <c r="C751" s="28"/>
      <c r="D751" s="175" t="s">
        <v>4108</v>
      </c>
      <c r="E751" s="175"/>
      <c r="F751" s="21"/>
      <c r="G751" s="21"/>
      <c r="H751" s="21"/>
      <c r="I751" s="22" t="s">
        <v>3880</v>
      </c>
      <c r="J751" s="132">
        <v>0</v>
      </c>
      <c r="K751" s="132">
        <v>14832</v>
      </c>
      <c r="L751" s="132">
        <v>0</v>
      </c>
      <c r="M751" s="132">
        <v>22393</v>
      </c>
      <c r="N751" s="132">
        <v>19289</v>
      </c>
      <c r="O751" s="132">
        <v>52783</v>
      </c>
      <c r="P751" s="132">
        <v>30662.44</v>
      </c>
      <c r="Q751" s="132">
        <v>26039</v>
      </c>
      <c r="R751" s="140">
        <f t="shared" ref="R751:AG751" si="485">R745*R750</f>
        <v>20959.398989899015</v>
      </c>
      <c r="S751" s="140">
        <f t="shared" si="485"/>
        <v>20959.398989899015</v>
      </c>
      <c r="T751" s="140">
        <f t="shared" si="485"/>
        <v>20959.398989899015</v>
      </c>
      <c r="U751" s="140">
        <f t="shared" si="485"/>
        <v>20959.398989899015</v>
      </c>
      <c r="V751" s="140">
        <f t="shared" si="485"/>
        <v>20959.398989899015</v>
      </c>
      <c r="W751" s="140">
        <f t="shared" si="485"/>
        <v>20959.398989899015</v>
      </c>
      <c r="X751" s="140">
        <f t="shared" si="485"/>
        <v>20959.398989899015</v>
      </c>
      <c r="Y751" s="140">
        <f t="shared" si="485"/>
        <v>20959.398989899015</v>
      </c>
      <c r="Z751" s="140">
        <f t="shared" si="485"/>
        <v>20959.398989899015</v>
      </c>
      <c r="AA751" s="140">
        <f t="shared" si="485"/>
        <v>20959.398989899015</v>
      </c>
      <c r="AB751" s="140">
        <f t="shared" si="485"/>
        <v>20959.398989899015</v>
      </c>
      <c r="AC751" s="140">
        <f t="shared" si="485"/>
        <v>20959.398989899015</v>
      </c>
      <c r="AD751" s="140">
        <f t="shared" si="485"/>
        <v>20959.398989899015</v>
      </c>
      <c r="AE751" s="140">
        <f t="shared" si="485"/>
        <v>20959.398989899015</v>
      </c>
      <c r="AF751" s="140">
        <f t="shared" si="485"/>
        <v>20959.398989899015</v>
      </c>
      <c r="AG751" s="140">
        <f t="shared" si="485"/>
        <v>20959.398989899015</v>
      </c>
    </row>
    <row r="752" spans="1:33" ht="14.25" customHeight="1" x14ac:dyDescent="0.35">
      <c r="A752" s="21"/>
      <c r="B752" s="28"/>
      <c r="C752" s="28"/>
      <c r="D752" s="175" t="s">
        <v>4061</v>
      </c>
      <c r="E752" s="175"/>
      <c r="F752" s="21"/>
      <c r="G752" s="21"/>
      <c r="H752" s="21"/>
      <c r="I752" s="22" t="s">
        <v>3915</v>
      </c>
      <c r="J752" s="132">
        <v>0</v>
      </c>
      <c r="K752" s="132">
        <v>4500</v>
      </c>
      <c r="L752" s="132">
        <v>0</v>
      </c>
      <c r="M752" s="132">
        <v>4500</v>
      </c>
      <c r="N752" s="132">
        <v>4500</v>
      </c>
      <c r="O752" s="132">
        <v>4500</v>
      </c>
      <c r="P752" s="132">
        <v>4647.9862659331802</v>
      </c>
      <c r="Q752" s="132">
        <v>4705.1845308959601</v>
      </c>
      <c r="R752" s="140">
        <v>4559.5200000000004</v>
      </c>
      <c r="S752" s="140">
        <v>4559.5200000000004</v>
      </c>
      <c r="T752" s="140">
        <v>4559.5200000000004</v>
      </c>
      <c r="U752" s="140">
        <v>4559.5200000000004</v>
      </c>
      <c r="V752" s="140">
        <v>4559.5200000000004</v>
      </c>
      <c r="W752" s="140">
        <v>4559.5200000000004</v>
      </c>
      <c r="X752" s="140">
        <v>4559.5200000000004</v>
      </c>
      <c r="Y752" s="140">
        <v>4559.5200000000004</v>
      </c>
      <c r="Z752" s="140">
        <v>4559.5200000000004</v>
      </c>
      <c r="AA752" s="140">
        <v>4559.5200000000004</v>
      </c>
      <c r="AB752" s="140">
        <v>4559.5200000000004</v>
      </c>
      <c r="AC752" s="140">
        <v>4559.5200000000004</v>
      </c>
      <c r="AD752" s="140">
        <v>4559.5200000000004</v>
      </c>
      <c r="AE752" s="140">
        <v>4559.5200000000004</v>
      </c>
      <c r="AF752" s="140">
        <v>4559.5200000000004</v>
      </c>
      <c r="AG752" s="140">
        <v>4559.5200000000004</v>
      </c>
    </row>
    <row r="753" spans="1:33" ht="14.25" customHeight="1" x14ac:dyDescent="0.35">
      <c r="A753" s="21"/>
      <c r="B753" s="28"/>
      <c r="C753" s="28"/>
      <c r="D753" s="175" t="s">
        <v>4223</v>
      </c>
      <c r="E753" s="175"/>
      <c r="F753" s="21"/>
      <c r="G753" s="21"/>
      <c r="H753" s="21"/>
      <c r="I753" s="22" t="s">
        <v>4060</v>
      </c>
      <c r="J753" s="148">
        <v>0</v>
      </c>
      <c r="K753" s="148">
        <f>K751*K752</f>
        <v>66744000</v>
      </c>
      <c r="L753" s="148">
        <v>0</v>
      </c>
      <c r="M753" s="148">
        <f t="shared" ref="M753:AG753" si="486">M751*M752</f>
        <v>100768500</v>
      </c>
      <c r="N753" s="148">
        <f t="shared" si="486"/>
        <v>86800500</v>
      </c>
      <c r="O753" s="148">
        <f t="shared" si="486"/>
        <v>237523500</v>
      </c>
      <c r="P753" s="148">
        <f t="shared" si="486"/>
        <v>142518600.00000018</v>
      </c>
      <c r="Q753" s="148">
        <f t="shared" si="486"/>
        <v>122518299.99999991</v>
      </c>
      <c r="R753" s="149">
        <f t="shared" si="486"/>
        <v>95564798.882424369</v>
      </c>
      <c r="S753" s="149">
        <f t="shared" si="486"/>
        <v>95564798.882424369</v>
      </c>
      <c r="T753" s="149">
        <f t="shared" si="486"/>
        <v>95564798.882424369</v>
      </c>
      <c r="U753" s="149">
        <f t="shared" si="486"/>
        <v>95564798.882424369</v>
      </c>
      <c r="V753" s="149">
        <f t="shared" si="486"/>
        <v>95564798.882424369</v>
      </c>
      <c r="W753" s="149">
        <f t="shared" si="486"/>
        <v>95564798.882424369</v>
      </c>
      <c r="X753" s="149">
        <f t="shared" si="486"/>
        <v>95564798.882424369</v>
      </c>
      <c r="Y753" s="149">
        <f t="shared" si="486"/>
        <v>95564798.882424369</v>
      </c>
      <c r="Z753" s="149">
        <f t="shared" si="486"/>
        <v>95564798.882424369</v>
      </c>
      <c r="AA753" s="149">
        <f t="shared" si="486"/>
        <v>95564798.882424369</v>
      </c>
      <c r="AB753" s="149">
        <f t="shared" si="486"/>
        <v>95564798.882424369</v>
      </c>
      <c r="AC753" s="149">
        <f t="shared" si="486"/>
        <v>95564798.882424369</v>
      </c>
      <c r="AD753" s="149">
        <f t="shared" si="486"/>
        <v>95564798.882424369</v>
      </c>
      <c r="AE753" s="149">
        <f t="shared" si="486"/>
        <v>95564798.882424369</v>
      </c>
      <c r="AF753" s="149">
        <f t="shared" si="486"/>
        <v>95564798.882424369</v>
      </c>
      <c r="AG753" s="149">
        <f t="shared" si="486"/>
        <v>95564798.882424369</v>
      </c>
    </row>
    <row r="754" spans="1:33" ht="14.25" customHeight="1" x14ac:dyDescent="0.35">
      <c r="A754" s="21"/>
      <c r="B754" s="28"/>
      <c r="C754" s="28"/>
      <c r="D754" s="176" t="s">
        <v>4224</v>
      </c>
      <c r="E754" s="176"/>
      <c r="F754" s="21"/>
      <c r="G754" s="21"/>
      <c r="H754" s="21"/>
      <c r="I754" s="22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</row>
    <row r="755" spans="1:33" ht="14.25" customHeight="1" x14ac:dyDescent="0.35">
      <c r="A755" s="21"/>
      <c r="B755" s="28"/>
      <c r="C755" s="28"/>
      <c r="D755" s="175" t="s">
        <v>4106</v>
      </c>
      <c r="E755" s="175"/>
      <c r="F755" s="21"/>
      <c r="G755" s="21"/>
      <c r="H755" s="21"/>
      <c r="I755" s="22" t="s">
        <v>13</v>
      </c>
      <c r="J755" s="122">
        <v>0</v>
      </c>
      <c r="K755" s="122">
        <v>0</v>
      </c>
      <c r="L755" s="122">
        <v>0</v>
      </c>
      <c r="M755" s="122">
        <v>0</v>
      </c>
      <c r="N755" s="122">
        <v>0</v>
      </c>
      <c r="O755" s="122">
        <v>0</v>
      </c>
      <c r="P755" s="122">
        <v>0</v>
      </c>
      <c r="Q755" s="122">
        <v>0</v>
      </c>
      <c r="R755" s="126">
        <v>0</v>
      </c>
      <c r="S755" s="126">
        <v>0</v>
      </c>
      <c r="T755" s="126">
        <v>0</v>
      </c>
      <c r="U755" s="126">
        <v>0</v>
      </c>
      <c r="V755" s="126">
        <v>0</v>
      </c>
      <c r="W755" s="126">
        <v>0</v>
      </c>
      <c r="X755" s="126">
        <v>0</v>
      </c>
      <c r="Y755" s="126">
        <v>0</v>
      </c>
      <c r="Z755" s="126">
        <v>0</v>
      </c>
      <c r="AA755" s="126">
        <v>0</v>
      </c>
      <c r="AB755" s="126">
        <v>0</v>
      </c>
      <c r="AC755" s="126">
        <v>0</v>
      </c>
      <c r="AD755" s="126">
        <v>0</v>
      </c>
      <c r="AE755" s="126">
        <v>0</v>
      </c>
      <c r="AF755" s="126">
        <v>0</v>
      </c>
      <c r="AG755" s="126">
        <v>0</v>
      </c>
    </row>
    <row r="756" spans="1:33" ht="14.25" customHeight="1" x14ac:dyDescent="0.35">
      <c r="A756" s="21"/>
      <c r="B756" s="28"/>
      <c r="C756" s="28"/>
      <c r="D756" s="175" t="s">
        <v>4112</v>
      </c>
      <c r="E756" s="175"/>
      <c r="F756" s="21"/>
      <c r="G756" s="21"/>
      <c r="H756" s="21"/>
      <c r="I756" s="22" t="s">
        <v>13</v>
      </c>
      <c r="J756" s="122">
        <v>0</v>
      </c>
      <c r="K756" s="122">
        <f t="shared" ref="K756:AG756" si="487">IF(K741=0,0,K757/K741)</f>
        <v>0</v>
      </c>
      <c r="L756" s="122">
        <f t="shared" si="487"/>
        <v>0</v>
      </c>
      <c r="M756" s="122">
        <f t="shared" si="487"/>
        <v>0</v>
      </c>
      <c r="N756" s="122">
        <f t="shared" si="487"/>
        <v>0</v>
      </c>
      <c r="O756" s="122">
        <f t="shared" si="487"/>
        <v>0</v>
      </c>
      <c r="P756" s="122">
        <f t="shared" si="487"/>
        <v>0</v>
      </c>
      <c r="Q756" s="122">
        <f t="shared" si="487"/>
        <v>0</v>
      </c>
      <c r="R756" s="126">
        <f t="shared" si="487"/>
        <v>0</v>
      </c>
      <c r="S756" s="126">
        <f t="shared" si="487"/>
        <v>0</v>
      </c>
      <c r="T756" s="126">
        <f t="shared" si="487"/>
        <v>0</v>
      </c>
      <c r="U756" s="126">
        <f t="shared" si="487"/>
        <v>0</v>
      </c>
      <c r="V756" s="126">
        <f t="shared" si="487"/>
        <v>0</v>
      </c>
      <c r="W756" s="126">
        <f t="shared" si="487"/>
        <v>0</v>
      </c>
      <c r="X756" s="126">
        <f t="shared" si="487"/>
        <v>0</v>
      </c>
      <c r="Y756" s="126">
        <f t="shared" si="487"/>
        <v>0</v>
      </c>
      <c r="Z756" s="126">
        <f t="shared" si="487"/>
        <v>0</v>
      </c>
      <c r="AA756" s="126">
        <f t="shared" si="487"/>
        <v>0</v>
      </c>
      <c r="AB756" s="126">
        <f t="shared" si="487"/>
        <v>0</v>
      </c>
      <c r="AC756" s="126">
        <f t="shared" si="487"/>
        <v>0</v>
      </c>
      <c r="AD756" s="126">
        <f t="shared" si="487"/>
        <v>0</v>
      </c>
      <c r="AE756" s="126">
        <f t="shared" si="487"/>
        <v>0</v>
      </c>
      <c r="AF756" s="126">
        <f t="shared" si="487"/>
        <v>0</v>
      </c>
      <c r="AG756" s="126">
        <f t="shared" si="487"/>
        <v>0</v>
      </c>
    </row>
    <row r="757" spans="1:33" ht="14.25" customHeight="1" x14ac:dyDescent="0.35">
      <c r="A757" s="21"/>
      <c r="B757" s="28"/>
      <c r="C757" s="28"/>
      <c r="D757" s="175" t="s">
        <v>4108</v>
      </c>
      <c r="E757" s="175"/>
      <c r="F757" s="21"/>
      <c r="G757" s="21"/>
      <c r="H757" s="21"/>
      <c r="I757" s="22" t="s">
        <v>3880</v>
      </c>
      <c r="J757" s="132">
        <v>0</v>
      </c>
      <c r="K757" s="132">
        <v>0</v>
      </c>
      <c r="L757" s="132">
        <v>0</v>
      </c>
      <c r="M757" s="132">
        <v>0</v>
      </c>
      <c r="N757" s="132">
        <v>0</v>
      </c>
      <c r="O757" s="132">
        <v>0</v>
      </c>
      <c r="P757" s="132">
        <v>0</v>
      </c>
      <c r="Q757" s="132">
        <v>0</v>
      </c>
      <c r="R757" s="140">
        <v>0</v>
      </c>
      <c r="S757" s="140">
        <v>0</v>
      </c>
      <c r="T757" s="140">
        <v>0</v>
      </c>
      <c r="U757" s="140">
        <v>0</v>
      </c>
      <c r="V757" s="140">
        <v>0</v>
      </c>
      <c r="W757" s="140">
        <v>0</v>
      </c>
      <c r="X757" s="140">
        <v>0</v>
      </c>
      <c r="Y757" s="140">
        <v>0</v>
      </c>
      <c r="Z757" s="140">
        <v>0</v>
      </c>
      <c r="AA757" s="140">
        <v>0</v>
      </c>
      <c r="AB757" s="140">
        <v>0</v>
      </c>
      <c r="AC757" s="140">
        <v>0</v>
      </c>
      <c r="AD757" s="140">
        <v>0</v>
      </c>
      <c r="AE757" s="140">
        <v>0</v>
      </c>
      <c r="AF757" s="140">
        <v>0</v>
      </c>
      <c r="AG757" s="140">
        <v>0</v>
      </c>
    </row>
    <row r="758" spans="1:33" ht="14.25" customHeight="1" x14ac:dyDescent="0.35">
      <c r="A758" s="21"/>
      <c r="B758" s="28"/>
      <c r="C758" s="28"/>
      <c r="D758" s="175" t="s">
        <v>4061</v>
      </c>
      <c r="E758" s="175"/>
      <c r="F758" s="21"/>
      <c r="G758" s="21"/>
      <c r="H758" s="21"/>
      <c r="I758" s="22" t="s">
        <v>3915</v>
      </c>
      <c r="J758" s="132">
        <v>0</v>
      </c>
      <c r="K758" s="132">
        <v>0</v>
      </c>
      <c r="L758" s="132">
        <v>0</v>
      </c>
      <c r="M758" s="132">
        <v>0</v>
      </c>
      <c r="N758" s="132">
        <v>0</v>
      </c>
      <c r="O758" s="132">
        <v>0</v>
      </c>
      <c r="P758" s="132">
        <v>0</v>
      </c>
      <c r="Q758" s="132">
        <v>0</v>
      </c>
      <c r="R758" s="140">
        <v>0</v>
      </c>
      <c r="S758" s="140">
        <v>0</v>
      </c>
      <c r="T758" s="140">
        <v>0</v>
      </c>
      <c r="U758" s="140">
        <v>0</v>
      </c>
      <c r="V758" s="140">
        <v>0</v>
      </c>
      <c r="W758" s="140">
        <v>0</v>
      </c>
      <c r="X758" s="140">
        <v>0</v>
      </c>
      <c r="Y758" s="140">
        <v>0</v>
      </c>
      <c r="Z758" s="140">
        <v>0</v>
      </c>
      <c r="AA758" s="140">
        <v>0</v>
      </c>
      <c r="AB758" s="140">
        <v>0</v>
      </c>
      <c r="AC758" s="140">
        <v>0</v>
      </c>
      <c r="AD758" s="140">
        <v>0</v>
      </c>
      <c r="AE758" s="140">
        <v>0</v>
      </c>
      <c r="AF758" s="140">
        <v>0</v>
      </c>
      <c r="AG758" s="140">
        <v>0</v>
      </c>
    </row>
    <row r="759" spans="1:33" ht="14.25" customHeight="1" x14ac:dyDescent="0.35">
      <c r="A759" s="21"/>
      <c r="B759" s="28"/>
      <c r="C759" s="28"/>
      <c r="D759" s="175" t="s">
        <v>4225</v>
      </c>
      <c r="E759" s="175"/>
      <c r="F759" s="21"/>
      <c r="G759" s="21"/>
      <c r="H759" s="21"/>
      <c r="I759" s="22" t="s">
        <v>4060</v>
      </c>
      <c r="J759" s="148">
        <v>0</v>
      </c>
      <c r="K759" s="148">
        <v>0</v>
      </c>
      <c r="L759" s="148">
        <v>0</v>
      </c>
      <c r="M759" s="148">
        <v>0</v>
      </c>
      <c r="N759" s="148">
        <v>0</v>
      </c>
      <c r="O759" s="148">
        <v>0</v>
      </c>
      <c r="P759" s="148">
        <v>0</v>
      </c>
      <c r="Q759" s="148">
        <v>0</v>
      </c>
      <c r="R759" s="149">
        <f t="shared" ref="R759:AG759" si="488">R757*R758</f>
        <v>0</v>
      </c>
      <c r="S759" s="149">
        <f t="shared" si="488"/>
        <v>0</v>
      </c>
      <c r="T759" s="149">
        <f t="shared" si="488"/>
        <v>0</v>
      </c>
      <c r="U759" s="149">
        <f t="shared" si="488"/>
        <v>0</v>
      </c>
      <c r="V759" s="149">
        <f t="shared" si="488"/>
        <v>0</v>
      </c>
      <c r="W759" s="149">
        <f t="shared" si="488"/>
        <v>0</v>
      </c>
      <c r="X759" s="149">
        <f t="shared" si="488"/>
        <v>0</v>
      </c>
      <c r="Y759" s="149">
        <f t="shared" si="488"/>
        <v>0</v>
      </c>
      <c r="Z759" s="149">
        <f t="shared" si="488"/>
        <v>0</v>
      </c>
      <c r="AA759" s="149">
        <f t="shared" si="488"/>
        <v>0</v>
      </c>
      <c r="AB759" s="149">
        <f t="shared" si="488"/>
        <v>0</v>
      </c>
      <c r="AC759" s="149">
        <f t="shared" si="488"/>
        <v>0</v>
      </c>
      <c r="AD759" s="149">
        <f t="shared" si="488"/>
        <v>0</v>
      </c>
      <c r="AE759" s="149">
        <f t="shared" si="488"/>
        <v>0</v>
      </c>
      <c r="AF759" s="149">
        <f t="shared" si="488"/>
        <v>0</v>
      </c>
      <c r="AG759" s="149">
        <f t="shared" si="488"/>
        <v>0</v>
      </c>
    </row>
    <row r="760" spans="1:33" ht="14.25" customHeight="1" x14ac:dyDescent="0.35">
      <c r="A760" s="21"/>
      <c r="B760" s="28"/>
      <c r="C760" s="143" t="s">
        <v>4226</v>
      </c>
      <c r="D760" s="179" t="s">
        <v>4117</v>
      </c>
      <c r="E760" s="21"/>
      <c r="F760" s="21"/>
      <c r="G760" s="21"/>
      <c r="H760" s="21"/>
      <c r="I760" s="22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</row>
    <row r="761" spans="1:33" ht="14.25" customHeight="1" x14ac:dyDescent="0.35">
      <c r="A761" s="21"/>
      <c r="B761" s="28"/>
      <c r="C761" s="28"/>
      <c r="D761" s="175" t="s">
        <v>4112</v>
      </c>
      <c r="E761" s="175"/>
      <c r="F761" s="21"/>
      <c r="G761" s="21"/>
      <c r="H761" s="21"/>
      <c r="I761" s="22" t="s">
        <v>13</v>
      </c>
      <c r="J761" s="122">
        <v>0</v>
      </c>
      <c r="K761" s="122">
        <f t="shared" ref="K761:Q761" si="489">IF(K745=0,0,K762/K745)</f>
        <v>0.6185741724098972</v>
      </c>
      <c r="L761" s="122">
        <f t="shared" si="489"/>
        <v>0</v>
      </c>
      <c r="M761" s="122">
        <f t="shared" si="489"/>
        <v>0.52107607950651136</v>
      </c>
      <c r="N761" s="122">
        <f t="shared" si="489"/>
        <v>0.4732895970009372</v>
      </c>
      <c r="O761" s="122">
        <f t="shared" si="489"/>
        <v>0.40083610855239848</v>
      </c>
      <c r="P761" s="122">
        <f t="shared" si="489"/>
        <v>0.42652027027027029</v>
      </c>
      <c r="Q761" s="122">
        <f t="shared" si="489"/>
        <v>0.27880588950425506</v>
      </c>
      <c r="R761" s="126">
        <f>'Input Operasional'!Q71</f>
        <v>0.42708815376251813</v>
      </c>
      <c r="S761" s="126">
        <f>'Input Operasional'!R71</f>
        <v>0.42708815376251813</v>
      </c>
      <c r="T761" s="126">
        <f>'Input Operasional'!S71</f>
        <v>0.42708815376251813</v>
      </c>
      <c r="U761" s="126">
        <f>'Input Operasional'!T71</f>
        <v>0.42708815376251813</v>
      </c>
      <c r="V761" s="126">
        <f>'Input Operasional'!U71</f>
        <v>0.42708815376251813</v>
      </c>
      <c r="W761" s="126">
        <f>'Input Operasional'!V71</f>
        <v>0.42708815376251813</v>
      </c>
      <c r="X761" s="126">
        <f>'Input Operasional'!W71</f>
        <v>0.42708815376251813</v>
      </c>
      <c r="Y761" s="126">
        <f>'Input Operasional'!X71</f>
        <v>0.42708815376251813</v>
      </c>
      <c r="Z761" s="126">
        <f>'Input Operasional'!Y71</f>
        <v>0.42708815376251813</v>
      </c>
      <c r="AA761" s="126">
        <f>'Input Operasional'!Z71</f>
        <v>0.42708815376251813</v>
      </c>
      <c r="AB761" s="126">
        <f>'Input Operasional'!AA71</f>
        <v>0.42708815376251813</v>
      </c>
      <c r="AC761" s="126">
        <f>'Input Operasional'!AB71</f>
        <v>0.42708815376251813</v>
      </c>
      <c r="AD761" s="126">
        <f>'Input Operasional'!AC71</f>
        <v>0.42708815376251813</v>
      </c>
      <c r="AE761" s="126">
        <f>'Input Operasional'!AD71</f>
        <v>0.42708815376251813</v>
      </c>
      <c r="AF761" s="126">
        <f>'Input Operasional'!AE71</f>
        <v>0.42708815376251813</v>
      </c>
      <c r="AG761" s="126">
        <f>'Input Operasional'!AF71</f>
        <v>0.42708815376251813</v>
      </c>
    </row>
    <row r="762" spans="1:33" ht="14.25" customHeight="1" x14ac:dyDescent="0.35">
      <c r="A762" s="21"/>
      <c r="B762" s="28"/>
      <c r="C762" s="28"/>
      <c r="D762" s="175" t="s">
        <v>4108</v>
      </c>
      <c r="E762" s="175"/>
      <c r="F762" s="21"/>
      <c r="G762" s="21"/>
      <c r="H762" s="21"/>
      <c r="I762" s="22" t="s">
        <v>3900</v>
      </c>
      <c r="J762" s="132">
        <v>0</v>
      </c>
      <c r="K762" s="132">
        <v>2190</v>
      </c>
      <c r="L762" s="132">
        <v>0</v>
      </c>
      <c r="M762" s="132">
        <v>3041</v>
      </c>
      <c r="N762" s="132">
        <v>2525</v>
      </c>
      <c r="O762" s="132">
        <v>5657</v>
      </c>
      <c r="P762" s="132">
        <v>3535</v>
      </c>
      <c r="Q762" s="132">
        <v>2064</v>
      </c>
      <c r="R762" s="140">
        <f t="shared" ref="R762:AG762" si="490">R761*R745</f>
        <v>2400.5050505050508</v>
      </c>
      <c r="S762" s="140">
        <f t="shared" si="490"/>
        <v>2400.5050505050508</v>
      </c>
      <c r="T762" s="140">
        <f t="shared" si="490"/>
        <v>2400.5050505050508</v>
      </c>
      <c r="U762" s="140">
        <f t="shared" si="490"/>
        <v>2400.5050505050508</v>
      </c>
      <c r="V762" s="140">
        <f t="shared" si="490"/>
        <v>2400.5050505050508</v>
      </c>
      <c r="W762" s="140">
        <f t="shared" si="490"/>
        <v>2400.5050505050508</v>
      </c>
      <c r="X762" s="140">
        <f t="shared" si="490"/>
        <v>2400.5050505050508</v>
      </c>
      <c r="Y762" s="140">
        <f t="shared" si="490"/>
        <v>2400.5050505050508</v>
      </c>
      <c r="Z762" s="140">
        <f t="shared" si="490"/>
        <v>2400.5050505050508</v>
      </c>
      <c r="AA762" s="140">
        <f t="shared" si="490"/>
        <v>2400.5050505050508</v>
      </c>
      <c r="AB762" s="140">
        <f t="shared" si="490"/>
        <v>2400.5050505050508</v>
      </c>
      <c r="AC762" s="140">
        <f t="shared" si="490"/>
        <v>2400.5050505050508</v>
      </c>
      <c r="AD762" s="140">
        <f t="shared" si="490"/>
        <v>2400.5050505050508</v>
      </c>
      <c r="AE762" s="140">
        <f t="shared" si="490"/>
        <v>2400.5050505050508</v>
      </c>
      <c r="AF762" s="140">
        <f t="shared" si="490"/>
        <v>2400.5050505050508</v>
      </c>
      <c r="AG762" s="140">
        <f t="shared" si="490"/>
        <v>2400.5050505050508</v>
      </c>
    </row>
    <row r="763" spans="1:33" ht="14.25" customHeight="1" x14ac:dyDescent="0.35">
      <c r="A763" s="21"/>
      <c r="B763" s="28"/>
      <c r="C763" s="28"/>
      <c r="D763" s="175" t="s">
        <v>4061</v>
      </c>
      <c r="E763" s="175"/>
      <c r="F763" s="21"/>
      <c r="G763" s="21"/>
      <c r="H763" s="21"/>
      <c r="I763" s="22" t="s">
        <v>3915</v>
      </c>
      <c r="J763" s="132">
        <v>0</v>
      </c>
      <c r="K763" s="132">
        <v>16240.054653028499</v>
      </c>
      <c r="L763" s="132">
        <v>0</v>
      </c>
      <c r="M763" s="132">
        <v>17165.665626502501</v>
      </c>
      <c r="N763" s="132">
        <v>17381.708880801001</v>
      </c>
      <c r="O763" s="132">
        <v>17437.818543501799</v>
      </c>
      <c r="P763" s="132">
        <v>17240.006011421701</v>
      </c>
      <c r="Q763" s="132">
        <v>17257.997793724498</v>
      </c>
      <c r="R763" s="140">
        <f t="shared" ref="R763:AG763" si="491">R302</f>
        <v>16796.409879772029</v>
      </c>
      <c r="S763" s="140">
        <f t="shared" si="491"/>
        <v>16774.634009465663</v>
      </c>
      <c r="T763" s="140">
        <f t="shared" si="491"/>
        <v>16772.354069528057</v>
      </c>
      <c r="U763" s="140">
        <f t="shared" si="491"/>
        <v>16772.114334387828</v>
      </c>
      <c r="V763" s="140">
        <f t="shared" si="491"/>
        <v>16772.089204902855</v>
      </c>
      <c r="W763" s="140">
        <f t="shared" si="491"/>
        <v>16772.086569059626</v>
      </c>
      <c r="X763" s="140">
        <f t="shared" si="491"/>
        <v>16772.086292417611</v>
      </c>
      <c r="Y763" s="140">
        <f t="shared" si="491"/>
        <v>16772.086263400983</v>
      </c>
      <c r="Z763" s="140">
        <f t="shared" si="491"/>
        <v>16772.08626035682</v>
      </c>
      <c r="AA763" s="140">
        <f t="shared" si="491"/>
        <v>16772.086260037435</v>
      </c>
      <c r="AB763" s="140">
        <f t="shared" si="491"/>
        <v>16772.086260003925</v>
      </c>
      <c r="AC763" s="140">
        <f t="shared" si="491"/>
        <v>16772.086260000411</v>
      </c>
      <c r="AD763" s="140">
        <f t="shared" si="491"/>
        <v>16772.086260000044</v>
      </c>
      <c r="AE763" s="140">
        <f t="shared" si="491"/>
        <v>16772.086260000004</v>
      </c>
      <c r="AF763" s="140">
        <f t="shared" si="491"/>
        <v>16772.08626</v>
      </c>
      <c r="AG763" s="140">
        <f t="shared" si="491"/>
        <v>16772.08626</v>
      </c>
    </row>
    <row r="764" spans="1:33" ht="14.25" customHeight="1" x14ac:dyDescent="0.35">
      <c r="A764" s="21"/>
      <c r="B764" s="28"/>
      <c r="C764" s="28"/>
      <c r="D764" s="175" t="s">
        <v>4117</v>
      </c>
      <c r="E764" s="175"/>
      <c r="F764" s="21"/>
      <c r="G764" s="21"/>
      <c r="H764" s="21"/>
      <c r="I764" s="22" t="s">
        <v>4060</v>
      </c>
      <c r="J764" s="148">
        <v>0</v>
      </c>
      <c r="K764" s="148">
        <f>K762*K763</f>
        <v>35565719.690132417</v>
      </c>
      <c r="L764" s="148">
        <v>0</v>
      </c>
      <c r="M764" s="148">
        <f t="shared" ref="M764:AG764" si="492">M762*M763</f>
        <v>52200789.170194104</v>
      </c>
      <c r="N764" s="148">
        <f t="shared" si="492"/>
        <v>43888814.924022526</v>
      </c>
      <c r="O764" s="148">
        <f t="shared" si="492"/>
        <v>98645739.500589669</v>
      </c>
      <c r="P764" s="148">
        <f t="shared" si="492"/>
        <v>60943421.25037571</v>
      </c>
      <c r="Q764" s="148">
        <f t="shared" si="492"/>
        <v>35620507.446247362</v>
      </c>
      <c r="R764" s="149">
        <f t="shared" si="492"/>
        <v>40319866.746745691</v>
      </c>
      <c r="S764" s="149">
        <f t="shared" si="492"/>
        <v>40267593.660096116</v>
      </c>
      <c r="T764" s="149">
        <f t="shared" si="492"/>
        <v>40262120.652761042</v>
      </c>
      <c r="U764" s="149">
        <f t="shared" si="492"/>
        <v>40261545.167346142</v>
      </c>
      <c r="V764" s="149">
        <f t="shared" si="492"/>
        <v>40261484.843890548</v>
      </c>
      <c r="W764" s="149">
        <f t="shared" si="492"/>
        <v>40261478.516535558</v>
      </c>
      <c r="X764" s="149">
        <f t="shared" si="492"/>
        <v>40261477.852455005</v>
      </c>
      <c r="Y764" s="149">
        <f t="shared" si="492"/>
        <v>40261477.782800443</v>
      </c>
      <c r="Z764" s="149">
        <f t="shared" si="492"/>
        <v>40261477.775492914</v>
      </c>
      <c r="AA764" s="149">
        <f t="shared" si="492"/>
        <v>40261477.774726234</v>
      </c>
      <c r="AB764" s="149">
        <f t="shared" si="492"/>
        <v>40261477.77464579</v>
      </c>
      <c r="AC764" s="149">
        <f t="shared" si="492"/>
        <v>40261477.774637356</v>
      </c>
      <c r="AD764" s="149">
        <f t="shared" si="492"/>
        <v>40261477.774636477</v>
      </c>
      <c r="AE764" s="149">
        <f t="shared" si="492"/>
        <v>40261477.77463638</v>
      </c>
      <c r="AF764" s="149">
        <f t="shared" si="492"/>
        <v>40261477.774636365</v>
      </c>
      <c r="AG764" s="149">
        <f t="shared" si="492"/>
        <v>40261477.774636365</v>
      </c>
    </row>
    <row r="765" spans="1:33" ht="14.25" customHeight="1" x14ac:dyDescent="0.35">
      <c r="A765" s="21"/>
      <c r="B765" s="28"/>
      <c r="C765" s="143" t="s">
        <v>4227</v>
      </c>
      <c r="D765" s="179" t="s">
        <v>32</v>
      </c>
      <c r="E765" s="21"/>
      <c r="F765" s="21"/>
      <c r="G765" s="21"/>
      <c r="H765" s="21"/>
      <c r="I765" s="22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</row>
    <row r="766" spans="1:33" ht="14.25" customHeight="1" x14ac:dyDescent="0.35">
      <c r="A766" s="21"/>
      <c r="B766" s="28"/>
      <c r="C766" s="28"/>
      <c r="D766" s="175" t="s">
        <v>4112</v>
      </c>
      <c r="E766" s="175"/>
      <c r="F766" s="21"/>
      <c r="G766" s="21"/>
      <c r="H766" s="21"/>
      <c r="I766" s="22" t="s">
        <v>13</v>
      </c>
      <c r="J766" s="122">
        <v>0</v>
      </c>
      <c r="K766" s="122">
        <v>0.40876315584319001</v>
      </c>
      <c r="L766" s="122">
        <v>0</v>
      </c>
      <c r="M766" s="122">
        <v>0.44193252062674798</v>
      </c>
      <c r="N766" s="122">
        <v>0.40938594321699501</v>
      </c>
      <c r="O766" s="122">
        <v>0.40520602505259301</v>
      </c>
      <c r="P766" s="122">
        <v>0.44211800107098198</v>
      </c>
      <c r="Q766" s="122">
        <v>0.39383644317601102</v>
      </c>
      <c r="R766" s="126">
        <f>'Input Operasional'!Q75</f>
        <v>1.8627620677868776E-2</v>
      </c>
      <c r="S766" s="126">
        <f>'Input Operasional'!R75</f>
        <v>1.8627620677868776E-2</v>
      </c>
      <c r="T766" s="126">
        <f>'Input Operasional'!S75</f>
        <v>1.8627620677868776E-2</v>
      </c>
      <c r="U766" s="126">
        <f>'Input Operasional'!T75</f>
        <v>1.8627620677868776E-2</v>
      </c>
      <c r="V766" s="126">
        <f>'Input Operasional'!U75</f>
        <v>1.8627620677868776E-2</v>
      </c>
      <c r="W766" s="126">
        <f>'Input Operasional'!V75</f>
        <v>1.8627620677868776E-2</v>
      </c>
      <c r="X766" s="126">
        <f>'Input Operasional'!W75</f>
        <v>1.8627620677868776E-2</v>
      </c>
      <c r="Y766" s="126">
        <f>'Input Operasional'!X75</f>
        <v>1.8627620677868776E-2</v>
      </c>
      <c r="Z766" s="126">
        <f>'Input Operasional'!Y75</f>
        <v>1.8627620677868776E-2</v>
      </c>
      <c r="AA766" s="126">
        <f>'Input Operasional'!Z75</f>
        <v>1.8627620677868776E-2</v>
      </c>
      <c r="AB766" s="126">
        <f>'Input Operasional'!AA75</f>
        <v>1.8627620677868776E-2</v>
      </c>
      <c r="AC766" s="126">
        <f>'Input Operasional'!AB75</f>
        <v>1.8627620677868776E-2</v>
      </c>
      <c r="AD766" s="126">
        <f>'Input Operasional'!AC75</f>
        <v>1.8627620677868776E-2</v>
      </c>
      <c r="AE766" s="126">
        <f>'Input Operasional'!AD75</f>
        <v>1.8627620677868776E-2</v>
      </c>
      <c r="AF766" s="126">
        <f>'Input Operasional'!AE75</f>
        <v>1.8627620677868776E-2</v>
      </c>
      <c r="AG766" s="126">
        <f>'Input Operasional'!AF75</f>
        <v>1.8627620677868776E-2</v>
      </c>
    </row>
    <row r="767" spans="1:33" ht="14.25" customHeight="1" x14ac:dyDescent="0.35">
      <c r="A767" s="21"/>
      <c r="B767" s="28"/>
      <c r="C767" s="28"/>
      <c r="D767" s="175" t="s">
        <v>4108</v>
      </c>
      <c r="E767" s="175"/>
      <c r="F767" s="21"/>
      <c r="G767" s="21"/>
      <c r="H767" s="21"/>
      <c r="I767" s="22" t="s">
        <v>4067</v>
      </c>
      <c r="J767" s="132">
        <v>0</v>
      </c>
      <c r="K767" s="132">
        <f>K769/(K768*K13)</f>
        <v>65.11963929516368</v>
      </c>
      <c r="L767" s="132">
        <v>0</v>
      </c>
      <c r="M767" s="132">
        <f>M769/(M768*M13)</f>
        <v>115.19164404693522</v>
      </c>
      <c r="N767" s="132">
        <f>N769/(N768*N13)</f>
        <v>97.323250741411684</v>
      </c>
      <c r="O767" s="132">
        <f>O769/(O768*O13)</f>
        <v>255.9796318758728</v>
      </c>
      <c r="P767" s="132">
        <f>P769/(P768*P13)</f>
        <v>164.19095881521685</v>
      </c>
      <c r="Q767" s="132">
        <f>Q769/(Q768*Q13)</f>
        <v>131.41086074899945</v>
      </c>
      <c r="R767" s="140">
        <f t="shared" ref="R767:AG767" si="493">R766*R745</f>
        <v>104.69898807116159</v>
      </c>
      <c r="S767" s="140">
        <f t="shared" si="493"/>
        <v>104.69898807116159</v>
      </c>
      <c r="T767" s="140">
        <f t="shared" si="493"/>
        <v>104.69898807116159</v>
      </c>
      <c r="U767" s="140">
        <f t="shared" si="493"/>
        <v>104.69898807116159</v>
      </c>
      <c r="V767" s="140">
        <f t="shared" si="493"/>
        <v>104.69898807116159</v>
      </c>
      <c r="W767" s="140">
        <f t="shared" si="493"/>
        <v>104.69898807116159</v>
      </c>
      <c r="X767" s="140">
        <f t="shared" si="493"/>
        <v>104.69898807116159</v>
      </c>
      <c r="Y767" s="140">
        <f t="shared" si="493"/>
        <v>104.69898807116159</v>
      </c>
      <c r="Z767" s="140">
        <f t="shared" si="493"/>
        <v>104.69898807116159</v>
      </c>
      <c r="AA767" s="140">
        <f t="shared" si="493"/>
        <v>104.69898807116159</v>
      </c>
      <c r="AB767" s="140">
        <f t="shared" si="493"/>
        <v>104.69898807116159</v>
      </c>
      <c r="AC767" s="140">
        <f t="shared" si="493"/>
        <v>104.69898807116159</v>
      </c>
      <c r="AD767" s="140">
        <f t="shared" si="493"/>
        <v>104.69898807116159</v>
      </c>
      <c r="AE767" s="140">
        <f t="shared" si="493"/>
        <v>104.69898807116159</v>
      </c>
      <c r="AF767" s="140">
        <f t="shared" si="493"/>
        <v>104.69898807116159</v>
      </c>
      <c r="AG767" s="140">
        <f t="shared" si="493"/>
        <v>104.69898807116159</v>
      </c>
    </row>
    <row r="768" spans="1:33" ht="14.25" customHeight="1" x14ac:dyDescent="0.35">
      <c r="A768" s="21"/>
      <c r="B768" s="28"/>
      <c r="C768" s="28"/>
      <c r="D768" s="175" t="s">
        <v>4061</v>
      </c>
      <c r="E768" s="175"/>
      <c r="F768" s="21"/>
      <c r="G768" s="21"/>
      <c r="H768" s="21"/>
      <c r="I768" s="22" t="s">
        <v>4119</v>
      </c>
      <c r="J768" s="177">
        <v>12.75</v>
      </c>
      <c r="K768" s="177">
        <v>12.75</v>
      </c>
      <c r="L768" s="177">
        <v>12.75</v>
      </c>
      <c r="M768" s="177">
        <v>12.75</v>
      </c>
      <c r="N768" s="177">
        <v>12.75</v>
      </c>
      <c r="O768" s="177">
        <v>12.75</v>
      </c>
      <c r="P768" s="177">
        <v>12.75</v>
      </c>
      <c r="Q768" s="177">
        <v>12.75</v>
      </c>
      <c r="R768" s="178">
        <v>12.75</v>
      </c>
      <c r="S768" s="178">
        <v>12.75</v>
      </c>
      <c r="T768" s="178">
        <v>12.75</v>
      </c>
      <c r="U768" s="178">
        <v>12.75</v>
      </c>
      <c r="V768" s="178">
        <v>12.75</v>
      </c>
      <c r="W768" s="178">
        <v>12.75</v>
      </c>
      <c r="X768" s="178">
        <v>12.75</v>
      </c>
      <c r="Y768" s="178">
        <v>12.75</v>
      </c>
      <c r="Z768" s="178">
        <v>12.75</v>
      </c>
      <c r="AA768" s="178">
        <v>12.75</v>
      </c>
      <c r="AB768" s="178">
        <v>12.75</v>
      </c>
      <c r="AC768" s="178">
        <v>12.75</v>
      </c>
      <c r="AD768" s="178">
        <v>12.75</v>
      </c>
      <c r="AE768" s="178">
        <v>12.75</v>
      </c>
      <c r="AF768" s="178">
        <v>12.75</v>
      </c>
      <c r="AG768" s="178">
        <v>12.75</v>
      </c>
    </row>
    <row r="769" spans="1:33" ht="14.25" customHeight="1" x14ac:dyDescent="0.35">
      <c r="A769" s="21"/>
      <c r="B769" s="28"/>
      <c r="C769" s="28"/>
      <c r="D769" s="175" t="s">
        <v>32</v>
      </c>
      <c r="E769" s="175"/>
      <c r="F769" s="21"/>
      <c r="G769" s="21"/>
      <c r="H769" s="21"/>
      <c r="I769" s="22" t="s">
        <v>4060</v>
      </c>
      <c r="J769" s="148">
        <v>0</v>
      </c>
      <c r="K769" s="148">
        <v>13913755.1701815</v>
      </c>
      <c r="L769" s="148">
        <v>0</v>
      </c>
      <c r="M769" s="148">
        <v>25443645.5287311</v>
      </c>
      <c r="N769" s="148">
        <v>22073862.1698469</v>
      </c>
      <c r="O769" s="148">
        <v>58277346.911388703</v>
      </c>
      <c r="P769" s="148">
        <v>37845112.956634</v>
      </c>
      <c r="Q769" s="148">
        <v>29661172.464954101</v>
      </c>
      <c r="R769" s="149">
        <f t="shared" ref="R769:AG769" si="494">R767*R318</f>
        <v>24028417.543347731</v>
      </c>
      <c r="S769" s="149">
        <f t="shared" si="494"/>
        <v>24028417.762331586</v>
      </c>
      <c r="T769" s="149">
        <f t="shared" si="494"/>
        <v>24028417.76233159</v>
      </c>
      <c r="U769" s="149">
        <f t="shared" si="494"/>
        <v>24028417.762331583</v>
      </c>
      <c r="V769" s="149">
        <f t="shared" si="494"/>
        <v>24028417.762331583</v>
      </c>
      <c r="W769" s="149">
        <f t="shared" si="494"/>
        <v>24028417.762331586</v>
      </c>
      <c r="X769" s="149">
        <f t="shared" si="494"/>
        <v>24028417.762331586</v>
      </c>
      <c r="Y769" s="149">
        <f t="shared" si="494"/>
        <v>24028417.762331586</v>
      </c>
      <c r="Z769" s="149">
        <f t="shared" si="494"/>
        <v>24028417.762331586</v>
      </c>
      <c r="AA769" s="149">
        <f t="shared" si="494"/>
        <v>24028417.762331583</v>
      </c>
      <c r="AB769" s="149">
        <f t="shared" si="494"/>
        <v>24028417.76233159</v>
      </c>
      <c r="AC769" s="149">
        <f t="shared" si="494"/>
        <v>24028417.76233159</v>
      </c>
      <c r="AD769" s="149">
        <f t="shared" si="494"/>
        <v>24028417.762331586</v>
      </c>
      <c r="AE769" s="149">
        <f t="shared" si="494"/>
        <v>24028417.762331583</v>
      </c>
      <c r="AF769" s="149">
        <f t="shared" si="494"/>
        <v>24028417.762331586</v>
      </c>
      <c r="AG769" s="149">
        <f t="shared" si="494"/>
        <v>24028417.762331586</v>
      </c>
    </row>
    <row r="770" spans="1:33" ht="14.25" customHeight="1" x14ac:dyDescent="0.35">
      <c r="A770" s="21"/>
      <c r="B770" s="28"/>
      <c r="C770" s="143" t="s">
        <v>4228</v>
      </c>
      <c r="D770" s="179" t="s">
        <v>4121</v>
      </c>
      <c r="E770" s="21"/>
      <c r="F770" s="21"/>
      <c r="G770" s="21"/>
      <c r="H770" s="21"/>
      <c r="I770" s="22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</row>
    <row r="771" spans="1:33" ht="14.25" customHeight="1" x14ac:dyDescent="0.35">
      <c r="A771" s="21"/>
      <c r="B771" s="28"/>
      <c r="C771" s="28"/>
      <c r="D771" s="175" t="s">
        <v>4112</v>
      </c>
      <c r="E771" s="175"/>
      <c r="F771" s="21"/>
      <c r="G771" s="21"/>
      <c r="H771" s="21"/>
      <c r="I771" s="22" t="s">
        <v>13</v>
      </c>
      <c r="J771" s="122">
        <v>0</v>
      </c>
      <c r="K771" s="122">
        <f t="shared" ref="K771:Q771" si="495">IF(K741=0,0,K772/K741)</f>
        <v>0</v>
      </c>
      <c r="L771" s="122">
        <f t="shared" si="495"/>
        <v>0</v>
      </c>
      <c r="M771" s="122">
        <f t="shared" si="495"/>
        <v>0</v>
      </c>
      <c r="N771" s="122">
        <f t="shared" si="495"/>
        <v>0</v>
      </c>
      <c r="O771" s="122">
        <f t="shared" si="495"/>
        <v>0</v>
      </c>
      <c r="P771" s="122">
        <f t="shared" si="495"/>
        <v>0</v>
      </c>
      <c r="Q771" s="122">
        <f t="shared" si="495"/>
        <v>0</v>
      </c>
      <c r="R771" s="126">
        <f>'Input Operasional'!Q79</f>
        <v>0</v>
      </c>
      <c r="S771" s="126">
        <f>'Input Operasional'!R79</f>
        <v>0</v>
      </c>
      <c r="T771" s="126">
        <f>'Input Operasional'!S79</f>
        <v>0</v>
      </c>
      <c r="U771" s="126">
        <f>'Input Operasional'!T79</f>
        <v>0</v>
      </c>
      <c r="V771" s="126">
        <f>'Input Operasional'!U79</f>
        <v>0</v>
      </c>
      <c r="W771" s="126">
        <f>'Input Operasional'!V79</f>
        <v>0</v>
      </c>
      <c r="X771" s="126">
        <f>'Input Operasional'!W79</f>
        <v>0</v>
      </c>
      <c r="Y771" s="126">
        <f>'Input Operasional'!X79</f>
        <v>0</v>
      </c>
      <c r="Z771" s="126">
        <f>'Input Operasional'!Y79</f>
        <v>0</v>
      </c>
      <c r="AA771" s="126">
        <f>'Input Operasional'!Z79</f>
        <v>0</v>
      </c>
      <c r="AB771" s="126">
        <f>'Input Operasional'!AA79</f>
        <v>0</v>
      </c>
      <c r="AC771" s="126">
        <f>'Input Operasional'!AB79</f>
        <v>0</v>
      </c>
      <c r="AD771" s="126">
        <f>'Input Operasional'!AC79</f>
        <v>0</v>
      </c>
      <c r="AE771" s="126">
        <f>'Input Operasional'!AD79</f>
        <v>0</v>
      </c>
      <c r="AF771" s="126">
        <f>'Input Operasional'!AE79</f>
        <v>0</v>
      </c>
      <c r="AG771" s="126">
        <f>'Input Operasional'!AF79</f>
        <v>0</v>
      </c>
    </row>
    <row r="772" spans="1:33" ht="14.25" customHeight="1" x14ac:dyDescent="0.35">
      <c r="A772" s="21"/>
      <c r="B772" s="28"/>
      <c r="C772" s="28"/>
      <c r="D772" s="175" t="s">
        <v>4108</v>
      </c>
      <c r="E772" s="175"/>
      <c r="F772" s="21"/>
      <c r="G772" s="21"/>
      <c r="H772" s="21"/>
      <c r="I772" s="22" t="s">
        <v>3900</v>
      </c>
      <c r="J772" s="132">
        <v>0</v>
      </c>
      <c r="K772" s="132">
        <v>0</v>
      </c>
      <c r="L772" s="132">
        <v>0</v>
      </c>
      <c r="M772" s="132">
        <v>0</v>
      </c>
      <c r="N772" s="132">
        <v>0</v>
      </c>
      <c r="O772" s="132">
        <v>0</v>
      </c>
      <c r="P772" s="132">
        <v>0</v>
      </c>
      <c r="Q772" s="132">
        <v>0</v>
      </c>
      <c r="R772" s="140">
        <f t="shared" ref="R772:AG772" si="496">R771*R741</f>
        <v>0</v>
      </c>
      <c r="S772" s="140">
        <f t="shared" si="496"/>
        <v>0</v>
      </c>
      <c r="T772" s="140">
        <f t="shared" si="496"/>
        <v>0</v>
      </c>
      <c r="U772" s="140">
        <f t="shared" si="496"/>
        <v>0</v>
      </c>
      <c r="V772" s="140">
        <f t="shared" si="496"/>
        <v>0</v>
      </c>
      <c r="W772" s="140">
        <f t="shared" si="496"/>
        <v>0</v>
      </c>
      <c r="X772" s="140">
        <f t="shared" si="496"/>
        <v>0</v>
      </c>
      <c r="Y772" s="140">
        <f t="shared" si="496"/>
        <v>0</v>
      </c>
      <c r="Z772" s="140">
        <f t="shared" si="496"/>
        <v>0</v>
      </c>
      <c r="AA772" s="140">
        <f t="shared" si="496"/>
        <v>0</v>
      </c>
      <c r="AB772" s="140">
        <f t="shared" si="496"/>
        <v>0</v>
      </c>
      <c r="AC772" s="140">
        <f t="shared" si="496"/>
        <v>0</v>
      </c>
      <c r="AD772" s="140">
        <f t="shared" si="496"/>
        <v>0</v>
      </c>
      <c r="AE772" s="140">
        <f t="shared" si="496"/>
        <v>0</v>
      </c>
      <c r="AF772" s="140">
        <f t="shared" si="496"/>
        <v>0</v>
      </c>
      <c r="AG772" s="140">
        <f t="shared" si="496"/>
        <v>0</v>
      </c>
    </row>
    <row r="773" spans="1:33" ht="14.25" customHeight="1" x14ac:dyDescent="0.35">
      <c r="A773" s="21"/>
      <c r="B773" s="28"/>
      <c r="C773" s="28"/>
      <c r="D773" s="175" t="s">
        <v>4061</v>
      </c>
      <c r="E773" s="175"/>
      <c r="F773" s="21"/>
      <c r="G773" s="21"/>
      <c r="H773" s="21"/>
      <c r="I773" s="22" t="s">
        <v>3861</v>
      </c>
      <c r="J773" s="132">
        <v>0</v>
      </c>
      <c r="K773" s="132">
        <v>0</v>
      </c>
      <c r="L773" s="132">
        <v>0</v>
      </c>
      <c r="M773" s="132">
        <v>0</v>
      </c>
      <c r="N773" s="132">
        <v>0</v>
      </c>
      <c r="O773" s="132">
        <v>0</v>
      </c>
      <c r="P773" s="132">
        <v>0</v>
      </c>
      <c r="Q773" s="132">
        <v>0</v>
      </c>
      <c r="R773" s="140">
        <f t="shared" ref="R773:AG773" si="497">R334</f>
        <v>4630.0491108003798</v>
      </c>
      <c r="S773" s="140">
        <f t="shared" si="497"/>
        <v>4626.1795798090243</v>
      </c>
      <c r="T773" s="140">
        <f t="shared" si="497"/>
        <v>4623.4142183342383</v>
      </c>
      <c r="U773" s="140">
        <f t="shared" si="497"/>
        <v>4621.3957757639037</v>
      </c>
      <c r="V773" s="140">
        <f t="shared" si="497"/>
        <v>4619.94037255085</v>
      </c>
      <c r="W773" s="140">
        <f t="shared" si="497"/>
        <v>4618.8898071626854</v>
      </c>
      <c r="X773" s="140">
        <f t="shared" si="497"/>
        <v>4618.1289370940112</v>
      </c>
      <c r="Y773" s="140">
        <f t="shared" si="497"/>
        <v>4617.5793016519474</v>
      </c>
      <c r="Z773" s="140">
        <f t="shared" si="497"/>
        <v>4617.1820138940911</v>
      </c>
      <c r="AA773" s="140">
        <f t="shared" si="497"/>
        <v>4616.8947159927411</v>
      </c>
      <c r="AB773" s="140">
        <f t="shared" si="497"/>
        <v>4616.6870622591896</v>
      </c>
      <c r="AC773" s="140">
        <f t="shared" si="497"/>
        <v>4616.5369458795076</v>
      </c>
      <c r="AD773" s="140">
        <f t="shared" si="497"/>
        <v>4616.428419400605</v>
      </c>
      <c r="AE773" s="140">
        <f t="shared" si="497"/>
        <v>4616.3499675008925</v>
      </c>
      <c r="AF773" s="140">
        <f t="shared" si="497"/>
        <v>4616.2932533582361</v>
      </c>
      <c r="AG773" s="140">
        <f t="shared" si="497"/>
        <v>4616.2522538040603</v>
      </c>
    </row>
    <row r="774" spans="1:33" ht="14.25" customHeight="1" x14ac:dyDescent="0.35">
      <c r="A774" s="21"/>
      <c r="B774" s="28"/>
      <c r="C774" s="28"/>
      <c r="D774" s="175" t="s">
        <v>4121</v>
      </c>
      <c r="E774" s="175"/>
      <c r="F774" s="21"/>
      <c r="G774" s="21"/>
      <c r="H774" s="21"/>
      <c r="I774" s="22" t="s">
        <v>4060</v>
      </c>
      <c r="J774" s="148">
        <v>0</v>
      </c>
      <c r="K774" s="148">
        <v>0</v>
      </c>
      <c r="L774" s="148">
        <v>0</v>
      </c>
      <c r="M774" s="148">
        <v>0</v>
      </c>
      <c r="N774" s="148">
        <v>0</v>
      </c>
      <c r="O774" s="148">
        <v>0</v>
      </c>
      <c r="P774" s="148">
        <v>0</v>
      </c>
      <c r="Q774" s="148">
        <v>0</v>
      </c>
      <c r="R774" s="149">
        <f t="shared" ref="R774:AG774" si="498">R772*R773</f>
        <v>0</v>
      </c>
      <c r="S774" s="149">
        <f t="shared" si="498"/>
        <v>0</v>
      </c>
      <c r="T774" s="149">
        <f t="shared" si="498"/>
        <v>0</v>
      </c>
      <c r="U774" s="149">
        <f t="shared" si="498"/>
        <v>0</v>
      </c>
      <c r="V774" s="149">
        <f t="shared" si="498"/>
        <v>0</v>
      </c>
      <c r="W774" s="149">
        <f t="shared" si="498"/>
        <v>0</v>
      </c>
      <c r="X774" s="149">
        <f t="shared" si="498"/>
        <v>0</v>
      </c>
      <c r="Y774" s="149">
        <f t="shared" si="498"/>
        <v>0</v>
      </c>
      <c r="Z774" s="149">
        <f t="shared" si="498"/>
        <v>0</v>
      </c>
      <c r="AA774" s="149">
        <f t="shared" si="498"/>
        <v>0</v>
      </c>
      <c r="AB774" s="149">
        <f t="shared" si="498"/>
        <v>0</v>
      </c>
      <c r="AC774" s="149">
        <f t="shared" si="498"/>
        <v>0</v>
      </c>
      <c r="AD774" s="149">
        <f t="shared" si="498"/>
        <v>0</v>
      </c>
      <c r="AE774" s="149">
        <f t="shared" si="498"/>
        <v>0</v>
      </c>
      <c r="AF774" s="149">
        <f t="shared" si="498"/>
        <v>0</v>
      </c>
      <c r="AG774" s="149">
        <f t="shared" si="498"/>
        <v>0</v>
      </c>
    </row>
    <row r="775" spans="1:33" ht="14.25" customHeight="1" x14ac:dyDescent="0.35">
      <c r="A775" s="21"/>
      <c r="B775" s="28"/>
      <c r="C775" s="143" t="s">
        <v>4229</v>
      </c>
      <c r="D775" s="179" t="s">
        <v>4072</v>
      </c>
      <c r="E775" s="21"/>
      <c r="F775" s="21"/>
      <c r="G775" s="21"/>
      <c r="H775" s="21"/>
      <c r="I775" s="22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</row>
    <row r="776" spans="1:33" ht="14.25" customHeight="1" x14ac:dyDescent="0.35">
      <c r="A776" s="21"/>
      <c r="B776" s="28"/>
      <c r="C776" s="28"/>
      <c r="D776" s="175" t="s">
        <v>4123</v>
      </c>
      <c r="E776" s="175"/>
      <c r="F776" s="21"/>
      <c r="G776" s="21"/>
      <c r="H776" s="21"/>
      <c r="I776" s="22" t="s">
        <v>13</v>
      </c>
      <c r="J776" s="122">
        <v>0</v>
      </c>
      <c r="K776" s="122">
        <f t="shared" ref="K776:Q776" si="499">IF(K745=0,0,K777/K745)</f>
        <v>0</v>
      </c>
      <c r="L776" s="122">
        <f t="shared" si="499"/>
        <v>0</v>
      </c>
      <c r="M776" s="122">
        <f t="shared" si="499"/>
        <v>0</v>
      </c>
      <c r="N776" s="122">
        <f t="shared" si="499"/>
        <v>0</v>
      </c>
      <c r="O776" s="122">
        <f t="shared" si="499"/>
        <v>0</v>
      </c>
      <c r="P776" s="122">
        <f t="shared" si="499"/>
        <v>5.7652338398306107E-4</v>
      </c>
      <c r="Q776" s="122">
        <f t="shared" si="499"/>
        <v>0</v>
      </c>
      <c r="R776" s="126">
        <f>'Input Operasional'!Q83</f>
        <v>1.0733871438764136E-4</v>
      </c>
      <c r="S776" s="126">
        <f>'Input Operasional'!R83</f>
        <v>1.0733871438764136E-4</v>
      </c>
      <c r="T776" s="126">
        <f>'Input Operasional'!S83</f>
        <v>1.0733871438764136E-4</v>
      </c>
      <c r="U776" s="126">
        <f>'Input Operasional'!T83</f>
        <v>1.0733871438764136E-4</v>
      </c>
      <c r="V776" s="126">
        <f>'Input Operasional'!U83</f>
        <v>1.0733871438764136E-4</v>
      </c>
      <c r="W776" s="126">
        <f>'Input Operasional'!V83</f>
        <v>1.0733871438764136E-4</v>
      </c>
      <c r="X776" s="126">
        <f>'Input Operasional'!W83</f>
        <v>1.0733871438764136E-4</v>
      </c>
      <c r="Y776" s="126">
        <f>'Input Operasional'!X83</f>
        <v>1.0733871438764136E-4</v>
      </c>
      <c r="Z776" s="126">
        <f>'Input Operasional'!Y83</f>
        <v>1.0733871438764136E-4</v>
      </c>
      <c r="AA776" s="126">
        <f>'Input Operasional'!Z83</f>
        <v>1.0733871438764136E-4</v>
      </c>
      <c r="AB776" s="126">
        <f>'Input Operasional'!AA83</f>
        <v>1.0733871438764136E-4</v>
      </c>
      <c r="AC776" s="126">
        <f>'Input Operasional'!AB83</f>
        <v>1.0733871438764136E-4</v>
      </c>
      <c r="AD776" s="126">
        <f>'Input Operasional'!AC83</f>
        <v>1.0733871438764136E-4</v>
      </c>
      <c r="AE776" s="126">
        <f>'Input Operasional'!AD83</f>
        <v>1.0733871438764136E-4</v>
      </c>
      <c r="AF776" s="126">
        <f>'Input Operasional'!AE83</f>
        <v>1.0733871438764136E-4</v>
      </c>
      <c r="AG776" s="126">
        <f>'Input Operasional'!AF83</f>
        <v>1.0733871438764136E-4</v>
      </c>
    </row>
    <row r="777" spans="1:33" ht="14.25" customHeight="1" x14ac:dyDescent="0.35">
      <c r="A777" s="21"/>
      <c r="B777" s="28"/>
      <c r="C777" s="28"/>
      <c r="D777" s="175" t="s">
        <v>4108</v>
      </c>
      <c r="E777" s="175"/>
      <c r="F777" s="21"/>
      <c r="G777" s="21"/>
      <c r="H777" s="21"/>
      <c r="I777" s="22" t="s">
        <v>3900</v>
      </c>
      <c r="J777" s="132">
        <v>0</v>
      </c>
      <c r="K777" s="132">
        <v>0</v>
      </c>
      <c r="L777" s="132">
        <v>0</v>
      </c>
      <c r="M777" s="132">
        <v>0</v>
      </c>
      <c r="N777" s="132">
        <v>0</v>
      </c>
      <c r="O777" s="132">
        <v>0</v>
      </c>
      <c r="P777" s="132">
        <v>4.7782258064516103</v>
      </c>
      <c r="Q777" s="132">
        <v>0</v>
      </c>
      <c r="R777" s="140">
        <f t="shared" ref="R777:AG777" si="500">R776*R745</f>
        <v>0.60331133919843571</v>
      </c>
      <c r="S777" s="140">
        <f t="shared" si="500"/>
        <v>0.60331133919843571</v>
      </c>
      <c r="T777" s="140">
        <f t="shared" si="500"/>
        <v>0.60331133919843571</v>
      </c>
      <c r="U777" s="140">
        <f t="shared" si="500"/>
        <v>0.60331133919843571</v>
      </c>
      <c r="V777" s="140">
        <f t="shared" si="500"/>
        <v>0.60331133919843571</v>
      </c>
      <c r="W777" s="140">
        <f t="shared" si="500"/>
        <v>0.60331133919843571</v>
      </c>
      <c r="X777" s="140">
        <f t="shared" si="500"/>
        <v>0.60331133919843571</v>
      </c>
      <c r="Y777" s="140">
        <f t="shared" si="500"/>
        <v>0.60331133919843571</v>
      </c>
      <c r="Z777" s="140">
        <f t="shared" si="500"/>
        <v>0.60331133919843571</v>
      </c>
      <c r="AA777" s="140">
        <f t="shared" si="500"/>
        <v>0.60331133919843571</v>
      </c>
      <c r="AB777" s="140">
        <f t="shared" si="500"/>
        <v>0.60331133919843571</v>
      </c>
      <c r="AC777" s="140">
        <f t="shared" si="500"/>
        <v>0.60331133919843571</v>
      </c>
      <c r="AD777" s="140">
        <f t="shared" si="500"/>
        <v>0.60331133919843571</v>
      </c>
      <c r="AE777" s="140">
        <f t="shared" si="500"/>
        <v>0.60331133919843571</v>
      </c>
      <c r="AF777" s="140">
        <f t="shared" si="500"/>
        <v>0.60331133919843571</v>
      </c>
      <c r="AG777" s="140">
        <f t="shared" si="500"/>
        <v>0.60331133919843571</v>
      </c>
    </row>
    <row r="778" spans="1:33" ht="14.25" customHeight="1" x14ac:dyDescent="0.35">
      <c r="A778" s="21"/>
      <c r="B778" s="28"/>
      <c r="C778" s="28"/>
      <c r="D778" s="175" t="s">
        <v>4061</v>
      </c>
      <c r="E778" s="175"/>
      <c r="F778" s="21"/>
      <c r="G778" s="21"/>
      <c r="H778" s="21"/>
      <c r="I778" s="22" t="s">
        <v>3861</v>
      </c>
      <c r="J778" s="132">
        <v>0</v>
      </c>
      <c r="K778" s="132">
        <v>0</v>
      </c>
      <c r="L778" s="132">
        <v>0</v>
      </c>
      <c r="M778" s="132">
        <v>0</v>
      </c>
      <c r="N778" s="132">
        <v>0</v>
      </c>
      <c r="O778" s="132">
        <v>0</v>
      </c>
      <c r="P778" s="132">
        <v>34605.650593126498</v>
      </c>
      <c r="Q778" s="132">
        <v>0</v>
      </c>
      <c r="R778" s="140">
        <f t="shared" ref="R778:AG778" si="501">R350</f>
        <v>31999.803314511719</v>
      </c>
      <c r="S778" s="140">
        <f t="shared" si="501"/>
        <v>31542.625913469608</v>
      </c>
      <c r="T778" s="140">
        <f t="shared" si="501"/>
        <v>31233.237937795209</v>
      </c>
      <c r="U778" s="140">
        <f t="shared" si="501"/>
        <v>31020.119924617753</v>
      </c>
      <c r="V778" s="140">
        <f t="shared" si="501"/>
        <v>30874.829430536367</v>
      </c>
      <c r="W778" s="140">
        <f t="shared" si="501"/>
        <v>30775.680799431091</v>
      </c>
      <c r="X778" s="140">
        <f t="shared" si="501"/>
        <v>30707.831449863519</v>
      </c>
      <c r="Y778" s="140">
        <f t="shared" si="501"/>
        <v>30661.502351357416</v>
      </c>
      <c r="Z778" s="140">
        <f t="shared" si="501"/>
        <v>30629.850965944148</v>
      </c>
      <c r="AA778" s="140">
        <f t="shared" si="501"/>
        <v>30608.219066360089</v>
      </c>
      <c r="AB778" s="140">
        <f t="shared" si="501"/>
        <v>30593.441226316554</v>
      </c>
      <c r="AC778" s="140">
        <f t="shared" si="501"/>
        <v>30583.344126134554</v>
      </c>
      <c r="AD778" s="140">
        <f t="shared" si="501"/>
        <v>30576.444938169865</v>
      </c>
      <c r="AE778" s="140">
        <f t="shared" si="501"/>
        <v>30571.73119681087</v>
      </c>
      <c r="AF778" s="140">
        <f t="shared" si="501"/>
        <v>30568.510493805505</v>
      </c>
      <c r="AG778" s="140">
        <f t="shared" si="501"/>
        <v>30566.309922986758</v>
      </c>
    </row>
    <row r="779" spans="1:33" ht="14.25" customHeight="1" x14ac:dyDescent="0.35">
      <c r="A779" s="21"/>
      <c r="B779" s="28"/>
      <c r="C779" s="28"/>
      <c r="D779" s="175" t="s">
        <v>4072</v>
      </c>
      <c r="E779" s="175"/>
      <c r="F779" s="21"/>
      <c r="G779" s="21"/>
      <c r="H779" s="21"/>
      <c r="I779" s="22" t="s">
        <v>4060</v>
      </c>
      <c r="J779" s="148">
        <v>0</v>
      </c>
      <c r="K779" s="148">
        <v>0</v>
      </c>
      <c r="L779" s="148">
        <v>0</v>
      </c>
      <c r="M779" s="148">
        <v>0</v>
      </c>
      <c r="N779" s="148">
        <v>0</v>
      </c>
      <c r="O779" s="148">
        <v>0</v>
      </c>
      <c r="P779" s="148">
        <f>P777*P778</f>
        <v>165353.61271312452</v>
      </c>
      <c r="Q779" s="148">
        <v>0</v>
      </c>
      <c r="R779" s="149">
        <f t="shared" ref="R779:AG779" si="502">R777*R778</f>
        <v>19305.844191764609</v>
      </c>
      <c r="S779" s="149">
        <f t="shared" si="502"/>
        <v>19030.023881690631</v>
      </c>
      <c r="T779" s="149">
        <f t="shared" si="502"/>
        <v>18843.366607754615</v>
      </c>
      <c r="U779" s="149">
        <f t="shared" si="502"/>
        <v>18714.790093817217</v>
      </c>
      <c r="V779" s="149">
        <f t="shared" si="502"/>
        <v>18627.134691260173</v>
      </c>
      <c r="W779" s="149">
        <f t="shared" si="502"/>
        <v>18567.317197848355</v>
      </c>
      <c r="X779" s="149">
        <f t="shared" si="502"/>
        <v>18526.382915897</v>
      </c>
      <c r="Y779" s="149">
        <f t="shared" si="502"/>
        <v>18498.432045433427</v>
      </c>
      <c r="Z779" s="149">
        <f t="shared" si="502"/>
        <v>18479.336405712264</v>
      </c>
      <c r="AA779" s="149">
        <f t="shared" si="502"/>
        <v>18466.285635404798</v>
      </c>
      <c r="AB779" s="149">
        <f t="shared" si="502"/>
        <v>18457.369996937672</v>
      </c>
      <c r="AC779" s="149">
        <f t="shared" si="502"/>
        <v>18451.278301904851</v>
      </c>
      <c r="AD779" s="149">
        <f t="shared" si="502"/>
        <v>18447.115943574492</v>
      </c>
      <c r="AE779" s="149">
        <f t="shared" si="502"/>
        <v>18444.27208996256</v>
      </c>
      <c r="AF779" s="149">
        <f t="shared" si="502"/>
        <v>18442.329003319235</v>
      </c>
      <c r="AG779" s="149">
        <f t="shared" si="502"/>
        <v>18441.001373991574</v>
      </c>
    </row>
    <row r="780" spans="1:33" ht="14.25" customHeight="1" x14ac:dyDescent="0.35">
      <c r="A780" s="21"/>
      <c r="B780" s="28"/>
      <c r="C780" s="143" t="s">
        <v>4230</v>
      </c>
      <c r="D780" s="179" t="s">
        <v>4074</v>
      </c>
      <c r="E780" s="21"/>
      <c r="F780" s="21"/>
      <c r="G780" s="21"/>
      <c r="H780" s="21"/>
      <c r="I780" s="22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</row>
    <row r="781" spans="1:33" ht="14.25" customHeight="1" x14ac:dyDescent="0.35">
      <c r="A781" s="21"/>
      <c r="B781" s="28"/>
      <c r="C781" s="28"/>
      <c r="D781" s="175" t="s">
        <v>4123</v>
      </c>
      <c r="E781" s="175"/>
      <c r="F781" s="21"/>
      <c r="G781" s="21"/>
      <c r="H781" s="21"/>
      <c r="I781" s="22" t="s">
        <v>13</v>
      </c>
      <c r="J781" s="122">
        <v>0</v>
      </c>
      <c r="K781" s="122">
        <f t="shared" ref="K781:Q781" si="503">IF(K741=0,0,K782/K741)</f>
        <v>0</v>
      </c>
      <c r="L781" s="122">
        <f t="shared" si="503"/>
        <v>0</v>
      </c>
      <c r="M781" s="122">
        <f t="shared" si="503"/>
        <v>0</v>
      </c>
      <c r="N781" s="122">
        <f t="shared" si="503"/>
        <v>0</v>
      </c>
      <c r="O781" s="122">
        <f t="shared" si="503"/>
        <v>0</v>
      </c>
      <c r="P781" s="122">
        <f t="shared" si="503"/>
        <v>0</v>
      </c>
      <c r="Q781" s="122">
        <f t="shared" si="503"/>
        <v>0</v>
      </c>
      <c r="R781" s="126">
        <f>'Input Operasional'!Q87</f>
        <v>0</v>
      </c>
      <c r="S781" s="126">
        <f>'Input Operasional'!R87</f>
        <v>0</v>
      </c>
      <c r="T781" s="126">
        <f>'Input Operasional'!S87</f>
        <v>0</v>
      </c>
      <c r="U781" s="126">
        <f>'Input Operasional'!T87</f>
        <v>0</v>
      </c>
      <c r="V781" s="126">
        <f>'Input Operasional'!U87</f>
        <v>0</v>
      </c>
      <c r="W781" s="126">
        <f>'Input Operasional'!V87</f>
        <v>0</v>
      </c>
      <c r="X781" s="126">
        <f>'Input Operasional'!W87</f>
        <v>0</v>
      </c>
      <c r="Y781" s="126">
        <f>'Input Operasional'!X87</f>
        <v>0</v>
      </c>
      <c r="Z781" s="126">
        <f>'Input Operasional'!Y87</f>
        <v>0</v>
      </c>
      <c r="AA781" s="126">
        <f>'Input Operasional'!Z87</f>
        <v>0</v>
      </c>
      <c r="AB781" s="126">
        <f>'Input Operasional'!AA87</f>
        <v>0</v>
      </c>
      <c r="AC781" s="126">
        <f>'Input Operasional'!AB87</f>
        <v>0</v>
      </c>
      <c r="AD781" s="126">
        <f>'Input Operasional'!AC87</f>
        <v>0</v>
      </c>
      <c r="AE781" s="126">
        <f>'Input Operasional'!AD87</f>
        <v>0</v>
      </c>
      <c r="AF781" s="126">
        <f>'Input Operasional'!AE87</f>
        <v>0</v>
      </c>
      <c r="AG781" s="126">
        <f>'Input Operasional'!AF87</f>
        <v>0</v>
      </c>
    </row>
    <row r="782" spans="1:33" ht="14.25" customHeight="1" x14ac:dyDescent="0.35">
      <c r="A782" s="21"/>
      <c r="B782" s="28"/>
      <c r="C782" s="28"/>
      <c r="D782" s="175" t="s">
        <v>4108</v>
      </c>
      <c r="E782" s="175"/>
      <c r="F782" s="21"/>
      <c r="G782" s="21"/>
      <c r="H782" s="21"/>
      <c r="I782" s="22" t="s">
        <v>3900</v>
      </c>
      <c r="J782" s="132">
        <v>0</v>
      </c>
      <c r="K782" s="132">
        <v>0</v>
      </c>
      <c r="L782" s="132">
        <v>0</v>
      </c>
      <c r="M782" s="132">
        <v>0</v>
      </c>
      <c r="N782" s="132">
        <v>0</v>
      </c>
      <c r="O782" s="132">
        <v>0</v>
      </c>
      <c r="P782" s="132">
        <v>0</v>
      </c>
      <c r="Q782" s="132">
        <v>0</v>
      </c>
      <c r="R782" s="140">
        <f t="shared" ref="R782:AG782" si="504">R781*R741</f>
        <v>0</v>
      </c>
      <c r="S782" s="140">
        <f t="shared" si="504"/>
        <v>0</v>
      </c>
      <c r="T782" s="140">
        <f t="shared" si="504"/>
        <v>0</v>
      </c>
      <c r="U782" s="140">
        <f t="shared" si="504"/>
        <v>0</v>
      </c>
      <c r="V782" s="140">
        <f t="shared" si="504"/>
        <v>0</v>
      </c>
      <c r="W782" s="140">
        <f t="shared" si="504"/>
        <v>0</v>
      </c>
      <c r="X782" s="140">
        <f t="shared" si="504"/>
        <v>0</v>
      </c>
      <c r="Y782" s="140">
        <f t="shared" si="504"/>
        <v>0</v>
      </c>
      <c r="Z782" s="140">
        <f t="shared" si="504"/>
        <v>0</v>
      </c>
      <c r="AA782" s="140">
        <f t="shared" si="504"/>
        <v>0</v>
      </c>
      <c r="AB782" s="140">
        <f t="shared" si="504"/>
        <v>0</v>
      </c>
      <c r="AC782" s="140">
        <f t="shared" si="504"/>
        <v>0</v>
      </c>
      <c r="AD782" s="140">
        <f t="shared" si="504"/>
        <v>0</v>
      </c>
      <c r="AE782" s="140">
        <f t="shared" si="504"/>
        <v>0</v>
      </c>
      <c r="AF782" s="140">
        <f t="shared" si="504"/>
        <v>0</v>
      </c>
      <c r="AG782" s="140">
        <f t="shared" si="504"/>
        <v>0</v>
      </c>
    </row>
    <row r="783" spans="1:33" ht="14.25" customHeight="1" x14ac:dyDescent="0.35">
      <c r="A783" s="21"/>
      <c r="B783" s="28"/>
      <c r="C783" s="28"/>
      <c r="D783" s="175" t="s">
        <v>4061</v>
      </c>
      <c r="E783" s="175"/>
      <c r="F783" s="21"/>
      <c r="G783" s="21"/>
      <c r="H783" s="21"/>
      <c r="I783" s="22" t="s">
        <v>3861</v>
      </c>
      <c r="J783" s="132">
        <v>0</v>
      </c>
      <c r="K783" s="132">
        <v>0</v>
      </c>
      <c r="L783" s="132">
        <v>0</v>
      </c>
      <c r="M783" s="132">
        <v>0</v>
      </c>
      <c r="N783" s="132">
        <v>0</v>
      </c>
      <c r="O783" s="132">
        <v>0</v>
      </c>
      <c r="P783" s="132">
        <v>0</v>
      </c>
      <c r="Q783" s="132">
        <v>0</v>
      </c>
      <c r="R783" s="140">
        <f t="shared" ref="R783:AG783" si="505">R366</f>
        <v>34879.083979057592</v>
      </c>
      <c r="S783" s="140">
        <f t="shared" si="505"/>
        <v>33900.038425008875</v>
      </c>
      <c r="T783" s="140">
        <f t="shared" si="505"/>
        <v>33127.132905379724</v>
      </c>
      <c r="U783" s="140">
        <f t="shared" si="505"/>
        <v>32725.337495661246</v>
      </c>
      <c r="V783" s="140">
        <f t="shared" si="505"/>
        <v>32517.8604235598</v>
      </c>
      <c r="W783" s="140">
        <f t="shared" si="505"/>
        <v>32410.633919260799</v>
      </c>
      <c r="X783" s="140">
        <f t="shared" si="505"/>
        <v>32355.125367417462</v>
      </c>
      <c r="Y783" s="140">
        <f t="shared" si="505"/>
        <v>32326.430026639762</v>
      </c>
      <c r="Z783" s="140">
        <f t="shared" si="505"/>
        <v>32311.590325880832</v>
      </c>
      <c r="AA783" s="140">
        <f t="shared" si="505"/>
        <v>32303.91436445561</v>
      </c>
      <c r="AB783" s="140">
        <f t="shared" si="505"/>
        <v>32299.944974766011</v>
      </c>
      <c r="AC783" s="140">
        <f t="shared" si="505"/>
        <v>32297.892105998271</v>
      </c>
      <c r="AD783" s="140">
        <f t="shared" si="505"/>
        <v>32296.830394465778</v>
      </c>
      <c r="AE783" s="140">
        <f t="shared" si="505"/>
        <v>32296.28132016382</v>
      </c>
      <c r="AF783" s="140">
        <f t="shared" si="505"/>
        <v>32295.99735379258</v>
      </c>
      <c r="AG783" s="140">
        <f t="shared" si="505"/>
        <v>32295.850494256105</v>
      </c>
    </row>
    <row r="784" spans="1:33" ht="14.25" customHeight="1" x14ac:dyDescent="0.35">
      <c r="A784" s="21"/>
      <c r="B784" s="28"/>
      <c r="C784" s="28"/>
      <c r="D784" s="175" t="s">
        <v>4074</v>
      </c>
      <c r="E784" s="175"/>
      <c r="F784" s="21"/>
      <c r="G784" s="21"/>
      <c r="H784" s="21"/>
      <c r="I784" s="22" t="s">
        <v>4060</v>
      </c>
      <c r="J784" s="148">
        <v>0</v>
      </c>
      <c r="K784" s="148">
        <v>0</v>
      </c>
      <c r="L784" s="148">
        <v>0</v>
      </c>
      <c r="M784" s="148">
        <v>0</v>
      </c>
      <c r="N784" s="148">
        <v>0</v>
      </c>
      <c r="O784" s="148">
        <v>0</v>
      </c>
      <c r="P784" s="148">
        <v>0</v>
      </c>
      <c r="Q784" s="148">
        <v>0</v>
      </c>
      <c r="R784" s="149">
        <f t="shared" ref="R784:AG784" si="506">R782*R783</f>
        <v>0</v>
      </c>
      <c r="S784" s="149">
        <f t="shared" si="506"/>
        <v>0</v>
      </c>
      <c r="T784" s="149">
        <f t="shared" si="506"/>
        <v>0</v>
      </c>
      <c r="U784" s="149">
        <f t="shared" si="506"/>
        <v>0</v>
      </c>
      <c r="V784" s="149">
        <f t="shared" si="506"/>
        <v>0</v>
      </c>
      <c r="W784" s="149">
        <f t="shared" si="506"/>
        <v>0</v>
      </c>
      <c r="X784" s="149">
        <f t="shared" si="506"/>
        <v>0</v>
      </c>
      <c r="Y784" s="149">
        <f t="shared" si="506"/>
        <v>0</v>
      </c>
      <c r="Z784" s="149">
        <f t="shared" si="506"/>
        <v>0</v>
      </c>
      <c r="AA784" s="149">
        <f t="shared" si="506"/>
        <v>0</v>
      </c>
      <c r="AB784" s="149">
        <f t="shared" si="506"/>
        <v>0</v>
      </c>
      <c r="AC784" s="149">
        <f t="shared" si="506"/>
        <v>0</v>
      </c>
      <c r="AD784" s="149">
        <f t="shared" si="506"/>
        <v>0</v>
      </c>
      <c r="AE784" s="149">
        <f t="shared" si="506"/>
        <v>0</v>
      </c>
      <c r="AF784" s="149">
        <f t="shared" si="506"/>
        <v>0</v>
      </c>
      <c r="AG784" s="149">
        <f t="shared" si="506"/>
        <v>0</v>
      </c>
    </row>
    <row r="785" spans="1:33" ht="14.25" customHeight="1" x14ac:dyDescent="0.35">
      <c r="A785" s="21"/>
      <c r="B785" s="28"/>
      <c r="C785" s="143" t="s">
        <v>4231</v>
      </c>
      <c r="D785" s="179" t="s">
        <v>4076</v>
      </c>
      <c r="E785" s="21"/>
      <c r="F785" s="21"/>
      <c r="G785" s="21"/>
      <c r="H785" s="21"/>
      <c r="I785" s="22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</row>
    <row r="786" spans="1:33" ht="14.25" customHeight="1" x14ac:dyDescent="0.35">
      <c r="A786" s="21"/>
      <c r="B786" s="28"/>
      <c r="C786" s="28"/>
      <c r="D786" s="175" t="s">
        <v>4123</v>
      </c>
      <c r="E786" s="175"/>
      <c r="F786" s="21"/>
      <c r="G786" s="21"/>
      <c r="H786" s="21"/>
      <c r="I786" s="22" t="s">
        <v>13</v>
      </c>
      <c r="J786" s="122">
        <v>0</v>
      </c>
      <c r="K786" s="122">
        <f t="shared" ref="K786:Q786" si="507">IF(K745=0,0,K787/K745)</f>
        <v>1.9616427522313865E-2</v>
      </c>
      <c r="L786" s="122">
        <f t="shared" si="507"/>
        <v>0</v>
      </c>
      <c r="M786" s="122">
        <f t="shared" si="507"/>
        <v>1.9533927347498287E-2</v>
      </c>
      <c r="N786" s="122">
        <f t="shared" si="507"/>
        <v>2.0202436738519212E-2</v>
      </c>
      <c r="O786" s="122">
        <f t="shared" si="507"/>
        <v>2.0541344859349536E-2</v>
      </c>
      <c r="P786" s="122">
        <f t="shared" si="507"/>
        <v>2.275096525096525E-2</v>
      </c>
      <c r="Q786" s="122">
        <f t="shared" si="507"/>
        <v>2.0194515736863435E-2</v>
      </c>
      <c r="R786" s="126">
        <f>'Input Operasional'!Q91</f>
        <v>2.0648809176150276E-2</v>
      </c>
      <c r="S786" s="126">
        <f>'Input Operasional'!R91</f>
        <v>2.0648809176150276E-2</v>
      </c>
      <c r="T786" s="126">
        <f>'Input Operasional'!S91</f>
        <v>2.0648809176150276E-2</v>
      </c>
      <c r="U786" s="126">
        <f>'Input Operasional'!T91</f>
        <v>2.0648809176150276E-2</v>
      </c>
      <c r="V786" s="126">
        <f>'Input Operasional'!U91</f>
        <v>2.0648809176150276E-2</v>
      </c>
      <c r="W786" s="126">
        <f>'Input Operasional'!V91</f>
        <v>2.0648809176150276E-2</v>
      </c>
      <c r="X786" s="126">
        <f>'Input Operasional'!W91</f>
        <v>2.0648809176150276E-2</v>
      </c>
      <c r="Y786" s="126">
        <f>'Input Operasional'!X91</f>
        <v>2.0648809176150276E-2</v>
      </c>
      <c r="Z786" s="126">
        <f>'Input Operasional'!Y91</f>
        <v>2.0648809176150276E-2</v>
      </c>
      <c r="AA786" s="126">
        <f>'Input Operasional'!Z91</f>
        <v>2.0648809176150276E-2</v>
      </c>
      <c r="AB786" s="126">
        <f>'Input Operasional'!AA91</f>
        <v>2.0648809176150276E-2</v>
      </c>
      <c r="AC786" s="126">
        <f>'Input Operasional'!AB91</f>
        <v>2.0648809176150276E-2</v>
      </c>
      <c r="AD786" s="126">
        <f>'Input Operasional'!AC91</f>
        <v>2.0648809176150276E-2</v>
      </c>
      <c r="AE786" s="126">
        <f>'Input Operasional'!AD91</f>
        <v>2.0648809176150276E-2</v>
      </c>
      <c r="AF786" s="126">
        <f>'Input Operasional'!AE91</f>
        <v>2.0648809176150276E-2</v>
      </c>
      <c r="AG786" s="126">
        <f>'Input Operasional'!AF91</f>
        <v>2.0648809176150276E-2</v>
      </c>
    </row>
    <row r="787" spans="1:33" ht="14.25" customHeight="1" x14ac:dyDescent="0.35">
      <c r="A787" s="21"/>
      <c r="B787" s="28"/>
      <c r="C787" s="28"/>
      <c r="D787" s="175" t="s">
        <v>4108</v>
      </c>
      <c r="E787" s="175"/>
      <c r="F787" s="21"/>
      <c r="G787" s="21"/>
      <c r="H787" s="21"/>
      <c r="I787" s="22" t="s">
        <v>3900</v>
      </c>
      <c r="J787" s="132">
        <v>0</v>
      </c>
      <c r="K787" s="132">
        <v>69.45</v>
      </c>
      <c r="L787" s="132">
        <v>0</v>
      </c>
      <c r="M787" s="132">
        <v>114</v>
      </c>
      <c r="N787" s="132">
        <v>107.78</v>
      </c>
      <c r="O787" s="132">
        <v>289.89999999999998</v>
      </c>
      <c r="P787" s="132">
        <v>188.56</v>
      </c>
      <c r="Q787" s="132">
        <v>149.5</v>
      </c>
      <c r="R787" s="140">
        <f t="shared" ref="R787:AG787" si="508">R786*R745</f>
        <v>116.05934343434345</v>
      </c>
      <c r="S787" s="140">
        <f t="shared" si="508"/>
        <v>116.05934343434345</v>
      </c>
      <c r="T787" s="140">
        <f t="shared" si="508"/>
        <v>116.05934343434345</v>
      </c>
      <c r="U787" s="140">
        <f t="shared" si="508"/>
        <v>116.05934343434345</v>
      </c>
      <c r="V787" s="140">
        <f t="shared" si="508"/>
        <v>116.05934343434345</v>
      </c>
      <c r="W787" s="140">
        <f t="shared" si="508"/>
        <v>116.05934343434345</v>
      </c>
      <c r="X787" s="140">
        <f t="shared" si="508"/>
        <v>116.05934343434345</v>
      </c>
      <c r="Y787" s="140">
        <f t="shared" si="508"/>
        <v>116.05934343434345</v>
      </c>
      <c r="Z787" s="140">
        <f t="shared" si="508"/>
        <v>116.05934343434345</v>
      </c>
      <c r="AA787" s="140">
        <f t="shared" si="508"/>
        <v>116.05934343434345</v>
      </c>
      <c r="AB787" s="140">
        <f t="shared" si="508"/>
        <v>116.05934343434345</v>
      </c>
      <c r="AC787" s="140">
        <f t="shared" si="508"/>
        <v>116.05934343434345</v>
      </c>
      <c r="AD787" s="140">
        <f t="shared" si="508"/>
        <v>116.05934343434345</v>
      </c>
      <c r="AE787" s="140">
        <f t="shared" si="508"/>
        <v>116.05934343434345</v>
      </c>
      <c r="AF787" s="140">
        <f t="shared" si="508"/>
        <v>116.05934343434345</v>
      </c>
      <c r="AG787" s="140">
        <f t="shared" si="508"/>
        <v>116.05934343434345</v>
      </c>
    </row>
    <row r="788" spans="1:33" ht="14.25" customHeight="1" x14ac:dyDescent="0.35">
      <c r="A788" s="21"/>
      <c r="B788" s="28"/>
      <c r="C788" s="28"/>
      <c r="D788" s="175" t="s">
        <v>4061</v>
      </c>
      <c r="E788" s="175"/>
      <c r="F788" s="21"/>
      <c r="G788" s="21"/>
      <c r="H788" s="21"/>
      <c r="I788" s="22" t="s">
        <v>3861</v>
      </c>
      <c r="J788" s="132">
        <v>0</v>
      </c>
      <c r="K788" s="132">
        <v>26499.999016301099</v>
      </c>
      <c r="L788" s="132">
        <v>0</v>
      </c>
      <c r="M788" s="132">
        <v>26499.999936188698</v>
      </c>
      <c r="N788" s="132">
        <v>37274.509787155497</v>
      </c>
      <c r="O788" s="132">
        <v>38456.327976376699</v>
      </c>
      <c r="P788" s="132">
        <v>35344.844614267597</v>
      </c>
      <c r="Q788" s="132">
        <v>33799.844959105903</v>
      </c>
      <c r="R788" s="140">
        <f t="shared" ref="R788:AG788" si="509">R382</f>
        <v>32690.535619065857</v>
      </c>
      <c r="S788" s="140">
        <f t="shared" si="509"/>
        <v>32219.380208561117</v>
      </c>
      <c r="T788" s="140">
        <f t="shared" si="509"/>
        <v>32008.239075479058</v>
      </c>
      <c r="U788" s="140">
        <f t="shared" si="509"/>
        <v>31912.826877100772</v>
      </c>
      <c r="V788" s="140">
        <f t="shared" si="509"/>
        <v>31869.937654707104</v>
      </c>
      <c r="W788" s="140">
        <f t="shared" si="509"/>
        <v>31850.644231735252</v>
      </c>
      <c r="X788" s="140">
        <f t="shared" si="509"/>
        <v>31841.954209195061</v>
      </c>
      <c r="Y788" s="140">
        <f t="shared" si="509"/>
        <v>31838.044361893579</v>
      </c>
      <c r="Z788" s="140">
        <f t="shared" si="509"/>
        <v>31836.28469550993</v>
      </c>
      <c r="AA788" s="140">
        <f t="shared" si="509"/>
        <v>31835.492612546288</v>
      </c>
      <c r="AB788" s="140">
        <f t="shared" si="509"/>
        <v>31835.136144513068</v>
      </c>
      <c r="AC788" s="140">
        <f t="shared" si="509"/>
        <v>31834.975706409045</v>
      </c>
      <c r="AD788" s="140">
        <f t="shared" si="509"/>
        <v>31834.903495981693</v>
      </c>
      <c r="AE788" s="140">
        <f t="shared" si="509"/>
        <v>31834.8709965079</v>
      </c>
      <c r="AF788" s="140">
        <f t="shared" si="509"/>
        <v>31834.856369295238</v>
      </c>
      <c r="AG788" s="140">
        <f t="shared" si="509"/>
        <v>31834.849785955608</v>
      </c>
    </row>
    <row r="789" spans="1:33" ht="14.25" customHeight="1" x14ac:dyDescent="0.35">
      <c r="A789" s="21"/>
      <c r="B789" s="28"/>
      <c r="C789" s="28"/>
      <c r="D789" s="175" t="s">
        <v>4076</v>
      </c>
      <c r="E789" s="175"/>
      <c r="F789" s="21"/>
      <c r="G789" s="21"/>
      <c r="H789" s="21"/>
      <c r="I789" s="22" t="s">
        <v>4060</v>
      </c>
      <c r="J789" s="148">
        <v>0</v>
      </c>
      <c r="K789" s="148">
        <f>K787*K788</f>
        <v>1840424.9316821115</v>
      </c>
      <c r="L789" s="148">
        <v>0</v>
      </c>
      <c r="M789" s="148">
        <f t="shared" ref="M789:AG789" si="510">M787*M788</f>
        <v>3020999.9927255115</v>
      </c>
      <c r="N789" s="148">
        <f t="shared" si="510"/>
        <v>4017446.6648596195</v>
      </c>
      <c r="O789" s="148">
        <f t="shared" si="510"/>
        <v>11148489.480351605</v>
      </c>
      <c r="P789" s="148">
        <f t="shared" si="510"/>
        <v>6664623.9004662978</v>
      </c>
      <c r="Q789" s="148">
        <f t="shared" si="510"/>
        <v>5053076.8213863326</v>
      </c>
      <c r="R789" s="149">
        <f t="shared" si="510"/>
        <v>3794042.1004658015</v>
      </c>
      <c r="S789" s="149">
        <f t="shared" si="510"/>
        <v>3739360.1128670829</v>
      </c>
      <c r="T789" s="149">
        <f t="shared" si="510"/>
        <v>3714855.2115895958</v>
      </c>
      <c r="U789" s="149">
        <f t="shared" si="510"/>
        <v>3703781.7344901846</v>
      </c>
      <c r="V789" s="149">
        <f t="shared" si="510"/>
        <v>3698804.039498766</v>
      </c>
      <c r="W789" s="149">
        <f t="shared" si="510"/>
        <v>3696564.8574960516</v>
      </c>
      <c r="X789" s="149">
        <f t="shared" si="510"/>
        <v>3695556.2991856076</v>
      </c>
      <c r="Y789" s="149">
        <f t="shared" si="510"/>
        <v>3695102.5248748688</v>
      </c>
      <c r="Z789" s="149">
        <f t="shared" si="510"/>
        <v>3694898.2991497191</v>
      </c>
      <c r="AA789" s="149">
        <f t="shared" si="510"/>
        <v>3694806.3705210132</v>
      </c>
      <c r="AB789" s="149">
        <f t="shared" si="510"/>
        <v>3694764.9990751226</v>
      </c>
      <c r="AC789" s="149">
        <f t="shared" si="510"/>
        <v>3694746.3787341076</v>
      </c>
      <c r="AD789" s="149">
        <f t="shared" si="510"/>
        <v>3694737.9980393201</v>
      </c>
      <c r="AE789" s="149">
        <f t="shared" si="510"/>
        <v>3694734.2261717296</v>
      </c>
      <c r="AF789" s="149">
        <f t="shared" si="510"/>
        <v>3694732.5285470318</v>
      </c>
      <c r="AG789" s="149">
        <f t="shared" si="510"/>
        <v>3694731.7644889569</v>
      </c>
    </row>
    <row r="790" spans="1:33" ht="14.25" customHeight="1" x14ac:dyDescent="0.35">
      <c r="A790" s="21"/>
      <c r="B790" s="28"/>
      <c r="C790" s="143" t="s">
        <v>4232</v>
      </c>
      <c r="D790" s="179" t="s">
        <v>4127</v>
      </c>
      <c r="E790" s="21"/>
      <c r="F790" s="21"/>
      <c r="G790" s="21"/>
      <c r="H790" s="21"/>
      <c r="I790" s="22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</row>
    <row r="791" spans="1:33" ht="14.25" customHeight="1" x14ac:dyDescent="0.35">
      <c r="A791" s="21"/>
      <c r="B791" s="28"/>
      <c r="C791" s="28"/>
      <c r="D791" s="175" t="s">
        <v>4112</v>
      </c>
      <c r="E791" s="175"/>
      <c r="F791" s="21"/>
      <c r="G791" s="21"/>
      <c r="H791" s="21"/>
      <c r="I791" s="22" t="s">
        <v>13</v>
      </c>
      <c r="J791" s="122">
        <v>0</v>
      </c>
      <c r="K791" s="122">
        <f t="shared" ref="K791:Q791" si="511">IF(K741=0,0,K792/K741)</f>
        <v>0</v>
      </c>
      <c r="L791" s="122">
        <f t="shared" si="511"/>
        <v>0</v>
      </c>
      <c r="M791" s="122">
        <f t="shared" si="511"/>
        <v>0</v>
      </c>
      <c r="N791" s="122">
        <f t="shared" si="511"/>
        <v>0</v>
      </c>
      <c r="O791" s="122">
        <f t="shared" si="511"/>
        <v>0</v>
      </c>
      <c r="P791" s="122">
        <f t="shared" si="511"/>
        <v>0</v>
      </c>
      <c r="Q791" s="122">
        <f t="shared" si="511"/>
        <v>0</v>
      </c>
      <c r="R791" s="126">
        <f>'Input Operasional'!Q95</f>
        <v>0</v>
      </c>
      <c r="S791" s="126">
        <f>'Input Operasional'!R95</f>
        <v>0</v>
      </c>
      <c r="T791" s="126">
        <f>'Input Operasional'!S95</f>
        <v>0</v>
      </c>
      <c r="U791" s="126">
        <f>'Input Operasional'!T95</f>
        <v>0</v>
      </c>
      <c r="V791" s="126">
        <f>'Input Operasional'!U95</f>
        <v>0</v>
      </c>
      <c r="W791" s="126">
        <f>'Input Operasional'!V95</f>
        <v>0</v>
      </c>
      <c r="X791" s="126">
        <f>'Input Operasional'!W95</f>
        <v>0</v>
      </c>
      <c r="Y791" s="126">
        <f>'Input Operasional'!X95</f>
        <v>0</v>
      </c>
      <c r="Z791" s="126">
        <f>'Input Operasional'!Y95</f>
        <v>0</v>
      </c>
      <c r="AA791" s="126">
        <f>'Input Operasional'!Z95</f>
        <v>0</v>
      </c>
      <c r="AB791" s="126">
        <f>'Input Operasional'!AA95</f>
        <v>0</v>
      </c>
      <c r="AC791" s="126">
        <f>'Input Operasional'!AB95</f>
        <v>0</v>
      </c>
      <c r="AD791" s="126">
        <f>'Input Operasional'!AC95</f>
        <v>0</v>
      </c>
      <c r="AE791" s="126">
        <f>'Input Operasional'!AD95</f>
        <v>0</v>
      </c>
      <c r="AF791" s="126">
        <f>'Input Operasional'!AE95</f>
        <v>0</v>
      </c>
      <c r="AG791" s="126">
        <f>'Input Operasional'!AF95</f>
        <v>0</v>
      </c>
    </row>
    <row r="792" spans="1:33" ht="14.25" customHeight="1" x14ac:dyDescent="0.35">
      <c r="A792" s="21"/>
      <c r="B792" s="28"/>
      <c r="C792" s="28"/>
      <c r="D792" s="175" t="s">
        <v>4108</v>
      </c>
      <c r="E792" s="175"/>
      <c r="F792" s="21"/>
      <c r="G792" s="21"/>
      <c r="H792" s="21"/>
      <c r="I792" s="22" t="s">
        <v>4128</v>
      </c>
      <c r="J792" s="132">
        <v>0</v>
      </c>
      <c r="K792" s="132">
        <v>0</v>
      </c>
      <c r="L792" s="132">
        <v>0</v>
      </c>
      <c r="M792" s="132">
        <v>0</v>
      </c>
      <c r="N792" s="132">
        <v>0</v>
      </c>
      <c r="O792" s="132">
        <v>0</v>
      </c>
      <c r="P792" s="132">
        <v>0</v>
      </c>
      <c r="Q792" s="132">
        <v>0</v>
      </c>
      <c r="R792" s="140">
        <f t="shared" ref="R792:AG792" si="512">R791*R741</f>
        <v>0</v>
      </c>
      <c r="S792" s="140">
        <f t="shared" si="512"/>
        <v>0</v>
      </c>
      <c r="T792" s="140">
        <f t="shared" si="512"/>
        <v>0</v>
      </c>
      <c r="U792" s="140">
        <f t="shared" si="512"/>
        <v>0</v>
      </c>
      <c r="V792" s="140">
        <f t="shared" si="512"/>
        <v>0</v>
      </c>
      <c r="W792" s="140">
        <f t="shared" si="512"/>
        <v>0</v>
      </c>
      <c r="X792" s="140">
        <f t="shared" si="512"/>
        <v>0</v>
      </c>
      <c r="Y792" s="140">
        <f t="shared" si="512"/>
        <v>0</v>
      </c>
      <c r="Z792" s="140">
        <f t="shared" si="512"/>
        <v>0</v>
      </c>
      <c r="AA792" s="140">
        <f t="shared" si="512"/>
        <v>0</v>
      </c>
      <c r="AB792" s="140">
        <f t="shared" si="512"/>
        <v>0</v>
      </c>
      <c r="AC792" s="140">
        <f t="shared" si="512"/>
        <v>0</v>
      </c>
      <c r="AD792" s="140">
        <f t="shared" si="512"/>
        <v>0</v>
      </c>
      <c r="AE792" s="140">
        <f t="shared" si="512"/>
        <v>0</v>
      </c>
      <c r="AF792" s="140">
        <f t="shared" si="512"/>
        <v>0</v>
      </c>
      <c r="AG792" s="140">
        <f t="shared" si="512"/>
        <v>0</v>
      </c>
    </row>
    <row r="793" spans="1:33" ht="14.25" customHeight="1" x14ac:dyDescent="0.35">
      <c r="A793" s="21"/>
      <c r="B793" s="28"/>
      <c r="C793" s="28"/>
      <c r="D793" s="175" t="s">
        <v>4061</v>
      </c>
      <c r="E793" s="175"/>
      <c r="F793" s="21"/>
      <c r="G793" s="21"/>
      <c r="H793" s="21"/>
      <c r="I793" s="22" t="s">
        <v>3861</v>
      </c>
      <c r="J793" s="132">
        <v>0</v>
      </c>
      <c r="K793" s="132">
        <v>0</v>
      </c>
      <c r="L793" s="132">
        <v>0</v>
      </c>
      <c r="M793" s="132">
        <v>0</v>
      </c>
      <c r="N793" s="132">
        <v>0</v>
      </c>
      <c r="O793" s="132">
        <v>0</v>
      </c>
      <c r="P793" s="132">
        <v>0</v>
      </c>
      <c r="Q793" s="132">
        <v>0</v>
      </c>
      <c r="R793" s="140">
        <f t="shared" ref="R793:AG793" si="513">R398</f>
        <v>9375.2135813817094</v>
      </c>
      <c r="S793" s="140">
        <f t="shared" si="513"/>
        <v>9281.2402065806818</v>
      </c>
      <c r="T793" s="140">
        <f t="shared" si="513"/>
        <v>9211.7681677924083</v>
      </c>
      <c r="U793" s="140">
        <f t="shared" si="513"/>
        <v>9159.1827339562169</v>
      </c>
      <c r="V793" s="140">
        <f t="shared" si="513"/>
        <v>9119.9142145681471</v>
      </c>
      <c r="W793" s="140">
        <f t="shared" si="513"/>
        <v>9090.556516700728</v>
      </c>
      <c r="X793" s="140">
        <f t="shared" si="513"/>
        <v>9068.526122139252</v>
      </c>
      <c r="Y793" s="140">
        <f t="shared" si="513"/>
        <v>9052.0416907372819</v>
      </c>
      <c r="Z793" s="140">
        <f t="shared" si="513"/>
        <v>9039.6987938168313</v>
      </c>
      <c r="AA793" s="140">
        <f t="shared" si="513"/>
        <v>9030.4521948995316</v>
      </c>
      <c r="AB793" s="140">
        <f t="shared" si="513"/>
        <v>9023.5290742339803</v>
      </c>
      <c r="AC793" s="140">
        <f t="shared" si="513"/>
        <v>9018.3445225179694</v>
      </c>
      <c r="AD793" s="140">
        <f t="shared" si="513"/>
        <v>9014.4617443639509</v>
      </c>
      <c r="AE793" s="140">
        <f t="shared" si="513"/>
        <v>9011.5541793908142</v>
      </c>
      <c r="AF793" s="140">
        <f t="shared" si="513"/>
        <v>9009.3767774583412</v>
      </c>
      <c r="AG793" s="140">
        <f t="shared" si="513"/>
        <v>9007.7461763431984</v>
      </c>
    </row>
    <row r="794" spans="1:33" ht="14.25" customHeight="1" x14ac:dyDescent="0.35">
      <c r="A794" s="21"/>
      <c r="B794" s="28"/>
      <c r="C794" s="28"/>
      <c r="D794" s="175" t="s">
        <v>4127</v>
      </c>
      <c r="E794" s="175"/>
      <c r="F794" s="21"/>
      <c r="G794" s="21"/>
      <c r="H794" s="21"/>
      <c r="I794" s="22" t="s">
        <v>4060</v>
      </c>
      <c r="J794" s="148">
        <v>0</v>
      </c>
      <c r="K794" s="148">
        <v>0</v>
      </c>
      <c r="L794" s="148">
        <v>0</v>
      </c>
      <c r="M794" s="148">
        <v>0</v>
      </c>
      <c r="N794" s="148">
        <v>0</v>
      </c>
      <c r="O794" s="148">
        <v>0</v>
      </c>
      <c r="P794" s="148">
        <v>0</v>
      </c>
      <c r="Q794" s="148">
        <v>0</v>
      </c>
      <c r="R794" s="149">
        <f t="shared" ref="R794:AG794" si="514">R792*R793</f>
        <v>0</v>
      </c>
      <c r="S794" s="149">
        <f t="shared" si="514"/>
        <v>0</v>
      </c>
      <c r="T794" s="149">
        <f t="shared" si="514"/>
        <v>0</v>
      </c>
      <c r="U794" s="149">
        <f t="shared" si="514"/>
        <v>0</v>
      </c>
      <c r="V794" s="149">
        <f t="shared" si="514"/>
        <v>0</v>
      </c>
      <c r="W794" s="149">
        <f t="shared" si="514"/>
        <v>0</v>
      </c>
      <c r="X794" s="149">
        <f t="shared" si="514"/>
        <v>0</v>
      </c>
      <c r="Y794" s="149">
        <f t="shared" si="514"/>
        <v>0</v>
      </c>
      <c r="Z794" s="149">
        <f t="shared" si="514"/>
        <v>0</v>
      </c>
      <c r="AA794" s="149">
        <f t="shared" si="514"/>
        <v>0</v>
      </c>
      <c r="AB794" s="149">
        <f t="shared" si="514"/>
        <v>0</v>
      </c>
      <c r="AC794" s="149">
        <f t="shared" si="514"/>
        <v>0</v>
      </c>
      <c r="AD794" s="149">
        <f t="shared" si="514"/>
        <v>0</v>
      </c>
      <c r="AE794" s="149">
        <f t="shared" si="514"/>
        <v>0</v>
      </c>
      <c r="AF794" s="149">
        <f t="shared" si="514"/>
        <v>0</v>
      </c>
      <c r="AG794" s="149">
        <f t="shared" si="514"/>
        <v>0</v>
      </c>
    </row>
    <row r="795" spans="1:33" ht="14.25" customHeight="1" x14ac:dyDescent="0.35">
      <c r="A795" s="21"/>
      <c r="B795" s="28"/>
      <c r="C795" s="143" t="s">
        <v>4233</v>
      </c>
      <c r="D795" s="179" t="s">
        <v>4005</v>
      </c>
      <c r="E795" s="21"/>
      <c r="F795" s="21"/>
      <c r="G795" s="21"/>
      <c r="H795" s="21"/>
      <c r="I795" s="22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</row>
    <row r="796" spans="1:33" ht="14.25" customHeight="1" x14ac:dyDescent="0.35">
      <c r="A796" s="21"/>
      <c r="B796" s="28"/>
      <c r="C796" s="28"/>
      <c r="D796" s="175" t="s">
        <v>4130</v>
      </c>
      <c r="E796" s="175"/>
      <c r="F796" s="21"/>
      <c r="G796" s="21"/>
      <c r="H796" s="21"/>
      <c r="I796" s="22" t="s">
        <v>13</v>
      </c>
      <c r="J796" s="122"/>
      <c r="K796" s="122"/>
      <c r="L796" s="122"/>
      <c r="M796" s="122"/>
      <c r="N796" s="122"/>
      <c r="O796" s="122"/>
      <c r="P796" s="180"/>
      <c r="Q796" s="122"/>
      <c r="R796" s="126"/>
      <c r="S796" s="126"/>
      <c r="T796" s="126"/>
      <c r="U796" s="126"/>
      <c r="V796" s="126"/>
      <c r="W796" s="126"/>
      <c r="X796" s="126"/>
      <c r="Y796" s="126"/>
      <c r="Z796" s="126"/>
      <c r="AA796" s="126"/>
      <c r="AB796" s="126"/>
      <c r="AC796" s="126"/>
      <c r="AD796" s="126"/>
      <c r="AE796" s="126"/>
      <c r="AF796" s="126"/>
      <c r="AG796" s="126"/>
    </row>
    <row r="797" spans="1:33" ht="14.25" customHeight="1" x14ac:dyDescent="0.35">
      <c r="A797" s="21"/>
      <c r="B797" s="28"/>
      <c r="C797" s="28"/>
      <c r="D797" s="175" t="s">
        <v>4131</v>
      </c>
      <c r="E797" s="175"/>
      <c r="F797" s="21"/>
      <c r="G797" s="21"/>
      <c r="H797" s="21"/>
      <c r="I797" s="22" t="s">
        <v>4128</v>
      </c>
      <c r="J797" s="148">
        <v>0</v>
      </c>
      <c r="K797" s="148">
        <v>168068.49450043499</v>
      </c>
      <c r="L797" s="148">
        <v>0</v>
      </c>
      <c r="M797" s="148">
        <v>286350.25505060499</v>
      </c>
      <c r="N797" s="148">
        <v>255417.29839339</v>
      </c>
      <c r="O797" s="148">
        <v>687611.64862745604</v>
      </c>
      <c r="P797" s="148">
        <v>505034.74412860197</v>
      </c>
      <c r="Q797" s="148">
        <v>393612.62618035101</v>
      </c>
      <c r="R797" s="149">
        <v>287011.88336010487</v>
      </c>
      <c r="S797" s="149">
        <v>287011.88336010487</v>
      </c>
      <c r="T797" s="149">
        <v>287011.88336010487</v>
      </c>
      <c r="U797" s="149">
        <v>287011.88336010487</v>
      </c>
      <c r="V797" s="149">
        <v>287011.88336010487</v>
      </c>
      <c r="W797" s="149">
        <v>287011.88336010487</v>
      </c>
      <c r="X797" s="149">
        <v>287011.88336010487</v>
      </c>
      <c r="Y797" s="149">
        <v>287011.88336010487</v>
      </c>
      <c r="Z797" s="149">
        <v>287011.88336010487</v>
      </c>
      <c r="AA797" s="149">
        <v>287011.88336010487</v>
      </c>
      <c r="AB797" s="149">
        <v>287011.88336010487</v>
      </c>
      <c r="AC797" s="149">
        <v>287011.88336010487</v>
      </c>
      <c r="AD797" s="149">
        <v>287011.88336010487</v>
      </c>
      <c r="AE797" s="149">
        <v>287011.88336010487</v>
      </c>
      <c r="AF797" s="149">
        <v>287011.88336010487</v>
      </c>
      <c r="AG797" s="149">
        <v>287011.88336010487</v>
      </c>
    </row>
    <row r="798" spans="1:33" ht="14.25" customHeight="1" x14ac:dyDescent="0.35">
      <c r="A798" s="21"/>
      <c r="B798" s="28"/>
      <c r="C798" s="28" t="s">
        <v>4234</v>
      </c>
      <c r="D798" s="21"/>
      <c r="E798" s="21"/>
      <c r="F798" s="21"/>
      <c r="G798" s="21"/>
      <c r="H798" s="21"/>
      <c r="I798" s="22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</row>
    <row r="799" spans="1:33" ht="14.25" customHeight="1" x14ac:dyDescent="0.35">
      <c r="A799" s="21"/>
      <c r="B799" s="28"/>
      <c r="C799" s="28"/>
      <c r="D799" s="175" t="s">
        <v>4133</v>
      </c>
      <c r="E799" s="175"/>
      <c r="F799" s="21"/>
      <c r="G799" s="21"/>
      <c r="H799" s="21"/>
      <c r="I799" s="22" t="s">
        <v>3900</v>
      </c>
      <c r="J799" s="132">
        <f t="shared" ref="J799:AG799" si="515">J751</f>
        <v>0</v>
      </c>
      <c r="K799" s="132">
        <f t="shared" si="515"/>
        <v>14832</v>
      </c>
      <c r="L799" s="132">
        <f t="shared" si="515"/>
        <v>0</v>
      </c>
      <c r="M799" s="132">
        <f t="shared" si="515"/>
        <v>22393</v>
      </c>
      <c r="N799" s="132">
        <f t="shared" si="515"/>
        <v>19289</v>
      </c>
      <c r="O799" s="132">
        <f t="shared" si="515"/>
        <v>52783</v>
      </c>
      <c r="P799" s="132">
        <f t="shared" si="515"/>
        <v>30662.44</v>
      </c>
      <c r="Q799" s="132">
        <f t="shared" si="515"/>
        <v>26039</v>
      </c>
      <c r="R799" s="140">
        <f t="shared" si="515"/>
        <v>20959.398989899015</v>
      </c>
      <c r="S799" s="140">
        <f t="shared" si="515"/>
        <v>20959.398989899015</v>
      </c>
      <c r="T799" s="140">
        <f t="shared" si="515"/>
        <v>20959.398989899015</v>
      </c>
      <c r="U799" s="140">
        <f t="shared" si="515"/>
        <v>20959.398989899015</v>
      </c>
      <c r="V799" s="140">
        <f t="shared" si="515"/>
        <v>20959.398989899015</v>
      </c>
      <c r="W799" s="140">
        <f t="shared" si="515"/>
        <v>20959.398989899015</v>
      </c>
      <c r="X799" s="140">
        <f t="shared" si="515"/>
        <v>20959.398989899015</v>
      </c>
      <c r="Y799" s="140">
        <f t="shared" si="515"/>
        <v>20959.398989899015</v>
      </c>
      <c r="Z799" s="140">
        <f t="shared" si="515"/>
        <v>20959.398989899015</v>
      </c>
      <c r="AA799" s="140">
        <f t="shared" si="515"/>
        <v>20959.398989899015</v>
      </c>
      <c r="AB799" s="140">
        <f t="shared" si="515"/>
        <v>20959.398989899015</v>
      </c>
      <c r="AC799" s="140">
        <f t="shared" si="515"/>
        <v>20959.398989899015</v>
      </c>
      <c r="AD799" s="140">
        <f t="shared" si="515"/>
        <v>20959.398989899015</v>
      </c>
      <c r="AE799" s="140">
        <f t="shared" si="515"/>
        <v>20959.398989899015</v>
      </c>
      <c r="AF799" s="140">
        <f t="shared" si="515"/>
        <v>20959.398989899015</v>
      </c>
      <c r="AG799" s="140">
        <f t="shared" si="515"/>
        <v>20959.398989899015</v>
      </c>
    </row>
    <row r="800" spans="1:33" ht="14.25" customHeight="1" x14ac:dyDescent="0.35">
      <c r="A800" s="21"/>
      <c r="B800" s="28"/>
      <c r="C800" s="28"/>
      <c r="D800" s="175" t="s">
        <v>4134</v>
      </c>
      <c r="E800" s="175"/>
      <c r="F800" s="21"/>
      <c r="G800" s="21"/>
      <c r="H800" s="21"/>
      <c r="I800" s="22" t="s">
        <v>13</v>
      </c>
      <c r="J800" s="122">
        <v>0</v>
      </c>
      <c r="K800" s="122">
        <f>K801/K799</f>
        <v>0</v>
      </c>
      <c r="L800" s="122">
        <v>0</v>
      </c>
      <c r="M800" s="122">
        <f>M801/M799</f>
        <v>0</v>
      </c>
      <c r="N800" s="122">
        <f>N801/N799</f>
        <v>0</v>
      </c>
      <c r="O800" s="122">
        <f>O801/O799</f>
        <v>0</v>
      </c>
      <c r="P800" s="122">
        <f>P801/P799</f>
        <v>0</v>
      </c>
      <c r="Q800" s="122">
        <f>Q801/Q799</f>
        <v>0</v>
      </c>
      <c r="R800" s="126">
        <v>1</v>
      </c>
      <c r="S800" s="126">
        <v>1</v>
      </c>
      <c r="T800" s="126">
        <v>1</v>
      </c>
      <c r="U800" s="126">
        <v>1</v>
      </c>
      <c r="V800" s="126">
        <v>1</v>
      </c>
      <c r="W800" s="126">
        <v>1</v>
      </c>
      <c r="X800" s="126">
        <v>1</v>
      </c>
      <c r="Y800" s="126">
        <v>1</v>
      </c>
      <c r="Z800" s="126">
        <v>1</v>
      </c>
      <c r="AA800" s="126">
        <v>1</v>
      </c>
      <c r="AB800" s="126">
        <v>1</v>
      </c>
      <c r="AC800" s="126">
        <v>1</v>
      </c>
      <c r="AD800" s="126">
        <v>1</v>
      </c>
      <c r="AE800" s="126">
        <v>1</v>
      </c>
      <c r="AF800" s="126">
        <v>1</v>
      </c>
      <c r="AG800" s="126">
        <v>1</v>
      </c>
    </row>
    <row r="801" spans="1:33" ht="14.25" customHeight="1" x14ac:dyDescent="0.35">
      <c r="A801" s="21"/>
      <c r="B801" s="28"/>
      <c r="C801" s="28"/>
      <c r="D801" s="175" t="s">
        <v>4135</v>
      </c>
      <c r="E801" s="175"/>
      <c r="F801" s="21"/>
      <c r="G801" s="21"/>
      <c r="H801" s="21"/>
      <c r="I801" s="22" t="s">
        <v>3900</v>
      </c>
      <c r="J801" s="132">
        <v>0</v>
      </c>
      <c r="K801" s="132">
        <v>0</v>
      </c>
      <c r="L801" s="132">
        <v>0</v>
      </c>
      <c r="M801" s="132">
        <v>0</v>
      </c>
      <c r="N801" s="132">
        <v>0</v>
      </c>
      <c r="O801" s="132">
        <v>0</v>
      </c>
      <c r="P801" s="132">
        <v>0</v>
      </c>
      <c r="Q801" s="132">
        <v>0</v>
      </c>
      <c r="R801" s="140">
        <f t="shared" ref="R801:AG801" si="516">R799*R800</f>
        <v>20959.398989899015</v>
      </c>
      <c r="S801" s="140">
        <f t="shared" si="516"/>
        <v>20959.398989899015</v>
      </c>
      <c r="T801" s="140">
        <f t="shared" si="516"/>
        <v>20959.398989899015</v>
      </c>
      <c r="U801" s="140">
        <f t="shared" si="516"/>
        <v>20959.398989899015</v>
      </c>
      <c r="V801" s="140">
        <f t="shared" si="516"/>
        <v>20959.398989899015</v>
      </c>
      <c r="W801" s="140">
        <f t="shared" si="516"/>
        <v>20959.398989899015</v>
      </c>
      <c r="X801" s="140">
        <f t="shared" si="516"/>
        <v>20959.398989899015</v>
      </c>
      <c r="Y801" s="140">
        <f t="shared" si="516"/>
        <v>20959.398989899015</v>
      </c>
      <c r="Z801" s="140">
        <f t="shared" si="516"/>
        <v>20959.398989899015</v>
      </c>
      <c r="AA801" s="140">
        <f t="shared" si="516"/>
        <v>20959.398989899015</v>
      </c>
      <c r="AB801" s="140">
        <f t="shared" si="516"/>
        <v>20959.398989899015</v>
      </c>
      <c r="AC801" s="140">
        <f t="shared" si="516"/>
        <v>20959.398989899015</v>
      </c>
      <c r="AD801" s="140">
        <f t="shared" si="516"/>
        <v>20959.398989899015</v>
      </c>
      <c r="AE801" s="140">
        <f t="shared" si="516"/>
        <v>20959.398989899015</v>
      </c>
      <c r="AF801" s="140">
        <f t="shared" si="516"/>
        <v>20959.398989899015</v>
      </c>
      <c r="AG801" s="140">
        <f t="shared" si="516"/>
        <v>20959.398989899015</v>
      </c>
    </row>
    <row r="802" spans="1:33" ht="14.25" customHeight="1" x14ac:dyDescent="0.35">
      <c r="A802" s="21"/>
      <c r="B802" s="28"/>
      <c r="C802" s="28"/>
      <c r="D802" s="175" t="s">
        <v>4136</v>
      </c>
      <c r="E802" s="175"/>
      <c r="F802" s="21"/>
      <c r="G802" s="21"/>
      <c r="H802" s="21"/>
      <c r="I802" s="22" t="s">
        <v>3861</v>
      </c>
      <c r="J802" s="132">
        <v>0</v>
      </c>
      <c r="K802" s="132">
        <v>0</v>
      </c>
      <c r="L802" s="132">
        <v>0</v>
      </c>
      <c r="M802" s="132">
        <v>0</v>
      </c>
      <c r="N802" s="132">
        <v>0</v>
      </c>
      <c r="O802" s="132">
        <v>0</v>
      </c>
      <c r="P802" s="132">
        <v>0</v>
      </c>
      <c r="Q802" s="132">
        <v>0</v>
      </c>
      <c r="R802" s="140">
        <v>0</v>
      </c>
      <c r="S802" s="140">
        <v>0</v>
      </c>
      <c r="T802" s="140">
        <v>0</v>
      </c>
      <c r="U802" s="140">
        <v>0</v>
      </c>
      <c r="V802" s="140">
        <v>0</v>
      </c>
      <c r="W802" s="140">
        <v>0</v>
      </c>
      <c r="X802" s="140">
        <v>0</v>
      </c>
      <c r="Y802" s="140">
        <v>0</v>
      </c>
      <c r="Z802" s="140">
        <v>0</v>
      </c>
      <c r="AA802" s="140">
        <v>0</v>
      </c>
      <c r="AB802" s="140">
        <v>0</v>
      </c>
      <c r="AC802" s="140">
        <v>0</v>
      </c>
      <c r="AD802" s="140">
        <v>0</v>
      </c>
      <c r="AE802" s="140">
        <v>0</v>
      </c>
      <c r="AF802" s="140">
        <v>0</v>
      </c>
      <c r="AG802" s="140">
        <v>0</v>
      </c>
    </row>
    <row r="803" spans="1:33" ht="14.25" customHeight="1" x14ac:dyDescent="0.35">
      <c r="A803" s="21"/>
      <c r="B803" s="28"/>
      <c r="C803" s="28"/>
      <c r="D803" s="175" t="s">
        <v>34</v>
      </c>
      <c r="E803" s="175"/>
      <c r="F803" s="21"/>
      <c r="G803" s="21"/>
      <c r="H803" s="21"/>
      <c r="I803" s="22" t="s">
        <v>4060</v>
      </c>
      <c r="J803" s="148">
        <v>0</v>
      </c>
      <c r="K803" s="148">
        <v>0</v>
      </c>
      <c r="L803" s="148">
        <v>0</v>
      </c>
      <c r="M803" s="148">
        <v>0</v>
      </c>
      <c r="N803" s="148">
        <v>0</v>
      </c>
      <c r="O803" s="148">
        <v>0</v>
      </c>
      <c r="P803" s="148">
        <v>0</v>
      </c>
      <c r="Q803" s="148">
        <v>0</v>
      </c>
      <c r="R803" s="149">
        <f t="shared" ref="R803:AG803" si="517">R801*R802</f>
        <v>0</v>
      </c>
      <c r="S803" s="149">
        <f t="shared" si="517"/>
        <v>0</v>
      </c>
      <c r="T803" s="149">
        <f t="shared" si="517"/>
        <v>0</v>
      </c>
      <c r="U803" s="149">
        <f t="shared" si="517"/>
        <v>0</v>
      </c>
      <c r="V803" s="149">
        <f t="shared" si="517"/>
        <v>0</v>
      </c>
      <c r="W803" s="149">
        <f t="shared" si="517"/>
        <v>0</v>
      </c>
      <c r="X803" s="149">
        <f t="shared" si="517"/>
        <v>0</v>
      </c>
      <c r="Y803" s="149">
        <f t="shared" si="517"/>
        <v>0</v>
      </c>
      <c r="Z803" s="149">
        <f t="shared" si="517"/>
        <v>0</v>
      </c>
      <c r="AA803" s="149">
        <f t="shared" si="517"/>
        <v>0</v>
      </c>
      <c r="AB803" s="149">
        <f t="shared" si="517"/>
        <v>0</v>
      </c>
      <c r="AC803" s="149">
        <f t="shared" si="517"/>
        <v>0</v>
      </c>
      <c r="AD803" s="149">
        <f t="shared" si="517"/>
        <v>0</v>
      </c>
      <c r="AE803" s="149">
        <f t="shared" si="517"/>
        <v>0</v>
      </c>
      <c r="AF803" s="149">
        <f t="shared" si="517"/>
        <v>0</v>
      </c>
      <c r="AG803" s="149">
        <f t="shared" si="517"/>
        <v>0</v>
      </c>
    </row>
    <row r="804" spans="1:33" ht="14.25" customHeight="1" x14ac:dyDescent="0.35">
      <c r="A804" s="21"/>
      <c r="B804" s="28"/>
      <c r="C804" s="143" t="s">
        <v>4235</v>
      </c>
      <c r="D804" s="28" t="s">
        <v>4139</v>
      </c>
      <c r="E804" s="21"/>
      <c r="F804" s="21"/>
      <c r="G804" s="21"/>
      <c r="H804" s="21"/>
      <c r="I804" s="22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</row>
    <row r="805" spans="1:33" ht="14.25" customHeight="1" x14ac:dyDescent="0.35">
      <c r="A805" s="21"/>
      <c r="B805" s="28"/>
      <c r="C805" s="28"/>
      <c r="D805" s="128" t="s">
        <v>4032</v>
      </c>
      <c r="E805" s="175"/>
      <c r="F805" s="21"/>
      <c r="G805" s="21"/>
      <c r="H805" s="21"/>
      <c r="I805" s="22" t="s">
        <v>4060</v>
      </c>
      <c r="J805" s="148">
        <f t="shared" ref="J805:AG805" si="518">J221</f>
        <v>0</v>
      </c>
      <c r="K805" s="148">
        <f t="shared" si="518"/>
        <v>19842985.865364376</v>
      </c>
      <c r="L805" s="148">
        <f t="shared" si="518"/>
        <v>0</v>
      </c>
      <c r="M805" s="148">
        <f t="shared" si="518"/>
        <v>27820037.082417049</v>
      </c>
      <c r="N805" s="148">
        <f t="shared" si="518"/>
        <v>25045635.470121868</v>
      </c>
      <c r="O805" s="148">
        <f t="shared" si="518"/>
        <v>51630448.794324391</v>
      </c>
      <c r="P805" s="148">
        <f t="shared" si="518"/>
        <v>45640744.866187617</v>
      </c>
      <c r="Q805" s="148">
        <f t="shared" si="518"/>
        <v>28924522.376770712</v>
      </c>
      <c r="R805" s="149">
        <f t="shared" si="518"/>
        <v>15776819.335213466</v>
      </c>
      <c r="S805" s="149">
        <f t="shared" si="518"/>
        <v>15744936.761571297</v>
      </c>
      <c r="T805" s="149">
        <f t="shared" si="518"/>
        <v>15780056.781538621</v>
      </c>
      <c r="U805" s="149">
        <f t="shared" si="518"/>
        <v>15767269.570264246</v>
      </c>
      <c r="V805" s="149">
        <f t="shared" si="518"/>
        <v>15764086.81853316</v>
      </c>
      <c r="W805" s="149">
        <f t="shared" si="518"/>
        <v>15770470.972253671</v>
      </c>
      <c r="X805" s="149">
        <f t="shared" si="518"/>
        <v>15767275.758985814</v>
      </c>
      <c r="Y805" s="149">
        <f t="shared" si="518"/>
        <v>15767277.81712964</v>
      </c>
      <c r="Z805" s="149">
        <f t="shared" si="518"/>
        <v>15768341.510386812</v>
      </c>
      <c r="AA805" s="149">
        <f t="shared" si="518"/>
        <v>15767631.695039816</v>
      </c>
      <c r="AB805" s="149">
        <f t="shared" si="518"/>
        <v>15767750.339798721</v>
      </c>
      <c r="AC805" s="149">
        <f t="shared" si="518"/>
        <v>15767907.848096022</v>
      </c>
      <c r="AD805" s="149">
        <f t="shared" si="518"/>
        <v>15767763.294298749</v>
      </c>
      <c r="AE805" s="149">
        <f t="shared" si="518"/>
        <v>15767807.160702301</v>
      </c>
      <c r="AF805" s="149">
        <f t="shared" si="518"/>
        <v>15767826.101018058</v>
      </c>
      <c r="AG805" s="149">
        <f t="shared" si="518"/>
        <v>15767798.852005379</v>
      </c>
    </row>
    <row r="806" spans="1:33" ht="14.25" customHeight="1" x14ac:dyDescent="0.35">
      <c r="A806" s="21"/>
      <c r="B806" s="28"/>
      <c r="C806" s="28"/>
      <c r="D806" s="175" t="s">
        <v>4033</v>
      </c>
      <c r="E806" s="175"/>
      <c r="F806" s="21"/>
      <c r="G806" s="21"/>
      <c r="H806" s="21"/>
      <c r="I806" s="22" t="s">
        <v>4060</v>
      </c>
      <c r="J806" s="148">
        <f t="shared" ref="J806:AG806" si="519">J226</f>
        <v>0</v>
      </c>
      <c r="K806" s="148">
        <f t="shared" si="519"/>
        <v>7314555.3948679641</v>
      </c>
      <c r="L806" s="148">
        <f t="shared" si="519"/>
        <v>0</v>
      </c>
      <c r="M806" s="148">
        <f t="shared" si="519"/>
        <v>8559517.6293259654</v>
      </c>
      <c r="N806" s="148">
        <f t="shared" si="519"/>
        <v>7155061.4661831595</v>
      </c>
      <c r="O806" s="148">
        <f t="shared" si="519"/>
        <v>14011382.233898636</v>
      </c>
      <c r="P806" s="148">
        <f t="shared" si="519"/>
        <v>11654265.833486333</v>
      </c>
      <c r="Q806" s="148">
        <f t="shared" si="519"/>
        <v>6025637.1739914212</v>
      </c>
      <c r="R806" s="149">
        <f t="shared" si="519"/>
        <v>3573077.916728721</v>
      </c>
      <c r="S806" s="149">
        <f t="shared" si="519"/>
        <v>3563288.4468928603</v>
      </c>
      <c r="T806" s="149">
        <f t="shared" si="519"/>
        <v>3572755.6241214825</v>
      </c>
      <c r="U806" s="149">
        <f t="shared" si="519"/>
        <v>3569706.2597041763</v>
      </c>
      <c r="V806" s="149">
        <f t="shared" si="519"/>
        <v>3568582.7116836859</v>
      </c>
      <c r="W806" s="149">
        <f t="shared" si="519"/>
        <v>3570348.1023577857</v>
      </c>
      <c r="X806" s="149">
        <f t="shared" si="519"/>
        <v>3569545.6680594934</v>
      </c>
      <c r="Y806" s="149">
        <f t="shared" si="519"/>
        <v>3569492.1345788697</v>
      </c>
      <c r="Z806" s="149">
        <f t="shared" si="519"/>
        <v>3569795.2960608662</v>
      </c>
      <c r="AA806" s="149">
        <f t="shared" si="519"/>
        <v>3569611.0323856226</v>
      </c>
      <c r="AB806" s="149">
        <f t="shared" si="519"/>
        <v>3569632.8201914481</v>
      </c>
      <c r="AC806" s="149">
        <f t="shared" si="519"/>
        <v>3569679.7159333327</v>
      </c>
      <c r="AD806" s="149">
        <f t="shared" si="519"/>
        <v>3569641.1894836505</v>
      </c>
      <c r="AE806" s="149">
        <f t="shared" si="519"/>
        <v>3569651.24184736</v>
      </c>
      <c r="AF806" s="149">
        <f t="shared" si="519"/>
        <v>3569657.3824093807</v>
      </c>
      <c r="AG806" s="149">
        <f t="shared" si="519"/>
        <v>3569649.9379122085</v>
      </c>
    </row>
    <row r="807" spans="1:33" ht="14.25" customHeight="1" x14ac:dyDescent="0.35">
      <c r="A807" s="21"/>
      <c r="B807" s="28"/>
      <c r="C807" s="28"/>
      <c r="D807" s="175" t="s">
        <v>4034</v>
      </c>
      <c r="E807" s="175"/>
      <c r="F807" s="21"/>
      <c r="G807" s="21"/>
      <c r="H807" s="21"/>
      <c r="I807" s="22" t="s">
        <v>4060</v>
      </c>
      <c r="J807" s="148">
        <f t="shared" ref="J807:AG807" si="520">J231</f>
        <v>0</v>
      </c>
      <c r="K807" s="148">
        <f t="shared" si="520"/>
        <v>580438.1398025658</v>
      </c>
      <c r="L807" s="148">
        <f t="shared" si="520"/>
        <v>0</v>
      </c>
      <c r="M807" s="148">
        <f t="shared" si="520"/>
        <v>1203953.7945500349</v>
      </c>
      <c r="N807" s="148">
        <f t="shared" si="520"/>
        <v>1074348.063664837</v>
      </c>
      <c r="O807" s="148">
        <f t="shared" si="520"/>
        <v>2714188.2384705162</v>
      </c>
      <c r="P807" s="148">
        <f t="shared" si="520"/>
        <v>1672027.7883174929</v>
      </c>
      <c r="Q807" s="148">
        <f t="shared" si="520"/>
        <v>1237553.5384256705</v>
      </c>
      <c r="R807" s="149">
        <f t="shared" si="520"/>
        <v>963231.14435915905</v>
      </c>
      <c r="S807" s="149">
        <f t="shared" si="520"/>
        <v>961671.78464993648</v>
      </c>
      <c r="T807" s="149">
        <f t="shared" si="520"/>
        <v>933684.80334269791</v>
      </c>
      <c r="U807" s="149">
        <f t="shared" si="520"/>
        <v>952870.44319694955</v>
      </c>
      <c r="V807" s="149">
        <f t="shared" si="520"/>
        <v>949418.71606172156</v>
      </c>
      <c r="W807" s="149">
        <f t="shared" si="520"/>
        <v>945328.05805487116</v>
      </c>
      <c r="X807" s="149">
        <f t="shared" si="520"/>
        <v>949206.04917594511</v>
      </c>
      <c r="Y807" s="149">
        <f t="shared" si="520"/>
        <v>947984.54227193934</v>
      </c>
      <c r="Z807" s="149">
        <f t="shared" si="520"/>
        <v>947506.36084852612</v>
      </c>
      <c r="AA807" s="149">
        <f t="shared" si="520"/>
        <v>948232.3350349504</v>
      </c>
      <c r="AB807" s="149">
        <f t="shared" si="520"/>
        <v>947907.75258146704</v>
      </c>
      <c r="AC807" s="149">
        <f t="shared" si="520"/>
        <v>947882.1549081112</v>
      </c>
      <c r="AD807" s="149">
        <f t="shared" si="520"/>
        <v>948007.41518715932</v>
      </c>
      <c r="AE807" s="149">
        <f t="shared" si="520"/>
        <v>947932.44104583131</v>
      </c>
      <c r="AF807" s="149">
        <f t="shared" si="520"/>
        <v>947940.67056067288</v>
      </c>
      <c r="AG807" s="149">
        <f t="shared" si="520"/>
        <v>947960.17564972665</v>
      </c>
    </row>
    <row r="808" spans="1:33" ht="14.25" customHeight="1" x14ac:dyDescent="0.35">
      <c r="A808" s="21"/>
      <c r="B808" s="28"/>
      <c r="C808" s="28"/>
      <c r="D808" s="175" t="s">
        <v>4035</v>
      </c>
      <c r="E808" s="175"/>
      <c r="F808" s="21"/>
      <c r="G808" s="21"/>
      <c r="H808" s="21"/>
      <c r="I808" s="22" t="s">
        <v>4060</v>
      </c>
      <c r="J808" s="148">
        <f t="shared" ref="J808:AG808" si="521">J236</f>
        <v>0</v>
      </c>
      <c r="K808" s="148">
        <f t="shared" si="521"/>
        <v>1381197.2312546996</v>
      </c>
      <c r="L808" s="148">
        <f t="shared" si="521"/>
        <v>0</v>
      </c>
      <c r="M808" s="148">
        <f t="shared" si="521"/>
        <v>3869728.8276862926</v>
      </c>
      <c r="N808" s="148">
        <f t="shared" si="521"/>
        <v>2053323.4379077239</v>
      </c>
      <c r="O808" s="148">
        <f t="shared" si="521"/>
        <v>4939030.4967075549</v>
      </c>
      <c r="P808" s="148">
        <f t="shared" si="521"/>
        <v>2966987.1442188257</v>
      </c>
      <c r="Q808" s="148">
        <f t="shared" si="521"/>
        <v>2371685.6473821132</v>
      </c>
      <c r="R808" s="149">
        <f t="shared" si="521"/>
        <v>2295088.780720063</v>
      </c>
      <c r="S808" s="149">
        <f t="shared" si="521"/>
        <v>2291254.2743514967</v>
      </c>
      <c r="T808" s="149">
        <f t="shared" si="521"/>
        <v>2287048.8280882793</v>
      </c>
      <c r="U808" s="149">
        <f t="shared" si="521"/>
        <v>2267902.4835152486</v>
      </c>
      <c r="V808" s="149">
        <f t="shared" si="521"/>
        <v>2267577.661835046</v>
      </c>
      <c r="W808" s="149">
        <f t="shared" si="521"/>
        <v>2268408.1290836809</v>
      </c>
      <c r="X808" s="149">
        <f t="shared" si="521"/>
        <v>2267962.7585548479</v>
      </c>
      <c r="Y808" s="149">
        <f t="shared" si="521"/>
        <v>2207974.2670165249</v>
      </c>
      <c r="Z808" s="149">
        <f t="shared" si="521"/>
        <v>2208105.7559369095</v>
      </c>
      <c r="AA808" s="149">
        <f t="shared" si="521"/>
        <v>2205129.6667946768</v>
      </c>
      <c r="AB808" s="149">
        <f t="shared" si="521"/>
        <v>2203748.801810015</v>
      </c>
      <c r="AC808" s="149">
        <f t="shared" si="521"/>
        <v>2200638.5366926715</v>
      </c>
      <c r="AD808" s="149">
        <f t="shared" si="521"/>
        <v>2200619.777416558</v>
      </c>
      <c r="AE808" s="149">
        <f t="shared" si="521"/>
        <v>2200626.0527856424</v>
      </c>
      <c r="AF808" s="149">
        <f t="shared" si="521"/>
        <v>2200628.1222985126</v>
      </c>
      <c r="AG808" s="149">
        <f t="shared" si="521"/>
        <v>2200624.650833617</v>
      </c>
    </row>
    <row r="809" spans="1:33" ht="14.25" customHeight="1" x14ac:dyDescent="0.35">
      <c r="A809" s="21"/>
      <c r="B809" s="28"/>
      <c r="C809" s="28"/>
      <c r="D809" s="175" t="s">
        <v>4036</v>
      </c>
      <c r="E809" s="175"/>
      <c r="F809" s="21"/>
      <c r="G809" s="21"/>
      <c r="H809" s="21"/>
      <c r="I809" s="22" t="s">
        <v>4060</v>
      </c>
      <c r="J809" s="148">
        <f t="shared" ref="J809:AG809" si="522">J241</f>
        <v>0</v>
      </c>
      <c r="K809" s="148">
        <f t="shared" si="522"/>
        <v>6804915.4925042987</v>
      </c>
      <c r="L809" s="148">
        <f t="shared" si="522"/>
        <v>0</v>
      </c>
      <c r="M809" s="148">
        <f t="shared" si="522"/>
        <v>7503510.7176028825</v>
      </c>
      <c r="N809" s="148">
        <f t="shared" si="522"/>
        <v>2660697.1347413505</v>
      </c>
      <c r="O809" s="148">
        <f t="shared" si="522"/>
        <v>6233452.9108877713</v>
      </c>
      <c r="P809" s="148">
        <f t="shared" si="522"/>
        <v>5854049.4660177827</v>
      </c>
      <c r="Q809" s="148">
        <f t="shared" si="522"/>
        <v>4075720.2333333283</v>
      </c>
      <c r="R809" s="149">
        <f t="shared" si="522"/>
        <v>4259789.7111474052</v>
      </c>
      <c r="S809" s="149">
        <f t="shared" si="522"/>
        <v>4253792.568607348</v>
      </c>
      <c r="T809" s="149">
        <f t="shared" si="522"/>
        <v>4120077.0563571984</v>
      </c>
      <c r="U809" s="149">
        <f t="shared" si="522"/>
        <v>4122870.1289792224</v>
      </c>
      <c r="V809" s="149">
        <f t="shared" si="522"/>
        <v>4098573.1983034057</v>
      </c>
      <c r="W809" s="149">
        <f t="shared" si="522"/>
        <v>4082583.0229908652</v>
      </c>
      <c r="X809" s="149">
        <f t="shared" si="522"/>
        <v>4073488.9335939176</v>
      </c>
      <c r="Y809" s="149">
        <f t="shared" si="522"/>
        <v>4072368.4025179036</v>
      </c>
      <c r="Z809" s="149">
        <f t="shared" si="522"/>
        <v>4055788.9192350935</v>
      </c>
      <c r="AA809" s="149">
        <f t="shared" si="522"/>
        <v>4046940.2383546135</v>
      </c>
      <c r="AB809" s="149">
        <f t="shared" si="522"/>
        <v>4046852.1020379658</v>
      </c>
      <c r="AC809" s="149">
        <f t="shared" si="522"/>
        <v>4029977.9482678152</v>
      </c>
      <c r="AD809" s="149">
        <f t="shared" si="522"/>
        <v>4026490.2855899362</v>
      </c>
      <c r="AE809" s="149">
        <f t="shared" si="522"/>
        <v>4008621.8567226236</v>
      </c>
      <c r="AF809" s="149">
        <f t="shared" si="522"/>
        <v>4005927.0976838707</v>
      </c>
      <c r="AG809" s="149">
        <f t="shared" si="522"/>
        <v>3991604.2266402277</v>
      </c>
    </row>
    <row r="810" spans="1:33" ht="14.25" customHeight="1" x14ac:dyDescent="0.35">
      <c r="A810" s="21"/>
      <c r="B810" s="134" t="s">
        <v>4236</v>
      </c>
      <c r="C810" s="28" t="s">
        <v>4141</v>
      </c>
      <c r="D810" s="21"/>
      <c r="E810" s="21"/>
      <c r="F810" s="21"/>
      <c r="G810" s="21"/>
      <c r="H810" s="21"/>
      <c r="I810" s="22"/>
      <c r="J810" s="3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</row>
    <row r="811" spans="1:33" ht="14.25" customHeight="1" x14ac:dyDescent="0.35">
      <c r="A811" s="21"/>
      <c r="B811" s="28"/>
      <c r="C811" s="28" t="s">
        <v>4237</v>
      </c>
      <c r="D811" s="28" t="s">
        <v>4143</v>
      </c>
      <c r="E811" s="21"/>
      <c r="F811" s="21"/>
      <c r="G811" s="21"/>
      <c r="H811" s="21"/>
      <c r="I811" s="22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</row>
    <row r="812" spans="1:33" ht="14.25" customHeight="1" x14ac:dyDescent="0.35">
      <c r="A812" s="21"/>
      <c r="B812" s="28"/>
      <c r="C812" s="21"/>
      <c r="D812" s="21" t="s">
        <v>4103</v>
      </c>
      <c r="E812" s="21"/>
      <c r="F812" s="21"/>
      <c r="G812" s="21"/>
      <c r="H812" s="21"/>
      <c r="I812" s="22" t="s">
        <v>4060</v>
      </c>
      <c r="J812" s="148">
        <f t="shared" ref="J812:AG812" si="523">J753</f>
        <v>0</v>
      </c>
      <c r="K812" s="148">
        <f t="shared" si="523"/>
        <v>66744000</v>
      </c>
      <c r="L812" s="148">
        <f t="shared" si="523"/>
        <v>0</v>
      </c>
      <c r="M812" s="148">
        <f t="shared" si="523"/>
        <v>100768500</v>
      </c>
      <c r="N812" s="148">
        <f t="shared" si="523"/>
        <v>86800500</v>
      </c>
      <c r="O812" s="148">
        <f t="shared" si="523"/>
        <v>237523500</v>
      </c>
      <c r="P812" s="148">
        <f t="shared" si="523"/>
        <v>142518600.00000018</v>
      </c>
      <c r="Q812" s="148">
        <f t="shared" si="523"/>
        <v>122518299.99999991</v>
      </c>
      <c r="R812" s="149">
        <f t="shared" si="523"/>
        <v>95564798.882424369</v>
      </c>
      <c r="S812" s="149">
        <f t="shared" si="523"/>
        <v>95564798.882424369</v>
      </c>
      <c r="T812" s="149">
        <f t="shared" si="523"/>
        <v>95564798.882424369</v>
      </c>
      <c r="U812" s="149">
        <f t="shared" si="523"/>
        <v>95564798.882424369</v>
      </c>
      <c r="V812" s="149">
        <f t="shared" si="523"/>
        <v>95564798.882424369</v>
      </c>
      <c r="W812" s="149">
        <f t="shared" si="523"/>
        <v>95564798.882424369</v>
      </c>
      <c r="X812" s="149">
        <f t="shared" si="523"/>
        <v>95564798.882424369</v>
      </c>
      <c r="Y812" s="149">
        <f t="shared" si="523"/>
        <v>95564798.882424369</v>
      </c>
      <c r="Z812" s="149">
        <f t="shared" si="523"/>
        <v>95564798.882424369</v>
      </c>
      <c r="AA812" s="149">
        <f t="shared" si="523"/>
        <v>95564798.882424369</v>
      </c>
      <c r="AB812" s="149">
        <f t="shared" si="523"/>
        <v>95564798.882424369</v>
      </c>
      <c r="AC812" s="149">
        <f t="shared" si="523"/>
        <v>95564798.882424369</v>
      </c>
      <c r="AD812" s="149">
        <f t="shared" si="523"/>
        <v>95564798.882424369</v>
      </c>
      <c r="AE812" s="149">
        <f t="shared" si="523"/>
        <v>95564798.882424369</v>
      </c>
      <c r="AF812" s="149">
        <f t="shared" si="523"/>
        <v>95564798.882424369</v>
      </c>
      <c r="AG812" s="149">
        <f t="shared" si="523"/>
        <v>95564798.882424369</v>
      </c>
    </row>
    <row r="813" spans="1:33" ht="14.25" customHeight="1" x14ac:dyDescent="0.35">
      <c r="A813" s="21"/>
      <c r="B813" s="28"/>
      <c r="C813" s="21"/>
      <c r="D813" s="21" t="s">
        <v>4117</v>
      </c>
      <c r="E813" s="21"/>
      <c r="F813" s="21"/>
      <c r="G813" s="21"/>
      <c r="H813" s="21"/>
      <c r="I813" s="22" t="s">
        <v>4060</v>
      </c>
      <c r="J813" s="148">
        <f t="shared" ref="J813:AG813" si="524">J764</f>
        <v>0</v>
      </c>
      <c r="K813" s="148">
        <f t="shared" si="524"/>
        <v>35565719.690132417</v>
      </c>
      <c r="L813" s="148">
        <f t="shared" si="524"/>
        <v>0</v>
      </c>
      <c r="M813" s="148">
        <f t="shared" si="524"/>
        <v>52200789.170194104</v>
      </c>
      <c r="N813" s="148">
        <f t="shared" si="524"/>
        <v>43888814.924022526</v>
      </c>
      <c r="O813" s="148">
        <f t="shared" si="524"/>
        <v>98645739.500589669</v>
      </c>
      <c r="P813" s="148">
        <f t="shared" si="524"/>
        <v>60943421.25037571</v>
      </c>
      <c r="Q813" s="148">
        <f t="shared" si="524"/>
        <v>35620507.446247362</v>
      </c>
      <c r="R813" s="149">
        <f t="shared" si="524"/>
        <v>40319866.746745691</v>
      </c>
      <c r="S813" s="149">
        <f t="shared" si="524"/>
        <v>40267593.660096116</v>
      </c>
      <c r="T813" s="149">
        <f t="shared" si="524"/>
        <v>40262120.652761042</v>
      </c>
      <c r="U813" s="149">
        <f t="shared" si="524"/>
        <v>40261545.167346142</v>
      </c>
      <c r="V813" s="149">
        <f t="shared" si="524"/>
        <v>40261484.843890548</v>
      </c>
      <c r="W813" s="149">
        <f t="shared" si="524"/>
        <v>40261478.516535558</v>
      </c>
      <c r="X813" s="149">
        <f t="shared" si="524"/>
        <v>40261477.852455005</v>
      </c>
      <c r="Y813" s="149">
        <f t="shared" si="524"/>
        <v>40261477.782800443</v>
      </c>
      <c r="Z813" s="149">
        <f t="shared" si="524"/>
        <v>40261477.775492914</v>
      </c>
      <c r="AA813" s="149">
        <f t="shared" si="524"/>
        <v>40261477.774726234</v>
      </c>
      <c r="AB813" s="149">
        <f t="shared" si="524"/>
        <v>40261477.77464579</v>
      </c>
      <c r="AC813" s="149">
        <f t="shared" si="524"/>
        <v>40261477.774637356</v>
      </c>
      <c r="AD813" s="149">
        <f t="shared" si="524"/>
        <v>40261477.774636477</v>
      </c>
      <c r="AE813" s="149">
        <f t="shared" si="524"/>
        <v>40261477.77463638</v>
      </c>
      <c r="AF813" s="149">
        <f t="shared" si="524"/>
        <v>40261477.774636365</v>
      </c>
      <c r="AG813" s="149">
        <f t="shared" si="524"/>
        <v>40261477.774636365</v>
      </c>
    </row>
    <row r="814" spans="1:33" ht="14.25" customHeight="1" x14ac:dyDescent="0.35">
      <c r="A814" s="21"/>
      <c r="B814" s="28"/>
      <c r="C814" s="21"/>
      <c r="D814" s="21" t="s">
        <v>32</v>
      </c>
      <c r="E814" s="21"/>
      <c r="F814" s="21"/>
      <c r="G814" s="21"/>
      <c r="H814" s="21"/>
      <c r="I814" s="22" t="s">
        <v>4060</v>
      </c>
      <c r="J814" s="148">
        <f t="shared" ref="J814:AG814" si="525">J769</f>
        <v>0</v>
      </c>
      <c r="K814" s="148">
        <f t="shared" si="525"/>
        <v>13913755.1701815</v>
      </c>
      <c r="L814" s="148">
        <f t="shared" si="525"/>
        <v>0</v>
      </c>
      <c r="M814" s="148">
        <f t="shared" si="525"/>
        <v>25443645.5287311</v>
      </c>
      <c r="N814" s="148">
        <f t="shared" si="525"/>
        <v>22073862.1698469</v>
      </c>
      <c r="O814" s="148">
        <f t="shared" si="525"/>
        <v>58277346.911388703</v>
      </c>
      <c r="P814" s="148">
        <f t="shared" si="525"/>
        <v>37845112.956634</v>
      </c>
      <c r="Q814" s="148">
        <f t="shared" si="525"/>
        <v>29661172.464954101</v>
      </c>
      <c r="R814" s="149">
        <f t="shared" si="525"/>
        <v>24028417.543347731</v>
      </c>
      <c r="S814" s="149">
        <f t="shared" si="525"/>
        <v>24028417.762331586</v>
      </c>
      <c r="T814" s="149">
        <f t="shared" si="525"/>
        <v>24028417.76233159</v>
      </c>
      <c r="U814" s="149">
        <f t="shared" si="525"/>
        <v>24028417.762331583</v>
      </c>
      <c r="V814" s="149">
        <f t="shared" si="525"/>
        <v>24028417.762331583</v>
      </c>
      <c r="W814" s="149">
        <f t="shared" si="525"/>
        <v>24028417.762331586</v>
      </c>
      <c r="X814" s="149">
        <f t="shared" si="525"/>
        <v>24028417.762331586</v>
      </c>
      <c r="Y814" s="149">
        <f t="shared" si="525"/>
        <v>24028417.762331586</v>
      </c>
      <c r="Z814" s="149">
        <f t="shared" si="525"/>
        <v>24028417.762331586</v>
      </c>
      <c r="AA814" s="149">
        <f t="shared" si="525"/>
        <v>24028417.762331583</v>
      </c>
      <c r="AB814" s="149">
        <f t="shared" si="525"/>
        <v>24028417.76233159</v>
      </c>
      <c r="AC814" s="149">
        <f t="shared" si="525"/>
        <v>24028417.76233159</v>
      </c>
      <c r="AD814" s="149">
        <f t="shared" si="525"/>
        <v>24028417.762331586</v>
      </c>
      <c r="AE814" s="149">
        <f t="shared" si="525"/>
        <v>24028417.762331583</v>
      </c>
      <c r="AF814" s="149">
        <f t="shared" si="525"/>
        <v>24028417.762331586</v>
      </c>
      <c r="AG814" s="149">
        <f t="shared" si="525"/>
        <v>24028417.762331586</v>
      </c>
    </row>
    <row r="815" spans="1:33" ht="14.25" customHeight="1" x14ac:dyDescent="0.35">
      <c r="A815" s="21"/>
      <c r="B815" s="28"/>
      <c r="C815" s="21"/>
      <c r="D815" s="21" t="s">
        <v>4121</v>
      </c>
      <c r="E815" s="21"/>
      <c r="F815" s="21"/>
      <c r="G815" s="21"/>
      <c r="H815" s="21"/>
      <c r="I815" s="22" t="s">
        <v>4060</v>
      </c>
      <c r="J815" s="148">
        <f t="shared" ref="J815:AG815" si="526">J774</f>
        <v>0</v>
      </c>
      <c r="K815" s="148">
        <f t="shared" si="526"/>
        <v>0</v>
      </c>
      <c r="L815" s="148">
        <f t="shared" si="526"/>
        <v>0</v>
      </c>
      <c r="M815" s="148">
        <f t="shared" si="526"/>
        <v>0</v>
      </c>
      <c r="N815" s="148">
        <f t="shared" si="526"/>
        <v>0</v>
      </c>
      <c r="O815" s="148">
        <f t="shared" si="526"/>
        <v>0</v>
      </c>
      <c r="P815" s="148">
        <f t="shared" si="526"/>
        <v>0</v>
      </c>
      <c r="Q815" s="148">
        <f t="shared" si="526"/>
        <v>0</v>
      </c>
      <c r="R815" s="149">
        <f t="shared" si="526"/>
        <v>0</v>
      </c>
      <c r="S815" s="149">
        <f t="shared" si="526"/>
        <v>0</v>
      </c>
      <c r="T815" s="149">
        <f t="shared" si="526"/>
        <v>0</v>
      </c>
      <c r="U815" s="149">
        <f t="shared" si="526"/>
        <v>0</v>
      </c>
      <c r="V815" s="149">
        <f t="shared" si="526"/>
        <v>0</v>
      </c>
      <c r="W815" s="149">
        <f t="shared" si="526"/>
        <v>0</v>
      </c>
      <c r="X815" s="149">
        <f t="shared" si="526"/>
        <v>0</v>
      </c>
      <c r="Y815" s="149">
        <f t="shared" si="526"/>
        <v>0</v>
      </c>
      <c r="Z815" s="149">
        <f t="shared" si="526"/>
        <v>0</v>
      </c>
      <c r="AA815" s="149">
        <f t="shared" si="526"/>
        <v>0</v>
      </c>
      <c r="AB815" s="149">
        <f t="shared" si="526"/>
        <v>0</v>
      </c>
      <c r="AC815" s="149">
        <f t="shared" si="526"/>
        <v>0</v>
      </c>
      <c r="AD815" s="149">
        <f t="shared" si="526"/>
        <v>0</v>
      </c>
      <c r="AE815" s="149">
        <f t="shared" si="526"/>
        <v>0</v>
      </c>
      <c r="AF815" s="149">
        <f t="shared" si="526"/>
        <v>0</v>
      </c>
      <c r="AG815" s="149">
        <f t="shared" si="526"/>
        <v>0</v>
      </c>
    </row>
    <row r="816" spans="1:33" ht="14.25" customHeight="1" x14ac:dyDescent="0.35">
      <c r="A816" s="21"/>
      <c r="B816" s="28"/>
      <c r="C816" s="21"/>
      <c r="D816" s="21" t="s">
        <v>4072</v>
      </c>
      <c r="E816" s="21"/>
      <c r="F816" s="21"/>
      <c r="G816" s="21"/>
      <c r="H816" s="21"/>
      <c r="I816" s="22" t="s">
        <v>4060</v>
      </c>
      <c r="J816" s="148">
        <f t="shared" ref="J816:AG816" si="527">J779</f>
        <v>0</v>
      </c>
      <c r="K816" s="148">
        <f t="shared" si="527"/>
        <v>0</v>
      </c>
      <c r="L816" s="148">
        <f t="shared" si="527"/>
        <v>0</v>
      </c>
      <c r="M816" s="148">
        <f t="shared" si="527"/>
        <v>0</v>
      </c>
      <c r="N816" s="148">
        <f t="shared" si="527"/>
        <v>0</v>
      </c>
      <c r="O816" s="148">
        <f t="shared" si="527"/>
        <v>0</v>
      </c>
      <c r="P816" s="148">
        <f t="shared" si="527"/>
        <v>165353.61271312452</v>
      </c>
      <c r="Q816" s="148">
        <f t="shared" si="527"/>
        <v>0</v>
      </c>
      <c r="R816" s="149">
        <f t="shared" si="527"/>
        <v>19305.844191764609</v>
      </c>
      <c r="S816" s="149">
        <f t="shared" si="527"/>
        <v>19030.023881690631</v>
      </c>
      <c r="T816" s="149">
        <f t="shared" si="527"/>
        <v>18843.366607754615</v>
      </c>
      <c r="U816" s="149">
        <f t="shared" si="527"/>
        <v>18714.790093817217</v>
      </c>
      <c r="V816" s="149">
        <f t="shared" si="527"/>
        <v>18627.134691260173</v>
      </c>
      <c r="W816" s="149">
        <f t="shared" si="527"/>
        <v>18567.317197848355</v>
      </c>
      <c r="X816" s="149">
        <f t="shared" si="527"/>
        <v>18526.382915897</v>
      </c>
      <c r="Y816" s="149">
        <f t="shared" si="527"/>
        <v>18498.432045433427</v>
      </c>
      <c r="Z816" s="149">
        <f t="shared" si="527"/>
        <v>18479.336405712264</v>
      </c>
      <c r="AA816" s="149">
        <f t="shared" si="527"/>
        <v>18466.285635404798</v>
      </c>
      <c r="AB816" s="149">
        <f t="shared" si="527"/>
        <v>18457.369996937672</v>
      </c>
      <c r="AC816" s="149">
        <f t="shared" si="527"/>
        <v>18451.278301904851</v>
      </c>
      <c r="AD816" s="149">
        <f t="shared" si="527"/>
        <v>18447.115943574492</v>
      </c>
      <c r="AE816" s="149">
        <f t="shared" si="527"/>
        <v>18444.27208996256</v>
      </c>
      <c r="AF816" s="149">
        <f t="shared" si="527"/>
        <v>18442.329003319235</v>
      </c>
      <c r="AG816" s="149">
        <f t="shared" si="527"/>
        <v>18441.001373991574</v>
      </c>
    </row>
    <row r="817" spans="1:33" ht="14.25" customHeight="1" x14ac:dyDescent="0.35">
      <c r="A817" s="21"/>
      <c r="B817" s="28"/>
      <c r="C817" s="21"/>
      <c r="D817" s="21" t="s">
        <v>4074</v>
      </c>
      <c r="E817" s="21"/>
      <c r="F817" s="21"/>
      <c r="G817" s="21"/>
      <c r="H817" s="21"/>
      <c r="I817" s="22" t="s">
        <v>4060</v>
      </c>
      <c r="J817" s="148">
        <f t="shared" ref="J817:AG817" si="528">J784</f>
        <v>0</v>
      </c>
      <c r="K817" s="148">
        <f t="shared" si="528"/>
        <v>0</v>
      </c>
      <c r="L817" s="148">
        <f t="shared" si="528"/>
        <v>0</v>
      </c>
      <c r="M817" s="148">
        <f t="shared" si="528"/>
        <v>0</v>
      </c>
      <c r="N817" s="148">
        <f t="shared" si="528"/>
        <v>0</v>
      </c>
      <c r="O817" s="148">
        <f t="shared" si="528"/>
        <v>0</v>
      </c>
      <c r="P817" s="148">
        <f t="shared" si="528"/>
        <v>0</v>
      </c>
      <c r="Q817" s="148">
        <f t="shared" si="528"/>
        <v>0</v>
      </c>
      <c r="R817" s="149">
        <f t="shared" si="528"/>
        <v>0</v>
      </c>
      <c r="S817" s="149">
        <f t="shared" si="528"/>
        <v>0</v>
      </c>
      <c r="T817" s="149">
        <f t="shared" si="528"/>
        <v>0</v>
      </c>
      <c r="U817" s="149">
        <f t="shared" si="528"/>
        <v>0</v>
      </c>
      <c r="V817" s="149">
        <f t="shared" si="528"/>
        <v>0</v>
      </c>
      <c r="W817" s="149">
        <f t="shared" si="528"/>
        <v>0</v>
      </c>
      <c r="X817" s="149">
        <f t="shared" si="528"/>
        <v>0</v>
      </c>
      <c r="Y817" s="149">
        <f t="shared" si="528"/>
        <v>0</v>
      </c>
      <c r="Z817" s="149">
        <f t="shared" si="528"/>
        <v>0</v>
      </c>
      <c r="AA817" s="149">
        <f t="shared" si="528"/>
        <v>0</v>
      </c>
      <c r="AB817" s="149">
        <f t="shared" si="528"/>
        <v>0</v>
      </c>
      <c r="AC817" s="149">
        <f t="shared" si="528"/>
        <v>0</v>
      </c>
      <c r="AD817" s="149">
        <f t="shared" si="528"/>
        <v>0</v>
      </c>
      <c r="AE817" s="149">
        <f t="shared" si="528"/>
        <v>0</v>
      </c>
      <c r="AF817" s="149">
        <f t="shared" si="528"/>
        <v>0</v>
      </c>
      <c r="AG817" s="149">
        <f t="shared" si="528"/>
        <v>0</v>
      </c>
    </row>
    <row r="818" spans="1:33" ht="14.25" customHeight="1" x14ac:dyDescent="0.35">
      <c r="A818" s="21"/>
      <c r="B818" s="28"/>
      <c r="C818" s="21"/>
      <c r="D818" s="21" t="s">
        <v>4076</v>
      </c>
      <c r="E818" s="21"/>
      <c r="F818" s="21"/>
      <c r="G818" s="21"/>
      <c r="H818" s="21"/>
      <c r="I818" s="22" t="s">
        <v>4060</v>
      </c>
      <c r="J818" s="148">
        <f t="shared" ref="J818:AG818" si="529">J789</f>
        <v>0</v>
      </c>
      <c r="K818" s="148">
        <f t="shared" si="529"/>
        <v>1840424.9316821115</v>
      </c>
      <c r="L818" s="148">
        <f t="shared" si="529"/>
        <v>0</v>
      </c>
      <c r="M818" s="148">
        <f t="shared" si="529"/>
        <v>3020999.9927255115</v>
      </c>
      <c r="N818" s="148">
        <f t="shared" si="529"/>
        <v>4017446.6648596195</v>
      </c>
      <c r="O818" s="148">
        <f t="shared" si="529"/>
        <v>11148489.480351605</v>
      </c>
      <c r="P818" s="148">
        <f t="shared" si="529"/>
        <v>6664623.9004662978</v>
      </c>
      <c r="Q818" s="148">
        <f t="shared" si="529"/>
        <v>5053076.8213863326</v>
      </c>
      <c r="R818" s="149">
        <f t="shared" si="529"/>
        <v>3794042.1004658015</v>
      </c>
      <c r="S818" s="149">
        <f t="shared" si="529"/>
        <v>3739360.1128670829</v>
      </c>
      <c r="T818" s="149">
        <f t="shared" si="529"/>
        <v>3714855.2115895958</v>
      </c>
      <c r="U818" s="149">
        <f t="shared" si="529"/>
        <v>3703781.7344901846</v>
      </c>
      <c r="V818" s="149">
        <f t="shared" si="529"/>
        <v>3698804.039498766</v>
      </c>
      <c r="W818" s="149">
        <f t="shared" si="529"/>
        <v>3696564.8574960516</v>
      </c>
      <c r="X818" s="149">
        <f t="shared" si="529"/>
        <v>3695556.2991856076</v>
      </c>
      <c r="Y818" s="149">
        <f t="shared" si="529"/>
        <v>3695102.5248748688</v>
      </c>
      <c r="Z818" s="149">
        <f t="shared" si="529"/>
        <v>3694898.2991497191</v>
      </c>
      <c r="AA818" s="149">
        <f t="shared" si="529"/>
        <v>3694806.3705210132</v>
      </c>
      <c r="AB818" s="149">
        <f t="shared" si="529"/>
        <v>3694764.9990751226</v>
      </c>
      <c r="AC818" s="149">
        <f t="shared" si="529"/>
        <v>3694746.3787341076</v>
      </c>
      <c r="AD818" s="149">
        <f t="shared" si="529"/>
        <v>3694737.9980393201</v>
      </c>
      <c r="AE818" s="149">
        <f t="shared" si="529"/>
        <v>3694734.2261717296</v>
      </c>
      <c r="AF818" s="149">
        <f t="shared" si="529"/>
        <v>3694732.5285470318</v>
      </c>
      <c r="AG818" s="149">
        <f t="shared" si="529"/>
        <v>3694731.7644889569</v>
      </c>
    </row>
    <row r="819" spans="1:33" ht="14.25" customHeight="1" x14ac:dyDescent="0.35">
      <c r="A819" s="21"/>
      <c r="B819" s="28"/>
      <c r="C819" s="21"/>
      <c r="D819" s="21" t="s">
        <v>4127</v>
      </c>
      <c r="E819" s="21"/>
      <c r="F819" s="21"/>
      <c r="G819" s="21"/>
      <c r="H819" s="21"/>
      <c r="I819" s="22" t="s">
        <v>4060</v>
      </c>
      <c r="J819" s="148">
        <f t="shared" ref="J819:AG819" si="530">J794</f>
        <v>0</v>
      </c>
      <c r="K819" s="148">
        <f t="shared" si="530"/>
        <v>0</v>
      </c>
      <c r="L819" s="148">
        <f t="shared" si="530"/>
        <v>0</v>
      </c>
      <c r="M819" s="148">
        <f t="shared" si="530"/>
        <v>0</v>
      </c>
      <c r="N819" s="148">
        <f t="shared" si="530"/>
        <v>0</v>
      </c>
      <c r="O819" s="148">
        <f t="shared" si="530"/>
        <v>0</v>
      </c>
      <c r="P819" s="148">
        <f t="shared" si="530"/>
        <v>0</v>
      </c>
      <c r="Q819" s="148">
        <f t="shared" si="530"/>
        <v>0</v>
      </c>
      <c r="R819" s="149">
        <f t="shared" si="530"/>
        <v>0</v>
      </c>
      <c r="S819" s="149">
        <f t="shared" si="530"/>
        <v>0</v>
      </c>
      <c r="T819" s="149">
        <f t="shared" si="530"/>
        <v>0</v>
      </c>
      <c r="U819" s="149">
        <f t="shared" si="530"/>
        <v>0</v>
      </c>
      <c r="V819" s="149">
        <f t="shared" si="530"/>
        <v>0</v>
      </c>
      <c r="W819" s="149">
        <f t="shared" si="530"/>
        <v>0</v>
      </c>
      <c r="X819" s="149">
        <f t="shared" si="530"/>
        <v>0</v>
      </c>
      <c r="Y819" s="149">
        <f t="shared" si="530"/>
        <v>0</v>
      </c>
      <c r="Z819" s="149">
        <f t="shared" si="530"/>
        <v>0</v>
      </c>
      <c r="AA819" s="149">
        <f t="shared" si="530"/>
        <v>0</v>
      </c>
      <c r="AB819" s="149">
        <f t="shared" si="530"/>
        <v>0</v>
      </c>
      <c r="AC819" s="149">
        <f t="shared" si="530"/>
        <v>0</v>
      </c>
      <c r="AD819" s="149">
        <f t="shared" si="530"/>
        <v>0</v>
      </c>
      <c r="AE819" s="149">
        <f t="shared" si="530"/>
        <v>0</v>
      </c>
      <c r="AF819" s="149">
        <f t="shared" si="530"/>
        <v>0</v>
      </c>
      <c r="AG819" s="149">
        <f t="shared" si="530"/>
        <v>0</v>
      </c>
    </row>
    <row r="820" spans="1:33" ht="14.25" customHeight="1" x14ac:dyDescent="0.35">
      <c r="A820" s="21"/>
      <c r="B820" s="28"/>
      <c r="C820" s="21"/>
      <c r="D820" s="21" t="s">
        <v>4005</v>
      </c>
      <c r="E820" s="21"/>
      <c r="F820" s="21"/>
      <c r="G820" s="21"/>
      <c r="H820" s="21"/>
      <c r="I820" s="22" t="s">
        <v>4060</v>
      </c>
      <c r="J820" s="148">
        <f t="shared" ref="J820:AG820" si="531">J797</f>
        <v>0</v>
      </c>
      <c r="K820" s="148">
        <f t="shared" si="531"/>
        <v>168068.49450043499</v>
      </c>
      <c r="L820" s="148">
        <f t="shared" si="531"/>
        <v>0</v>
      </c>
      <c r="M820" s="148">
        <f t="shared" si="531"/>
        <v>286350.25505060499</v>
      </c>
      <c r="N820" s="148">
        <f t="shared" si="531"/>
        <v>255417.29839339</v>
      </c>
      <c r="O820" s="148">
        <f t="shared" si="531"/>
        <v>687611.64862745604</v>
      </c>
      <c r="P820" s="148">
        <f t="shared" si="531"/>
        <v>505034.74412860197</v>
      </c>
      <c r="Q820" s="148">
        <f t="shared" si="531"/>
        <v>393612.62618035101</v>
      </c>
      <c r="R820" s="149">
        <f t="shared" si="531"/>
        <v>287011.88336010487</v>
      </c>
      <c r="S820" s="149">
        <f t="shared" si="531"/>
        <v>287011.88336010487</v>
      </c>
      <c r="T820" s="149">
        <f t="shared" si="531"/>
        <v>287011.88336010487</v>
      </c>
      <c r="U820" s="149">
        <f t="shared" si="531"/>
        <v>287011.88336010487</v>
      </c>
      <c r="V820" s="149">
        <f t="shared" si="531"/>
        <v>287011.88336010487</v>
      </c>
      <c r="W820" s="149">
        <f t="shared" si="531"/>
        <v>287011.88336010487</v>
      </c>
      <c r="X820" s="149">
        <f t="shared" si="531"/>
        <v>287011.88336010487</v>
      </c>
      <c r="Y820" s="149">
        <f t="shared" si="531"/>
        <v>287011.88336010487</v>
      </c>
      <c r="Z820" s="149">
        <f t="shared" si="531"/>
        <v>287011.88336010487</v>
      </c>
      <c r="AA820" s="149">
        <f t="shared" si="531"/>
        <v>287011.88336010487</v>
      </c>
      <c r="AB820" s="149">
        <f t="shared" si="531"/>
        <v>287011.88336010487</v>
      </c>
      <c r="AC820" s="149">
        <f t="shared" si="531"/>
        <v>287011.88336010487</v>
      </c>
      <c r="AD820" s="149">
        <f t="shared" si="531"/>
        <v>287011.88336010487</v>
      </c>
      <c r="AE820" s="149">
        <f t="shared" si="531"/>
        <v>287011.88336010487</v>
      </c>
      <c r="AF820" s="149">
        <f t="shared" si="531"/>
        <v>287011.88336010487</v>
      </c>
      <c r="AG820" s="149">
        <f t="shared" si="531"/>
        <v>287011.88336010487</v>
      </c>
    </row>
    <row r="821" spans="1:33" ht="14.25" customHeight="1" x14ac:dyDescent="0.35">
      <c r="A821" s="21"/>
      <c r="B821" s="28"/>
      <c r="C821" s="21"/>
      <c r="D821" s="21" t="s">
        <v>34</v>
      </c>
      <c r="E821" s="21"/>
      <c r="F821" s="21"/>
      <c r="G821" s="21"/>
      <c r="H821" s="21"/>
      <c r="I821" s="22" t="s">
        <v>4060</v>
      </c>
      <c r="J821" s="148">
        <f t="shared" ref="J821:AG821" si="532">J803</f>
        <v>0</v>
      </c>
      <c r="K821" s="148">
        <f t="shared" si="532"/>
        <v>0</v>
      </c>
      <c r="L821" s="148">
        <f t="shared" si="532"/>
        <v>0</v>
      </c>
      <c r="M821" s="148">
        <f t="shared" si="532"/>
        <v>0</v>
      </c>
      <c r="N821" s="148">
        <f t="shared" si="532"/>
        <v>0</v>
      </c>
      <c r="O821" s="148">
        <f t="shared" si="532"/>
        <v>0</v>
      </c>
      <c r="P821" s="148">
        <f t="shared" si="532"/>
        <v>0</v>
      </c>
      <c r="Q821" s="148">
        <f t="shared" si="532"/>
        <v>0</v>
      </c>
      <c r="R821" s="149">
        <f t="shared" si="532"/>
        <v>0</v>
      </c>
      <c r="S821" s="149">
        <f t="shared" si="532"/>
        <v>0</v>
      </c>
      <c r="T821" s="149">
        <f t="shared" si="532"/>
        <v>0</v>
      </c>
      <c r="U821" s="149">
        <f t="shared" si="532"/>
        <v>0</v>
      </c>
      <c r="V821" s="149">
        <f t="shared" si="532"/>
        <v>0</v>
      </c>
      <c r="W821" s="149">
        <f t="shared" si="532"/>
        <v>0</v>
      </c>
      <c r="X821" s="149">
        <f t="shared" si="532"/>
        <v>0</v>
      </c>
      <c r="Y821" s="149">
        <f t="shared" si="532"/>
        <v>0</v>
      </c>
      <c r="Z821" s="149">
        <f t="shared" si="532"/>
        <v>0</v>
      </c>
      <c r="AA821" s="149">
        <f t="shared" si="532"/>
        <v>0</v>
      </c>
      <c r="AB821" s="149">
        <f t="shared" si="532"/>
        <v>0</v>
      </c>
      <c r="AC821" s="149">
        <f t="shared" si="532"/>
        <v>0</v>
      </c>
      <c r="AD821" s="149">
        <f t="shared" si="532"/>
        <v>0</v>
      </c>
      <c r="AE821" s="149">
        <f t="shared" si="532"/>
        <v>0</v>
      </c>
      <c r="AF821" s="149">
        <f t="shared" si="532"/>
        <v>0</v>
      </c>
      <c r="AG821" s="149">
        <f t="shared" si="532"/>
        <v>0</v>
      </c>
    </row>
    <row r="822" spans="1:33" ht="14.25" customHeight="1" x14ac:dyDescent="0.35">
      <c r="A822" s="21"/>
      <c r="B822" s="28"/>
      <c r="C822" s="21"/>
      <c r="D822" s="21" t="s">
        <v>4032</v>
      </c>
      <c r="E822" s="21"/>
      <c r="F822" s="21"/>
      <c r="G822" s="21"/>
      <c r="H822" s="21"/>
      <c r="I822" s="22" t="s">
        <v>4060</v>
      </c>
      <c r="J822" s="148">
        <f t="shared" ref="J822:AG822" si="533">J805</f>
        <v>0</v>
      </c>
      <c r="K822" s="148">
        <f t="shared" si="533"/>
        <v>19842985.865364376</v>
      </c>
      <c r="L822" s="148">
        <f t="shared" si="533"/>
        <v>0</v>
      </c>
      <c r="M822" s="148">
        <f t="shared" si="533"/>
        <v>27820037.082417049</v>
      </c>
      <c r="N822" s="148">
        <f t="shared" si="533"/>
        <v>25045635.470121868</v>
      </c>
      <c r="O822" s="148">
        <f t="shared" si="533"/>
        <v>51630448.794324391</v>
      </c>
      <c r="P822" s="148">
        <f t="shared" si="533"/>
        <v>45640744.866187617</v>
      </c>
      <c r="Q822" s="148">
        <f t="shared" si="533"/>
        <v>28924522.376770712</v>
      </c>
      <c r="R822" s="149">
        <f t="shared" si="533"/>
        <v>15776819.335213466</v>
      </c>
      <c r="S822" s="149">
        <f t="shared" si="533"/>
        <v>15744936.761571297</v>
      </c>
      <c r="T822" s="149">
        <f t="shared" si="533"/>
        <v>15780056.781538621</v>
      </c>
      <c r="U822" s="149">
        <f t="shared" si="533"/>
        <v>15767269.570264246</v>
      </c>
      <c r="V822" s="149">
        <f t="shared" si="533"/>
        <v>15764086.81853316</v>
      </c>
      <c r="W822" s="149">
        <f t="shared" si="533"/>
        <v>15770470.972253671</v>
      </c>
      <c r="X822" s="149">
        <f t="shared" si="533"/>
        <v>15767275.758985814</v>
      </c>
      <c r="Y822" s="149">
        <f t="shared" si="533"/>
        <v>15767277.81712964</v>
      </c>
      <c r="Z822" s="149">
        <f t="shared" si="533"/>
        <v>15768341.510386812</v>
      </c>
      <c r="AA822" s="149">
        <f t="shared" si="533"/>
        <v>15767631.695039816</v>
      </c>
      <c r="AB822" s="149">
        <f t="shared" si="533"/>
        <v>15767750.339798721</v>
      </c>
      <c r="AC822" s="149">
        <f t="shared" si="533"/>
        <v>15767907.848096022</v>
      </c>
      <c r="AD822" s="149">
        <f t="shared" si="533"/>
        <v>15767763.294298749</v>
      </c>
      <c r="AE822" s="149">
        <f t="shared" si="533"/>
        <v>15767807.160702301</v>
      </c>
      <c r="AF822" s="149">
        <f t="shared" si="533"/>
        <v>15767826.101018058</v>
      </c>
      <c r="AG822" s="149">
        <f t="shared" si="533"/>
        <v>15767798.852005379</v>
      </c>
    </row>
    <row r="823" spans="1:33" ht="14.25" customHeight="1" x14ac:dyDescent="0.35">
      <c r="A823" s="21"/>
      <c r="B823" s="28"/>
      <c r="C823" s="21"/>
      <c r="D823" s="21" t="s">
        <v>4033</v>
      </c>
      <c r="E823" s="21"/>
      <c r="F823" s="21"/>
      <c r="G823" s="21"/>
      <c r="H823" s="21"/>
      <c r="I823" s="22" t="s">
        <v>4060</v>
      </c>
      <c r="J823" s="148">
        <f t="shared" ref="J823:AG823" si="534">J806</f>
        <v>0</v>
      </c>
      <c r="K823" s="148">
        <f t="shared" si="534"/>
        <v>7314555.3948679641</v>
      </c>
      <c r="L823" s="148">
        <f t="shared" si="534"/>
        <v>0</v>
      </c>
      <c r="M823" s="148">
        <f t="shared" si="534"/>
        <v>8559517.6293259654</v>
      </c>
      <c r="N823" s="148">
        <f t="shared" si="534"/>
        <v>7155061.4661831595</v>
      </c>
      <c r="O823" s="148">
        <f t="shared" si="534"/>
        <v>14011382.233898636</v>
      </c>
      <c r="P823" s="148">
        <f t="shared" si="534"/>
        <v>11654265.833486333</v>
      </c>
      <c r="Q823" s="148">
        <f t="shared" si="534"/>
        <v>6025637.1739914212</v>
      </c>
      <c r="R823" s="149">
        <f t="shared" si="534"/>
        <v>3573077.916728721</v>
      </c>
      <c r="S823" s="149">
        <f t="shared" si="534"/>
        <v>3563288.4468928603</v>
      </c>
      <c r="T823" s="149">
        <f t="shared" si="534"/>
        <v>3572755.6241214825</v>
      </c>
      <c r="U823" s="149">
        <f t="shared" si="534"/>
        <v>3569706.2597041763</v>
      </c>
      <c r="V823" s="149">
        <f t="shared" si="534"/>
        <v>3568582.7116836859</v>
      </c>
      <c r="W823" s="149">
        <f t="shared" si="534"/>
        <v>3570348.1023577857</v>
      </c>
      <c r="X823" s="149">
        <f t="shared" si="534"/>
        <v>3569545.6680594934</v>
      </c>
      <c r="Y823" s="149">
        <f t="shared" si="534"/>
        <v>3569492.1345788697</v>
      </c>
      <c r="Z823" s="149">
        <f t="shared" si="534"/>
        <v>3569795.2960608662</v>
      </c>
      <c r="AA823" s="149">
        <f t="shared" si="534"/>
        <v>3569611.0323856226</v>
      </c>
      <c r="AB823" s="149">
        <f t="shared" si="534"/>
        <v>3569632.8201914481</v>
      </c>
      <c r="AC823" s="149">
        <f t="shared" si="534"/>
        <v>3569679.7159333327</v>
      </c>
      <c r="AD823" s="149">
        <f t="shared" si="534"/>
        <v>3569641.1894836505</v>
      </c>
      <c r="AE823" s="149">
        <f t="shared" si="534"/>
        <v>3569651.24184736</v>
      </c>
      <c r="AF823" s="149">
        <f t="shared" si="534"/>
        <v>3569657.3824093807</v>
      </c>
      <c r="AG823" s="149">
        <f t="shared" si="534"/>
        <v>3569649.9379122085</v>
      </c>
    </row>
    <row r="824" spans="1:33" ht="14.25" customHeight="1" x14ac:dyDescent="0.35">
      <c r="A824" s="21"/>
      <c r="B824" s="28"/>
      <c r="C824" s="21"/>
      <c r="D824" s="21" t="s">
        <v>4034</v>
      </c>
      <c r="E824" s="21"/>
      <c r="F824" s="21"/>
      <c r="G824" s="21"/>
      <c r="H824" s="21"/>
      <c r="I824" s="22" t="s">
        <v>4060</v>
      </c>
      <c r="J824" s="148">
        <f t="shared" ref="J824:AG824" si="535">J807</f>
        <v>0</v>
      </c>
      <c r="K824" s="148">
        <f t="shared" si="535"/>
        <v>580438.1398025658</v>
      </c>
      <c r="L824" s="148">
        <f t="shared" si="535"/>
        <v>0</v>
      </c>
      <c r="M824" s="148">
        <f t="shared" si="535"/>
        <v>1203953.7945500349</v>
      </c>
      <c r="N824" s="148">
        <f t="shared" si="535"/>
        <v>1074348.063664837</v>
      </c>
      <c r="O824" s="148">
        <f t="shared" si="535"/>
        <v>2714188.2384705162</v>
      </c>
      <c r="P824" s="148">
        <f t="shared" si="535"/>
        <v>1672027.7883174929</v>
      </c>
      <c r="Q824" s="148">
        <f t="shared" si="535"/>
        <v>1237553.5384256705</v>
      </c>
      <c r="R824" s="149">
        <f t="shared" si="535"/>
        <v>963231.14435915905</v>
      </c>
      <c r="S824" s="149">
        <f t="shared" si="535"/>
        <v>961671.78464993648</v>
      </c>
      <c r="T824" s="149">
        <f t="shared" si="535"/>
        <v>933684.80334269791</v>
      </c>
      <c r="U824" s="149">
        <f t="shared" si="535"/>
        <v>952870.44319694955</v>
      </c>
      <c r="V824" s="149">
        <f t="shared" si="535"/>
        <v>949418.71606172156</v>
      </c>
      <c r="W824" s="149">
        <f t="shared" si="535"/>
        <v>945328.05805487116</v>
      </c>
      <c r="X824" s="149">
        <f t="shared" si="535"/>
        <v>949206.04917594511</v>
      </c>
      <c r="Y824" s="149">
        <f t="shared" si="535"/>
        <v>947984.54227193934</v>
      </c>
      <c r="Z824" s="149">
        <f t="shared" si="535"/>
        <v>947506.36084852612</v>
      </c>
      <c r="AA824" s="149">
        <f t="shared" si="535"/>
        <v>948232.3350349504</v>
      </c>
      <c r="AB824" s="149">
        <f t="shared" si="535"/>
        <v>947907.75258146704</v>
      </c>
      <c r="AC824" s="149">
        <f t="shared" si="535"/>
        <v>947882.1549081112</v>
      </c>
      <c r="AD824" s="149">
        <f t="shared" si="535"/>
        <v>948007.41518715932</v>
      </c>
      <c r="AE824" s="149">
        <f t="shared" si="535"/>
        <v>947932.44104583131</v>
      </c>
      <c r="AF824" s="149">
        <f t="shared" si="535"/>
        <v>947940.67056067288</v>
      </c>
      <c r="AG824" s="149">
        <f t="shared" si="535"/>
        <v>947960.17564972665</v>
      </c>
    </row>
    <row r="825" spans="1:33" ht="14.25" customHeight="1" x14ac:dyDescent="0.35">
      <c r="A825" s="21"/>
      <c r="B825" s="28"/>
      <c r="C825" s="21"/>
      <c r="D825" s="21" t="s">
        <v>4035</v>
      </c>
      <c r="E825" s="21"/>
      <c r="F825" s="21"/>
      <c r="G825" s="21"/>
      <c r="H825" s="21"/>
      <c r="I825" s="22" t="s">
        <v>4060</v>
      </c>
      <c r="J825" s="148">
        <f t="shared" ref="J825:AG825" si="536">J808</f>
        <v>0</v>
      </c>
      <c r="K825" s="148">
        <f t="shared" si="536"/>
        <v>1381197.2312546996</v>
      </c>
      <c r="L825" s="148">
        <f t="shared" si="536"/>
        <v>0</v>
      </c>
      <c r="M825" s="148">
        <f t="shared" si="536"/>
        <v>3869728.8276862926</v>
      </c>
      <c r="N825" s="148">
        <f t="shared" si="536"/>
        <v>2053323.4379077239</v>
      </c>
      <c r="O825" s="148">
        <f t="shared" si="536"/>
        <v>4939030.4967075549</v>
      </c>
      <c r="P825" s="148">
        <f t="shared" si="536"/>
        <v>2966987.1442188257</v>
      </c>
      <c r="Q825" s="148">
        <f t="shared" si="536"/>
        <v>2371685.6473821132</v>
      </c>
      <c r="R825" s="149">
        <f t="shared" si="536"/>
        <v>2295088.780720063</v>
      </c>
      <c r="S825" s="149">
        <f t="shared" si="536"/>
        <v>2291254.2743514967</v>
      </c>
      <c r="T825" s="149">
        <f t="shared" si="536"/>
        <v>2287048.8280882793</v>
      </c>
      <c r="U825" s="149">
        <f t="shared" si="536"/>
        <v>2267902.4835152486</v>
      </c>
      <c r="V825" s="149">
        <f t="shared" si="536"/>
        <v>2267577.661835046</v>
      </c>
      <c r="W825" s="149">
        <f t="shared" si="536"/>
        <v>2268408.1290836809</v>
      </c>
      <c r="X825" s="149">
        <f t="shared" si="536"/>
        <v>2267962.7585548479</v>
      </c>
      <c r="Y825" s="149">
        <f t="shared" si="536"/>
        <v>2207974.2670165249</v>
      </c>
      <c r="Z825" s="149">
        <f t="shared" si="536"/>
        <v>2208105.7559369095</v>
      </c>
      <c r="AA825" s="149">
        <f t="shared" si="536"/>
        <v>2205129.6667946768</v>
      </c>
      <c r="AB825" s="149">
        <f t="shared" si="536"/>
        <v>2203748.801810015</v>
      </c>
      <c r="AC825" s="149">
        <f t="shared" si="536"/>
        <v>2200638.5366926715</v>
      </c>
      <c r="AD825" s="149">
        <f t="shared" si="536"/>
        <v>2200619.777416558</v>
      </c>
      <c r="AE825" s="149">
        <f t="shared" si="536"/>
        <v>2200626.0527856424</v>
      </c>
      <c r="AF825" s="149">
        <f t="shared" si="536"/>
        <v>2200628.1222985126</v>
      </c>
      <c r="AG825" s="149">
        <f t="shared" si="536"/>
        <v>2200624.650833617</v>
      </c>
    </row>
    <row r="826" spans="1:33" ht="14.25" customHeight="1" x14ac:dyDescent="0.35">
      <c r="A826" s="21"/>
      <c r="B826" s="28"/>
      <c r="C826" s="21"/>
      <c r="D826" s="21" t="s">
        <v>4036</v>
      </c>
      <c r="E826" s="21"/>
      <c r="F826" s="21"/>
      <c r="G826" s="21"/>
      <c r="H826" s="21"/>
      <c r="I826" s="22" t="s">
        <v>4060</v>
      </c>
      <c r="J826" s="148">
        <f t="shared" ref="J826:AG826" si="537">J809</f>
        <v>0</v>
      </c>
      <c r="K826" s="148">
        <f t="shared" si="537"/>
        <v>6804915.4925042987</v>
      </c>
      <c r="L826" s="148">
        <f t="shared" si="537"/>
        <v>0</v>
      </c>
      <c r="M826" s="148">
        <f t="shared" si="537"/>
        <v>7503510.7176028825</v>
      </c>
      <c r="N826" s="148">
        <f t="shared" si="537"/>
        <v>2660697.1347413505</v>
      </c>
      <c r="O826" s="148">
        <f t="shared" si="537"/>
        <v>6233452.9108877713</v>
      </c>
      <c r="P826" s="148">
        <f t="shared" si="537"/>
        <v>5854049.4660177827</v>
      </c>
      <c r="Q826" s="148">
        <f t="shared" si="537"/>
        <v>4075720.2333333283</v>
      </c>
      <c r="R826" s="149">
        <f t="shared" si="537"/>
        <v>4259789.7111474052</v>
      </c>
      <c r="S826" s="149">
        <f t="shared" si="537"/>
        <v>4253792.568607348</v>
      </c>
      <c r="T826" s="149">
        <f t="shared" si="537"/>
        <v>4120077.0563571984</v>
      </c>
      <c r="U826" s="149">
        <f t="shared" si="537"/>
        <v>4122870.1289792224</v>
      </c>
      <c r="V826" s="149">
        <f t="shared" si="537"/>
        <v>4098573.1983034057</v>
      </c>
      <c r="W826" s="149">
        <f t="shared" si="537"/>
        <v>4082583.0229908652</v>
      </c>
      <c r="X826" s="149">
        <f t="shared" si="537"/>
        <v>4073488.9335939176</v>
      </c>
      <c r="Y826" s="149">
        <f t="shared" si="537"/>
        <v>4072368.4025179036</v>
      </c>
      <c r="Z826" s="149">
        <f t="shared" si="537"/>
        <v>4055788.9192350935</v>
      </c>
      <c r="AA826" s="149">
        <f t="shared" si="537"/>
        <v>4046940.2383546135</v>
      </c>
      <c r="AB826" s="149">
        <f t="shared" si="537"/>
        <v>4046852.1020379658</v>
      </c>
      <c r="AC826" s="149">
        <f t="shared" si="537"/>
        <v>4029977.9482678152</v>
      </c>
      <c r="AD826" s="149">
        <f t="shared" si="537"/>
        <v>4026490.2855899362</v>
      </c>
      <c r="AE826" s="149">
        <f t="shared" si="537"/>
        <v>4008621.8567226236</v>
      </c>
      <c r="AF826" s="149">
        <f t="shared" si="537"/>
        <v>4005927.0976838707</v>
      </c>
      <c r="AG826" s="149">
        <f t="shared" si="537"/>
        <v>3991604.2266402277</v>
      </c>
    </row>
    <row r="827" spans="1:33" ht="14.25" customHeight="1" x14ac:dyDescent="0.35">
      <c r="A827" s="21"/>
      <c r="B827" s="28"/>
      <c r="C827" s="21"/>
      <c r="D827" s="28" t="s">
        <v>4144</v>
      </c>
      <c r="E827" s="175"/>
      <c r="F827" s="21"/>
      <c r="G827" s="21"/>
      <c r="H827" s="21"/>
      <c r="I827" s="22" t="s">
        <v>4060</v>
      </c>
      <c r="J827" s="181">
        <f t="shared" ref="J827:AG827" si="538">SUM(J812:J826)</f>
        <v>0</v>
      </c>
      <c r="K827" s="181">
        <f t="shared" si="538"/>
        <v>154156060.41029036</v>
      </c>
      <c r="L827" s="181">
        <f t="shared" si="538"/>
        <v>0</v>
      </c>
      <c r="M827" s="181">
        <f t="shared" si="538"/>
        <v>230677032.99828351</v>
      </c>
      <c r="N827" s="181">
        <f t="shared" si="538"/>
        <v>195025106.62974134</v>
      </c>
      <c r="O827" s="181">
        <f t="shared" si="538"/>
        <v>485811190.21524632</v>
      </c>
      <c r="P827" s="181">
        <f t="shared" si="538"/>
        <v>316430221.56254596</v>
      </c>
      <c r="Q827" s="181">
        <f t="shared" si="538"/>
        <v>235881788.32867131</v>
      </c>
      <c r="R827" s="182">
        <f t="shared" si="538"/>
        <v>190881449.88870427</v>
      </c>
      <c r="S827" s="182">
        <f t="shared" si="538"/>
        <v>190721156.16103393</v>
      </c>
      <c r="T827" s="182">
        <f t="shared" si="538"/>
        <v>190569670.85252279</v>
      </c>
      <c r="U827" s="182">
        <f t="shared" si="538"/>
        <v>190544889.10570607</v>
      </c>
      <c r="V827" s="182">
        <f t="shared" si="538"/>
        <v>190507383.65261364</v>
      </c>
      <c r="W827" s="182">
        <f t="shared" si="538"/>
        <v>190493977.50408641</v>
      </c>
      <c r="X827" s="182">
        <f t="shared" si="538"/>
        <v>190483268.23104259</v>
      </c>
      <c r="Y827" s="182">
        <f t="shared" si="538"/>
        <v>190420404.43135172</v>
      </c>
      <c r="Z827" s="182">
        <f t="shared" si="538"/>
        <v>190404621.78163263</v>
      </c>
      <c r="AA827" s="182">
        <f t="shared" si="538"/>
        <v>190392523.92660838</v>
      </c>
      <c r="AB827" s="182">
        <f t="shared" si="538"/>
        <v>190390820.48825356</v>
      </c>
      <c r="AC827" s="182">
        <f t="shared" si="538"/>
        <v>190370990.16368738</v>
      </c>
      <c r="AD827" s="182">
        <f t="shared" si="538"/>
        <v>190367413.37871146</v>
      </c>
      <c r="AE827" s="182">
        <f t="shared" si="538"/>
        <v>190349523.55411786</v>
      </c>
      <c r="AF827" s="182">
        <f t="shared" si="538"/>
        <v>190346860.53427333</v>
      </c>
      <c r="AG827" s="182">
        <f t="shared" si="538"/>
        <v>190332516.91165656</v>
      </c>
    </row>
    <row r="828" spans="1:33" ht="14.25" customHeight="1" x14ac:dyDescent="0.35">
      <c r="A828" s="21"/>
      <c r="B828" s="28"/>
      <c r="C828" s="21"/>
      <c r="D828" s="21" t="s">
        <v>4145</v>
      </c>
      <c r="E828" s="21"/>
      <c r="F828" s="21"/>
      <c r="G828" s="21"/>
      <c r="H828" s="21"/>
      <c r="I828" s="22" t="s">
        <v>3900</v>
      </c>
      <c r="J828" s="160">
        <f t="shared" ref="J828:AG828" si="539">J741</f>
        <v>0</v>
      </c>
      <c r="K828" s="160">
        <f t="shared" si="539"/>
        <v>3540.4</v>
      </c>
      <c r="L828" s="160">
        <f t="shared" si="539"/>
        <v>0</v>
      </c>
      <c r="M828" s="160">
        <f t="shared" si="539"/>
        <v>5836</v>
      </c>
      <c r="N828" s="160">
        <f t="shared" si="539"/>
        <v>5335</v>
      </c>
      <c r="O828" s="160">
        <f t="shared" si="539"/>
        <v>14113</v>
      </c>
      <c r="P828" s="160">
        <f t="shared" si="539"/>
        <v>8288</v>
      </c>
      <c r="Q828" s="160">
        <f t="shared" si="539"/>
        <v>7403</v>
      </c>
      <c r="R828" s="161">
        <f t="shared" si="539"/>
        <v>5564.4250000000002</v>
      </c>
      <c r="S828" s="161">
        <f t="shared" si="539"/>
        <v>5564.4250000000002</v>
      </c>
      <c r="T828" s="161">
        <f t="shared" si="539"/>
        <v>5564.4250000000002</v>
      </c>
      <c r="U828" s="161">
        <f t="shared" si="539"/>
        <v>5564.4250000000002</v>
      </c>
      <c r="V828" s="161">
        <f t="shared" si="539"/>
        <v>5564.4250000000002</v>
      </c>
      <c r="W828" s="161">
        <f t="shared" si="539"/>
        <v>5564.4250000000002</v>
      </c>
      <c r="X828" s="161">
        <f t="shared" si="539"/>
        <v>5564.4250000000002</v>
      </c>
      <c r="Y828" s="161">
        <f t="shared" si="539"/>
        <v>5564.4250000000002</v>
      </c>
      <c r="Z828" s="161">
        <f t="shared" si="539"/>
        <v>5564.4250000000002</v>
      </c>
      <c r="AA828" s="161">
        <f t="shared" si="539"/>
        <v>5564.4250000000002</v>
      </c>
      <c r="AB828" s="161">
        <f t="shared" si="539"/>
        <v>5564.4250000000002</v>
      </c>
      <c r="AC828" s="161">
        <f t="shared" si="539"/>
        <v>5564.4250000000002</v>
      </c>
      <c r="AD828" s="161">
        <f t="shared" si="539"/>
        <v>5564.4250000000002</v>
      </c>
      <c r="AE828" s="161">
        <f t="shared" si="539"/>
        <v>5564.4250000000002</v>
      </c>
      <c r="AF828" s="161">
        <f t="shared" si="539"/>
        <v>5564.4250000000002</v>
      </c>
      <c r="AG828" s="161">
        <f t="shared" si="539"/>
        <v>5564.4250000000002</v>
      </c>
    </row>
    <row r="829" spans="1:33" ht="14.25" customHeight="1" x14ac:dyDescent="0.35">
      <c r="A829" s="21"/>
      <c r="B829" s="28"/>
      <c r="C829" s="21"/>
      <c r="D829" s="21" t="s">
        <v>38</v>
      </c>
      <c r="E829" s="21"/>
      <c r="F829" s="21"/>
      <c r="G829" s="21"/>
      <c r="H829" s="21"/>
      <c r="I829" s="22" t="s">
        <v>3900</v>
      </c>
      <c r="J829" s="160">
        <f t="shared" ref="J829:AG829" si="540">J742</f>
        <v>0</v>
      </c>
      <c r="K829" s="160">
        <f t="shared" si="540"/>
        <v>0</v>
      </c>
      <c r="L829" s="160">
        <f t="shared" si="540"/>
        <v>0</v>
      </c>
      <c r="M829" s="160">
        <f t="shared" si="540"/>
        <v>0</v>
      </c>
      <c r="N829" s="160">
        <f t="shared" si="540"/>
        <v>0</v>
      </c>
      <c r="O829" s="160">
        <f t="shared" si="540"/>
        <v>0</v>
      </c>
      <c r="P829" s="160">
        <f t="shared" si="540"/>
        <v>0</v>
      </c>
      <c r="Q829" s="160">
        <f t="shared" si="540"/>
        <v>0</v>
      </c>
      <c r="R829" s="161">
        <f t="shared" si="540"/>
        <v>0</v>
      </c>
      <c r="S829" s="161">
        <f t="shared" si="540"/>
        <v>0</v>
      </c>
      <c r="T829" s="161">
        <f t="shared" si="540"/>
        <v>0</v>
      </c>
      <c r="U829" s="161">
        <f t="shared" si="540"/>
        <v>0</v>
      </c>
      <c r="V829" s="161">
        <f t="shared" si="540"/>
        <v>0</v>
      </c>
      <c r="W829" s="161">
        <f t="shared" si="540"/>
        <v>0</v>
      </c>
      <c r="X829" s="161">
        <f t="shared" si="540"/>
        <v>0</v>
      </c>
      <c r="Y829" s="161">
        <f t="shared" si="540"/>
        <v>0</v>
      </c>
      <c r="Z829" s="161">
        <f t="shared" si="540"/>
        <v>0</v>
      </c>
      <c r="AA829" s="161">
        <f t="shared" si="540"/>
        <v>0</v>
      </c>
      <c r="AB829" s="161">
        <f t="shared" si="540"/>
        <v>0</v>
      </c>
      <c r="AC829" s="161">
        <f t="shared" si="540"/>
        <v>0</v>
      </c>
      <c r="AD829" s="161">
        <f t="shared" si="540"/>
        <v>0</v>
      </c>
      <c r="AE829" s="161">
        <f t="shared" si="540"/>
        <v>0</v>
      </c>
      <c r="AF829" s="161">
        <f t="shared" si="540"/>
        <v>0</v>
      </c>
      <c r="AG829" s="161">
        <f t="shared" si="540"/>
        <v>0</v>
      </c>
    </row>
    <row r="830" spans="1:33" ht="14.25" customHeight="1" x14ac:dyDescent="0.35">
      <c r="A830" s="21"/>
      <c r="B830" s="28"/>
      <c r="C830" s="21"/>
      <c r="D830" s="21" t="s">
        <v>4146</v>
      </c>
      <c r="E830" s="21"/>
      <c r="F830" s="21"/>
      <c r="G830" s="21"/>
      <c r="H830" s="21"/>
      <c r="I830" s="22" t="s">
        <v>3900</v>
      </c>
      <c r="J830" s="160">
        <f t="shared" ref="J830:AG830" si="541">J743</f>
        <v>0</v>
      </c>
      <c r="K830" s="160">
        <f t="shared" si="541"/>
        <v>0</v>
      </c>
      <c r="L830" s="160">
        <f t="shared" si="541"/>
        <v>0</v>
      </c>
      <c r="M830" s="160">
        <f t="shared" si="541"/>
        <v>0</v>
      </c>
      <c r="N830" s="160">
        <f t="shared" si="541"/>
        <v>0</v>
      </c>
      <c r="O830" s="160">
        <f t="shared" si="541"/>
        <v>0</v>
      </c>
      <c r="P830" s="160">
        <f t="shared" si="541"/>
        <v>0</v>
      </c>
      <c r="Q830" s="160">
        <f t="shared" si="541"/>
        <v>0</v>
      </c>
      <c r="R830" s="161">
        <f t="shared" si="541"/>
        <v>56.206313131313138</v>
      </c>
      <c r="S830" s="161">
        <f t="shared" si="541"/>
        <v>56.206313131313138</v>
      </c>
      <c r="T830" s="161">
        <f t="shared" si="541"/>
        <v>56.206313131313138</v>
      </c>
      <c r="U830" s="161">
        <f t="shared" si="541"/>
        <v>56.206313131313138</v>
      </c>
      <c r="V830" s="161">
        <f t="shared" si="541"/>
        <v>56.206313131313138</v>
      </c>
      <c r="W830" s="161">
        <f t="shared" si="541"/>
        <v>56.206313131313138</v>
      </c>
      <c r="X830" s="161">
        <f t="shared" si="541"/>
        <v>56.206313131313138</v>
      </c>
      <c r="Y830" s="161">
        <f t="shared" si="541"/>
        <v>56.206313131313138</v>
      </c>
      <c r="Z830" s="161">
        <f t="shared" si="541"/>
        <v>56.206313131313138</v>
      </c>
      <c r="AA830" s="161">
        <f t="shared" si="541"/>
        <v>56.206313131313138</v>
      </c>
      <c r="AB830" s="161">
        <f t="shared" si="541"/>
        <v>56.206313131313138</v>
      </c>
      <c r="AC830" s="161">
        <f t="shared" si="541"/>
        <v>56.206313131313138</v>
      </c>
      <c r="AD830" s="161">
        <f t="shared" si="541"/>
        <v>56.206313131313138</v>
      </c>
      <c r="AE830" s="161">
        <f t="shared" si="541"/>
        <v>56.206313131313138</v>
      </c>
      <c r="AF830" s="161">
        <f t="shared" si="541"/>
        <v>56.206313131313138</v>
      </c>
      <c r="AG830" s="161">
        <f t="shared" si="541"/>
        <v>56.206313131313138</v>
      </c>
    </row>
    <row r="831" spans="1:33" ht="14.25" customHeight="1" x14ac:dyDescent="0.35">
      <c r="A831" s="21"/>
      <c r="B831" s="28"/>
      <c r="C831" s="21"/>
      <c r="D831" s="28" t="s">
        <v>4147</v>
      </c>
      <c r="E831" s="175"/>
      <c r="F831" s="21"/>
      <c r="G831" s="21"/>
      <c r="H831" s="21"/>
      <c r="I831" s="22" t="s">
        <v>3861</v>
      </c>
      <c r="J831" s="160">
        <f t="shared" ref="J831:Q831" si="542">IFERROR(J827/J828,0)</f>
        <v>0</v>
      </c>
      <c r="K831" s="160">
        <f t="shared" si="542"/>
        <v>43541.989721582409</v>
      </c>
      <c r="L831" s="160">
        <f t="shared" si="542"/>
        <v>0</v>
      </c>
      <c r="M831" s="160">
        <f t="shared" si="542"/>
        <v>39526.564941446799</v>
      </c>
      <c r="N831" s="160">
        <f t="shared" si="542"/>
        <v>36555.783810635679</v>
      </c>
      <c r="O831" s="160">
        <f t="shared" si="542"/>
        <v>34422.95686354753</v>
      </c>
      <c r="P831" s="160">
        <f t="shared" si="542"/>
        <v>38179.322099728037</v>
      </c>
      <c r="Q831" s="160">
        <f t="shared" si="542"/>
        <v>31862.99990931667</v>
      </c>
      <c r="R831" s="161">
        <f t="shared" ref="R831:AG831" si="543">IFERROR(R827/SUM(R828:R830),0)</f>
        <v>33960.855863780569</v>
      </c>
      <c r="S831" s="161">
        <f t="shared" si="543"/>
        <v>33932.337051793053</v>
      </c>
      <c r="T831" s="161">
        <f t="shared" si="543"/>
        <v>33905.385398131439</v>
      </c>
      <c r="U831" s="161">
        <f t="shared" si="543"/>
        <v>33900.976329926089</v>
      </c>
      <c r="V831" s="161">
        <f t="shared" si="543"/>
        <v>33894.303511339895</v>
      </c>
      <c r="W831" s="161">
        <f t="shared" si="543"/>
        <v>33891.918343592646</v>
      </c>
      <c r="X831" s="161">
        <f t="shared" si="543"/>
        <v>33890.012993028417</v>
      </c>
      <c r="Y831" s="161">
        <f t="shared" si="543"/>
        <v>33878.828519934796</v>
      </c>
      <c r="Z831" s="161">
        <f t="shared" si="543"/>
        <v>33876.020534703275</v>
      </c>
      <c r="AA831" s="161">
        <f t="shared" si="543"/>
        <v>33873.868133246884</v>
      </c>
      <c r="AB831" s="161">
        <f t="shared" si="543"/>
        <v>33873.565064381495</v>
      </c>
      <c r="AC831" s="161">
        <f t="shared" si="543"/>
        <v>33870.036933205229</v>
      </c>
      <c r="AD831" s="161">
        <f t="shared" si="543"/>
        <v>33869.40056608263</v>
      </c>
      <c r="AE831" s="161">
        <f t="shared" si="543"/>
        <v>33866.217680816379</v>
      </c>
      <c r="AF831" s="161">
        <f t="shared" si="543"/>
        <v>33865.743887091761</v>
      </c>
      <c r="AG831" s="161">
        <f t="shared" si="543"/>
        <v>33863.191927744549</v>
      </c>
    </row>
    <row r="832" spans="1:33" ht="14.25" customHeight="1" x14ac:dyDescent="0.35">
      <c r="A832" s="21"/>
      <c r="B832" s="28"/>
      <c r="C832" s="28" t="s">
        <v>4238</v>
      </c>
      <c r="D832" s="28" t="s">
        <v>4149</v>
      </c>
      <c r="E832" s="21"/>
      <c r="F832" s="21"/>
      <c r="G832" s="21"/>
      <c r="H832" s="21"/>
      <c r="I832" s="22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</row>
    <row r="833" spans="1:33" ht="14.25" customHeight="1" x14ac:dyDescent="0.35">
      <c r="A833" s="21"/>
      <c r="B833" s="28"/>
      <c r="C833" s="28"/>
      <c r="D833" s="21" t="s">
        <v>4150</v>
      </c>
      <c r="E833" s="21"/>
      <c r="F833" s="21"/>
      <c r="G833" s="21"/>
      <c r="H833" s="21"/>
      <c r="I833" s="22" t="s">
        <v>3900</v>
      </c>
      <c r="J833" s="160">
        <f>'Input Operasional'!I11</f>
        <v>473</v>
      </c>
      <c r="K833" s="160">
        <f>'Input Operasional'!J11</f>
        <v>10.4</v>
      </c>
      <c r="L833" s="160">
        <f>'Input Operasional'!K11</f>
        <v>3151.5</v>
      </c>
      <c r="M833" s="160">
        <f>'Input Operasional'!L11</f>
        <v>5511.5</v>
      </c>
      <c r="N833" s="160">
        <f>'Input Operasional'!M11</f>
        <v>5335</v>
      </c>
      <c r="O833" s="160">
        <f>'Input Operasional'!N11</f>
        <v>13651</v>
      </c>
      <c r="P833" s="160">
        <f>'Input Operasional'!O11</f>
        <v>8448</v>
      </c>
      <c r="Q833" s="160">
        <f>'Input Operasional'!P11</f>
        <v>7403</v>
      </c>
      <c r="R833" s="161">
        <f>'Input Operasional'!Q11</f>
        <v>5564.4250000000002</v>
      </c>
      <c r="S833" s="161">
        <f>'Input Operasional'!R11</f>
        <v>5564.4250000000002</v>
      </c>
      <c r="T833" s="161">
        <f>'Input Operasional'!S11</f>
        <v>5564.4250000000002</v>
      </c>
      <c r="U833" s="161">
        <f>'Input Operasional'!T11</f>
        <v>5564.4250000000002</v>
      </c>
      <c r="V833" s="161">
        <f>'Input Operasional'!U11</f>
        <v>5564.4250000000002</v>
      </c>
      <c r="W833" s="161">
        <f>'Input Operasional'!V11</f>
        <v>5564.4250000000002</v>
      </c>
      <c r="X833" s="161">
        <f>'Input Operasional'!W11</f>
        <v>5564.4250000000002</v>
      </c>
      <c r="Y833" s="161">
        <f>'Input Operasional'!X11</f>
        <v>5564.4250000000002</v>
      </c>
      <c r="Z833" s="161">
        <f>'Input Operasional'!Y11</f>
        <v>5564.4250000000002</v>
      </c>
      <c r="AA833" s="161">
        <f>'Input Operasional'!Z11</f>
        <v>5564.4250000000002</v>
      </c>
      <c r="AB833" s="161">
        <f>'Input Operasional'!AA11</f>
        <v>5564.4250000000002</v>
      </c>
      <c r="AC833" s="161">
        <f>'Input Operasional'!AB11</f>
        <v>5564.4250000000002</v>
      </c>
      <c r="AD833" s="161">
        <f>'Input Operasional'!AC11</f>
        <v>5564.4250000000002</v>
      </c>
      <c r="AE833" s="161">
        <f>'Input Operasional'!AD11</f>
        <v>5564.4250000000002</v>
      </c>
      <c r="AF833" s="161">
        <f>'Input Operasional'!AE11</f>
        <v>5564.4250000000002</v>
      </c>
      <c r="AG833" s="161">
        <f>'Input Operasional'!AF11</f>
        <v>5564.4250000000002</v>
      </c>
    </row>
    <row r="834" spans="1:33" ht="14.25" customHeight="1" x14ac:dyDescent="0.35">
      <c r="A834" s="21"/>
      <c r="B834" s="28"/>
      <c r="C834" s="28"/>
      <c r="D834" s="21" t="s">
        <v>4151</v>
      </c>
      <c r="E834" s="21"/>
      <c r="F834" s="21"/>
      <c r="G834" s="21"/>
      <c r="H834" s="21"/>
      <c r="I834" s="22" t="s">
        <v>3900</v>
      </c>
      <c r="J834" s="160"/>
      <c r="K834" s="160"/>
      <c r="L834" s="160"/>
      <c r="M834" s="160"/>
      <c r="N834" s="160"/>
      <c r="O834" s="160"/>
      <c r="P834" s="160"/>
      <c r="Q834" s="160"/>
      <c r="R834" s="161">
        <f>'Business Plan - Model Details'!R742</f>
        <v>0</v>
      </c>
      <c r="S834" s="161">
        <f>'Business Plan - Model Details'!S742</f>
        <v>0</v>
      </c>
      <c r="T834" s="161">
        <f>'Business Plan - Model Details'!T742</f>
        <v>0</v>
      </c>
      <c r="U834" s="161">
        <f>'Business Plan - Model Details'!U742</f>
        <v>0</v>
      </c>
      <c r="V834" s="161">
        <f>'Business Plan - Model Details'!V742</f>
        <v>0</v>
      </c>
      <c r="W834" s="161">
        <f>'Business Plan - Model Details'!W742</f>
        <v>0</v>
      </c>
      <c r="X834" s="161">
        <f>'Business Plan - Model Details'!X742</f>
        <v>0</v>
      </c>
      <c r="Y834" s="161">
        <f>'Business Plan - Model Details'!Y742</f>
        <v>0</v>
      </c>
      <c r="Z834" s="161">
        <f>'Business Plan - Model Details'!Z742</f>
        <v>0</v>
      </c>
      <c r="AA834" s="161">
        <f>'Business Plan - Model Details'!AA742</f>
        <v>0</v>
      </c>
      <c r="AB834" s="161">
        <f>'Business Plan - Model Details'!AB742</f>
        <v>0</v>
      </c>
      <c r="AC834" s="161">
        <f>'Business Plan - Model Details'!AC742</f>
        <v>0</v>
      </c>
      <c r="AD834" s="161">
        <f>'Business Plan - Model Details'!AD742</f>
        <v>0</v>
      </c>
      <c r="AE834" s="161">
        <f>'Business Plan - Model Details'!AE742</f>
        <v>0</v>
      </c>
      <c r="AF834" s="161">
        <f>'Business Plan - Model Details'!AF742</f>
        <v>0</v>
      </c>
      <c r="AG834" s="161">
        <f>'Business Plan - Model Details'!AG742</f>
        <v>0</v>
      </c>
    </row>
    <row r="835" spans="1:33" ht="14.25" customHeight="1" x14ac:dyDescent="0.35">
      <c r="A835" s="21"/>
      <c r="B835" s="28"/>
      <c r="C835" s="28"/>
      <c r="D835" s="21" t="s">
        <v>4092</v>
      </c>
      <c r="E835" s="21"/>
      <c r="F835" s="21"/>
      <c r="G835" s="21"/>
      <c r="H835" s="21"/>
      <c r="I835" s="22" t="s">
        <v>3900</v>
      </c>
      <c r="J835" s="160"/>
      <c r="K835" s="160"/>
      <c r="L835" s="160"/>
      <c r="M835" s="160"/>
      <c r="N835" s="160"/>
      <c r="O835" s="160"/>
      <c r="P835" s="160"/>
      <c r="Q835" s="160"/>
      <c r="R835" s="161">
        <f>'Business Plan - Model Details'!R743</f>
        <v>56.206313131313138</v>
      </c>
      <c r="S835" s="161">
        <f>'Business Plan - Model Details'!S743</f>
        <v>56.206313131313138</v>
      </c>
      <c r="T835" s="161">
        <f>'Business Plan - Model Details'!T743</f>
        <v>56.206313131313138</v>
      </c>
      <c r="U835" s="161">
        <f>'Business Plan - Model Details'!U743</f>
        <v>56.206313131313138</v>
      </c>
      <c r="V835" s="161">
        <f>'Business Plan - Model Details'!V743</f>
        <v>56.206313131313138</v>
      </c>
      <c r="W835" s="161">
        <f>'Business Plan - Model Details'!W743</f>
        <v>56.206313131313138</v>
      </c>
      <c r="X835" s="161">
        <f>'Business Plan - Model Details'!X743</f>
        <v>56.206313131313138</v>
      </c>
      <c r="Y835" s="161">
        <f>'Business Plan - Model Details'!Y743</f>
        <v>56.206313131313138</v>
      </c>
      <c r="Z835" s="161">
        <f>'Business Plan - Model Details'!Z743</f>
        <v>56.206313131313138</v>
      </c>
      <c r="AA835" s="161">
        <f>'Business Plan - Model Details'!AA743</f>
        <v>56.206313131313138</v>
      </c>
      <c r="AB835" s="161">
        <f>'Business Plan - Model Details'!AB743</f>
        <v>56.206313131313138</v>
      </c>
      <c r="AC835" s="161">
        <f>'Business Plan - Model Details'!AC743</f>
        <v>56.206313131313138</v>
      </c>
      <c r="AD835" s="161">
        <f>'Business Plan - Model Details'!AD743</f>
        <v>56.206313131313138</v>
      </c>
      <c r="AE835" s="161">
        <f>'Business Plan - Model Details'!AE743</f>
        <v>56.206313131313138</v>
      </c>
      <c r="AF835" s="161">
        <f>'Business Plan - Model Details'!AF743</f>
        <v>56.206313131313138</v>
      </c>
      <c r="AG835" s="161">
        <f>'Business Plan - Model Details'!AG743</f>
        <v>56.206313131313138</v>
      </c>
    </row>
    <row r="836" spans="1:33" ht="14.25" customHeight="1" x14ac:dyDescent="0.35">
      <c r="A836" s="21"/>
      <c r="B836" s="28"/>
      <c r="C836" s="28"/>
      <c r="D836" s="21" t="s">
        <v>4152</v>
      </c>
      <c r="E836" s="21"/>
      <c r="F836" s="21"/>
      <c r="G836" s="21"/>
      <c r="H836" s="21"/>
      <c r="I836" s="22" t="s">
        <v>3900</v>
      </c>
      <c r="J836" s="160">
        <f t="shared" ref="J836:Q836" si="544">J744</f>
        <v>0</v>
      </c>
      <c r="K836" s="160">
        <f t="shared" si="544"/>
        <v>0</v>
      </c>
      <c r="L836" s="160">
        <f t="shared" si="544"/>
        <v>0</v>
      </c>
      <c r="M836" s="160">
        <f t="shared" si="544"/>
        <v>0</v>
      </c>
      <c r="N836" s="160">
        <f t="shared" si="544"/>
        <v>0</v>
      </c>
      <c r="O836" s="160">
        <f t="shared" si="544"/>
        <v>0</v>
      </c>
      <c r="P836" s="160">
        <f t="shared" si="544"/>
        <v>0</v>
      </c>
      <c r="Q836" s="160">
        <f t="shared" si="544"/>
        <v>0</v>
      </c>
      <c r="R836" s="161">
        <f>'Business Plan - Model Details'!R744</f>
        <v>0</v>
      </c>
      <c r="S836" s="161">
        <f>'Business Plan - Model Details'!S744</f>
        <v>0</v>
      </c>
      <c r="T836" s="161">
        <f>'Business Plan - Model Details'!T744</f>
        <v>0</v>
      </c>
      <c r="U836" s="161">
        <f>'Business Plan - Model Details'!U744</f>
        <v>0</v>
      </c>
      <c r="V836" s="161">
        <f>'Business Plan - Model Details'!V744</f>
        <v>0</v>
      </c>
      <c r="W836" s="161">
        <f>'Business Plan - Model Details'!W744</f>
        <v>0</v>
      </c>
      <c r="X836" s="161">
        <f>'Business Plan - Model Details'!X744</f>
        <v>0</v>
      </c>
      <c r="Y836" s="161">
        <f>'Business Plan - Model Details'!Y744</f>
        <v>0</v>
      </c>
      <c r="Z836" s="161">
        <f>'Business Plan - Model Details'!Z744</f>
        <v>0</v>
      </c>
      <c r="AA836" s="161">
        <f>'Business Plan - Model Details'!AA744</f>
        <v>0</v>
      </c>
      <c r="AB836" s="161">
        <f>'Business Plan - Model Details'!AB744</f>
        <v>0</v>
      </c>
      <c r="AC836" s="161">
        <f>'Business Plan - Model Details'!AC744</f>
        <v>0</v>
      </c>
      <c r="AD836" s="161">
        <f>'Business Plan - Model Details'!AD744</f>
        <v>0</v>
      </c>
      <c r="AE836" s="161">
        <f>'Business Plan - Model Details'!AE744</f>
        <v>0</v>
      </c>
      <c r="AF836" s="161">
        <f>'Business Plan - Model Details'!AF744</f>
        <v>0</v>
      </c>
      <c r="AG836" s="161">
        <f>'Business Plan - Model Details'!AG744</f>
        <v>0</v>
      </c>
    </row>
    <row r="837" spans="1:33" ht="14.25" customHeight="1" x14ac:dyDescent="0.35">
      <c r="A837" s="21"/>
      <c r="B837" s="21"/>
      <c r="D837" s="21" t="s">
        <v>4153</v>
      </c>
      <c r="E837" s="21"/>
      <c r="F837" s="21"/>
      <c r="G837" s="21"/>
      <c r="H837" s="21"/>
      <c r="I837" s="22"/>
      <c r="J837" s="21"/>
      <c r="K837" s="21"/>
      <c r="L837" s="21"/>
      <c r="M837" s="21"/>
      <c r="N837" s="21"/>
      <c r="O837" s="21"/>
      <c r="P837" s="60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</row>
    <row r="838" spans="1:33" ht="14.25" customHeight="1" x14ac:dyDescent="0.35">
      <c r="A838" s="21"/>
      <c r="B838" s="28"/>
      <c r="C838" s="28"/>
      <c r="D838" s="21"/>
      <c r="E838" s="21" t="s">
        <v>4239</v>
      </c>
      <c r="F838" s="21"/>
      <c r="G838" s="21"/>
      <c r="H838" s="21"/>
      <c r="I838" s="22" t="s">
        <v>3900</v>
      </c>
      <c r="J838" s="160"/>
      <c r="K838" s="160"/>
      <c r="L838" s="160"/>
      <c r="M838" s="160"/>
      <c r="N838" s="160"/>
      <c r="O838" s="160"/>
      <c r="P838" s="160"/>
      <c r="Q838" s="160"/>
      <c r="R838" s="161">
        <v>0</v>
      </c>
      <c r="S838" s="161">
        <f t="shared" ref="S838:AG838" si="545">R843</f>
        <v>2.9842794901924208E-13</v>
      </c>
      <c r="T838" s="161">
        <f t="shared" si="545"/>
        <v>2.9842794901924208E-13</v>
      </c>
      <c r="U838" s="161">
        <f t="shared" si="545"/>
        <v>2.9842794901924208E-13</v>
      </c>
      <c r="V838" s="161">
        <f t="shared" si="545"/>
        <v>2.9842794901924208E-13</v>
      </c>
      <c r="W838" s="161">
        <f t="shared" si="545"/>
        <v>2.9842794901924208E-13</v>
      </c>
      <c r="X838" s="161">
        <f t="shared" si="545"/>
        <v>2.9842794901924208E-13</v>
      </c>
      <c r="Y838" s="161">
        <f t="shared" si="545"/>
        <v>2.9842794901924208E-13</v>
      </c>
      <c r="Z838" s="161">
        <f t="shared" si="545"/>
        <v>2.9842794901924208E-13</v>
      </c>
      <c r="AA838" s="161">
        <f t="shared" si="545"/>
        <v>2.9842794901924208E-13</v>
      </c>
      <c r="AB838" s="161">
        <f t="shared" si="545"/>
        <v>2.9842794901924208E-13</v>
      </c>
      <c r="AC838" s="161">
        <f t="shared" si="545"/>
        <v>2.9842794901924208E-13</v>
      </c>
      <c r="AD838" s="161">
        <f t="shared" si="545"/>
        <v>2.9842794901924208E-13</v>
      </c>
      <c r="AE838" s="161">
        <f t="shared" si="545"/>
        <v>2.9842794901924208E-13</v>
      </c>
      <c r="AF838" s="161">
        <f t="shared" si="545"/>
        <v>2.9842794901924208E-13</v>
      </c>
      <c r="AG838" s="161">
        <f t="shared" si="545"/>
        <v>2.9842794901924208E-13</v>
      </c>
    </row>
    <row r="839" spans="1:33" ht="14.25" customHeight="1" x14ac:dyDescent="0.35">
      <c r="A839" s="21"/>
      <c r="B839" s="28"/>
      <c r="C839" s="28"/>
      <c r="D839" s="21"/>
      <c r="E839" s="21" t="s">
        <v>4154</v>
      </c>
      <c r="F839" s="21"/>
      <c r="G839" s="21"/>
      <c r="H839" s="21"/>
      <c r="I839" s="22" t="s">
        <v>3900</v>
      </c>
      <c r="J839" s="160"/>
      <c r="K839" s="160"/>
      <c r="L839" s="160"/>
      <c r="M839" s="160"/>
      <c r="N839" s="160"/>
      <c r="O839" s="160"/>
      <c r="P839" s="160"/>
      <c r="Q839" s="160"/>
      <c r="R839" s="161">
        <f t="shared" ref="R839:AG839" si="546">SUM(R833:R836)</f>
        <v>5620.6313131313136</v>
      </c>
      <c r="S839" s="161">
        <f t="shared" si="546"/>
        <v>5620.6313131313136</v>
      </c>
      <c r="T839" s="161">
        <f t="shared" si="546"/>
        <v>5620.6313131313136</v>
      </c>
      <c r="U839" s="161">
        <f t="shared" si="546"/>
        <v>5620.6313131313136</v>
      </c>
      <c r="V839" s="161">
        <f t="shared" si="546"/>
        <v>5620.6313131313136</v>
      </c>
      <c r="W839" s="161">
        <f t="shared" si="546"/>
        <v>5620.6313131313136</v>
      </c>
      <c r="X839" s="161">
        <f t="shared" si="546"/>
        <v>5620.6313131313136</v>
      </c>
      <c r="Y839" s="161">
        <f t="shared" si="546"/>
        <v>5620.6313131313136</v>
      </c>
      <c r="Z839" s="161">
        <f t="shared" si="546"/>
        <v>5620.6313131313136</v>
      </c>
      <c r="AA839" s="161">
        <f t="shared" si="546"/>
        <v>5620.6313131313136</v>
      </c>
      <c r="AB839" s="161">
        <f t="shared" si="546"/>
        <v>5620.6313131313136</v>
      </c>
      <c r="AC839" s="161">
        <f t="shared" si="546"/>
        <v>5620.6313131313136</v>
      </c>
      <c r="AD839" s="161">
        <f t="shared" si="546"/>
        <v>5620.6313131313136</v>
      </c>
      <c r="AE839" s="161">
        <f t="shared" si="546"/>
        <v>5620.6313131313136</v>
      </c>
      <c r="AF839" s="161">
        <f t="shared" si="546"/>
        <v>5620.6313131313136</v>
      </c>
      <c r="AG839" s="161">
        <f t="shared" si="546"/>
        <v>5620.6313131313136</v>
      </c>
    </row>
    <row r="840" spans="1:33" ht="14.25" customHeight="1" x14ac:dyDescent="0.35">
      <c r="A840" s="21"/>
      <c r="B840" s="28"/>
      <c r="C840" s="28"/>
      <c r="D840" s="21"/>
      <c r="E840" s="21" t="s">
        <v>4155</v>
      </c>
      <c r="F840" s="21"/>
      <c r="G840" s="21"/>
      <c r="H840" s="21"/>
      <c r="I840" s="22" t="s">
        <v>3900</v>
      </c>
      <c r="J840" s="160"/>
      <c r="K840" s="160"/>
      <c r="L840" s="160"/>
      <c r="M840" s="160"/>
      <c r="N840" s="160"/>
      <c r="O840" s="160"/>
      <c r="P840" s="160"/>
      <c r="Q840" s="160"/>
      <c r="R840" s="183">
        <f>-R833</f>
        <v>-5564.4250000000002</v>
      </c>
      <c r="S840" s="183">
        <f t="shared" ref="S840:AG840" si="547">-S833-R836</f>
        <v>-5564.4250000000002</v>
      </c>
      <c r="T840" s="183">
        <f t="shared" si="547"/>
        <v>-5564.4250000000002</v>
      </c>
      <c r="U840" s="183">
        <f t="shared" si="547"/>
        <v>-5564.4250000000002</v>
      </c>
      <c r="V840" s="183">
        <f t="shared" si="547"/>
        <v>-5564.4250000000002</v>
      </c>
      <c r="W840" s="183">
        <f t="shared" si="547"/>
        <v>-5564.4250000000002</v>
      </c>
      <c r="X840" s="183">
        <f t="shared" si="547"/>
        <v>-5564.4250000000002</v>
      </c>
      <c r="Y840" s="183">
        <f t="shared" si="547"/>
        <v>-5564.4250000000002</v>
      </c>
      <c r="Z840" s="183">
        <f t="shared" si="547"/>
        <v>-5564.4250000000002</v>
      </c>
      <c r="AA840" s="183">
        <f t="shared" si="547"/>
        <v>-5564.4250000000002</v>
      </c>
      <c r="AB840" s="183">
        <f t="shared" si="547"/>
        <v>-5564.4250000000002</v>
      </c>
      <c r="AC840" s="183">
        <f t="shared" si="547"/>
        <v>-5564.4250000000002</v>
      </c>
      <c r="AD840" s="183">
        <f t="shared" si="547"/>
        <v>-5564.4250000000002</v>
      </c>
      <c r="AE840" s="183">
        <f t="shared" si="547"/>
        <v>-5564.4250000000002</v>
      </c>
      <c r="AF840" s="183">
        <f t="shared" si="547"/>
        <v>-5564.4250000000002</v>
      </c>
      <c r="AG840" s="183">
        <f t="shared" si="547"/>
        <v>-5564.4250000000002</v>
      </c>
    </row>
    <row r="841" spans="1:33" ht="14.25" customHeight="1" x14ac:dyDescent="0.35">
      <c r="A841" s="21"/>
      <c r="B841" s="28"/>
      <c r="C841" s="28"/>
      <c r="D841" s="21"/>
      <c r="E841" s="21" t="s">
        <v>4156</v>
      </c>
      <c r="F841" s="21"/>
      <c r="G841" s="21"/>
      <c r="H841" s="21"/>
      <c r="I841" s="22" t="s">
        <v>3900</v>
      </c>
      <c r="J841" s="160"/>
      <c r="K841" s="160"/>
      <c r="L841" s="160"/>
      <c r="M841" s="160"/>
      <c r="N841" s="160"/>
      <c r="O841" s="160"/>
      <c r="P841" s="160"/>
      <c r="Q841" s="160"/>
      <c r="R841" s="183">
        <f>-R834</f>
        <v>0</v>
      </c>
      <c r="S841" s="183">
        <f t="shared" ref="S841:AG841" si="548">-S834</f>
        <v>0</v>
      </c>
      <c r="T841" s="183">
        <f t="shared" si="548"/>
        <v>0</v>
      </c>
      <c r="U841" s="183">
        <f t="shared" si="548"/>
        <v>0</v>
      </c>
      <c r="V841" s="183">
        <f t="shared" si="548"/>
        <v>0</v>
      </c>
      <c r="W841" s="183">
        <f t="shared" si="548"/>
        <v>0</v>
      </c>
      <c r="X841" s="183">
        <f t="shared" si="548"/>
        <v>0</v>
      </c>
      <c r="Y841" s="183">
        <f t="shared" si="548"/>
        <v>0</v>
      </c>
      <c r="Z841" s="183">
        <f t="shared" si="548"/>
        <v>0</v>
      </c>
      <c r="AA841" s="183">
        <f t="shared" si="548"/>
        <v>0</v>
      </c>
      <c r="AB841" s="183">
        <f t="shared" si="548"/>
        <v>0</v>
      </c>
      <c r="AC841" s="183">
        <f t="shared" si="548"/>
        <v>0</v>
      </c>
      <c r="AD841" s="183">
        <f t="shared" si="548"/>
        <v>0</v>
      </c>
      <c r="AE841" s="183">
        <f t="shared" si="548"/>
        <v>0</v>
      </c>
      <c r="AF841" s="183">
        <f t="shared" si="548"/>
        <v>0</v>
      </c>
      <c r="AG841" s="183">
        <f t="shared" si="548"/>
        <v>0</v>
      </c>
    </row>
    <row r="842" spans="1:33" ht="14.25" customHeight="1" x14ac:dyDescent="0.35">
      <c r="A842" s="21"/>
      <c r="B842" s="28"/>
      <c r="C842" s="28"/>
      <c r="D842" s="21"/>
      <c r="E842" s="21" t="s">
        <v>4157</v>
      </c>
      <c r="F842" s="21"/>
      <c r="G842" s="21"/>
      <c r="H842" s="21"/>
      <c r="I842" s="22" t="s">
        <v>3900</v>
      </c>
      <c r="J842" s="160"/>
      <c r="K842" s="160"/>
      <c r="L842" s="160"/>
      <c r="M842" s="160"/>
      <c r="N842" s="160"/>
      <c r="O842" s="160"/>
      <c r="P842" s="160"/>
      <c r="Q842" s="160"/>
      <c r="R842" s="183">
        <f>-R835</f>
        <v>-56.206313131313138</v>
      </c>
      <c r="S842" s="183">
        <f t="shared" ref="S842:AG842" si="549">-S835</f>
        <v>-56.206313131313138</v>
      </c>
      <c r="T842" s="183">
        <f t="shared" si="549"/>
        <v>-56.206313131313138</v>
      </c>
      <c r="U842" s="183">
        <f t="shared" si="549"/>
        <v>-56.206313131313138</v>
      </c>
      <c r="V842" s="183">
        <f t="shared" si="549"/>
        <v>-56.206313131313138</v>
      </c>
      <c r="W842" s="183">
        <f t="shared" si="549"/>
        <v>-56.206313131313138</v>
      </c>
      <c r="X842" s="183">
        <f t="shared" si="549"/>
        <v>-56.206313131313138</v>
      </c>
      <c r="Y842" s="183">
        <f t="shared" si="549"/>
        <v>-56.206313131313138</v>
      </c>
      <c r="Z842" s="183">
        <f t="shared" si="549"/>
        <v>-56.206313131313138</v>
      </c>
      <c r="AA842" s="183">
        <f t="shared" si="549"/>
        <v>-56.206313131313138</v>
      </c>
      <c r="AB842" s="183">
        <f t="shared" si="549"/>
        <v>-56.206313131313138</v>
      </c>
      <c r="AC842" s="183">
        <f t="shared" si="549"/>
        <v>-56.206313131313138</v>
      </c>
      <c r="AD842" s="183">
        <f t="shared" si="549"/>
        <v>-56.206313131313138</v>
      </c>
      <c r="AE842" s="183">
        <f t="shared" si="549"/>
        <v>-56.206313131313138</v>
      </c>
      <c r="AF842" s="183">
        <f t="shared" si="549"/>
        <v>-56.206313131313138</v>
      </c>
      <c r="AG842" s="183">
        <f t="shared" si="549"/>
        <v>-56.206313131313138</v>
      </c>
    </row>
    <row r="843" spans="1:33" ht="14.25" customHeight="1" x14ac:dyDescent="0.35">
      <c r="A843" s="21"/>
      <c r="B843" s="28"/>
      <c r="C843" s="28"/>
      <c r="D843" s="21"/>
      <c r="E843" s="21" t="s">
        <v>4158</v>
      </c>
      <c r="F843" s="21"/>
      <c r="G843" s="21"/>
      <c r="H843" s="21"/>
      <c r="I843" s="22" t="s">
        <v>3900</v>
      </c>
      <c r="J843" s="160"/>
      <c r="K843" s="160"/>
      <c r="L843" s="160"/>
      <c r="M843" s="160"/>
      <c r="N843" s="160"/>
      <c r="O843" s="160"/>
      <c r="P843" s="160"/>
      <c r="Q843" s="160"/>
      <c r="R843" s="161">
        <f t="shared" ref="R843:AG843" si="550">SUM(R838:R842)</f>
        <v>2.9842794901924208E-13</v>
      </c>
      <c r="S843" s="161">
        <f t="shared" si="550"/>
        <v>2.9842794901924208E-13</v>
      </c>
      <c r="T843" s="161">
        <f t="shared" si="550"/>
        <v>2.9842794901924208E-13</v>
      </c>
      <c r="U843" s="161">
        <f t="shared" si="550"/>
        <v>2.9842794901924208E-13</v>
      </c>
      <c r="V843" s="161">
        <f t="shared" si="550"/>
        <v>2.9842794901924208E-13</v>
      </c>
      <c r="W843" s="161">
        <f t="shared" si="550"/>
        <v>2.9842794901924208E-13</v>
      </c>
      <c r="X843" s="161">
        <f t="shared" si="550"/>
        <v>2.9842794901924208E-13</v>
      </c>
      <c r="Y843" s="161">
        <f t="shared" si="550"/>
        <v>2.9842794901924208E-13</v>
      </c>
      <c r="Z843" s="161">
        <f t="shared" si="550"/>
        <v>2.9842794901924208E-13</v>
      </c>
      <c r="AA843" s="161">
        <f t="shared" si="550"/>
        <v>2.9842794901924208E-13</v>
      </c>
      <c r="AB843" s="161">
        <f t="shared" si="550"/>
        <v>2.9842794901924208E-13</v>
      </c>
      <c r="AC843" s="161">
        <f t="shared" si="550"/>
        <v>2.9842794901924208E-13</v>
      </c>
      <c r="AD843" s="161">
        <f t="shared" si="550"/>
        <v>2.9842794901924208E-13</v>
      </c>
      <c r="AE843" s="161">
        <f t="shared" si="550"/>
        <v>2.9842794901924208E-13</v>
      </c>
      <c r="AF843" s="161">
        <f t="shared" si="550"/>
        <v>2.9842794901924208E-13</v>
      </c>
      <c r="AG843" s="161">
        <f t="shared" si="550"/>
        <v>2.9842794901924208E-13</v>
      </c>
    </row>
    <row r="844" spans="1:33" ht="14.25" customHeight="1" x14ac:dyDescent="0.35">
      <c r="A844" s="21"/>
      <c r="B844" s="21"/>
      <c r="C844" s="21"/>
      <c r="D844" s="21" t="s">
        <v>4159</v>
      </c>
      <c r="E844" s="21"/>
      <c r="F844" s="21"/>
      <c r="G844" s="21"/>
      <c r="H844" s="21"/>
      <c r="I844" s="22"/>
      <c r="J844" s="21"/>
      <c r="K844" s="21"/>
      <c r="L844" s="21"/>
      <c r="M844" s="21"/>
      <c r="N844" s="21"/>
      <c r="O844" s="21"/>
      <c r="P844" s="60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</row>
    <row r="845" spans="1:33" ht="14.25" customHeight="1" x14ac:dyDescent="0.35">
      <c r="A845" s="21"/>
      <c r="B845" s="21"/>
      <c r="C845" s="21"/>
      <c r="D845" s="21"/>
      <c r="E845" s="128" t="s">
        <v>4056</v>
      </c>
      <c r="F845" s="21"/>
      <c r="G845" s="21"/>
      <c r="H845" s="21"/>
      <c r="I845" s="22" t="s">
        <v>3900</v>
      </c>
      <c r="J845" s="148"/>
      <c r="K845" s="148"/>
      <c r="L845" s="148"/>
      <c r="M845" s="148"/>
      <c r="N845" s="148"/>
      <c r="O845" s="148"/>
      <c r="P845" s="148"/>
      <c r="Q845" s="148"/>
      <c r="R845" s="161">
        <f>'Data Aktual'!P197</f>
        <v>2123</v>
      </c>
      <c r="S845" s="161">
        <f t="shared" ref="S845:AG845" si="551">R848</f>
        <v>2123</v>
      </c>
      <c r="T845" s="161">
        <f t="shared" si="551"/>
        <v>2123</v>
      </c>
      <c r="U845" s="161">
        <f t="shared" si="551"/>
        <v>2123</v>
      </c>
      <c r="V845" s="161">
        <f t="shared" si="551"/>
        <v>2123</v>
      </c>
      <c r="W845" s="161">
        <f t="shared" si="551"/>
        <v>2123</v>
      </c>
      <c r="X845" s="161">
        <f t="shared" si="551"/>
        <v>2123</v>
      </c>
      <c r="Y845" s="161">
        <f t="shared" si="551"/>
        <v>2123</v>
      </c>
      <c r="Z845" s="161">
        <f t="shared" si="551"/>
        <v>2123</v>
      </c>
      <c r="AA845" s="161">
        <f t="shared" si="551"/>
        <v>2123</v>
      </c>
      <c r="AB845" s="161">
        <f t="shared" si="551"/>
        <v>2123</v>
      </c>
      <c r="AC845" s="161">
        <f t="shared" si="551"/>
        <v>2123</v>
      </c>
      <c r="AD845" s="161">
        <f t="shared" si="551"/>
        <v>2123</v>
      </c>
      <c r="AE845" s="161">
        <f t="shared" si="551"/>
        <v>2123</v>
      </c>
      <c r="AF845" s="161">
        <f t="shared" si="551"/>
        <v>2123</v>
      </c>
      <c r="AG845" s="161">
        <f t="shared" si="551"/>
        <v>2123</v>
      </c>
    </row>
    <row r="846" spans="1:33" ht="14.25" customHeight="1" x14ac:dyDescent="0.35">
      <c r="A846" s="21"/>
      <c r="B846" s="21"/>
      <c r="C846" s="21"/>
      <c r="D846" s="21"/>
      <c r="E846" s="128" t="s">
        <v>4160</v>
      </c>
      <c r="F846" s="21"/>
      <c r="G846" s="21"/>
      <c r="H846" s="21"/>
      <c r="I846" s="22" t="s">
        <v>3900</v>
      </c>
      <c r="J846" s="148"/>
      <c r="K846" s="148"/>
      <c r="L846" s="148"/>
      <c r="M846" s="148"/>
      <c r="N846" s="148"/>
      <c r="O846" s="148"/>
      <c r="P846" s="148"/>
      <c r="Q846" s="148"/>
      <c r="R846" s="183">
        <f t="shared" ref="R846:AG846" si="552">-R840</f>
        <v>5564.4250000000002</v>
      </c>
      <c r="S846" s="183">
        <f t="shared" si="552"/>
        <v>5564.4250000000002</v>
      </c>
      <c r="T846" s="183">
        <f t="shared" si="552"/>
        <v>5564.4250000000002</v>
      </c>
      <c r="U846" s="183">
        <f t="shared" si="552"/>
        <v>5564.4250000000002</v>
      </c>
      <c r="V846" s="183">
        <f t="shared" si="552"/>
        <v>5564.4250000000002</v>
      </c>
      <c r="W846" s="183">
        <f t="shared" si="552"/>
        <v>5564.4250000000002</v>
      </c>
      <c r="X846" s="183">
        <f t="shared" si="552"/>
        <v>5564.4250000000002</v>
      </c>
      <c r="Y846" s="183">
        <f t="shared" si="552"/>
        <v>5564.4250000000002</v>
      </c>
      <c r="Z846" s="183">
        <f t="shared" si="552"/>
        <v>5564.4250000000002</v>
      </c>
      <c r="AA846" s="183">
        <f t="shared" si="552"/>
        <v>5564.4250000000002</v>
      </c>
      <c r="AB846" s="183">
        <f t="shared" si="552"/>
        <v>5564.4250000000002</v>
      </c>
      <c r="AC846" s="183">
        <f t="shared" si="552"/>
        <v>5564.4250000000002</v>
      </c>
      <c r="AD846" s="183">
        <f t="shared" si="552"/>
        <v>5564.4250000000002</v>
      </c>
      <c r="AE846" s="183">
        <f t="shared" si="552"/>
        <v>5564.4250000000002</v>
      </c>
      <c r="AF846" s="183">
        <f t="shared" si="552"/>
        <v>5564.4250000000002</v>
      </c>
      <c r="AG846" s="183">
        <f t="shared" si="552"/>
        <v>5564.4250000000002</v>
      </c>
    </row>
    <row r="847" spans="1:33" ht="14.25" customHeight="1" x14ac:dyDescent="0.35">
      <c r="A847" s="21"/>
      <c r="B847" s="21"/>
      <c r="C847" s="21"/>
      <c r="D847" s="21"/>
      <c r="E847" s="128" t="s">
        <v>4161</v>
      </c>
      <c r="F847" s="21"/>
      <c r="G847" s="21"/>
      <c r="H847" s="21"/>
      <c r="I847" s="22" t="s">
        <v>3900</v>
      </c>
      <c r="J847" s="148"/>
      <c r="K847" s="148"/>
      <c r="L847" s="148"/>
      <c r="M847" s="148"/>
      <c r="N847" s="148"/>
      <c r="O847" s="148"/>
      <c r="P847" s="148"/>
      <c r="Q847" s="148"/>
      <c r="R847" s="183">
        <f t="shared" ref="R847:AG847" si="553">-R833</f>
        <v>-5564.4250000000002</v>
      </c>
      <c r="S847" s="183">
        <f t="shared" si="553"/>
        <v>-5564.4250000000002</v>
      </c>
      <c r="T847" s="183">
        <f t="shared" si="553"/>
        <v>-5564.4250000000002</v>
      </c>
      <c r="U847" s="183">
        <f t="shared" si="553"/>
        <v>-5564.4250000000002</v>
      </c>
      <c r="V847" s="183">
        <f t="shared" si="553"/>
        <v>-5564.4250000000002</v>
      </c>
      <c r="W847" s="183">
        <f t="shared" si="553"/>
        <v>-5564.4250000000002</v>
      </c>
      <c r="X847" s="183">
        <f t="shared" si="553"/>
        <v>-5564.4250000000002</v>
      </c>
      <c r="Y847" s="183">
        <f t="shared" si="553"/>
        <v>-5564.4250000000002</v>
      </c>
      <c r="Z847" s="183">
        <f t="shared" si="553"/>
        <v>-5564.4250000000002</v>
      </c>
      <c r="AA847" s="183">
        <f t="shared" si="553"/>
        <v>-5564.4250000000002</v>
      </c>
      <c r="AB847" s="183">
        <f t="shared" si="553"/>
        <v>-5564.4250000000002</v>
      </c>
      <c r="AC847" s="183">
        <f t="shared" si="553"/>
        <v>-5564.4250000000002</v>
      </c>
      <c r="AD847" s="183">
        <f t="shared" si="553"/>
        <v>-5564.4250000000002</v>
      </c>
      <c r="AE847" s="183">
        <f t="shared" si="553"/>
        <v>-5564.4250000000002</v>
      </c>
      <c r="AF847" s="183">
        <f t="shared" si="553"/>
        <v>-5564.4250000000002</v>
      </c>
      <c r="AG847" s="183">
        <f t="shared" si="553"/>
        <v>-5564.4250000000002</v>
      </c>
    </row>
    <row r="848" spans="1:33" ht="14.25" customHeight="1" x14ac:dyDescent="0.35">
      <c r="A848" s="21"/>
      <c r="B848" s="21"/>
      <c r="C848" s="21"/>
      <c r="D848" s="21"/>
      <c r="E848" s="128" t="s">
        <v>4158</v>
      </c>
      <c r="F848" s="21"/>
      <c r="G848" s="21"/>
      <c r="H848" s="21"/>
      <c r="I848" s="22" t="s">
        <v>3900</v>
      </c>
      <c r="J848" s="148"/>
      <c r="K848" s="148"/>
      <c r="L848" s="148"/>
      <c r="M848" s="148"/>
      <c r="N848" s="148"/>
      <c r="O848" s="148"/>
      <c r="P848" s="148"/>
      <c r="Q848" s="148"/>
      <c r="R848" s="183">
        <f t="shared" ref="R848:AG848" si="554">SUM(R845:R847)</f>
        <v>2123</v>
      </c>
      <c r="S848" s="183">
        <f t="shared" si="554"/>
        <v>2123</v>
      </c>
      <c r="T848" s="183">
        <f t="shared" si="554"/>
        <v>2123</v>
      </c>
      <c r="U848" s="183">
        <f t="shared" si="554"/>
        <v>2123</v>
      </c>
      <c r="V848" s="183">
        <f t="shared" si="554"/>
        <v>2123</v>
      </c>
      <c r="W848" s="183">
        <f t="shared" si="554"/>
        <v>2123</v>
      </c>
      <c r="X848" s="183">
        <f t="shared" si="554"/>
        <v>2123</v>
      </c>
      <c r="Y848" s="183">
        <f t="shared" si="554"/>
        <v>2123</v>
      </c>
      <c r="Z848" s="183">
        <f t="shared" si="554"/>
        <v>2123</v>
      </c>
      <c r="AA848" s="183">
        <f t="shared" si="554"/>
        <v>2123</v>
      </c>
      <c r="AB848" s="183">
        <f t="shared" si="554"/>
        <v>2123</v>
      </c>
      <c r="AC848" s="183">
        <f t="shared" si="554"/>
        <v>2123</v>
      </c>
      <c r="AD848" s="183">
        <f t="shared" si="554"/>
        <v>2123</v>
      </c>
      <c r="AE848" s="183">
        <f t="shared" si="554"/>
        <v>2123</v>
      </c>
      <c r="AF848" s="183">
        <f t="shared" si="554"/>
        <v>2123</v>
      </c>
      <c r="AG848" s="183">
        <f t="shared" si="554"/>
        <v>2123</v>
      </c>
    </row>
    <row r="849" spans="1:33" ht="14.25" customHeight="1" x14ac:dyDescent="0.35">
      <c r="A849" s="21"/>
      <c r="B849" s="28"/>
      <c r="C849" s="28" t="s">
        <v>4240</v>
      </c>
      <c r="D849" s="28" t="s">
        <v>4163</v>
      </c>
      <c r="E849" s="21"/>
      <c r="F849" s="21"/>
      <c r="G849" s="21"/>
      <c r="H849" s="21"/>
      <c r="I849" s="22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</row>
    <row r="850" spans="1:33" ht="14.25" customHeight="1" x14ac:dyDescent="0.35">
      <c r="A850" s="21"/>
      <c r="B850" s="21"/>
      <c r="D850" s="21" t="s">
        <v>4153</v>
      </c>
      <c r="E850" s="21"/>
      <c r="F850" s="21"/>
      <c r="G850" s="21"/>
      <c r="H850" s="21"/>
      <c r="I850" s="22"/>
      <c r="J850" s="21"/>
      <c r="K850" s="21"/>
      <c r="L850" s="21"/>
      <c r="M850" s="21"/>
      <c r="N850" s="21"/>
      <c r="O850" s="21"/>
      <c r="P850" s="60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</row>
    <row r="851" spans="1:33" ht="14.25" customHeight="1" x14ac:dyDescent="0.35">
      <c r="A851" s="21"/>
      <c r="B851" s="21"/>
      <c r="C851" s="21"/>
      <c r="D851" s="21"/>
      <c r="E851" s="128" t="s">
        <v>4056</v>
      </c>
      <c r="F851" s="21"/>
      <c r="G851" s="21"/>
      <c r="H851" s="21"/>
      <c r="I851" s="22" t="s">
        <v>3921</v>
      </c>
      <c r="J851" s="148"/>
      <c r="K851" s="148"/>
      <c r="L851" s="148"/>
      <c r="M851" s="148"/>
      <c r="N851" s="148"/>
      <c r="O851" s="148"/>
      <c r="P851" s="148"/>
      <c r="Q851" s="148"/>
      <c r="R851" s="149">
        <v>0</v>
      </c>
      <c r="S851" s="149">
        <f t="shared" ref="S851:AG851" si="555">R856</f>
        <v>1.9557774066925049E-8</v>
      </c>
      <c r="T851" s="149">
        <f t="shared" si="555"/>
        <v>0</v>
      </c>
      <c r="U851" s="149">
        <f t="shared" si="555"/>
        <v>1.257285475730896E-8</v>
      </c>
      <c r="V851" s="149">
        <f t="shared" si="555"/>
        <v>1.3504177331924438E-8</v>
      </c>
      <c r="W851" s="149">
        <f t="shared" si="555"/>
        <v>1.885928213596344E-8</v>
      </c>
      <c r="X851" s="149">
        <f t="shared" si="555"/>
        <v>0</v>
      </c>
      <c r="Y851" s="149">
        <f t="shared" si="555"/>
        <v>6.28642737865448E-9</v>
      </c>
      <c r="Z851" s="149">
        <f t="shared" si="555"/>
        <v>3.2829120755195618E-8</v>
      </c>
      <c r="AA851" s="149">
        <f t="shared" si="555"/>
        <v>2.6309862732887268E-8</v>
      </c>
      <c r="AB851" s="149">
        <f t="shared" si="555"/>
        <v>4.3306499719619751E-8</v>
      </c>
      <c r="AC851" s="149">
        <f t="shared" si="555"/>
        <v>-3.7252902984619141E-9</v>
      </c>
      <c r="AD851" s="149">
        <f t="shared" si="555"/>
        <v>-5.3551048040390015E-9</v>
      </c>
      <c r="AE851" s="149">
        <f t="shared" si="555"/>
        <v>1.0710209608078003E-8</v>
      </c>
      <c r="AF851" s="149">
        <f t="shared" si="555"/>
        <v>-1.3969838619232178E-8</v>
      </c>
      <c r="AG851" s="149">
        <f t="shared" si="555"/>
        <v>1.257285475730896E-8</v>
      </c>
    </row>
    <row r="852" spans="1:33" ht="14.25" customHeight="1" x14ac:dyDescent="0.35">
      <c r="A852" s="21"/>
      <c r="B852" s="21"/>
      <c r="C852" s="21"/>
      <c r="D852" s="21"/>
      <c r="E852" s="128" t="s">
        <v>4154</v>
      </c>
      <c r="F852" s="21"/>
      <c r="G852" s="21"/>
      <c r="H852" s="21"/>
      <c r="I852" s="22" t="s">
        <v>3921</v>
      </c>
      <c r="J852" s="148"/>
      <c r="K852" s="148"/>
      <c r="L852" s="148"/>
      <c r="M852" s="148"/>
      <c r="N852" s="148"/>
      <c r="O852" s="148"/>
      <c r="P852" s="148"/>
      <c r="Q852" s="148"/>
      <c r="R852" s="149">
        <f t="shared" ref="R852:AG852" si="556">R827</f>
        <v>190881449.88870427</v>
      </c>
      <c r="S852" s="149">
        <f t="shared" si="556"/>
        <v>190721156.16103393</v>
      </c>
      <c r="T852" s="149">
        <f t="shared" si="556"/>
        <v>190569670.85252279</v>
      </c>
      <c r="U852" s="149">
        <f t="shared" si="556"/>
        <v>190544889.10570607</v>
      </c>
      <c r="V852" s="149">
        <f t="shared" si="556"/>
        <v>190507383.65261364</v>
      </c>
      <c r="W852" s="149">
        <f t="shared" si="556"/>
        <v>190493977.50408641</v>
      </c>
      <c r="X852" s="149">
        <f t="shared" si="556"/>
        <v>190483268.23104259</v>
      </c>
      <c r="Y852" s="149">
        <f t="shared" si="556"/>
        <v>190420404.43135172</v>
      </c>
      <c r="Z852" s="149">
        <f t="shared" si="556"/>
        <v>190404621.78163263</v>
      </c>
      <c r="AA852" s="149">
        <f t="shared" si="556"/>
        <v>190392523.92660838</v>
      </c>
      <c r="AB852" s="149">
        <f t="shared" si="556"/>
        <v>190390820.48825356</v>
      </c>
      <c r="AC852" s="149">
        <f t="shared" si="556"/>
        <v>190370990.16368738</v>
      </c>
      <c r="AD852" s="149">
        <f t="shared" si="556"/>
        <v>190367413.37871146</v>
      </c>
      <c r="AE852" s="149">
        <f t="shared" si="556"/>
        <v>190349523.55411786</v>
      </c>
      <c r="AF852" s="149">
        <f t="shared" si="556"/>
        <v>190346860.53427333</v>
      </c>
      <c r="AG852" s="149">
        <f t="shared" si="556"/>
        <v>190332516.91165656</v>
      </c>
    </row>
    <row r="853" spans="1:33" ht="14.25" customHeight="1" x14ac:dyDescent="0.35">
      <c r="A853" s="21"/>
      <c r="B853" s="21"/>
      <c r="C853" s="21"/>
      <c r="D853" s="21"/>
      <c r="E853" s="128" t="s">
        <v>4155</v>
      </c>
      <c r="F853" s="21"/>
      <c r="G853" s="21"/>
      <c r="H853" s="21"/>
      <c r="I853" s="22" t="s">
        <v>3921</v>
      </c>
      <c r="J853" s="148"/>
      <c r="K853" s="148"/>
      <c r="L853" s="148"/>
      <c r="M853" s="148"/>
      <c r="N853" s="148"/>
      <c r="O853" s="148"/>
      <c r="P853" s="148"/>
      <c r="Q853" s="148"/>
      <c r="R853" s="149">
        <f t="shared" ref="R853:AG853" si="557">R840*R863</f>
        <v>-188972635.38981721</v>
      </c>
      <c r="S853" s="149">
        <f t="shared" si="557"/>
        <v>-188813944.59942362</v>
      </c>
      <c r="T853" s="149">
        <f t="shared" si="557"/>
        <v>-188663974.14399755</v>
      </c>
      <c r="U853" s="149">
        <f t="shared" si="557"/>
        <v>-188639440.21464899</v>
      </c>
      <c r="V853" s="149">
        <f t="shared" si="557"/>
        <v>-188602309.81608748</v>
      </c>
      <c r="W853" s="149">
        <f t="shared" si="557"/>
        <v>-188589037.72904557</v>
      </c>
      <c r="X853" s="149">
        <f t="shared" si="557"/>
        <v>-188578435.54873216</v>
      </c>
      <c r="Y853" s="149">
        <f t="shared" si="557"/>
        <v>-188516200.38703817</v>
      </c>
      <c r="Z853" s="149">
        <f t="shared" si="557"/>
        <v>-188500575.56381631</v>
      </c>
      <c r="AA853" s="149">
        <f t="shared" si="557"/>
        <v>-188488598.68734229</v>
      </c>
      <c r="AB853" s="149">
        <f t="shared" si="557"/>
        <v>-188486912.28337106</v>
      </c>
      <c r="AC853" s="149">
        <f t="shared" si="557"/>
        <v>-188467280.26205051</v>
      </c>
      <c r="AD853" s="149">
        <f t="shared" si="557"/>
        <v>-188463739.24492434</v>
      </c>
      <c r="AE853" s="149">
        <f t="shared" si="557"/>
        <v>-188446028.31857669</v>
      </c>
      <c r="AF853" s="149">
        <f t="shared" si="557"/>
        <v>-188443391.92893058</v>
      </c>
      <c r="AG853" s="149">
        <f t="shared" si="557"/>
        <v>-188429191.74253997</v>
      </c>
    </row>
    <row r="854" spans="1:33" ht="14.25" customHeight="1" x14ac:dyDescent="0.35">
      <c r="A854" s="21"/>
      <c r="B854" s="21"/>
      <c r="C854" s="21"/>
      <c r="D854" s="21"/>
      <c r="E854" s="128" t="s">
        <v>4164</v>
      </c>
      <c r="F854" s="21"/>
      <c r="G854" s="21"/>
      <c r="H854" s="21"/>
      <c r="I854" s="22" t="s">
        <v>3921</v>
      </c>
      <c r="J854" s="148"/>
      <c r="K854" s="148"/>
      <c r="L854" s="148"/>
      <c r="M854" s="148"/>
      <c r="N854" s="148"/>
      <c r="O854" s="148"/>
      <c r="P854" s="148"/>
      <c r="Q854" s="148"/>
      <c r="R854" s="149">
        <f>R841*'Input Operasional'!Q198</f>
        <v>0</v>
      </c>
      <c r="S854" s="149">
        <f>S841*'Input Operasional'!R198</f>
        <v>0</v>
      </c>
      <c r="T854" s="149">
        <f>T841*'Input Operasional'!S198</f>
        <v>0</v>
      </c>
      <c r="U854" s="149">
        <f>U841*'Input Operasional'!T198</f>
        <v>0</v>
      </c>
      <c r="V854" s="149">
        <f>V841*'Input Operasional'!U198</f>
        <v>0</v>
      </c>
      <c r="W854" s="149">
        <f>W841*'Input Operasional'!V198</f>
        <v>0</v>
      </c>
      <c r="X854" s="149">
        <f>X841*'Input Operasional'!W198</f>
        <v>0</v>
      </c>
      <c r="Y854" s="149">
        <f>Y841*'Input Operasional'!X198</f>
        <v>0</v>
      </c>
      <c r="Z854" s="149">
        <f>Z841*'Input Operasional'!Y198</f>
        <v>0</v>
      </c>
      <c r="AA854" s="149">
        <f>AA841*'Input Operasional'!Z198</f>
        <v>0</v>
      </c>
      <c r="AB854" s="149">
        <f>AB841*'Input Operasional'!AA198</f>
        <v>0</v>
      </c>
      <c r="AC854" s="149">
        <f>AC841*'Input Operasional'!AB198</f>
        <v>0</v>
      </c>
      <c r="AD854" s="149">
        <f>AD841*'Input Operasional'!AC198</f>
        <v>0</v>
      </c>
      <c r="AE854" s="149">
        <f>AE841*'Input Operasional'!AD198</f>
        <v>0</v>
      </c>
      <c r="AF854" s="149">
        <f>AF841*'Input Operasional'!AE198</f>
        <v>0</v>
      </c>
      <c r="AG854" s="149">
        <f>AG841*'Input Operasional'!AF198</f>
        <v>0</v>
      </c>
    </row>
    <row r="855" spans="1:33" ht="14.25" customHeight="1" x14ac:dyDescent="0.35">
      <c r="A855" s="21"/>
      <c r="B855" s="21"/>
      <c r="C855" s="21"/>
      <c r="D855" s="21"/>
      <c r="E855" s="128" t="s">
        <v>4165</v>
      </c>
      <c r="F855" s="21"/>
      <c r="G855" s="21"/>
      <c r="H855" s="21"/>
      <c r="I855" s="22" t="s">
        <v>3921</v>
      </c>
      <c r="J855" s="148"/>
      <c r="K855" s="148"/>
      <c r="L855" s="148"/>
      <c r="M855" s="148"/>
      <c r="N855" s="148"/>
      <c r="O855" s="148"/>
      <c r="P855" s="148"/>
      <c r="Q855" s="148"/>
      <c r="R855" s="149">
        <f t="shared" ref="R855:AG855" si="558">R842*R863</f>
        <v>-1908814.4988870425</v>
      </c>
      <c r="S855" s="149">
        <f t="shared" si="558"/>
        <v>-1907211.5616103397</v>
      </c>
      <c r="T855" s="149">
        <f t="shared" si="558"/>
        <v>-1905696.7085252278</v>
      </c>
      <c r="U855" s="149">
        <f t="shared" si="558"/>
        <v>-1905448.8910570606</v>
      </c>
      <c r="V855" s="149">
        <f t="shared" si="558"/>
        <v>-1905073.8365261366</v>
      </c>
      <c r="W855" s="149">
        <f t="shared" si="558"/>
        <v>-1904939.7750408645</v>
      </c>
      <c r="X855" s="149">
        <f t="shared" si="558"/>
        <v>-1904832.6823104259</v>
      </c>
      <c r="Y855" s="149">
        <f t="shared" si="558"/>
        <v>-1904204.0443135172</v>
      </c>
      <c r="Z855" s="149">
        <f t="shared" si="558"/>
        <v>-1904046.2178163265</v>
      </c>
      <c r="AA855" s="149">
        <f t="shared" si="558"/>
        <v>-1903925.239266084</v>
      </c>
      <c r="AB855" s="149">
        <f t="shared" si="558"/>
        <v>-1903908.2048825361</v>
      </c>
      <c r="AC855" s="149">
        <f t="shared" si="558"/>
        <v>-1903709.9016368741</v>
      </c>
      <c r="AD855" s="149">
        <f t="shared" si="558"/>
        <v>-1903674.1337871146</v>
      </c>
      <c r="AE855" s="149">
        <f t="shared" si="558"/>
        <v>-1903495.2355411788</v>
      </c>
      <c r="AF855" s="149">
        <f t="shared" si="558"/>
        <v>-1903468.6053427332</v>
      </c>
      <c r="AG855" s="149">
        <f t="shared" si="558"/>
        <v>-1903325.1691165655</v>
      </c>
    </row>
    <row r="856" spans="1:33" ht="14.25" customHeight="1" x14ac:dyDescent="0.35">
      <c r="A856" s="21"/>
      <c r="B856" s="21"/>
      <c r="C856" s="21"/>
      <c r="D856" s="21"/>
      <c r="E856" s="128" t="s">
        <v>4158</v>
      </c>
      <c r="F856" s="21"/>
      <c r="G856" s="21"/>
      <c r="H856" s="21"/>
      <c r="I856" s="22" t="s">
        <v>3921</v>
      </c>
      <c r="J856" s="148"/>
      <c r="K856" s="148"/>
      <c r="L856" s="148"/>
      <c r="M856" s="148"/>
      <c r="N856" s="148"/>
      <c r="O856" s="148"/>
      <c r="P856" s="148"/>
      <c r="Q856" s="148"/>
      <c r="R856" s="149">
        <f t="shared" ref="R856:AG856" si="559">SUM(R851:R855)</f>
        <v>1.9557774066925049E-8</v>
      </c>
      <c r="S856" s="149">
        <f t="shared" si="559"/>
        <v>0</v>
      </c>
      <c r="T856" s="149">
        <f t="shared" si="559"/>
        <v>1.257285475730896E-8</v>
      </c>
      <c r="U856" s="149">
        <f t="shared" si="559"/>
        <v>1.3504177331924438E-8</v>
      </c>
      <c r="V856" s="149">
        <f t="shared" si="559"/>
        <v>1.885928213596344E-8</v>
      </c>
      <c r="W856" s="149">
        <f t="shared" si="559"/>
        <v>0</v>
      </c>
      <c r="X856" s="149">
        <f t="shared" si="559"/>
        <v>6.28642737865448E-9</v>
      </c>
      <c r="Y856" s="149">
        <f t="shared" si="559"/>
        <v>3.2829120755195618E-8</v>
      </c>
      <c r="Z856" s="149">
        <f t="shared" si="559"/>
        <v>2.6309862732887268E-8</v>
      </c>
      <c r="AA856" s="149">
        <f t="shared" si="559"/>
        <v>4.3306499719619751E-8</v>
      </c>
      <c r="AB856" s="149">
        <f t="shared" si="559"/>
        <v>-3.7252902984619141E-9</v>
      </c>
      <c r="AC856" s="149">
        <f t="shared" si="559"/>
        <v>-5.3551048040390015E-9</v>
      </c>
      <c r="AD856" s="149">
        <f t="shared" si="559"/>
        <v>1.0710209608078003E-8</v>
      </c>
      <c r="AE856" s="149">
        <f t="shared" si="559"/>
        <v>-1.3969838619232178E-8</v>
      </c>
      <c r="AF856" s="149">
        <f t="shared" si="559"/>
        <v>1.257285475730896E-8</v>
      </c>
      <c r="AG856" s="149">
        <f t="shared" si="559"/>
        <v>2.0954757928848267E-8</v>
      </c>
    </row>
    <row r="857" spans="1:33" ht="14.25" customHeight="1" x14ac:dyDescent="0.35">
      <c r="A857" s="21"/>
      <c r="B857" s="21"/>
      <c r="C857" s="21"/>
      <c r="D857" s="21" t="s">
        <v>4159</v>
      </c>
      <c r="E857" s="21"/>
      <c r="F857" s="21"/>
      <c r="G857" s="21"/>
      <c r="H857" s="21"/>
      <c r="I857" s="22" t="s">
        <v>3921</v>
      </c>
      <c r="J857" s="21"/>
      <c r="K857" s="21"/>
      <c r="L857" s="21"/>
      <c r="M857" s="21"/>
      <c r="N857" s="21"/>
      <c r="O857" s="21"/>
      <c r="P857" s="60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</row>
    <row r="858" spans="1:33" ht="14.25" customHeight="1" x14ac:dyDescent="0.35">
      <c r="A858" s="21"/>
      <c r="B858" s="21"/>
      <c r="C858" s="21"/>
      <c r="D858" s="21"/>
      <c r="E858" s="128" t="s">
        <v>4056</v>
      </c>
      <c r="F858" s="21"/>
      <c r="G858" s="21"/>
      <c r="H858" s="21"/>
      <c r="I858" s="22" t="s">
        <v>3921</v>
      </c>
      <c r="J858" s="148">
        <v>0</v>
      </c>
      <c r="K858" s="148">
        <v>0</v>
      </c>
      <c r="L858" s="148">
        <v>0</v>
      </c>
      <c r="M858" s="148">
        <v>0</v>
      </c>
      <c r="N858" s="148">
        <v>0</v>
      </c>
      <c r="O858" s="148">
        <v>0</v>
      </c>
      <c r="P858" s="148">
        <v>0</v>
      </c>
      <c r="Q858" s="148">
        <v>0</v>
      </c>
      <c r="R858" s="149">
        <f>'Data Aktual'!P198</f>
        <v>67731841.709999993</v>
      </c>
      <c r="S858" s="149">
        <f t="shared" ref="S858:AG858" si="560">SUM(R861)</f>
        <v>70892867.882667094</v>
      </c>
      <c r="T858" s="149">
        <f t="shared" si="560"/>
        <v>71722008.721968472</v>
      </c>
      <c r="U858" s="149">
        <f t="shared" si="560"/>
        <v>71909572.012012601</v>
      </c>
      <c r="V858" s="149">
        <f t="shared" si="560"/>
        <v>71954595.063652992</v>
      </c>
      <c r="W858" s="149">
        <f t="shared" si="560"/>
        <v>71956774.74052611</v>
      </c>
      <c r="X858" s="149">
        <f t="shared" si="560"/>
        <v>71953711.401789367</v>
      </c>
      <c r="Y858" s="149">
        <f t="shared" si="560"/>
        <v>71949937.459676951</v>
      </c>
      <c r="Z858" s="149">
        <f t="shared" si="560"/>
        <v>71931708.035990775</v>
      </c>
      <c r="AA858" s="149">
        <f t="shared" si="560"/>
        <v>71922358.667875201</v>
      </c>
      <c r="AB858" s="149">
        <f t="shared" si="560"/>
        <v>71916469.09922719</v>
      </c>
      <c r="AC858" s="149">
        <f t="shared" si="560"/>
        <v>71914376.878506899</v>
      </c>
      <c r="AD858" s="149">
        <f t="shared" si="560"/>
        <v>71908377.396775037</v>
      </c>
      <c r="AE858" s="149">
        <f t="shared" si="560"/>
        <v>71905742.642084658</v>
      </c>
      <c r="AF858" s="149">
        <f t="shared" si="560"/>
        <v>71900123.871060073</v>
      </c>
      <c r="AG858" s="149">
        <f t="shared" si="560"/>
        <v>71897844.082170576</v>
      </c>
    </row>
    <row r="859" spans="1:33" ht="14.25" customHeight="1" x14ac:dyDescent="0.35">
      <c r="A859" s="21"/>
      <c r="B859" s="21"/>
      <c r="C859" s="21"/>
      <c r="D859" s="21"/>
      <c r="E859" s="128" t="s">
        <v>4160</v>
      </c>
      <c r="F859" s="21"/>
      <c r="G859" s="21"/>
      <c r="H859" s="21"/>
      <c r="I859" s="22" t="s">
        <v>3921</v>
      </c>
      <c r="J859" s="148">
        <v>5751529039.8136997</v>
      </c>
      <c r="K859" s="148">
        <v>5722555694.88978</v>
      </c>
      <c r="L859" s="148">
        <v>4310430967.0730495</v>
      </c>
      <c r="M859" s="148">
        <v>4504730654.6920795</v>
      </c>
      <c r="N859" s="148">
        <v>5284842599.8716497</v>
      </c>
      <c r="O859" s="148">
        <v>5572948370.2658997</v>
      </c>
      <c r="P859" s="148">
        <v>5808949351.8843098</v>
      </c>
      <c r="Q859" s="148">
        <v>6578651888.1883698</v>
      </c>
      <c r="R859" s="149">
        <f t="shared" ref="R859:AG859" si="561">-R853</f>
        <v>188972635.38981721</v>
      </c>
      <c r="S859" s="149">
        <f t="shared" si="561"/>
        <v>188813944.59942362</v>
      </c>
      <c r="T859" s="149">
        <f t="shared" si="561"/>
        <v>188663974.14399755</v>
      </c>
      <c r="U859" s="149">
        <f t="shared" si="561"/>
        <v>188639440.21464899</v>
      </c>
      <c r="V859" s="149">
        <f t="shared" si="561"/>
        <v>188602309.81608748</v>
      </c>
      <c r="W859" s="149">
        <f t="shared" si="561"/>
        <v>188589037.72904557</v>
      </c>
      <c r="X859" s="149">
        <f t="shared" si="561"/>
        <v>188578435.54873216</v>
      </c>
      <c r="Y859" s="149">
        <f t="shared" si="561"/>
        <v>188516200.38703817</v>
      </c>
      <c r="Z859" s="149">
        <f t="shared" si="561"/>
        <v>188500575.56381631</v>
      </c>
      <c r="AA859" s="149">
        <f t="shared" si="561"/>
        <v>188488598.68734229</v>
      </c>
      <c r="AB859" s="149">
        <f t="shared" si="561"/>
        <v>188486912.28337106</v>
      </c>
      <c r="AC859" s="149">
        <f t="shared" si="561"/>
        <v>188467280.26205051</v>
      </c>
      <c r="AD859" s="149">
        <f t="shared" si="561"/>
        <v>188463739.24492434</v>
      </c>
      <c r="AE859" s="149">
        <f t="shared" si="561"/>
        <v>188446028.31857669</v>
      </c>
      <c r="AF859" s="149">
        <f t="shared" si="561"/>
        <v>188443391.92893058</v>
      </c>
      <c r="AG859" s="149">
        <f t="shared" si="561"/>
        <v>188429191.74253997</v>
      </c>
    </row>
    <row r="860" spans="1:33" ht="14.25" customHeight="1" x14ac:dyDescent="0.35">
      <c r="A860" s="21"/>
      <c r="B860" s="21"/>
      <c r="C860" s="21"/>
      <c r="D860" s="21"/>
      <c r="E860" s="128" t="s">
        <v>4161</v>
      </c>
      <c r="F860" s="21"/>
      <c r="G860" s="21"/>
      <c r="H860" s="21"/>
      <c r="I860" s="22" t="s">
        <v>3921</v>
      </c>
      <c r="J860" s="148">
        <v>5751529039.8136997</v>
      </c>
      <c r="K860" s="148">
        <v>5722555694.88978</v>
      </c>
      <c r="L860" s="148">
        <v>4310430967.0730495</v>
      </c>
      <c r="M860" s="148">
        <v>4504730654.6920795</v>
      </c>
      <c r="N860" s="148">
        <v>5284842599.8716497</v>
      </c>
      <c r="O860" s="148">
        <v>5572948370.2658997</v>
      </c>
      <c r="P860" s="148">
        <v>5808949351.8843098</v>
      </c>
      <c r="Q860" s="148">
        <v>6578651888.1883698</v>
      </c>
      <c r="R860" s="149">
        <f t="shared" ref="R860:AG860" si="562">R847*R864</f>
        <v>-185811609.21715012</v>
      </c>
      <c r="S860" s="149">
        <f t="shared" si="562"/>
        <v>-187984803.76012224</v>
      </c>
      <c r="T860" s="149">
        <f t="shared" si="562"/>
        <v>-188476410.85395342</v>
      </c>
      <c r="U860" s="149">
        <f t="shared" si="562"/>
        <v>-188594417.1630086</v>
      </c>
      <c r="V860" s="149">
        <f t="shared" si="562"/>
        <v>-188600130.13921437</v>
      </c>
      <c r="W860" s="149">
        <f t="shared" si="562"/>
        <v>-188592101.06778231</v>
      </c>
      <c r="X860" s="149">
        <f t="shared" si="562"/>
        <v>-188582209.49084458</v>
      </c>
      <c r="Y860" s="149">
        <f t="shared" si="562"/>
        <v>-188534429.81072435</v>
      </c>
      <c r="Z860" s="149">
        <f t="shared" si="562"/>
        <v>-188509924.93193188</v>
      </c>
      <c r="AA860" s="149">
        <f t="shared" si="562"/>
        <v>-188494488.2559903</v>
      </c>
      <c r="AB860" s="149">
        <f t="shared" si="562"/>
        <v>-188489004.50409135</v>
      </c>
      <c r="AC860" s="149">
        <f t="shared" si="562"/>
        <v>-188473279.74378237</v>
      </c>
      <c r="AD860" s="149">
        <f t="shared" si="562"/>
        <v>-188466373.99961472</v>
      </c>
      <c r="AE860" s="149">
        <f t="shared" si="562"/>
        <v>-188451647.08960128</v>
      </c>
      <c r="AF860" s="149">
        <f t="shared" si="562"/>
        <v>-188445671.71782008</v>
      </c>
      <c r="AG860" s="149">
        <f t="shared" si="562"/>
        <v>-188433742.93978998</v>
      </c>
    </row>
    <row r="861" spans="1:33" ht="14.25" customHeight="1" x14ac:dyDescent="0.35">
      <c r="A861" s="21"/>
      <c r="B861" s="21"/>
      <c r="C861" s="21"/>
      <c r="D861" s="21"/>
      <c r="E861" s="128" t="s">
        <v>4158</v>
      </c>
      <c r="F861" s="21"/>
      <c r="G861" s="21"/>
      <c r="H861" s="21"/>
      <c r="I861" s="22" t="s">
        <v>3921</v>
      </c>
      <c r="J861" s="148">
        <f t="shared" ref="J861:Q861" si="563">J858+J859-J860</f>
        <v>0</v>
      </c>
      <c r="K861" s="148">
        <f t="shared" si="563"/>
        <v>0</v>
      </c>
      <c r="L861" s="148">
        <f t="shared" si="563"/>
        <v>0</v>
      </c>
      <c r="M861" s="148">
        <f t="shared" si="563"/>
        <v>0</v>
      </c>
      <c r="N861" s="148">
        <f t="shared" si="563"/>
        <v>0</v>
      </c>
      <c r="O861" s="148">
        <f t="shared" si="563"/>
        <v>0</v>
      </c>
      <c r="P861" s="148">
        <f t="shared" si="563"/>
        <v>0</v>
      </c>
      <c r="Q861" s="148">
        <f t="shared" si="563"/>
        <v>0</v>
      </c>
      <c r="R861" s="149">
        <f t="shared" ref="R861:AG861" si="564">SUM(R858:R860)</f>
        <v>70892867.882667094</v>
      </c>
      <c r="S861" s="149">
        <f t="shared" si="564"/>
        <v>71722008.721968472</v>
      </c>
      <c r="T861" s="149">
        <f t="shared" si="564"/>
        <v>71909572.012012601</v>
      </c>
      <c r="U861" s="149">
        <f t="shared" si="564"/>
        <v>71954595.063652992</v>
      </c>
      <c r="V861" s="149">
        <f t="shared" si="564"/>
        <v>71956774.74052611</v>
      </c>
      <c r="W861" s="149">
        <f t="shared" si="564"/>
        <v>71953711.401789367</v>
      </c>
      <c r="X861" s="149">
        <f t="shared" si="564"/>
        <v>71949937.459676951</v>
      </c>
      <c r="Y861" s="149">
        <f t="shared" si="564"/>
        <v>71931708.035990775</v>
      </c>
      <c r="Z861" s="149">
        <f t="shared" si="564"/>
        <v>71922358.667875201</v>
      </c>
      <c r="AA861" s="149">
        <f t="shared" si="564"/>
        <v>71916469.09922719</v>
      </c>
      <c r="AB861" s="149">
        <f t="shared" si="564"/>
        <v>71914376.878506899</v>
      </c>
      <c r="AC861" s="149">
        <f t="shared" si="564"/>
        <v>71908377.396775037</v>
      </c>
      <c r="AD861" s="149">
        <f t="shared" si="564"/>
        <v>71905742.642084658</v>
      </c>
      <c r="AE861" s="149">
        <f t="shared" si="564"/>
        <v>71900123.871060073</v>
      </c>
      <c r="AF861" s="149">
        <f t="shared" si="564"/>
        <v>71897844.082170576</v>
      </c>
      <c r="AG861" s="149">
        <f t="shared" si="564"/>
        <v>71893292.884920567</v>
      </c>
    </row>
    <row r="862" spans="1:33" ht="14.25" customHeight="1" x14ac:dyDescent="0.35">
      <c r="A862" s="21"/>
      <c r="B862" s="21"/>
      <c r="C862" s="28" t="s">
        <v>4166</v>
      </c>
      <c r="D862" s="21"/>
      <c r="E862" s="128"/>
      <c r="F862" s="21"/>
      <c r="G862" s="21"/>
      <c r="H862" s="21"/>
      <c r="I862" s="22"/>
      <c r="J862" s="148"/>
      <c r="K862" s="148"/>
      <c r="L862" s="148"/>
      <c r="M862" s="148"/>
      <c r="N862" s="148"/>
      <c r="O862" s="148"/>
      <c r="P862" s="148"/>
      <c r="Q862" s="148"/>
      <c r="R862" s="149"/>
      <c r="S862" s="149"/>
      <c r="T862" s="149"/>
      <c r="U862" s="149"/>
      <c r="V862" s="149"/>
      <c r="W862" s="149"/>
      <c r="X862" s="149"/>
      <c r="Y862" s="149"/>
      <c r="Z862" s="149"/>
      <c r="AA862" s="149"/>
      <c r="AB862" s="149"/>
      <c r="AC862" s="149"/>
      <c r="AD862" s="149"/>
      <c r="AE862" s="149"/>
      <c r="AF862" s="149"/>
      <c r="AG862" s="149"/>
    </row>
    <row r="863" spans="1:33" ht="14.25" customHeight="1" x14ac:dyDescent="0.35">
      <c r="A863" s="21"/>
      <c r="B863" s="21"/>
      <c r="C863" s="21"/>
      <c r="D863" s="21" t="s">
        <v>4241</v>
      </c>
      <c r="E863" s="128"/>
      <c r="F863" s="21"/>
      <c r="G863" s="21"/>
      <c r="H863" s="21"/>
      <c r="I863" s="22" t="s">
        <v>3915</v>
      </c>
      <c r="J863" s="148"/>
      <c r="K863" s="148"/>
      <c r="L863" s="148"/>
      <c r="M863" s="148"/>
      <c r="N863" s="148"/>
      <c r="O863" s="148"/>
      <c r="P863" s="148"/>
      <c r="Q863" s="148"/>
      <c r="R863" s="149">
        <f t="shared" ref="R863:AG863" si="565">IF((R838+R839+R841)=0,0,(R851+R852+R854)/(R838+R839+R841))</f>
        <v>33960.855863780569</v>
      </c>
      <c r="S863" s="149">
        <f t="shared" si="565"/>
        <v>33932.33705179306</v>
      </c>
      <c r="T863" s="149">
        <f t="shared" si="565"/>
        <v>33905.385398131439</v>
      </c>
      <c r="U863" s="149">
        <f t="shared" si="565"/>
        <v>33900.976329926089</v>
      </c>
      <c r="V863" s="149">
        <f t="shared" si="565"/>
        <v>33894.303511339895</v>
      </c>
      <c r="W863" s="149">
        <f t="shared" si="565"/>
        <v>33891.918343592653</v>
      </c>
      <c r="X863" s="149">
        <f t="shared" si="565"/>
        <v>33890.012993028417</v>
      </c>
      <c r="Y863" s="149">
        <f t="shared" si="565"/>
        <v>33878.828519934796</v>
      </c>
      <c r="Z863" s="149">
        <f t="shared" si="565"/>
        <v>33876.020534703282</v>
      </c>
      <c r="AA863" s="149">
        <f t="shared" si="565"/>
        <v>33873.868133246884</v>
      </c>
      <c r="AB863" s="149">
        <f t="shared" si="565"/>
        <v>33873.565064381502</v>
      </c>
      <c r="AC863" s="149">
        <f t="shared" si="565"/>
        <v>33870.036933205229</v>
      </c>
      <c r="AD863" s="149">
        <f t="shared" si="565"/>
        <v>33869.40056608263</v>
      </c>
      <c r="AE863" s="149">
        <f t="shared" si="565"/>
        <v>33866.217680816379</v>
      </c>
      <c r="AF863" s="149">
        <f t="shared" si="565"/>
        <v>33865.743887091761</v>
      </c>
      <c r="AG863" s="149">
        <f t="shared" si="565"/>
        <v>33863.191927744549</v>
      </c>
    </row>
    <row r="864" spans="1:33" ht="14.25" customHeight="1" x14ac:dyDescent="0.35">
      <c r="A864" s="21"/>
      <c r="B864" s="21"/>
      <c r="C864" s="21"/>
      <c r="D864" s="21" t="s">
        <v>4242</v>
      </c>
      <c r="E864" s="128"/>
      <c r="F864" s="21"/>
      <c r="G864" s="21"/>
      <c r="H864" s="21"/>
      <c r="I864" s="22" t="s">
        <v>3915</v>
      </c>
      <c r="J864" s="148"/>
      <c r="K864" s="148"/>
      <c r="L864" s="148"/>
      <c r="M864" s="148"/>
      <c r="N864" s="148"/>
      <c r="O864" s="148"/>
      <c r="P864" s="148"/>
      <c r="Q864" s="148"/>
      <c r="R864" s="149">
        <f t="shared" ref="R864:AG864" si="566">IF((R845+R846)=0,0,(R858+R859)/(R845+R846))</f>
        <v>33392.778088868145</v>
      </c>
      <c r="S864" s="149">
        <f t="shared" si="566"/>
        <v>33783.329591129761</v>
      </c>
      <c r="T864" s="149">
        <f t="shared" si="566"/>
        <v>33871.677820071869</v>
      </c>
      <c r="U864" s="149">
        <f t="shared" si="566"/>
        <v>33892.885098282139</v>
      </c>
      <c r="V864" s="149">
        <f t="shared" si="566"/>
        <v>33893.911794878062</v>
      </c>
      <c r="W864" s="149">
        <f t="shared" si="566"/>
        <v>33892.468865656796</v>
      </c>
      <c r="X864" s="149">
        <f t="shared" si="566"/>
        <v>33890.691219819579</v>
      </c>
      <c r="Y864" s="149">
        <f t="shared" si="566"/>
        <v>33882.104585958899</v>
      </c>
      <c r="Z864" s="149">
        <f t="shared" si="566"/>
        <v>33877.700738518695</v>
      </c>
      <c r="AA864" s="149">
        <f t="shared" si="566"/>
        <v>33874.926565815927</v>
      </c>
      <c r="AB864" s="149">
        <f t="shared" si="566"/>
        <v>33873.941063828039</v>
      </c>
      <c r="AC864" s="149">
        <f t="shared" si="566"/>
        <v>33871.115118593989</v>
      </c>
      <c r="AD864" s="149">
        <f t="shared" si="566"/>
        <v>33869.874065984302</v>
      </c>
      <c r="AE864" s="149">
        <f t="shared" si="566"/>
        <v>33867.227447508281</v>
      </c>
      <c r="AF864" s="149">
        <f t="shared" si="566"/>
        <v>33866.153594993208</v>
      </c>
      <c r="AG864" s="149">
        <f t="shared" si="566"/>
        <v>33864.009837456695</v>
      </c>
    </row>
    <row r="865" spans="1:33" ht="14.25" customHeight="1" x14ac:dyDescent="0.35">
      <c r="A865" s="21"/>
      <c r="B865" s="28"/>
      <c r="C865" s="28"/>
      <c r="D865" s="28" t="s">
        <v>29</v>
      </c>
      <c r="E865" s="21"/>
      <c r="F865" s="21"/>
      <c r="G865" s="21"/>
      <c r="H865" s="21"/>
      <c r="I865" s="22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</row>
    <row r="866" spans="1:33" ht="14.25" customHeight="1" x14ac:dyDescent="0.35">
      <c r="A866" s="21"/>
      <c r="B866" s="28"/>
      <c r="C866" s="21"/>
      <c r="D866" s="21" t="s">
        <v>30</v>
      </c>
      <c r="E866" s="175"/>
      <c r="F866" s="21"/>
      <c r="G866" s="21"/>
      <c r="H866" s="21"/>
      <c r="I866" s="22" t="s">
        <v>4060</v>
      </c>
      <c r="J866" s="148">
        <f t="shared" ref="J866:AG866" si="567">J812</f>
        <v>0</v>
      </c>
      <c r="K866" s="148">
        <f t="shared" si="567"/>
        <v>66744000</v>
      </c>
      <c r="L866" s="148">
        <f t="shared" si="567"/>
        <v>0</v>
      </c>
      <c r="M866" s="148">
        <f t="shared" si="567"/>
        <v>100768500</v>
      </c>
      <c r="N866" s="148">
        <f t="shared" si="567"/>
        <v>86800500</v>
      </c>
      <c r="O866" s="148">
        <f t="shared" si="567"/>
        <v>237523500</v>
      </c>
      <c r="P866" s="148">
        <f t="shared" si="567"/>
        <v>142518600.00000018</v>
      </c>
      <c r="Q866" s="148">
        <f t="shared" si="567"/>
        <v>122518299.99999991</v>
      </c>
      <c r="R866" s="149">
        <f t="shared" si="567"/>
        <v>95564798.882424369</v>
      </c>
      <c r="S866" s="149">
        <f t="shared" si="567"/>
        <v>95564798.882424369</v>
      </c>
      <c r="T866" s="149">
        <f t="shared" si="567"/>
        <v>95564798.882424369</v>
      </c>
      <c r="U866" s="149">
        <f t="shared" si="567"/>
        <v>95564798.882424369</v>
      </c>
      <c r="V866" s="149">
        <f t="shared" si="567"/>
        <v>95564798.882424369</v>
      </c>
      <c r="W866" s="149">
        <f t="shared" si="567"/>
        <v>95564798.882424369</v>
      </c>
      <c r="X866" s="149">
        <f t="shared" si="567"/>
        <v>95564798.882424369</v>
      </c>
      <c r="Y866" s="149">
        <f t="shared" si="567"/>
        <v>95564798.882424369</v>
      </c>
      <c r="Z866" s="149">
        <f t="shared" si="567"/>
        <v>95564798.882424369</v>
      </c>
      <c r="AA866" s="149">
        <f t="shared" si="567"/>
        <v>95564798.882424369</v>
      </c>
      <c r="AB866" s="149">
        <f t="shared" si="567"/>
        <v>95564798.882424369</v>
      </c>
      <c r="AC866" s="149">
        <f t="shared" si="567"/>
        <v>95564798.882424369</v>
      </c>
      <c r="AD866" s="149">
        <f t="shared" si="567"/>
        <v>95564798.882424369</v>
      </c>
      <c r="AE866" s="149">
        <f t="shared" si="567"/>
        <v>95564798.882424369</v>
      </c>
      <c r="AF866" s="149">
        <f t="shared" si="567"/>
        <v>95564798.882424369</v>
      </c>
      <c r="AG866" s="149">
        <f t="shared" si="567"/>
        <v>95564798.882424369</v>
      </c>
    </row>
    <row r="867" spans="1:33" ht="14.25" customHeight="1" x14ac:dyDescent="0.35">
      <c r="A867" s="21"/>
      <c r="B867" s="28"/>
      <c r="C867" s="21"/>
      <c r="D867" s="21" t="s">
        <v>31</v>
      </c>
      <c r="E867" s="175"/>
      <c r="F867" s="21"/>
      <c r="G867" s="21"/>
      <c r="H867" s="21"/>
      <c r="I867" s="22" t="s">
        <v>4060</v>
      </c>
      <c r="J867" s="148">
        <f t="shared" ref="J867:AG867" si="568">J813</f>
        <v>0</v>
      </c>
      <c r="K867" s="148">
        <f t="shared" si="568"/>
        <v>35565719.690132417</v>
      </c>
      <c r="L867" s="148">
        <f t="shared" si="568"/>
        <v>0</v>
      </c>
      <c r="M867" s="148">
        <f t="shared" si="568"/>
        <v>52200789.170194104</v>
      </c>
      <c r="N867" s="148">
        <f t="shared" si="568"/>
        <v>43888814.924022526</v>
      </c>
      <c r="O867" s="148">
        <f t="shared" si="568"/>
        <v>98645739.500589669</v>
      </c>
      <c r="P867" s="148">
        <f t="shared" si="568"/>
        <v>60943421.25037571</v>
      </c>
      <c r="Q867" s="148">
        <f t="shared" si="568"/>
        <v>35620507.446247362</v>
      </c>
      <c r="R867" s="149">
        <f t="shared" si="568"/>
        <v>40319866.746745691</v>
      </c>
      <c r="S867" s="149">
        <f t="shared" si="568"/>
        <v>40267593.660096116</v>
      </c>
      <c r="T867" s="149">
        <f t="shared" si="568"/>
        <v>40262120.652761042</v>
      </c>
      <c r="U867" s="149">
        <f t="shared" si="568"/>
        <v>40261545.167346142</v>
      </c>
      <c r="V867" s="149">
        <f t="shared" si="568"/>
        <v>40261484.843890548</v>
      </c>
      <c r="W867" s="149">
        <f t="shared" si="568"/>
        <v>40261478.516535558</v>
      </c>
      <c r="X867" s="149">
        <f t="shared" si="568"/>
        <v>40261477.852455005</v>
      </c>
      <c r="Y867" s="149">
        <f t="shared" si="568"/>
        <v>40261477.782800443</v>
      </c>
      <c r="Z867" s="149">
        <f t="shared" si="568"/>
        <v>40261477.775492914</v>
      </c>
      <c r="AA867" s="149">
        <f t="shared" si="568"/>
        <v>40261477.774726234</v>
      </c>
      <c r="AB867" s="149">
        <f t="shared" si="568"/>
        <v>40261477.77464579</v>
      </c>
      <c r="AC867" s="149">
        <f t="shared" si="568"/>
        <v>40261477.774637356</v>
      </c>
      <c r="AD867" s="149">
        <f t="shared" si="568"/>
        <v>40261477.774636477</v>
      </c>
      <c r="AE867" s="149">
        <f t="shared" si="568"/>
        <v>40261477.77463638</v>
      </c>
      <c r="AF867" s="149">
        <f t="shared" si="568"/>
        <v>40261477.774636365</v>
      </c>
      <c r="AG867" s="149">
        <f t="shared" si="568"/>
        <v>40261477.774636365</v>
      </c>
    </row>
    <row r="868" spans="1:33" ht="14.25" customHeight="1" x14ac:dyDescent="0.35">
      <c r="A868" s="21"/>
      <c r="B868" s="28"/>
      <c r="C868" s="21"/>
      <c r="D868" s="21" t="s">
        <v>32</v>
      </c>
      <c r="E868" s="175"/>
      <c r="F868" s="21"/>
      <c r="G868" s="21"/>
      <c r="H868" s="21"/>
      <c r="I868" s="22" t="s">
        <v>4060</v>
      </c>
      <c r="J868" s="148">
        <f t="shared" ref="J868:AG868" si="569">J814</f>
        <v>0</v>
      </c>
      <c r="K868" s="148">
        <f t="shared" si="569"/>
        <v>13913755.1701815</v>
      </c>
      <c r="L868" s="148">
        <f t="shared" si="569"/>
        <v>0</v>
      </c>
      <c r="M868" s="148">
        <f t="shared" si="569"/>
        <v>25443645.5287311</v>
      </c>
      <c r="N868" s="148">
        <f t="shared" si="569"/>
        <v>22073862.1698469</v>
      </c>
      <c r="O868" s="148">
        <f t="shared" si="569"/>
        <v>58277346.911388703</v>
      </c>
      <c r="P868" s="148">
        <f t="shared" si="569"/>
        <v>37845112.956634</v>
      </c>
      <c r="Q868" s="148">
        <f t="shared" si="569"/>
        <v>29661172.464954101</v>
      </c>
      <c r="R868" s="149">
        <f t="shared" si="569"/>
        <v>24028417.543347731</v>
      </c>
      <c r="S868" s="149">
        <f t="shared" si="569"/>
        <v>24028417.762331586</v>
      </c>
      <c r="T868" s="149">
        <f t="shared" si="569"/>
        <v>24028417.76233159</v>
      </c>
      <c r="U868" s="149">
        <f t="shared" si="569"/>
        <v>24028417.762331583</v>
      </c>
      <c r="V868" s="149">
        <f t="shared" si="569"/>
        <v>24028417.762331583</v>
      </c>
      <c r="W868" s="149">
        <f t="shared" si="569"/>
        <v>24028417.762331586</v>
      </c>
      <c r="X868" s="149">
        <f t="shared" si="569"/>
        <v>24028417.762331586</v>
      </c>
      <c r="Y868" s="149">
        <f t="shared" si="569"/>
        <v>24028417.762331586</v>
      </c>
      <c r="Z868" s="149">
        <f t="shared" si="569"/>
        <v>24028417.762331586</v>
      </c>
      <c r="AA868" s="149">
        <f t="shared" si="569"/>
        <v>24028417.762331583</v>
      </c>
      <c r="AB868" s="149">
        <f t="shared" si="569"/>
        <v>24028417.76233159</v>
      </c>
      <c r="AC868" s="149">
        <f t="shared" si="569"/>
        <v>24028417.76233159</v>
      </c>
      <c r="AD868" s="149">
        <f t="shared" si="569"/>
        <v>24028417.762331586</v>
      </c>
      <c r="AE868" s="149">
        <f t="shared" si="569"/>
        <v>24028417.762331583</v>
      </c>
      <c r="AF868" s="149">
        <f t="shared" si="569"/>
        <v>24028417.762331586</v>
      </c>
      <c r="AG868" s="149">
        <f t="shared" si="569"/>
        <v>24028417.762331586</v>
      </c>
    </row>
    <row r="869" spans="1:33" ht="14.25" customHeight="1" x14ac:dyDescent="0.35">
      <c r="A869" s="21"/>
      <c r="B869" s="28"/>
      <c r="C869" s="21"/>
      <c r="D869" s="21" t="s">
        <v>33</v>
      </c>
      <c r="E869" s="175"/>
      <c r="F869" s="21"/>
      <c r="G869" s="21"/>
      <c r="H869" s="21"/>
      <c r="I869" s="22" t="s">
        <v>4060</v>
      </c>
      <c r="J869" s="148">
        <f t="shared" ref="J869:Q869" si="570">SUM(J815:J819)</f>
        <v>0</v>
      </c>
      <c r="K869" s="148">
        <f t="shared" si="570"/>
        <v>1840424.9316821115</v>
      </c>
      <c r="L869" s="148">
        <f t="shared" si="570"/>
        <v>0</v>
      </c>
      <c r="M869" s="148">
        <f t="shared" si="570"/>
        <v>3020999.9927255115</v>
      </c>
      <c r="N869" s="148">
        <f t="shared" si="570"/>
        <v>4017446.6648596195</v>
      </c>
      <c r="O869" s="148">
        <f t="shared" si="570"/>
        <v>11148489.480351605</v>
      </c>
      <c r="P869" s="148">
        <f t="shared" si="570"/>
        <v>6829977.5131794224</v>
      </c>
      <c r="Q869" s="148">
        <f t="shared" si="570"/>
        <v>5053076.8213863326</v>
      </c>
      <c r="R869" s="149">
        <f t="shared" ref="R869:AG869" si="571">SUM(R815:R820)</f>
        <v>4100359.8280176707</v>
      </c>
      <c r="S869" s="149">
        <f t="shared" si="571"/>
        <v>4045402.0201088786</v>
      </c>
      <c r="T869" s="149">
        <f t="shared" si="571"/>
        <v>4020710.4615574554</v>
      </c>
      <c r="U869" s="149">
        <f t="shared" si="571"/>
        <v>4009508.4079441065</v>
      </c>
      <c r="V869" s="149">
        <f t="shared" si="571"/>
        <v>4004443.0575501313</v>
      </c>
      <c r="W869" s="149">
        <f t="shared" si="571"/>
        <v>4002144.0580540048</v>
      </c>
      <c r="X869" s="149">
        <f t="shared" si="571"/>
        <v>4001094.5654616095</v>
      </c>
      <c r="Y869" s="149">
        <f t="shared" si="571"/>
        <v>4000612.8402804071</v>
      </c>
      <c r="Z869" s="149">
        <f t="shared" si="571"/>
        <v>4000389.5189155359</v>
      </c>
      <c r="AA869" s="149">
        <f t="shared" si="571"/>
        <v>4000284.5395165225</v>
      </c>
      <c r="AB869" s="149">
        <f t="shared" si="571"/>
        <v>4000234.2524321647</v>
      </c>
      <c r="AC869" s="149">
        <f t="shared" si="571"/>
        <v>4000209.5403961176</v>
      </c>
      <c r="AD869" s="149">
        <f t="shared" si="571"/>
        <v>4000196.9973429991</v>
      </c>
      <c r="AE869" s="149">
        <f t="shared" si="571"/>
        <v>4000190.3816217966</v>
      </c>
      <c r="AF869" s="149">
        <f t="shared" si="571"/>
        <v>4000186.7409104556</v>
      </c>
      <c r="AG869" s="149">
        <f t="shared" si="571"/>
        <v>4000184.6492230529</v>
      </c>
    </row>
    <row r="870" spans="1:33" ht="14.25" customHeight="1" x14ac:dyDescent="0.35">
      <c r="A870" s="21"/>
      <c r="B870" s="28"/>
      <c r="C870" s="21"/>
      <c r="D870" s="21" t="s">
        <v>34</v>
      </c>
      <c r="E870" s="175"/>
      <c r="F870" s="21"/>
      <c r="G870" s="21"/>
      <c r="H870" s="21"/>
      <c r="I870" s="22" t="s">
        <v>4060</v>
      </c>
      <c r="J870" s="148">
        <f t="shared" ref="J870:AG870" si="572">J821</f>
        <v>0</v>
      </c>
      <c r="K870" s="148">
        <f t="shared" si="572"/>
        <v>0</v>
      </c>
      <c r="L870" s="148">
        <f t="shared" si="572"/>
        <v>0</v>
      </c>
      <c r="M870" s="148">
        <f t="shared" si="572"/>
        <v>0</v>
      </c>
      <c r="N870" s="148">
        <f t="shared" si="572"/>
        <v>0</v>
      </c>
      <c r="O870" s="148">
        <f t="shared" si="572"/>
        <v>0</v>
      </c>
      <c r="P870" s="148">
        <f t="shared" si="572"/>
        <v>0</v>
      </c>
      <c r="Q870" s="148">
        <f t="shared" si="572"/>
        <v>0</v>
      </c>
      <c r="R870" s="149">
        <f t="shared" si="572"/>
        <v>0</v>
      </c>
      <c r="S870" s="149">
        <f t="shared" si="572"/>
        <v>0</v>
      </c>
      <c r="T870" s="149">
        <f t="shared" si="572"/>
        <v>0</v>
      </c>
      <c r="U870" s="149">
        <f t="shared" si="572"/>
        <v>0</v>
      </c>
      <c r="V870" s="149">
        <f t="shared" si="572"/>
        <v>0</v>
      </c>
      <c r="W870" s="149">
        <f t="shared" si="572"/>
        <v>0</v>
      </c>
      <c r="X870" s="149">
        <f t="shared" si="572"/>
        <v>0</v>
      </c>
      <c r="Y870" s="149">
        <f t="shared" si="572"/>
        <v>0</v>
      </c>
      <c r="Z870" s="149">
        <f t="shared" si="572"/>
        <v>0</v>
      </c>
      <c r="AA870" s="149">
        <f t="shared" si="572"/>
        <v>0</v>
      </c>
      <c r="AB870" s="149">
        <f t="shared" si="572"/>
        <v>0</v>
      </c>
      <c r="AC870" s="149">
        <f t="shared" si="572"/>
        <v>0</v>
      </c>
      <c r="AD870" s="149">
        <f t="shared" si="572"/>
        <v>0</v>
      </c>
      <c r="AE870" s="149">
        <f t="shared" si="572"/>
        <v>0</v>
      </c>
      <c r="AF870" s="149">
        <f t="shared" si="572"/>
        <v>0</v>
      </c>
      <c r="AG870" s="149">
        <f t="shared" si="572"/>
        <v>0</v>
      </c>
    </row>
    <row r="871" spans="1:33" ht="14.25" customHeight="1" x14ac:dyDescent="0.35">
      <c r="A871" s="21"/>
      <c r="B871" s="28"/>
      <c r="C871" s="21"/>
      <c r="D871" s="21" t="s">
        <v>35</v>
      </c>
      <c r="E871" s="175"/>
      <c r="F871" s="21"/>
      <c r="G871" s="21"/>
      <c r="H871" s="21"/>
      <c r="I871" s="22" t="s">
        <v>4060</v>
      </c>
      <c r="J871" s="148">
        <f t="shared" ref="J871:AG871" si="573">J822</f>
        <v>0</v>
      </c>
      <c r="K871" s="148">
        <f t="shared" si="573"/>
        <v>19842985.865364376</v>
      </c>
      <c r="L871" s="148">
        <f t="shared" si="573"/>
        <v>0</v>
      </c>
      <c r="M871" s="148">
        <f t="shared" si="573"/>
        <v>27820037.082417049</v>
      </c>
      <c r="N871" s="148">
        <f t="shared" si="573"/>
        <v>25045635.470121868</v>
      </c>
      <c r="O871" s="148">
        <f t="shared" si="573"/>
        <v>51630448.794324391</v>
      </c>
      <c r="P871" s="148">
        <f t="shared" si="573"/>
        <v>45640744.866187617</v>
      </c>
      <c r="Q871" s="148">
        <f t="shared" si="573"/>
        <v>28924522.376770712</v>
      </c>
      <c r="R871" s="149">
        <f t="shared" si="573"/>
        <v>15776819.335213466</v>
      </c>
      <c r="S871" s="149">
        <f t="shared" si="573"/>
        <v>15744936.761571297</v>
      </c>
      <c r="T871" s="149">
        <f t="shared" si="573"/>
        <v>15780056.781538621</v>
      </c>
      <c r="U871" s="149">
        <f t="shared" si="573"/>
        <v>15767269.570264246</v>
      </c>
      <c r="V871" s="149">
        <f t="shared" si="573"/>
        <v>15764086.81853316</v>
      </c>
      <c r="W871" s="149">
        <f t="shared" si="573"/>
        <v>15770470.972253671</v>
      </c>
      <c r="X871" s="149">
        <f t="shared" si="573"/>
        <v>15767275.758985814</v>
      </c>
      <c r="Y871" s="149">
        <f t="shared" si="573"/>
        <v>15767277.81712964</v>
      </c>
      <c r="Z871" s="149">
        <f t="shared" si="573"/>
        <v>15768341.510386812</v>
      </c>
      <c r="AA871" s="149">
        <f t="shared" si="573"/>
        <v>15767631.695039816</v>
      </c>
      <c r="AB871" s="149">
        <f t="shared" si="573"/>
        <v>15767750.339798721</v>
      </c>
      <c r="AC871" s="149">
        <f t="shared" si="573"/>
        <v>15767907.848096022</v>
      </c>
      <c r="AD871" s="149">
        <f t="shared" si="573"/>
        <v>15767763.294298749</v>
      </c>
      <c r="AE871" s="149">
        <f t="shared" si="573"/>
        <v>15767807.160702301</v>
      </c>
      <c r="AF871" s="149">
        <f t="shared" si="573"/>
        <v>15767826.101018058</v>
      </c>
      <c r="AG871" s="149">
        <f t="shared" si="573"/>
        <v>15767798.852005379</v>
      </c>
    </row>
    <row r="872" spans="1:33" ht="14.25" customHeight="1" x14ac:dyDescent="0.35">
      <c r="A872" s="21"/>
      <c r="B872" s="28"/>
      <c r="C872" s="21"/>
      <c r="D872" s="21" t="s">
        <v>36</v>
      </c>
      <c r="E872" s="175"/>
      <c r="F872" s="21"/>
      <c r="G872" s="21"/>
      <c r="H872" s="21"/>
      <c r="I872" s="22" t="s">
        <v>4060</v>
      </c>
      <c r="J872" s="184">
        <f t="shared" ref="J872:AG872" si="574">SUM(J823:J826)</f>
        <v>0</v>
      </c>
      <c r="K872" s="184">
        <f t="shared" si="574"/>
        <v>16081106.258429527</v>
      </c>
      <c r="L872" s="184">
        <f t="shared" si="574"/>
        <v>0</v>
      </c>
      <c r="M872" s="184">
        <f t="shared" si="574"/>
        <v>21136710.969165176</v>
      </c>
      <c r="N872" s="184">
        <f t="shared" si="574"/>
        <v>12943430.102497071</v>
      </c>
      <c r="O872" s="184">
        <f t="shared" si="574"/>
        <v>27898053.879964478</v>
      </c>
      <c r="P872" s="184">
        <f t="shared" si="574"/>
        <v>22147330.232040435</v>
      </c>
      <c r="Q872" s="184">
        <f t="shared" si="574"/>
        <v>13710596.593132535</v>
      </c>
      <c r="R872" s="185">
        <f t="shared" si="574"/>
        <v>11091187.552955348</v>
      </c>
      <c r="S872" s="185">
        <f t="shared" si="574"/>
        <v>11070007.074501641</v>
      </c>
      <c r="T872" s="185">
        <f t="shared" si="574"/>
        <v>10913566.311909657</v>
      </c>
      <c r="U872" s="185">
        <f t="shared" si="574"/>
        <v>10913349.315395597</v>
      </c>
      <c r="V872" s="185">
        <f t="shared" si="574"/>
        <v>10884152.287883859</v>
      </c>
      <c r="W872" s="185">
        <f t="shared" si="574"/>
        <v>10866667.312487204</v>
      </c>
      <c r="X872" s="185">
        <f t="shared" si="574"/>
        <v>10860203.409384204</v>
      </c>
      <c r="Y872" s="185">
        <f t="shared" si="574"/>
        <v>10797819.346385237</v>
      </c>
      <c r="Z872" s="185">
        <f t="shared" si="574"/>
        <v>10781196.332081396</v>
      </c>
      <c r="AA872" s="185">
        <f t="shared" si="574"/>
        <v>10769913.272569863</v>
      </c>
      <c r="AB872" s="185">
        <f t="shared" si="574"/>
        <v>10768141.476620896</v>
      </c>
      <c r="AC872" s="185">
        <f t="shared" si="574"/>
        <v>10748178.355801931</v>
      </c>
      <c r="AD872" s="185">
        <f t="shared" si="574"/>
        <v>10744758.667677304</v>
      </c>
      <c r="AE872" s="185">
        <f t="shared" si="574"/>
        <v>10726831.592401458</v>
      </c>
      <c r="AF872" s="185">
        <f t="shared" si="574"/>
        <v>10724153.272952437</v>
      </c>
      <c r="AG872" s="185">
        <f t="shared" si="574"/>
        <v>10709838.99103578</v>
      </c>
    </row>
    <row r="873" spans="1:33" ht="14.25" customHeight="1" x14ac:dyDescent="0.35">
      <c r="A873" s="21"/>
      <c r="B873" s="28"/>
      <c r="C873" s="21"/>
      <c r="D873" s="21" t="s">
        <v>4144</v>
      </c>
      <c r="E873" s="175"/>
      <c r="F873" s="21"/>
      <c r="G873" s="21"/>
      <c r="H873" s="21"/>
      <c r="I873" s="22" t="s">
        <v>4060</v>
      </c>
      <c r="J873" s="148">
        <f t="shared" ref="J873:AG873" si="575">SUM(J866:J872)</f>
        <v>0</v>
      </c>
      <c r="K873" s="148">
        <f t="shared" si="575"/>
        <v>153987991.91578993</v>
      </c>
      <c r="L873" s="148">
        <f t="shared" si="575"/>
        <v>0</v>
      </c>
      <c r="M873" s="148">
        <f t="shared" si="575"/>
        <v>230390682.74323294</v>
      </c>
      <c r="N873" s="148">
        <f t="shared" si="575"/>
        <v>194769689.33134797</v>
      </c>
      <c r="O873" s="148">
        <f t="shared" si="575"/>
        <v>485123578.56661886</v>
      </c>
      <c r="P873" s="148">
        <f t="shared" si="575"/>
        <v>315925186.81841743</v>
      </c>
      <c r="Q873" s="148">
        <f t="shared" si="575"/>
        <v>235488175.70249096</v>
      </c>
      <c r="R873" s="149">
        <f t="shared" si="575"/>
        <v>190881449.88870427</v>
      </c>
      <c r="S873" s="149">
        <f t="shared" si="575"/>
        <v>190721156.16103387</v>
      </c>
      <c r="T873" s="149">
        <f t="shared" si="575"/>
        <v>190569670.8525227</v>
      </c>
      <c r="U873" s="149">
        <f t="shared" si="575"/>
        <v>190544889.10570604</v>
      </c>
      <c r="V873" s="149">
        <f t="shared" si="575"/>
        <v>190507383.65261361</v>
      </c>
      <c r="W873" s="149">
        <f t="shared" si="575"/>
        <v>190493977.50408641</v>
      </c>
      <c r="X873" s="149">
        <f t="shared" si="575"/>
        <v>190483268.23104256</v>
      </c>
      <c r="Y873" s="149">
        <f t="shared" si="575"/>
        <v>190420404.43135169</v>
      </c>
      <c r="Z873" s="149">
        <f t="shared" si="575"/>
        <v>190404621.78163263</v>
      </c>
      <c r="AA873" s="149">
        <f t="shared" si="575"/>
        <v>190392523.92660835</v>
      </c>
      <c r="AB873" s="149">
        <f t="shared" si="575"/>
        <v>190390820.48825353</v>
      </c>
      <c r="AC873" s="149">
        <f t="shared" si="575"/>
        <v>190370990.16368738</v>
      </c>
      <c r="AD873" s="149">
        <f t="shared" si="575"/>
        <v>190367413.37871149</v>
      </c>
      <c r="AE873" s="149">
        <f t="shared" si="575"/>
        <v>190349523.55411786</v>
      </c>
      <c r="AF873" s="149">
        <f t="shared" si="575"/>
        <v>190346860.53427327</v>
      </c>
      <c r="AG873" s="149">
        <f t="shared" si="575"/>
        <v>190332516.91165656</v>
      </c>
    </row>
    <row r="874" spans="1:33" ht="14.25" customHeight="1" x14ac:dyDescent="0.35">
      <c r="A874" s="21"/>
      <c r="B874" s="28"/>
      <c r="C874" s="21"/>
      <c r="D874" s="28" t="s">
        <v>4169</v>
      </c>
      <c r="E874" s="175"/>
      <c r="F874" s="21"/>
      <c r="G874" s="21"/>
      <c r="H874" s="21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</row>
    <row r="875" spans="1:33" ht="14.25" customHeight="1" x14ac:dyDescent="0.35">
      <c r="A875" s="21"/>
      <c r="B875" s="28"/>
      <c r="C875" s="21"/>
      <c r="D875" s="21"/>
      <c r="E875" s="175" t="s">
        <v>38</v>
      </c>
      <c r="F875" s="21"/>
      <c r="G875" s="21"/>
      <c r="H875" s="21"/>
      <c r="I875" s="22"/>
      <c r="J875" s="148"/>
      <c r="K875" s="148"/>
      <c r="L875" s="148"/>
      <c r="M875" s="148"/>
      <c r="N875" s="148"/>
      <c r="O875" s="148"/>
      <c r="P875" s="148"/>
      <c r="Q875" s="148"/>
      <c r="R875" s="149">
        <f t="shared" ref="R875:AG875" si="576">R854</f>
        <v>0</v>
      </c>
      <c r="S875" s="149">
        <f t="shared" si="576"/>
        <v>0</v>
      </c>
      <c r="T875" s="149">
        <f t="shared" si="576"/>
        <v>0</v>
      </c>
      <c r="U875" s="149">
        <f t="shared" si="576"/>
        <v>0</v>
      </c>
      <c r="V875" s="149">
        <f t="shared" si="576"/>
        <v>0</v>
      </c>
      <c r="W875" s="149">
        <f t="shared" si="576"/>
        <v>0</v>
      </c>
      <c r="X875" s="149">
        <f t="shared" si="576"/>
        <v>0</v>
      </c>
      <c r="Y875" s="149">
        <f t="shared" si="576"/>
        <v>0</v>
      </c>
      <c r="Z875" s="149">
        <f t="shared" si="576"/>
        <v>0</v>
      </c>
      <c r="AA875" s="149">
        <f t="shared" si="576"/>
        <v>0</v>
      </c>
      <c r="AB875" s="149">
        <f t="shared" si="576"/>
        <v>0</v>
      </c>
      <c r="AC875" s="149">
        <f t="shared" si="576"/>
        <v>0</v>
      </c>
      <c r="AD875" s="149">
        <f t="shared" si="576"/>
        <v>0</v>
      </c>
      <c r="AE875" s="149">
        <f t="shared" si="576"/>
        <v>0</v>
      </c>
      <c r="AF875" s="149">
        <f t="shared" si="576"/>
        <v>0</v>
      </c>
      <c r="AG875" s="149">
        <f t="shared" si="576"/>
        <v>0</v>
      </c>
    </row>
    <row r="876" spans="1:33" ht="14.25" customHeight="1" x14ac:dyDescent="0.35">
      <c r="A876" s="21"/>
      <c r="B876" s="28"/>
      <c r="C876" s="21"/>
      <c r="D876" s="21"/>
      <c r="E876" s="175" t="s">
        <v>4146</v>
      </c>
      <c r="F876" s="21"/>
      <c r="G876" s="21"/>
      <c r="H876" s="21"/>
      <c r="I876" s="22"/>
      <c r="J876" s="148"/>
      <c r="K876" s="148"/>
      <c r="L876" s="148"/>
      <c r="M876" s="148"/>
      <c r="N876" s="148"/>
      <c r="O876" s="148"/>
      <c r="P876" s="148"/>
      <c r="Q876" s="148"/>
      <c r="R876" s="149">
        <f t="shared" ref="R876:AG876" si="577">R855</f>
        <v>-1908814.4988870425</v>
      </c>
      <c r="S876" s="149">
        <f t="shared" si="577"/>
        <v>-1907211.5616103397</v>
      </c>
      <c r="T876" s="149">
        <f t="shared" si="577"/>
        <v>-1905696.7085252278</v>
      </c>
      <c r="U876" s="149">
        <f t="shared" si="577"/>
        <v>-1905448.8910570606</v>
      </c>
      <c r="V876" s="149">
        <f t="shared" si="577"/>
        <v>-1905073.8365261366</v>
      </c>
      <c r="W876" s="149">
        <f t="shared" si="577"/>
        <v>-1904939.7750408645</v>
      </c>
      <c r="X876" s="149">
        <f t="shared" si="577"/>
        <v>-1904832.6823104259</v>
      </c>
      <c r="Y876" s="149">
        <f t="shared" si="577"/>
        <v>-1904204.0443135172</v>
      </c>
      <c r="Z876" s="149">
        <f t="shared" si="577"/>
        <v>-1904046.2178163265</v>
      </c>
      <c r="AA876" s="149">
        <f t="shared" si="577"/>
        <v>-1903925.239266084</v>
      </c>
      <c r="AB876" s="149">
        <f t="shared" si="577"/>
        <v>-1903908.2048825361</v>
      </c>
      <c r="AC876" s="149">
        <f t="shared" si="577"/>
        <v>-1903709.9016368741</v>
      </c>
      <c r="AD876" s="149">
        <f t="shared" si="577"/>
        <v>-1903674.1337871146</v>
      </c>
      <c r="AE876" s="149">
        <f t="shared" si="577"/>
        <v>-1903495.2355411788</v>
      </c>
      <c r="AF876" s="149">
        <f t="shared" si="577"/>
        <v>-1903468.6053427332</v>
      </c>
      <c r="AG876" s="149">
        <f t="shared" si="577"/>
        <v>-1903325.1691165655</v>
      </c>
    </row>
    <row r="877" spans="1:33" ht="14.25" customHeight="1" x14ac:dyDescent="0.35">
      <c r="A877" s="21"/>
      <c r="B877" s="28"/>
      <c r="C877" s="21"/>
      <c r="D877" s="28" t="s">
        <v>4098</v>
      </c>
      <c r="E877" s="175"/>
      <c r="F877" s="21"/>
      <c r="G877" s="21"/>
      <c r="H877" s="21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</row>
    <row r="878" spans="1:33" ht="14.25" customHeight="1" x14ac:dyDescent="0.35">
      <c r="A878" s="21"/>
      <c r="B878" s="28"/>
      <c r="C878" s="21"/>
      <c r="D878" s="21"/>
      <c r="E878" s="175" t="s">
        <v>4170</v>
      </c>
      <c r="F878" s="21"/>
      <c r="G878" s="21"/>
      <c r="H878" s="21"/>
      <c r="I878" s="22"/>
      <c r="J878" s="148"/>
      <c r="K878" s="148"/>
      <c r="L878" s="148"/>
      <c r="M878" s="148"/>
      <c r="N878" s="148"/>
      <c r="O878" s="148"/>
      <c r="P878" s="148"/>
      <c r="Q878" s="148"/>
      <c r="R878" s="149">
        <f t="shared" ref="R878:AG878" si="578">R851</f>
        <v>0</v>
      </c>
      <c r="S878" s="149">
        <f t="shared" si="578"/>
        <v>1.9557774066925049E-8</v>
      </c>
      <c r="T878" s="149">
        <f t="shared" si="578"/>
        <v>0</v>
      </c>
      <c r="U878" s="149">
        <f t="shared" si="578"/>
        <v>1.257285475730896E-8</v>
      </c>
      <c r="V878" s="149">
        <f t="shared" si="578"/>
        <v>1.3504177331924438E-8</v>
      </c>
      <c r="W878" s="149">
        <f t="shared" si="578"/>
        <v>1.885928213596344E-8</v>
      </c>
      <c r="X878" s="149">
        <f t="shared" si="578"/>
        <v>0</v>
      </c>
      <c r="Y878" s="149">
        <f t="shared" si="578"/>
        <v>6.28642737865448E-9</v>
      </c>
      <c r="Z878" s="149">
        <f t="shared" si="578"/>
        <v>3.2829120755195618E-8</v>
      </c>
      <c r="AA878" s="149">
        <f t="shared" si="578"/>
        <v>2.6309862732887268E-8</v>
      </c>
      <c r="AB878" s="149">
        <f t="shared" si="578"/>
        <v>4.3306499719619751E-8</v>
      </c>
      <c r="AC878" s="149">
        <f t="shared" si="578"/>
        <v>-3.7252902984619141E-9</v>
      </c>
      <c r="AD878" s="149">
        <f t="shared" si="578"/>
        <v>-5.3551048040390015E-9</v>
      </c>
      <c r="AE878" s="149">
        <f t="shared" si="578"/>
        <v>1.0710209608078003E-8</v>
      </c>
      <c r="AF878" s="149">
        <f t="shared" si="578"/>
        <v>-1.3969838619232178E-8</v>
      </c>
      <c r="AG878" s="149">
        <f t="shared" si="578"/>
        <v>1.257285475730896E-8</v>
      </c>
    </row>
    <row r="879" spans="1:33" ht="14.25" customHeight="1" x14ac:dyDescent="0.35">
      <c r="A879" s="21"/>
      <c r="B879" s="28"/>
      <c r="C879" s="21"/>
      <c r="D879" s="21"/>
      <c r="E879" s="175" t="s">
        <v>4171</v>
      </c>
      <c r="F879" s="21"/>
      <c r="G879" s="21"/>
      <c r="H879" s="21"/>
      <c r="I879" s="22"/>
      <c r="J879" s="148"/>
      <c r="K879" s="148"/>
      <c r="L879" s="148"/>
      <c r="M879" s="148"/>
      <c r="N879" s="148"/>
      <c r="O879" s="148"/>
      <c r="P879" s="148"/>
      <c r="Q879" s="148"/>
      <c r="R879" s="149">
        <f t="shared" ref="R879:AG879" si="579">-R856</f>
        <v>-1.9557774066925049E-8</v>
      </c>
      <c r="S879" s="149">
        <f t="shared" si="579"/>
        <v>0</v>
      </c>
      <c r="T879" s="149">
        <f t="shared" si="579"/>
        <v>-1.257285475730896E-8</v>
      </c>
      <c r="U879" s="149">
        <f t="shared" si="579"/>
        <v>-1.3504177331924438E-8</v>
      </c>
      <c r="V879" s="149">
        <f t="shared" si="579"/>
        <v>-1.885928213596344E-8</v>
      </c>
      <c r="W879" s="149">
        <f t="shared" si="579"/>
        <v>0</v>
      </c>
      <c r="X879" s="149">
        <f t="shared" si="579"/>
        <v>-6.28642737865448E-9</v>
      </c>
      <c r="Y879" s="149">
        <f t="shared" si="579"/>
        <v>-3.2829120755195618E-8</v>
      </c>
      <c r="Z879" s="149">
        <f t="shared" si="579"/>
        <v>-2.6309862732887268E-8</v>
      </c>
      <c r="AA879" s="149">
        <f t="shared" si="579"/>
        <v>-4.3306499719619751E-8</v>
      </c>
      <c r="AB879" s="149">
        <f t="shared" si="579"/>
        <v>3.7252902984619141E-9</v>
      </c>
      <c r="AC879" s="149">
        <f t="shared" si="579"/>
        <v>5.3551048040390015E-9</v>
      </c>
      <c r="AD879" s="149">
        <f t="shared" si="579"/>
        <v>-1.0710209608078003E-8</v>
      </c>
      <c r="AE879" s="149">
        <f t="shared" si="579"/>
        <v>1.3969838619232178E-8</v>
      </c>
      <c r="AF879" s="149">
        <f t="shared" si="579"/>
        <v>-1.257285475730896E-8</v>
      </c>
      <c r="AG879" s="149">
        <f t="shared" si="579"/>
        <v>-2.0954757928848267E-8</v>
      </c>
    </row>
    <row r="880" spans="1:33" ht="14.25" customHeight="1" x14ac:dyDescent="0.35">
      <c r="A880" s="21"/>
      <c r="B880" s="28"/>
      <c r="C880" s="21"/>
      <c r="D880" s="28" t="s">
        <v>4172</v>
      </c>
      <c r="E880" s="175"/>
      <c r="F880" s="21"/>
      <c r="G880" s="21"/>
      <c r="H880" s="21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</row>
    <row r="881" spans="1:33" ht="14.25" customHeight="1" x14ac:dyDescent="0.35">
      <c r="A881" s="21"/>
      <c r="B881" s="28"/>
      <c r="C881" s="21"/>
      <c r="D881" s="21"/>
      <c r="E881" s="175" t="s">
        <v>4170</v>
      </c>
      <c r="F881" s="21"/>
      <c r="G881" s="21"/>
      <c r="H881" s="21"/>
      <c r="I881" s="22"/>
      <c r="J881" s="148"/>
      <c r="K881" s="148"/>
      <c r="L881" s="148"/>
      <c r="M881" s="148"/>
      <c r="N881" s="148"/>
      <c r="O881" s="148"/>
      <c r="P881" s="148"/>
      <c r="Q881" s="148"/>
      <c r="R881" s="149">
        <f t="shared" ref="R881:AG881" si="580">R858</f>
        <v>67731841.709999993</v>
      </c>
      <c r="S881" s="149">
        <f t="shared" si="580"/>
        <v>70892867.882667094</v>
      </c>
      <c r="T881" s="149">
        <f t="shared" si="580"/>
        <v>71722008.721968472</v>
      </c>
      <c r="U881" s="149">
        <f t="shared" si="580"/>
        <v>71909572.012012601</v>
      </c>
      <c r="V881" s="149">
        <f t="shared" si="580"/>
        <v>71954595.063652992</v>
      </c>
      <c r="W881" s="149">
        <f t="shared" si="580"/>
        <v>71956774.74052611</v>
      </c>
      <c r="X881" s="149">
        <f t="shared" si="580"/>
        <v>71953711.401789367</v>
      </c>
      <c r="Y881" s="149">
        <f t="shared" si="580"/>
        <v>71949937.459676951</v>
      </c>
      <c r="Z881" s="149">
        <f t="shared" si="580"/>
        <v>71931708.035990775</v>
      </c>
      <c r="AA881" s="149">
        <f t="shared" si="580"/>
        <v>71922358.667875201</v>
      </c>
      <c r="AB881" s="149">
        <f t="shared" si="580"/>
        <v>71916469.09922719</v>
      </c>
      <c r="AC881" s="149">
        <f t="shared" si="580"/>
        <v>71914376.878506899</v>
      </c>
      <c r="AD881" s="149">
        <f t="shared" si="580"/>
        <v>71908377.396775037</v>
      </c>
      <c r="AE881" s="149">
        <f t="shared" si="580"/>
        <v>71905742.642084658</v>
      </c>
      <c r="AF881" s="149">
        <f t="shared" si="580"/>
        <v>71900123.871060073</v>
      </c>
      <c r="AG881" s="149">
        <f t="shared" si="580"/>
        <v>71897844.082170576</v>
      </c>
    </row>
    <row r="882" spans="1:33" ht="14.25" customHeight="1" x14ac:dyDescent="0.35">
      <c r="A882" s="21"/>
      <c r="B882" s="28"/>
      <c r="C882" s="21"/>
      <c r="D882" s="21"/>
      <c r="E882" s="175" t="s">
        <v>4171</v>
      </c>
      <c r="F882" s="21"/>
      <c r="G882" s="21"/>
      <c r="H882" s="21"/>
      <c r="I882" s="22"/>
      <c r="J882" s="148"/>
      <c r="K882" s="148"/>
      <c r="L882" s="148"/>
      <c r="M882" s="148"/>
      <c r="N882" s="148"/>
      <c r="O882" s="148"/>
      <c r="P882" s="148"/>
      <c r="Q882" s="148"/>
      <c r="R882" s="149">
        <f t="shared" ref="R882:AG882" si="581">-R861</f>
        <v>-70892867.882667094</v>
      </c>
      <c r="S882" s="149">
        <f t="shared" si="581"/>
        <v>-71722008.721968472</v>
      </c>
      <c r="T882" s="149">
        <f t="shared" si="581"/>
        <v>-71909572.012012601</v>
      </c>
      <c r="U882" s="149">
        <f t="shared" si="581"/>
        <v>-71954595.063652992</v>
      </c>
      <c r="V882" s="149">
        <f t="shared" si="581"/>
        <v>-71956774.74052611</v>
      </c>
      <c r="W882" s="149">
        <f t="shared" si="581"/>
        <v>-71953711.401789367</v>
      </c>
      <c r="X882" s="149">
        <f t="shared" si="581"/>
        <v>-71949937.459676951</v>
      </c>
      <c r="Y882" s="149">
        <f t="shared" si="581"/>
        <v>-71931708.035990775</v>
      </c>
      <c r="Z882" s="149">
        <f t="shared" si="581"/>
        <v>-71922358.667875201</v>
      </c>
      <c r="AA882" s="149">
        <f t="shared" si="581"/>
        <v>-71916469.09922719</v>
      </c>
      <c r="AB882" s="149">
        <f t="shared" si="581"/>
        <v>-71914376.878506899</v>
      </c>
      <c r="AC882" s="149">
        <f t="shared" si="581"/>
        <v>-71908377.396775037</v>
      </c>
      <c r="AD882" s="149">
        <f t="shared" si="581"/>
        <v>-71905742.642084658</v>
      </c>
      <c r="AE882" s="149">
        <f t="shared" si="581"/>
        <v>-71900123.871060073</v>
      </c>
      <c r="AF882" s="149">
        <f t="shared" si="581"/>
        <v>-71897844.082170576</v>
      </c>
      <c r="AG882" s="149">
        <f t="shared" si="581"/>
        <v>-71893292.884920567</v>
      </c>
    </row>
    <row r="883" spans="1:33" ht="14.25" customHeight="1" x14ac:dyDescent="0.35">
      <c r="A883" s="21"/>
      <c r="B883" s="28"/>
      <c r="C883" s="21"/>
      <c r="D883" s="21" t="s">
        <v>4173</v>
      </c>
      <c r="E883" s="175"/>
      <c r="F883" s="21"/>
      <c r="G883" s="21"/>
      <c r="H883" s="21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</row>
    <row r="884" spans="1:33" ht="14.25" customHeight="1" x14ac:dyDescent="0.35">
      <c r="A884" s="21"/>
      <c r="B884" s="28"/>
      <c r="C884" s="21"/>
      <c r="D884" s="21"/>
      <c r="E884" s="175" t="s">
        <v>4174</v>
      </c>
      <c r="F884" s="21"/>
      <c r="G884" s="21"/>
      <c r="H884" s="21"/>
      <c r="I884" s="22"/>
      <c r="J884" s="148">
        <f t="shared" ref="J884:AG884" si="582">SUM(J873,J875:J876,J878:J879,J881:J882)</f>
        <v>0</v>
      </c>
      <c r="K884" s="148">
        <f t="shared" si="582"/>
        <v>153987991.91578993</v>
      </c>
      <c r="L884" s="148">
        <f t="shared" si="582"/>
        <v>0</v>
      </c>
      <c r="M884" s="148">
        <f t="shared" si="582"/>
        <v>230390682.74323294</v>
      </c>
      <c r="N884" s="148">
        <f t="shared" si="582"/>
        <v>194769689.33134797</v>
      </c>
      <c r="O884" s="148">
        <f t="shared" si="582"/>
        <v>485123578.56661886</v>
      </c>
      <c r="P884" s="148">
        <f t="shared" si="582"/>
        <v>315925186.81841743</v>
      </c>
      <c r="Q884" s="148">
        <f t="shared" si="582"/>
        <v>235488175.70249096</v>
      </c>
      <c r="R884" s="149">
        <f t="shared" si="582"/>
        <v>185811609.21715012</v>
      </c>
      <c r="S884" s="149">
        <f t="shared" si="582"/>
        <v>187984803.76012218</v>
      </c>
      <c r="T884" s="149">
        <f t="shared" si="582"/>
        <v>188476410.85395333</v>
      </c>
      <c r="U884" s="149">
        <f t="shared" si="582"/>
        <v>188594417.16300857</v>
      </c>
      <c r="V884" s="149">
        <f t="shared" si="582"/>
        <v>188600130.13921434</v>
      </c>
      <c r="W884" s="149">
        <f t="shared" si="582"/>
        <v>188592101.06778231</v>
      </c>
      <c r="X884" s="149">
        <f t="shared" si="582"/>
        <v>188582209.49084455</v>
      </c>
      <c r="Y884" s="149">
        <f t="shared" si="582"/>
        <v>188534429.81072432</v>
      </c>
      <c r="Z884" s="149">
        <f t="shared" si="582"/>
        <v>188509924.93193188</v>
      </c>
      <c r="AA884" s="149">
        <f t="shared" si="582"/>
        <v>188494488.25599027</v>
      </c>
      <c r="AB884" s="149">
        <f t="shared" si="582"/>
        <v>188489004.50409132</v>
      </c>
      <c r="AC884" s="149">
        <f t="shared" si="582"/>
        <v>188473279.74378237</v>
      </c>
      <c r="AD884" s="149">
        <f t="shared" si="582"/>
        <v>188466373.99961475</v>
      </c>
      <c r="AE884" s="149">
        <f t="shared" si="582"/>
        <v>188451647.08960128</v>
      </c>
      <c r="AF884" s="149">
        <f t="shared" si="582"/>
        <v>188445671.71782002</v>
      </c>
      <c r="AG884" s="149">
        <f t="shared" si="582"/>
        <v>188433742.93978998</v>
      </c>
    </row>
    <row r="885" spans="1:33" ht="14.25" customHeight="1" x14ac:dyDescent="0.35">
      <c r="A885" s="21"/>
      <c r="B885" s="28"/>
      <c r="C885" s="21"/>
      <c r="D885" s="21"/>
      <c r="E885" s="175" t="s">
        <v>4175</v>
      </c>
      <c r="F885" s="21"/>
      <c r="G885" s="21"/>
      <c r="H885" s="21"/>
      <c r="I885" s="22"/>
      <c r="J885" s="184">
        <f t="shared" ref="J885:AG885" si="583">-J855</f>
        <v>0</v>
      </c>
      <c r="K885" s="184">
        <f t="shared" si="583"/>
        <v>0</v>
      </c>
      <c r="L885" s="184">
        <f t="shared" si="583"/>
        <v>0</v>
      </c>
      <c r="M885" s="184">
        <f t="shared" si="583"/>
        <v>0</v>
      </c>
      <c r="N885" s="184">
        <f t="shared" si="583"/>
        <v>0</v>
      </c>
      <c r="O885" s="184">
        <f t="shared" si="583"/>
        <v>0</v>
      </c>
      <c r="P885" s="184">
        <f t="shared" si="583"/>
        <v>0</v>
      </c>
      <c r="Q885" s="184">
        <f t="shared" si="583"/>
        <v>0</v>
      </c>
      <c r="R885" s="185">
        <f t="shared" si="583"/>
        <v>1908814.4988870425</v>
      </c>
      <c r="S885" s="185">
        <f t="shared" si="583"/>
        <v>1907211.5616103397</v>
      </c>
      <c r="T885" s="185">
        <f t="shared" si="583"/>
        <v>1905696.7085252278</v>
      </c>
      <c r="U885" s="185">
        <f t="shared" si="583"/>
        <v>1905448.8910570606</v>
      </c>
      <c r="V885" s="185">
        <f t="shared" si="583"/>
        <v>1905073.8365261366</v>
      </c>
      <c r="W885" s="185">
        <f t="shared" si="583"/>
        <v>1904939.7750408645</v>
      </c>
      <c r="X885" s="185">
        <f t="shared" si="583"/>
        <v>1904832.6823104259</v>
      </c>
      <c r="Y885" s="185">
        <f t="shared" si="583"/>
        <v>1904204.0443135172</v>
      </c>
      <c r="Z885" s="185">
        <f t="shared" si="583"/>
        <v>1904046.2178163265</v>
      </c>
      <c r="AA885" s="185">
        <f t="shared" si="583"/>
        <v>1903925.239266084</v>
      </c>
      <c r="AB885" s="185">
        <f t="shared" si="583"/>
        <v>1903908.2048825361</v>
      </c>
      <c r="AC885" s="185">
        <f t="shared" si="583"/>
        <v>1903709.9016368741</v>
      </c>
      <c r="AD885" s="185">
        <f t="shared" si="583"/>
        <v>1903674.1337871146</v>
      </c>
      <c r="AE885" s="185">
        <f t="shared" si="583"/>
        <v>1903495.2355411788</v>
      </c>
      <c r="AF885" s="185">
        <f t="shared" si="583"/>
        <v>1903468.6053427332</v>
      </c>
      <c r="AG885" s="185">
        <f t="shared" si="583"/>
        <v>1903325.1691165655</v>
      </c>
    </row>
    <row r="886" spans="1:33" ht="14.25" customHeight="1" x14ac:dyDescent="0.35">
      <c r="A886" s="21"/>
      <c r="B886" s="28"/>
      <c r="C886" s="21"/>
      <c r="D886" s="21"/>
      <c r="E886" s="175" t="s">
        <v>4176</v>
      </c>
      <c r="F886" s="21"/>
      <c r="G886" s="21"/>
      <c r="H886" s="21"/>
      <c r="I886" s="22"/>
      <c r="J886" s="186">
        <f t="shared" ref="J886:AG886" si="584">SUM(J884:J885)</f>
        <v>0</v>
      </c>
      <c r="K886" s="186">
        <f t="shared" si="584"/>
        <v>153987991.91578993</v>
      </c>
      <c r="L886" s="186">
        <f t="shared" si="584"/>
        <v>0</v>
      </c>
      <c r="M886" s="186">
        <f t="shared" si="584"/>
        <v>230390682.74323294</v>
      </c>
      <c r="N886" s="186">
        <f t="shared" si="584"/>
        <v>194769689.33134797</v>
      </c>
      <c r="O886" s="186">
        <f t="shared" si="584"/>
        <v>485123578.56661886</v>
      </c>
      <c r="P886" s="186">
        <f t="shared" si="584"/>
        <v>315925186.81841743</v>
      </c>
      <c r="Q886" s="186">
        <f t="shared" si="584"/>
        <v>235488175.70249096</v>
      </c>
      <c r="R886" s="187">
        <f t="shared" si="584"/>
        <v>187720423.71603715</v>
      </c>
      <c r="S886" s="187">
        <f t="shared" si="584"/>
        <v>189892015.32173252</v>
      </c>
      <c r="T886" s="187">
        <f t="shared" si="584"/>
        <v>190382107.56247857</v>
      </c>
      <c r="U886" s="187">
        <f t="shared" si="584"/>
        <v>190499866.05406564</v>
      </c>
      <c r="V886" s="187">
        <f t="shared" si="584"/>
        <v>190505203.97574046</v>
      </c>
      <c r="W886" s="187">
        <f t="shared" si="584"/>
        <v>190497040.84282318</v>
      </c>
      <c r="X886" s="187">
        <f t="shared" si="584"/>
        <v>190487042.17315498</v>
      </c>
      <c r="Y886" s="187">
        <f t="shared" si="584"/>
        <v>190438633.85503784</v>
      </c>
      <c r="Z886" s="187">
        <f t="shared" si="584"/>
        <v>190413971.14974821</v>
      </c>
      <c r="AA886" s="187">
        <f t="shared" si="584"/>
        <v>190398413.49525636</v>
      </c>
      <c r="AB886" s="187">
        <f t="shared" si="584"/>
        <v>190392912.70897385</v>
      </c>
      <c r="AC886" s="187">
        <f t="shared" si="584"/>
        <v>190376989.64541924</v>
      </c>
      <c r="AD886" s="187">
        <f t="shared" si="584"/>
        <v>190370048.13340187</v>
      </c>
      <c r="AE886" s="187">
        <f t="shared" si="584"/>
        <v>190355142.32514244</v>
      </c>
      <c r="AF886" s="187">
        <f t="shared" si="584"/>
        <v>190349140.32316276</v>
      </c>
      <c r="AG886" s="187">
        <f t="shared" si="584"/>
        <v>190337068.10890654</v>
      </c>
    </row>
    <row r="887" spans="1:33" ht="14.25" customHeight="1" x14ac:dyDescent="0.35">
      <c r="A887" s="21"/>
      <c r="B887" s="28"/>
      <c r="C887" s="21"/>
      <c r="D887" s="21" t="s">
        <v>4177</v>
      </c>
      <c r="E887" s="175"/>
      <c r="F887" s="21"/>
      <c r="G887" s="21"/>
      <c r="H887" s="21"/>
      <c r="I887" s="22"/>
      <c r="J887" s="22"/>
      <c r="K887" s="22"/>
      <c r="L887" s="22"/>
      <c r="M887" s="22"/>
      <c r="N887" s="22"/>
      <c r="O887" s="22"/>
      <c r="P887" s="22"/>
      <c r="Q887" s="22"/>
      <c r="R887" s="183">
        <f t="shared" ref="R887:AG887" si="585">R886/SUM(R833,R835)</f>
        <v>33398.458866617264</v>
      </c>
      <c r="S887" s="183">
        <f t="shared" si="585"/>
        <v>33784.819665736381</v>
      </c>
      <c r="T887" s="183">
        <f t="shared" si="585"/>
        <v>33872.014895852451</v>
      </c>
      <c r="U887" s="183">
        <f t="shared" si="585"/>
        <v>33892.966010598575</v>
      </c>
      <c r="V887" s="183">
        <f t="shared" si="585"/>
        <v>33893.915712042668</v>
      </c>
      <c r="W887" s="183">
        <f t="shared" si="585"/>
        <v>33892.463360436152</v>
      </c>
      <c r="X887" s="183">
        <f t="shared" si="585"/>
        <v>33890.684437551667</v>
      </c>
      <c r="Y887" s="183">
        <f t="shared" si="585"/>
        <v>33882.071825298648</v>
      </c>
      <c r="Z887" s="183">
        <f t="shared" si="585"/>
        <v>33877.683936480535</v>
      </c>
      <c r="AA887" s="183">
        <f t="shared" si="585"/>
        <v>33874.91598149023</v>
      </c>
      <c r="AB887" s="183">
        <f t="shared" si="585"/>
        <v>33873.937303833569</v>
      </c>
      <c r="AC887" s="183">
        <f t="shared" si="585"/>
        <v>33871.1043367401</v>
      </c>
      <c r="AD887" s="183">
        <f t="shared" si="585"/>
        <v>33869.86933098529</v>
      </c>
      <c r="AE887" s="183">
        <f t="shared" si="585"/>
        <v>33867.217349841361</v>
      </c>
      <c r="AF887" s="183">
        <f t="shared" si="585"/>
        <v>33866.149497914179</v>
      </c>
      <c r="AG887" s="183">
        <f t="shared" si="585"/>
        <v>33864.001658359572</v>
      </c>
    </row>
    <row r="888" spans="1:33" ht="14.25" customHeight="1" x14ac:dyDescent="0.35">
      <c r="A888" s="21"/>
      <c r="B888" s="28"/>
      <c r="C888" s="21"/>
      <c r="D888" s="21" t="s">
        <v>4178</v>
      </c>
      <c r="E888" s="175"/>
      <c r="F888" s="21"/>
      <c r="G888" s="21"/>
      <c r="H888" s="21"/>
      <c r="I888" s="22"/>
      <c r="J888" s="22"/>
      <c r="K888" s="22"/>
      <c r="L888" s="22"/>
      <c r="M888" s="22"/>
      <c r="N888" s="22"/>
      <c r="O888" s="22"/>
      <c r="P888" s="22"/>
      <c r="Q888" s="22"/>
      <c r="R888" s="188" t="b">
        <f t="shared" ref="R888:AG888" si="586">R887=R831</f>
        <v>0</v>
      </c>
      <c r="S888" s="188" t="b">
        <f t="shared" si="586"/>
        <v>0</v>
      </c>
      <c r="T888" s="188" t="b">
        <f t="shared" si="586"/>
        <v>0</v>
      </c>
      <c r="U888" s="188" t="b">
        <f t="shared" si="586"/>
        <v>0</v>
      </c>
      <c r="V888" s="188" t="b">
        <f t="shared" si="586"/>
        <v>0</v>
      </c>
      <c r="W888" s="188" t="b">
        <f t="shared" si="586"/>
        <v>0</v>
      </c>
      <c r="X888" s="188" t="b">
        <f t="shared" si="586"/>
        <v>0</v>
      </c>
      <c r="Y888" s="188" t="b">
        <f t="shared" si="586"/>
        <v>0</v>
      </c>
      <c r="Z888" s="188" t="b">
        <f t="shared" si="586"/>
        <v>0</v>
      </c>
      <c r="AA888" s="188" t="b">
        <f t="shared" si="586"/>
        <v>0</v>
      </c>
      <c r="AB888" s="188" t="b">
        <f t="shared" si="586"/>
        <v>0</v>
      </c>
      <c r="AC888" s="188" t="b">
        <f t="shared" si="586"/>
        <v>0</v>
      </c>
      <c r="AD888" s="188" t="b">
        <f t="shared" si="586"/>
        <v>0</v>
      </c>
      <c r="AE888" s="188" t="b">
        <f t="shared" si="586"/>
        <v>0</v>
      </c>
      <c r="AF888" s="188" t="b">
        <f t="shared" si="586"/>
        <v>0</v>
      </c>
      <c r="AG888" s="188" t="b">
        <f t="shared" si="586"/>
        <v>0</v>
      </c>
    </row>
    <row r="889" spans="1:33" ht="14.25" customHeight="1" x14ac:dyDescent="0.35">
      <c r="A889" s="119">
        <v>9</v>
      </c>
      <c r="B889" s="119" t="s">
        <v>321</v>
      </c>
      <c r="C889" s="119"/>
      <c r="D889" s="119"/>
      <c r="E889" s="119"/>
      <c r="F889" s="119"/>
      <c r="G889" s="119"/>
      <c r="H889" s="119"/>
      <c r="I889" s="120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</row>
    <row r="890" spans="1:33" ht="14.25" hidden="1" customHeight="1" outlineLevel="1" x14ac:dyDescent="0.35">
      <c r="A890" s="21"/>
      <c r="B890" s="21"/>
      <c r="C890" s="21"/>
      <c r="D890" s="21"/>
      <c r="E890" s="21"/>
      <c r="F890" s="21"/>
      <c r="G890" s="21"/>
      <c r="H890" s="21"/>
      <c r="I890" s="22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</row>
    <row r="891" spans="1:33" ht="14.25" hidden="1" customHeight="1" outlineLevel="1" x14ac:dyDescent="0.35">
      <c r="A891" s="21"/>
      <c r="B891" s="21"/>
      <c r="C891" s="21" t="s">
        <v>4243</v>
      </c>
      <c r="D891" s="21"/>
      <c r="E891" s="21"/>
      <c r="F891" s="21"/>
      <c r="G891" s="21"/>
      <c r="H891" s="21"/>
      <c r="I891" s="22"/>
      <c r="J891" s="21"/>
      <c r="K891" s="21"/>
      <c r="L891" s="21"/>
      <c r="M891" s="21"/>
      <c r="N891" s="21"/>
      <c r="O891" s="21"/>
      <c r="P891" s="60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</row>
    <row r="892" spans="1:33" ht="14.25" hidden="1" customHeight="1" outlineLevel="1" x14ac:dyDescent="0.35">
      <c r="A892" s="21"/>
      <c r="B892" s="21"/>
      <c r="C892" s="21"/>
      <c r="D892" s="128" t="s">
        <v>4096</v>
      </c>
      <c r="E892" s="128"/>
      <c r="F892" s="21"/>
      <c r="G892" s="21"/>
      <c r="H892" s="21"/>
      <c r="I892" s="22" t="s">
        <v>3900</v>
      </c>
      <c r="J892" s="172">
        <v>0</v>
      </c>
      <c r="K892" s="172">
        <v>0</v>
      </c>
      <c r="L892" s="172">
        <v>0</v>
      </c>
      <c r="M892" s="172">
        <v>0</v>
      </c>
      <c r="N892" s="172">
        <v>0</v>
      </c>
      <c r="O892" s="172">
        <v>0</v>
      </c>
      <c r="P892" s="172">
        <v>0</v>
      </c>
      <c r="Q892" s="172">
        <v>0</v>
      </c>
      <c r="R892" s="140">
        <v>0</v>
      </c>
      <c r="S892" s="140">
        <v>0</v>
      </c>
      <c r="T892" s="140">
        <v>0</v>
      </c>
      <c r="U892" s="140">
        <v>0</v>
      </c>
      <c r="V892" s="140">
        <v>0</v>
      </c>
      <c r="W892" s="140">
        <v>0</v>
      </c>
      <c r="X892" s="140">
        <v>0</v>
      </c>
      <c r="Y892" s="140">
        <v>0</v>
      </c>
      <c r="Z892" s="140">
        <v>0</v>
      </c>
      <c r="AA892" s="140">
        <v>0</v>
      </c>
      <c r="AB892" s="140">
        <v>0</v>
      </c>
      <c r="AC892" s="140">
        <v>0</v>
      </c>
      <c r="AD892" s="140">
        <v>0</v>
      </c>
      <c r="AE892" s="140">
        <v>0</v>
      </c>
      <c r="AF892" s="140">
        <v>0</v>
      </c>
      <c r="AG892" s="140">
        <v>0</v>
      </c>
    </row>
    <row r="893" spans="1:33" ht="14.25" hidden="1" customHeight="1" outlineLevel="1" x14ac:dyDescent="0.35">
      <c r="A893" s="21"/>
      <c r="B893" s="21"/>
      <c r="C893" s="21"/>
      <c r="D893" s="21"/>
      <c r="E893" s="21"/>
      <c r="F893" s="21"/>
      <c r="G893" s="21"/>
      <c r="H893" s="21"/>
      <c r="I893" s="22"/>
      <c r="J893" s="21"/>
      <c r="K893" s="21"/>
      <c r="L893" s="21"/>
      <c r="M893" s="21"/>
      <c r="N893" s="21"/>
      <c r="O893" s="21"/>
      <c r="P893" s="60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</row>
    <row r="894" spans="1:33" ht="14.25" hidden="1" customHeight="1" outlineLevel="1" x14ac:dyDescent="0.35">
      <c r="A894" s="21"/>
      <c r="B894" s="21"/>
      <c r="C894" s="21"/>
      <c r="D894" s="128" t="s">
        <v>4217</v>
      </c>
      <c r="E894" s="128"/>
      <c r="F894" s="21"/>
      <c r="G894" s="21"/>
      <c r="H894" s="21"/>
      <c r="I894" s="22"/>
      <c r="J894" s="148"/>
      <c r="K894" s="148"/>
      <c r="L894" s="148"/>
      <c r="M894" s="148"/>
      <c r="N894" s="148"/>
      <c r="O894" s="148"/>
      <c r="P894" s="148"/>
      <c r="Q894" s="148"/>
      <c r="R894" s="195"/>
      <c r="S894" s="195"/>
      <c r="T894" s="195"/>
      <c r="U894" s="195"/>
      <c r="V894" s="195"/>
      <c r="W894" s="195"/>
      <c r="X894" s="195"/>
      <c r="Y894" s="195"/>
      <c r="Z894" s="195"/>
      <c r="AA894" s="195"/>
      <c r="AB894" s="195"/>
      <c r="AC894" s="195"/>
      <c r="AD894" s="195"/>
      <c r="AE894" s="195"/>
      <c r="AF894" s="195"/>
      <c r="AG894" s="195"/>
    </row>
    <row r="895" spans="1:33" ht="14.25" hidden="1" customHeight="1" outlineLevel="1" x14ac:dyDescent="0.35">
      <c r="A895" s="21"/>
      <c r="B895" s="21"/>
      <c r="C895" s="21"/>
      <c r="D895" s="128" t="s">
        <v>4244</v>
      </c>
      <c r="E895" s="128"/>
      <c r="F895" s="21"/>
      <c r="G895" s="21"/>
      <c r="H895" s="21"/>
      <c r="I895" s="22" t="s">
        <v>13</v>
      </c>
      <c r="J895" s="142">
        <v>0</v>
      </c>
      <c r="K895" s="142">
        <v>0</v>
      </c>
      <c r="L895" s="142">
        <v>0</v>
      </c>
      <c r="M895" s="142">
        <v>0</v>
      </c>
      <c r="N895" s="142">
        <v>0</v>
      </c>
      <c r="O895" s="142">
        <v>0</v>
      </c>
      <c r="P895" s="142">
        <v>0</v>
      </c>
      <c r="Q895" s="142">
        <v>0</v>
      </c>
      <c r="R895" s="126">
        <v>1</v>
      </c>
      <c r="S895" s="126">
        <v>1</v>
      </c>
      <c r="T895" s="126">
        <v>1</v>
      </c>
      <c r="U895" s="126">
        <v>1</v>
      </c>
      <c r="V895" s="126">
        <v>1</v>
      </c>
      <c r="W895" s="126">
        <v>1</v>
      </c>
      <c r="X895" s="126">
        <v>1</v>
      </c>
      <c r="Y895" s="126">
        <v>1</v>
      </c>
      <c r="Z895" s="126">
        <v>1</v>
      </c>
      <c r="AA895" s="126">
        <v>1</v>
      </c>
      <c r="AB895" s="126">
        <v>1</v>
      </c>
      <c r="AC895" s="126">
        <v>1</v>
      </c>
      <c r="AD895" s="126">
        <v>1</v>
      </c>
      <c r="AE895" s="126">
        <v>1</v>
      </c>
      <c r="AF895" s="126">
        <v>1</v>
      </c>
      <c r="AG895" s="126">
        <v>1</v>
      </c>
    </row>
    <row r="896" spans="1:33" ht="14.25" hidden="1" customHeight="1" outlineLevel="1" x14ac:dyDescent="0.35">
      <c r="A896" s="21"/>
      <c r="B896" s="21"/>
      <c r="C896" s="21"/>
      <c r="D896" s="128" t="s">
        <v>4245</v>
      </c>
      <c r="E896" s="128"/>
      <c r="F896" s="21"/>
      <c r="G896" s="21"/>
      <c r="H896" s="21"/>
      <c r="I896" s="22" t="s">
        <v>13</v>
      </c>
      <c r="J896" s="142">
        <v>0</v>
      </c>
      <c r="K896" s="142">
        <v>0</v>
      </c>
      <c r="L896" s="142">
        <v>0</v>
      </c>
      <c r="M896" s="142">
        <v>0</v>
      </c>
      <c r="N896" s="142">
        <v>0</v>
      </c>
      <c r="O896" s="142">
        <v>0</v>
      </c>
      <c r="P896" s="142">
        <v>0</v>
      </c>
      <c r="Q896" s="142">
        <v>0</v>
      </c>
      <c r="R896" s="126">
        <v>0</v>
      </c>
      <c r="S896" s="126">
        <v>0</v>
      </c>
      <c r="T896" s="126">
        <v>0</v>
      </c>
      <c r="U896" s="126">
        <v>0</v>
      </c>
      <c r="V896" s="126">
        <v>0</v>
      </c>
      <c r="W896" s="126">
        <v>0</v>
      </c>
      <c r="X896" s="126">
        <v>0</v>
      </c>
      <c r="Y896" s="126">
        <v>0</v>
      </c>
      <c r="Z896" s="126">
        <v>0</v>
      </c>
      <c r="AA896" s="126">
        <v>0</v>
      </c>
      <c r="AB896" s="126">
        <v>0</v>
      </c>
      <c r="AC896" s="126">
        <v>0</v>
      </c>
      <c r="AD896" s="126">
        <v>0</v>
      </c>
      <c r="AE896" s="126">
        <v>0</v>
      </c>
      <c r="AF896" s="126">
        <v>0</v>
      </c>
      <c r="AG896" s="126">
        <v>0</v>
      </c>
    </row>
    <row r="897" spans="1:33" ht="14.25" hidden="1" customHeight="1" outlineLevel="1" x14ac:dyDescent="0.35">
      <c r="A897" s="21"/>
      <c r="B897" s="21"/>
      <c r="C897" s="21"/>
      <c r="D897" s="128" t="s">
        <v>4246</v>
      </c>
      <c r="E897" s="128"/>
      <c r="F897" s="21"/>
      <c r="G897" s="21"/>
      <c r="H897" s="21"/>
      <c r="I897" s="22" t="s">
        <v>13</v>
      </c>
      <c r="J897" s="142">
        <v>0</v>
      </c>
      <c r="K897" s="142">
        <v>0</v>
      </c>
      <c r="L897" s="142">
        <v>0</v>
      </c>
      <c r="M897" s="142">
        <v>0</v>
      </c>
      <c r="N897" s="142">
        <v>0</v>
      </c>
      <c r="O897" s="142">
        <v>0</v>
      </c>
      <c r="P897" s="142">
        <v>0</v>
      </c>
      <c r="Q897" s="142">
        <v>0</v>
      </c>
      <c r="R897" s="126">
        <v>0</v>
      </c>
      <c r="S897" s="126">
        <v>0</v>
      </c>
      <c r="T897" s="126">
        <v>0</v>
      </c>
      <c r="U897" s="126">
        <v>0</v>
      </c>
      <c r="V897" s="126">
        <v>0</v>
      </c>
      <c r="W897" s="126">
        <v>0</v>
      </c>
      <c r="X897" s="126">
        <v>0</v>
      </c>
      <c r="Y897" s="126">
        <v>0</v>
      </c>
      <c r="Z897" s="126">
        <v>0</v>
      </c>
      <c r="AA897" s="126">
        <v>0</v>
      </c>
      <c r="AB897" s="126">
        <v>0</v>
      </c>
      <c r="AC897" s="126">
        <v>0</v>
      </c>
      <c r="AD897" s="126">
        <v>0</v>
      </c>
      <c r="AE897" s="126">
        <v>0</v>
      </c>
      <c r="AF897" s="126">
        <v>0</v>
      </c>
      <c r="AG897" s="126">
        <v>0</v>
      </c>
    </row>
    <row r="898" spans="1:33" ht="14.25" hidden="1" customHeight="1" outlineLevel="1" x14ac:dyDescent="0.35">
      <c r="A898" s="21"/>
      <c r="B898" s="21"/>
      <c r="C898" s="21"/>
      <c r="D898" s="128" t="s">
        <v>4247</v>
      </c>
      <c r="E898" s="128"/>
      <c r="F898" s="21"/>
      <c r="G898" s="21"/>
      <c r="H898" s="21"/>
      <c r="I898" s="22" t="s">
        <v>13</v>
      </c>
      <c r="J898" s="170">
        <f t="shared" ref="J898:AG898" si="587">IF(SUM(J895:J897)=0,0,SUM(J895:J897)-1)</f>
        <v>0</v>
      </c>
      <c r="K898" s="170">
        <f t="shared" si="587"/>
        <v>0</v>
      </c>
      <c r="L898" s="170">
        <f t="shared" si="587"/>
        <v>0</v>
      </c>
      <c r="M898" s="170">
        <f t="shared" si="587"/>
        <v>0</v>
      </c>
      <c r="N898" s="170">
        <f t="shared" si="587"/>
        <v>0</v>
      </c>
      <c r="O898" s="170">
        <f t="shared" si="587"/>
        <v>0</v>
      </c>
      <c r="P898" s="170">
        <f t="shared" si="587"/>
        <v>0</v>
      </c>
      <c r="Q898" s="170">
        <f t="shared" si="587"/>
        <v>0</v>
      </c>
      <c r="R898" s="171">
        <f t="shared" si="587"/>
        <v>0</v>
      </c>
      <c r="S898" s="171">
        <f t="shared" si="587"/>
        <v>0</v>
      </c>
      <c r="T898" s="171">
        <f t="shared" si="587"/>
        <v>0</v>
      </c>
      <c r="U898" s="171">
        <f t="shared" si="587"/>
        <v>0</v>
      </c>
      <c r="V898" s="171">
        <f t="shared" si="587"/>
        <v>0</v>
      </c>
      <c r="W898" s="171">
        <f t="shared" si="587"/>
        <v>0</v>
      </c>
      <c r="X898" s="171">
        <f t="shared" si="587"/>
        <v>0</v>
      </c>
      <c r="Y898" s="171">
        <f t="shared" si="587"/>
        <v>0</v>
      </c>
      <c r="Z898" s="171">
        <f t="shared" si="587"/>
        <v>0</v>
      </c>
      <c r="AA898" s="171">
        <f t="shared" si="587"/>
        <v>0</v>
      </c>
      <c r="AB898" s="171">
        <f t="shared" si="587"/>
        <v>0</v>
      </c>
      <c r="AC898" s="171">
        <f t="shared" si="587"/>
        <v>0</v>
      </c>
      <c r="AD898" s="171">
        <f t="shared" si="587"/>
        <v>0</v>
      </c>
      <c r="AE898" s="171">
        <f t="shared" si="587"/>
        <v>0</v>
      </c>
      <c r="AF898" s="171">
        <f t="shared" si="587"/>
        <v>0</v>
      </c>
      <c r="AG898" s="171">
        <f t="shared" si="587"/>
        <v>0</v>
      </c>
    </row>
    <row r="899" spans="1:33" ht="14.25" hidden="1" customHeight="1" outlineLevel="1" x14ac:dyDescent="0.35">
      <c r="A899" s="21"/>
      <c r="B899" s="21"/>
      <c r="C899" s="21"/>
      <c r="D899" s="21"/>
      <c r="E899" s="21"/>
      <c r="F899" s="21"/>
      <c r="G899" s="21"/>
      <c r="H899" s="21"/>
      <c r="I899" s="22"/>
      <c r="J899" s="21"/>
      <c r="K899" s="21"/>
      <c r="L899" s="21"/>
      <c r="M899" s="21"/>
      <c r="N899" s="21"/>
      <c r="O899" s="21"/>
      <c r="P899" s="60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</row>
    <row r="900" spans="1:33" ht="14.25" hidden="1" customHeight="1" outlineLevel="1" x14ac:dyDescent="0.35">
      <c r="A900" s="21"/>
      <c r="B900" s="21"/>
      <c r="C900" s="21"/>
      <c r="D900" s="128" t="s">
        <v>4248</v>
      </c>
      <c r="E900" s="128"/>
      <c r="F900" s="21"/>
      <c r="G900" s="21"/>
      <c r="H900" s="21"/>
      <c r="I900" s="22" t="s">
        <v>3900</v>
      </c>
      <c r="J900" s="132">
        <f t="shared" ref="J900:AG900" si="588">J892*J895</f>
        <v>0</v>
      </c>
      <c r="K900" s="132">
        <f t="shared" si="588"/>
        <v>0</v>
      </c>
      <c r="L900" s="132">
        <f t="shared" si="588"/>
        <v>0</v>
      </c>
      <c r="M900" s="132">
        <f t="shared" si="588"/>
        <v>0</v>
      </c>
      <c r="N900" s="132">
        <f t="shared" si="588"/>
        <v>0</v>
      </c>
      <c r="O900" s="132">
        <f t="shared" si="588"/>
        <v>0</v>
      </c>
      <c r="P900" s="132">
        <f t="shared" si="588"/>
        <v>0</v>
      </c>
      <c r="Q900" s="132">
        <f t="shared" si="588"/>
        <v>0</v>
      </c>
      <c r="R900" s="140">
        <f t="shared" si="588"/>
        <v>0</v>
      </c>
      <c r="S900" s="140">
        <f t="shared" si="588"/>
        <v>0</v>
      </c>
      <c r="T900" s="140">
        <f t="shared" si="588"/>
        <v>0</v>
      </c>
      <c r="U900" s="140">
        <f t="shared" si="588"/>
        <v>0</v>
      </c>
      <c r="V900" s="140">
        <f t="shared" si="588"/>
        <v>0</v>
      </c>
      <c r="W900" s="140">
        <f t="shared" si="588"/>
        <v>0</v>
      </c>
      <c r="X900" s="140">
        <f t="shared" si="588"/>
        <v>0</v>
      </c>
      <c r="Y900" s="140">
        <f t="shared" si="588"/>
        <v>0</v>
      </c>
      <c r="Z900" s="140">
        <f t="shared" si="588"/>
        <v>0</v>
      </c>
      <c r="AA900" s="140">
        <f t="shared" si="588"/>
        <v>0</v>
      </c>
      <c r="AB900" s="140">
        <f t="shared" si="588"/>
        <v>0</v>
      </c>
      <c r="AC900" s="140">
        <f t="shared" si="588"/>
        <v>0</v>
      </c>
      <c r="AD900" s="140">
        <f t="shared" si="588"/>
        <v>0</v>
      </c>
      <c r="AE900" s="140">
        <f t="shared" si="588"/>
        <v>0</v>
      </c>
      <c r="AF900" s="140">
        <f t="shared" si="588"/>
        <v>0</v>
      </c>
      <c r="AG900" s="140">
        <f t="shared" si="588"/>
        <v>0</v>
      </c>
    </row>
    <row r="901" spans="1:33" ht="14.25" hidden="1" customHeight="1" outlineLevel="1" x14ac:dyDescent="0.35">
      <c r="A901" s="21"/>
      <c r="B901" s="21"/>
      <c r="C901" s="21"/>
      <c r="D901" s="128" t="s">
        <v>4249</v>
      </c>
      <c r="E901" s="128"/>
      <c r="F901" s="21"/>
      <c r="G901" s="21"/>
      <c r="H901" s="21"/>
      <c r="I901" s="22" t="s">
        <v>3900</v>
      </c>
      <c r="J901" s="132">
        <f t="shared" ref="J901:AG901" si="589">J892*J896</f>
        <v>0</v>
      </c>
      <c r="K901" s="132">
        <f t="shared" si="589"/>
        <v>0</v>
      </c>
      <c r="L901" s="132">
        <f t="shared" si="589"/>
        <v>0</v>
      </c>
      <c r="M901" s="132">
        <f t="shared" si="589"/>
        <v>0</v>
      </c>
      <c r="N901" s="132">
        <f t="shared" si="589"/>
        <v>0</v>
      </c>
      <c r="O901" s="132">
        <f t="shared" si="589"/>
        <v>0</v>
      </c>
      <c r="P901" s="132">
        <f t="shared" si="589"/>
        <v>0</v>
      </c>
      <c r="Q901" s="132">
        <f t="shared" si="589"/>
        <v>0</v>
      </c>
      <c r="R901" s="140">
        <f t="shared" si="589"/>
        <v>0</v>
      </c>
      <c r="S901" s="140">
        <f t="shared" si="589"/>
        <v>0</v>
      </c>
      <c r="T901" s="140">
        <f t="shared" si="589"/>
        <v>0</v>
      </c>
      <c r="U901" s="140">
        <f t="shared" si="589"/>
        <v>0</v>
      </c>
      <c r="V901" s="140">
        <f t="shared" si="589"/>
        <v>0</v>
      </c>
      <c r="W901" s="140">
        <f t="shared" si="589"/>
        <v>0</v>
      </c>
      <c r="X901" s="140">
        <f t="shared" si="589"/>
        <v>0</v>
      </c>
      <c r="Y901" s="140">
        <f t="shared" si="589"/>
        <v>0</v>
      </c>
      <c r="Z901" s="140">
        <f t="shared" si="589"/>
        <v>0</v>
      </c>
      <c r="AA901" s="140">
        <f t="shared" si="589"/>
        <v>0</v>
      </c>
      <c r="AB901" s="140">
        <f t="shared" si="589"/>
        <v>0</v>
      </c>
      <c r="AC901" s="140">
        <f t="shared" si="589"/>
        <v>0</v>
      </c>
      <c r="AD901" s="140">
        <f t="shared" si="589"/>
        <v>0</v>
      </c>
      <c r="AE901" s="140">
        <f t="shared" si="589"/>
        <v>0</v>
      </c>
      <c r="AF901" s="140">
        <f t="shared" si="589"/>
        <v>0</v>
      </c>
      <c r="AG901" s="140">
        <f t="shared" si="589"/>
        <v>0</v>
      </c>
    </row>
    <row r="902" spans="1:33" ht="14.25" hidden="1" customHeight="1" outlineLevel="1" x14ac:dyDescent="0.35">
      <c r="A902" s="21"/>
      <c r="B902" s="21"/>
      <c r="C902" s="21"/>
      <c r="D902" s="128" t="s">
        <v>4250</v>
      </c>
      <c r="E902" s="128"/>
      <c r="F902" s="21"/>
      <c r="G902" s="21"/>
      <c r="H902" s="21"/>
      <c r="I902" s="22" t="s">
        <v>3900</v>
      </c>
      <c r="J902" s="132">
        <f t="shared" ref="J902:AG902" si="590">J892*J897</f>
        <v>0</v>
      </c>
      <c r="K902" s="132">
        <f t="shared" si="590"/>
        <v>0</v>
      </c>
      <c r="L902" s="132">
        <f t="shared" si="590"/>
        <v>0</v>
      </c>
      <c r="M902" s="132">
        <f t="shared" si="590"/>
        <v>0</v>
      </c>
      <c r="N902" s="132">
        <f t="shared" si="590"/>
        <v>0</v>
      </c>
      <c r="O902" s="132">
        <f t="shared" si="590"/>
        <v>0</v>
      </c>
      <c r="P902" s="132">
        <f t="shared" si="590"/>
        <v>0</v>
      </c>
      <c r="Q902" s="132">
        <f t="shared" si="590"/>
        <v>0</v>
      </c>
      <c r="R902" s="140">
        <f t="shared" si="590"/>
        <v>0</v>
      </c>
      <c r="S902" s="140">
        <f t="shared" si="590"/>
        <v>0</v>
      </c>
      <c r="T902" s="140">
        <f t="shared" si="590"/>
        <v>0</v>
      </c>
      <c r="U902" s="140">
        <f t="shared" si="590"/>
        <v>0</v>
      </c>
      <c r="V902" s="140">
        <f t="shared" si="590"/>
        <v>0</v>
      </c>
      <c r="W902" s="140">
        <f t="shared" si="590"/>
        <v>0</v>
      </c>
      <c r="X902" s="140">
        <f t="shared" si="590"/>
        <v>0</v>
      </c>
      <c r="Y902" s="140">
        <f t="shared" si="590"/>
        <v>0</v>
      </c>
      <c r="Z902" s="140">
        <f t="shared" si="590"/>
        <v>0</v>
      </c>
      <c r="AA902" s="140">
        <f t="shared" si="590"/>
        <v>0</v>
      </c>
      <c r="AB902" s="140">
        <f t="shared" si="590"/>
        <v>0</v>
      </c>
      <c r="AC902" s="140">
        <f t="shared" si="590"/>
        <v>0</v>
      </c>
      <c r="AD902" s="140">
        <f t="shared" si="590"/>
        <v>0</v>
      </c>
      <c r="AE902" s="140">
        <f t="shared" si="590"/>
        <v>0</v>
      </c>
      <c r="AF902" s="140">
        <f t="shared" si="590"/>
        <v>0</v>
      </c>
      <c r="AG902" s="140">
        <f t="shared" si="590"/>
        <v>0</v>
      </c>
    </row>
    <row r="903" spans="1:33" ht="14.25" hidden="1" customHeight="1" outlineLevel="1" x14ac:dyDescent="0.35">
      <c r="A903" s="21"/>
      <c r="B903" s="21"/>
      <c r="C903" s="21"/>
      <c r="D903" s="128" t="s">
        <v>4251</v>
      </c>
      <c r="E903" s="128"/>
      <c r="F903" s="21"/>
      <c r="G903" s="21"/>
      <c r="H903" s="21"/>
      <c r="I903" s="22" t="s">
        <v>3900</v>
      </c>
      <c r="J903" s="132">
        <f t="shared" ref="J903:AG903" si="591">IF(SUM(J895:J897)=0,0,SUM(J900:J902)-J892)</f>
        <v>0</v>
      </c>
      <c r="K903" s="132">
        <f t="shared" si="591"/>
        <v>0</v>
      </c>
      <c r="L903" s="132">
        <f t="shared" si="591"/>
        <v>0</v>
      </c>
      <c r="M903" s="132">
        <f t="shared" si="591"/>
        <v>0</v>
      </c>
      <c r="N903" s="132">
        <f t="shared" si="591"/>
        <v>0</v>
      </c>
      <c r="O903" s="132">
        <f t="shared" si="591"/>
        <v>0</v>
      </c>
      <c r="P903" s="132">
        <f t="shared" si="591"/>
        <v>0</v>
      </c>
      <c r="Q903" s="132">
        <f t="shared" si="591"/>
        <v>0</v>
      </c>
      <c r="R903" s="140">
        <f t="shared" si="591"/>
        <v>0</v>
      </c>
      <c r="S903" s="140">
        <f t="shared" si="591"/>
        <v>0</v>
      </c>
      <c r="T903" s="140">
        <f t="shared" si="591"/>
        <v>0</v>
      </c>
      <c r="U903" s="140">
        <f t="shared" si="591"/>
        <v>0</v>
      </c>
      <c r="V903" s="140">
        <f t="shared" si="591"/>
        <v>0</v>
      </c>
      <c r="W903" s="140">
        <f t="shared" si="591"/>
        <v>0</v>
      </c>
      <c r="X903" s="140">
        <f t="shared" si="591"/>
        <v>0</v>
      </c>
      <c r="Y903" s="140">
        <f t="shared" si="591"/>
        <v>0</v>
      </c>
      <c r="Z903" s="140">
        <f t="shared" si="591"/>
        <v>0</v>
      </c>
      <c r="AA903" s="140">
        <f t="shared" si="591"/>
        <v>0</v>
      </c>
      <c r="AB903" s="140">
        <f t="shared" si="591"/>
        <v>0</v>
      </c>
      <c r="AC903" s="140">
        <f t="shared" si="591"/>
        <v>0</v>
      </c>
      <c r="AD903" s="140">
        <f t="shared" si="591"/>
        <v>0</v>
      </c>
      <c r="AE903" s="140">
        <f t="shared" si="591"/>
        <v>0</v>
      </c>
      <c r="AF903" s="140">
        <f t="shared" si="591"/>
        <v>0</v>
      </c>
      <c r="AG903" s="140">
        <f t="shared" si="591"/>
        <v>0</v>
      </c>
    </row>
    <row r="904" spans="1:33" ht="14.25" hidden="1" customHeight="1" outlineLevel="1" x14ac:dyDescent="0.35">
      <c r="A904" s="21"/>
      <c r="B904" s="21"/>
      <c r="C904" s="21"/>
      <c r="D904" s="21"/>
      <c r="E904" s="21"/>
      <c r="F904" s="21"/>
      <c r="G904" s="21"/>
      <c r="H904" s="21"/>
      <c r="I904" s="22"/>
      <c r="J904" s="21"/>
      <c r="K904" s="21"/>
      <c r="L904" s="21"/>
      <c r="M904" s="21"/>
      <c r="N904" s="21"/>
      <c r="O904" s="21"/>
      <c r="P904" s="60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</row>
    <row r="905" spans="1:33" ht="14.25" hidden="1" customHeight="1" outlineLevel="1" x14ac:dyDescent="0.35">
      <c r="A905" s="21"/>
      <c r="B905" s="21"/>
      <c r="C905" s="21"/>
      <c r="D905" s="196" t="s">
        <v>4252</v>
      </c>
      <c r="E905" s="196"/>
      <c r="F905" s="21"/>
      <c r="G905" s="21"/>
      <c r="H905" s="21"/>
      <c r="I905" s="22" t="s">
        <v>3915</v>
      </c>
      <c r="J905" s="197">
        <v>0</v>
      </c>
      <c r="K905" s="197">
        <v>0</v>
      </c>
      <c r="L905" s="197">
        <v>0</v>
      </c>
      <c r="M905" s="197">
        <v>0</v>
      </c>
      <c r="N905" s="197">
        <v>0</v>
      </c>
      <c r="O905" s="197">
        <v>0</v>
      </c>
      <c r="P905" s="197">
        <v>0</v>
      </c>
      <c r="Q905" s="197">
        <v>0</v>
      </c>
      <c r="R905" s="140">
        <v>0</v>
      </c>
      <c r="S905" s="140">
        <v>0</v>
      </c>
      <c r="T905" s="140">
        <v>0</v>
      </c>
      <c r="U905" s="140">
        <v>0</v>
      </c>
      <c r="V905" s="140">
        <v>0</v>
      </c>
      <c r="W905" s="140">
        <v>0</v>
      </c>
      <c r="X905" s="140">
        <v>0</v>
      </c>
      <c r="Y905" s="140">
        <v>0</v>
      </c>
      <c r="Z905" s="140">
        <v>0</v>
      </c>
      <c r="AA905" s="140">
        <v>0</v>
      </c>
      <c r="AB905" s="140">
        <v>0</v>
      </c>
      <c r="AC905" s="140">
        <v>0</v>
      </c>
      <c r="AD905" s="140">
        <v>0</v>
      </c>
      <c r="AE905" s="140">
        <v>0</v>
      </c>
      <c r="AF905" s="140">
        <v>0</v>
      </c>
      <c r="AG905" s="140">
        <v>0</v>
      </c>
    </row>
    <row r="906" spans="1:33" ht="14.25" hidden="1" customHeight="1" outlineLevel="1" x14ac:dyDescent="0.35">
      <c r="A906" s="21"/>
      <c r="B906" s="21"/>
      <c r="C906" s="21"/>
      <c r="D906" s="196" t="s">
        <v>4253</v>
      </c>
      <c r="E906" s="196"/>
      <c r="F906" s="21"/>
      <c r="G906" s="21"/>
      <c r="H906" s="21"/>
      <c r="I906" s="22" t="s">
        <v>3915</v>
      </c>
      <c r="J906" s="197">
        <v>0</v>
      </c>
      <c r="K906" s="197">
        <v>0</v>
      </c>
      <c r="L906" s="197">
        <v>0</v>
      </c>
      <c r="M906" s="197">
        <v>0</v>
      </c>
      <c r="N906" s="197">
        <v>0</v>
      </c>
      <c r="O906" s="197">
        <v>0</v>
      </c>
      <c r="P906" s="197">
        <v>0</v>
      </c>
      <c r="Q906" s="197">
        <v>0</v>
      </c>
      <c r="R906" s="140">
        <f>'Input Operasional'!Q25</f>
        <v>0</v>
      </c>
      <c r="S906" s="140">
        <f>'Input Operasional'!R25</f>
        <v>0</v>
      </c>
      <c r="T906" s="140">
        <f>'Input Operasional'!S25</f>
        <v>0</v>
      </c>
      <c r="U906" s="140">
        <f>'Input Operasional'!T25</f>
        <v>0</v>
      </c>
      <c r="V906" s="140">
        <f>'Input Operasional'!U25</f>
        <v>0</v>
      </c>
      <c r="W906" s="140">
        <f>'Input Operasional'!V25</f>
        <v>0</v>
      </c>
      <c r="X906" s="140">
        <f>'Input Operasional'!W25</f>
        <v>0</v>
      </c>
      <c r="Y906" s="140">
        <f>'Input Operasional'!X25</f>
        <v>0</v>
      </c>
      <c r="Z906" s="140">
        <f>'Input Operasional'!Y25</f>
        <v>0</v>
      </c>
      <c r="AA906" s="140">
        <f>'Input Operasional'!Z25</f>
        <v>0</v>
      </c>
      <c r="AB906" s="140">
        <f>'Input Operasional'!AA25</f>
        <v>0</v>
      </c>
      <c r="AC906" s="140">
        <f>'Input Operasional'!AB25</f>
        <v>0</v>
      </c>
      <c r="AD906" s="140">
        <f>'Input Operasional'!AC25</f>
        <v>0</v>
      </c>
      <c r="AE906" s="140">
        <f>'Input Operasional'!AD25</f>
        <v>0</v>
      </c>
      <c r="AF906" s="140">
        <f>'Input Operasional'!AE25</f>
        <v>0</v>
      </c>
      <c r="AG906" s="140">
        <f>'Input Operasional'!AF25</f>
        <v>0</v>
      </c>
    </row>
    <row r="907" spans="1:33" ht="14.25" hidden="1" customHeight="1" outlineLevel="1" x14ac:dyDescent="0.35">
      <c r="A907" s="21"/>
      <c r="B907" s="21"/>
      <c r="C907" s="21"/>
      <c r="D907" s="196" t="s">
        <v>4254</v>
      </c>
      <c r="E907" s="196"/>
      <c r="F907" s="21"/>
      <c r="G907" s="21"/>
      <c r="H907" s="21"/>
      <c r="I907" s="22" t="s">
        <v>3915</v>
      </c>
      <c r="J907" s="197">
        <v>0</v>
      </c>
      <c r="K907" s="197">
        <v>0</v>
      </c>
      <c r="L907" s="197">
        <v>0</v>
      </c>
      <c r="M907" s="197">
        <v>0</v>
      </c>
      <c r="N907" s="197">
        <v>0</v>
      </c>
      <c r="O907" s="197">
        <v>0</v>
      </c>
      <c r="P907" s="197">
        <v>0</v>
      </c>
      <c r="Q907" s="197">
        <v>0</v>
      </c>
      <c r="R907" s="140">
        <f>'Input Operasional'!Q29</f>
        <v>0</v>
      </c>
      <c r="S907" s="140">
        <f>'Input Operasional'!R29</f>
        <v>0</v>
      </c>
      <c r="T907" s="140">
        <f>'Input Operasional'!S29</f>
        <v>0</v>
      </c>
      <c r="U907" s="140">
        <f>'Input Operasional'!T29</f>
        <v>0</v>
      </c>
      <c r="V907" s="140">
        <f>'Input Operasional'!U29</f>
        <v>0</v>
      </c>
      <c r="W907" s="140">
        <f>'Input Operasional'!V29</f>
        <v>0</v>
      </c>
      <c r="X907" s="140">
        <f>'Input Operasional'!W29</f>
        <v>0</v>
      </c>
      <c r="Y907" s="140">
        <f>'Input Operasional'!X29</f>
        <v>0</v>
      </c>
      <c r="Z907" s="140">
        <f>'Input Operasional'!Y29</f>
        <v>0</v>
      </c>
      <c r="AA907" s="140">
        <f>'Input Operasional'!Z29</f>
        <v>0</v>
      </c>
      <c r="AB907" s="140">
        <f>'Input Operasional'!AA29</f>
        <v>0</v>
      </c>
      <c r="AC907" s="140">
        <f>'Input Operasional'!AB29</f>
        <v>0</v>
      </c>
      <c r="AD907" s="140">
        <f>'Input Operasional'!AC29</f>
        <v>0</v>
      </c>
      <c r="AE907" s="140">
        <f>'Input Operasional'!AD29</f>
        <v>0</v>
      </c>
      <c r="AF907" s="140">
        <f>'Input Operasional'!AE29</f>
        <v>0</v>
      </c>
      <c r="AG907" s="140">
        <f>'Input Operasional'!AF29</f>
        <v>0</v>
      </c>
    </row>
    <row r="908" spans="1:33" ht="14.25" hidden="1" customHeight="1" outlineLevel="1" x14ac:dyDescent="0.35">
      <c r="A908" s="21"/>
      <c r="B908" s="21"/>
      <c r="C908" s="21"/>
      <c r="D908" s="128" t="s">
        <v>4255</v>
      </c>
      <c r="E908" s="128"/>
      <c r="F908" s="21"/>
      <c r="G908" s="21"/>
      <c r="H908" s="21"/>
      <c r="I908" s="22" t="s">
        <v>3921</v>
      </c>
      <c r="J908" s="148">
        <f t="shared" ref="J908:Q910" si="592">J900*J905</f>
        <v>0</v>
      </c>
      <c r="K908" s="148">
        <f t="shared" si="592"/>
        <v>0</v>
      </c>
      <c r="L908" s="148">
        <f t="shared" si="592"/>
        <v>0</v>
      </c>
      <c r="M908" s="148">
        <f t="shared" si="592"/>
        <v>0</v>
      </c>
      <c r="N908" s="148">
        <f t="shared" si="592"/>
        <v>0</v>
      </c>
      <c r="O908" s="148">
        <f t="shared" si="592"/>
        <v>0</v>
      </c>
      <c r="P908" s="148">
        <f t="shared" si="592"/>
        <v>0</v>
      </c>
      <c r="Q908" s="148">
        <f t="shared" si="592"/>
        <v>0</v>
      </c>
      <c r="R908" s="149">
        <f t="shared" ref="R908:AG908" si="593">R1121*R905</f>
        <v>0</v>
      </c>
      <c r="S908" s="149">
        <f t="shared" si="593"/>
        <v>0</v>
      </c>
      <c r="T908" s="149">
        <f t="shared" si="593"/>
        <v>0</v>
      </c>
      <c r="U908" s="149">
        <f t="shared" si="593"/>
        <v>0</v>
      </c>
      <c r="V908" s="149">
        <f t="shared" si="593"/>
        <v>0</v>
      </c>
      <c r="W908" s="149">
        <f t="shared" si="593"/>
        <v>0</v>
      </c>
      <c r="X908" s="149">
        <f t="shared" si="593"/>
        <v>0</v>
      </c>
      <c r="Y908" s="149">
        <f t="shared" si="593"/>
        <v>0</v>
      </c>
      <c r="Z908" s="149">
        <f t="shared" si="593"/>
        <v>0</v>
      </c>
      <c r="AA908" s="149">
        <f t="shared" si="593"/>
        <v>0</v>
      </c>
      <c r="AB908" s="149">
        <f t="shared" si="593"/>
        <v>0</v>
      </c>
      <c r="AC908" s="149">
        <f t="shared" si="593"/>
        <v>0</v>
      </c>
      <c r="AD908" s="149">
        <f t="shared" si="593"/>
        <v>0</v>
      </c>
      <c r="AE908" s="149">
        <f t="shared" si="593"/>
        <v>0</v>
      </c>
      <c r="AF908" s="149">
        <f t="shared" si="593"/>
        <v>0</v>
      </c>
      <c r="AG908" s="149">
        <f t="shared" si="593"/>
        <v>0</v>
      </c>
    </row>
    <row r="909" spans="1:33" ht="14.25" hidden="1" customHeight="1" outlineLevel="1" x14ac:dyDescent="0.35">
      <c r="A909" s="21"/>
      <c r="B909" s="21"/>
      <c r="C909" s="21"/>
      <c r="D909" s="128" t="s">
        <v>4256</v>
      </c>
      <c r="E909" s="128"/>
      <c r="F909" s="21"/>
      <c r="G909" s="21"/>
      <c r="H909" s="21"/>
      <c r="I909" s="22" t="s">
        <v>3921</v>
      </c>
      <c r="J909" s="148">
        <f t="shared" si="592"/>
        <v>0</v>
      </c>
      <c r="K909" s="148">
        <f t="shared" si="592"/>
        <v>0</v>
      </c>
      <c r="L909" s="148">
        <f t="shared" si="592"/>
        <v>0</v>
      </c>
      <c r="M909" s="148">
        <f t="shared" si="592"/>
        <v>0</v>
      </c>
      <c r="N909" s="148">
        <f t="shared" si="592"/>
        <v>0</v>
      </c>
      <c r="O909" s="148">
        <f t="shared" si="592"/>
        <v>0</v>
      </c>
      <c r="P909" s="148">
        <f t="shared" si="592"/>
        <v>0</v>
      </c>
      <c r="Q909" s="148">
        <f t="shared" si="592"/>
        <v>0</v>
      </c>
      <c r="R909" s="149">
        <f>IF('Input Operasional'!Q150=1,R901*R906,NA())</f>
        <v>0</v>
      </c>
      <c r="S909" s="149">
        <f>IF('Input Operasional'!R150=1,S901*S906,NA())</f>
        <v>0</v>
      </c>
      <c r="T909" s="149">
        <f>IF('Input Operasional'!S150=1,T901*T906,NA())</f>
        <v>0</v>
      </c>
      <c r="U909" s="149">
        <f>IF('Input Operasional'!T150=1,U901*U906,NA())</f>
        <v>0</v>
      </c>
      <c r="V909" s="149">
        <f>IF('Input Operasional'!U150=1,V901*V906,NA())</f>
        <v>0</v>
      </c>
      <c r="W909" s="149">
        <f>IF('Input Operasional'!V150=1,W901*W906,NA())</f>
        <v>0</v>
      </c>
      <c r="X909" s="149">
        <f>IF('Input Operasional'!W150=1,X901*X906,NA())</f>
        <v>0</v>
      </c>
      <c r="Y909" s="149">
        <f>IF('Input Operasional'!X150=1,Y901*Y906,NA())</f>
        <v>0</v>
      </c>
      <c r="Z909" s="149">
        <f>IF('Input Operasional'!Y150=1,Z901*Z906,NA())</f>
        <v>0</v>
      </c>
      <c r="AA909" s="149">
        <f>IF('Input Operasional'!Z150=1,AA901*AA906,NA())</f>
        <v>0</v>
      </c>
      <c r="AB909" s="149">
        <f>IF('Input Operasional'!AA150=1,AB901*AB906,NA())</f>
        <v>0</v>
      </c>
      <c r="AC909" s="149">
        <f>IF('Input Operasional'!AB150=1,AC901*AC906,NA())</f>
        <v>0</v>
      </c>
      <c r="AD909" s="149">
        <f>IF('Input Operasional'!AC150=1,AD901*AD906,NA())</f>
        <v>0</v>
      </c>
      <c r="AE909" s="149">
        <f>IF('Input Operasional'!AD150=1,AE901*AE906,NA())</f>
        <v>0</v>
      </c>
      <c r="AF909" s="149">
        <f>IF('Input Operasional'!AE150=1,AF901*AF906,NA())</f>
        <v>0</v>
      </c>
      <c r="AG909" s="149">
        <f>IF('Input Operasional'!AF150=1,AG901*AG906,NA())</f>
        <v>0</v>
      </c>
    </row>
    <row r="910" spans="1:33" ht="14.25" hidden="1" customHeight="1" outlineLevel="1" x14ac:dyDescent="0.35">
      <c r="A910" s="21"/>
      <c r="B910" s="21"/>
      <c r="C910" s="21"/>
      <c r="D910" s="128" t="s">
        <v>4257</v>
      </c>
      <c r="E910" s="128"/>
      <c r="F910" s="21"/>
      <c r="G910" s="21"/>
      <c r="H910" s="21"/>
      <c r="I910" s="22" t="s">
        <v>3921</v>
      </c>
      <c r="J910" s="148">
        <f t="shared" si="592"/>
        <v>0</v>
      </c>
      <c r="K910" s="148">
        <f t="shared" si="592"/>
        <v>0</v>
      </c>
      <c r="L910" s="148">
        <f t="shared" si="592"/>
        <v>0</v>
      </c>
      <c r="M910" s="148">
        <f t="shared" si="592"/>
        <v>0</v>
      </c>
      <c r="N910" s="148">
        <f t="shared" si="592"/>
        <v>0</v>
      </c>
      <c r="O910" s="148">
        <f t="shared" si="592"/>
        <v>0</v>
      </c>
      <c r="P910" s="148">
        <f t="shared" si="592"/>
        <v>0</v>
      </c>
      <c r="Q910" s="148">
        <f t="shared" si="592"/>
        <v>0</v>
      </c>
      <c r="R910" s="149">
        <f>IF('Input Operasional'!Q154=1,R902*R907,NA())</f>
        <v>0</v>
      </c>
      <c r="S910" s="149">
        <f>IF('Input Operasional'!R154=1,S902*S907,NA())</f>
        <v>0</v>
      </c>
      <c r="T910" s="149">
        <f>IF('Input Operasional'!S154=1,T902*T907,NA())</f>
        <v>0</v>
      </c>
      <c r="U910" s="149">
        <f>IF('Input Operasional'!T154=1,U902*U907,NA())</f>
        <v>0</v>
      </c>
      <c r="V910" s="149">
        <f>IF('Input Operasional'!U154=1,V902*V907,NA())</f>
        <v>0</v>
      </c>
      <c r="W910" s="149">
        <f>IF('Input Operasional'!V154=1,W902*W907,NA())</f>
        <v>0</v>
      </c>
      <c r="X910" s="149">
        <f>IF('Input Operasional'!W154=1,X902*X907,NA())</f>
        <v>0</v>
      </c>
      <c r="Y910" s="149">
        <f>IF('Input Operasional'!X154=1,Y902*Y907,NA())</f>
        <v>0</v>
      </c>
      <c r="Z910" s="149">
        <f>IF('Input Operasional'!Y154=1,Z902*Z907,NA())</f>
        <v>0</v>
      </c>
      <c r="AA910" s="149">
        <f>IF('Input Operasional'!Z154=1,AA902*AA907,NA())</f>
        <v>0</v>
      </c>
      <c r="AB910" s="149">
        <f>IF('Input Operasional'!AA154=1,AB902*AB907,NA())</f>
        <v>0</v>
      </c>
      <c r="AC910" s="149">
        <f>IF('Input Operasional'!AB154=1,AC902*AC907,NA())</f>
        <v>0</v>
      </c>
      <c r="AD910" s="149">
        <f>IF('Input Operasional'!AC154=1,AD902*AD907,NA())</f>
        <v>0</v>
      </c>
      <c r="AE910" s="149">
        <f>IF('Input Operasional'!AD154=1,AE902*AE907,NA())</f>
        <v>0</v>
      </c>
      <c r="AF910" s="149">
        <f>IF('Input Operasional'!AE154=1,AF902*AF907,NA())</f>
        <v>0</v>
      </c>
      <c r="AG910" s="149">
        <f>IF('Input Operasional'!AF154=1,AG902*AG907,NA())</f>
        <v>0</v>
      </c>
    </row>
    <row r="911" spans="1:33" ht="14.25" hidden="1" customHeight="1" outlineLevel="1" x14ac:dyDescent="0.35">
      <c r="A911" s="21"/>
      <c r="B911" s="21"/>
      <c r="C911" s="21" t="s">
        <v>4258</v>
      </c>
      <c r="D911" s="21"/>
      <c r="E911" s="21"/>
      <c r="F911" s="21"/>
      <c r="G911" s="21"/>
      <c r="H911" s="21"/>
      <c r="I911" s="22" t="s">
        <v>3921</v>
      </c>
      <c r="J911" s="60">
        <f t="shared" ref="J911:AG911" si="594">SUM(J908:J910)</f>
        <v>0</v>
      </c>
      <c r="K911" s="60">
        <f t="shared" si="594"/>
        <v>0</v>
      </c>
      <c r="L911" s="60">
        <f t="shared" si="594"/>
        <v>0</v>
      </c>
      <c r="M911" s="60">
        <f t="shared" si="594"/>
        <v>0</v>
      </c>
      <c r="N911" s="60">
        <f t="shared" si="594"/>
        <v>0</v>
      </c>
      <c r="O911" s="60">
        <f t="shared" si="594"/>
        <v>0</v>
      </c>
      <c r="P911" s="60">
        <f t="shared" si="594"/>
        <v>0</v>
      </c>
      <c r="Q911" s="60">
        <f t="shared" si="594"/>
        <v>0</v>
      </c>
      <c r="R911" s="190">
        <f t="shared" si="594"/>
        <v>0</v>
      </c>
      <c r="S911" s="190">
        <f t="shared" si="594"/>
        <v>0</v>
      </c>
      <c r="T911" s="190">
        <f t="shared" si="594"/>
        <v>0</v>
      </c>
      <c r="U911" s="190">
        <f t="shared" si="594"/>
        <v>0</v>
      </c>
      <c r="V911" s="190">
        <f t="shared" si="594"/>
        <v>0</v>
      </c>
      <c r="W911" s="190">
        <f t="shared" si="594"/>
        <v>0</v>
      </c>
      <c r="X911" s="190">
        <f t="shared" si="594"/>
        <v>0</v>
      </c>
      <c r="Y911" s="190">
        <f t="shared" si="594"/>
        <v>0</v>
      </c>
      <c r="Z911" s="190">
        <f t="shared" si="594"/>
        <v>0</v>
      </c>
      <c r="AA911" s="190">
        <f t="shared" si="594"/>
        <v>0</v>
      </c>
      <c r="AB911" s="190">
        <f t="shared" si="594"/>
        <v>0</v>
      </c>
      <c r="AC911" s="190">
        <f t="shared" si="594"/>
        <v>0</v>
      </c>
      <c r="AD911" s="190">
        <f t="shared" si="594"/>
        <v>0</v>
      </c>
      <c r="AE911" s="190">
        <f t="shared" si="594"/>
        <v>0</v>
      </c>
      <c r="AF911" s="190">
        <f t="shared" si="594"/>
        <v>0</v>
      </c>
      <c r="AG911" s="190">
        <f t="shared" si="594"/>
        <v>0</v>
      </c>
    </row>
    <row r="912" spans="1:33" ht="14.25" hidden="1" customHeight="1" outlineLevel="1" x14ac:dyDescent="0.35">
      <c r="A912" s="21"/>
      <c r="B912" s="21"/>
      <c r="C912" s="21"/>
      <c r="D912" s="21"/>
      <c r="E912" s="21"/>
      <c r="F912" s="21"/>
      <c r="G912" s="21"/>
      <c r="H912" s="21"/>
      <c r="I912" s="22"/>
      <c r="J912" s="21"/>
      <c r="K912" s="21"/>
      <c r="L912" s="21"/>
      <c r="M912" s="21"/>
      <c r="N912" s="21"/>
      <c r="O912" s="21"/>
      <c r="P912" s="60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</row>
    <row r="913" spans="1:33" ht="14.25" hidden="1" customHeight="1" outlineLevel="1" x14ac:dyDescent="0.35">
      <c r="A913" s="21"/>
      <c r="B913" s="21"/>
      <c r="C913" s="21"/>
      <c r="D913" s="128" t="s">
        <v>4259</v>
      </c>
      <c r="E913" s="128"/>
      <c r="F913" s="21"/>
      <c r="G913" s="21"/>
      <c r="H913" s="21"/>
      <c r="I913" s="22" t="s">
        <v>13</v>
      </c>
      <c r="J913" s="142">
        <v>0</v>
      </c>
      <c r="K913" s="142">
        <v>0</v>
      </c>
      <c r="L913" s="142">
        <v>0</v>
      </c>
      <c r="M913" s="142">
        <v>0</v>
      </c>
      <c r="N913" s="142">
        <v>0</v>
      </c>
      <c r="O913" s="142">
        <v>0</v>
      </c>
      <c r="P913" s="142">
        <v>0</v>
      </c>
      <c r="Q913" s="142">
        <v>0</v>
      </c>
      <c r="R913" s="126">
        <v>0</v>
      </c>
      <c r="S913" s="126">
        <v>0</v>
      </c>
      <c r="T913" s="126">
        <v>0</v>
      </c>
      <c r="U913" s="126">
        <v>0</v>
      </c>
      <c r="V913" s="126">
        <v>0</v>
      </c>
      <c r="W913" s="126">
        <v>0</v>
      </c>
      <c r="X913" s="126">
        <v>0</v>
      </c>
      <c r="Y913" s="126">
        <v>0</v>
      </c>
      <c r="Z913" s="126">
        <v>0</v>
      </c>
      <c r="AA913" s="126">
        <v>0</v>
      </c>
      <c r="AB913" s="126">
        <v>0</v>
      </c>
      <c r="AC913" s="126">
        <v>0</v>
      </c>
      <c r="AD913" s="126">
        <v>0</v>
      </c>
      <c r="AE913" s="126">
        <v>0</v>
      </c>
      <c r="AF913" s="126">
        <v>0</v>
      </c>
      <c r="AG913" s="126">
        <v>0</v>
      </c>
    </row>
    <row r="914" spans="1:33" ht="14.25" hidden="1" customHeight="1" outlineLevel="1" x14ac:dyDescent="0.35">
      <c r="A914" s="21"/>
      <c r="B914" s="21"/>
      <c r="C914" s="21" t="s">
        <v>4260</v>
      </c>
      <c r="D914" s="21"/>
      <c r="E914" s="21"/>
      <c r="F914" s="21"/>
      <c r="G914" s="21"/>
      <c r="H914" s="21"/>
      <c r="I914" s="22" t="s">
        <v>3900</v>
      </c>
      <c r="J914" s="31">
        <f t="shared" ref="J914:AG914" si="595">IF(J913=0,0,J892/J913)</f>
        <v>0</v>
      </c>
      <c r="K914" s="31">
        <f t="shared" si="595"/>
        <v>0</v>
      </c>
      <c r="L914" s="31">
        <f t="shared" si="595"/>
        <v>0</v>
      </c>
      <c r="M914" s="31">
        <f t="shared" si="595"/>
        <v>0</v>
      </c>
      <c r="N914" s="31">
        <f t="shared" si="595"/>
        <v>0</v>
      </c>
      <c r="O914" s="31">
        <f t="shared" si="595"/>
        <v>0</v>
      </c>
      <c r="P914" s="31">
        <f t="shared" si="595"/>
        <v>0</v>
      </c>
      <c r="Q914" s="31">
        <f t="shared" si="595"/>
        <v>0</v>
      </c>
      <c r="R914" s="147">
        <f t="shared" si="595"/>
        <v>0</v>
      </c>
      <c r="S914" s="147">
        <f t="shared" si="595"/>
        <v>0</v>
      </c>
      <c r="T914" s="147">
        <f t="shared" si="595"/>
        <v>0</v>
      </c>
      <c r="U914" s="147">
        <f t="shared" si="595"/>
        <v>0</v>
      </c>
      <c r="V914" s="147">
        <f t="shared" si="595"/>
        <v>0</v>
      </c>
      <c r="W914" s="147">
        <f t="shared" si="595"/>
        <v>0</v>
      </c>
      <c r="X914" s="147">
        <f t="shared" si="595"/>
        <v>0</v>
      </c>
      <c r="Y914" s="147">
        <f t="shared" si="595"/>
        <v>0</v>
      </c>
      <c r="Z914" s="147">
        <f t="shared" si="595"/>
        <v>0</v>
      </c>
      <c r="AA914" s="147">
        <f t="shared" si="595"/>
        <v>0</v>
      </c>
      <c r="AB914" s="147">
        <f t="shared" si="595"/>
        <v>0</v>
      </c>
      <c r="AC914" s="147">
        <f t="shared" si="595"/>
        <v>0</v>
      </c>
      <c r="AD914" s="147">
        <f t="shared" si="595"/>
        <v>0</v>
      </c>
      <c r="AE914" s="147">
        <f t="shared" si="595"/>
        <v>0</v>
      </c>
      <c r="AF914" s="147">
        <f t="shared" si="595"/>
        <v>0</v>
      </c>
      <c r="AG914" s="147">
        <f t="shared" si="595"/>
        <v>0</v>
      </c>
    </row>
    <row r="915" spans="1:33" ht="14.25" hidden="1" customHeight="1" outlineLevel="1" x14ac:dyDescent="0.35">
      <c r="A915" s="21"/>
      <c r="B915" s="21"/>
      <c r="C915" s="21"/>
      <c r="D915" s="128" t="s">
        <v>4261</v>
      </c>
      <c r="E915" s="128"/>
      <c r="F915" s="21"/>
      <c r="G915" s="21"/>
      <c r="H915" s="21"/>
      <c r="I915" s="22" t="s">
        <v>3900</v>
      </c>
      <c r="J915" s="172">
        <v>0</v>
      </c>
      <c r="K915" s="172">
        <v>0</v>
      </c>
      <c r="L915" s="172">
        <v>0</v>
      </c>
      <c r="M915" s="172">
        <v>0</v>
      </c>
      <c r="N915" s="172">
        <v>0</v>
      </c>
      <c r="O915" s="172">
        <v>0</v>
      </c>
      <c r="P915" s="172">
        <v>0</v>
      </c>
      <c r="Q915" s="172">
        <v>0</v>
      </c>
      <c r="R915" s="140">
        <f>'Input Operasional'!Q52</f>
        <v>0</v>
      </c>
      <c r="S915" s="140">
        <f>'Input Operasional'!R52</f>
        <v>0</v>
      </c>
      <c r="T915" s="140">
        <f>'Input Operasional'!S52</f>
        <v>0</v>
      </c>
      <c r="U915" s="140">
        <f>'Input Operasional'!T52</f>
        <v>0</v>
      </c>
      <c r="V915" s="140">
        <f>'Input Operasional'!U52</f>
        <v>0</v>
      </c>
      <c r="W915" s="140">
        <f>'Input Operasional'!V52</f>
        <v>0</v>
      </c>
      <c r="X915" s="140">
        <f>'Input Operasional'!W52</f>
        <v>0</v>
      </c>
      <c r="Y915" s="140">
        <f>'Input Operasional'!X52</f>
        <v>0</v>
      </c>
      <c r="Z915" s="140">
        <f>'Input Operasional'!Y52</f>
        <v>0</v>
      </c>
      <c r="AA915" s="140">
        <f>'Input Operasional'!Z52</f>
        <v>0</v>
      </c>
      <c r="AB915" s="140">
        <f>'Input Operasional'!AA52</f>
        <v>0</v>
      </c>
      <c r="AC915" s="140">
        <f>'Input Operasional'!AB52</f>
        <v>0</v>
      </c>
      <c r="AD915" s="140">
        <f>'Input Operasional'!AC52</f>
        <v>0</v>
      </c>
      <c r="AE915" s="140">
        <f>'Input Operasional'!AD52</f>
        <v>0</v>
      </c>
      <c r="AF915" s="140">
        <f>'Input Operasional'!AE52</f>
        <v>0</v>
      </c>
      <c r="AG915" s="140">
        <f>'Input Operasional'!AF52</f>
        <v>0</v>
      </c>
    </row>
    <row r="916" spans="1:33" ht="14.25" hidden="1" customHeight="1" outlineLevel="1" x14ac:dyDescent="0.35">
      <c r="A916" s="21"/>
      <c r="B916" s="21"/>
      <c r="C916" s="21"/>
      <c r="D916" s="128" t="s">
        <v>4262</v>
      </c>
      <c r="E916" s="128"/>
      <c r="F916" s="21"/>
      <c r="G916" s="21"/>
      <c r="H916" s="21"/>
      <c r="I916" s="22" t="s">
        <v>3900</v>
      </c>
      <c r="J916" s="132">
        <f t="shared" ref="J916:AG916" si="596">J914-J915</f>
        <v>0</v>
      </c>
      <c r="K916" s="132">
        <f t="shared" si="596"/>
        <v>0</v>
      </c>
      <c r="L916" s="132">
        <f t="shared" si="596"/>
        <v>0</v>
      </c>
      <c r="M916" s="132">
        <f t="shared" si="596"/>
        <v>0</v>
      </c>
      <c r="N916" s="132">
        <f t="shared" si="596"/>
        <v>0</v>
      </c>
      <c r="O916" s="132">
        <f t="shared" si="596"/>
        <v>0</v>
      </c>
      <c r="P916" s="132">
        <f t="shared" si="596"/>
        <v>0</v>
      </c>
      <c r="Q916" s="132">
        <f t="shared" si="596"/>
        <v>0</v>
      </c>
      <c r="R916" s="140">
        <f t="shared" si="596"/>
        <v>0</v>
      </c>
      <c r="S916" s="140">
        <f t="shared" si="596"/>
        <v>0</v>
      </c>
      <c r="T916" s="140">
        <f t="shared" si="596"/>
        <v>0</v>
      </c>
      <c r="U916" s="140">
        <f t="shared" si="596"/>
        <v>0</v>
      </c>
      <c r="V916" s="140">
        <f t="shared" si="596"/>
        <v>0</v>
      </c>
      <c r="W916" s="140">
        <f t="shared" si="596"/>
        <v>0</v>
      </c>
      <c r="X916" s="140">
        <f t="shared" si="596"/>
        <v>0</v>
      </c>
      <c r="Y916" s="140">
        <f t="shared" si="596"/>
        <v>0</v>
      </c>
      <c r="Z916" s="140">
        <f t="shared" si="596"/>
        <v>0</v>
      </c>
      <c r="AA916" s="140">
        <f t="shared" si="596"/>
        <v>0</v>
      </c>
      <c r="AB916" s="140">
        <f t="shared" si="596"/>
        <v>0</v>
      </c>
      <c r="AC916" s="140">
        <f t="shared" si="596"/>
        <v>0</v>
      </c>
      <c r="AD916" s="140">
        <f t="shared" si="596"/>
        <v>0</v>
      </c>
      <c r="AE916" s="140">
        <f t="shared" si="596"/>
        <v>0</v>
      </c>
      <c r="AF916" s="140">
        <f t="shared" si="596"/>
        <v>0</v>
      </c>
      <c r="AG916" s="140">
        <f t="shared" si="596"/>
        <v>0</v>
      </c>
    </row>
    <row r="917" spans="1:33" ht="14.25" hidden="1" customHeight="1" outlineLevel="1" x14ac:dyDescent="0.35">
      <c r="A917" s="21"/>
      <c r="B917" s="21"/>
      <c r="C917" s="21"/>
      <c r="D917" s="128" t="s">
        <v>4263</v>
      </c>
      <c r="E917" s="128"/>
      <c r="F917" s="21"/>
      <c r="G917" s="21"/>
      <c r="H917" s="21"/>
      <c r="I917" s="22" t="s">
        <v>13</v>
      </c>
      <c r="J917" s="142">
        <v>0</v>
      </c>
      <c r="K917" s="142">
        <v>0</v>
      </c>
      <c r="L917" s="142">
        <v>0</v>
      </c>
      <c r="M917" s="142">
        <v>0</v>
      </c>
      <c r="N917" s="142">
        <v>0</v>
      </c>
      <c r="O917" s="142">
        <v>0</v>
      </c>
      <c r="P917" s="142">
        <v>0</v>
      </c>
      <c r="Q917" s="142">
        <v>0</v>
      </c>
      <c r="R917" s="126">
        <v>1</v>
      </c>
      <c r="S917" s="126">
        <v>1</v>
      </c>
      <c r="T917" s="126">
        <v>1</v>
      </c>
      <c r="U917" s="126">
        <v>1</v>
      </c>
      <c r="V917" s="126">
        <v>1</v>
      </c>
      <c r="W917" s="126">
        <v>1</v>
      </c>
      <c r="X917" s="126">
        <v>1</v>
      </c>
      <c r="Y917" s="126">
        <v>1</v>
      </c>
      <c r="Z917" s="126">
        <v>1</v>
      </c>
      <c r="AA917" s="126">
        <v>1</v>
      </c>
      <c r="AB917" s="126">
        <v>1</v>
      </c>
      <c r="AC917" s="126">
        <v>1</v>
      </c>
      <c r="AD917" s="126">
        <v>1</v>
      </c>
      <c r="AE917" s="126">
        <v>1</v>
      </c>
      <c r="AF917" s="126">
        <v>1</v>
      </c>
      <c r="AG917" s="126">
        <v>1</v>
      </c>
    </row>
    <row r="918" spans="1:33" ht="14.25" hidden="1" customHeight="1" outlineLevel="1" x14ac:dyDescent="0.35">
      <c r="A918" s="21"/>
      <c r="B918" s="21"/>
      <c r="C918" s="21" t="s">
        <v>4264</v>
      </c>
      <c r="D918" s="21"/>
      <c r="E918" s="21"/>
      <c r="F918" s="21"/>
      <c r="G918" s="21"/>
      <c r="H918" s="21"/>
      <c r="I918" s="22" t="s">
        <v>3900</v>
      </c>
      <c r="J918" s="31">
        <f t="shared" ref="J918:AG918" si="597">IF(J917=0,0,J916/J917)</f>
        <v>0</v>
      </c>
      <c r="K918" s="31">
        <f t="shared" si="597"/>
        <v>0</v>
      </c>
      <c r="L918" s="31">
        <f t="shared" si="597"/>
        <v>0</v>
      </c>
      <c r="M918" s="31">
        <f t="shared" si="597"/>
        <v>0</v>
      </c>
      <c r="N918" s="31">
        <f t="shared" si="597"/>
        <v>0</v>
      </c>
      <c r="O918" s="31">
        <f t="shared" si="597"/>
        <v>0</v>
      </c>
      <c r="P918" s="31">
        <f t="shared" si="597"/>
        <v>0</v>
      </c>
      <c r="Q918" s="31">
        <f t="shared" si="597"/>
        <v>0</v>
      </c>
      <c r="R918" s="147">
        <f t="shared" si="597"/>
        <v>0</v>
      </c>
      <c r="S918" s="147">
        <f t="shared" si="597"/>
        <v>0</v>
      </c>
      <c r="T918" s="147">
        <f t="shared" si="597"/>
        <v>0</v>
      </c>
      <c r="U918" s="147">
        <f t="shared" si="597"/>
        <v>0</v>
      </c>
      <c r="V918" s="147">
        <f t="shared" si="597"/>
        <v>0</v>
      </c>
      <c r="W918" s="147">
        <f t="shared" si="597"/>
        <v>0</v>
      </c>
      <c r="X918" s="147">
        <f t="shared" si="597"/>
        <v>0</v>
      </c>
      <c r="Y918" s="147">
        <f t="shared" si="597"/>
        <v>0</v>
      </c>
      <c r="Z918" s="147">
        <f t="shared" si="597"/>
        <v>0</v>
      </c>
      <c r="AA918" s="147">
        <f t="shared" si="597"/>
        <v>0</v>
      </c>
      <c r="AB918" s="147">
        <f t="shared" si="597"/>
        <v>0</v>
      </c>
      <c r="AC918" s="147">
        <f t="shared" si="597"/>
        <v>0</v>
      </c>
      <c r="AD918" s="147">
        <f t="shared" si="597"/>
        <v>0</v>
      </c>
      <c r="AE918" s="147">
        <f t="shared" si="597"/>
        <v>0</v>
      </c>
      <c r="AF918" s="147">
        <f t="shared" si="597"/>
        <v>0</v>
      </c>
      <c r="AG918" s="147">
        <f t="shared" si="597"/>
        <v>0</v>
      </c>
    </row>
    <row r="919" spans="1:33" ht="14.25" hidden="1" customHeight="1" outlineLevel="1" x14ac:dyDescent="0.35">
      <c r="A919" s="21"/>
      <c r="B919" s="21"/>
      <c r="C919" s="21"/>
      <c r="D919" s="21"/>
      <c r="E919" s="21"/>
      <c r="F919" s="21"/>
      <c r="G919" s="21"/>
      <c r="H919" s="21"/>
      <c r="I919" s="22"/>
      <c r="J919" s="21"/>
      <c r="K919" s="21"/>
      <c r="L919" s="21"/>
      <c r="M919" s="21"/>
      <c r="N919" s="21"/>
      <c r="O919" s="21"/>
      <c r="P919" s="60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</row>
    <row r="920" spans="1:33" ht="14.25" hidden="1" customHeight="1" outlineLevel="1" x14ac:dyDescent="0.35">
      <c r="A920" s="21"/>
      <c r="B920" s="21"/>
      <c r="C920" s="21"/>
      <c r="D920" s="128" t="s">
        <v>4265</v>
      </c>
      <c r="E920" s="128"/>
      <c r="F920" s="21"/>
      <c r="G920" s="21"/>
      <c r="H920" s="21"/>
      <c r="I920" s="22" t="s">
        <v>4266</v>
      </c>
      <c r="J920" s="198">
        <f t="shared" ref="J920:AG920" si="598">IF(J900=0,0,J918/J900)</f>
        <v>0</v>
      </c>
      <c r="K920" s="198">
        <f t="shared" si="598"/>
        <v>0</v>
      </c>
      <c r="L920" s="198">
        <f t="shared" si="598"/>
        <v>0</v>
      </c>
      <c r="M920" s="198">
        <f t="shared" si="598"/>
        <v>0</v>
      </c>
      <c r="N920" s="198">
        <f t="shared" si="598"/>
        <v>0</v>
      </c>
      <c r="O920" s="198">
        <f t="shared" si="598"/>
        <v>0</v>
      </c>
      <c r="P920" s="198">
        <f t="shared" si="598"/>
        <v>0</v>
      </c>
      <c r="Q920" s="198">
        <f t="shared" si="598"/>
        <v>0</v>
      </c>
      <c r="R920" s="199">
        <f t="shared" si="598"/>
        <v>0</v>
      </c>
      <c r="S920" s="199">
        <f t="shared" si="598"/>
        <v>0</v>
      </c>
      <c r="T920" s="199">
        <f t="shared" si="598"/>
        <v>0</v>
      </c>
      <c r="U920" s="199">
        <f t="shared" si="598"/>
        <v>0</v>
      </c>
      <c r="V920" s="199">
        <f t="shared" si="598"/>
        <v>0</v>
      </c>
      <c r="W920" s="199">
        <f t="shared" si="598"/>
        <v>0</v>
      </c>
      <c r="X920" s="199">
        <f t="shared" si="598"/>
        <v>0</v>
      </c>
      <c r="Y920" s="199">
        <f t="shared" si="598"/>
        <v>0</v>
      </c>
      <c r="Z920" s="199">
        <f t="shared" si="598"/>
        <v>0</v>
      </c>
      <c r="AA920" s="199">
        <f t="shared" si="598"/>
        <v>0</v>
      </c>
      <c r="AB920" s="199">
        <f t="shared" si="598"/>
        <v>0</v>
      </c>
      <c r="AC920" s="199">
        <f t="shared" si="598"/>
        <v>0</v>
      </c>
      <c r="AD920" s="199">
        <f t="shared" si="598"/>
        <v>0</v>
      </c>
      <c r="AE920" s="199">
        <f t="shared" si="598"/>
        <v>0</v>
      </c>
      <c r="AF920" s="199">
        <f t="shared" si="598"/>
        <v>0</v>
      </c>
      <c r="AG920" s="199">
        <f t="shared" si="598"/>
        <v>0</v>
      </c>
    </row>
    <row r="921" spans="1:33" ht="14.25" hidden="1" customHeight="1" outlineLevel="1" x14ac:dyDescent="0.35">
      <c r="A921" s="21"/>
      <c r="B921" s="21"/>
      <c r="C921" s="21"/>
      <c r="D921" s="128" t="s">
        <v>4267</v>
      </c>
      <c r="E921" s="128"/>
      <c r="F921" s="21"/>
      <c r="G921" s="21"/>
      <c r="H921" s="21"/>
      <c r="I921" s="22" t="s">
        <v>3900</v>
      </c>
      <c r="J921" s="132">
        <f t="shared" ref="J921:AG921" si="599">IF(COUNT(J1138)=0,0,J918-J1138)</f>
        <v>0</v>
      </c>
      <c r="K921" s="132">
        <f t="shared" si="599"/>
        <v>0</v>
      </c>
      <c r="L921" s="132">
        <f t="shared" si="599"/>
        <v>0</v>
      </c>
      <c r="M921" s="132">
        <f t="shared" si="599"/>
        <v>0</v>
      </c>
      <c r="N921" s="132">
        <f t="shared" si="599"/>
        <v>0</v>
      </c>
      <c r="O921" s="132">
        <f t="shared" si="599"/>
        <v>0</v>
      </c>
      <c r="P921" s="132">
        <f t="shared" si="599"/>
        <v>0</v>
      </c>
      <c r="Q921" s="132">
        <f t="shared" si="599"/>
        <v>0</v>
      </c>
      <c r="R921" s="140">
        <f t="shared" si="599"/>
        <v>0</v>
      </c>
      <c r="S921" s="140">
        <f t="shared" si="599"/>
        <v>0</v>
      </c>
      <c r="T921" s="140">
        <f t="shared" si="599"/>
        <v>0</v>
      </c>
      <c r="U921" s="140">
        <f t="shared" si="599"/>
        <v>0</v>
      </c>
      <c r="V921" s="140">
        <f t="shared" si="599"/>
        <v>0</v>
      </c>
      <c r="W921" s="140">
        <f t="shared" si="599"/>
        <v>0</v>
      </c>
      <c r="X921" s="140">
        <f t="shared" si="599"/>
        <v>0</v>
      </c>
      <c r="Y921" s="140">
        <f t="shared" si="599"/>
        <v>0</v>
      </c>
      <c r="Z921" s="140">
        <f t="shared" si="599"/>
        <v>0</v>
      </c>
      <c r="AA921" s="140">
        <f t="shared" si="599"/>
        <v>0</v>
      </c>
      <c r="AB921" s="140">
        <f t="shared" si="599"/>
        <v>0</v>
      </c>
      <c r="AC921" s="140">
        <f t="shared" si="599"/>
        <v>0</v>
      </c>
      <c r="AD921" s="140">
        <f t="shared" si="599"/>
        <v>0</v>
      </c>
      <c r="AE921" s="140">
        <f t="shared" si="599"/>
        <v>0</v>
      </c>
      <c r="AF921" s="140">
        <f t="shared" si="599"/>
        <v>0</v>
      </c>
      <c r="AG921" s="140">
        <f t="shared" si="599"/>
        <v>0</v>
      </c>
    </row>
    <row r="922" spans="1:33" ht="14.25" hidden="1" customHeight="1" outlineLevel="1" x14ac:dyDescent="0.35">
      <c r="A922" s="21"/>
      <c r="B922" s="21"/>
      <c r="C922" s="21"/>
      <c r="D922" s="128" t="s">
        <v>4268</v>
      </c>
      <c r="E922" s="128"/>
      <c r="F922" s="21"/>
      <c r="G922" s="21"/>
      <c r="H922" s="21"/>
      <c r="I922" s="22" t="s">
        <v>3900</v>
      </c>
      <c r="J922" s="132">
        <f t="shared" ref="J922:AG922" si="600">IF(COUNT(J1144)=0,0,J915-J1144)</f>
        <v>0</v>
      </c>
      <c r="K922" s="132">
        <f t="shared" si="600"/>
        <v>0</v>
      </c>
      <c r="L922" s="132">
        <f t="shared" si="600"/>
        <v>0</v>
      </c>
      <c r="M922" s="132">
        <f t="shared" si="600"/>
        <v>0</v>
      </c>
      <c r="N922" s="132">
        <f t="shared" si="600"/>
        <v>0</v>
      </c>
      <c r="O922" s="132">
        <f t="shared" si="600"/>
        <v>0</v>
      </c>
      <c r="P922" s="132">
        <f t="shared" si="600"/>
        <v>0</v>
      </c>
      <c r="Q922" s="132">
        <f t="shared" si="600"/>
        <v>0</v>
      </c>
      <c r="R922" s="140">
        <f t="shared" si="600"/>
        <v>0</v>
      </c>
      <c r="S922" s="140">
        <f t="shared" si="600"/>
        <v>0</v>
      </c>
      <c r="T922" s="140">
        <f t="shared" si="600"/>
        <v>0</v>
      </c>
      <c r="U922" s="140">
        <f t="shared" si="600"/>
        <v>0</v>
      </c>
      <c r="V922" s="140">
        <f t="shared" si="600"/>
        <v>0</v>
      </c>
      <c r="W922" s="140">
        <f t="shared" si="600"/>
        <v>0</v>
      </c>
      <c r="X922" s="140">
        <f t="shared" si="600"/>
        <v>0</v>
      </c>
      <c r="Y922" s="140">
        <f t="shared" si="600"/>
        <v>0</v>
      </c>
      <c r="Z922" s="140">
        <f t="shared" si="600"/>
        <v>0</v>
      </c>
      <c r="AA922" s="140">
        <f t="shared" si="600"/>
        <v>0</v>
      </c>
      <c r="AB922" s="140">
        <f t="shared" si="600"/>
        <v>0</v>
      </c>
      <c r="AC922" s="140">
        <f t="shared" si="600"/>
        <v>0</v>
      </c>
      <c r="AD922" s="140">
        <f t="shared" si="600"/>
        <v>0</v>
      </c>
      <c r="AE922" s="140">
        <f t="shared" si="600"/>
        <v>0</v>
      </c>
      <c r="AF922" s="140">
        <f t="shared" si="600"/>
        <v>0</v>
      </c>
      <c r="AG922" s="140">
        <f t="shared" si="600"/>
        <v>0</v>
      </c>
    </row>
    <row r="923" spans="1:33" ht="14.25" hidden="1" customHeight="1" outlineLevel="1" x14ac:dyDescent="0.35">
      <c r="A923" s="21"/>
      <c r="B923" s="21"/>
      <c r="C923" s="21" t="s">
        <v>4269</v>
      </c>
      <c r="D923" s="21"/>
      <c r="E923" s="21"/>
      <c r="F923" s="21"/>
      <c r="G923" s="21"/>
      <c r="H923" s="21"/>
      <c r="I923" s="22" t="s">
        <v>3921</v>
      </c>
      <c r="J923" s="60">
        <f t="shared" ref="J923:AG923" si="601">J918*J1139+J915*J1145</f>
        <v>0</v>
      </c>
      <c r="K923" s="60">
        <f t="shared" si="601"/>
        <v>0</v>
      </c>
      <c r="L923" s="60">
        <f t="shared" si="601"/>
        <v>0</v>
      </c>
      <c r="M923" s="60">
        <f t="shared" si="601"/>
        <v>0</v>
      </c>
      <c r="N923" s="60">
        <f t="shared" si="601"/>
        <v>0</v>
      </c>
      <c r="O923" s="60">
        <f t="shared" si="601"/>
        <v>0</v>
      </c>
      <c r="P923" s="60">
        <f t="shared" si="601"/>
        <v>0</v>
      </c>
      <c r="Q923" s="60">
        <f t="shared" si="601"/>
        <v>0</v>
      </c>
      <c r="R923" s="190">
        <f t="shared" si="601"/>
        <v>0</v>
      </c>
      <c r="S923" s="190">
        <f t="shared" si="601"/>
        <v>0</v>
      </c>
      <c r="T923" s="190">
        <f t="shared" si="601"/>
        <v>0</v>
      </c>
      <c r="U923" s="190">
        <f t="shared" si="601"/>
        <v>0</v>
      </c>
      <c r="V923" s="190">
        <f t="shared" si="601"/>
        <v>0</v>
      </c>
      <c r="W923" s="190">
        <f t="shared" si="601"/>
        <v>0</v>
      </c>
      <c r="X923" s="190">
        <f t="shared" si="601"/>
        <v>0</v>
      </c>
      <c r="Y923" s="190">
        <f t="shared" si="601"/>
        <v>0</v>
      </c>
      <c r="Z923" s="190">
        <f t="shared" si="601"/>
        <v>0</v>
      </c>
      <c r="AA923" s="190">
        <f t="shared" si="601"/>
        <v>0</v>
      </c>
      <c r="AB923" s="190">
        <f t="shared" si="601"/>
        <v>0</v>
      </c>
      <c r="AC923" s="190">
        <f t="shared" si="601"/>
        <v>0</v>
      </c>
      <c r="AD923" s="190">
        <f t="shared" si="601"/>
        <v>0</v>
      </c>
      <c r="AE923" s="190">
        <f t="shared" si="601"/>
        <v>0</v>
      </c>
      <c r="AF923" s="190">
        <f t="shared" si="601"/>
        <v>0</v>
      </c>
      <c r="AG923" s="190">
        <f t="shared" si="601"/>
        <v>0</v>
      </c>
    </row>
    <row r="924" spans="1:33" ht="14.25" hidden="1" customHeight="1" outlineLevel="1" x14ac:dyDescent="0.35">
      <c r="A924" s="21"/>
      <c r="B924" s="21"/>
      <c r="C924" s="21"/>
      <c r="D924" s="128" t="s">
        <v>4270</v>
      </c>
      <c r="E924" s="128"/>
      <c r="F924" s="21"/>
      <c r="G924" s="21"/>
      <c r="H924" s="21"/>
      <c r="I924" s="22"/>
      <c r="J924" s="148"/>
      <c r="K924" s="148"/>
      <c r="L924" s="148"/>
      <c r="M924" s="148"/>
      <c r="N924" s="148"/>
      <c r="O924" s="148"/>
      <c r="P924" s="148"/>
      <c r="Q924" s="148"/>
      <c r="R924" s="195"/>
      <c r="S924" s="195"/>
      <c r="T924" s="195"/>
      <c r="U924" s="195"/>
      <c r="V924" s="195"/>
      <c r="W924" s="195"/>
      <c r="X924" s="195"/>
      <c r="Y924" s="195"/>
      <c r="Z924" s="195"/>
      <c r="AA924" s="195"/>
      <c r="AB924" s="195"/>
      <c r="AC924" s="195"/>
      <c r="AD924" s="195"/>
      <c r="AE924" s="195"/>
      <c r="AF924" s="195"/>
      <c r="AG924" s="195"/>
    </row>
    <row r="925" spans="1:33" ht="14.25" hidden="1" customHeight="1" outlineLevel="1" x14ac:dyDescent="0.35">
      <c r="A925" s="21"/>
      <c r="B925" s="21" t="s">
        <v>4271</v>
      </c>
      <c r="C925" s="21"/>
      <c r="D925" s="21"/>
      <c r="E925" s="21"/>
      <c r="F925" s="21"/>
      <c r="G925" s="21"/>
      <c r="H925" s="21"/>
      <c r="I925" s="22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</row>
    <row r="926" spans="1:33" ht="14.25" hidden="1" customHeight="1" outlineLevel="1" x14ac:dyDescent="0.35">
      <c r="A926" s="21"/>
      <c r="B926" s="28"/>
      <c r="C926" s="200" t="s">
        <v>4272</v>
      </c>
      <c r="D926" s="21"/>
      <c r="E926" s="21"/>
      <c r="F926" s="21"/>
      <c r="G926" s="21"/>
      <c r="H926" s="21"/>
      <c r="I926" s="22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</row>
    <row r="927" spans="1:33" ht="14.25" hidden="1" customHeight="1" outlineLevel="1" x14ac:dyDescent="0.35">
      <c r="A927" s="21"/>
      <c r="B927" s="21"/>
      <c r="C927" s="21"/>
      <c r="D927" s="21"/>
      <c r="E927" s="21"/>
      <c r="F927" s="21"/>
      <c r="G927" s="21"/>
      <c r="H927" s="21"/>
      <c r="I927" s="22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</row>
    <row r="928" spans="1:33" ht="14.25" hidden="1" customHeight="1" outlineLevel="1" x14ac:dyDescent="0.35">
      <c r="A928" s="21"/>
      <c r="B928" s="28" t="s">
        <v>4173</v>
      </c>
      <c r="C928" s="21"/>
      <c r="D928" s="21"/>
      <c r="E928" s="21"/>
      <c r="F928" s="21"/>
      <c r="G928" s="21"/>
      <c r="H928" s="21"/>
      <c r="I928" s="22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</row>
    <row r="929" spans="1:33" ht="14.25" hidden="1" customHeight="1" outlineLevel="1" x14ac:dyDescent="0.35">
      <c r="A929" s="21"/>
      <c r="B929" s="28"/>
      <c r="C929" s="28" t="s">
        <v>4273</v>
      </c>
      <c r="D929" s="21"/>
      <c r="E929" s="21"/>
      <c r="F929" s="21"/>
      <c r="G929" s="21"/>
      <c r="H929" s="21"/>
      <c r="I929" s="22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</row>
    <row r="930" spans="1:33" ht="14.25" hidden="1" customHeight="1" outlineLevel="1" x14ac:dyDescent="0.35">
      <c r="A930" s="21"/>
      <c r="B930" s="21"/>
      <c r="C930" s="21"/>
      <c r="D930" s="128" t="s">
        <v>30</v>
      </c>
      <c r="E930" s="128"/>
      <c r="F930" s="21"/>
      <c r="G930" s="21"/>
      <c r="H930" s="21"/>
      <c r="I930" s="22" t="s">
        <v>3921</v>
      </c>
      <c r="J930" s="148">
        <f t="shared" ref="J930:Q930" si="602">J1140+J1146</f>
        <v>10307500</v>
      </c>
      <c r="K930" s="148">
        <f t="shared" si="602"/>
        <v>4716890.1528695496</v>
      </c>
      <c r="L930" s="148">
        <f t="shared" si="602"/>
        <v>0</v>
      </c>
      <c r="M930" s="148">
        <f t="shared" si="602"/>
        <v>9172500</v>
      </c>
      <c r="N930" s="148">
        <f t="shared" si="602"/>
        <v>0</v>
      </c>
      <c r="O930" s="148">
        <f t="shared" si="602"/>
        <v>0</v>
      </c>
      <c r="P930" s="148">
        <f t="shared" si="602"/>
        <v>13312000</v>
      </c>
      <c r="Q930" s="148">
        <f t="shared" si="602"/>
        <v>0</v>
      </c>
      <c r="R930" s="149">
        <v>6156687.5300781103</v>
      </c>
      <c r="S930" s="149">
        <v>6273909.8383215303</v>
      </c>
      <c r="T930" s="149">
        <v>6452799.0947304498</v>
      </c>
      <c r="U930" s="149">
        <v>6458057.7582548903</v>
      </c>
      <c r="V930" s="149">
        <v>6458986.0933074402</v>
      </c>
      <c r="W930" s="149">
        <v>6456613.1605483396</v>
      </c>
      <c r="X930" s="149">
        <v>6457885.5224273102</v>
      </c>
      <c r="Y930" s="149">
        <v>6457828.1125354096</v>
      </c>
      <c r="Z930" s="149">
        <v>6457442.2116182996</v>
      </c>
      <c r="AA930" s="149">
        <v>6457718.6094998103</v>
      </c>
      <c r="AB930" s="149">
        <v>6457662.9737831904</v>
      </c>
      <c r="AC930" s="149">
        <v>6457607.9294176297</v>
      </c>
      <c r="AD930" s="149">
        <v>6457663.17058264</v>
      </c>
      <c r="AE930" s="149">
        <v>6457644.6911560502</v>
      </c>
      <c r="AF930" s="149">
        <v>6457638.5969701102</v>
      </c>
      <c r="AG930" s="149">
        <v>6457648.8195526199</v>
      </c>
    </row>
    <row r="931" spans="1:33" ht="14.25" hidden="1" customHeight="1" outlineLevel="1" x14ac:dyDescent="0.35">
      <c r="A931" s="21"/>
      <c r="B931" s="21"/>
      <c r="C931" s="21"/>
      <c r="D931" s="128" t="s">
        <v>4117</v>
      </c>
      <c r="E931" s="128"/>
      <c r="F931" s="21"/>
      <c r="G931" s="21"/>
      <c r="H931" s="21"/>
      <c r="I931" s="22" t="s">
        <v>3921</v>
      </c>
      <c r="J931" s="148">
        <f t="shared" ref="J931:Q931" si="603">J1151</f>
        <v>17874497.529535647</v>
      </c>
      <c r="K931" s="148">
        <f t="shared" si="603"/>
        <v>10767156.234957894</v>
      </c>
      <c r="L931" s="148">
        <f t="shared" si="603"/>
        <v>0</v>
      </c>
      <c r="M931" s="148">
        <f t="shared" si="603"/>
        <v>3415967.4596739979</v>
      </c>
      <c r="N931" s="148">
        <f t="shared" si="603"/>
        <v>0</v>
      </c>
      <c r="O931" s="148">
        <f t="shared" si="603"/>
        <v>0</v>
      </c>
      <c r="P931" s="148">
        <f t="shared" si="603"/>
        <v>9033763.1499849707</v>
      </c>
      <c r="Q931" s="148">
        <f t="shared" si="603"/>
        <v>0</v>
      </c>
      <c r="R931" s="149">
        <v>5629068.8299411098</v>
      </c>
      <c r="S931" s="149">
        <v>5638564.3910568804</v>
      </c>
      <c r="T931" s="149">
        <v>5626900.77155001</v>
      </c>
      <c r="U931" s="149">
        <v>5631506.7775159702</v>
      </c>
      <c r="V931" s="149">
        <v>5632319.8960527601</v>
      </c>
      <c r="W931" s="149">
        <v>5630241.4701571995</v>
      </c>
      <c r="X931" s="149">
        <v>5631355.9180351002</v>
      </c>
      <c r="Y931" s="149">
        <v>5631305.6333375899</v>
      </c>
      <c r="Z931" s="149">
        <v>5630967.6269376399</v>
      </c>
      <c r="AA931" s="149">
        <v>5631209.7208242798</v>
      </c>
      <c r="AB931" s="149">
        <v>5631160.99010754</v>
      </c>
      <c r="AC931" s="149">
        <v>5631112.7773487298</v>
      </c>
      <c r="AD931" s="149">
        <v>5631161.1624820298</v>
      </c>
      <c r="AE931" s="149">
        <v>5631144.9765540399</v>
      </c>
      <c r="AF931" s="149">
        <v>5631139.6387231098</v>
      </c>
      <c r="AG931" s="149">
        <v>5631148.5925715202</v>
      </c>
    </row>
    <row r="932" spans="1:33" ht="14.25" hidden="1" customHeight="1" outlineLevel="1" x14ac:dyDescent="0.35">
      <c r="A932" s="21"/>
      <c r="B932" s="21"/>
      <c r="C932" s="21"/>
      <c r="D932" s="128" t="s">
        <v>32</v>
      </c>
      <c r="E932" s="128"/>
      <c r="F932" s="21"/>
      <c r="G932" s="21"/>
      <c r="H932" s="21"/>
      <c r="I932" s="22" t="s">
        <v>3921</v>
      </c>
      <c r="J932" s="148">
        <f t="shared" ref="J932:Q932" si="604">J1156</f>
        <v>5532701.3953307299</v>
      </c>
      <c r="K932" s="148">
        <f t="shared" si="604"/>
        <v>6836099.2713392004</v>
      </c>
      <c r="L932" s="148">
        <f t="shared" si="604"/>
        <v>0</v>
      </c>
      <c r="M932" s="148">
        <f t="shared" si="604"/>
        <v>2424576.9185171099</v>
      </c>
      <c r="N932" s="148">
        <f t="shared" si="604"/>
        <v>808286.31324984797</v>
      </c>
      <c r="O932" s="148">
        <f t="shared" si="604"/>
        <v>0</v>
      </c>
      <c r="P932" s="148">
        <f t="shared" si="604"/>
        <v>6890226.4379642503</v>
      </c>
      <c r="Q932" s="148">
        <f t="shared" si="604"/>
        <v>258200.02613694099</v>
      </c>
      <c r="R932" s="149">
        <v>2963972.0621352699</v>
      </c>
      <c r="S932" s="149">
        <v>2968971.9260047199</v>
      </c>
      <c r="T932" s="149">
        <v>2962830.4764317698</v>
      </c>
      <c r="U932" s="149">
        <v>2965255.757311</v>
      </c>
      <c r="V932" s="149">
        <v>2965683.9028354301</v>
      </c>
      <c r="W932" s="149">
        <v>2964589.5128974598</v>
      </c>
      <c r="X932" s="149">
        <v>2965176.3226300399</v>
      </c>
      <c r="Y932" s="149">
        <v>2965149.8453487898</v>
      </c>
      <c r="Z932" s="149">
        <v>2964971.8689273698</v>
      </c>
      <c r="AA932" s="149">
        <v>2965099.3428556798</v>
      </c>
      <c r="AB932" s="149">
        <v>2965073.6838190998</v>
      </c>
      <c r="AC932" s="149">
        <v>2965048.2975119702</v>
      </c>
      <c r="AD932" s="149">
        <v>2965073.7745824498</v>
      </c>
      <c r="AE932" s="149">
        <v>2965065.2519227001</v>
      </c>
      <c r="AF932" s="149">
        <v>2965062.4413012201</v>
      </c>
      <c r="AG932" s="149">
        <v>2965067.1559276301</v>
      </c>
    </row>
    <row r="933" spans="1:33" ht="14.25" hidden="1" customHeight="1" outlineLevel="1" x14ac:dyDescent="0.35">
      <c r="A933" s="21"/>
      <c r="B933" s="21"/>
      <c r="C933" s="21"/>
      <c r="D933" s="21" t="s">
        <v>4121</v>
      </c>
      <c r="E933" s="21"/>
      <c r="F933" s="21"/>
      <c r="G933" s="21"/>
      <c r="H933" s="21"/>
      <c r="I933" s="22" t="s">
        <v>3921</v>
      </c>
      <c r="J933" s="148">
        <f t="shared" ref="J933:Q933" si="605">J1161</f>
        <v>0</v>
      </c>
      <c r="K933" s="148">
        <f t="shared" si="605"/>
        <v>0</v>
      </c>
      <c r="L933" s="148">
        <f t="shared" si="605"/>
        <v>0</v>
      </c>
      <c r="M933" s="148">
        <f t="shared" si="605"/>
        <v>0</v>
      </c>
      <c r="N933" s="148">
        <f t="shared" si="605"/>
        <v>0</v>
      </c>
      <c r="O933" s="148">
        <f t="shared" si="605"/>
        <v>0</v>
      </c>
      <c r="P933" s="148">
        <f t="shared" si="605"/>
        <v>0</v>
      </c>
      <c r="Q933" s="148">
        <f t="shared" si="605"/>
        <v>0</v>
      </c>
      <c r="R933" s="149">
        <v>0</v>
      </c>
      <c r="S933" s="149">
        <v>0</v>
      </c>
      <c r="T933" s="149">
        <v>0</v>
      </c>
      <c r="U933" s="149">
        <v>0</v>
      </c>
      <c r="V933" s="149">
        <v>0</v>
      </c>
      <c r="W933" s="149">
        <v>0</v>
      </c>
      <c r="X933" s="149">
        <v>0</v>
      </c>
      <c r="Y933" s="149">
        <v>0</v>
      </c>
      <c r="Z933" s="149">
        <v>0</v>
      </c>
      <c r="AA933" s="149">
        <v>0</v>
      </c>
      <c r="AB933" s="149">
        <v>0</v>
      </c>
      <c r="AC933" s="149">
        <v>0</v>
      </c>
      <c r="AD933" s="149">
        <v>0</v>
      </c>
      <c r="AE933" s="149">
        <v>0</v>
      </c>
      <c r="AF933" s="149">
        <v>0</v>
      </c>
      <c r="AG933" s="149">
        <v>0</v>
      </c>
    </row>
    <row r="934" spans="1:33" ht="14.25" hidden="1" customHeight="1" outlineLevel="1" x14ac:dyDescent="0.35">
      <c r="A934" s="21"/>
      <c r="B934" s="21"/>
      <c r="C934" s="21"/>
      <c r="D934" s="21" t="s">
        <v>4072</v>
      </c>
      <c r="E934" s="21"/>
      <c r="F934" s="21"/>
      <c r="G934" s="21"/>
      <c r="H934" s="21"/>
      <c r="I934" s="22" t="s">
        <v>3921</v>
      </c>
      <c r="J934" s="148">
        <f t="shared" ref="J934:Q934" si="606">J1166</f>
        <v>471697.43862407637</v>
      </c>
      <c r="K934" s="148">
        <f t="shared" si="606"/>
        <v>386897.89909615251</v>
      </c>
      <c r="L934" s="148">
        <f t="shared" si="606"/>
        <v>0</v>
      </c>
      <c r="M934" s="148">
        <f t="shared" si="606"/>
        <v>84799.821470440016</v>
      </c>
      <c r="N934" s="148">
        <f t="shared" si="606"/>
        <v>0</v>
      </c>
      <c r="O934" s="148">
        <f t="shared" si="606"/>
        <v>0</v>
      </c>
      <c r="P934" s="148">
        <f t="shared" si="606"/>
        <v>498712.07749933295</v>
      </c>
      <c r="Q934" s="148">
        <f t="shared" si="606"/>
        <v>0</v>
      </c>
      <c r="R934" s="149">
        <v>181717.669845945</v>
      </c>
      <c r="S934" s="149">
        <v>182024.20566775999</v>
      </c>
      <c r="T934" s="149">
        <v>181647.68055804999</v>
      </c>
      <c r="U934" s="149">
        <v>181796.371699821</v>
      </c>
      <c r="V934" s="149">
        <v>181822.620802519</v>
      </c>
      <c r="W934" s="149">
        <v>181755.52503195801</v>
      </c>
      <c r="X934" s="149">
        <v>181791.501652187</v>
      </c>
      <c r="Y934" s="149">
        <v>181789.87836095801</v>
      </c>
      <c r="Z934" s="149">
        <v>181778.966834158</v>
      </c>
      <c r="AA934" s="149">
        <v>181786.78211201201</v>
      </c>
      <c r="AB934" s="149">
        <v>181785.20898641</v>
      </c>
      <c r="AC934" s="149">
        <v>181783.652581531</v>
      </c>
      <c r="AD934" s="149">
        <v>181785.21455100499</v>
      </c>
      <c r="AE934" s="149">
        <v>181784.69203667701</v>
      </c>
      <c r="AF934" s="149">
        <v>181784.519720752</v>
      </c>
      <c r="AG934" s="149">
        <v>181784.80876899799</v>
      </c>
    </row>
    <row r="935" spans="1:33" ht="14.25" hidden="1" customHeight="1" outlineLevel="1" x14ac:dyDescent="0.35">
      <c r="A935" s="21"/>
      <c r="B935" s="21"/>
      <c r="C935" s="21"/>
      <c r="D935" s="21" t="s">
        <v>4074</v>
      </c>
      <c r="E935" s="21"/>
      <c r="F935" s="21"/>
      <c r="G935" s="21"/>
      <c r="H935" s="21"/>
      <c r="I935" s="22" t="s">
        <v>3921</v>
      </c>
      <c r="J935" s="148">
        <f t="shared" ref="J935:Q935" si="607">J1171</f>
        <v>0</v>
      </c>
      <c r="K935" s="148">
        <f t="shared" si="607"/>
        <v>0</v>
      </c>
      <c r="L935" s="148">
        <f t="shared" si="607"/>
        <v>0</v>
      </c>
      <c r="M935" s="148">
        <f t="shared" si="607"/>
        <v>0</v>
      </c>
      <c r="N935" s="148">
        <f t="shared" si="607"/>
        <v>0</v>
      </c>
      <c r="O935" s="148">
        <f t="shared" si="607"/>
        <v>0</v>
      </c>
      <c r="P935" s="148">
        <f t="shared" si="607"/>
        <v>0</v>
      </c>
      <c r="Q935" s="148">
        <f t="shared" si="607"/>
        <v>0</v>
      </c>
      <c r="R935" s="149">
        <v>0</v>
      </c>
      <c r="S935" s="149">
        <v>0</v>
      </c>
      <c r="T935" s="149">
        <v>0</v>
      </c>
      <c r="U935" s="149">
        <v>0</v>
      </c>
      <c r="V935" s="149">
        <v>0</v>
      </c>
      <c r="W935" s="149">
        <v>0</v>
      </c>
      <c r="X935" s="149">
        <v>0</v>
      </c>
      <c r="Y935" s="149">
        <v>0</v>
      </c>
      <c r="Z935" s="149">
        <v>0</v>
      </c>
      <c r="AA935" s="149">
        <v>0</v>
      </c>
      <c r="AB935" s="149">
        <v>0</v>
      </c>
      <c r="AC935" s="149">
        <v>0</v>
      </c>
      <c r="AD935" s="149">
        <v>0</v>
      </c>
      <c r="AE935" s="149">
        <v>0</v>
      </c>
      <c r="AF935" s="149">
        <v>0</v>
      </c>
      <c r="AG935" s="149">
        <v>0</v>
      </c>
    </row>
    <row r="936" spans="1:33" ht="14.25" hidden="1" customHeight="1" outlineLevel="1" x14ac:dyDescent="0.35">
      <c r="A936" s="21"/>
      <c r="B936" s="21"/>
      <c r="C936" s="21"/>
      <c r="D936" s="21" t="s">
        <v>4076</v>
      </c>
      <c r="E936" s="21"/>
      <c r="F936" s="21"/>
      <c r="G936" s="21"/>
      <c r="H936" s="21"/>
      <c r="I936" s="22" t="s">
        <v>3921</v>
      </c>
      <c r="J936" s="148">
        <f t="shared" ref="J936:Q936" si="608">J1176</f>
        <v>0</v>
      </c>
      <c r="K936" s="148">
        <f t="shared" si="608"/>
        <v>0</v>
      </c>
      <c r="L936" s="148">
        <f t="shared" si="608"/>
        <v>0</v>
      </c>
      <c r="M936" s="148">
        <f t="shared" si="608"/>
        <v>0</v>
      </c>
      <c r="N936" s="148">
        <f t="shared" si="608"/>
        <v>0</v>
      </c>
      <c r="O936" s="148">
        <f t="shared" si="608"/>
        <v>0</v>
      </c>
      <c r="P936" s="148">
        <f t="shared" si="608"/>
        <v>0</v>
      </c>
      <c r="Q936" s="148">
        <f t="shared" si="608"/>
        <v>0</v>
      </c>
      <c r="R936" s="149">
        <v>0</v>
      </c>
      <c r="S936" s="149">
        <v>0</v>
      </c>
      <c r="T936" s="149">
        <v>0</v>
      </c>
      <c r="U936" s="149">
        <v>0</v>
      </c>
      <c r="V936" s="149">
        <v>0</v>
      </c>
      <c r="W936" s="149">
        <v>0</v>
      </c>
      <c r="X936" s="149">
        <v>0</v>
      </c>
      <c r="Y936" s="149">
        <v>0</v>
      </c>
      <c r="Z936" s="149">
        <v>0</v>
      </c>
      <c r="AA936" s="149">
        <v>0</v>
      </c>
      <c r="AB936" s="149">
        <v>0</v>
      </c>
      <c r="AC936" s="149">
        <v>0</v>
      </c>
      <c r="AD936" s="149">
        <v>0</v>
      </c>
      <c r="AE936" s="149">
        <v>0</v>
      </c>
      <c r="AF936" s="149">
        <v>0</v>
      </c>
      <c r="AG936" s="149">
        <v>0</v>
      </c>
    </row>
    <row r="937" spans="1:33" ht="14.25" hidden="1" customHeight="1" outlineLevel="1" x14ac:dyDescent="0.35">
      <c r="A937" s="21"/>
      <c r="B937" s="21"/>
      <c r="C937" s="21"/>
      <c r="D937" s="21" t="s">
        <v>4127</v>
      </c>
      <c r="E937" s="21"/>
      <c r="F937" s="21"/>
      <c r="G937" s="21"/>
      <c r="H937" s="21"/>
      <c r="I937" s="22" t="s">
        <v>3921</v>
      </c>
      <c r="J937" s="148">
        <f t="shared" ref="J937:Q937" si="609">J1181</f>
        <v>0</v>
      </c>
      <c r="K937" s="148">
        <f t="shared" si="609"/>
        <v>0</v>
      </c>
      <c r="L937" s="148">
        <f t="shared" si="609"/>
        <v>0</v>
      </c>
      <c r="M937" s="148">
        <f t="shared" si="609"/>
        <v>0</v>
      </c>
      <c r="N937" s="148">
        <f t="shared" si="609"/>
        <v>0</v>
      </c>
      <c r="O937" s="148">
        <f t="shared" si="609"/>
        <v>0</v>
      </c>
      <c r="P937" s="148">
        <f t="shared" si="609"/>
        <v>0</v>
      </c>
      <c r="Q937" s="148">
        <f t="shared" si="609"/>
        <v>0</v>
      </c>
      <c r="R937" s="149">
        <v>0</v>
      </c>
      <c r="S937" s="149">
        <v>0</v>
      </c>
      <c r="T937" s="149">
        <v>0</v>
      </c>
      <c r="U937" s="149">
        <v>0</v>
      </c>
      <c r="V937" s="149">
        <v>0</v>
      </c>
      <c r="W937" s="149">
        <v>0</v>
      </c>
      <c r="X937" s="149">
        <v>0</v>
      </c>
      <c r="Y937" s="149">
        <v>0</v>
      </c>
      <c r="Z937" s="149">
        <v>0</v>
      </c>
      <c r="AA937" s="149">
        <v>0</v>
      </c>
      <c r="AB937" s="149">
        <v>0</v>
      </c>
      <c r="AC937" s="149">
        <v>0</v>
      </c>
      <c r="AD937" s="149">
        <v>0</v>
      </c>
      <c r="AE937" s="149">
        <v>0</v>
      </c>
      <c r="AF937" s="149">
        <v>0</v>
      </c>
      <c r="AG937" s="149">
        <v>0</v>
      </c>
    </row>
    <row r="938" spans="1:33" ht="14.25" hidden="1" customHeight="1" outlineLevel="1" x14ac:dyDescent="0.35">
      <c r="A938" s="21"/>
      <c r="B938" s="21"/>
      <c r="C938" s="21"/>
      <c r="D938" s="21" t="s">
        <v>34</v>
      </c>
      <c r="E938" s="21"/>
      <c r="F938" s="21"/>
      <c r="G938" s="21"/>
      <c r="H938" s="21"/>
      <c r="I938" s="22" t="s">
        <v>3921</v>
      </c>
      <c r="J938" s="135">
        <f t="shared" ref="J938:Q938" si="610">J1190</f>
        <v>1226212.1121825308</v>
      </c>
      <c r="K938" s="135">
        <f t="shared" si="610"/>
        <v>467408.88681983715</v>
      </c>
      <c r="L938" s="135">
        <f t="shared" si="610"/>
        <v>0</v>
      </c>
      <c r="M938" s="135">
        <f t="shared" si="610"/>
        <v>0</v>
      </c>
      <c r="N938" s="135">
        <f t="shared" si="610"/>
        <v>0</v>
      </c>
      <c r="O938" s="135">
        <f t="shared" si="610"/>
        <v>0</v>
      </c>
      <c r="P938" s="148">
        <f t="shared" si="610"/>
        <v>112062.45601389879</v>
      </c>
      <c r="Q938" s="135">
        <f t="shared" si="610"/>
        <v>0</v>
      </c>
      <c r="R938" s="140">
        <v>227544.23309301399</v>
      </c>
      <c r="S938" s="140">
        <v>227958.996639558</v>
      </c>
      <c r="T938" s="140">
        <v>227449.53288768101</v>
      </c>
      <c r="U938" s="140">
        <v>227650.721985046</v>
      </c>
      <c r="V938" s="140">
        <v>227686.23878325999</v>
      </c>
      <c r="W938" s="140">
        <v>227595.45370114001</v>
      </c>
      <c r="X938" s="140">
        <v>227644.13248363999</v>
      </c>
      <c r="Y938" s="140">
        <v>227641.93606162601</v>
      </c>
      <c r="Z938" s="140">
        <v>227627.17203330901</v>
      </c>
      <c r="AA938" s="140">
        <v>227637.746628933</v>
      </c>
      <c r="AB938" s="140">
        <v>227635.61808437901</v>
      </c>
      <c r="AC938" s="140">
        <v>227633.51216408701</v>
      </c>
      <c r="AD938" s="140">
        <v>227635.62561364999</v>
      </c>
      <c r="AE938" s="140">
        <v>227634.91861668401</v>
      </c>
      <c r="AF938" s="140">
        <v>227634.68546166999</v>
      </c>
      <c r="AG938" s="140">
        <v>227635.076563351</v>
      </c>
    </row>
    <row r="939" spans="1:33" ht="14.25" hidden="1" customHeight="1" outlineLevel="1" x14ac:dyDescent="0.35">
      <c r="A939" s="21"/>
      <c r="B939" s="21"/>
      <c r="C939" s="21"/>
      <c r="D939" s="21" t="s">
        <v>4197</v>
      </c>
      <c r="E939" s="21"/>
      <c r="F939" s="21"/>
      <c r="G939" s="21"/>
      <c r="H939" s="21"/>
      <c r="I939" s="22" t="s">
        <v>3921</v>
      </c>
      <c r="J939" s="135">
        <f t="shared" ref="J939:Q939" si="611">J1184</f>
        <v>10180679.672882199</v>
      </c>
      <c r="K939" s="135">
        <f t="shared" si="611"/>
        <v>15591294.5972794</v>
      </c>
      <c r="L939" s="135">
        <f t="shared" si="611"/>
        <v>11920870.780448901</v>
      </c>
      <c r="M939" s="135">
        <f t="shared" si="611"/>
        <v>3150801.18279859</v>
      </c>
      <c r="N939" s="135">
        <f t="shared" si="611"/>
        <v>12296066.3029259</v>
      </c>
      <c r="O939" s="135">
        <f t="shared" si="611"/>
        <v>10653809.256783299</v>
      </c>
      <c r="P939" s="148">
        <f t="shared" si="611"/>
        <v>13916847.8984301</v>
      </c>
      <c r="Q939" s="135">
        <f t="shared" si="611"/>
        <v>10731501.8884393</v>
      </c>
      <c r="R939" s="140">
        <v>11144421.4490024</v>
      </c>
      <c r="S939" s="140">
        <v>11163220.745682901</v>
      </c>
      <c r="T939" s="140">
        <v>11140129.130473999</v>
      </c>
      <c r="U939" s="140">
        <v>11149248.093704401</v>
      </c>
      <c r="V939" s="140">
        <v>11150857.9044805</v>
      </c>
      <c r="W939" s="140">
        <v>11146743.040223099</v>
      </c>
      <c r="X939" s="140">
        <v>11148949.422345901</v>
      </c>
      <c r="Y939" s="140">
        <v>11148849.868782301</v>
      </c>
      <c r="Z939" s="140">
        <v>11148180.6842534</v>
      </c>
      <c r="AA939" s="140">
        <v>11148659.9813422</v>
      </c>
      <c r="AB939" s="140">
        <v>11148563.5043473</v>
      </c>
      <c r="AC939" s="140">
        <v>11148468.0528046</v>
      </c>
      <c r="AD939" s="140">
        <v>11148563.845613999</v>
      </c>
      <c r="AE939" s="140">
        <v>11148531.8007397</v>
      </c>
      <c r="AF939" s="140">
        <v>11148521.2329106</v>
      </c>
      <c r="AG939" s="140">
        <v>11148538.9597253</v>
      </c>
    </row>
    <row r="940" spans="1:33" ht="14.25" hidden="1" customHeight="1" outlineLevel="1" x14ac:dyDescent="0.35">
      <c r="A940" s="21"/>
      <c r="B940" s="21"/>
      <c r="C940" s="21"/>
      <c r="D940" s="21" t="s">
        <v>4274</v>
      </c>
      <c r="E940" s="21"/>
      <c r="F940" s="21"/>
      <c r="G940" s="21"/>
      <c r="H940" s="21"/>
      <c r="I940" s="22" t="s">
        <v>3921</v>
      </c>
      <c r="J940" s="135">
        <v>13053089.3722654</v>
      </c>
      <c r="K940" s="135">
        <v>12059353.8635816</v>
      </c>
      <c r="L940" s="135">
        <v>6401963.6545045096</v>
      </c>
      <c r="M940" s="135">
        <v>6283134.9787934897</v>
      </c>
      <c r="N940" s="135">
        <v>14550960.605334001</v>
      </c>
      <c r="O940" s="135">
        <v>5770631.67302009</v>
      </c>
      <c r="P940" s="148">
        <v>21869134.934776999</v>
      </c>
      <c r="Q940" s="135">
        <v>22312375.7439477</v>
      </c>
      <c r="R940" s="140">
        <v>12890743.7176637</v>
      </c>
      <c r="S940" s="140">
        <v>12912488.8496734</v>
      </c>
      <c r="T940" s="140">
        <v>12885778.7961236</v>
      </c>
      <c r="U940" s="140">
        <v>12896326.693877799</v>
      </c>
      <c r="V940" s="140">
        <v>12898188.7607642</v>
      </c>
      <c r="W940" s="140">
        <v>12893429.100442899</v>
      </c>
      <c r="X940" s="140">
        <v>12895981.2209471</v>
      </c>
      <c r="Y940" s="140">
        <v>12895866.0674168</v>
      </c>
      <c r="Z940" s="140">
        <v>12895092.022186801</v>
      </c>
      <c r="AA940" s="140">
        <v>12895646.4247608</v>
      </c>
      <c r="AB940" s="140">
        <v>12895534.829895001</v>
      </c>
      <c r="AC940" s="140">
        <v>12895424.4211691</v>
      </c>
      <c r="AD940" s="140">
        <v>12895535.224638</v>
      </c>
      <c r="AE940" s="140">
        <v>12895498.158356501</v>
      </c>
      <c r="AF940" s="140">
        <v>12895485.9345567</v>
      </c>
      <c r="AG940" s="140">
        <v>12895506.4391497</v>
      </c>
    </row>
    <row r="941" spans="1:33" ht="14.25" hidden="1" customHeight="1" outlineLevel="1" x14ac:dyDescent="0.35">
      <c r="A941" s="21"/>
      <c r="B941" s="21"/>
      <c r="C941" s="21"/>
      <c r="D941" s="21" t="s">
        <v>4275</v>
      </c>
      <c r="E941" s="21"/>
      <c r="F941" s="21"/>
      <c r="G941" s="21"/>
      <c r="H941" s="21"/>
      <c r="I941" s="22" t="s">
        <v>3921</v>
      </c>
      <c r="J941" s="135">
        <v>48767.243178467397</v>
      </c>
      <c r="K941" s="135">
        <v>32649.4172494173</v>
      </c>
      <c r="L941" s="135">
        <v>32104.7826609236</v>
      </c>
      <c r="M941" s="135">
        <v>0</v>
      </c>
      <c r="N941" s="135">
        <v>0</v>
      </c>
      <c r="O941" s="135">
        <v>0</v>
      </c>
      <c r="P941" s="148">
        <v>0</v>
      </c>
      <c r="Q941" s="135">
        <v>0</v>
      </c>
      <c r="R941" s="140">
        <v>14304.658898318599</v>
      </c>
      <c r="S941" s="140">
        <v>14328.7891349373</v>
      </c>
      <c r="T941" s="140">
        <v>14299.1494016873</v>
      </c>
      <c r="U941" s="140">
        <v>14310.854240660999</v>
      </c>
      <c r="V941" s="140">
        <v>14312.9205474809</v>
      </c>
      <c r="W941" s="140">
        <v>14307.6388260488</v>
      </c>
      <c r="X941" s="140">
        <v>14310.470874694</v>
      </c>
      <c r="Y941" s="140">
        <v>14310.343090602601</v>
      </c>
      <c r="Z941" s="140">
        <v>14309.4841445846</v>
      </c>
      <c r="AA941" s="140">
        <v>14310.099356545001</v>
      </c>
      <c r="AB941" s="140">
        <v>14309.975521448599</v>
      </c>
      <c r="AC941" s="140">
        <v>14309.8530025933</v>
      </c>
      <c r="AD941" s="140">
        <v>14309.9759594888</v>
      </c>
      <c r="AE941" s="140">
        <v>14309.934827609601</v>
      </c>
      <c r="AF941" s="140">
        <v>14309.9212630481</v>
      </c>
      <c r="AG941" s="140">
        <v>14309.9440166777</v>
      </c>
    </row>
    <row r="942" spans="1:33" ht="14.25" hidden="1" customHeight="1" outlineLevel="1" x14ac:dyDescent="0.35">
      <c r="A942" s="21"/>
      <c r="B942" s="21"/>
      <c r="C942" s="21"/>
      <c r="D942" s="21" t="s">
        <v>4276</v>
      </c>
      <c r="E942" s="21"/>
      <c r="F942" s="21"/>
      <c r="G942" s="21"/>
      <c r="H942" s="21"/>
      <c r="I942" s="22" t="s">
        <v>3921</v>
      </c>
      <c r="J942" s="135">
        <v>15946.150418830701</v>
      </c>
      <c r="K942" s="135">
        <v>6196.0456155623397</v>
      </c>
      <c r="L942" s="135">
        <v>0</v>
      </c>
      <c r="M942" s="135">
        <v>0</v>
      </c>
      <c r="N942" s="135">
        <v>0</v>
      </c>
      <c r="O942" s="135">
        <v>0</v>
      </c>
      <c r="P942" s="148">
        <v>1980.3006467723201</v>
      </c>
      <c r="Q942" s="135">
        <v>0</v>
      </c>
      <c r="R942" s="140">
        <v>3039.6379521880199</v>
      </c>
      <c r="S942" s="140">
        <v>3044.7654553003099</v>
      </c>
      <c r="T942" s="140">
        <v>3038.4672234640898</v>
      </c>
      <c r="U942" s="140">
        <v>3040.9544182320201</v>
      </c>
      <c r="V942" s="140">
        <v>3041.3934936881401</v>
      </c>
      <c r="W942" s="140">
        <v>3040.27116556891</v>
      </c>
      <c r="X942" s="140">
        <v>3040.8729556993399</v>
      </c>
      <c r="Y942" s="140">
        <v>3040.8458024916699</v>
      </c>
      <c r="Z942" s="140">
        <v>3040.6632825914098</v>
      </c>
      <c r="AA942" s="140">
        <v>3040.7940107434501</v>
      </c>
      <c r="AB942" s="140">
        <v>3040.7676966690401</v>
      </c>
      <c r="AC942" s="140">
        <v>3040.7416622864698</v>
      </c>
      <c r="AD942" s="140">
        <v>3040.76778974945</v>
      </c>
      <c r="AE942" s="140">
        <v>3040.75904951861</v>
      </c>
      <c r="AF942" s="140">
        <v>3040.7561671460599</v>
      </c>
      <c r="AG942" s="140">
        <v>3040.7610021300102</v>
      </c>
    </row>
    <row r="943" spans="1:33" ht="14.25" hidden="1" customHeight="1" outlineLevel="1" x14ac:dyDescent="0.35">
      <c r="A943" s="21"/>
      <c r="B943" s="21"/>
      <c r="C943" s="21"/>
      <c r="D943" s="21" t="s">
        <v>4277</v>
      </c>
      <c r="E943" s="21"/>
      <c r="F943" s="21"/>
      <c r="G943" s="21"/>
      <c r="H943" s="21"/>
      <c r="I943" s="22" t="s">
        <v>3921</v>
      </c>
      <c r="J943" s="135">
        <v>3329755.1361949402</v>
      </c>
      <c r="K943" s="135">
        <v>2625961.9103707001</v>
      </c>
      <c r="L943" s="135">
        <v>922499.79582154599</v>
      </c>
      <c r="M943" s="135">
        <v>1381467.27002956</v>
      </c>
      <c r="N943" s="135">
        <v>3619495.08503875</v>
      </c>
      <c r="O943" s="135">
        <v>453372.55013558501</v>
      </c>
      <c r="P943" s="148">
        <v>5172076.2935101101</v>
      </c>
      <c r="Q943" s="135">
        <v>5628072.1168194897</v>
      </c>
      <c r="R943" s="140">
        <v>2914915.2455476499</v>
      </c>
      <c r="S943" s="140">
        <v>2919832.3564762198</v>
      </c>
      <c r="T943" s="140">
        <v>2913792.5542734098</v>
      </c>
      <c r="U943" s="140">
        <v>2916177.69423472</v>
      </c>
      <c r="V943" s="140">
        <v>2916598.7535059601</v>
      </c>
      <c r="W943" s="140">
        <v>2915522.4768583099</v>
      </c>
      <c r="X943" s="140">
        <v>2916099.5742802499</v>
      </c>
      <c r="Y943" s="140">
        <v>2916073.5352255101</v>
      </c>
      <c r="Z943" s="140">
        <v>2915898.5044987402</v>
      </c>
      <c r="AA943" s="140">
        <v>2916023.8686011098</v>
      </c>
      <c r="AB943" s="140">
        <v>2915998.6342482502</v>
      </c>
      <c r="AC943" s="140">
        <v>2915973.6681108801</v>
      </c>
      <c r="AD943" s="140">
        <v>2915998.7235093699</v>
      </c>
      <c r="AE943" s="140">
        <v>2915990.3419084898</v>
      </c>
      <c r="AF943" s="140">
        <v>2915987.5778057198</v>
      </c>
      <c r="AG943" s="140">
        <v>2915992.2144001601</v>
      </c>
    </row>
    <row r="944" spans="1:33" ht="14.25" hidden="1" customHeight="1" outlineLevel="1" x14ac:dyDescent="0.35">
      <c r="A944" s="21"/>
      <c r="B944" s="21"/>
      <c r="C944" s="21"/>
      <c r="D944" s="21" t="s">
        <v>4032</v>
      </c>
      <c r="E944" s="21"/>
      <c r="F944" s="21"/>
      <c r="G944" s="21"/>
      <c r="H944" s="21"/>
      <c r="I944" s="22" t="s">
        <v>3921</v>
      </c>
      <c r="J944" s="135">
        <f t="shared" ref="J944:AG944" si="612">J222</f>
        <v>16987792.75302263</v>
      </c>
      <c r="K944" s="135">
        <f t="shared" si="612"/>
        <v>14293201.247253994</v>
      </c>
      <c r="L944" s="135">
        <f t="shared" si="612"/>
        <v>6804926.4574695854</v>
      </c>
      <c r="M944" s="135">
        <f t="shared" si="612"/>
        <v>9971951.1109195836</v>
      </c>
      <c r="N944" s="135">
        <f t="shared" si="612"/>
        <v>21314012.325303547</v>
      </c>
      <c r="O944" s="135">
        <f t="shared" si="612"/>
        <v>8543461.492286196</v>
      </c>
      <c r="P944" s="148">
        <f t="shared" si="612"/>
        <v>32311897.701527134</v>
      </c>
      <c r="Q944" s="135">
        <f t="shared" si="612"/>
        <v>34222295.688293092</v>
      </c>
      <c r="R944" s="140">
        <f t="shared" si="612"/>
        <v>0</v>
      </c>
      <c r="S944" s="140">
        <f t="shared" si="612"/>
        <v>0</v>
      </c>
      <c r="T944" s="140">
        <f t="shared" si="612"/>
        <v>0</v>
      </c>
      <c r="U944" s="140">
        <f t="shared" si="612"/>
        <v>0</v>
      </c>
      <c r="V944" s="140">
        <f t="shared" si="612"/>
        <v>0</v>
      </c>
      <c r="W944" s="140">
        <f t="shared" si="612"/>
        <v>0</v>
      </c>
      <c r="X944" s="140">
        <f t="shared" si="612"/>
        <v>0</v>
      </c>
      <c r="Y944" s="140">
        <f t="shared" si="612"/>
        <v>0</v>
      </c>
      <c r="Z944" s="140">
        <f t="shared" si="612"/>
        <v>0</v>
      </c>
      <c r="AA944" s="140">
        <f t="shared" si="612"/>
        <v>0</v>
      </c>
      <c r="AB944" s="140">
        <f t="shared" si="612"/>
        <v>0</v>
      </c>
      <c r="AC944" s="140">
        <f t="shared" si="612"/>
        <v>0</v>
      </c>
      <c r="AD944" s="140">
        <f t="shared" si="612"/>
        <v>0</v>
      </c>
      <c r="AE944" s="140">
        <f t="shared" si="612"/>
        <v>0</v>
      </c>
      <c r="AF944" s="140">
        <f t="shared" si="612"/>
        <v>0</v>
      </c>
      <c r="AG944" s="140">
        <f t="shared" si="612"/>
        <v>0</v>
      </c>
    </row>
    <row r="945" spans="1:33" ht="14.25" hidden="1" customHeight="1" outlineLevel="1" x14ac:dyDescent="0.35">
      <c r="A945" s="21"/>
      <c r="B945" s="21"/>
      <c r="C945" s="21"/>
      <c r="D945" s="21" t="s">
        <v>4033</v>
      </c>
      <c r="E945" s="21"/>
      <c r="F945" s="21"/>
      <c r="G945" s="21"/>
      <c r="H945" s="21"/>
      <c r="I945" s="22" t="s">
        <v>3921</v>
      </c>
      <c r="J945" s="135">
        <f t="shared" ref="J945:AG945" si="613">J227</f>
        <v>5286017.8259328213</v>
      </c>
      <c r="K945" s="135">
        <f t="shared" si="613"/>
        <v>5268784.2949846992</v>
      </c>
      <c r="L945" s="135">
        <f t="shared" si="613"/>
        <v>3280552.13383723</v>
      </c>
      <c r="M945" s="135">
        <f t="shared" si="613"/>
        <v>3068115.6563460995</v>
      </c>
      <c r="N945" s="135">
        <f t="shared" si="613"/>
        <v>6089007.7419061884</v>
      </c>
      <c r="O945" s="135">
        <f t="shared" si="613"/>
        <v>2318509.8592862687</v>
      </c>
      <c r="P945" s="148">
        <f t="shared" si="613"/>
        <v>8250773.4372449219</v>
      </c>
      <c r="Q945" s="135">
        <f t="shared" si="613"/>
        <v>7129284.0860982854</v>
      </c>
      <c r="R945" s="140">
        <f t="shared" si="613"/>
        <v>0</v>
      </c>
      <c r="S945" s="140">
        <f t="shared" si="613"/>
        <v>0</v>
      </c>
      <c r="T945" s="140">
        <f t="shared" si="613"/>
        <v>0</v>
      </c>
      <c r="U945" s="140">
        <f t="shared" si="613"/>
        <v>0</v>
      </c>
      <c r="V945" s="140">
        <f t="shared" si="613"/>
        <v>0</v>
      </c>
      <c r="W945" s="140">
        <f t="shared" si="613"/>
        <v>0</v>
      </c>
      <c r="X945" s="140">
        <f t="shared" si="613"/>
        <v>0</v>
      </c>
      <c r="Y945" s="140">
        <f t="shared" si="613"/>
        <v>0</v>
      </c>
      <c r="Z945" s="140">
        <f t="shared" si="613"/>
        <v>0</v>
      </c>
      <c r="AA945" s="140">
        <f t="shared" si="613"/>
        <v>0</v>
      </c>
      <c r="AB945" s="140">
        <f t="shared" si="613"/>
        <v>0</v>
      </c>
      <c r="AC945" s="140">
        <f t="shared" si="613"/>
        <v>0</v>
      </c>
      <c r="AD945" s="140">
        <f t="shared" si="613"/>
        <v>0</v>
      </c>
      <c r="AE945" s="140">
        <f t="shared" si="613"/>
        <v>0</v>
      </c>
      <c r="AF945" s="140">
        <f t="shared" si="613"/>
        <v>0</v>
      </c>
      <c r="AG945" s="140">
        <f t="shared" si="613"/>
        <v>0</v>
      </c>
    </row>
    <row r="946" spans="1:33" ht="14.25" hidden="1" customHeight="1" outlineLevel="1" x14ac:dyDescent="0.35">
      <c r="A946" s="21"/>
      <c r="B946" s="21"/>
      <c r="C946" s="21"/>
      <c r="D946" s="21" t="s">
        <v>4034</v>
      </c>
      <c r="E946" s="21"/>
      <c r="F946" s="21"/>
      <c r="G946" s="21"/>
      <c r="H946" s="21"/>
      <c r="I946" s="22" t="s">
        <v>3921</v>
      </c>
      <c r="J946" s="135">
        <f t="shared" ref="J946:AG946" si="614">J232</f>
        <v>0</v>
      </c>
      <c r="K946" s="135">
        <f t="shared" si="614"/>
        <v>0</v>
      </c>
      <c r="L946" s="135">
        <f t="shared" si="614"/>
        <v>0</v>
      </c>
      <c r="M946" s="135">
        <f t="shared" si="614"/>
        <v>94876.34511884184</v>
      </c>
      <c r="N946" s="135">
        <f t="shared" si="614"/>
        <v>0</v>
      </c>
      <c r="O946" s="135">
        <f t="shared" si="614"/>
        <v>0</v>
      </c>
      <c r="P946" s="148">
        <f t="shared" si="614"/>
        <v>115294.8698146051</v>
      </c>
      <c r="Q946" s="135">
        <f t="shared" si="614"/>
        <v>0</v>
      </c>
      <c r="R946" s="140">
        <f t="shared" si="614"/>
        <v>0</v>
      </c>
      <c r="S946" s="140">
        <f t="shared" si="614"/>
        <v>0</v>
      </c>
      <c r="T946" s="140">
        <f t="shared" si="614"/>
        <v>0</v>
      </c>
      <c r="U946" s="140">
        <f t="shared" si="614"/>
        <v>0</v>
      </c>
      <c r="V946" s="140">
        <f t="shared" si="614"/>
        <v>0</v>
      </c>
      <c r="W946" s="140">
        <f t="shared" si="614"/>
        <v>0</v>
      </c>
      <c r="X946" s="140">
        <f t="shared" si="614"/>
        <v>0</v>
      </c>
      <c r="Y946" s="140">
        <f t="shared" si="614"/>
        <v>0</v>
      </c>
      <c r="Z946" s="140">
        <f t="shared" si="614"/>
        <v>0</v>
      </c>
      <c r="AA946" s="140">
        <f t="shared" si="614"/>
        <v>0</v>
      </c>
      <c r="AB946" s="140">
        <f t="shared" si="614"/>
        <v>0</v>
      </c>
      <c r="AC946" s="140">
        <f t="shared" si="614"/>
        <v>0</v>
      </c>
      <c r="AD946" s="140">
        <f t="shared" si="614"/>
        <v>0</v>
      </c>
      <c r="AE946" s="140">
        <f t="shared" si="614"/>
        <v>0</v>
      </c>
      <c r="AF946" s="140">
        <f t="shared" si="614"/>
        <v>0</v>
      </c>
      <c r="AG946" s="140">
        <f t="shared" si="614"/>
        <v>0</v>
      </c>
    </row>
    <row r="947" spans="1:33" ht="14.25" hidden="1" customHeight="1" outlineLevel="1" x14ac:dyDescent="0.35">
      <c r="A947" s="21"/>
      <c r="B947" s="21"/>
      <c r="C947" s="21"/>
      <c r="D947" s="21" t="s">
        <v>4035</v>
      </c>
      <c r="E947" s="21"/>
      <c r="F947" s="21"/>
      <c r="G947" s="21"/>
      <c r="H947" s="21"/>
      <c r="I947" s="22" t="s">
        <v>3921</v>
      </c>
      <c r="J947" s="135">
        <f t="shared" ref="J947:AG947" si="615">J237</f>
        <v>13878930.661401128</v>
      </c>
      <c r="K947" s="135">
        <f t="shared" si="615"/>
        <v>10214880.865509421</v>
      </c>
      <c r="L947" s="135">
        <f t="shared" si="615"/>
        <v>6360086.2489970429</v>
      </c>
      <c r="M947" s="135">
        <f t="shared" si="615"/>
        <v>10289126.028793352</v>
      </c>
      <c r="N947" s="135">
        <f t="shared" si="615"/>
        <v>17136190.920772593</v>
      </c>
      <c r="O947" s="135">
        <f t="shared" si="615"/>
        <v>1966822.433267164</v>
      </c>
      <c r="P947" s="148">
        <f t="shared" si="615"/>
        <v>22750808.023317516</v>
      </c>
      <c r="Q947" s="135">
        <f t="shared" si="615"/>
        <v>24189243.496959664</v>
      </c>
      <c r="R947" s="140">
        <f t="shared" si="615"/>
        <v>14581407.43121334</v>
      </c>
      <c r="S947" s="140">
        <f t="shared" si="615"/>
        <v>14581601.611320168</v>
      </c>
      <c r="T947" s="140">
        <f t="shared" si="615"/>
        <v>14524730.716859348</v>
      </c>
      <c r="U947" s="140">
        <f t="shared" si="615"/>
        <v>14414924.889475379</v>
      </c>
      <c r="V947" s="140">
        <f t="shared" si="615"/>
        <v>14414941.33850491</v>
      </c>
      <c r="W947" s="140">
        <f t="shared" si="615"/>
        <v>14414899.283490926</v>
      </c>
      <c r="X947" s="140">
        <f t="shared" si="615"/>
        <v>14414921.837136317</v>
      </c>
      <c r="Y947" s="140">
        <f t="shared" si="615"/>
        <v>14033516.270964097</v>
      </c>
      <c r="Z947" s="140">
        <f t="shared" si="615"/>
        <v>14033509.612340998</v>
      </c>
      <c r="AA947" s="140">
        <f t="shared" si="615"/>
        <v>14015197.755076837</v>
      </c>
      <c r="AB947" s="140">
        <f t="shared" si="615"/>
        <v>14006300.149807474</v>
      </c>
      <c r="AC947" s="140">
        <f t="shared" si="615"/>
        <v>13986412.581499461</v>
      </c>
      <c r="AD947" s="140">
        <f t="shared" si="615"/>
        <v>13986413.531472635</v>
      </c>
      <c r="AE947" s="140">
        <f t="shared" si="615"/>
        <v>13986413.213686761</v>
      </c>
      <c r="AF947" s="140">
        <f t="shared" si="615"/>
        <v>13986413.108886274</v>
      </c>
      <c r="AG947" s="140">
        <f t="shared" si="615"/>
        <v>13986413.284681896</v>
      </c>
    </row>
    <row r="948" spans="1:33" ht="14.25" hidden="1" customHeight="1" outlineLevel="1" x14ac:dyDescent="0.35">
      <c r="A948" s="21"/>
      <c r="B948" s="21"/>
      <c r="C948" s="21"/>
      <c r="D948" s="21" t="s">
        <v>4036</v>
      </c>
      <c r="E948" s="21"/>
      <c r="F948" s="21"/>
      <c r="G948" s="21"/>
      <c r="H948" s="21"/>
      <c r="I948" s="22" t="s">
        <v>3921</v>
      </c>
      <c r="J948" s="135">
        <f t="shared" ref="J948:AG948" si="616">J242</f>
        <v>2072071.8443904738</v>
      </c>
      <c r="K948" s="135">
        <f t="shared" si="616"/>
        <v>2404778.2803529403</v>
      </c>
      <c r="L948" s="135">
        <f t="shared" si="616"/>
        <v>814416.17829305062</v>
      </c>
      <c r="M948" s="135">
        <f t="shared" si="616"/>
        <v>763326.86743020487</v>
      </c>
      <c r="N948" s="135">
        <f t="shared" si="616"/>
        <v>263185.52663007361</v>
      </c>
      <c r="O948" s="135">
        <f t="shared" si="616"/>
        <v>397256.64951451228</v>
      </c>
      <c r="P948" s="148">
        <f t="shared" si="616"/>
        <v>1874275.185526584</v>
      </c>
      <c r="Q948" s="135">
        <f t="shared" si="616"/>
        <v>195128.01505526743</v>
      </c>
      <c r="R948" s="140">
        <f t="shared" si="616"/>
        <v>989557.92846632167</v>
      </c>
      <c r="S948" s="140">
        <f t="shared" si="616"/>
        <v>993290.51619913301</v>
      </c>
      <c r="T948" s="140">
        <f t="shared" si="616"/>
        <v>966097.78891884477</v>
      </c>
      <c r="U948" s="140">
        <f t="shared" si="616"/>
        <v>967542.62652354583</v>
      </c>
      <c r="V948" s="140">
        <f t="shared" si="616"/>
        <v>961979.31997527857</v>
      </c>
      <c r="W948" s="140">
        <f t="shared" si="616"/>
        <v>957873.29857881588</v>
      </c>
      <c r="X948" s="140">
        <f t="shared" si="616"/>
        <v>955928.43609026272</v>
      </c>
      <c r="Y948" s="140">
        <f t="shared" si="616"/>
        <v>955656.96239682939</v>
      </c>
      <c r="Z948" s="140">
        <f t="shared" si="616"/>
        <v>951709.25541361701</v>
      </c>
      <c r="AA948" s="140">
        <f t="shared" si="616"/>
        <v>949673.62538972741</v>
      </c>
      <c r="AB948" s="140">
        <f t="shared" si="616"/>
        <v>949644.73997261643</v>
      </c>
      <c r="AC948" s="140">
        <f t="shared" si="616"/>
        <v>945676.92566270381</v>
      </c>
      <c r="AD948" s="140">
        <f t="shared" si="616"/>
        <v>944866.61253792397</v>
      </c>
      <c r="AE948" s="140">
        <f t="shared" si="616"/>
        <v>940670.86198632536</v>
      </c>
      <c r="AF948" s="140">
        <f t="shared" si="616"/>
        <v>940037.6152412924</v>
      </c>
      <c r="AG948" s="140">
        <f t="shared" si="616"/>
        <v>936678.07278676168</v>
      </c>
    </row>
    <row r="949" spans="1:33" ht="14.25" hidden="1" customHeight="1" outlineLevel="1" x14ac:dyDescent="0.35">
      <c r="A949" s="21"/>
      <c r="B949" s="21"/>
      <c r="C949" s="21" t="s">
        <v>4278</v>
      </c>
      <c r="D949" s="21"/>
      <c r="E949" s="21"/>
      <c r="F949" s="21"/>
      <c r="G949" s="21"/>
      <c r="H949" s="21"/>
      <c r="I949" s="22" t="s">
        <v>3921</v>
      </c>
      <c r="J949" s="21">
        <f t="shared" ref="J949:AG949" si="617">SUM(J930:J939)+SUM(J944:J948)</f>
        <v>83818101.233302236</v>
      </c>
      <c r="K949" s="21">
        <f t="shared" si="617"/>
        <v>70947391.730463088</v>
      </c>
      <c r="L949" s="21">
        <f t="shared" si="617"/>
        <v>29180851.799045809</v>
      </c>
      <c r="M949" s="21">
        <f t="shared" si="617"/>
        <v>42436041.39106822</v>
      </c>
      <c r="N949" s="21">
        <f t="shared" si="617"/>
        <v>57906749.130788155</v>
      </c>
      <c r="O949" s="21">
        <f t="shared" si="617"/>
        <v>23879859.691137441</v>
      </c>
      <c r="P949" s="60">
        <f t="shared" si="617"/>
        <v>109066661.23732331</v>
      </c>
      <c r="Q949" s="21">
        <f t="shared" si="617"/>
        <v>76725653.200982541</v>
      </c>
      <c r="R949" s="7">
        <f t="shared" si="617"/>
        <v>41874377.13377551</v>
      </c>
      <c r="S949" s="7">
        <f t="shared" si="617"/>
        <v>42029542.230892651</v>
      </c>
      <c r="T949" s="7">
        <f t="shared" si="617"/>
        <v>42082585.192410156</v>
      </c>
      <c r="U949" s="7">
        <f t="shared" si="617"/>
        <v>41995982.996470049</v>
      </c>
      <c r="V949" s="7">
        <f t="shared" si="617"/>
        <v>41994277.314742103</v>
      </c>
      <c r="W949" s="7">
        <f t="shared" si="617"/>
        <v>41980310.744628936</v>
      </c>
      <c r="X949" s="7">
        <f t="shared" si="617"/>
        <v>41983653.092800759</v>
      </c>
      <c r="Y949" s="7">
        <f t="shared" si="617"/>
        <v>41601738.5077876</v>
      </c>
      <c r="Z949" s="7">
        <f t="shared" si="617"/>
        <v>41596187.398358792</v>
      </c>
      <c r="AA949" s="7">
        <f t="shared" si="617"/>
        <v>41576983.56372948</v>
      </c>
      <c r="AB949" s="7">
        <f t="shared" si="617"/>
        <v>41567826.86890801</v>
      </c>
      <c r="AC949" s="7">
        <f t="shared" si="617"/>
        <v>41543743.728990719</v>
      </c>
      <c r="AD949" s="7">
        <f t="shared" si="617"/>
        <v>41543162.937436335</v>
      </c>
      <c r="AE949" s="7">
        <f t="shared" si="617"/>
        <v>41538890.406698942</v>
      </c>
      <c r="AF949" s="7">
        <f t="shared" si="617"/>
        <v>41538231.839215025</v>
      </c>
      <c r="AG949" s="7">
        <f t="shared" si="617"/>
        <v>41534914.770578079</v>
      </c>
    </row>
    <row r="950" spans="1:33" ht="14.25" hidden="1" customHeight="1" outlineLevel="1" x14ac:dyDescent="0.35">
      <c r="A950" s="21"/>
      <c r="B950" s="21"/>
      <c r="C950" s="21"/>
      <c r="D950" s="21" t="s">
        <v>4279</v>
      </c>
      <c r="E950" s="21"/>
      <c r="F950" s="21"/>
      <c r="G950" s="21"/>
      <c r="H950" s="21"/>
      <c r="I950" s="22" t="s">
        <v>3921</v>
      </c>
      <c r="J950" s="21">
        <v>0</v>
      </c>
      <c r="K950" s="21">
        <v>0</v>
      </c>
      <c r="L950" s="21">
        <v>0</v>
      </c>
      <c r="M950" s="21">
        <v>0</v>
      </c>
      <c r="N950" s="21">
        <v>0</v>
      </c>
      <c r="O950" s="21">
        <v>0</v>
      </c>
      <c r="P950" s="60">
        <v>0</v>
      </c>
      <c r="Q950" s="21">
        <v>0</v>
      </c>
      <c r="R950" s="7">
        <f t="shared" ref="R950:AG950" si="618">-Q951</f>
        <v>0</v>
      </c>
      <c r="S950" s="7">
        <f t="shared" si="618"/>
        <v>0</v>
      </c>
      <c r="T950" s="7">
        <f t="shared" si="618"/>
        <v>0</v>
      </c>
      <c r="U950" s="7">
        <f t="shared" si="618"/>
        <v>0</v>
      </c>
      <c r="V950" s="7">
        <f t="shared" si="618"/>
        <v>0</v>
      </c>
      <c r="W950" s="7">
        <f t="shared" si="618"/>
        <v>0</v>
      </c>
      <c r="X950" s="7">
        <f t="shared" si="618"/>
        <v>0</v>
      </c>
      <c r="Y950" s="7">
        <f t="shared" si="618"/>
        <v>0</v>
      </c>
      <c r="Z950" s="7">
        <f t="shared" si="618"/>
        <v>0</v>
      </c>
      <c r="AA950" s="7">
        <f t="shared" si="618"/>
        <v>0</v>
      </c>
      <c r="AB950" s="7">
        <f t="shared" si="618"/>
        <v>0</v>
      </c>
      <c r="AC950" s="7">
        <f t="shared" si="618"/>
        <v>0</v>
      </c>
      <c r="AD950" s="7">
        <f t="shared" si="618"/>
        <v>0</v>
      </c>
      <c r="AE950" s="7">
        <f t="shared" si="618"/>
        <v>0</v>
      </c>
      <c r="AF950" s="7">
        <f t="shared" si="618"/>
        <v>0</v>
      </c>
      <c r="AG950" s="7">
        <f t="shared" si="618"/>
        <v>0</v>
      </c>
    </row>
    <row r="951" spans="1:33" ht="14.25" hidden="1" customHeight="1" outlineLevel="1" x14ac:dyDescent="0.35">
      <c r="A951" s="21"/>
      <c r="B951" s="21"/>
      <c r="C951" s="21"/>
      <c r="D951" s="21" t="s">
        <v>4280</v>
      </c>
      <c r="E951" s="21"/>
      <c r="F951" s="21"/>
      <c r="G951" s="21"/>
      <c r="H951" s="21"/>
      <c r="I951" s="22" t="s">
        <v>3921</v>
      </c>
      <c r="J951" s="21">
        <v>0</v>
      </c>
      <c r="K951" s="21">
        <v>0</v>
      </c>
      <c r="L951" s="21">
        <v>0</v>
      </c>
      <c r="M951" s="21">
        <v>0</v>
      </c>
      <c r="N951" s="21">
        <v>0</v>
      </c>
      <c r="O951" s="21">
        <v>0</v>
      </c>
      <c r="P951" s="60">
        <v>0</v>
      </c>
      <c r="Q951" s="21">
        <v>0</v>
      </c>
      <c r="R951" s="7">
        <v>0</v>
      </c>
      <c r="S951" s="7">
        <v>0</v>
      </c>
      <c r="T951" s="7">
        <v>0</v>
      </c>
      <c r="U951" s="7">
        <v>0</v>
      </c>
      <c r="V951" s="7">
        <v>0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</row>
    <row r="952" spans="1:33" ht="14.25" hidden="1" customHeight="1" outlineLevel="1" x14ac:dyDescent="0.35">
      <c r="A952" s="21"/>
      <c r="B952" s="21"/>
      <c r="C952" s="21" t="s">
        <v>4281</v>
      </c>
      <c r="D952" s="21"/>
      <c r="E952" s="21"/>
      <c r="F952" s="21"/>
      <c r="G952" s="21"/>
      <c r="H952" s="21"/>
      <c r="I952" s="22" t="s">
        <v>3921</v>
      </c>
      <c r="J952" s="21">
        <f t="shared" ref="J952:AG952" si="619">SUM(J949:J951)</f>
        <v>83818101.233302236</v>
      </c>
      <c r="K952" s="21">
        <f t="shared" si="619"/>
        <v>70947391.730463088</v>
      </c>
      <c r="L952" s="21">
        <f t="shared" si="619"/>
        <v>29180851.799045809</v>
      </c>
      <c r="M952" s="21">
        <f t="shared" si="619"/>
        <v>42436041.39106822</v>
      </c>
      <c r="N952" s="21">
        <f t="shared" si="619"/>
        <v>57906749.130788155</v>
      </c>
      <c r="O952" s="21">
        <f t="shared" si="619"/>
        <v>23879859.691137441</v>
      </c>
      <c r="P952" s="60">
        <f t="shared" si="619"/>
        <v>109066661.23732331</v>
      </c>
      <c r="Q952" s="21">
        <f t="shared" si="619"/>
        <v>76725653.200982541</v>
      </c>
      <c r="R952" s="7">
        <f t="shared" si="619"/>
        <v>41874377.13377551</v>
      </c>
      <c r="S952" s="7">
        <f t="shared" si="619"/>
        <v>42029542.230892651</v>
      </c>
      <c r="T952" s="7">
        <f t="shared" si="619"/>
        <v>42082585.192410156</v>
      </c>
      <c r="U952" s="7">
        <f t="shared" si="619"/>
        <v>41995982.996470049</v>
      </c>
      <c r="V952" s="7">
        <f t="shared" si="619"/>
        <v>41994277.314742103</v>
      </c>
      <c r="W952" s="7">
        <f t="shared" si="619"/>
        <v>41980310.744628936</v>
      </c>
      <c r="X952" s="7">
        <f t="shared" si="619"/>
        <v>41983653.092800759</v>
      </c>
      <c r="Y952" s="7">
        <f t="shared" si="619"/>
        <v>41601738.5077876</v>
      </c>
      <c r="Z952" s="7">
        <f t="shared" si="619"/>
        <v>41596187.398358792</v>
      </c>
      <c r="AA952" s="7">
        <f t="shared" si="619"/>
        <v>41576983.56372948</v>
      </c>
      <c r="AB952" s="7">
        <f t="shared" si="619"/>
        <v>41567826.86890801</v>
      </c>
      <c r="AC952" s="7">
        <f t="shared" si="619"/>
        <v>41543743.728990719</v>
      </c>
      <c r="AD952" s="7">
        <f t="shared" si="619"/>
        <v>41543162.937436335</v>
      </c>
      <c r="AE952" s="7">
        <f t="shared" si="619"/>
        <v>41538890.406698942</v>
      </c>
      <c r="AF952" s="7">
        <f t="shared" si="619"/>
        <v>41538231.839215025</v>
      </c>
      <c r="AG952" s="7">
        <f t="shared" si="619"/>
        <v>41534914.770578079</v>
      </c>
    </row>
    <row r="953" spans="1:33" ht="14.25" hidden="1" customHeight="1" outlineLevel="1" x14ac:dyDescent="0.35">
      <c r="A953" s="21"/>
      <c r="B953" s="21"/>
      <c r="C953" s="21"/>
      <c r="D953" s="21" t="s">
        <v>4282</v>
      </c>
      <c r="E953" s="21"/>
      <c r="F953" s="21"/>
      <c r="G953" s="21"/>
      <c r="H953" s="21"/>
      <c r="I953" s="22" t="s">
        <v>3921</v>
      </c>
      <c r="J953" s="21">
        <v>0</v>
      </c>
      <c r="K953" s="21">
        <v>0</v>
      </c>
      <c r="L953" s="21">
        <v>0</v>
      </c>
      <c r="M953" s="21">
        <v>0</v>
      </c>
      <c r="N953" s="21">
        <v>0</v>
      </c>
      <c r="O953" s="21">
        <v>0</v>
      </c>
      <c r="P953" s="60">
        <v>0</v>
      </c>
      <c r="Q953" s="21">
        <v>0</v>
      </c>
      <c r="R953" s="7">
        <f t="shared" ref="R953:AG953" si="620">-Q954</f>
        <v>0</v>
      </c>
      <c r="S953" s="7">
        <f t="shared" si="620"/>
        <v>0</v>
      </c>
      <c r="T953" s="7">
        <f t="shared" si="620"/>
        <v>0</v>
      </c>
      <c r="U953" s="7">
        <f t="shared" si="620"/>
        <v>0</v>
      </c>
      <c r="V953" s="7">
        <f t="shared" si="620"/>
        <v>0</v>
      </c>
      <c r="W953" s="7">
        <f t="shared" si="620"/>
        <v>0</v>
      </c>
      <c r="X953" s="7">
        <f t="shared" si="620"/>
        <v>0</v>
      </c>
      <c r="Y953" s="7">
        <f t="shared" si="620"/>
        <v>0</v>
      </c>
      <c r="Z953" s="7">
        <f t="shared" si="620"/>
        <v>0</v>
      </c>
      <c r="AA953" s="7">
        <f t="shared" si="620"/>
        <v>0</v>
      </c>
      <c r="AB953" s="7">
        <f t="shared" si="620"/>
        <v>0</v>
      </c>
      <c r="AC953" s="7">
        <f t="shared" si="620"/>
        <v>0</v>
      </c>
      <c r="AD953" s="7">
        <f t="shared" si="620"/>
        <v>0</v>
      </c>
      <c r="AE953" s="7">
        <f t="shared" si="620"/>
        <v>0</v>
      </c>
      <c r="AF953" s="7">
        <f t="shared" si="620"/>
        <v>0</v>
      </c>
      <c r="AG953" s="7">
        <f t="shared" si="620"/>
        <v>0</v>
      </c>
    </row>
    <row r="954" spans="1:33" ht="14.25" hidden="1" customHeight="1" outlineLevel="1" x14ac:dyDescent="0.35">
      <c r="A954" s="21"/>
      <c r="B954" s="21"/>
      <c r="C954" s="21"/>
      <c r="D954" s="21" t="s">
        <v>4283</v>
      </c>
      <c r="E954" s="21"/>
      <c r="F954" s="21"/>
      <c r="G954" s="21"/>
      <c r="H954" s="21"/>
      <c r="I954" s="22" t="s">
        <v>3921</v>
      </c>
      <c r="J954" s="21">
        <v>0</v>
      </c>
      <c r="K954" s="21">
        <v>0</v>
      </c>
      <c r="L954" s="21">
        <v>0</v>
      </c>
      <c r="M954" s="21">
        <v>0</v>
      </c>
      <c r="N954" s="21">
        <v>0</v>
      </c>
      <c r="O954" s="21">
        <v>0</v>
      </c>
      <c r="P954" s="60">
        <v>0</v>
      </c>
      <c r="Q954" s="21">
        <v>0</v>
      </c>
      <c r="R954" s="7">
        <f t="shared" ref="R954:AG954" si="621">IF(R1110=0,0,IF(R900&gt;0,-R1110*R952/R900,IF(R1107&gt;0,-R1110*R953/R1107,NA())))</f>
        <v>0</v>
      </c>
      <c r="S954" s="7">
        <f t="shared" si="621"/>
        <v>0</v>
      </c>
      <c r="T954" s="7">
        <f t="shared" si="621"/>
        <v>0</v>
      </c>
      <c r="U954" s="7">
        <f t="shared" si="621"/>
        <v>0</v>
      </c>
      <c r="V954" s="7">
        <f t="shared" si="621"/>
        <v>0</v>
      </c>
      <c r="W954" s="7">
        <f t="shared" si="621"/>
        <v>0</v>
      </c>
      <c r="X954" s="7">
        <f t="shared" si="621"/>
        <v>0</v>
      </c>
      <c r="Y954" s="7">
        <f t="shared" si="621"/>
        <v>0</v>
      </c>
      <c r="Z954" s="7">
        <f t="shared" si="621"/>
        <v>0</v>
      </c>
      <c r="AA954" s="7">
        <f t="shared" si="621"/>
        <v>0</v>
      </c>
      <c r="AB954" s="7">
        <f t="shared" si="621"/>
        <v>0</v>
      </c>
      <c r="AC954" s="7">
        <f t="shared" si="621"/>
        <v>0</v>
      </c>
      <c r="AD954" s="7">
        <f t="shared" si="621"/>
        <v>0</v>
      </c>
      <c r="AE954" s="7">
        <f t="shared" si="621"/>
        <v>0</v>
      </c>
      <c r="AF954" s="7">
        <f t="shared" si="621"/>
        <v>0</v>
      </c>
      <c r="AG954" s="7">
        <f t="shared" si="621"/>
        <v>0</v>
      </c>
    </row>
    <row r="955" spans="1:33" ht="14.25" hidden="1" customHeight="1" outlineLevel="1" x14ac:dyDescent="0.35">
      <c r="A955" s="21"/>
      <c r="B955" s="21"/>
      <c r="C955" s="21" t="s">
        <v>4173</v>
      </c>
      <c r="D955" s="21"/>
      <c r="E955" s="21"/>
      <c r="F955" s="21"/>
      <c r="G955" s="21"/>
      <c r="H955" s="21"/>
      <c r="I955" s="22" t="s">
        <v>3921</v>
      </c>
      <c r="J955" s="21">
        <f t="shared" ref="J955:AG955" si="622">J952+J953+J954</f>
        <v>83818101.233302236</v>
      </c>
      <c r="K955" s="21">
        <f t="shared" si="622"/>
        <v>70947391.730463088</v>
      </c>
      <c r="L955" s="21">
        <f t="shared" si="622"/>
        <v>29180851.799045809</v>
      </c>
      <c r="M955" s="21">
        <f t="shared" si="622"/>
        <v>42436041.39106822</v>
      </c>
      <c r="N955" s="21">
        <f t="shared" si="622"/>
        <v>57906749.130788155</v>
      </c>
      <c r="O955" s="21">
        <f t="shared" si="622"/>
        <v>23879859.691137441</v>
      </c>
      <c r="P955" s="60">
        <f t="shared" si="622"/>
        <v>109066661.23732331</v>
      </c>
      <c r="Q955" s="21">
        <f t="shared" si="622"/>
        <v>76725653.200982541</v>
      </c>
      <c r="R955" s="7">
        <f t="shared" si="622"/>
        <v>41874377.13377551</v>
      </c>
      <c r="S955" s="7">
        <f t="shared" si="622"/>
        <v>42029542.230892651</v>
      </c>
      <c r="T955" s="7">
        <f t="shared" si="622"/>
        <v>42082585.192410156</v>
      </c>
      <c r="U955" s="7">
        <f t="shared" si="622"/>
        <v>41995982.996470049</v>
      </c>
      <c r="V955" s="7">
        <f t="shared" si="622"/>
        <v>41994277.314742103</v>
      </c>
      <c r="W955" s="7">
        <f t="shared" si="622"/>
        <v>41980310.744628936</v>
      </c>
      <c r="X955" s="7">
        <f t="shared" si="622"/>
        <v>41983653.092800759</v>
      </c>
      <c r="Y955" s="7">
        <f t="shared" si="622"/>
        <v>41601738.5077876</v>
      </c>
      <c r="Z955" s="7">
        <f t="shared" si="622"/>
        <v>41596187.398358792</v>
      </c>
      <c r="AA955" s="7">
        <f t="shared" si="622"/>
        <v>41576983.56372948</v>
      </c>
      <c r="AB955" s="7">
        <f t="shared" si="622"/>
        <v>41567826.86890801</v>
      </c>
      <c r="AC955" s="7">
        <f t="shared" si="622"/>
        <v>41543743.728990719</v>
      </c>
      <c r="AD955" s="7">
        <f t="shared" si="622"/>
        <v>41543162.937436335</v>
      </c>
      <c r="AE955" s="7">
        <f t="shared" si="622"/>
        <v>41538890.406698942</v>
      </c>
      <c r="AF955" s="7">
        <f t="shared" si="622"/>
        <v>41538231.839215025</v>
      </c>
      <c r="AG955" s="7">
        <f t="shared" si="622"/>
        <v>41534914.770578079</v>
      </c>
    </row>
    <row r="956" spans="1:33" ht="14.25" hidden="1" customHeight="1" outlineLevel="1" x14ac:dyDescent="0.35">
      <c r="A956" s="21"/>
      <c r="B956" s="21"/>
      <c r="C956" s="21"/>
      <c r="D956" s="21"/>
      <c r="E956" s="21"/>
      <c r="F956" s="21"/>
      <c r="G956" s="21"/>
      <c r="H956" s="21"/>
      <c r="I956" s="22"/>
      <c r="J956" s="21"/>
      <c r="K956" s="21"/>
      <c r="L956" s="21"/>
      <c r="M956" s="21"/>
      <c r="N956" s="21"/>
      <c r="O956" s="21"/>
      <c r="P956" s="60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</row>
    <row r="957" spans="1:33" ht="14.25" hidden="1" customHeight="1" outlineLevel="1" x14ac:dyDescent="0.35">
      <c r="A957" s="21"/>
      <c r="B957" s="21"/>
      <c r="C957" s="21" t="s">
        <v>4284</v>
      </c>
      <c r="D957" s="21"/>
      <c r="E957" s="21"/>
      <c r="F957" s="21"/>
      <c r="G957" s="21"/>
      <c r="H957" s="21"/>
      <c r="I957" s="22" t="s">
        <v>3921</v>
      </c>
      <c r="J957" s="21"/>
      <c r="K957" s="21"/>
      <c r="L957" s="21"/>
      <c r="M957" s="21"/>
      <c r="N957" s="21"/>
      <c r="O957" s="21"/>
      <c r="P957" s="60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</row>
    <row r="958" spans="1:33" ht="14.25" hidden="1" customHeight="1" outlineLevel="1" x14ac:dyDescent="0.35">
      <c r="A958" s="21"/>
      <c r="B958" s="21"/>
      <c r="C958" s="21"/>
      <c r="D958" s="128" t="s">
        <v>4285</v>
      </c>
      <c r="E958" s="128"/>
      <c r="F958" s="21"/>
      <c r="G958" s="21"/>
      <c r="H958" s="21"/>
      <c r="I958" s="22" t="s">
        <v>3921</v>
      </c>
      <c r="J958" s="148">
        <f t="shared" ref="J958:AG958" si="623">SUM(J930:J937)+J939</f>
        <v>44367076.036372654</v>
      </c>
      <c r="K958" s="148">
        <f t="shared" si="623"/>
        <v>38298338.155542195</v>
      </c>
      <c r="L958" s="148">
        <f t="shared" si="623"/>
        <v>11920870.780448901</v>
      </c>
      <c r="M958" s="148">
        <f t="shared" si="623"/>
        <v>18248645.382460136</v>
      </c>
      <c r="N958" s="148">
        <f t="shared" si="623"/>
        <v>13104352.616175748</v>
      </c>
      <c r="O958" s="148">
        <f t="shared" si="623"/>
        <v>10653809.256783299</v>
      </c>
      <c r="P958" s="148">
        <f t="shared" si="623"/>
        <v>43651549.563878655</v>
      </c>
      <c r="Q958" s="148">
        <f t="shared" si="623"/>
        <v>10989701.91457624</v>
      </c>
      <c r="R958" s="149">
        <f t="shared" si="623"/>
        <v>26075867.541002832</v>
      </c>
      <c r="S958" s="149">
        <f t="shared" si="623"/>
        <v>26226691.106733792</v>
      </c>
      <c r="T958" s="149">
        <f t="shared" si="623"/>
        <v>26364307.15374428</v>
      </c>
      <c r="U958" s="149">
        <f t="shared" si="623"/>
        <v>26385864.758486081</v>
      </c>
      <c r="V958" s="149">
        <f t="shared" si="623"/>
        <v>26389670.417478651</v>
      </c>
      <c r="W958" s="149">
        <f t="shared" si="623"/>
        <v>26379942.708858058</v>
      </c>
      <c r="X958" s="149">
        <f t="shared" si="623"/>
        <v>26385158.687090538</v>
      </c>
      <c r="Y958" s="149">
        <f t="shared" si="623"/>
        <v>26384923.338365048</v>
      </c>
      <c r="Z958" s="149">
        <f t="shared" si="623"/>
        <v>26383341.358570866</v>
      </c>
      <c r="AA958" s="149">
        <f t="shared" si="623"/>
        <v>26384474.436633982</v>
      </c>
      <c r="AB958" s="149">
        <f t="shared" si="623"/>
        <v>26384246.361043543</v>
      </c>
      <c r="AC958" s="149">
        <f t="shared" si="623"/>
        <v>26384020.709664464</v>
      </c>
      <c r="AD958" s="149">
        <f t="shared" si="623"/>
        <v>26384247.167812124</v>
      </c>
      <c r="AE958" s="149">
        <f t="shared" si="623"/>
        <v>26384171.412409168</v>
      </c>
      <c r="AF958" s="149">
        <f t="shared" si="623"/>
        <v>26384146.429625791</v>
      </c>
      <c r="AG958" s="149">
        <f t="shared" si="623"/>
        <v>26384188.336546071</v>
      </c>
    </row>
    <row r="959" spans="1:33" ht="14.25" hidden="1" customHeight="1" outlineLevel="1" x14ac:dyDescent="0.35">
      <c r="A959" s="21"/>
      <c r="B959" s="21"/>
      <c r="C959" s="21"/>
      <c r="D959" s="128" t="s">
        <v>4286</v>
      </c>
      <c r="E959" s="128"/>
      <c r="F959" s="21"/>
      <c r="G959" s="21"/>
      <c r="H959" s="21"/>
      <c r="I959" s="22" t="s">
        <v>3921</v>
      </c>
      <c r="J959" s="148">
        <v>38050473.768205002</v>
      </c>
      <c r="K959" s="148">
        <v>3752952.1334692501</v>
      </c>
      <c r="L959" s="148">
        <v>-288784.04563479102</v>
      </c>
      <c r="M959" s="148">
        <v>716640.55438012397</v>
      </c>
      <c r="N959" s="148">
        <v>2738218.4982467699</v>
      </c>
      <c r="O959" s="148">
        <v>14063852.037855299</v>
      </c>
      <c r="P959" s="148">
        <v>34968351.476355001</v>
      </c>
      <c r="Q959" s="148">
        <v>-1534993.8528106799</v>
      </c>
      <c r="R959" s="149">
        <f t="shared" ref="R959:AG959" si="624">R1100-R1102</f>
        <v>12040875.93878866</v>
      </c>
      <c r="S959" s="149">
        <f t="shared" si="624"/>
        <v>12087768.765921272</v>
      </c>
      <c r="T959" s="149">
        <f t="shared" si="624"/>
        <v>12110679.377564859</v>
      </c>
      <c r="U959" s="149">
        <f t="shared" si="624"/>
        <v>12120558.462108433</v>
      </c>
      <c r="V959" s="149">
        <f t="shared" si="624"/>
        <v>12122302.460450616</v>
      </c>
      <c r="W959" s="149">
        <f t="shared" si="624"/>
        <v>12117844.597110551</v>
      </c>
      <c r="X959" s="149">
        <f t="shared" si="624"/>
        <v>12120234.894666955</v>
      </c>
      <c r="Y959" s="149">
        <f t="shared" si="624"/>
        <v>12120127.042705458</v>
      </c>
      <c r="Z959" s="149">
        <f t="shared" si="624"/>
        <v>12119402.077556517</v>
      </c>
      <c r="AA959" s="149">
        <f t="shared" si="624"/>
        <v>12119921.32698676</v>
      </c>
      <c r="AB959" s="149">
        <f t="shared" si="624"/>
        <v>12119816.808044743</v>
      </c>
      <c r="AC959" s="149">
        <f t="shared" si="624"/>
        <v>12119713.400032654</v>
      </c>
      <c r="AD959" s="149">
        <f t="shared" si="624"/>
        <v>12119817.177758113</v>
      </c>
      <c r="AE959" s="149">
        <f t="shared" si="624"/>
        <v>12119782.46174771</v>
      </c>
      <c r="AF959" s="149">
        <f t="shared" si="624"/>
        <v>12119771.013025474</v>
      </c>
      <c r="AG959" s="149">
        <f t="shared" si="624"/>
        <v>12119790.21747851</v>
      </c>
    </row>
    <row r="960" spans="1:33" ht="14.25" hidden="1" customHeight="1" outlineLevel="1" x14ac:dyDescent="0.35">
      <c r="A960" s="21"/>
      <c r="B960" s="21"/>
      <c r="C960" s="21" t="s">
        <v>4287</v>
      </c>
      <c r="D960" s="21"/>
      <c r="E960" s="21"/>
      <c r="F960" s="21"/>
      <c r="G960" s="21"/>
      <c r="H960" s="21"/>
      <c r="I960" s="22" t="s">
        <v>3921</v>
      </c>
      <c r="J960" s="21">
        <f t="shared" ref="J960:AG960" si="625">J958+J959</f>
        <v>82417549.804577649</v>
      </c>
      <c r="K960" s="21">
        <f t="shared" si="625"/>
        <v>42051290.289011449</v>
      </c>
      <c r="L960" s="21">
        <f t="shared" si="625"/>
        <v>11632086.734814109</v>
      </c>
      <c r="M960" s="21">
        <f t="shared" si="625"/>
        <v>18965285.936840259</v>
      </c>
      <c r="N960" s="21">
        <f t="shared" si="625"/>
        <v>15842571.114422519</v>
      </c>
      <c r="O960" s="21">
        <f t="shared" si="625"/>
        <v>24717661.294638596</v>
      </c>
      <c r="P960" s="60">
        <f t="shared" si="625"/>
        <v>78619901.040233657</v>
      </c>
      <c r="Q960" s="21">
        <f t="shared" si="625"/>
        <v>9454708.061765559</v>
      </c>
      <c r="R960" s="7">
        <f t="shared" si="625"/>
        <v>38116743.479791492</v>
      </c>
      <c r="S960" s="7">
        <f t="shared" si="625"/>
        <v>38314459.872655064</v>
      </c>
      <c r="T960" s="7">
        <f t="shared" si="625"/>
        <v>38474986.531309143</v>
      </c>
      <c r="U960" s="7">
        <f t="shared" si="625"/>
        <v>38506423.22059451</v>
      </c>
      <c r="V960" s="7">
        <f t="shared" si="625"/>
        <v>38511972.87792927</v>
      </c>
      <c r="W960" s="7">
        <f t="shared" si="625"/>
        <v>38497787.305968612</v>
      </c>
      <c r="X960" s="7">
        <f t="shared" si="625"/>
        <v>38505393.581757493</v>
      </c>
      <c r="Y960" s="7">
        <f t="shared" si="625"/>
        <v>38505050.38107051</v>
      </c>
      <c r="Z960" s="7">
        <f t="shared" si="625"/>
        <v>38502743.43612738</v>
      </c>
      <c r="AA960" s="7">
        <f t="shared" si="625"/>
        <v>38504395.763620742</v>
      </c>
      <c r="AB960" s="7">
        <f t="shared" si="625"/>
        <v>38504063.169088289</v>
      </c>
      <c r="AC960" s="7">
        <f t="shared" si="625"/>
        <v>38503734.109697118</v>
      </c>
      <c r="AD960" s="7">
        <f t="shared" si="625"/>
        <v>38504064.345570236</v>
      </c>
      <c r="AE960" s="7">
        <f t="shared" si="625"/>
        <v>38503953.874156877</v>
      </c>
      <c r="AF960" s="7">
        <f t="shared" si="625"/>
        <v>38503917.442651264</v>
      </c>
      <c r="AG960" s="7">
        <f t="shared" si="625"/>
        <v>38503978.554024577</v>
      </c>
    </row>
    <row r="961" spans="1:33" ht="14.25" hidden="1" customHeight="1" outlineLevel="1" x14ac:dyDescent="0.35">
      <c r="A961" s="21"/>
      <c r="B961" s="21"/>
      <c r="C961" s="21"/>
      <c r="D961" s="128" t="s">
        <v>4288</v>
      </c>
      <c r="E961" s="128"/>
      <c r="F961" s="21"/>
      <c r="G961" s="21"/>
      <c r="H961" s="21"/>
      <c r="I961" s="22" t="s">
        <v>3921</v>
      </c>
      <c r="J961" s="148">
        <v>-4909891.3015748002</v>
      </c>
      <c r="K961" s="148">
        <v>2716556.4312968901</v>
      </c>
      <c r="L961" s="148">
        <v>746794.647113199</v>
      </c>
      <c r="M961" s="148">
        <v>-588044.44540737395</v>
      </c>
      <c r="N961" s="148">
        <v>-488279.71489371097</v>
      </c>
      <c r="O961" s="148">
        <v>1179586.1071359201</v>
      </c>
      <c r="P961" s="148">
        <v>984424.17372322595</v>
      </c>
      <c r="Q961" s="148">
        <v>-359159.78072927002</v>
      </c>
      <c r="R961" s="149">
        <f t="shared" ref="R961:AG961" si="626">R950+R951</f>
        <v>0</v>
      </c>
      <c r="S961" s="149">
        <f t="shared" si="626"/>
        <v>0</v>
      </c>
      <c r="T961" s="149">
        <f t="shared" si="626"/>
        <v>0</v>
      </c>
      <c r="U961" s="149">
        <f t="shared" si="626"/>
        <v>0</v>
      </c>
      <c r="V961" s="149">
        <f t="shared" si="626"/>
        <v>0</v>
      </c>
      <c r="W961" s="149">
        <f t="shared" si="626"/>
        <v>0</v>
      </c>
      <c r="X961" s="149">
        <f t="shared" si="626"/>
        <v>0</v>
      </c>
      <c r="Y961" s="149">
        <f t="shared" si="626"/>
        <v>0</v>
      </c>
      <c r="Z961" s="149">
        <f t="shared" si="626"/>
        <v>0</v>
      </c>
      <c r="AA961" s="149">
        <f t="shared" si="626"/>
        <v>0</v>
      </c>
      <c r="AB961" s="149">
        <f t="shared" si="626"/>
        <v>0</v>
      </c>
      <c r="AC961" s="149">
        <f t="shared" si="626"/>
        <v>0</v>
      </c>
      <c r="AD961" s="149">
        <f t="shared" si="626"/>
        <v>0</v>
      </c>
      <c r="AE961" s="149">
        <f t="shared" si="626"/>
        <v>0</v>
      </c>
      <c r="AF961" s="149">
        <f t="shared" si="626"/>
        <v>0</v>
      </c>
      <c r="AG961" s="149">
        <f t="shared" si="626"/>
        <v>0</v>
      </c>
    </row>
    <row r="962" spans="1:33" ht="14.25" hidden="1" customHeight="1" outlineLevel="1" x14ac:dyDescent="0.35">
      <c r="A962" s="21"/>
      <c r="B962" s="21"/>
      <c r="C962" s="21"/>
      <c r="D962" s="128" t="s">
        <v>4289</v>
      </c>
      <c r="E962" s="128"/>
      <c r="F962" s="21"/>
      <c r="G962" s="21"/>
      <c r="H962" s="21"/>
      <c r="I962" s="22" t="s">
        <v>3921</v>
      </c>
      <c r="J962" s="148">
        <v>-696110.97694575298</v>
      </c>
      <c r="K962" s="148">
        <v>-1184373.5443994999</v>
      </c>
      <c r="L962" s="148">
        <v>552932.60058144503</v>
      </c>
      <c r="M962" s="148">
        <v>-285408.12474716897</v>
      </c>
      <c r="N962" s="148">
        <v>414530.68630883901</v>
      </c>
      <c r="O962" s="148">
        <v>-1138593.6334857501</v>
      </c>
      <c r="P962" s="148">
        <v>2889619.6985217198</v>
      </c>
      <c r="Q962" s="148">
        <v>-314054.89531063999</v>
      </c>
      <c r="R962" s="149">
        <f t="shared" ref="R962:AG962" si="627">R953+R954</f>
        <v>0</v>
      </c>
      <c r="S962" s="149">
        <f t="shared" si="627"/>
        <v>0</v>
      </c>
      <c r="T962" s="149">
        <f t="shared" si="627"/>
        <v>0</v>
      </c>
      <c r="U962" s="149">
        <f t="shared" si="627"/>
        <v>0</v>
      </c>
      <c r="V962" s="149">
        <f t="shared" si="627"/>
        <v>0</v>
      </c>
      <c r="W962" s="149">
        <f t="shared" si="627"/>
        <v>0</v>
      </c>
      <c r="X962" s="149">
        <f t="shared" si="627"/>
        <v>0</v>
      </c>
      <c r="Y962" s="149">
        <f t="shared" si="627"/>
        <v>0</v>
      </c>
      <c r="Z962" s="149">
        <f t="shared" si="627"/>
        <v>0</v>
      </c>
      <c r="AA962" s="149">
        <f t="shared" si="627"/>
        <v>0</v>
      </c>
      <c r="AB962" s="149">
        <f t="shared" si="627"/>
        <v>0</v>
      </c>
      <c r="AC962" s="149">
        <f t="shared" si="627"/>
        <v>0</v>
      </c>
      <c r="AD962" s="149">
        <f t="shared" si="627"/>
        <v>0</v>
      </c>
      <c r="AE962" s="149">
        <f t="shared" si="627"/>
        <v>0</v>
      </c>
      <c r="AF962" s="149">
        <f t="shared" si="627"/>
        <v>0</v>
      </c>
      <c r="AG962" s="149">
        <f t="shared" si="627"/>
        <v>0</v>
      </c>
    </row>
    <row r="963" spans="1:33" ht="14.25" hidden="1" customHeight="1" outlineLevel="1" x14ac:dyDescent="0.35">
      <c r="A963" s="21"/>
      <c r="B963" s="21"/>
      <c r="C963" s="21" t="s">
        <v>4290</v>
      </c>
      <c r="D963" s="21"/>
      <c r="E963" s="21"/>
      <c r="F963" s="21"/>
      <c r="G963" s="21"/>
      <c r="H963" s="21"/>
      <c r="I963" s="22" t="s">
        <v>3921</v>
      </c>
      <c r="J963" s="21">
        <f t="shared" ref="J963:AG963" si="628">SUM(J960:J962)</f>
        <v>76811547.526057094</v>
      </c>
      <c r="K963" s="21">
        <f t="shared" si="628"/>
        <v>43583473.175908841</v>
      </c>
      <c r="L963" s="21">
        <f t="shared" si="628"/>
        <v>12931813.982508752</v>
      </c>
      <c r="M963" s="21">
        <f t="shared" si="628"/>
        <v>18091833.366685715</v>
      </c>
      <c r="N963" s="21">
        <f t="shared" si="628"/>
        <v>15768822.085837645</v>
      </c>
      <c r="O963" s="21">
        <f t="shared" si="628"/>
        <v>24758653.768288769</v>
      </c>
      <c r="P963" s="60">
        <f t="shared" si="628"/>
        <v>82493944.912478596</v>
      </c>
      <c r="Q963" s="21">
        <f t="shared" si="628"/>
        <v>8781493.3857256491</v>
      </c>
      <c r="R963" s="7">
        <f t="shared" si="628"/>
        <v>38116743.479791492</v>
      </c>
      <c r="S963" s="7">
        <f t="shared" si="628"/>
        <v>38314459.872655064</v>
      </c>
      <c r="T963" s="7">
        <f t="shared" si="628"/>
        <v>38474986.531309143</v>
      </c>
      <c r="U963" s="7">
        <f t="shared" si="628"/>
        <v>38506423.22059451</v>
      </c>
      <c r="V963" s="7">
        <f t="shared" si="628"/>
        <v>38511972.87792927</v>
      </c>
      <c r="W963" s="7">
        <f t="shared" si="628"/>
        <v>38497787.305968612</v>
      </c>
      <c r="X963" s="7">
        <f t="shared" si="628"/>
        <v>38505393.581757493</v>
      </c>
      <c r="Y963" s="7">
        <f t="shared" si="628"/>
        <v>38505050.38107051</v>
      </c>
      <c r="Z963" s="7">
        <f t="shared" si="628"/>
        <v>38502743.43612738</v>
      </c>
      <c r="AA963" s="7">
        <f t="shared" si="628"/>
        <v>38504395.763620742</v>
      </c>
      <c r="AB963" s="7">
        <f t="shared" si="628"/>
        <v>38504063.169088289</v>
      </c>
      <c r="AC963" s="7">
        <f t="shared" si="628"/>
        <v>38503734.109697118</v>
      </c>
      <c r="AD963" s="7">
        <f t="shared" si="628"/>
        <v>38504064.345570236</v>
      </c>
      <c r="AE963" s="7">
        <f t="shared" si="628"/>
        <v>38503953.874156877</v>
      </c>
      <c r="AF963" s="7">
        <f t="shared" si="628"/>
        <v>38503917.442651264</v>
      </c>
      <c r="AG963" s="7">
        <f t="shared" si="628"/>
        <v>38503978.554024577</v>
      </c>
    </row>
    <row r="964" spans="1:33" ht="14.25" hidden="1" customHeight="1" outlineLevel="1" x14ac:dyDescent="0.35">
      <c r="A964" s="21"/>
      <c r="B964" s="21"/>
      <c r="C964" s="21"/>
      <c r="D964" s="128" t="s">
        <v>4291</v>
      </c>
      <c r="E964" s="128"/>
      <c r="F964" s="21"/>
      <c r="G964" s="21"/>
      <c r="H964" s="21"/>
      <c r="I964" s="22" t="s">
        <v>3921</v>
      </c>
      <c r="J964" s="148">
        <f t="shared" ref="J964:AG964" si="629">J248</f>
        <v>38224813.084747054</v>
      </c>
      <c r="K964" s="148">
        <f t="shared" si="629"/>
        <v>32181644.688101053</v>
      </c>
      <c r="L964" s="148">
        <f t="shared" si="629"/>
        <v>17259981.018596906</v>
      </c>
      <c r="M964" s="148">
        <f t="shared" si="629"/>
        <v>24187396.008608084</v>
      </c>
      <c r="N964" s="148">
        <f t="shared" si="629"/>
        <v>44802396.514612406</v>
      </c>
      <c r="O964" s="148">
        <f t="shared" si="629"/>
        <v>13226050.434354143</v>
      </c>
      <c r="P964" s="148">
        <f t="shared" si="629"/>
        <v>65303049.217430763</v>
      </c>
      <c r="Q964" s="148">
        <f t="shared" si="629"/>
        <v>65735951.286406308</v>
      </c>
      <c r="R964" s="149">
        <f t="shared" si="629"/>
        <v>15570965.359679662</v>
      </c>
      <c r="S964" s="149">
        <f t="shared" si="629"/>
        <v>15574892.1275193</v>
      </c>
      <c r="T964" s="149">
        <f t="shared" si="629"/>
        <v>15490828.505778193</v>
      </c>
      <c r="U964" s="149">
        <f t="shared" si="629"/>
        <v>15382467.515998924</v>
      </c>
      <c r="V964" s="149">
        <f t="shared" si="629"/>
        <v>15376920.65848019</v>
      </c>
      <c r="W964" s="149">
        <f t="shared" si="629"/>
        <v>15372772.582069742</v>
      </c>
      <c r="X964" s="149">
        <f t="shared" si="629"/>
        <v>15370850.27322658</v>
      </c>
      <c r="Y964" s="149">
        <f t="shared" si="629"/>
        <v>14989173.233360928</v>
      </c>
      <c r="Z964" s="149">
        <f t="shared" si="629"/>
        <v>14985218.867754616</v>
      </c>
      <c r="AA964" s="149">
        <f t="shared" si="629"/>
        <v>14964871.380466564</v>
      </c>
      <c r="AB964" s="149">
        <f t="shared" si="629"/>
        <v>14955944.889780089</v>
      </c>
      <c r="AC964" s="149">
        <f t="shared" si="629"/>
        <v>14932089.507162165</v>
      </c>
      <c r="AD964" s="149">
        <f t="shared" si="629"/>
        <v>14931280.144010559</v>
      </c>
      <c r="AE964" s="149">
        <f t="shared" si="629"/>
        <v>14927084.075673087</v>
      </c>
      <c r="AF964" s="149">
        <f t="shared" si="629"/>
        <v>14926450.724127566</v>
      </c>
      <c r="AG964" s="149">
        <f t="shared" si="629"/>
        <v>14923091.357468657</v>
      </c>
    </row>
    <row r="965" spans="1:33" ht="14.25" hidden="1" customHeight="1" outlineLevel="1" x14ac:dyDescent="0.35">
      <c r="A965" s="21"/>
      <c r="B965" s="21"/>
      <c r="C965" s="21" t="s">
        <v>4292</v>
      </c>
      <c r="D965" s="21"/>
      <c r="E965" s="21"/>
      <c r="F965" s="21"/>
      <c r="G965" s="21"/>
      <c r="H965" s="21"/>
      <c r="I965" s="22" t="s">
        <v>3921</v>
      </c>
      <c r="J965" s="21">
        <f t="shared" ref="J965:AG965" si="630">J963+J964</f>
        <v>115036360.61080414</v>
      </c>
      <c r="K965" s="21">
        <f t="shared" si="630"/>
        <v>75765117.864009887</v>
      </c>
      <c r="L965" s="21">
        <f t="shared" si="630"/>
        <v>30191795.001105659</v>
      </c>
      <c r="M965" s="21">
        <f t="shared" si="630"/>
        <v>42279229.375293799</v>
      </c>
      <c r="N965" s="21">
        <f t="shared" si="630"/>
        <v>60571218.600450054</v>
      </c>
      <c r="O965" s="21">
        <f t="shared" si="630"/>
        <v>37984704.20264291</v>
      </c>
      <c r="P965" s="60">
        <f t="shared" si="630"/>
        <v>147796994.12990937</v>
      </c>
      <c r="Q965" s="21">
        <f t="shared" si="630"/>
        <v>74517444.672131956</v>
      </c>
      <c r="R965" s="7">
        <f t="shared" si="630"/>
        <v>53687708.839471154</v>
      </c>
      <c r="S965" s="7">
        <f t="shared" si="630"/>
        <v>53889352.000174366</v>
      </c>
      <c r="T965" s="7">
        <f t="shared" si="630"/>
        <v>53965815.037087336</v>
      </c>
      <c r="U965" s="7">
        <f t="shared" si="630"/>
        <v>53888890.736593433</v>
      </c>
      <c r="V965" s="7">
        <f t="shared" si="630"/>
        <v>53888893.53640946</v>
      </c>
      <c r="W965" s="7">
        <f t="shared" si="630"/>
        <v>53870559.888038352</v>
      </c>
      <c r="X965" s="7">
        <f t="shared" si="630"/>
        <v>53876243.854984075</v>
      </c>
      <c r="Y965" s="7">
        <f t="shared" si="630"/>
        <v>53494223.614431441</v>
      </c>
      <c r="Z965" s="7">
        <f t="shared" si="630"/>
        <v>53487962.303881995</v>
      </c>
      <c r="AA965" s="7">
        <f t="shared" si="630"/>
        <v>53469267.144087307</v>
      </c>
      <c r="AB965" s="7">
        <f t="shared" si="630"/>
        <v>53460008.058868378</v>
      </c>
      <c r="AC965" s="7">
        <f t="shared" si="630"/>
        <v>53435823.616859287</v>
      </c>
      <c r="AD965" s="7">
        <f t="shared" si="630"/>
        <v>53435344.489580795</v>
      </c>
      <c r="AE965" s="7">
        <f t="shared" si="630"/>
        <v>53431037.949829966</v>
      </c>
      <c r="AF965" s="7">
        <f t="shared" si="630"/>
        <v>53430368.166778833</v>
      </c>
      <c r="AG965" s="7">
        <f t="shared" si="630"/>
        <v>53427069.911493234</v>
      </c>
    </row>
    <row r="966" spans="1:33" ht="14.25" hidden="1" customHeight="1" outlineLevel="1" x14ac:dyDescent="0.35">
      <c r="A966" s="21"/>
      <c r="B966" s="21"/>
      <c r="C966" s="21"/>
      <c r="D966" s="21"/>
      <c r="E966" s="21"/>
      <c r="F966" s="21"/>
      <c r="G966" s="21"/>
      <c r="H966" s="21"/>
      <c r="I966" s="22"/>
      <c r="J966" s="21"/>
      <c r="K966" s="21"/>
      <c r="L966" s="21"/>
      <c r="M966" s="21"/>
      <c r="N966" s="21"/>
      <c r="O966" s="21"/>
      <c r="P966" s="60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</row>
    <row r="967" spans="1:33" ht="14.25" hidden="1" customHeight="1" outlineLevel="1" x14ac:dyDescent="0.35">
      <c r="A967" s="21"/>
      <c r="B967" s="21"/>
      <c r="C967" s="21" t="s">
        <v>4293</v>
      </c>
      <c r="D967" s="21" t="s">
        <v>4294</v>
      </c>
      <c r="E967" s="21"/>
      <c r="F967" s="21"/>
      <c r="G967" s="21"/>
      <c r="H967" s="21"/>
      <c r="I967" s="22" t="s">
        <v>3921</v>
      </c>
      <c r="J967" s="21"/>
      <c r="K967" s="21"/>
      <c r="L967" s="21"/>
      <c r="M967" s="21"/>
      <c r="N967" s="21"/>
      <c r="O967" s="21"/>
      <c r="P967" s="60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</row>
    <row r="968" spans="1:33" ht="14.25" hidden="1" customHeight="1" outlineLevel="1" x14ac:dyDescent="0.35">
      <c r="A968" s="21"/>
      <c r="B968" s="21"/>
      <c r="C968" s="21"/>
      <c r="D968" s="128" t="s">
        <v>4295</v>
      </c>
      <c r="E968" s="128"/>
      <c r="F968" s="21"/>
      <c r="G968" s="21"/>
      <c r="H968" s="21"/>
      <c r="I968" s="22" t="s">
        <v>3921</v>
      </c>
      <c r="J968" s="201">
        <v>0</v>
      </c>
      <c r="K968" s="201">
        <v>0</v>
      </c>
      <c r="L968" s="201">
        <v>-1.98867878825878</v>
      </c>
      <c r="M968" s="201">
        <v>0</v>
      </c>
      <c r="N968" s="201">
        <v>0</v>
      </c>
      <c r="O968" s="201">
        <v>0</v>
      </c>
      <c r="P968" s="201">
        <v>0</v>
      </c>
      <c r="Q968" s="201">
        <v>0</v>
      </c>
      <c r="R968" s="202">
        <f t="shared" ref="R968:AG968" si="631">Q971</f>
        <v>0</v>
      </c>
      <c r="S968" s="202">
        <f t="shared" si="631"/>
        <v>0</v>
      </c>
      <c r="T968" s="202">
        <f t="shared" si="631"/>
        <v>0</v>
      </c>
      <c r="U968" s="202">
        <f t="shared" si="631"/>
        <v>0</v>
      </c>
      <c r="V968" s="202">
        <f t="shared" si="631"/>
        <v>0</v>
      </c>
      <c r="W968" s="202">
        <f t="shared" si="631"/>
        <v>0</v>
      </c>
      <c r="X968" s="202">
        <f t="shared" si="631"/>
        <v>0</v>
      </c>
      <c r="Y968" s="202">
        <f t="shared" si="631"/>
        <v>0</v>
      </c>
      <c r="Z968" s="202">
        <f t="shared" si="631"/>
        <v>0</v>
      </c>
      <c r="AA968" s="202">
        <f t="shared" si="631"/>
        <v>0</v>
      </c>
      <c r="AB968" s="202">
        <f t="shared" si="631"/>
        <v>0</v>
      </c>
      <c r="AC968" s="202">
        <f t="shared" si="631"/>
        <v>0</v>
      </c>
      <c r="AD968" s="202">
        <f t="shared" si="631"/>
        <v>0</v>
      </c>
      <c r="AE968" s="202">
        <f t="shared" si="631"/>
        <v>0</v>
      </c>
      <c r="AF968" s="202">
        <f t="shared" si="631"/>
        <v>0</v>
      </c>
      <c r="AG968" s="202">
        <f t="shared" si="631"/>
        <v>0</v>
      </c>
    </row>
    <row r="969" spans="1:33" ht="14.25" hidden="1" customHeight="1" outlineLevel="1" x14ac:dyDescent="0.35">
      <c r="A969" s="21"/>
      <c r="B969" s="21"/>
      <c r="C969" s="21"/>
      <c r="D969" s="128" t="s">
        <v>4296</v>
      </c>
      <c r="E969" s="128"/>
      <c r="F969" s="21"/>
      <c r="G969" s="21"/>
      <c r="H969" s="21"/>
      <c r="I969" s="22" t="s">
        <v>3921</v>
      </c>
      <c r="J969" s="201">
        <v>0</v>
      </c>
      <c r="K969" s="201">
        <v>4830945.7571242498</v>
      </c>
      <c r="L969" s="201">
        <v>1.98867878825878</v>
      </c>
      <c r="M969" s="201">
        <v>0</v>
      </c>
      <c r="N969" s="201">
        <v>0</v>
      </c>
      <c r="O969" s="201">
        <v>0</v>
      </c>
      <c r="P969" s="201">
        <v>0</v>
      </c>
      <c r="Q969" s="201">
        <v>0</v>
      </c>
      <c r="R969" s="202">
        <f t="shared" ref="R969:AG969" si="632">R970</f>
        <v>792948.96819998638</v>
      </c>
      <c r="S969" s="202">
        <f t="shared" si="632"/>
        <v>808046.5848838822</v>
      </c>
      <c r="T969" s="202">
        <f t="shared" si="632"/>
        <v>831086.58010834607</v>
      </c>
      <c r="U969" s="202">
        <f t="shared" si="632"/>
        <v>831763.86830844462</v>
      </c>
      <c r="V969" s="202">
        <f t="shared" si="632"/>
        <v>831883.43297994474</v>
      </c>
      <c r="W969" s="202">
        <f t="shared" si="632"/>
        <v>831577.81172277615</v>
      </c>
      <c r="X969" s="202">
        <f t="shared" si="632"/>
        <v>831741.68523985462</v>
      </c>
      <c r="Y969" s="202">
        <f t="shared" si="632"/>
        <v>831734.2911477678</v>
      </c>
      <c r="Z969" s="202">
        <f t="shared" si="632"/>
        <v>831684.58913957677</v>
      </c>
      <c r="AA969" s="202">
        <f t="shared" si="632"/>
        <v>831720.18773279525</v>
      </c>
      <c r="AB969" s="202">
        <f t="shared" si="632"/>
        <v>831713.02214515198</v>
      </c>
      <c r="AC969" s="202">
        <f t="shared" si="632"/>
        <v>831705.9327204146</v>
      </c>
      <c r="AD969" s="202">
        <f t="shared" si="632"/>
        <v>831713.04749188595</v>
      </c>
      <c r="AE969" s="202">
        <f t="shared" si="632"/>
        <v>831710.66743894748</v>
      </c>
      <c r="AF969" s="202">
        <f t="shared" si="632"/>
        <v>831709.8825398552</v>
      </c>
      <c r="AG969" s="202">
        <f t="shared" si="632"/>
        <v>831711.19915470923</v>
      </c>
    </row>
    <row r="970" spans="1:33" ht="14.25" hidden="1" customHeight="1" outlineLevel="1" x14ac:dyDescent="0.35">
      <c r="A970" s="21"/>
      <c r="B970" s="21"/>
      <c r="C970" s="21"/>
      <c r="D970" s="128" t="s">
        <v>4297</v>
      </c>
      <c r="E970" s="128"/>
      <c r="F970" s="21"/>
      <c r="G970" s="21"/>
      <c r="H970" s="21"/>
      <c r="I970" s="22" t="s">
        <v>3921</v>
      </c>
      <c r="J970" s="201">
        <v>0</v>
      </c>
      <c r="K970" s="201">
        <v>4830947.7458030405</v>
      </c>
      <c r="L970" s="201">
        <v>0</v>
      </c>
      <c r="M970" s="201">
        <v>0</v>
      </c>
      <c r="N970" s="201">
        <v>0</v>
      </c>
      <c r="O970" s="201">
        <v>0</v>
      </c>
      <c r="P970" s="201">
        <v>0</v>
      </c>
      <c r="Q970" s="201">
        <v>0</v>
      </c>
      <c r="R970" s="202">
        <v>792948.96819998638</v>
      </c>
      <c r="S970" s="202">
        <v>808046.5848838822</v>
      </c>
      <c r="T970" s="202">
        <v>831086.58010834607</v>
      </c>
      <c r="U970" s="202">
        <v>831763.86830844462</v>
      </c>
      <c r="V970" s="202">
        <v>831883.43297994474</v>
      </c>
      <c r="W970" s="202">
        <v>831577.81172277615</v>
      </c>
      <c r="X970" s="202">
        <v>831741.68523985462</v>
      </c>
      <c r="Y970" s="202">
        <v>831734.2911477678</v>
      </c>
      <c r="Z970" s="202">
        <v>831684.58913957677</v>
      </c>
      <c r="AA970" s="202">
        <v>831720.18773279525</v>
      </c>
      <c r="AB970" s="202">
        <v>831713.02214515198</v>
      </c>
      <c r="AC970" s="202">
        <v>831705.9327204146</v>
      </c>
      <c r="AD970" s="202">
        <v>831713.04749188595</v>
      </c>
      <c r="AE970" s="202">
        <v>831710.66743894748</v>
      </c>
      <c r="AF970" s="202">
        <v>831709.8825398552</v>
      </c>
      <c r="AG970" s="202">
        <v>831711.19915470923</v>
      </c>
    </row>
    <row r="971" spans="1:33" ht="14.25" hidden="1" customHeight="1" outlineLevel="1" x14ac:dyDescent="0.35">
      <c r="A971" s="21"/>
      <c r="B971" s="21"/>
      <c r="C971" s="21"/>
      <c r="D971" s="128" t="s">
        <v>4298</v>
      </c>
      <c r="E971" s="128"/>
      <c r="F971" s="21"/>
      <c r="G971" s="21"/>
      <c r="H971" s="21"/>
      <c r="I971" s="22" t="s">
        <v>3921</v>
      </c>
      <c r="J971" s="148">
        <f t="shared" ref="J971:AG971" si="633">J968+J969-J970</f>
        <v>0</v>
      </c>
      <c r="K971" s="148">
        <f t="shared" si="633"/>
        <v>-1.9886787906289101</v>
      </c>
      <c r="L971" s="148">
        <f t="shared" si="633"/>
        <v>0</v>
      </c>
      <c r="M971" s="148">
        <f t="shared" si="633"/>
        <v>0</v>
      </c>
      <c r="N971" s="148">
        <f t="shared" si="633"/>
        <v>0</v>
      </c>
      <c r="O971" s="148">
        <f t="shared" si="633"/>
        <v>0</v>
      </c>
      <c r="P971" s="148">
        <f t="shared" si="633"/>
        <v>0</v>
      </c>
      <c r="Q971" s="148">
        <f t="shared" si="633"/>
        <v>0</v>
      </c>
      <c r="R971" s="202">
        <f t="shared" si="633"/>
        <v>0</v>
      </c>
      <c r="S971" s="202">
        <f t="shared" si="633"/>
        <v>0</v>
      </c>
      <c r="T971" s="202">
        <f t="shared" si="633"/>
        <v>0</v>
      </c>
      <c r="U971" s="202">
        <f t="shared" si="633"/>
        <v>0</v>
      </c>
      <c r="V971" s="202">
        <f t="shared" si="633"/>
        <v>0</v>
      </c>
      <c r="W971" s="202">
        <f t="shared" si="633"/>
        <v>0</v>
      </c>
      <c r="X971" s="202">
        <f t="shared" si="633"/>
        <v>0</v>
      </c>
      <c r="Y971" s="202">
        <f t="shared" si="633"/>
        <v>0</v>
      </c>
      <c r="Z971" s="202">
        <f t="shared" si="633"/>
        <v>0</v>
      </c>
      <c r="AA971" s="202">
        <f t="shared" si="633"/>
        <v>0</v>
      </c>
      <c r="AB971" s="202">
        <f t="shared" si="633"/>
        <v>0</v>
      </c>
      <c r="AC971" s="202">
        <f t="shared" si="633"/>
        <v>0</v>
      </c>
      <c r="AD971" s="202">
        <f t="shared" si="633"/>
        <v>0</v>
      </c>
      <c r="AE971" s="202">
        <f t="shared" si="633"/>
        <v>0</v>
      </c>
      <c r="AF971" s="202">
        <f t="shared" si="633"/>
        <v>0</v>
      </c>
      <c r="AG971" s="202">
        <f t="shared" si="633"/>
        <v>0</v>
      </c>
    </row>
    <row r="972" spans="1:33" ht="14.25" hidden="1" customHeight="1" outlineLevel="1" x14ac:dyDescent="0.35">
      <c r="A972" s="21"/>
      <c r="B972" s="21"/>
      <c r="C972" s="21"/>
      <c r="D972" s="128" t="s">
        <v>4299</v>
      </c>
      <c r="E972" s="128"/>
      <c r="F972" s="21"/>
      <c r="G972" s="21"/>
      <c r="H972" s="21"/>
      <c r="I972" s="22" t="s">
        <v>3921</v>
      </c>
      <c r="J972" s="201">
        <v>0</v>
      </c>
      <c r="K972" s="201">
        <v>4716890.1528695496</v>
      </c>
      <c r="L972" s="201">
        <v>0</v>
      </c>
      <c r="M972" s="201">
        <v>0</v>
      </c>
      <c r="N972" s="201">
        <v>0</v>
      </c>
      <c r="O972" s="201">
        <v>0</v>
      </c>
      <c r="P972" s="201">
        <v>0</v>
      </c>
      <c r="Q972" s="201">
        <v>0</v>
      </c>
      <c r="R972" s="202">
        <v>774227.62088039285</v>
      </c>
      <c r="S972" s="202">
        <v>788968.78622003773</v>
      </c>
      <c r="T972" s="202">
        <v>811464.81232399424</v>
      </c>
      <c r="U972" s="202">
        <v>812126.10990157106</v>
      </c>
      <c r="V972" s="202">
        <v>812242.85167798959</v>
      </c>
      <c r="W972" s="202">
        <v>811944.44607016689</v>
      </c>
      <c r="X972" s="202">
        <v>812104.45057025587</v>
      </c>
      <c r="Y972" s="202">
        <v>812097.2310510251</v>
      </c>
      <c r="Z972" s="202">
        <v>812048.70249610173</v>
      </c>
      <c r="AA972" s="202">
        <v>812083.46061451733</v>
      </c>
      <c r="AB972" s="202">
        <v>812076.46420479147</v>
      </c>
      <c r="AC972" s="202">
        <v>812069.54215978226</v>
      </c>
      <c r="AD972" s="202">
        <v>812076.4889530947</v>
      </c>
      <c r="AE972" s="202">
        <v>812074.16509267234</v>
      </c>
      <c r="AF972" s="202">
        <v>812073.39872487169</v>
      </c>
      <c r="AG972" s="202">
        <v>812074.68425474421</v>
      </c>
    </row>
    <row r="973" spans="1:33" ht="14.25" hidden="1" customHeight="1" outlineLevel="1" x14ac:dyDescent="0.35">
      <c r="A973" s="21"/>
      <c r="B973" s="21"/>
      <c r="C973" s="21"/>
      <c r="D973" s="128" t="s">
        <v>4300</v>
      </c>
      <c r="E973" s="128"/>
      <c r="F973" s="21"/>
      <c r="G973" s="21"/>
      <c r="H973" s="21"/>
      <c r="I973" s="22" t="s">
        <v>3921</v>
      </c>
      <c r="J973" s="201">
        <v>0.74077666430748801</v>
      </c>
      <c r="K973" s="201">
        <v>0.74077666430748801</v>
      </c>
      <c r="L973" s="201">
        <v>0.686304779312505</v>
      </c>
      <c r="M973" s="201">
        <v>0.27849451591515301</v>
      </c>
      <c r="N973" s="201">
        <v>0</v>
      </c>
      <c r="O973" s="201">
        <v>0.23117850416643501</v>
      </c>
      <c r="P973" s="201">
        <v>0.15806973075251199</v>
      </c>
      <c r="Q973" s="201">
        <v>0</v>
      </c>
      <c r="R973" s="202">
        <f t="shared" ref="R973:AG973" si="634">Q976</f>
        <v>0</v>
      </c>
      <c r="S973" s="202">
        <f t="shared" si="634"/>
        <v>0</v>
      </c>
      <c r="T973" s="202">
        <f t="shared" si="634"/>
        <v>0</v>
      </c>
      <c r="U973" s="202">
        <f t="shared" si="634"/>
        <v>0</v>
      </c>
      <c r="V973" s="202">
        <f t="shared" si="634"/>
        <v>0</v>
      </c>
      <c r="W973" s="202">
        <f t="shared" si="634"/>
        <v>0</v>
      </c>
      <c r="X973" s="202">
        <f t="shared" si="634"/>
        <v>0</v>
      </c>
      <c r="Y973" s="202">
        <f t="shared" si="634"/>
        <v>0</v>
      </c>
      <c r="Z973" s="202">
        <f t="shared" si="634"/>
        <v>0</v>
      </c>
      <c r="AA973" s="202">
        <f t="shared" si="634"/>
        <v>0</v>
      </c>
      <c r="AB973" s="202">
        <f t="shared" si="634"/>
        <v>0</v>
      </c>
      <c r="AC973" s="202">
        <f t="shared" si="634"/>
        <v>0</v>
      </c>
      <c r="AD973" s="202">
        <f t="shared" si="634"/>
        <v>0</v>
      </c>
      <c r="AE973" s="202">
        <f t="shared" si="634"/>
        <v>0</v>
      </c>
      <c r="AF973" s="202">
        <f t="shared" si="634"/>
        <v>0</v>
      </c>
      <c r="AG973" s="202">
        <f t="shared" si="634"/>
        <v>0</v>
      </c>
    </row>
    <row r="974" spans="1:33" ht="14.25" hidden="1" customHeight="1" outlineLevel="1" x14ac:dyDescent="0.35">
      <c r="A974" s="21"/>
      <c r="B974" s="21"/>
      <c r="C974" s="21"/>
      <c r="D974" s="128" t="s">
        <v>4296</v>
      </c>
      <c r="E974" s="128"/>
      <c r="F974" s="21"/>
      <c r="G974" s="21"/>
      <c r="H974" s="21"/>
      <c r="I974" s="22" t="s">
        <v>3921</v>
      </c>
      <c r="J974" s="201">
        <v>0</v>
      </c>
      <c r="K974" s="201">
        <v>-5.4471884994983302E-2</v>
      </c>
      <c r="L974" s="201">
        <v>-0.40781026339735099</v>
      </c>
      <c r="M974" s="201">
        <v>-0.27849451591515301</v>
      </c>
      <c r="N974" s="201">
        <v>0.23117850416643501</v>
      </c>
      <c r="O974" s="201">
        <v>-7.3108773413923897E-2</v>
      </c>
      <c r="P974" s="201">
        <v>-0.15806973075251199</v>
      </c>
      <c r="Q974" s="201">
        <v>0</v>
      </c>
      <c r="R974" s="202">
        <f t="shared" ref="R974:AG974" si="635">R975</f>
        <v>0</v>
      </c>
      <c r="S974" s="202">
        <f t="shared" si="635"/>
        <v>0</v>
      </c>
      <c r="T974" s="202">
        <f t="shared" si="635"/>
        <v>0</v>
      </c>
      <c r="U974" s="202">
        <f t="shared" si="635"/>
        <v>0</v>
      </c>
      <c r="V974" s="202">
        <f t="shared" si="635"/>
        <v>0</v>
      </c>
      <c r="W974" s="202">
        <f t="shared" si="635"/>
        <v>0</v>
      </c>
      <c r="X974" s="202">
        <f t="shared" si="635"/>
        <v>0</v>
      </c>
      <c r="Y974" s="202">
        <f t="shared" si="635"/>
        <v>0</v>
      </c>
      <c r="Z974" s="202">
        <f t="shared" si="635"/>
        <v>0</v>
      </c>
      <c r="AA974" s="202">
        <f t="shared" si="635"/>
        <v>0</v>
      </c>
      <c r="AB974" s="202">
        <f t="shared" si="635"/>
        <v>0</v>
      </c>
      <c r="AC974" s="202">
        <f t="shared" si="635"/>
        <v>0</v>
      </c>
      <c r="AD974" s="202">
        <f t="shared" si="635"/>
        <v>0</v>
      </c>
      <c r="AE974" s="202">
        <f t="shared" si="635"/>
        <v>0</v>
      </c>
      <c r="AF974" s="202">
        <f t="shared" si="635"/>
        <v>0</v>
      </c>
      <c r="AG974" s="202">
        <f t="shared" si="635"/>
        <v>0</v>
      </c>
    </row>
    <row r="975" spans="1:33" ht="14.25" hidden="1" customHeight="1" outlineLevel="1" x14ac:dyDescent="0.35">
      <c r="A975" s="21"/>
      <c r="B975" s="21"/>
      <c r="C975" s="21"/>
      <c r="D975" s="128" t="s">
        <v>4297</v>
      </c>
      <c r="E975" s="128"/>
      <c r="F975" s="21"/>
      <c r="G975" s="21"/>
      <c r="H975" s="21"/>
      <c r="I975" s="22" t="s">
        <v>3921</v>
      </c>
      <c r="J975" s="201">
        <v>0</v>
      </c>
      <c r="K975" s="201">
        <v>0</v>
      </c>
      <c r="L975" s="201">
        <v>0</v>
      </c>
      <c r="M975" s="201">
        <v>0</v>
      </c>
      <c r="N975" s="201">
        <v>0</v>
      </c>
      <c r="O975" s="201">
        <v>0</v>
      </c>
      <c r="P975" s="201">
        <v>0</v>
      </c>
      <c r="Q975" s="201">
        <v>0</v>
      </c>
      <c r="R975" s="202">
        <v>0</v>
      </c>
      <c r="S975" s="202">
        <v>0</v>
      </c>
      <c r="T975" s="202">
        <v>0</v>
      </c>
      <c r="U975" s="202">
        <v>0</v>
      </c>
      <c r="V975" s="202">
        <v>0</v>
      </c>
      <c r="W975" s="202">
        <v>0</v>
      </c>
      <c r="X975" s="202">
        <v>0</v>
      </c>
      <c r="Y975" s="202">
        <v>0</v>
      </c>
      <c r="Z975" s="202">
        <v>0</v>
      </c>
      <c r="AA975" s="202">
        <v>0</v>
      </c>
      <c r="AB975" s="202">
        <v>0</v>
      </c>
      <c r="AC975" s="202">
        <v>0</v>
      </c>
      <c r="AD975" s="202">
        <v>0</v>
      </c>
      <c r="AE975" s="202">
        <v>0</v>
      </c>
      <c r="AF975" s="202">
        <v>0</v>
      </c>
      <c r="AG975" s="202">
        <v>0</v>
      </c>
    </row>
    <row r="976" spans="1:33" ht="14.25" hidden="1" customHeight="1" outlineLevel="1" x14ac:dyDescent="0.35">
      <c r="A976" s="21"/>
      <c r="B976" s="21"/>
      <c r="C976" s="21"/>
      <c r="D976" s="128" t="s">
        <v>4298</v>
      </c>
      <c r="E976" s="128"/>
      <c r="F976" s="21"/>
      <c r="G976" s="21"/>
      <c r="H976" s="21"/>
      <c r="I976" s="22" t="s">
        <v>3921</v>
      </c>
      <c r="J976" s="148">
        <f t="shared" ref="J976:AG976" si="636">J973+J974-J975</f>
        <v>0.74077666430748801</v>
      </c>
      <c r="K976" s="148">
        <f t="shared" si="636"/>
        <v>0.68630477931250466</v>
      </c>
      <c r="L976" s="148">
        <f t="shared" si="636"/>
        <v>0.27849451591515401</v>
      </c>
      <c r="M976" s="148">
        <f t="shared" si="636"/>
        <v>0</v>
      </c>
      <c r="N976" s="148">
        <f t="shared" si="636"/>
        <v>0.23117850416643501</v>
      </c>
      <c r="O976" s="148">
        <f t="shared" si="636"/>
        <v>0.15806973075251113</v>
      </c>
      <c r="P976" s="148">
        <f t="shared" si="636"/>
        <v>0</v>
      </c>
      <c r="Q976" s="148">
        <f t="shared" si="636"/>
        <v>0</v>
      </c>
      <c r="R976" s="202">
        <f t="shared" si="636"/>
        <v>0</v>
      </c>
      <c r="S976" s="202">
        <f t="shared" si="636"/>
        <v>0</v>
      </c>
      <c r="T976" s="202">
        <f t="shared" si="636"/>
        <v>0</v>
      </c>
      <c r="U976" s="202">
        <f t="shared" si="636"/>
        <v>0</v>
      </c>
      <c r="V976" s="202">
        <f t="shared" si="636"/>
        <v>0</v>
      </c>
      <c r="W976" s="202">
        <f t="shared" si="636"/>
        <v>0</v>
      </c>
      <c r="X976" s="202">
        <f t="shared" si="636"/>
        <v>0</v>
      </c>
      <c r="Y976" s="202">
        <f t="shared" si="636"/>
        <v>0</v>
      </c>
      <c r="Z976" s="202">
        <f t="shared" si="636"/>
        <v>0</v>
      </c>
      <c r="AA976" s="202">
        <f t="shared" si="636"/>
        <v>0</v>
      </c>
      <c r="AB976" s="202">
        <f t="shared" si="636"/>
        <v>0</v>
      </c>
      <c r="AC976" s="202">
        <f t="shared" si="636"/>
        <v>0</v>
      </c>
      <c r="AD976" s="202">
        <f t="shared" si="636"/>
        <v>0</v>
      </c>
      <c r="AE976" s="202">
        <f t="shared" si="636"/>
        <v>0</v>
      </c>
      <c r="AF976" s="202">
        <f t="shared" si="636"/>
        <v>0</v>
      </c>
      <c r="AG976" s="202">
        <f t="shared" si="636"/>
        <v>0</v>
      </c>
    </row>
    <row r="977" spans="1:33" ht="14.25" hidden="1" customHeight="1" outlineLevel="1" x14ac:dyDescent="0.35">
      <c r="A977" s="21"/>
      <c r="B977" s="21"/>
      <c r="C977" s="21"/>
      <c r="D977" s="128" t="s">
        <v>4299</v>
      </c>
      <c r="E977" s="128"/>
      <c r="F977" s="21"/>
      <c r="G977" s="21"/>
      <c r="H977" s="21"/>
      <c r="I977" s="22" t="s">
        <v>3921</v>
      </c>
      <c r="J977" s="201">
        <v>0</v>
      </c>
      <c r="K977" s="201">
        <v>0</v>
      </c>
      <c r="L977" s="201">
        <v>0</v>
      </c>
      <c r="M977" s="201">
        <v>0</v>
      </c>
      <c r="N977" s="201">
        <v>0</v>
      </c>
      <c r="O977" s="201">
        <v>0</v>
      </c>
      <c r="P977" s="201">
        <v>0</v>
      </c>
      <c r="Q977" s="201">
        <v>0</v>
      </c>
      <c r="R977" s="202">
        <v>0</v>
      </c>
      <c r="S977" s="202">
        <v>0</v>
      </c>
      <c r="T977" s="202">
        <v>0</v>
      </c>
      <c r="U977" s="202">
        <v>0</v>
      </c>
      <c r="V977" s="202">
        <v>0</v>
      </c>
      <c r="W977" s="202">
        <v>0</v>
      </c>
      <c r="X977" s="202">
        <v>0</v>
      </c>
      <c r="Y977" s="202">
        <v>0</v>
      </c>
      <c r="Z977" s="202">
        <v>0</v>
      </c>
      <c r="AA977" s="202">
        <v>0</v>
      </c>
      <c r="AB977" s="202">
        <v>0</v>
      </c>
      <c r="AC977" s="202">
        <v>0</v>
      </c>
      <c r="AD977" s="202">
        <v>0</v>
      </c>
      <c r="AE977" s="202">
        <v>0</v>
      </c>
      <c r="AF977" s="202">
        <v>0</v>
      </c>
      <c r="AG977" s="202">
        <v>0</v>
      </c>
    </row>
    <row r="978" spans="1:33" ht="14.25" hidden="1" customHeight="1" outlineLevel="1" x14ac:dyDescent="0.35">
      <c r="A978" s="21"/>
      <c r="B978" s="21"/>
      <c r="C978" s="21"/>
      <c r="D978" s="128" t="s">
        <v>4301</v>
      </c>
      <c r="E978" s="128"/>
      <c r="F978" s="21"/>
      <c r="G978" s="21"/>
      <c r="H978" s="21"/>
      <c r="I978" s="22" t="s">
        <v>3921</v>
      </c>
      <c r="J978" s="201">
        <v>1.52</v>
      </c>
      <c r="K978" s="201">
        <v>1.51999999955297</v>
      </c>
      <c r="L978" s="201">
        <v>1.21103234762968E-2</v>
      </c>
      <c r="M978" s="201">
        <v>4.9142287446776898E-3</v>
      </c>
      <c r="N978" s="201">
        <v>6.56247039236715E-3</v>
      </c>
      <c r="O978" s="201">
        <v>4.0793049248572704E-3</v>
      </c>
      <c r="P978" s="201">
        <v>2.7892499497503202E-3</v>
      </c>
      <c r="Q978" s="201">
        <v>1.51999999955297</v>
      </c>
      <c r="R978" s="202">
        <f t="shared" ref="R978:AG978" si="637">Q981</f>
        <v>2.5666815186400349E-3</v>
      </c>
      <c r="S978" s="202">
        <f t="shared" si="637"/>
        <v>2.5666817091405392E-3</v>
      </c>
      <c r="T978" s="202">
        <f t="shared" si="637"/>
        <v>2.5666817091405392E-3</v>
      </c>
      <c r="U978" s="202">
        <f t="shared" si="637"/>
        <v>2.5666817091405392E-3</v>
      </c>
      <c r="V978" s="202">
        <f t="shared" si="637"/>
        <v>2.5666817091405392E-3</v>
      </c>
      <c r="W978" s="202">
        <f t="shared" si="637"/>
        <v>2.5666817091405392E-3</v>
      </c>
      <c r="X978" s="202">
        <f t="shared" si="637"/>
        <v>2.5666817091405392E-3</v>
      </c>
      <c r="Y978" s="202">
        <f t="shared" si="637"/>
        <v>2.5666817091405392E-3</v>
      </c>
      <c r="Z978" s="202">
        <f t="shared" si="637"/>
        <v>2.5666817091405392E-3</v>
      </c>
      <c r="AA978" s="202">
        <f t="shared" si="637"/>
        <v>2.5666817091405392E-3</v>
      </c>
      <c r="AB978" s="202">
        <f t="shared" si="637"/>
        <v>2.5666817091405392E-3</v>
      </c>
      <c r="AC978" s="202">
        <f t="shared" si="637"/>
        <v>2.5666817091405392E-3</v>
      </c>
      <c r="AD978" s="202">
        <f t="shared" si="637"/>
        <v>2.5666817091405392E-3</v>
      </c>
      <c r="AE978" s="202">
        <f t="shared" si="637"/>
        <v>2.5666817091405392E-3</v>
      </c>
      <c r="AF978" s="202">
        <f t="shared" si="637"/>
        <v>2.5666817091405392E-3</v>
      </c>
      <c r="AG978" s="202">
        <f t="shared" si="637"/>
        <v>2.5666817091405392E-3</v>
      </c>
    </row>
    <row r="979" spans="1:33" ht="14.25" hidden="1" customHeight="1" outlineLevel="1" x14ac:dyDescent="0.35">
      <c r="A979" s="21"/>
      <c r="B979" s="21"/>
      <c r="C979" s="21"/>
      <c r="D979" s="128" t="s">
        <v>4296</v>
      </c>
      <c r="E979" s="128"/>
      <c r="F979" s="21"/>
      <c r="G979" s="21"/>
      <c r="H979" s="21"/>
      <c r="I979" s="22" t="s">
        <v>3921</v>
      </c>
      <c r="J979" s="201">
        <v>8618400</v>
      </c>
      <c r="K979" s="201">
        <v>-1.50788967607667</v>
      </c>
      <c r="L979" s="201">
        <v>-7.1960947316190901E-3</v>
      </c>
      <c r="M979" s="201">
        <v>1.6482416476894599E-3</v>
      </c>
      <c r="N979" s="201">
        <v>-2.4831654675098801E-3</v>
      </c>
      <c r="O979" s="201">
        <v>-1.2900549751069599E-3</v>
      </c>
      <c r="P979" s="201">
        <v>11134001.5172108</v>
      </c>
      <c r="Q979" s="201">
        <v>-1.51743331803433</v>
      </c>
      <c r="R979" s="202">
        <f t="shared" ref="R979:AG979" si="638">R980</f>
        <v>3242147.5088569466</v>
      </c>
      <c r="S979" s="202">
        <f t="shared" si="638"/>
        <v>3303877.4590610368</v>
      </c>
      <c r="T979" s="202">
        <f t="shared" si="638"/>
        <v>3398081.5833070651</v>
      </c>
      <c r="U979" s="202">
        <f t="shared" si="638"/>
        <v>3400850.8261446115</v>
      </c>
      <c r="V979" s="202">
        <f t="shared" si="638"/>
        <v>3401339.692789752</v>
      </c>
      <c r="W979" s="202">
        <f t="shared" si="638"/>
        <v>3400090.0925792465</v>
      </c>
      <c r="X979" s="202">
        <f t="shared" si="638"/>
        <v>3400760.125754735</v>
      </c>
      <c r="Y979" s="202">
        <f t="shared" si="638"/>
        <v>3400729.8933713147</v>
      </c>
      <c r="Z979" s="202">
        <f t="shared" si="638"/>
        <v>3400526.6757009425</v>
      </c>
      <c r="AA979" s="202">
        <f t="shared" si="638"/>
        <v>3400672.2284350409</v>
      </c>
      <c r="AB979" s="202">
        <f t="shared" si="638"/>
        <v>3400642.9303426556</v>
      </c>
      <c r="AC979" s="202">
        <f t="shared" si="638"/>
        <v>3400613.9436591826</v>
      </c>
      <c r="AD979" s="202">
        <f t="shared" si="638"/>
        <v>3400643.0339783924</v>
      </c>
      <c r="AE979" s="202">
        <f t="shared" si="638"/>
        <v>3400633.3026047293</v>
      </c>
      <c r="AF979" s="202">
        <f t="shared" si="638"/>
        <v>3400630.0933709214</v>
      </c>
      <c r="AG979" s="202">
        <f t="shared" si="638"/>
        <v>3400635.4766424056</v>
      </c>
    </row>
    <row r="980" spans="1:33" ht="14.25" hidden="1" customHeight="1" outlineLevel="1" x14ac:dyDescent="0.35">
      <c r="A980" s="21"/>
      <c r="B980" s="21"/>
      <c r="C980" s="21"/>
      <c r="D980" s="128" t="s">
        <v>4297</v>
      </c>
      <c r="E980" s="128"/>
      <c r="F980" s="21"/>
      <c r="G980" s="21"/>
      <c r="H980" s="21"/>
      <c r="I980" s="22" t="s">
        <v>3921</v>
      </c>
      <c r="J980" s="201">
        <v>8618400</v>
      </c>
      <c r="K980" s="201">
        <v>0</v>
      </c>
      <c r="L980" s="201">
        <v>0</v>
      </c>
      <c r="M980" s="201">
        <v>0</v>
      </c>
      <c r="N980" s="201">
        <v>0</v>
      </c>
      <c r="O980" s="201">
        <v>0</v>
      </c>
      <c r="P980" s="201">
        <v>11134000</v>
      </c>
      <c r="Q980" s="201">
        <v>0</v>
      </c>
      <c r="R980" s="202">
        <v>3242147.5088569466</v>
      </c>
      <c r="S980" s="202">
        <v>3303877.4590610368</v>
      </c>
      <c r="T980" s="202">
        <v>3398081.5833070651</v>
      </c>
      <c r="U980" s="202">
        <v>3400850.8261446115</v>
      </c>
      <c r="V980" s="202">
        <v>3401339.692789752</v>
      </c>
      <c r="W980" s="202">
        <v>3400090.0925792465</v>
      </c>
      <c r="X980" s="202">
        <v>3400760.125754735</v>
      </c>
      <c r="Y980" s="202">
        <v>3400729.8933713147</v>
      </c>
      <c r="Z980" s="202">
        <v>3400526.6757009425</v>
      </c>
      <c r="AA980" s="202">
        <v>3400672.2284350409</v>
      </c>
      <c r="AB980" s="202">
        <v>3400642.9303426556</v>
      </c>
      <c r="AC980" s="202">
        <v>3400613.9436591826</v>
      </c>
      <c r="AD980" s="202">
        <v>3400643.0339783924</v>
      </c>
      <c r="AE980" s="202">
        <v>3400633.3026047293</v>
      </c>
      <c r="AF980" s="202">
        <v>3400630.0933709214</v>
      </c>
      <c r="AG980" s="202">
        <v>3400635.4766424056</v>
      </c>
    </row>
    <row r="981" spans="1:33" ht="14.25" hidden="1" customHeight="1" outlineLevel="1" x14ac:dyDescent="0.35">
      <c r="A981" s="21"/>
      <c r="B981" s="21"/>
      <c r="C981" s="21"/>
      <c r="D981" s="128" t="s">
        <v>4298</v>
      </c>
      <c r="E981" s="128"/>
      <c r="F981" s="21"/>
      <c r="G981" s="21"/>
      <c r="H981" s="21"/>
      <c r="I981" s="22" t="s">
        <v>3921</v>
      </c>
      <c r="J981" s="148">
        <f t="shared" ref="J981:AG981" si="639">J978+J979-J980</f>
        <v>1.5199999995529652</v>
      </c>
      <c r="K981" s="148">
        <f t="shared" si="639"/>
        <v>1.2110323476300033E-2</v>
      </c>
      <c r="L981" s="148">
        <f t="shared" si="639"/>
        <v>4.9142287446777098E-3</v>
      </c>
      <c r="M981" s="148">
        <f t="shared" si="639"/>
        <v>6.56247039236715E-3</v>
      </c>
      <c r="N981" s="148">
        <f t="shared" si="639"/>
        <v>4.0793049248572695E-3</v>
      </c>
      <c r="O981" s="148">
        <f t="shared" si="639"/>
        <v>2.7892499497503102E-3</v>
      </c>
      <c r="P981" s="148">
        <f t="shared" si="639"/>
        <v>1.5200000498443842</v>
      </c>
      <c r="Q981" s="148">
        <f t="shared" si="639"/>
        <v>2.5666815186400349E-3</v>
      </c>
      <c r="R981" s="202">
        <f t="shared" si="639"/>
        <v>2.5666817091405392E-3</v>
      </c>
      <c r="S981" s="202">
        <f t="shared" si="639"/>
        <v>2.5666817091405392E-3</v>
      </c>
      <c r="T981" s="202">
        <f t="shared" si="639"/>
        <v>2.5666817091405392E-3</v>
      </c>
      <c r="U981" s="202">
        <f t="shared" si="639"/>
        <v>2.5666817091405392E-3</v>
      </c>
      <c r="V981" s="202">
        <f t="shared" si="639"/>
        <v>2.5666817091405392E-3</v>
      </c>
      <c r="W981" s="202">
        <f t="shared" si="639"/>
        <v>2.5666817091405392E-3</v>
      </c>
      <c r="X981" s="202">
        <f t="shared" si="639"/>
        <v>2.5666817091405392E-3</v>
      </c>
      <c r="Y981" s="202">
        <f t="shared" si="639"/>
        <v>2.5666817091405392E-3</v>
      </c>
      <c r="Z981" s="202">
        <f t="shared" si="639"/>
        <v>2.5666817091405392E-3</v>
      </c>
      <c r="AA981" s="202">
        <f t="shared" si="639"/>
        <v>2.5666817091405392E-3</v>
      </c>
      <c r="AB981" s="202">
        <f t="shared" si="639"/>
        <v>2.5666817091405392E-3</v>
      </c>
      <c r="AC981" s="202">
        <f t="shared" si="639"/>
        <v>2.5666817091405392E-3</v>
      </c>
      <c r="AD981" s="202">
        <f t="shared" si="639"/>
        <v>2.5666817091405392E-3</v>
      </c>
      <c r="AE981" s="202">
        <f t="shared" si="639"/>
        <v>2.5666817091405392E-3</v>
      </c>
      <c r="AF981" s="202">
        <f t="shared" si="639"/>
        <v>2.5666817091405392E-3</v>
      </c>
      <c r="AG981" s="202">
        <f t="shared" si="639"/>
        <v>2.5666817091405392E-3</v>
      </c>
    </row>
    <row r="982" spans="1:33" ht="14.25" hidden="1" customHeight="1" outlineLevel="1" x14ac:dyDescent="0.35">
      <c r="A982" s="21"/>
      <c r="B982" s="21"/>
      <c r="C982" s="21"/>
      <c r="D982" s="128" t="s">
        <v>4299</v>
      </c>
      <c r="E982" s="128"/>
      <c r="F982" s="21"/>
      <c r="G982" s="21"/>
      <c r="H982" s="21"/>
      <c r="I982" s="22" t="s">
        <v>3921</v>
      </c>
      <c r="J982" s="201">
        <v>10307500</v>
      </c>
      <c r="K982" s="201">
        <v>0</v>
      </c>
      <c r="L982" s="201">
        <v>0</v>
      </c>
      <c r="M982" s="201">
        <v>0</v>
      </c>
      <c r="N982" s="201">
        <v>0</v>
      </c>
      <c r="O982" s="201">
        <v>0</v>
      </c>
      <c r="P982" s="201">
        <v>3496000</v>
      </c>
      <c r="Q982" s="201">
        <v>0</v>
      </c>
      <c r="R982" s="202">
        <v>2265698.5044099381</v>
      </c>
      <c r="S982" s="202">
        <v>2308837.0277105072</v>
      </c>
      <c r="T982" s="202">
        <v>2374669.3634788212</v>
      </c>
      <c r="U982" s="202">
        <v>2376604.5836803196</v>
      </c>
      <c r="V982" s="202">
        <v>2376946.2166330847</v>
      </c>
      <c r="W982" s="202">
        <v>2376072.9629269168</v>
      </c>
      <c r="X982" s="202">
        <v>2376541.1998468786</v>
      </c>
      <c r="Y982" s="202">
        <v>2376520.0726570413</v>
      </c>
      <c r="Z982" s="202">
        <v>2376378.058769464</v>
      </c>
      <c r="AA982" s="202">
        <v>2376479.774873083</v>
      </c>
      <c r="AB982" s="202">
        <v>2376459.3005905533</v>
      </c>
      <c r="AC982" s="202">
        <v>2376439.0439288151</v>
      </c>
      <c r="AD982" s="202">
        <v>2376459.3730139495</v>
      </c>
      <c r="AE982" s="202">
        <v>2376452.5724724275</v>
      </c>
      <c r="AF982" s="202">
        <v>2376450.3297748887</v>
      </c>
      <c r="AG982" s="202">
        <v>2376454.0917475065</v>
      </c>
    </row>
    <row r="983" spans="1:33" ht="14.25" hidden="1" customHeight="1" outlineLevel="1" x14ac:dyDescent="0.35">
      <c r="A983" s="21"/>
      <c r="B983" s="21"/>
      <c r="C983" s="21"/>
      <c r="D983" s="128" t="s">
        <v>4302</v>
      </c>
      <c r="E983" s="128"/>
      <c r="F983" s="21"/>
      <c r="G983" s="21"/>
      <c r="H983" s="21"/>
      <c r="I983" s="22" t="s">
        <v>3921</v>
      </c>
      <c r="J983" s="201">
        <v>0</v>
      </c>
      <c r="K983" s="201">
        <v>0</v>
      </c>
      <c r="L983" s="201">
        <v>0</v>
      </c>
      <c r="M983" s="201">
        <v>0</v>
      </c>
      <c r="N983" s="201">
        <v>0</v>
      </c>
      <c r="O983" s="201">
        <v>0</v>
      </c>
      <c r="P983" s="201">
        <v>0</v>
      </c>
      <c r="Q983" s="201">
        <v>0</v>
      </c>
      <c r="R983" s="202">
        <f t="shared" ref="R983:AG983" si="640">Q986</f>
        <v>0</v>
      </c>
      <c r="S983" s="202">
        <f t="shared" si="640"/>
        <v>0</v>
      </c>
      <c r="T983" s="202">
        <f t="shared" si="640"/>
        <v>0</v>
      </c>
      <c r="U983" s="202">
        <f t="shared" si="640"/>
        <v>0</v>
      </c>
      <c r="V983" s="202">
        <f t="shared" si="640"/>
        <v>0</v>
      </c>
      <c r="W983" s="202">
        <f t="shared" si="640"/>
        <v>0</v>
      </c>
      <c r="X983" s="202">
        <f t="shared" si="640"/>
        <v>0</v>
      </c>
      <c r="Y983" s="202">
        <f t="shared" si="640"/>
        <v>0</v>
      </c>
      <c r="Z983" s="202">
        <f t="shared" si="640"/>
        <v>0</v>
      </c>
      <c r="AA983" s="202">
        <f t="shared" si="640"/>
        <v>0</v>
      </c>
      <c r="AB983" s="202">
        <f t="shared" si="640"/>
        <v>0</v>
      </c>
      <c r="AC983" s="202">
        <f t="shared" si="640"/>
        <v>0</v>
      </c>
      <c r="AD983" s="202">
        <f t="shared" si="640"/>
        <v>0</v>
      </c>
      <c r="AE983" s="202">
        <f t="shared" si="640"/>
        <v>0</v>
      </c>
      <c r="AF983" s="202">
        <f t="shared" si="640"/>
        <v>0</v>
      </c>
      <c r="AG983" s="202">
        <f t="shared" si="640"/>
        <v>0</v>
      </c>
    </row>
    <row r="984" spans="1:33" ht="14.25" hidden="1" customHeight="1" outlineLevel="1" x14ac:dyDescent="0.35">
      <c r="A984" s="21"/>
      <c r="B984" s="21"/>
      <c r="C984" s="21"/>
      <c r="D984" s="128" t="s">
        <v>4296</v>
      </c>
      <c r="E984" s="128"/>
      <c r="F984" s="21"/>
      <c r="G984" s="21"/>
      <c r="H984" s="21"/>
      <c r="I984" s="22" t="s">
        <v>3921</v>
      </c>
      <c r="J984" s="201">
        <v>0</v>
      </c>
      <c r="K984" s="201">
        <v>0</v>
      </c>
      <c r="L984" s="201">
        <v>0</v>
      </c>
      <c r="M984" s="201">
        <v>0</v>
      </c>
      <c r="N984" s="201">
        <v>0</v>
      </c>
      <c r="O984" s="201">
        <v>0</v>
      </c>
      <c r="P984" s="201">
        <v>0</v>
      </c>
      <c r="Q984" s="201">
        <v>0</v>
      </c>
      <c r="R984" s="202">
        <f t="shared" ref="R984:AG984" si="641">R985</f>
        <v>0</v>
      </c>
      <c r="S984" s="202">
        <f t="shared" si="641"/>
        <v>0</v>
      </c>
      <c r="T984" s="202">
        <f t="shared" si="641"/>
        <v>0</v>
      </c>
      <c r="U984" s="202">
        <f t="shared" si="641"/>
        <v>0</v>
      </c>
      <c r="V984" s="202">
        <f t="shared" si="641"/>
        <v>0</v>
      </c>
      <c r="W984" s="202">
        <f t="shared" si="641"/>
        <v>0</v>
      </c>
      <c r="X984" s="202">
        <f t="shared" si="641"/>
        <v>0</v>
      </c>
      <c r="Y984" s="202">
        <f t="shared" si="641"/>
        <v>0</v>
      </c>
      <c r="Z984" s="202">
        <f t="shared" si="641"/>
        <v>0</v>
      </c>
      <c r="AA984" s="202">
        <f t="shared" si="641"/>
        <v>0</v>
      </c>
      <c r="AB984" s="202">
        <f t="shared" si="641"/>
        <v>0</v>
      </c>
      <c r="AC984" s="202">
        <f t="shared" si="641"/>
        <v>0</v>
      </c>
      <c r="AD984" s="202">
        <f t="shared" si="641"/>
        <v>0</v>
      </c>
      <c r="AE984" s="202">
        <f t="shared" si="641"/>
        <v>0</v>
      </c>
      <c r="AF984" s="202">
        <f t="shared" si="641"/>
        <v>0</v>
      </c>
      <c r="AG984" s="202">
        <f t="shared" si="641"/>
        <v>0</v>
      </c>
    </row>
    <row r="985" spans="1:33" ht="14.25" hidden="1" customHeight="1" outlineLevel="1" x14ac:dyDescent="0.35">
      <c r="A985" s="21"/>
      <c r="B985" s="21"/>
      <c r="C985" s="21"/>
      <c r="D985" s="128" t="s">
        <v>4297</v>
      </c>
      <c r="E985" s="128"/>
      <c r="F985" s="21"/>
      <c r="G985" s="21"/>
      <c r="H985" s="21"/>
      <c r="I985" s="22" t="s">
        <v>3921</v>
      </c>
      <c r="J985" s="201">
        <v>0</v>
      </c>
      <c r="K985" s="201">
        <v>0</v>
      </c>
      <c r="L985" s="201">
        <v>0</v>
      </c>
      <c r="M985" s="201">
        <v>0</v>
      </c>
      <c r="N985" s="201">
        <v>0</v>
      </c>
      <c r="O985" s="201">
        <v>0</v>
      </c>
      <c r="P985" s="201">
        <v>0</v>
      </c>
      <c r="Q985" s="201">
        <v>0</v>
      </c>
      <c r="R985" s="202">
        <v>0</v>
      </c>
      <c r="S985" s="202">
        <v>0</v>
      </c>
      <c r="T985" s="202">
        <v>0</v>
      </c>
      <c r="U985" s="202">
        <v>0</v>
      </c>
      <c r="V985" s="202">
        <v>0</v>
      </c>
      <c r="W985" s="202">
        <v>0</v>
      </c>
      <c r="X985" s="202">
        <v>0</v>
      </c>
      <c r="Y985" s="202">
        <v>0</v>
      </c>
      <c r="Z985" s="202">
        <v>0</v>
      </c>
      <c r="AA985" s="202">
        <v>0</v>
      </c>
      <c r="AB985" s="202">
        <v>0</v>
      </c>
      <c r="AC985" s="202">
        <v>0</v>
      </c>
      <c r="AD985" s="202">
        <v>0</v>
      </c>
      <c r="AE985" s="202">
        <v>0</v>
      </c>
      <c r="AF985" s="202">
        <v>0</v>
      </c>
      <c r="AG985" s="202">
        <v>0</v>
      </c>
    </row>
    <row r="986" spans="1:33" ht="14.25" hidden="1" customHeight="1" outlineLevel="1" x14ac:dyDescent="0.35">
      <c r="A986" s="21"/>
      <c r="B986" s="21"/>
      <c r="C986" s="21"/>
      <c r="D986" s="128" t="s">
        <v>4298</v>
      </c>
      <c r="E986" s="128"/>
      <c r="F986" s="21"/>
      <c r="G986" s="21"/>
      <c r="H986" s="21"/>
      <c r="I986" s="22" t="s">
        <v>3921</v>
      </c>
      <c r="J986" s="148">
        <f t="shared" ref="J986:AG986" si="642">J983+J984-J985</f>
        <v>0</v>
      </c>
      <c r="K986" s="148">
        <f t="shared" si="642"/>
        <v>0</v>
      </c>
      <c r="L986" s="148">
        <f t="shared" si="642"/>
        <v>0</v>
      </c>
      <c r="M986" s="148">
        <f t="shared" si="642"/>
        <v>0</v>
      </c>
      <c r="N986" s="148">
        <f t="shared" si="642"/>
        <v>0</v>
      </c>
      <c r="O986" s="148">
        <f t="shared" si="642"/>
        <v>0</v>
      </c>
      <c r="P986" s="148">
        <f t="shared" si="642"/>
        <v>0</v>
      </c>
      <c r="Q986" s="148">
        <f t="shared" si="642"/>
        <v>0</v>
      </c>
      <c r="R986" s="202">
        <f t="shared" si="642"/>
        <v>0</v>
      </c>
      <c r="S986" s="202">
        <f t="shared" si="642"/>
        <v>0</v>
      </c>
      <c r="T986" s="202">
        <f t="shared" si="642"/>
        <v>0</v>
      </c>
      <c r="U986" s="202">
        <f t="shared" si="642"/>
        <v>0</v>
      </c>
      <c r="V986" s="202">
        <f t="shared" si="642"/>
        <v>0</v>
      </c>
      <c r="W986" s="202">
        <f t="shared" si="642"/>
        <v>0</v>
      </c>
      <c r="X986" s="202">
        <f t="shared" si="642"/>
        <v>0</v>
      </c>
      <c r="Y986" s="202">
        <f t="shared" si="642"/>
        <v>0</v>
      </c>
      <c r="Z986" s="202">
        <f t="shared" si="642"/>
        <v>0</v>
      </c>
      <c r="AA986" s="202">
        <f t="shared" si="642"/>
        <v>0</v>
      </c>
      <c r="AB986" s="202">
        <f t="shared" si="642"/>
        <v>0</v>
      </c>
      <c r="AC986" s="202">
        <f t="shared" si="642"/>
        <v>0</v>
      </c>
      <c r="AD986" s="202">
        <f t="shared" si="642"/>
        <v>0</v>
      </c>
      <c r="AE986" s="202">
        <f t="shared" si="642"/>
        <v>0</v>
      </c>
      <c r="AF986" s="202">
        <f t="shared" si="642"/>
        <v>0</v>
      </c>
      <c r="AG986" s="202">
        <f t="shared" si="642"/>
        <v>0</v>
      </c>
    </row>
    <row r="987" spans="1:33" ht="14.25" hidden="1" customHeight="1" outlineLevel="1" x14ac:dyDescent="0.35">
      <c r="A987" s="21"/>
      <c r="B987" s="21"/>
      <c r="C987" s="21"/>
      <c r="D987" s="128" t="s">
        <v>4299</v>
      </c>
      <c r="E987" s="128"/>
      <c r="F987" s="21"/>
      <c r="G987" s="21"/>
      <c r="H987" s="21"/>
      <c r="I987" s="22" t="s">
        <v>3921</v>
      </c>
      <c r="J987" s="201">
        <v>0</v>
      </c>
      <c r="K987" s="201">
        <v>0</v>
      </c>
      <c r="L987" s="201">
        <v>0</v>
      </c>
      <c r="M987" s="201">
        <v>0</v>
      </c>
      <c r="N987" s="201">
        <v>0</v>
      </c>
      <c r="O987" s="201">
        <v>0</v>
      </c>
      <c r="P987" s="201">
        <v>0</v>
      </c>
      <c r="Q987" s="201">
        <v>0</v>
      </c>
      <c r="R987" s="202">
        <v>0</v>
      </c>
      <c r="S987" s="202">
        <v>0</v>
      </c>
      <c r="T987" s="202">
        <v>0</v>
      </c>
      <c r="U987" s="202">
        <v>0</v>
      </c>
      <c r="V987" s="202">
        <v>0</v>
      </c>
      <c r="W987" s="202">
        <v>0</v>
      </c>
      <c r="X987" s="202">
        <v>0</v>
      </c>
      <c r="Y987" s="202">
        <v>0</v>
      </c>
      <c r="Z987" s="202">
        <v>0</v>
      </c>
      <c r="AA987" s="202">
        <v>0</v>
      </c>
      <c r="AB987" s="202">
        <v>0</v>
      </c>
      <c r="AC987" s="202">
        <v>0</v>
      </c>
      <c r="AD987" s="202">
        <v>0</v>
      </c>
      <c r="AE987" s="202">
        <v>0</v>
      </c>
      <c r="AF987" s="202">
        <v>0</v>
      </c>
      <c r="AG987" s="202">
        <v>0</v>
      </c>
    </row>
    <row r="988" spans="1:33" ht="14.25" hidden="1" customHeight="1" outlineLevel="1" x14ac:dyDescent="0.35">
      <c r="A988" s="21"/>
      <c r="B988" s="21"/>
      <c r="C988" s="21"/>
      <c r="D988" s="128" t="s">
        <v>4303</v>
      </c>
      <c r="E988" s="128"/>
      <c r="F988" s="21"/>
      <c r="G988" s="21"/>
      <c r="H988" s="21"/>
      <c r="I988" s="22" t="s">
        <v>3921</v>
      </c>
      <c r="J988" s="201">
        <v>0</v>
      </c>
      <c r="K988" s="201">
        <v>0</v>
      </c>
      <c r="L988" s="201">
        <v>0</v>
      </c>
      <c r="M988" s="201">
        <v>0</v>
      </c>
      <c r="N988" s="201">
        <v>0</v>
      </c>
      <c r="O988" s="201">
        <v>0</v>
      </c>
      <c r="P988" s="201">
        <v>0</v>
      </c>
      <c r="Q988" s="201">
        <v>0</v>
      </c>
      <c r="R988" s="202">
        <f t="shared" ref="R988:AG988" si="643">Q991</f>
        <v>0</v>
      </c>
      <c r="S988" s="202">
        <f t="shared" si="643"/>
        <v>0</v>
      </c>
      <c r="T988" s="202">
        <f t="shared" si="643"/>
        <v>0</v>
      </c>
      <c r="U988" s="202">
        <f t="shared" si="643"/>
        <v>0</v>
      </c>
      <c r="V988" s="202">
        <f t="shared" si="643"/>
        <v>0</v>
      </c>
      <c r="W988" s="202">
        <f t="shared" si="643"/>
        <v>0</v>
      </c>
      <c r="X988" s="202">
        <f t="shared" si="643"/>
        <v>0</v>
      </c>
      <c r="Y988" s="202">
        <f t="shared" si="643"/>
        <v>0</v>
      </c>
      <c r="Z988" s="202">
        <f t="shared" si="643"/>
        <v>0</v>
      </c>
      <c r="AA988" s="202">
        <f t="shared" si="643"/>
        <v>0</v>
      </c>
      <c r="AB988" s="202">
        <f t="shared" si="643"/>
        <v>0</v>
      </c>
      <c r="AC988" s="202">
        <f t="shared" si="643"/>
        <v>0</v>
      </c>
      <c r="AD988" s="202">
        <f t="shared" si="643"/>
        <v>0</v>
      </c>
      <c r="AE988" s="202">
        <f t="shared" si="643"/>
        <v>0</v>
      </c>
      <c r="AF988" s="202">
        <f t="shared" si="643"/>
        <v>0</v>
      </c>
      <c r="AG988" s="202">
        <f t="shared" si="643"/>
        <v>0</v>
      </c>
    </row>
    <row r="989" spans="1:33" ht="14.25" hidden="1" customHeight="1" outlineLevel="1" x14ac:dyDescent="0.35">
      <c r="A989" s="21"/>
      <c r="B989" s="21"/>
      <c r="C989" s="21"/>
      <c r="D989" s="128" t="s">
        <v>4296</v>
      </c>
      <c r="E989" s="128"/>
      <c r="F989" s="21"/>
      <c r="G989" s="21"/>
      <c r="H989" s="21"/>
      <c r="I989" s="22" t="s">
        <v>3921</v>
      </c>
      <c r="J989" s="201">
        <v>0</v>
      </c>
      <c r="K989" s="201">
        <v>0</v>
      </c>
      <c r="L989" s="201">
        <v>0</v>
      </c>
      <c r="M989" s="201">
        <v>0</v>
      </c>
      <c r="N989" s="201">
        <v>0</v>
      </c>
      <c r="O989" s="201">
        <v>0</v>
      </c>
      <c r="P989" s="201">
        <v>0</v>
      </c>
      <c r="Q989" s="201">
        <v>0</v>
      </c>
      <c r="R989" s="202">
        <f t="shared" ref="R989:AG989" si="644">R990</f>
        <v>0</v>
      </c>
      <c r="S989" s="202">
        <f t="shared" si="644"/>
        <v>0</v>
      </c>
      <c r="T989" s="202">
        <f t="shared" si="644"/>
        <v>0</v>
      </c>
      <c r="U989" s="202">
        <f t="shared" si="644"/>
        <v>0</v>
      </c>
      <c r="V989" s="202">
        <f t="shared" si="644"/>
        <v>0</v>
      </c>
      <c r="W989" s="202">
        <f t="shared" si="644"/>
        <v>0</v>
      </c>
      <c r="X989" s="202">
        <f t="shared" si="644"/>
        <v>0</v>
      </c>
      <c r="Y989" s="202">
        <f t="shared" si="644"/>
        <v>0</v>
      </c>
      <c r="Z989" s="202">
        <f t="shared" si="644"/>
        <v>0</v>
      </c>
      <c r="AA989" s="202">
        <f t="shared" si="644"/>
        <v>0</v>
      </c>
      <c r="AB989" s="202">
        <f t="shared" si="644"/>
        <v>0</v>
      </c>
      <c r="AC989" s="202">
        <f t="shared" si="644"/>
        <v>0</v>
      </c>
      <c r="AD989" s="202">
        <f t="shared" si="644"/>
        <v>0</v>
      </c>
      <c r="AE989" s="202">
        <f t="shared" si="644"/>
        <v>0</v>
      </c>
      <c r="AF989" s="202">
        <f t="shared" si="644"/>
        <v>0</v>
      </c>
      <c r="AG989" s="202">
        <f t="shared" si="644"/>
        <v>0</v>
      </c>
    </row>
    <row r="990" spans="1:33" ht="14.25" hidden="1" customHeight="1" outlineLevel="1" x14ac:dyDescent="0.35">
      <c r="A990" s="21"/>
      <c r="B990" s="21"/>
      <c r="C990" s="21"/>
      <c r="D990" s="128" t="s">
        <v>4297</v>
      </c>
      <c r="E990" s="128"/>
      <c r="F990" s="21"/>
      <c r="G990" s="21"/>
      <c r="H990" s="21"/>
      <c r="I990" s="22" t="s">
        <v>3921</v>
      </c>
      <c r="J990" s="201">
        <v>0</v>
      </c>
      <c r="K990" s="201">
        <v>0</v>
      </c>
      <c r="L990" s="201">
        <v>0</v>
      </c>
      <c r="M990" s="201">
        <v>0</v>
      </c>
      <c r="N990" s="201">
        <v>0</v>
      </c>
      <c r="O990" s="201">
        <v>0</v>
      </c>
      <c r="P990" s="201">
        <v>0</v>
      </c>
      <c r="Q990" s="201">
        <v>0</v>
      </c>
      <c r="R990" s="202">
        <v>0</v>
      </c>
      <c r="S990" s="202">
        <v>0</v>
      </c>
      <c r="T990" s="202">
        <v>0</v>
      </c>
      <c r="U990" s="202">
        <v>0</v>
      </c>
      <c r="V990" s="202">
        <v>0</v>
      </c>
      <c r="W990" s="202">
        <v>0</v>
      </c>
      <c r="X990" s="202">
        <v>0</v>
      </c>
      <c r="Y990" s="202">
        <v>0</v>
      </c>
      <c r="Z990" s="202">
        <v>0</v>
      </c>
      <c r="AA990" s="202">
        <v>0</v>
      </c>
      <c r="AB990" s="202">
        <v>0</v>
      </c>
      <c r="AC990" s="202">
        <v>0</v>
      </c>
      <c r="AD990" s="202">
        <v>0</v>
      </c>
      <c r="AE990" s="202">
        <v>0</v>
      </c>
      <c r="AF990" s="202">
        <v>0</v>
      </c>
      <c r="AG990" s="202">
        <v>0</v>
      </c>
    </row>
    <row r="991" spans="1:33" ht="14.25" hidden="1" customHeight="1" outlineLevel="1" x14ac:dyDescent="0.35">
      <c r="A991" s="21"/>
      <c r="B991" s="21"/>
      <c r="C991" s="21"/>
      <c r="D991" s="128" t="s">
        <v>4298</v>
      </c>
      <c r="E991" s="128"/>
      <c r="F991" s="21"/>
      <c r="G991" s="21"/>
      <c r="H991" s="21"/>
      <c r="I991" s="22" t="s">
        <v>3921</v>
      </c>
      <c r="J991" s="148">
        <f t="shared" ref="J991:AG991" si="645">J988+J989-J990</f>
        <v>0</v>
      </c>
      <c r="K991" s="148">
        <f t="shared" si="645"/>
        <v>0</v>
      </c>
      <c r="L991" s="148">
        <f t="shared" si="645"/>
        <v>0</v>
      </c>
      <c r="M991" s="148">
        <f t="shared" si="645"/>
        <v>0</v>
      </c>
      <c r="N991" s="148">
        <f t="shared" si="645"/>
        <v>0</v>
      </c>
      <c r="O991" s="148">
        <f t="shared" si="645"/>
        <v>0</v>
      </c>
      <c r="P991" s="148">
        <f t="shared" si="645"/>
        <v>0</v>
      </c>
      <c r="Q991" s="148">
        <f t="shared" si="645"/>
        <v>0</v>
      </c>
      <c r="R991" s="202">
        <f t="shared" si="645"/>
        <v>0</v>
      </c>
      <c r="S991" s="202">
        <f t="shared" si="645"/>
        <v>0</v>
      </c>
      <c r="T991" s="202">
        <f t="shared" si="645"/>
        <v>0</v>
      </c>
      <c r="U991" s="202">
        <f t="shared" si="645"/>
        <v>0</v>
      </c>
      <c r="V991" s="202">
        <f t="shared" si="645"/>
        <v>0</v>
      </c>
      <c r="W991" s="202">
        <f t="shared" si="645"/>
        <v>0</v>
      </c>
      <c r="X991" s="202">
        <f t="shared" si="645"/>
        <v>0</v>
      </c>
      <c r="Y991" s="202">
        <f t="shared" si="645"/>
        <v>0</v>
      </c>
      <c r="Z991" s="202">
        <f t="shared" si="645"/>
        <v>0</v>
      </c>
      <c r="AA991" s="202">
        <f t="shared" si="645"/>
        <v>0</v>
      </c>
      <c r="AB991" s="202">
        <f t="shared" si="645"/>
        <v>0</v>
      </c>
      <c r="AC991" s="202">
        <f t="shared" si="645"/>
        <v>0</v>
      </c>
      <c r="AD991" s="202">
        <f t="shared" si="645"/>
        <v>0</v>
      </c>
      <c r="AE991" s="202">
        <f t="shared" si="645"/>
        <v>0</v>
      </c>
      <c r="AF991" s="202">
        <f t="shared" si="645"/>
        <v>0</v>
      </c>
      <c r="AG991" s="202">
        <f t="shared" si="645"/>
        <v>0</v>
      </c>
    </row>
    <row r="992" spans="1:33" ht="14.25" hidden="1" customHeight="1" outlineLevel="1" x14ac:dyDescent="0.35">
      <c r="A992" s="21"/>
      <c r="B992" s="21"/>
      <c r="C992" s="21"/>
      <c r="D992" s="128" t="s">
        <v>4299</v>
      </c>
      <c r="E992" s="128"/>
      <c r="F992" s="21"/>
      <c r="G992" s="21"/>
      <c r="H992" s="21"/>
      <c r="I992" s="22" t="s">
        <v>3921</v>
      </c>
      <c r="J992" s="201">
        <v>0</v>
      </c>
      <c r="K992" s="201">
        <v>0</v>
      </c>
      <c r="L992" s="201">
        <v>0</v>
      </c>
      <c r="M992" s="201">
        <v>0</v>
      </c>
      <c r="N992" s="201">
        <v>0</v>
      </c>
      <c r="O992" s="201">
        <v>0</v>
      </c>
      <c r="P992" s="201">
        <v>0</v>
      </c>
      <c r="Q992" s="201">
        <v>0</v>
      </c>
      <c r="R992" s="202">
        <v>0</v>
      </c>
      <c r="S992" s="202">
        <v>0</v>
      </c>
      <c r="T992" s="202">
        <v>0</v>
      </c>
      <c r="U992" s="202">
        <v>0</v>
      </c>
      <c r="V992" s="202">
        <v>0</v>
      </c>
      <c r="W992" s="202">
        <v>0</v>
      </c>
      <c r="X992" s="202">
        <v>0</v>
      </c>
      <c r="Y992" s="202">
        <v>0</v>
      </c>
      <c r="Z992" s="202">
        <v>0</v>
      </c>
      <c r="AA992" s="202">
        <v>0</v>
      </c>
      <c r="AB992" s="202">
        <v>0</v>
      </c>
      <c r="AC992" s="202">
        <v>0</v>
      </c>
      <c r="AD992" s="202">
        <v>0</v>
      </c>
      <c r="AE992" s="202">
        <v>0</v>
      </c>
      <c r="AF992" s="202">
        <v>0</v>
      </c>
      <c r="AG992" s="202">
        <v>0</v>
      </c>
    </row>
    <row r="993" spans="1:33" ht="14.25" hidden="1" customHeight="1" outlineLevel="1" x14ac:dyDescent="0.35">
      <c r="A993" s="21"/>
      <c r="B993" s="21"/>
      <c r="C993" s="21"/>
      <c r="D993" s="128" t="s">
        <v>4304</v>
      </c>
      <c r="E993" s="128"/>
      <c r="F993" s="21"/>
      <c r="G993" s="21"/>
      <c r="H993" s="21"/>
      <c r="I993" s="22" t="s">
        <v>3921</v>
      </c>
      <c r="J993" s="201">
        <v>0</v>
      </c>
      <c r="K993" s="201">
        <v>0</v>
      </c>
      <c r="L993" s="201">
        <v>0</v>
      </c>
      <c r="M993" s="201">
        <v>0</v>
      </c>
      <c r="N993" s="201">
        <v>0</v>
      </c>
      <c r="O993" s="201">
        <v>0</v>
      </c>
      <c r="P993" s="201">
        <v>0</v>
      </c>
      <c r="Q993" s="201">
        <v>0</v>
      </c>
      <c r="R993" s="202">
        <f t="shared" ref="R993:AG993" si="646">Q996</f>
        <v>0</v>
      </c>
      <c r="S993" s="202">
        <f t="shared" si="646"/>
        <v>0</v>
      </c>
      <c r="T993" s="202">
        <f t="shared" si="646"/>
        <v>0</v>
      </c>
      <c r="U993" s="202">
        <f t="shared" si="646"/>
        <v>0</v>
      </c>
      <c r="V993" s="202">
        <f t="shared" si="646"/>
        <v>0</v>
      </c>
      <c r="W993" s="202">
        <f t="shared" si="646"/>
        <v>0</v>
      </c>
      <c r="X993" s="202">
        <f t="shared" si="646"/>
        <v>0</v>
      </c>
      <c r="Y993" s="202">
        <f t="shared" si="646"/>
        <v>0</v>
      </c>
      <c r="Z993" s="202">
        <f t="shared" si="646"/>
        <v>0</v>
      </c>
      <c r="AA993" s="202">
        <f t="shared" si="646"/>
        <v>0</v>
      </c>
      <c r="AB993" s="202">
        <f t="shared" si="646"/>
        <v>0</v>
      </c>
      <c r="AC993" s="202">
        <f t="shared" si="646"/>
        <v>0</v>
      </c>
      <c r="AD993" s="202">
        <f t="shared" si="646"/>
        <v>0</v>
      </c>
      <c r="AE993" s="202">
        <f t="shared" si="646"/>
        <v>0</v>
      </c>
      <c r="AF993" s="202">
        <f t="shared" si="646"/>
        <v>0</v>
      </c>
      <c r="AG993" s="202">
        <f t="shared" si="646"/>
        <v>0</v>
      </c>
    </row>
    <row r="994" spans="1:33" ht="14.25" hidden="1" customHeight="1" outlineLevel="1" x14ac:dyDescent="0.35">
      <c r="A994" s="21"/>
      <c r="B994" s="21"/>
      <c r="C994" s="21"/>
      <c r="D994" s="128" t="s">
        <v>4296</v>
      </c>
      <c r="E994" s="128"/>
      <c r="F994" s="21"/>
      <c r="G994" s="21"/>
      <c r="H994" s="21"/>
      <c r="I994" s="22" t="s">
        <v>3921</v>
      </c>
      <c r="J994" s="201">
        <v>0</v>
      </c>
      <c r="K994" s="201">
        <v>0</v>
      </c>
      <c r="L994" s="201">
        <v>0</v>
      </c>
      <c r="M994" s="201">
        <v>0</v>
      </c>
      <c r="N994" s="201">
        <v>0</v>
      </c>
      <c r="O994" s="201">
        <v>10239.483371173799</v>
      </c>
      <c r="P994" s="201">
        <v>0</v>
      </c>
      <c r="Q994" s="201">
        <v>0</v>
      </c>
      <c r="R994" s="202">
        <f t="shared" ref="R994:AG994" si="647">R995</f>
        <v>1279.9354213967249</v>
      </c>
      <c r="S994" s="202">
        <f t="shared" si="647"/>
        <v>1279.9354213967249</v>
      </c>
      <c r="T994" s="202">
        <f t="shared" si="647"/>
        <v>1279.9354213967249</v>
      </c>
      <c r="U994" s="202">
        <f t="shared" si="647"/>
        <v>1279.9354213967249</v>
      </c>
      <c r="V994" s="202">
        <f t="shared" si="647"/>
        <v>1279.9354213967249</v>
      </c>
      <c r="W994" s="202">
        <f t="shared" si="647"/>
        <v>1279.9354213967249</v>
      </c>
      <c r="X994" s="202">
        <f t="shared" si="647"/>
        <v>1279.9354213967249</v>
      </c>
      <c r="Y994" s="202">
        <f t="shared" si="647"/>
        <v>1279.9354213967249</v>
      </c>
      <c r="Z994" s="202">
        <f t="shared" si="647"/>
        <v>1279.9354213967249</v>
      </c>
      <c r="AA994" s="202">
        <f t="shared" si="647"/>
        <v>1279.9354213967249</v>
      </c>
      <c r="AB994" s="202">
        <f t="shared" si="647"/>
        <v>1279.9354213967249</v>
      </c>
      <c r="AC994" s="202">
        <f t="shared" si="647"/>
        <v>1279.9354213967249</v>
      </c>
      <c r="AD994" s="202">
        <f t="shared" si="647"/>
        <v>1279.9354213967249</v>
      </c>
      <c r="AE994" s="202">
        <f t="shared" si="647"/>
        <v>1279.9354213967249</v>
      </c>
      <c r="AF994" s="202">
        <f t="shared" si="647"/>
        <v>1279.9354213967249</v>
      </c>
      <c r="AG994" s="202">
        <f t="shared" si="647"/>
        <v>1279.9354213967249</v>
      </c>
    </row>
    <row r="995" spans="1:33" ht="14.25" hidden="1" customHeight="1" outlineLevel="1" x14ac:dyDescent="0.35">
      <c r="A995" s="21"/>
      <c r="B995" s="21"/>
      <c r="C995" s="21"/>
      <c r="D995" s="128" t="s">
        <v>4297</v>
      </c>
      <c r="E995" s="128"/>
      <c r="F995" s="21"/>
      <c r="G995" s="21"/>
      <c r="H995" s="21"/>
      <c r="I995" s="22" t="s">
        <v>3921</v>
      </c>
      <c r="J995" s="201">
        <v>0</v>
      </c>
      <c r="K995" s="201">
        <v>0</v>
      </c>
      <c r="L995" s="201">
        <v>0</v>
      </c>
      <c r="M995" s="201">
        <v>0</v>
      </c>
      <c r="N995" s="201">
        <v>0</v>
      </c>
      <c r="O995" s="201">
        <v>10239.483371173799</v>
      </c>
      <c r="P995" s="201">
        <v>0</v>
      </c>
      <c r="Q995" s="201">
        <v>0</v>
      </c>
      <c r="R995" s="202">
        <v>1279.9354213967249</v>
      </c>
      <c r="S995" s="202">
        <v>1279.9354213967249</v>
      </c>
      <c r="T995" s="202">
        <v>1279.9354213967249</v>
      </c>
      <c r="U995" s="202">
        <v>1279.9354213967249</v>
      </c>
      <c r="V995" s="202">
        <v>1279.9354213967249</v>
      </c>
      <c r="W995" s="202">
        <v>1279.9354213967249</v>
      </c>
      <c r="X995" s="202">
        <v>1279.9354213967249</v>
      </c>
      <c r="Y995" s="202">
        <v>1279.9354213967249</v>
      </c>
      <c r="Z995" s="202">
        <v>1279.9354213967249</v>
      </c>
      <c r="AA995" s="202">
        <v>1279.9354213967249</v>
      </c>
      <c r="AB995" s="202">
        <v>1279.9354213967249</v>
      </c>
      <c r="AC995" s="202">
        <v>1279.9354213967249</v>
      </c>
      <c r="AD995" s="202">
        <v>1279.9354213967249</v>
      </c>
      <c r="AE995" s="202">
        <v>1279.9354213967249</v>
      </c>
      <c r="AF995" s="202">
        <v>1279.9354213967249</v>
      </c>
      <c r="AG995" s="202">
        <v>1279.9354213967249</v>
      </c>
    </row>
    <row r="996" spans="1:33" ht="14.25" hidden="1" customHeight="1" outlineLevel="1" x14ac:dyDescent="0.35">
      <c r="A996" s="21"/>
      <c r="B996" s="21"/>
      <c r="C996" s="21"/>
      <c r="D996" s="128" t="s">
        <v>4298</v>
      </c>
      <c r="E996" s="128"/>
      <c r="F996" s="21"/>
      <c r="G996" s="21"/>
      <c r="H996" s="21"/>
      <c r="I996" s="22" t="s">
        <v>3921</v>
      </c>
      <c r="J996" s="148">
        <f t="shared" ref="J996:AG996" si="648">J993+J994-J995</f>
        <v>0</v>
      </c>
      <c r="K996" s="148">
        <f t="shared" si="648"/>
        <v>0</v>
      </c>
      <c r="L996" s="148">
        <f t="shared" si="648"/>
        <v>0</v>
      </c>
      <c r="M996" s="148">
        <f t="shared" si="648"/>
        <v>0</v>
      </c>
      <c r="N996" s="148">
        <f t="shared" si="648"/>
        <v>0</v>
      </c>
      <c r="O996" s="148">
        <f t="shared" si="648"/>
        <v>0</v>
      </c>
      <c r="P996" s="148">
        <f t="shared" si="648"/>
        <v>0</v>
      </c>
      <c r="Q996" s="148">
        <f t="shared" si="648"/>
        <v>0</v>
      </c>
      <c r="R996" s="202">
        <f t="shared" si="648"/>
        <v>0</v>
      </c>
      <c r="S996" s="202">
        <f t="shared" si="648"/>
        <v>0</v>
      </c>
      <c r="T996" s="202">
        <f t="shared" si="648"/>
        <v>0</v>
      </c>
      <c r="U996" s="202">
        <f t="shared" si="648"/>
        <v>0</v>
      </c>
      <c r="V996" s="202">
        <f t="shared" si="648"/>
        <v>0</v>
      </c>
      <c r="W996" s="202">
        <f t="shared" si="648"/>
        <v>0</v>
      </c>
      <c r="X996" s="202">
        <f t="shared" si="648"/>
        <v>0</v>
      </c>
      <c r="Y996" s="202">
        <f t="shared" si="648"/>
        <v>0</v>
      </c>
      <c r="Z996" s="202">
        <f t="shared" si="648"/>
        <v>0</v>
      </c>
      <c r="AA996" s="202">
        <f t="shared" si="648"/>
        <v>0</v>
      </c>
      <c r="AB996" s="202">
        <f t="shared" si="648"/>
        <v>0</v>
      </c>
      <c r="AC996" s="202">
        <f t="shared" si="648"/>
        <v>0</v>
      </c>
      <c r="AD996" s="202">
        <f t="shared" si="648"/>
        <v>0</v>
      </c>
      <c r="AE996" s="202">
        <f t="shared" si="648"/>
        <v>0</v>
      </c>
      <c r="AF996" s="202">
        <f t="shared" si="648"/>
        <v>0</v>
      </c>
      <c r="AG996" s="202">
        <f t="shared" si="648"/>
        <v>0</v>
      </c>
    </row>
    <row r="997" spans="1:33" ht="14.25" hidden="1" customHeight="1" outlineLevel="1" x14ac:dyDescent="0.35">
      <c r="A997" s="21"/>
      <c r="B997" s="21"/>
      <c r="C997" s="21"/>
      <c r="D997" s="128" t="s">
        <v>4299</v>
      </c>
      <c r="E997" s="128"/>
      <c r="F997" s="21"/>
      <c r="G997" s="21"/>
      <c r="H997" s="21"/>
      <c r="I997" s="22" t="s">
        <v>3921</v>
      </c>
      <c r="J997" s="201">
        <v>0</v>
      </c>
      <c r="K997" s="201">
        <v>0</v>
      </c>
      <c r="L997" s="201">
        <v>0</v>
      </c>
      <c r="M997" s="201">
        <v>0</v>
      </c>
      <c r="N997" s="201">
        <v>0</v>
      </c>
      <c r="O997" s="201">
        <v>0</v>
      </c>
      <c r="P997" s="201">
        <v>0</v>
      </c>
      <c r="Q997" s="201">
        <v>0</v>
      </c>
      <c r="R997" s="202">
        <v>0</v>
      </c>
      <c r="S997" s="202">
        <v>0</v>
      </c>
      <c r="T997" s="202">
        <v>0</v>
      </c>
      <c r="U997" s="202">
        <v>0</v>
      </c>
      <c r="V997" s="202">
        <v>0</v>
      </c>
      <c r="W997" s="202">
        <v>0</v>
      </c>
      <c r="X997" s="202">
        <v>0</v>
      </c>
      <c r="Y997" s="202">
        <v>0</v>
      </c>
      <c r="Z997" s="202">
        <v>0</v>
      </c>
      <c r="AA997" s="202">
        <v>0</v>
      </c>
      <c r="AB997" s="202">
        <v>0</v>
      </c>
      <c r="AC997" s="202">
        <v>0</v>
      </c>
      <c r="AD997" s="202">
        <v>0</v>
      </c>
      <c r="AE997" s="202">
        <v>0</v>
      </c>
      <c r="AF997" s="202">
        <v>0</v>
      </c>
      <c r="AG997" s="202">
        <v>0</v>
      </c>
    </row>
    <row r="998" spans="1:33" ht="14.25" hidden="1" customHeight="1" outlineLevel="1" x14ac:dyDescent="0.35">
      <c r="A998" s="21"/>
      <c r="B998" s="21"/>
      <c r="C998" s="21"/>
      <c r="D998" s="128" t="s">
        <v>4305</v>
      </c>
      <c r="E998" s="128"/>
      <c r="F998" s="21"/>
      <c r="G998" s="21"/>
      <c r="H998" s="21"/>
      <c r="I998" s="22" t="s">
        <v>3921</v>
      </c>
      <c r="J998" s="201">
        <v>0</v>
      </c>
      <c r="K998" s="201">
        <v>0</v>
      </c>
      <c r="L998" s="201">
        <v>0</v>
      </c>
      <c r="M998" s="201">
        <v>0</v>
      </c>
      <c r="N998" s="201">
        <v>0</v>
      </c>
      <c r="O998" s="201">
        <v>0</v>
      </c>
      <c r="P998" s="201">
        <v>0</v>
      </c>
      <c r="Q998" s="201">
        <v>0</v>
      </c>
      <c r="R998" s="202">
        <f t="shared" ref="R998:AG998" si="649">Q1001</f>
        <v>0</v>
      </c>
      <c r="S998" s="202">
        <f t="shared" si="649"/>
        <v>0</v>
      </c>
      <c r="T998" s="202">
        <f t="shared" si="649"/>
        <v>0</v>
      </c>
      <c r="U998" s="202">
        <f t="shared" si="649"/>
        <v>0</v>
      </c>
      <c r="V998" s="202">
        <f t="shared" si="649"/>
        <v>0</v>
      </c>
      <c r="W998" s="202">
        <f t="shared" si="649"/>
        <v>0</v>
      </c>
      <c r="X998" s="202">
        <f t="shared" si="649"/>
        <v>0</v>
      </c>
      <c r="Y998" s="202">
        <f t="shared" si="649"/>
        <v>0</v>
      </c>
      <c r="Z998" s="202">
        <f t="shared" si="649"/>
        <v>0</v>
      </c>
      <c r="AA998" s="202">
        <f t="shared" si="649"/>
        <v>0</v>
      </c>
      <c r="AB998" s="202">
        <f t="shared" si="649"/>
        <v>0</v>
      </c>
      <c r="AC998" s="202">
        <f t="shared" si="649"/>
        <v>0</v>
      </c>
      <c r="AD998" s="202">
        <f t="shared" si="649"/>
        <v>0</v>
      </c>
      <c r="AE998" s="202">
        <f t="shared" si="649"/>
        <v>0</v>
      </c>
      <c r="AF998" s="202">
        <f t="shared" si="649"/>
        <v>0</v>
      </c>
      <c r="AG998" s="202">
        <f t="shared" si="649"/>
        <v>0</v>
      </c>
    </row>
    <row r="999" spans="1:33" ht="14.25" hidden="1" customHeight="1" outlineLevel="1" x14ac:dyDescent="0.35">
      <c r="A999" s="21"/>
      <c r="B999" s="21"/>
      <c r="C999" s="21"/>
      <c r="D999" s="128" t="s">
        <v>4296</v>
      </c>
      <c r="E999" s="128"/>
      <c r="F999" s="21"/>
      <c r="G999" s="21"/>
      <c r="H999" s="21"/>
      <c r="I999" s="22" t="s">
        <v>3921</v>
      </c>
      <c r="J999" s="201">
        <v>0</v>
      </c>
      <c r="K999" s="201">
        <v>0</v>
      </c>
      <c r="L999" s="201">
        <v>0</v>
      </c>
      <c r="M999" s="201">
        <v>4099500</v>
      </c>
      <c r="N999" s="201">
        <v>0</v>
      </c>
      <c r="O999" s="201">
        <v>0</v>
      </c>
      <c r="P999" s="201">
        <v>7520000</v>
      </c>
      <c r="Q999" s="201">
        <v>0</v>
      </c>
      <c r="R999" s="202">
        <f t="shared" ref="R999:AG999" si="650">R1000</f>
        <v>1907218.0078959158</v>
      </c>
      <c r="S999" s="202">
        <f t="shared" si="650"/>
        <v>1943531.1220692024</v>
      </c>
      <c r="T999" s="202">
        <f t="shared" si="650"/>
        <v>1998947.4168828314</v>
      </c>
      <c r="U999" s="202">
        <f t="shared" si="650"/>
        <v>2000576.4451098251</v>
      </c>
      <c r="V999" s="202">
        <f t="shared" si="650"/>
        <v>2000864.0246436142</v>
      </c>
      <c r="W999" s="202">
        <f t="shared" si="650"/>
        <v>2000128.9377860185</v>
      </c>
      <c r="X999" s="202">
        <f t="shared" si="650"/>
        <v>2000523.089913486</v>
      </c>
      <c r="Y999" s="202">
        <f t="shared" si="650"/>
        <v>2000505.3054832825</v>
      </c>
      <c r="Z999" s="202">
        <f t="shared" si="650"/>
        <v>2000385.7611382462</v>
      </c>
      <c r="AA999" s="202">
        <f t="shared" si="650"/>
        <v>2000471.3836445673</v>
      </c>
      <c r="AB999" s="202">
        <f t="shared" si="650"/>
        <v>2000454.1488181935</v>
      </c>
      <c r="AC999" s="202">
        <f t="shared" si="650"/>
        <v>2000437.0971804876</v>
      </c>
      <c r="AD999" s="202">
        <f t="shared" si="650"/>
        <v>2000454.2097827059</v>
      </c>
      <c r="AE999" s="202">
        <f t="shared" si="650"/>
        <v>2000448.4852279034</v>
      </c>
      <c r="AF999" s="202">
        <f t="shared" si="650"/>
        <v>2000446.5973716313</v>
      </c>
      <c r="AG999" s="202">
        <f t="shared" si="650"/>
        <v>2000449.7641221536</v>
      </c>
    </row>
    <row r="1000" spans="1:33" ht="14.25" hidden="1" customHeight="1" outlineLevel="1" x14ac:dyDescent="0.35">
      <c r="A1000" s="21"/>
      <c r="B1000" s="21"/>
      <c r="C1000" s="21"/>
      <c r="D1000" s="128" t="s">
        <v>4297</v>
      </c>
      <c r="E1000" s="128"/>
      <c r="F1000" s="21"/>
      <c r="G1000" s="21"/>
      <c r="H1000" s="21"/>
      <c r="I1000" s="22" t="s">
        <v>3921</v>
      </c>
      <c r="J1000" s="201">
        <v>0</v>
      </c>
      <c r="K1000" s="201">
        <v>0</v>
      </c>
      <c r="L1000" s="201">
        <v>0</v>
      </c>
      <c r="M1000" s="201">
        <v>4099500</v>
      </c>
      <c r="N1000" s="201">
        <v>0</v>
      </c>
      <c r="O1000" s="201">
        <v>0</v>
      </c>
      <c r="P1000" s="201">
        <v>7520000</v>
      </c>
      <c r="Q1000" s="201">
        <v>0</v>
      </c>
      <c r="R1000" s="202">
        <v>1907218.0078959158</v>
      </c>
      <c r="S1000" s="202">
        <v>1943531.1220692024</v>
      </c>
      <c r="T1000" s="202">
        <v>1998947.4168828314</v>
      </c>
      <c r="U1000" s="202">
        <v>2000576.4451098251</v>
      </c>
      <c r="V1000" s="202">
        <v>2000864.0246436142</v>
      </c>
      <c r="W1000" s="202">
        <v>2000128.9377860185</v>
      </c>
      <c r="X1000" s="202">
        <v>2000523.089913486</v>
      </c>
      <c r="Y1000" s="202">
        <v>2000505.3054832825</v>
      </c>
      <c r="Z1000" s="202">
        <v>2000385.7611382462</v>
      </c>
      <c r="AA1000" s="202">
        <v>2000471.3836445673</v>
      </c>
      <c r="AB1000" s="202">
        <v>2000454.1488181935</v>
      </c>
      <c r="AC1000" s="202">
        <v>2000437.0971804876</v>
      </c>
      <c r="AD1000" s="202">
        <v>2000454.2097827059</v>
      </c>
      <c r="AE1000" s="202">
        <v>2000448.4852279034</v>
      </c>
      <c r="AF1000" s="202">
        <v>2000446.5973716313</v>
      </c>
      <c r="AG1000" s="202">
        <v>2000449.7641221536</v>
      </c>
    </row>
    <row r="1001" spans="1:33" ht="14.25" hidden="1" customHeight="1" outlineLevel="1" x14ac:dyDescent="0.35">
      <c r="A1001" s="21"/>
      <c r="B1001" s="21"/>
      <c r="C1001" s="21"/>
      <c r="D1001" s="128" t="s">
        <v>4298</v>
      </c>
      <c r="E1001" s="128"/>
      <c r="F1001" s="21"/>
      <c r="G1001" s="21"/>
      <c r="H1001" s="21"/>
      <c r="I1001" s="22" t="s">
        <v>3921</v>
      </c>
      <c r="J1001" s="148">
        <f t="shared" ref="J1001:AG1001" si="651">J998+J999-J1000</f>
        <v>0</v>
      </c>
      <c r="K1001" s="148">
        <f t="shared" si="651"/>
        <v>0</v>
      </c>
      <c r="L1001" s="148">
        <f t="shared" si="651"/>
        <v>0</v>
      </c>
      <c r="M1001" s="148">
        <f t="shared" si="651"/>
        <v>0</v>
      </c>
      <c r="N1001" s="148">
        <f t="shared" si="651"/>
        <v>0</v>
      </c>
      <c r="O1001" s="148">
        <f t="shared" si="651"/>
        <v>0</v>
      </c>
      <c r="P1001" s="148">
        <f t="shared" si="651"/>
        <v>0</v>
      </c>
      <c r="Q1001" s="148">
        <f t="shared" si="651"/>
        <v>0</v>
      </c>
      <c r="R1001" s="202">
        <f t="shared" si="651"/>
        <v>0</v>
      </c>
      <c r="S1001" s="202">
        <f t="shared" si="651"/>
        <v>0</v>
      </c>
      <c r="T1001" s="202">
        <f t="shared" si="651"/>
        <v>0</v>
      </c>
      <c r="U1001" s="202">
        <f t="shared" si="651"/>
        <v>0</v>
      </c>
      <c r="V1001" s="202">
        <f t="shared" si="651"/>
        <v>0</v>
      </c>
      <c r="W1001" s="202">
        <f t="shared" si="651"/>
        <v>0</v>
      </c>
      <c r="X1001" s="202">
        <f t="shared" si="651"/>
        <v>0</v>
      </c>
      <c r="Y1001" s="202">
        <f t="shared" si="651"/>
        <v>0</v>
      </c>
      <c r="Z1001" s="202">
        <f t="shared" si="651"/>
        <v>0</v>
      </c>
      <c r="AA1001" s="202">
        <f t="shared" si="651"/>
        <v>0</v>
      </c>
      <c r="AB1001" s="202">
        <f t="shared" si="651"/>
        <v>0</v>
      </c>
      <c r="AC1001" s="202">
        <f t="shared" si="651"/>
        <v>0</v>
      </c>
      <c r="AD1001" s="202">
        <f t="shared" si="651"/>
        <v>0</v>
      </c>
      <c r="AE1001" s="202">
        <f t="shared" si="651"/>
        <v>0</v>
      </c>
      <c r="AF1001" s="202">
        <f t="shared" si="651"/>
        <v>0</v>
      </c>
      <c r="AG1001" s="202">
        <f t="shared" si="651"/>
        <v>0</v>
      </c>
    </row>
    <row r="1002" spans="1:33" ht="14.25" hidden="1" customHeight="1" outlineLevel="1" x14ac:dyDescent="0.35">
      <c r="A1002" s="21"/>
      <c r="B1002" s="21"/>
      <c r="C1002" s="21"/>
      <c r="D1002" s="128" t="s">
        <v>4299</v>
      </c>
      <c r="E1002" s="128"/>
      <c r="F1002" s="21"/>
      <c r="G1002" s="21"/>
      <c r="H1002" s="21"/>
      <c r="I1002" s="22" t="s">
        <v>3921</v>
      </c>
      <c r="J1002" s="201">
        <v>0</v>
      </c>
      <c r="K1002" s="201">
        <v>0</v>
      </c>
      <c r="L1002" s="201">
        <v>0</v>
      </c>
      <c r="M1002" s="201">
        <v>4099500</v>
      </c>
      <c r="N1002" s="201">
        <v>0</v>
      </c>
      <c r="O1002" s="201">
        <v>0</v>
      </c>
      <c r="P1002" s="201">
        <v>4230000</v>
      </c>
      <c r="Q1002" s="201">
        <v>0</v>
      </c>
      <c r="R1002" s="202">
        <v>1367199.3112241516</v>
      </c>
      <c r="S1002" s="202">
        <v>1393230.5590839039</v>
      </c>
      <c r="T1002" s="202">
        <v>1432956.0229722057</v>
      </c>
      <c r="U1002" s="202">
        <v>1434123.8004683754</v>
      </c>
      <c r="V1002" s="202">
        <v>1434329.9533774245</v>
      </c>
      <c r="W1002" s="202">
        <v>1433803.0024776144</v>
      </c>
      <c r="X1002" s="202">
        <v>1434085.5525138243</v>
      </c>
      <c r="Y1002" s="202">
        <v>1434072.8036510178</v>
      </c>
      <c r="Z1002" s="202">
        <v>1433987.1076553226</v>
      </c>
      <c r="AA1002" s="202">
        <v>1434048.4866016114</v>
      </c>
      <c r="AB1002" s="202">
        <v>1434036.1317252156</v>
      </c>
      <c r="AC1002" s="202">
        <v>1434023.9081685848</v>
      </c>
      <c r="AD1002" s="202">
        <v>1434036.1754279486</v>
      </c>
      <c r="AE1002" s="202">
        <v>1434032.0717505764</v>
      </c>
      <c r="AF1002" s="202">
        <v>1434030.7184308278</v>
      </c>
      <c r="AG1002" s="202">
        <v>1434032.9885326803</v>
      </c>
    </row>
    <row r="1003" spans="1:33" ht="14.25" hidden="1" customHeight="1" outlineLevel="1" x14ac:dyDescent="0.35">
      <c r="A1003" s="21"/>
      <c r="B1003" s="21"/>
      <c r="C1003" s="21"/>
      <c r="D1003" s="128" t="s">
        <v>4306</v>
      </c>
      <c r="E1003" s="128"/>
      <c r="F1003" s="21"/>
      <c r="G1003" s="21"/>
      <c r="H1003" s="21"/>
      <c r="I1003" s="22" t="s">
        <v>3921</v>
      </c>
      <c r="J1003" s="201">
        <v>0</v>
      </c>
      <c r="K1003" s="201">
        <v>0</v>
      </c>
      <c r="L1003" s="201">
        <v>0</v>
      </c>
      <c r="M1003" s="201">
        <v>0</v>
      </c>
      <c r="N1003" s="201">
        <v>0</v>
      </c>
      <c r="O1003" s="201">
        <v>0</v>
      </c>
      <c r="P1003" s="201">
        <v>0</v>
      </c>
      <c r="Q1003" s="201">
        <v>0</v>
      </c>
      <c r="R1003" s="202">
        <f t="shared" ref="R1003:AG1003" si="652">Q1006</f>
        <v>0</v>
      </c>
      <c r="S1003" s="202">
        <f t="shared" si="652"/>
        <v>0</v>
      </c>
      <c r="T1003" s="202">
        <f t="shared" si="652"/>
        <v>0</v>
      </c>
      <c r="U1003" s="202">
        <f t="shared" si="652"/>
        <v>0</v>
      </c>
      <c r="V1003" s="202">
        <f t="shared" si="652"/>
        <v>0</v>
      </c>
      <c r="W1003" s="202">
        <f t="shared" si="652"/>
        <v>0</v>
      </c>
      <c r="X1003" s="202">
        <f t="shared" si="652"/>
        <v>0</v>
      </c>
      <c r="Y1003" s="202">
        <f t="shared" si="652"/>
        <v>0</v>
      </c>
      <c r="Z1003" s="202">
        <f t="shared" si="652"/>
        <v>0</v>
      </c>
      <c r="AA1003" s="202">
        <f t="shared" si="652"/>
        <v>0</v>
      </c>
      <c r="AB1003" s="202">
        <f t="shared" si="652"/>
        <v>0</v>
      </c>
      <c r="AC1003" s="202">
        <f t="shared" si="652"/>
        <v>0</v>
      </c>
      <c r="AD1003" s="202">
        <f t="shared" si="652"/>
        <v>0</v>
      </c>
      <c r="AE1003" s="202">
        <f t="shared" si="652"/>
        <v>0</v>
      </c>
      <c r="AF1003" s="202">
        <f t="shared" si="652"/>
        <v>0</v>
      </c>
      <c r="AG1003" s="202">
        <f t="shared" si="652"/>
        <v>0</v>
      </c>
    </row>
    <row r="1004" spans="1:33" ht="14.25" hidden="1" customHeight="1" outlineLevel="1" x14ac:dyDescent="0.35">
      <c r="A1004" s="21"/>
      <c r="B1004" s="21"/>
      <c r="C1004" s="21"/>
      <c r="D1004" s="128" t="s">
        <v>4296</v>
      </c>
      <c r="E1004" s="128"/>
      <c r="F1004" s="21"/>
      <c r="G1004" s="21"/>
      <c r="H1004" s="21"/>
      <c r="I1004" s="22" t="s">
        <v>3921</v>
      </c>
      <c r="J1004" s="201">
        <v>0</v>
      </c>
      <c r="K1004" s="201">
        <v>0</v>
      </c>
      <c r="L1004" s="201">
        <v>0</v>
      </c>
      <c r="M1004" s="201">
        <v>5073000</v>
      </c>
      <c r="N1004" s="201">
        <v>0</v>
      </c>
      <c r="O1004" s="201">
        <v>0</v>
      </c>
      <c r="P1004" s="201">
        <v>5586000</v>
      </c>
      <c r="Q1004" s="201">
        <v>0</v>
      </c>
      <c r="R1004" s="202">
        <f t="shared" ref="R1004:AG1004" si="653">R1005</f>
        <v>1749562.0935636275</v>
      </c>
      <c r="S1004" s="202">
        <f t="shared" si="653"/>
        <v>1782873.4653070814</v>
      </c>
      <c r="T1004" s="202">
        <f t="shared" si="653"/>
        <v>1833708.8959554285</v>
      </c>
      <c r="U1004" s="202">
        <f t="shared" si="653"/>
        <v>1835203.2642046241</v>
      </c>
      <c r="V1004" s="202">
        <f t="shared" si="653"/>
        <v>1835467.0716189409</v>
      </c>
      <c r="W1004" s="202">
        <f t="shared" si="653"/>
        <v>1834792.7490736411</v>
      </c>
      <c r="X1004" s="202">
        <f t="shared" si="653"/>
        <v>1835154.3194963511</v>
      </c>
      <c r="Y1004" s="202">
        <f t="shared" si="653"/>
        <v>1835138.0051763251</v>
      </c>
      <c r="Z1004" s="202">
        <f t="shared" si="653"/>
        <v>1835028.3426974111</v>
      </c>
      <c r="AA1004" s="202">
        <f t="shared" si="653"/>
        <v>1835106.8874105983</v>
      </c>
      <c r="AB1004" s="202">
        <f t="shared" si="653"/>
        <v>1835091.0772626298</v>
      </c>
      <c r="AC1004" s="202">
        <f t="shared" si="653"/>
        <v>1835075.4351604476</v>
      </c>
      <c r="AD1004" s="202">
        <f t="shared" si="653"/>
        <v>1835091.1331876472</v>
      </c>
      <c r="AE1004" s="202">
        <f t="shared" si="653"/>
        <v>1835085.8818403741</v>
      </c>
      <c r="AF1004" s="202">
        <f t="shared" si="653"/>
        <v>1835084.1500395217</v>
      </c>
      <c r="AG1004" s="202">
        <f t="shared" si="653"/>
        <v>1835087.055017689</v>
      </c>
    </row>
    <row r="1005" spans="1:33" ht="14.25" hidden="1" customHeight="1" outlineLevel="1" x14ac:dyDescent="0.35">
      <c r="A1005" s="21"/>
      <c r="B1005" s="21"/>
      <c r="C1005" s="21"/>
      <c r="D1005" s="128" t="s">
        <v>4297</v>
      </c>
      <c r="E1005" s="128"/>
      <c r="F1005" s="21"/>
      <c r="G1005" s="21"/>
      <c r="H1005" s="21"/>
      <c r="I1005" s="22" t="s">
        <v>3921</v>
      </c>
      <c r="J1005" s="201">
        <v>0</v>
      </c>
      <c r="K1005" s="201">
        <v>0</v>
      </c>
      <c r="L1005" s="201">
        <v>0</v>
      </c>
      <c r="M1005" s="201">
        <v>5073000</v>
      </c>
      <c r="N1005" s="201">
        <v>0</v>
      </c>
      <c r="O1005" s="201">
        <v>0</v>
      </c>
      <c r="P1005" s="201">
        <v>5586000</v>
      </c>
      <c r="Q1005" s="201">
        <v>0</v>
      </c>
      <c r="R1005" s="202">
        <v>1749562.0935636275</v>
      </c>
      <c r="S1005" s="202">
        <v>1782873.4653070814</v>
      </c>
      <c r="T1005" s="202">
        <v>1833708.8959554285</v>
      </c>
      <c r="U1005" s="202">
        <v>1835203.2642046241</v>
      </c>
      <c r="V1005" s="202">
        <v>1835467.0716189409</v>
      </c>
      <c r="W1005" s="202">
        <v>1834792.7490736411</v>
      </c>
      <c r="X1005" s="202">
        <v>1835154.3194963511</v>
      </c>
      <c r="Y1005" s="202">
        <v>1835138.0051763251</v>
      </c>
      <c r="Z1005" s="202">
        <v>1835028.3426974111</v>
      </c>
      <c r="AA1005" s="202">
        <v>1835106.8874105983</v>
      </c>
      <c r="AB1005" s="202">
        <v>1835091.0772626298</v>
      </c>
      <c r="AC1005" s="202">
        <v>1835075.4351604476</v>
      </c>
      <c r="AD1005" s="202">
        <v>1835091.1331876472</v>
      </c>
      <c r="AE1005" s="202">
        <v>1835085.8818403741</v>
      </c>
      <c r="AF1005" s="202">
        <v>1835084.1500395217</v>
      </c>
      <c r="AG1005" s="202">
        <v>1835087.055017689</v>
      </c>
    </row>
    <row r="1006" spans="1:33" ht="14.25" hidden="1" customHeight="1" outlineLevel="1" x14ac:dyDescent="0.35">
      <c r="A1006" s="21"/>
      <c r="B1006" s="21"/>
      <c r="C1006" s="21"/>
      <c r="D1006" s="128" t="s">
        <v>4298</v>
      </c>
      <c r="E1006" s="128"/>
      <c r="F1006" s="21"/>
      <c r="G1006" s="21"/>
      <c r="H1006" s="21"/>
      <c r="I1006" s="22" t="s">
        <v>3921</v>
      </c>
      <c r="J1006" s="148">
        <f t="shared" ref="J1006:AG1006" si="654">J1003+J1004-J1005</f>
        <v>0</v>
      </c>
      <c r="K1006" s="148">
        <f t="shared" si="654"/>
        <v>0</v>
      </c>
      <c r="L1006" s="148">
        <f t="shared" si="654"/>
        <v>0</v>
      </c>
      <c r="M1006" s="148">
        <f t="shared" si="654"/>
        <v>0</v>
      </c>
      <c r="N1006" s="148">
        <f t="shared" si="654"/>
        <v>0</v>
      </c>
      <c r="O1006" s="148">
        <f t="shared" si="654"/>
        <v>0</v>
      </c>
      <c r="P1006" s="148">
        <f t="shared" si="654"/>
        <v>0</v>
      </c>
      <c r="Q1006" s="148">
        <f t="shared" si="654"/>
        <v>0</v>
      </c>
      <c r="R1006" s="202">
        <f t="shared" si="654"/>
        <v>0</v>
      </c>
      <c r="S1006" s="202">
        <f t="shared" si="654"/>
        <v>0</v>
      </c>
      <c r="T1006" s="202">
        <f t="shared" si="654"/>
        <v>0</v>
      </c>
      <c r="U1006" s="202">
        <f t="shared" si="654"/>
        <v>0</v>
      </c>
      <c r="V1006" s="202">
        <f t="shared" si="654"/>
        <v>0</v>
      </c>
      <c r="W1006" s="202">
        <f t="shared" si="654"/>
        <v>0</v>
      </c>
      <c r="X1006" s="202">
        <f t="shared" si="654"/>
        <v>0</v>
      </c>
      <c r="Y1006" s="202">
        <f t="shared" si="654"/>
        <v>0</v>
      </c>
      <c r="Z1006" s="202">
        <f t="shared" si="654"/>
        <v>0</v>
      </c>
      <c r="AA1006" s="202">
        <f t="shared" si="654"/>
        <v>0</v>
      </c>
      <c r="AB1006" s="202">
        <f t="shared" si="654"/>
        <v>0</v>
      </c>
      <c r="AC1006" s="202">
        <f t="shared" si="654"/>
        <v>0</v>
      </c>
      <c r="AD1006" s="202">
        <f t="shared" si="654"/>
        <v>0</v>
      </c>
      <c r="AE1006" s="202">
        <f t="shared" si="654"/>
        <v>0</v>
      </c>
      <c r="AF1006" s="202">
        <f t="shared" si="654"/>
        <v>0</v>
      </c>
      <c r="AG1006" s="202">
        <f t="shared" si="654"/>
        <v>0</v>
      </c>
    </row>
    <row r="1007" spans="1:33" ht="14.25" hidden="1" customHeight="1" outlineLevel="1" x14ac:dyDescent="0.35">
      <c r="A1007" s="21"/>
      <c r="B1007" s="21"/>
      <c r="C1007" s="21"/>
      <c r="D1007" s="128" t="s">
        <v>4299</v>
      </c>
      <c r="E1007" s="128"/>
      <c r="F1007" s="21"/>
      <c r="G1007" s="21"/>
      <c r="H1007" s="21"/>
      <c r="I1007" s="22" t="s">
        <v>3921</v>
      </c>
      <c r="J1007" s="201">
        <v>0</v>
      </c>
      <c r="K1007" s="201">
        <v>0</v>
      </c>
      <c r="L1007" s="201">
        <v>0</v>
      </c>
      <c r="M1007" s="201">
        <v>5073000</v>
      </c>
      <c r="N1007" s="201">
        <v>0</v>
      </c>
      <c r="O1007" s="201">
        <v>0</v>
      </c>
      <c r="P1007" s="201">
        <v>5586000</v>
      </c>
      <c r="Q1007" s="201">
        <v>0</v>
      </c>
      <c r="R1007" s="202">
        <v>1749562.0935636275</v>
      </c>
      <c r="S1007" s="202">
        <v>1782873.4653070814</v>
      </c>
      <c r="T1007" s="202">
        <v>1833708.8959554285</v>
      </c>
      <c r="U1007" s="202">
        <v>1835203.2642046241</v>
      </c>
      <c r="V1007" s="202">
        <v>1835467.0716189409</v>
      </c>
      <c r="W1007" s="202">
        <v>1834792.7490736411</v>
      </c>
      <c r="X1007" s="202">
        <v>1835154.3194963511</v>
      </c>
      <c r="Y1007" s="202">
        <v>1835138.0051763251</v>
      </c>
      <c r="Z1007" s="202">
        <v>1835028.3426974111</v>
      </c>
      <c r="AA1007" s="202">
        <v>1835106.8874105983</v>
      </c>
      <c r="AB1007" s="202">
        <v>1835091.0772626298</v>
      </c>
      <c r="AC1007" s="202">
        <v>1835075.4351604476</v>
      </c>
      <c r="AD1007" s="202">
        <v>1835091.1331876472</v>
      </c>
      <c r="AE1007" s="202">
        <v>1835085.8818403741</v>
      </c>
      <c r="AF1007" s="202">
        <v>1835084.1500395217</v>
      </c>
      <c r="AG1007" s="202">
        <v>1835087.055017689</v>
      </c>
    </row>
    <row r="1008" spans="1:33" ht="14.25" hidden="1" customHeight="1" outlineLevel="1" x14ac:dyDescent="0.35">
      <c r="A1008" s="21"/>
      <c r="B1008" s="21"/>
      <c r="C1008" s="21"/>
      <c r="D1008" s="128" t="s">
        <v>4307</v>
      </c>
      <c r="E1008" s="128"/>
      <c r="F1008" s="21"/>
      <c r="G1008" s="21"/>
      <c r="H1008" s="21"/>
      <c r="I1008" s="22" t="s">
        <v>3921</v>
      </c>
      <c r="J1008" s="201">
        <v>2766876.9755152101</v>
      </c>
      <c r="K1008" s="201">
        <v>-0.35567372512413198</v>
      </c>
      <c r="L1008" s="201">
        <v>1147845.6260780201</v>
      </c>
      <c r="M1008" s="201">
        <v>0</v>
      </c>
      <c r="N1008" s="201">
        <v>750885.76837335702</v>
      </c>
      <c r="O1008" s="201">
        <v>0</v>
      </c>
      <c r="P1008" s="201">
        <v>0</v>
      </c>
      <c r="Q1008" s="201">
        <v>2112652.1732906802</v>
      </c>
      <c r="R1008" s="149">
        <f t="shared" ref="R1008:AG1008" si="655">Q1011</f>
        <v>0</v>
      </c>
      <c r="S1008" s="149">
        <f t="shared" si="655"/>
        <v>0</v>
      </c>
      <c r="T1008" s="149">
        <f t="shared" si="655"/>
        <v>0</v>
      </c>
      <c r="U1008" s="149">
        <f t="shared" si="655"/>
        <v>0</v>
      </c>
      <c r="V1008" s="149">
        <f t="shared" si="655"/>
        <v>0</v>
      </c>
      <c r="W1008" s="149">
        <f t="shared" si="655"/>
        <v>0</v>
      </c>
      <c r="X1008" s="149">
        <f t="shared" si="655"/>
        <v>0</v>
      </c>
      <c r="Y1008" s="149">
        <f t="shared" si="655"/>
        <v>0</v>
      </c>
      <c r="Z1008" s="149">
        <f t="shared" si="655"/>
        <v>0</v>
      </c>
      <c r="AA1008" s="149">
        <f t="shared" si="655"/>
        <v>0</v>
      </c>
      <c r="AB1008" s="149">
        <f t="shared" si="655"/>
        <v>0</v>
      </c>
      <c r="AC1008" s="149">
        <f t="shared" si="655"/>
        <v>0</v>
      </c>
      <c r="AD1008" s="149">
        <f t="shared" si="655"/>
        <v>0</v>
      </c>
      <c r="AE1008" s="149">
        <f t="shared" si="655"/>
        <v>0</v>
      </c>
      <c r="AF1008" s="149">
        <f t="shared" si="655"/>
        <v>0</v>
      </c>
      <c r="AG1008" s="149">
        <f t="shared" si="655"/>
        <v>0</v>
      </c>
    </row>
    <row r="1009" spans="1:33" ht="14.25" hidden="1" customHeight="1" outlineLevel="1" x14ac:dyDescent="0.35">
      <c r="A1009" s="21"/>
      <c r="B1009" s="21"/>
      <c r="C1009" s="21"/>
      <c r="D1009" s="128" t="s">
        <v>4296</v>
      </c>
      <c r="E1009" s="128"/>
      <c r="F1009" s="21"/>
      <c r="G1009" s="21"/>
      <c r="H1009" s="21"/>
      <c r="I1009" s="22" t="s">
        <v>3921</v>
      </c>
      <c r="J1009" s="201">
        <v>18226275.1749641</v>
      </c>
      <c r="K1009" s="201">
        <v>12048756.4251734</v>
      </c>
      <c r="L1009" s="201">
        <v>-1147845.6260780201</v>
      </c>
      <c r="M1009" s="201">
        <v>4439612.5293776402</v>
      </c>
      <c r="N1009" s="201">
        <v>-750885.76837335702</v>
      </c>
      <c r="O1009" s="201">
        <v>0</v>
      </c>
      <c r="P1009" s="201">
        <v>10585533.7309715</v>
      </c>
      <c r="Q1009" s="201">
        <v>-2112652.1732906802</v>
      </c>
      <c r="R1009" s="149">
        <f t="shared" ref="R1009:AG1009" si="656">R1010</f>
        <v>6035143.6121068383</v>
      </c>
      <c r="S1009" s="149">
        <f t="shared" si="656"/>
        <v>6045324.1724699298</v>
      </c>
      <c r="T1009" s="149">
        <f t="shared" si="656"/>
        <v>6032819.1523880083</v>
      </c>
      <c r="U1009" s="149">
        <f t="shared" si="656"/>
        <v>6037757.4305158099</v>
      </c>
      <c r="V1009" s="149">
        <f t="shared" si="656"/>
        <v>6038629.2065220103</v>
      </c>
      <c r="W1009" s="149">
        <f t="shared" si="656"/>
        <v>6036400.8452875363</v>
      </c>
      <c r="X1009" s="149">
        <f t="shared" si="656"/>
        <v>6037595.6881993087</v>
      </c>
      <c r="Y1009" s="149">
        <f t="shared" si="656"/>
        <v>6037541.7760194913</v>
      </c>
      <c r="Z1009" s="149">
        <f t="shared" si="656"/>
        <v>6037179.3862127336</v>
      </c>
      <c r="AA1009" s="149">
        <f t="shared" si="656"/>
        <v>6037438.9444838483</v>
      </c>
      <c r="AB1009" s="149">
        <f t="shared" si="656"/>
        <v>6037386.6983872503</v>
      </c>
      <c r="AC1009" s="149">
        <f t="shared" si="656"/>
        <v>6037335.0076134922</v>
      </c>
      <c r="AD1009" s="149">
        <f t="shared" si="656"/>
        <v>6037386.8831966445</v>
      </c>
      <c r="AE1009" s="149">
        <f t="shared" si="656"/>
        <v>6037369.5296337614</v>
      </c>
      <c r="AF1009" s="149">
        <f t="shared" si="656"/>
        <v>6037363.8067376278</v>
      </c>
      <c r="AG1009" s="149">
        <f t="shared" si="656"/>
        <v>6037373.4065067321</v>
      </c>
    </row>
    <row r="1010" spans="1:33" ht="14.25" hidden="1" customHeight="1" outlineLevel="1" x14ac:dyDescent="0.35">
      <c r="A1010" s="21"/>
      <c r="B1010" s="21"/>
      <c r="C1010" s="21"/>
      <c r="D1010" s="128" t="s">
        <v>4297</v>
      </c>
      <c r="E1010" s="128"/>
      <c r="F1010" s="21"/>
      <c r="G1010" s="21"/>
      <c r="H1010" s="21"/>
      <c r="I1010" s="22" t="s">
        <v>3921</v>
      </c>
      <c r="J1010" s="201">
        <v>20993152.506152999</v>
      </c>
      <c r="K1010" s="201">
        <v>10900910.443421699</v>
      </c>
      <c r="L1010" s="201">
        <v>0</v>
      </c>
      <c r="M1010" s="201">
        <v>3688726.7610042798</v>
      </c>
      <c r="N1010" s="201">
        <v>0</v>
      </c>
      <c r="O1010" s="201">
        <v>0</v>
      </c>
      <c r="P1010" s="201">
        <v>8472881.5576808695</v>
      </c>
      <c r="Q1010" s="201">
        <v>0</v>
      </c>
      <c r="R1010" s="149">
        <v>6035143.6121068383</v>
      </c>
      <c r="S1010" s="149">
        <v>6045324.1724699298</v>
      </c>
      <c r="T1010" s="149">
        <v>6032819.1523880083</v>
      </c>
      <c r="U1010" s="149">
        <v>6037757.4305158099</v>
      </c>
      <c r="V1010" s="149">
        <v>6038629.2065220103</v>
      </c>
      <c r="W1010" s="149">
        <v>6036400.8452875363</v>
      </c>
      <c r="X1010" s="149">
        <v>6037595.6881993087</v>
      </c>
      <c r="Y1010" s="149">
        <v>6037541.7760194913</v>
      </c>
      <c r="Z1010" s="149">
        <v>6037179.3862127336</v>
      </c>
      <c r="AA1010" s="149">
        <v>6037438.9444838483</v>
      </c>
      <c r="AB1010" s="149">
        <v>6037386.6983872503</v>
      </c>
      <c r="AC1010" s="149">
        <v>6037335.0076134922</v>
      </c>
      <c r="AD1010" s="149">
        <v>6037386.8831966445</v>
      </c>
      <c r="AE1010" s="149">
        <v>6037369.5296337614</v>
      </c>
      <c r="AF1010" s="149">
        <v>6037363.8067376278</v>
      </c>
      <c r="AG1010" s="149">
        <v>6037373.4065067321</v>
      </c>
    </row>
    <row r="1011" spans="1:33" ht="14.25" hidden="1" customHeight="1" outlineLevel="1" x14ac:dyDescent="0.35">
      <c r="A1011" s="21"/>
      <c r="B1011" s="21"/>
      <c r="C1011" s="21"/>
      <c r="D1011" s="128" t="s">
        <v>4298</v>
      </c>
      <c r="E1011" s="128"/>
      <c r="F1011" s="21"/>
      <c r="G1011" s="21"/>
      <c r="H1011" s="21"/>
      <c r="I1011" s="22" t="s">
        <v>3921</v>
      </c>
      <c r="J1011" s="148">
        <f t="shared" ref="J1011:AG1011" si="657">J1008+J1009-J1010</f>
        <v>-0.35567368939518929</v>
      </c>
      <c r="K1011" s="148">
        <f t="shared" si="657"/>
        <v>1147845.6260779761</v>
      </c>
      <c r="L1011" s="148">
        <f t="shared" si="657"/>
        <v>0</v>
      </c>
      <c r="M1011" s="148">
        <f t="shared" si="657"/>
        <v>750885.76837336039</v>
      </c>
      <c r="N1011" s="148">
        <f t="shared" si="657"/>
        <v>0</v>
      </c>
      <c r="O1011" s="148">
        <f t="shared" si="657"/>
        <v>0</v>
      </c>
      <c r="P1011" s="148">
        <f t="shared" si="657"/>
        <v>2112652.1732906308</v>
      </c>
      <c r="Q1011" s="148">
        <f t="shared" si="657"/>
        <v>0</v>
      </c>
      <c r="R1011" s="149">
        <f t="shared" si="657"/>
        <v>0</v>
      </c>
      <c r="S1011" s="149">
        <f t="shared" si="657"/>
        <v>0</v>
      </c>
      <c r="T1011" s="149">
        <f t="shared" si="657"/>
        <v>0</v>
      </c>
      <c r="U1011" s="149">
        <f t="shared" si="657"/>
        <v>0</v>
      </c>
      <c r="V1011" s="149">
        <f t="shared" si="657"/>
        <v>0</v>
      </c>
      <c r="W1011" s="149">
        <f t="shared" si="657"/>
        <v>0</v>
      </c>
      <c r="X1011" s="149">
        <f t="shared" si="657"/>
        <v>0</v>
      </c>
      <c r="Y1011" s="149">
        <f t="shared" si="657"/>
        <v>0</v>
      </c>
      <c r="Z1011" s="149">
        <f t="shared" si="657"/>
        <v>0</v>
      </c>
      <c r="AA1011" s="149">
        <f t="shared" si="657"/>
        <v>0</v>
      </c>
      <c r="AB1011" s="149">
        <f t="shared" si="657"/>
        <v>0</v>
      </c>
      <c r="AC1011" s="149">
        <f t="shared" si="657"/>
        <v>0</v>
      </c>
      <c r="AD1011" s="149">
        <f t="shared" si="657"/>
        <v>0</v>
      </c>
      <c r="AE1011" s="149">
        <f t="shared" si="657"/>
        <v>0</v>
      </c>
      <c r="AF1011" s="149">
        <f t="shared" si="657"/>
        <v>0</v>
      </c>
      <c r="AG1011" s="149">
        <f t="shared" si="657"/>
        <v>0</v>
      </c>
    </row>
    <row r="1012" spans="1:33" ht="14.25" hidden="1" customHeight="1" outlineLevel="1" x14ac:dyDescent="0.35">
      <c r="A1012" s="21"/>
      <c r="B1012" s="21"/>
      <c r="C1012" s="21"/>
      <c r="D1012" s="128" t="s">
        <v>4299</v>
      </c>
      <c r="E1012" s="128"/>
      <c r="F1012" s="21"/>
      <c r="G1012" s="21"/>
      <c r="H1012" s="21"/>
      <c r="I1012" s="22" t="s">
        <v>3921</v>
      </c>
      <c r="J1012" s="201">
        <v>17874497.5295357</v>
      </c>
      <c r="K1012" s="201">
        <v>10767156.2349579</v>
      </c>
      <c r="L1012" s="201">
        <v>0</v>
      </c>
      <c r="M1012" s="201">
        <v>3415967.4596739998</v>
      </c>
      <c r="N1012" s="201">
        <v>0</v>
      </c>
      <c r="O1012" s="201">
        <v>0</v>
      </c>
      <c r="P1012" s="201">
        <v>9033763.1499849707</v>
      </c>
      <c r="Q1012" s="201">
        <v>0</v>
      </c>
      <c r="R1012" s="149">
        <v>5629068.8299411098</v>
      </c>
      <c r="S1012" s="149">
        <v>5638564.3910568804</v>
      </c>
      <c r="T1012" s="149">
        <v>5626900.77155001</v>
      </c>
      <c r="U1012" s="149">
        <v>5631506.7775159702</v>
      </c>
      <c r="V1012" s="149">
        <v>5632319.8960527601</v>
      </c>
      <c r="W1012" s="149">
        <v>5630241.4701571995</v>
      </c>
      <c r="X1012" s="149">
        <v>5631355.9180351002</v>
      </c>
      <c r="Y1012" s="149">
        <v>5631305.6333375899</v>
      </c>
      <c r="Z1012" s="149">
        <v>5630967.6269376399</v>
      </c>
      <c r="AA1012" s="149">
        <v>5631209.7208242798</v>
      </c>
      <c r="AB1012" s="149">
        <v>5631160.99010754</v>
      </c>
      <c r="AC1012" s="149">
        <v>5631112.7773487298</v>
      </c>
      <c r="AD1012" s="149">
        <v>5631161.1624820298</v>
      </c>
      <c r="AE1012" s="149">
        <v>5631144.9765540399</v>
      </c>
      <c r="AF1012" s="149">
        <v>5631139.6387231098</v>
      </c>
      <c r="AG1012" s="149">
        <v>5631148.5925715202</v>
      </c>
    </row>
    <row r="1013" spans="1:33" ht="14.25" hidden="1" customHeight="1" outlineLevel="1" x14ac:dyDescent="0.35">
      <c r="A1013" s="21"/>
      <c r="B1013" s="21"/>
      <c r="C1013" s="21"/>
      <c r="D1013" s="128" t="s">
        <v>4308</v>
      </c>
      <c r="E1013" s="128"/>
      <c r="F1013" s="21"/>
      <c r="G1013" s="21"/>
      <c r="H1013" s="21"/>
      <c r="I1013" s="22" t="s">
        <v>3921</v>
      </c>
      <c r="J1013" s="201">
        <v>-5.9525893256650302E-2</v>
      </c>
      <c r="K1013" s="201">
        <v>-3.2446083577869503E-2</v>
      </c>
      <c r="L1013" s="201">
        <v>-3.8611771614492897E-2</v>
      </c>
      <c r="M1013" s="201">
        <v>0</v>
      </c>
      <c r="N1013" s="201">
        <v>-2.2259396161393E-2</v>
      </c>
      <c r="O1013" s="201">
        <v>-9.9465834157963593E-3</v>
      </c>
      <c r="P1013" s="201">
        <v>0</v>
      </c>
      <c r="Q1013" s="201">
        <v>-9.7114615540144403E-2</v>
      </c>
      <c r="R1013" s="149">
        <f t="shared" ref="R1013:AG1013" si="658">Q1016</f>
        <v>-2.1308485302142799E-3</v>
      </c>
      <c r="S1013" s="149">
        <f t="shared" si="658"/>
        <v>-2.1308483555912971E-3</v>
      </c>
      <c r="T1013" s="149">
        <f t="shared" si="658"/>
        <v>-2.1308483555912971E-3</v>
      </c>
      <c r="U1013" s="149">
        <f t="shared" si="658"/>
        <v>-2.1308483555912971E-3</v>
      </c>
      <c r="V1013" s="149">
        <f t="shared" si="658"/>
        <v>-2.1308483555912971E-3</v>
      </c>
      <c r="W1013" s="149">
        <f t="shared" si="658"/>
        <v>-2.1308483555912971E-3</v>
      </c>
      <c r="X1013" s="149">
        <f t="shared" si="658"/>
        <v>-2.1308483555912971E-3</v>
      </c>
      <c r="Y1013" s="149">
        <f t="shared" si="658"/>
        <v>-2.1308483555912971E-3</v>
      </c>
      <c r="Z1013" s="149">
        <f t="shared" si="658"/>
        <v>-2.1308483555912971E-3</v>
      </c>
      <c r="AA1013" s="149">
        <f t="shared" si="658"/>
        <v>-2.1308483555912971E-3</v>
      </c>
      <c r="AB1013" s="149">
        <f t="shared" si="658"/>
        <v>-2.1308483555912971E-3</v>
      </c>
      <c r="AC1013" s="149">
        <f t="shared" si="658"/>
        <v>-2.1308483555912971E-3</v>
      </c>
      <c r="AD1013" s="149">
        <f t="shared" si="658"/>
        <v>-2.1308483555912971E-3</v>
      </c>
      <c r="AE1013" s="149">
        <f t="shared" si="658"/>
        <v>-2.1308483555912971E-3</v>
      </c>
      <c r="AF1013" s="149">
        <f t="shared" si="658"/>
        <v>-2.1308483555912971E-3</v>
      </c>
      <c r="AG1013" s="149">
        <f t="shared" si="658"/>
        <v>-2.1308483555912971E-3</v>
      </c>
    </row>
    <row r="1014" spans="1:33" ht="14.25" hidden="1" customHeight="1" outlineLevel="1" x14ac:dyDescent="0.35">
      <c r="A1014" s="21"/>
      <c r="B1014" s="21"/>
      <c r="C1014" s="21"/>
      <c r="D1014" s="128" t="s">
        <v>4296</v>
      </c>
      <c r="E1014" s="128"/>
      <c r="F1014" s="21"/>
      <c r="G1014" s="21"/>
      <c r="H1014" s="21"/>
      <c r="I1014" s="22" t="s">
        <v>3921</v>
      </c>
      <c r="J1014" s="201">
        <v>5619898.4709091699</v>
      </c>
      <c r="K1014" s="201">
        <v>6836099.1855193898</v>
      </c>
      <c r="L1014" s="201">
        <v>3.8611771614492897E-2</v>
      </c>
      <c r="M1014" s="201">
        <v>2425888.9098038701</v>
      </c>
      <c r="N1014" s="201">
        <v>808335.60314619995</v>
      </c>
      <c r="O1014" s="201">
        <v>9.9465834157963593E-3</v>
      </c>
      <c r="P1014" s="201">
        <v>6891624.6975062499</v>
      </c>
      <c r="Q1014" s="201">
        <v>258200.11761926001</v>
      </c>
      <c r="R1014" s="149">
        <f t="shared" ref="R1014:AG1014" si="659">R1015</f>
        <v>2975691.9667101912</v>
      </c>
      <c r="S1014" s="149">
        <f t="shared" si="659"/>
        <v>2980711.6006470402</v>
      </c>
      <c r="T1014" s="149">
        <f t="shared" si="659"/>
        <v>2974545.8670385331</v>
      </c>
      <c r="U1014" s="149">
        <f t="shared" si="659"/>
        <v>2976980.7377721467</v>
      </c>
      <c r="V1014" s="149">
        <f t="shared" si="659"/>
        <v>2977410.5762358438</v>
      </c>
      <c r="W1014" s="149">
        <f t="shared" si="659"/>
        <v>2976311.8589474894</v>
      </c>
      <c r="X1014" s="149">
        <f t="shared" si="659"/>
        <v>2976900.9889968354</v>
      </c>
      <c r="Y1014" s="149">
        <f t="shared" si="659"/>
        <v>2976874.4070212082</v>
      </c>
      <c r="Z1014" s="149">
        <f t="shared" si="659"/>
        <v>2976695.7268594587</v>
      </c>
      <c r="AA1014" s="149">
        <f t="shared" si="659"/>
        <v>2976823.7048351229</v>
      </c>
      <c r="AB1014" s="149">
        <f t="shared" si="659"/>
        <v>2976797.9443396041</v>
      </c>
      <c r="AC1014" s="149">
        <f t="shared" si="659"/>
        <v>2976772.4576519406</v>
      </c>
      <c r="AD1014" s="149">
        <f t="shared" si="659"/>
        <v>2976798.035461843</v>
      </c>
      <c r="AE1014" s="149">
        <f t="shared" si="659"/>
        <v>2976789.4791024644</v>
      </c>
      <c r="AF1014" s="149">
        <f t="shared" si="659"/>
        <v>2976786.6573674465</v>
      </c>
      <c r="AG1014" s="149">
        <f t="shared" si="659"/>
        <v>2976791.3906360609</v>
      </c>
    </row>
    <row r="1015" spans="1:33" ht="14.25" hidden="1" customHeight="1" outlineLevel="1" x14ac:dyDescent="0.35">
      <c r="A1015" s="21"/>
      <c r="B1015" s="21"/>
      <c r="C1015" s="21"/>
      <c r="D1015" s="128" t="s">
        <v>4297</v>
      </c>
      <c r="E1015" s="128"/>
      <c r="F1015" s="21"/>
      <c r="G1015" s="21"/>
      <c r="H1015" s="21"/>
      <c r="I1015" s="22" t="s">
        <v>3921</v>
      </c>
      <c r="J1015" s="201">
        <v>5619898.4438293604</v>
      </c>
      <c r="K1015" s="201">
        <v>6836099.1916850796</v>
      </c>
      <c r="L1015" s="201">
        <v>0</v>
      </c>
      <c r="M1015" s="201">
        <v>2425888.9320632699</v>
      </c>
      <c r="N1015" s="201">
        <v>808335.59083338699</v>
      </c>
      <c r="O1015" s="201">
        <v>0</v>
      </c>
      <c r="P1015" s="201">
        <v>6891624.7946208697</v>
      </c>
      <c r="Q1015" s="201">
        <v>258200.02263549299</v>
      </c>
      <c r="R1015" s="149">
        <v>2975691.9667101912</v>
      </c>
      <c r="S1015" s="149">
        <v>2980711.6006470402</v>
      </c>
      <c r="T1015" s="149">
        <v>2974545.8670385331</v>
      </c>
      <c r="U1015" s="149">
        <v>2976980.7377721467</v>
      </c>
      <c r="V1015" s="149">
        <v>2977410.5762358438</v>
      </c>
      <c r="W1015" s="149">
        <v>2976311.8589474894</v>
      </c>
      <c r="X1015" s="149">
        <v>2976900.9889968354</v>
      </c>
      <c r="Y1015" s="149">
        <v>2976874.4070212082</v>
      </c>
      <c r="Z1015" s="149">
        <v>2976695.7268594587</v>
      </c>
      <c r="AA1015" s="149">
        <v>2976823.7048351229</v>
      </c>
      <c r="AB1015" s="149">
        <v>2976797.9443396041</v>
      </c>
      <c r="AC1015" s="149">
        <v>2976772.4576519406</v>
      </c>
      <c r="AD1015" s="149">
        <v>2976798.035461843</v>
      </c>
      <c r="AE1015" s="149">
        <v>2976789.4791024644</v>
      </c>
      <c r="AF1015" s="149">
        <v>2976786.6573674465</v>
      </c>
      <c r="AG1015" s="149">
        <v>2976791.3906360609</v>
      </c>
    </row>
    <row r="1016" spans="1:33" ht="14.25" hidden="1" customHeight="1" outlineLevel="1" x14ac:dyDescent="0.35">
      <c r="A1016" s="21"/>
      <c r="B1016" s="21"/>
      <c r="C1016" s="21"/>
      <c r="D1016" s="128" t="s">
        <v>4298</v>
      </c>
      <c r="E1016" s="128"/>
      <c r="F1016" s="21"/>
      <c r="G1016" s="21"/>
      <c r="H1016" s="21"/>
      <c r="I1016" s="22" t="s">
        <v>3921</v>
      </c>
      <c r="J1016" s="148">
        <f t="shared" ref="J1016:AG1016" si="660">J1013+J1014-J1015</f>
        <v>-3.244608361274004E-2</v>
      </c>
      <c r="K1016" s="148">
        <f t="shared" si="660"/>
        <v>-3.8611773401498795E-2</v>
      </c>
      <c r="L1016" s="148">
        <f t="shared" si="660"/>
        <v>0</v>
      </c>
      <c r="M1016" s="148">
        <f t="shared" si="660"/>
        <v>-2.2259399760514498E-2</v>
      </c>
      <c r="N1016" s="148">
        <f t="shared" si="660"/>
        <v>-9.9465831881389022E-3</v>
      </c>
      <c r="O1016" s="148">
        <f t="shared" si="660"/>
        <v>0</v>
      </c>
      <c r="P1016" s="148">
        <f t="shared" si="660"/>
        <v>-9.7114619798958302E-2</v>
      </c>
      <c r="Q1016" s="148">
        <f t="shared" si="660"/>
        <v>-2.1308485302142799E-3</v>
      </c>
      <c r="R1016" s="149">
        <f t="shared" si="660"/>
        <v>-2.1308483555912971E-3</v>
      </c>
      <c r="S1016" s="149">
        <f t="shared" si="660"/>
        <v>-2.1308483555912971E-3</v>
      </c>
      <c r="T1016" s="149">
        <f t="shared" si="660"/>
        <v>-2.1308483555912971E-3</v>
      </c>
      <c r="U1016" s="149">
        <f t="shared" si="660"/>
        <v>-2.1308483555912971E-3</v>
      </c>
      <c r="V1016" s="149">
        <f t="shared" si="660"/>
        <v>-2.1308483555912971E-3</v>
      </c>
      <c r="W1016" s="149">
        <f t="shared" si="660"/>
        <v>-2.1308483555912971E-3</v>
      </c>
      <c r="X1016" s="149">
        <f t="shared" si="660"/>
        <v>-2.1308483555912971E-3</v>
      </c>
      <c r="Y1016" s="149">
        <f t="shared" si="660"/>
        <v>-2.1308483555912971E-3</v>
      </c>
      <c r="Z1016" s="149">
        <f t="shared" si="660"/>
        <v>-2.1308483555912971E-3</v>
      </c>
      <c r="AA1016" s="149">
        <f t="shared" si="660"/>
        <v>-2.1308483555912971E-3</v>
      </c>
      <c r="AB1016" s="149">
        <f t="shared" si="660"/>
        <v>-2.1308483555912971E-3</v>
      </c>
      <c r="AC1016" s="149">
        <f t="shared" si="660"/>
        <v>-2.1308483555912971E-3</v>
      </c>
      <c r="AD1016" s="149">
        <f t="shared" si="660"/>
        <v>-2.1308483555912971E-3</v>
      </c>
      <c r="AE1016" s="149">
        <f t="shared" si="660"/>
        <v>-2.1308483555912971E-3</v>
      </c>
      <c r="AF1016" s="149">
        <f t="shared" si="660"/>
        <v>-2.1308483555912971E-3</v>
      </c>
      <c r="AG1016" s="149">
        <f t="shared" si="660"/>
        <v>-2.1308483555912971E-3</v>
      </c>
    </row>
    <row r="1017" spans="1:33" ht="14.25" hidden="1" customHeight="1" outlineLevel="1" x14ac:dyDescent="0.35">
      <c r="A1017" s="21"/>
      <c r="B1017" s="21"/>
      <c r="C1017" s="21"/>
      <c r="D1017" s="128" t="s">
        <v>4299</v>
      </c>
      <c r="E1017" s="128"/>
      <c r="F1017" s="21"/>
      <c r="G1017" s="21"/>
      <c r="H1017" s="21"/>
      <c r="I1017" s="22" t="s">
        <v>3921</v>
      </c>
      <c r="J1017" s="201">
        <v>5532701.3953307299</v>
      </c>
      <c r="K1017" s="201">
        <v>6836099.2713392004</v>
      </c>
      <c r="L1017" s="201">
        <v>0</v>
      </c>
      <c r="M1017" s="201">
        <v>2424576.9185171099</v>
      </c>
      <c r="N1017" s="201">
        <v>808286.31324984797</v>
      </c>
      <c r="O1017" s="201">
        <v>0</v>
      </c>
      <c r="P1017" s="201">
        <v>6890226.4379642503</v>
      </c>
      <c r="Q1017" s="201">
        <v>258200.02613694099</v>
      </c>
      <c r="R1017" s="149">
        <v>2963972.0621352699</v>
      </c>
      <c r="S1017" s="149">
        <v>2968971.9260047199</v>
      </c>
      <c r="T1017" s="149">
        <v>2962830.4764317698</v>
      </c>
      <c r="U1017" s="149">
        <v>2965255.757311</v>
      </c>
      <c r="V1017" s="149">
        <v>2965683.9028354301</v>
      </c>
      <c r="W1017" s="149">
        <v>2964589.5128974598</v>
      </c>
      <c r="X1017" s="149">
        <v>2965176.3226300399</v>
      </c>
      <c r="Y1017" s="149">
        <v>2965149.8453487898</v>
      </c>
      <c r="Z1017" s="149">
        <v>2964971.8689273698</v>
      </c>
      <c r="AA1017" s="149">
        <v>2965099.3428556798</v>
      </c>
      <c r="AB1017" s="149">
        <v>2965073.6838190998</v>
      </c>
      <c r="AC1017" s="149">
        <v>2965048.2975119702</v>
      </c>
      <c r="AD1017" s="149">
        <v>2965073.7745824498</v>
      </c>
      <c r="AE1017" s="149">
        <v>2965065.2519227001</v>
      </c>
      <c r="AF1017" s="149">
        <v>2965062.4413012201</v>
      </c>
      <c r="AG1017" s="149">
        <v>2965067.1559276301</v>
      </c>
    </row>
    <row r="1018" spans="1:33" ht="14.25" hidden="1" customHeight="1" outlineLevel="1" x14ac:dyDescent="0.35">
      <c r="A1018" s="21"/>
      <c r="B1018" s="21"/>
      <c r="C1018" s="21"/>
      <c r="D1018" s="128" t="s">
        <v>4309</v>
      </c>
      <c r="E1018" s="128"/>
      <c r="F1018" s="21"/>
      <c r="G1018" s="21"/>
      <c r="H1018" s="21"/>
      <c r="I1018" s="22" t="s">
        <v>3921</v>
      </c>
      <c r="J1018" s="201">
        <v>0</v>
      </c>
      <c r="K1018" s="201">
        <v>0</v>
      </c>
      <c r="L1018" s="201">
        <v>0</v>
      </c>
      <c r="M1018" s="201">
        <v>0</v>
      </c>
      <c r="N1018" s="201">
        <v>0</v>
      </c>
      <c r="O1018" s="201">
        <v>0</v>
      </c>
      <c r="P1018" s="201">
        <v>0</v>
      </c>
      <c r="Q1018" s="201">
        <v>0</v>
      </c>
      <c r="R1018" s="149">
        <f t="shared" ref="R1018:AG1018" si="661">Q1021</f>
        <v>0</v>
      </c>
      <c r="S1018" s="149">
        <f t="shared" si="661"/>
        <v>0</v>
      </c>
      <c r="T1018" s="149">
        <f t="shared" si="661"/>
        <v>0</v>
      </c>
      <c r="U1018" s="149">
        <f t="shared" si="661"/>
        <v>0</v>
      </c>
      <c r="V1018" s="149">
        <f t="shared" si="661"/>
        <v>0</v>
      </c>
      <c r="W1018" s="149">
        <f t="shared" si="661"/>
        <v>0</v>
      </c>
      <c r="X1018" s="149">
        <f t="shared" si="661"/>
        <v>0</v>
      </c>
      <c r="Y1018" s="149">
        <f t="shared" si="661"/>
        <v>0</v>
      </c>
      <c r="Z1018" s="149">
        <f t="shared" si="661"/>
        <v>0</v>
      </c>
      <c r="AA1018" s="149">
        <f t="shared" si="661"/>
        <v>0</v>
      </c>
      <c r="AB1018" s="149">
        <f t="shared" si="661"/>
        <v>0</v>
      </c>
      <c r="AC1018" s="149">
        <f t="shared" si="661"/>
        <v>0</v>
      </c>
      <c r="AD1018" s="149">
        <f t="shared" si="661"/>
        <v>0</v>
      </c>
      <c r="AE1018" s="149">
        <f t="shared" si="661"/>
        <v>0</v>
      </c>
      <c r="AF1018" s="149">
        <f t="shared" si="661"/>
        <v>0</v>
      </c>
      <c r="AG1018" s="149">
        <f t="shared" si="661"/>
        <v>0</v>
      </c>
    </row>
    <row r="1019" spans="1:33" ht="14.25" hidden="1" customHeight="1" outlineLevel="1" x14ac:dyDescent="0.35">
      <c r="A1019" s="21"/>
      <c r="B1019" s="21"/>
      <c r="C1019" s="21"/>
      <c r="D1019" s="128" t="s">
        <v>4296</v>
      </c>
      <c r="E1019" s="128"/>
      <c r="F1019" s="21"/>
      <c r="G1019" s="21"/>
      <c r="H1019" s="21"/>
      <c r="I1019" s="22" t="s">
        <v>3921</v>
      </c>
      <c r="J1019" s="201">
        <v>0</v>
      </c>
      <c r="K1019" s="201">
        <v>0</v>
      </c>
      <c r="L1019" s="201">
        <v>0</v>
      </c>
      <c r="M1019" s="201">
        <v>0</v>
      </c>
      <c r="N1019" s="201">
        <v>0</v>
      </c>
      <c r="O1019" s="201">
        <v>0</v>
      </c>
      <c r="P1019" s="201">
        <v>0</v>
      </c>
      <c r="Q1019" s="201">
        <v>0</v>
      </c>
      <c r="R1019" s="149">
        <f t="shared" ref="R1019:AG1019" si="662">R1020</f>
        <v>0</v>
      </c>
      <c r="S1019" s="149">
        <f t="shared" si="662"/>
        <v>0</v>
      </c>
      <c r="T1019" s="149">
        <f t="shared" si="662"/>
        <v>0</v>
      </c>
      <c r="U1019" s="149">
        <f t="shared" si="662"/>
        <v>0</v>
      </c>
      <c r="V1019" s="149">
        <f t="shared" si="662"/>
        <v>0</v>
      </c>
      <c r="W1019" s="149">
        <f t="shared" si="662"/>
        <v>0</v>
      </c>
      <c r="X1019" s="149">
        <f t="shared" si="662"/>
        <v>0</v>
      </c>
      <c r="Y1019" s="149">
        <f t="shared" si="662"/>
        <v>0</v>
      </c>
      <c r="Z1019" s="149">
        <f t="shared" si="662"/>
        <v>0</v>
      </c>
      <c r="AA1019" s="149">
        <f t="shared" si="662"/>
        <v>0</v>
      </c>
      <c r="AB1019" s="149">
        <f t="shared" si="662"/>
        <v>0</v>
      </c>
      <c r="AC1019" s="149">
        <f t="shared" si="662"/>
        <v>0</v>
      </c>
      <c r="AD1019" s="149">
        <f t="shared" si="662"/>
        <v>0</v>
      </c>
      <c r="AE1019" s="149">
        <f t="shared" si="662"/>
        <v>0</v>
      </c>
      <c r="AF1019" s="149">
        <f t="shared" si="662"/>
        <v>0</v>
      </c>
      <c r="AG1019" s="149">
        <f t="shared" si="662"/>
        <v>0</v>
      </c>
    </row>
    <row r="1020" spans="1:33" ht="14.25" hidden="1" customHeight="1" outlineLevel="1" x14ac:dyDescent="0.35">
      <c r="A1020" s="21"/>
      <c r="B1020" s="21"/>
      <c r="C1020" s="21"/>
      <c r="D1020" s="128" t="s">
        <v>4297</v>
      </c>
      <c r="E1020" s="128"/>
      <c r="F1020" s="21"/>
      <c r="G1020" s="21"/>
      <c r="H1020" s="21"/>
      <c r="I1020" s="22" t="s">
        <v>3921</v>
      </c>
      <c r="J1020" s="201">
        <v>0</v>
      </c>
      <c r="K1020" s="201">
        <v>0</v>
      </c>
      <c r="L1020" s="201">
        <v>0</v>
      </c>
      <c r="M1020" s="201">
        <v>0</v>
      </c>
      <c r="N1020" s="201">
        <v>0</v>
      </c>
      <c r="O1020" s="201">
        <v>0</v>
      </c>
      <c r="P1020" s="201">
        <v>0</v>
      </c>
      <c r="Q1020" s="201">
        <v>0</v>
      </c>
      <c r="R1020" s="149">
        <v>0</v>
      </c>
      <c r="S1020" s="149">
        <v>0</v>
      </c>
      <c r="T1020" s="149">
        <v>0</v>
      </c>
      <c r="U1020" s="149">
        <v>0</v>
      </c>
      <c r="V1020" s="149">
        <v>0</v>
      </c>
      <c r="W1020" s="149">
        <v>0</v>
      </c>
      <c r="X1020" s="149">
        <v>0</v>
      </c>
      <c r="Y1020" s="149">
        <v>0</v>
      </c>
      <c r="Z1020" s="149">
        <v>0</v>
      </c>
      <c r="AA1020" s="149">
        <v>0</v>
      </c>
      <c r="AB1020" s="149">
        <v>0</v>
      </c>
      <c r="AC1020" s="149">
        <v>0</v>
      </c>
      <c r="AD1020" s="149">
        <v>0</v>
      </c>
      <c r="AE1020" s="149">
        <v>0</v>
      </c>
      <c r="AF1020" s="149">
        <v>0</v>
      </c>
      <c r="AG1020" s="149">
        <v>0</v>
      </c>
    </row>
    <row r="1021" spans="1:33" ht="14.25" hidden="1" customHeight="1" outlineLevel="1" x14ac:dyDescent="0.35">
      <c r="A1021" s="21"/>
      <c r="B1021" s="21"/>
      <c r="C1021" s="21"/>
      <c r="D1021" s="128" t="s">
        <v>4298</v>
      </c>
      <c r="E1021" s="128"/>
      <c r="F1021" s="21"/>
      <c r="G1021" s="21"/>
      <c r="H1021" s="21"/>
      <c r="I1021" s="22" t="s">
        <v>3921</v>
      </c>
      <c r="J1021" s="148">
        <f t="shared" ref="J1021:AG1021" si="663">J1018+J1019-J1020</f>
        <v>0</v>
      </c>
      <c r="K1021" s="148">
        <f t="shared" si="663"/>
        <v>0</v>
      </c>
      <c r="L1021" s="148">
        <f t="shared" si="663"/>
        <v>0</v>
      </c>
      <c r="M1021" s="148">
        <f t="shared" si="663"/>
        <v>0</v>
      </c>
      <c r="N1021" s="148">
        <f t="shared" si="663"/>
        <v>0</v>
      </c>
      <c r="O1021" s="148">
        <f t="shared" si="663"/>
        <v>0</v>
      </c>
      <c r="P1021" s="148">
        <f t="shared" si="663"/>
        <v>0</v>
      </c>
      <c r="Q1021" s="148">
        <f t="shared" si="663"/>
        <v>0</v>
      </c>
      <c r="R1021" s="149">
        <f t="shared" si="663"/>
        <v>0</v>
      </c>
      <c r="S1021" s="149">
        <f t="shared" si="663"/>
        <v>0</v>
      </c>
      <c r="T1021" s="149">
        <f t="shared" si="663"/>
        <v>0</v>
      </c>
      <c r="U1021" s="149">
        <f t="shared" si="663"/>
        <v>0</v>
      </c>
      <c r="V1021" s="149">
        <f t="shared" si="663"/>
        <v>0</v>
      </c>
      <c r="W1021" s="149">
        <f t="shared" si="663"/>
        <v>0</v>
      </c>
      <c r="X1021" s="149">
        <f t="shared" si="663"/>
        <v>0</v>
      </c>
      <c r="Y1021" s="149">
        <f t="shared" si="663"/>
        <v>0</v>
      </c>
      <c r="Z1021" s="149">
        <f t="shared" si="663"/>
        <v>0</v>
      </c>
      <c r="AA1021" s="149">
        <f t="shared" si="663"/>
        <v>0</v>
      </c>
      <c r="AB1021" s="149">
        <f t="shared" si="663"/>
        <v>0</v>
      </c>
      <c r="AC1021" s="149">
        <f t="shared" si="663"/>
        <v>0</v>
      </c>
      <c r="AD1021" s="149">
        <f t="shared" si="663"/>
        <v>0</v>
      </c>
      <c r="AE1021" s="149">
        <f t="shared" si="663"/>
        <v>0</v>
      </c>
      <c r="AF1021" s="149">
        <f t="shared" si="663"/>
        <v>0</v>
      </c>
      <c r="AG1021" s="149">
        <f t="shared" si="663"/>
        <v>0</v>
      </c>
    </row>
    <row r="1022" spans="1:33" ht="14.25" hidden="1" customHeight="1" outlineLevel="1" x14ac:dyDescent="0.35">
      <c r="A1022" s="21"/>
      <c r="B1022" s="21"/>
      <c r="C1022" s="21"/>
      <c r="D1022" s="128" t="s">
        <v>4299</v>
      </c>
      <c r="E1022" s="128"/>
      <c r="F1022" s="21"/>
      <c r="G1022" s="21"/>
      <c r="H1022" s="21"/>
      <c r="I1022" s="22" t="s">
        <v>3921</v>
      </c>
      <c r="J1022" s="201">
        <v>0</v>
      </c>
      <c r="K1022" s="201">
        <v>0</v>
      </c>
      <c r="L1022" s="201">
        <v>0</v>
      </c>
      <c r="M1022" s="201">
        <v>0</v>
      </c>
      <c r="N1022" s="201">
        <v>0</v>
      </c>
      <c r="O1022" s="201">
        <v>0</v>
      </c>
      <c r="P1022" s="201">
        <v>0</v>
      </c>
      <c r="Q1022" s="201">
        <v>0</v>
      </c>
      <c r="R1022" s="149">
        <v>0</v>
      </c>
      <c r="S1022" s="149">
        <v>0</v>
      </c>
      <c r="T1022" s="149">
        <v>0</v>
      </c>
      <c r="U1022" s="149">
        <v>0</v>
      </c>
      <c r="V1022" s="149">
        <v>0</v>
      </c>
      <c r="W1022" s="149">
        <v>0</v>
      </c>
      <c r="X1022" s="149">
        <v>0</v>
      </c>
      <c r="Y1022" s="149">
        <v>0</v>
      </c>
      <c r="Z1022" s="149">
        <v>0</v>
      </c>
      <c r="AA1022" s="149">
        <v>0</v>
      </c>
      <c r="AB1022" s="149">
        <v>0</v>
      </c>
      <c r="AC1022" s="149">
        <v>0</v>
      </c>
      <c r="AD1022" s="149">
        <v>0</v>
      </c>
      <c r="AE1022" s="149">
        <v>0</v>
      </c>
      <c r="AF1022" s="149">
        <v>0</v>
      </c>
      <c r="AG1022" s="149">
        <v>0</v>
      </c>
    </row>
    <row r="1023" spans="1:33" ht="14.25" hidden="1" customHeight="1" outlineLevel="1" x14ac:dyDescent="0.35">
      <c r="A1023" s="21"/>
      <c r="B1023" s="21"/>
      <c r="C1023" s="21"/>
      <c r="D1023" s="128" t="s">
        <v>4310</v>
      </c>
      <c r="E1023" s="128"/>
      <c r="F1023" s="21"/>
      <c r="G1023" s="21"/>
      <c r="H1023" s="21"/>
      <c r="I1023" s="22" t="s">
        <v>3921</v>
      </c>
      <c r="J1023" s="201">
        <v>1081040.7178609599</v>
      </c>
      <c r="K1023" s="201">
        <v>1950691.73066463</v>
      </c>
      <c r="L1023" s="201">
        <v>1172940.5815623901</v>
      </c>
      <c r="M1023" s="201">
        <v>0</v>
      </c>
      <c r="N1023" s="201">
        <v>51262.2486366546</v>
      </c>
      <c r="O1023" s="201">
        <v>0</v>
      </c>
      <c r="P1023" s="201">
        <v>0</v>
      </c>
      <c r="Q1023" s="201">
        <v>1296366.19594699</v>
      </c>
      <c r="R1023" s="149">
        <f t="shared" ref="R1023:AG1023" si="664">Q1026</f>
        <v>0</v>
      </c>
      <c r="S1023" s="149">
        <f t="shared" si="664"/>
        <v>0</v>
      </c>
      <c r="T1023" s="149">
        <f t="shared" si="664"/>
        <v>0</v>
      </c>
      <c r="U1023" s="149">
        <f t="shared" si="664"/>
        <v>0</v>
      </c>
      <c r="V1023" s="149">
        <f t="shared" si="664"/>
        <v>0</v>
      </c>
      <c r="W1023" s="149">
        <f t="shared" si="664"/>
        <v>0</v>
      </c>
      <c r="X1023" s="149">
        <f t="shared" si="664"/>
        <v>0</v>
      </c>
      <c r="Y1023" s="149">
        <f t="shared" si="664"/>
        <v>0</v>
      </c>
      <c r="Z1023" s="149">
        <f t="shared" si="664"/>
        <v>0</v>
      </c>
      <c r="AA1023" s="149">
        <f t="shared" si="664"/>
        <v>0</v>
      </c>
      <c r="AB1023" s="149">
        <f t="shared" si="664"/>
        <v>0</v>
      </c>
      <c r="AC1023" s="149">
        <f t="shared" si="664"/>
        <v>0</v>
      </c>
      <c r="AD1023" s="149">
        <f t="shared" si="664"/>
        <v>0</v>
      </c>
      <c r="AE1023" s="149">
        <f t="shared" si="664"/>
        <v>0</v>
      </c>
      <c r="AF1023" s="149">
        <f t="shared" si="664"/>
        <v>0</v>
      </c>
      <c r="AG1023" s="149">
        <f t="shared" si="664"/>
        <v>0</v>
      </c>
    </row>
    <row r="1024" spans="1:33" ht="14.25" hidden="1" customHeight="1" outlineLevel="1" x14ac:dyDescent="0.35">
      <c r="A1024" s="21"/>
      <c r="B1024" s="21"/>
      <c r="C1024" s="21"/>
      <c r="D1024" s="128" t="s">
        <v>4296</v>
      </c>
      <c r="E1024" s="128"/>
      <c r="F1024" s="21"/>
      <c r="G1024" s="21"/>
      <c r="H1024" s="21"/>
      <c r="I1024" s="22" t="s">
        <v>3921</v>
      </c>
      <c r="J1024" s="201">
        <v>1410175.1973516699</v>
      </c>
      <c r="K1024" s="201">
        <v>-394437.23513780301</v>
      </c>
      <c r="L1024" s="201">
        <v>-1172940.5815623901</v>
      </c>
      <c r="M1024" s="201">
        <v>170854.05995021699</v>
      </c>
      <c r="N1024" s="201">
        <v>-51262.2486366546</v>
      </c>
      <c r="O1024" s="201">
        <v>0</v>
      </c>
      <c r="P1024" s="201">
        <v>1879730.9861085699</v>
      </c>
      <c r="Q1024" s="201">
        <v>-1296366.19594699</v>
      </c>
      <c r="R1024" s="149">
        <f t="shared" ref="R1024:AG1024" si="665">R1025</f>
        <v>204989.84727237941</v>
      </c>
      <c r="S1024" s="149">
        <f t="shared" si="665"/>
        <v>205335.64045446587</v>
      </c>
      <c r="T1024" s="149">
        <f t="shared" si="665"/>
        <v>204910.89461219803</v>
      </c>
      <c r="U1024" s="149">
        <f t="shared" si="665"/>
        <v>205078.62829747054</v>
      </c>
      <c r="V1024" s="149">
        <f t="shared" si="665"/>
        <v>205108.23906431373</v>
      </c>
      <c r="W1024" s="149">
        <f t="shared" si="665"/>
        <v>205032.55048778962</v>
      </c>
      <c r="X1024" s="149">
        <f t="shared" si="665"/>
        <v>205073.13455367804</v>
      </c>
      <c r="Y1024" s="149">
        <f t="shared" si="665"/>
        <v>205071.30337115523</v>
      </c>
      <c r="Z1024" s="149">
        <f t="shared" si="665"/>
        <v>205058.99442940982</v>
      </c>
      <c r="AA1024" s="149">
        <f t="shared" si="665"/>
        <v>205067.81059249977</v>
      </c>
      <c r="AB1024" s="149">
        <f t="shared" si="665"/>
        <v>205066.0360002041</v>
      </c>
      <c r="AC1024" s="149">
        <f t="shared" si="665"/>
        <v>205064.28027001719</v>
      </c>
      <c r="AD1024" s="149">
        <f t="shared" si="665"/>
        <v>205066.04227744436</v>
      </c>
      <c r="AE1024" s="149">
        <f t="shared" si="665"/>
        <v>205065.45284586964</v>
      </c>
      <c r="AF1024" s="149">
        <f t="shared" si="665"/>
        <v>205065.25846182776</v>
      </c>
      <c r="AG1024" s="149">
        <f t="shared" si="665"/>
        <v>205065.58452783912</v>
      </c>
    </row>
    <row r="1025" spans="1:33" ht="14.25" hidden="1" customHeight="1" outlineLevel="1" x14ac:dyDescent="0.35">
      <c r="A1025" s="21"/>
      <c r="B1025" s="21"/>
      <c r="C1025" s="21"/>
      <c r="D1025" s="128" t="s">
        <v>4297</v>
      </c>
      <c r="E1025" s="128"/>
      <c r="F1025" s="21"/>
      <c r="G1025" s="21"/>
      <c r="H1025" s="21"/>
      <c r="I1025" s="22" t="s">
        <v>3921</v>
      </c>
      <c r="J1025" s="201">
        <v>540524.18454800104</v>
      </c>
      <c r="K1025" s="201">
        <v>383313.91396443301</v>
      </c>
      <c r="L1025" s="201">
        <v>0</v>
      </c>
      <c r="M1025" s="201">
        <v>119591.81131356199</v>
      </c>
      <c r="N1025" s="201">
        <v>0</v>
      </c>
      <c r="O1025" s="201">
        <v>0</v>
      </c>
      <c r="P1025" s="201">
        <v>583364.79016158404</v>
      </c>
      <c r="Q1025" s="201">
        <v>0</v>
      </c>
      <c r="R1025" s="149">
        <v>204989.84727237941</v>
      </c>
      <c r="S1025" s="149">
        <v>205335.64045446587</v>
      </c>
      <c r="T1025" s="149">
        <v>204910.89461219803</v>
      </c>
      <c r="U1025" s="149">
        <v>205078.62829747054</v>
      </c>
      <c r="V1025" s="149">
        <v>205108.23906431373</v>
      </c>
      <c r="W1025" s="149">
        <v>205032.55048778962</v>
      </c>
      <c r="X1025" s="149">
        <v>205073.13455367804</v>
      </c>
      <c r="Y1025" s="149">
        <v>205071.30337115523</v>
      </c>
      <c r="Z1025" s="149">
        <v>205058.99442940982</v>
      </c>
      <c r="AA1025" s="149">
        <v>205067.81059249977</v>
      </c>
      <c r="AB1025" s="149">
        <v>205066.0360002041</v>
      </c>
      <c r="AC1025" s="149">
        <v>205064.28027001719</v>
      </c>
      <c r="AD1025" s="149">
        <v>205066.04227744436</v>
      </c>
      <c r="AE1025" s="149">
        <v>205065.45284586964</v>
      </c>
      <c r="AF1025" s="149">
        <v>205065.25846182776</v>
      </c>
      <c r="AG1025" s="149">
        <v>205065.58452783912</v>
      </c>
    </row>
    <row r="1026" spans="1:33" ht="14.25" hidden="1" customHeight="1" outlineLevel="1" x14ac:dyDescent="0.35">
      <c r="A1026" s="21"/>
      <c r="B1026" s="21"/>
      <c r="C1026" s="21"/>
      <c r="D1026" s="128" t="s">
        <v>4298</v>
      </c>
      <c r="E1026" s="128"/>
      <c r="F1026" s="21"/>
      <c r="G1026" s="21"/>
      <c r="H1026" s="21"/>
      <c r="I1026" s="22" t="s">
        <v>3921</v>
      </c>
      <c r="J1026" s="148">
        <f t="shared" ref="J1026:AG1026" si="666">J1023+J1024-J1025</f>
        <v>1950691.7306646288</v>
      </c>
      <c r="K1026" s="148">
        <f t="shared" si="666"/>
        <v>1172940.5815623938</v>
      </c>
      <c r="L1026" s="148">
        <f t="shared" si="666"/>
        <v>0</v>
      </c>
      <c r="M1026" s="148">
        <f t="shared" si="666"/>
        <v>51262.248636655</v>
      </c>
      <c r="N1026" s="148">
        <f t="shared" si="666"/>
        <v>0</v>
      </c>
      <c r="O1026" s="148">
        <f t="shared" si="666"/>
        <v>0</v>
      </c>
      <c r="P1026" s="148">
        <f t="shared" si="666"/>
        <v>1296366.1959469859</v>
      </c>
      <c r="Q1026" s="148">
        <f t="shared" si="666"/>
        <v>0</v>
      </c>
      <c r="R1026" s="149">
        <f t="shared" si="666"/>
        <v>0</v>
      </c>
      <c r="S1026" s="149">
        <f t="shared" si="666"/>
        <v>0</v>
      </c>
      <c r="T1026" s="149">
        <f t="shared" si="666"/>
        <v>0</v>
      </c>
      <c r="U1026" s="149">
        <f t="shared" si="666"/>
        <v>0</v>
      </c>
      <c r="V1026" s="149">
        <f t="shared" si="666"/>
        <v>0</v>
      </c>
      <c r="W1026" s="149">
        <f t="shared" si="666"/>
        <v>0</v>
      </c>
      <c r="X1026" s="149">
        <f t="shared" si="666"/>
        <v>0</v>
      </c>
      <c r="Y1026" s="149">
        <f t="shared" si="666"/>
        <v>0</v>
      </c>
      <c r="Z1026" s="149">
        <f t="shared" si="666"/>
        <v>0</v>
      </c>
      <c r="AA1026" s="149">
        <f t="shared" si="666"/>
        <v>0</v>
      </c>
      <c r="AB1026" s="149">
        <f t="shared" si="666"/>
        <v>0</v>
      </c>
      <c r="AC1026" s="149">
        <f t="shared" si="666"/>
        <v>0</v>
      </c>
      <c r="AD1026" s="149">
        <f t="shared" si="666"/>
        <v>0</v>
      </c>
      <c r="AE1026" s="149">
        <f t="shared" si="666"/>
        <v>0</v>
      </c>
      <c r="AF1026" s="149">
        <f t="shared" si="666"/>
        <v>0</v>
      </c>
      <c r="AG1026" s="149">
        <f t="shared" si="666"/>
        <v>0</v>
      </c>
    </row>
    <row r="1027" spans="1:33" ht="14.25" hidden="1" customHeight="1" outlineLevel="1" x14ac:dyDescent="0.35">
      <c r="A1027" s="21"/>
      <c r="B1027" s="21"/>
      <c r="C1027" s="21"/>
      <c r="D1027" s="128" t="s">
        <v>4299</v>
      </c>
      <c r="E1027" s="128"/>
      <c r="F1027" s="21"/>
      <c r="G1027" s="21"/>
      <c r="H1027" s="21"/>
      <c r="I1027" s="22" t="s">
        <v>3921</v>
      </c>
      <c r="J1027" s="201">
        <v>471697.43862407602</v>
      </c>
      <c r="K1027" s="201">
        <v>386897.89909615298</v>
      </c>
      <c r="L1027" s="201">
        <v>0</v>
      </c>
      <c r="M1027" s="201">
        <v>84799.821470440002</v>
      </c>
      <c r="N1027" s="201">
        <v>0</v>
      </c>
      <c r="O1027" s="201">
        <v>0</v>
      </c>
      <c r="P1027" s="201">
        <v>498712.07749933098</v>
      </c>
      <c r="Q1027" s="201">
        <v>0</v>
      </c>
      <c r="R1027" s="149">
        <v>181717.669845945</v>
      </c>
      <c r="S1027" s="149">
        <v>182024.20566775999</v>
      </c>
      <c r="T1027" s="149">
        <v>181647.68055804999</v>
      </c>
      <c r="U1027" s="149">
        <v>181796.371699821</v>
      </c>
      <c r="V1027" s="149">
        <v>181822.620802519</v>
      </c>
      <c r="W1027" s="149">
        <v>181755.52503195801</v>
      </c>
      <c r="X1027" s="149">
        <v>181791.501652187</v>
      </c>
      <c r="Y1027" s="149">
        <v>181789.87836095801</v>
      </c>
      <c r="Z1027" s="149">
        <v>181778.966834158</v>
      </c>
      <c r="AA1027" s="149">
        <v>181786.78211201201</v>
      </c>
      <c r="AB1027" s="149">
        <v>181785.20898641</v>
      </c>
      <c r="AC1027" s="149">
        <v>181783.652581531</v>
      </c>
      <c r="AD1027" s="149">
        <v>181785.21455100499</v>
      </c>
      <c r="AE1027" s="149">
        <v>181784.69203667701</v>
      </c>
      <c r="AF1027" s="149">
        <v>181784.519720752</v>
      </c>
      <c r="AG1027" s="149">
        <v>181784.80876899799</v>
      </c>
    </row>
    <row r="1028" spans="1:33" ht="14.25" hidden="1" customHeight="1" outlineLevel="1" x14ac:dyDescent="0.35">
      <c r="A1028" s="21"/>
      <c r="B1028" s="21"/>
      <c r="C1028" s="21"/>
      <c r="D1028" s="128" t="s">
        <v>4311</v>
      </c>
      <c r="E1028" s="128"/>
      <c r="F1028" s="21"/>
      <c r="G1028" s="21"/>
      <c r="H1028" s="21"/>
      <c r="I1028" s="22" t="s">
        <v>3921</v>
      </c>
      <c r="J1028" s="201">
        <v>0</v>
      </c>
      <c r="K1028" s="201">
        <v>0</v>
      </c>
      <c r="L1028" s="201">
        <v>0</v>
      </c>
      <c r="M1028" s="201">
        <v>0</v>
      </c>
      <c r="N1028" s="201">
        <v>0</v>
      </c>
      <c r="O1028" s="201">
        <v>0</v>
      </c>
      <c r="P1028" s="201">
        <v>0</v>
      </c>
      <c r="Q1028" s="201">
        <v>0</v>
      </c>
      <c r="R1028" s="149">
        <f t="shared" ref="R1028:AG1028" si="667">Q1031</f>
        <v>0</v>
      </c>
      <c r="S1028" s="149">
        <f t="shared" si="667"/>
        <v>0</v>
      </c>
      <c r="T1028" s="149">
        <f t="shared" si="667"/>
        <v>0</v>
      </c>
      <c r="U1028" s="149">
        <f t="shared" si="667"/>
        <v>0</v>
      </c>
      <c r="V1028" s="149">
        <f t="shared" si="667"/>
        <v>0</v>
      </c>
      <c r="W1028" s="149">
        <f t="shared" si="667"/>
        <v>0</v>
      </c>
      <c r="X1028" s="149">
        <f t="shared" si="667"/>
        <v>0</v>
      </c>
      <c r="Y1028" s="149">
        <f t="shared" si="667"/>
        <v>0</v>
      </c>
      <c r="Z1028" s="149">
        <f t="shared" si="667"/>
        <v>0</v>
      </c>
      <c r="AA1028" s="149">
        <f t="shared" si="667"/>
        <v>0</v>
      </c>
      <c r="AB1028" s="149">
        <f t="shared" si="667"/>
        <v>0</v>
      </c>
      <c r="AC1028" s="149">
        <f t="shared" si="667"/>
        <v>0</v>
      </c>
      <c r="AD1028" s="149">
        <f t="shared" si="667"/>
        <v>0</v>
      </c>
      <c r="AE1028" s="149">
        <f t="shared" si="667"/>
        <v>0</v>
      </c>
      <c r="AF1028" s="149">
        <f t="shared" si="667"/>
        <v>0</v>
      </c>
      <c r="AG1028" s="149">
        <f t="shared" si="667"/>
        <v>0</v>
      </c>
    </row>
    <row r="1029" spans="1:33" ht="14.25" hidden="1" customHeight="1" outlineLevel="1" x14ac:dyDescent="0.35">
      <c r="A1029" s="21"/>
      <c r="B1029" s="21"/>
      <c r="C1029" s="21"/>
      <c r="D1029" s="128" t="s">
        <v>4296</v>
      </c>
      <c r="E1029" s="128"/>
      <c r="F1029" s="21"/>
      <c r="G1029" s="21"/>
      <c r="H1029" s="21"/>
      <c r="I1029" s="22" t="s">
        <v>3921</v>
      </c>
      <c r="J1029" s="201">
        <v>0</v>
      </c>
      <c r="K1029" s="201">
        <v>0</v>
      </c>
      <c r="L1029" s="201">
        <v>0</v>
      </c>
      <c r="M1029" s="201">
        <v>0</v>
      </c>
      <c r="N1029" s="201">
        <v>0</v>
      </c>
      <c r="O1029" s="201">
        <v>0</v>
      </c>
      <c r="P1029" s="201">
        <v>0</v>
      </c>
      <c r="Q1029" s="201">
        <v>0</v>
      </c>
      <c r="R1029" s="149">
        <f t="shared" ref="R1029:AG1029" si="668">R1030</f>
        <v>0</v>
      </c>
      <c r="S1029" s="149">
        <f t="shared" si="668"/>
        <v>0</v>
      </c>
      <c r="T1029" s="149">
        <f t="shared" si="668"/>
        <v>0</v>
      </c>
      <c r="U1029" s="149">
        <f t="shared" si="668"/>
        <v>0</v>
      </c>
      <c r="V1029" s="149">
        <f t="shared" si="668"/>
        <v>0</v>
      </c>
      <c r="W1029" s="149">
        <f t="shared" si="668"/>
        <v>0</v>
      </c>
      <c r="X1029" s="149">
        <f t="shared" si="668"/>
        <v>0</v>
      </c>
      <c r="Y1029" s="149">
        <f t="shared" si="668"/>
        <v>0</v>
      </c>
      <c r="Z1029" s="149">
        <f t="shared" si="668"/>
        <v>0</v>
      </c>
      <c r="AA1029" s="149">
        <f t="shared" si="668"/>
        <v>0</v>
      </c>
      <c r="AB1029" s="149">
        <f t="shared" si="668"/>
        <v>0</v>
      </c>
      <c r="AC1029" s="149">
        <f t="shared" si="668"/>
        <v>0</v>
      </c>
      <c r="AD1029" s="149">
        <f t="shared" si="668"/>
        <v>0</v>
      </c>
      <c r="AE1029" s="149">
        <f t="shared" si="668"/>
        <v>0</v>
      </c>
      <c r="AF1029" s="149">
        <f t="shared" si="668"/>
        <v>0</v>
      </c>
      <c r="AG1029" s="149">
        <f t="shared" si="668"/>
        <v>0</v>
      </c>
    </row>
    <row r="1030" spans="1:33" ht="14.25" hidden="1" customHeight="1" outlineLevel="1" x14ac:dyDescent="0.35">
      <c r="A1030" s="21"/>
      <c r="B1030" s="21"/>
      <c r="C1030" s="21"/>
      <c r="D1030" s="128" t="s">
        <v>4297</v>
      </c>
      <c r="E1030" s="128"/>
      <c r="F1030" s="21"/>
      <c r="G1030" s="21"/>
      <c r="H1030" s="21"/>
      <c r="I1030" s="22" t="s">
        <v>3921</v>
      </c>
      <c r="J1030" s="201">
        <v>0</v>
      </c>
      <c r="K1030" s="201">
        <v>0</v>
      </c>
      <c r="L1030" s="201">
        <v>0</v>
      </c>
      <c r="M1030" s="201">
        <v>0</v>
      </c>
      <c r="N1030" s="201">
        <v>0</v>
      </c>
      <c r="O1030" s="201">
        <v>0</v>
      </c>
      <c r="P1030" s="201">
        <v>0</v>
      </c>
      <c r="Q1030" s="201">
        <v>0</v>
      </c>
      <c r="R1030" s="149">
        <v>0</v>
      </c>
      <c r="S1030" s="149">
        <v>0</v>
      </c>
      <c r="T1030" s="149">
        <v>0</v>
      </c>
      <c r="U1030" s="149">
        <v>0</v>
      </c>
      <c r="V1030" s="149">
        <v>0</v>
      </c>
      <c r="W1030" s="149">
        <v>0</v>
      </c>
      <c r="X1030" s="149">
        <v>0</v>
      </c>
      <c r="Y1030" s="149">
        <v>0</v>
      </c>
      <c r="Z1030" s="149">
        <v>0</v>
      </c>
      <c r="AA1030" s="149">
        <v>0</v>
      </c>
      <c r="AB1030" s="149">
        <v>0</v>
      </c>
      <c r="AC1030" s="149">
        <v>0</v>
      </c>
      <c r="AD1030" s="149">
        <v>0</v>
      </c>
      <c r="AE1030" s="149">
        <v>0</v>
      </c>
      <c r="AF1030" s="149">
        <v>0</v>
      </c>
      <c r="AG1030" s="149">
        <v>0</v>
      </c>
    </row>
    <row r="1031" spans="1:33" ht="14.25" hidden="1" customHeight="1" outlineLevel="1" x14ac:dyDescent="0.35">
      <c r="A1031" s="21"/>
      <c r="B1031" s="21"/>
      <c r="C1031" s="21"/>
      <c r="D1031" s="128" t="s">
        <v>4298</v>
      </c>
      <c r="E1031" s="128"/>
      <c r="F1031" s="21"/>
      <c r="G1031" s="21"/>
      <c r="H1031" s="21"/>
      <c r="I1031" s="22" t="s">
        <v>3921</v>
      </c>
      <c r="J1031" s="148">
        <f t="shared" ref="J1031:AG1031" si="669">J1028+J1029-J1030</f>
        <v>0</v>
      </c>
      <c r="K1031" s="148">
        <f t="shared" si="669"/>
        <v>0</v>
      </c>
      <c r="L1031" s="148">
        <f t="shared" si="669"/>
        <v>0</v>
      </c>
      <c r="M1031" s="148">
        <f t="shared" si="669"/>
        <v>0</v>
      </c>
      <c r="N1031" s="148">
        <f t="shared" si="669"/>
        <v>0</v>
      </c>
      <c r="O1031" s="148">
        <f t="shared" si="669"/>
        <v>0</v>
      </c>
      <c r="P1031" s="148">
        <f t="shared" si="669"/>
        <v>0</v>
      </c>
      <c r="Q1031" s="148">
        <f t="shared" si="669"/>
        <v>0</v>
      </c>
      <c r="R1031" s="149">
        <f t="shared" si="669"/>
        <v>0</v>
      </c>
      <c r="S1031" s="149">
        <f t="shared" si="669"/>
        <v>0</v>
      </c>
      <c r="T1031" s="149">
        <f t="shared" si="669"/>
        <v>0</v>
      </c>
      <c r="U1031" s="149">
        <f t="shared" si="669"/>
        <v>0</v>
      </c>
      <c r="V1031" s="149">
        <f t="shared" si="669"/>
        <v>0</v>
      </c>
      <c r="W1031" s="149">
        <f t="shared" si="669"/>
        <v>0</v>
      </c>
      <c r="X1031" s="149">
        <f t="shared" si="669"/>
        <v>0</v>
      </c>
      <c r="Y1031" s="149">
        <f t="shared" si="669"/>
        <v>0</v>
      </c>
      <c r="Z1031" s="149">
        <f t="shared" si="669"/>
        <v>0</v>
      </c>
      <c r="AA1031" s="149">
        <f t="shared" si="669"/>
        <v>0</v>
      </c>
      <c r="AB1031" s="149">
        <f t="shared" si="669"/>
        <v>0</v>
      </c>
      <c r="AC1031" s="149">
        <f t="shared" si="669"/>
        <v>0</v>
      </c>
      <c r="AD1031" s="149">
        <f t="shared" si="669"/>
        <v>0</v>
      </c>
      <c r="AE1031" s="149">
        <f t="shared" si="669"/>
        <v>0</v>
      </c>
      <c r="AF1031" s="149">
        <f t="shared" si="669"/>
        <v>0</v>
      </c>
      <c r="AG1031" s="149">
        <f t="shared" si="669"/>
        <v>0</v>
      </c>
    </row>
    <row r="1032" spans="1:33" ht="14.25" hidden="1" customHeight="1" outlineLevel="1" x14ac:dyDescent="0.35">
      <c r="A1032" s="21"/>
      <c r="B1032" s="21"/>
      <c r="C1032" s="21"/>
      <c r="D1032" s="128" t="s">
        <v>4299</v>
      </c>
      <c r="E1032" s="128"/>
      <c r="F1032" s="21"/>
      <c r="G1032" s="21"/>
      <c r="H1032" s="21"/>
      <c r="I1032" s="22" t="s">
        <v>3921</v>
      </c>
      <c r="J1032" s="201">
        <v>0</v>
      </c>
      <c r="K1032" s="201">
        <v>0</v>
      </c>
      <c r="L1032" s="201">
        <v>0</v>
      </c>
      <c r="M1032" s="201">
        <v>0</v>
      </c>
      <c r="N1032" s="201">
        <v>0</v>
      </c>
      <c r="O1032" s="201">
        <v>0</v>
      </c>
      <c r="P1032" s="201">
        <v>0</v>
      </c>
      <c r="Q1032" s="201">
        <v>0</v>
      </c>
      <c r="R1032" s="149">
        <v>0</v>
      </c>
      <c r="S1032" s="149">
        <v>0</v>
      </c>
      <c r="T1032" s="149">
        <v>0</v>
      </c>
      <c r="U1032" s="149">
        <v>0</v>
      </c>
      <c r="V1032" s="149">
        <v>0</v>
      </c>
      <c r="W1032" s="149">
        <v>0</v>
      </c>
      <c r="X1032" s="149">
        <v>0</v>
      </c>
      <c r="Y1032" s="149">
        <v>0</v>
      </c>
      <c r="Z1032" s="149">
        <v>0</v>
      </c>
      <c r="AA1032" s="149">
        <v>0</v>
      </c>
      <c r="AB1032" s="149">
        <v>0</v>
      </c>
      <c r="AC1032" s="149">
        <v>0</v>
      </c>
      <c r="AD1032" s="149">
        <v>0</v>
      </c>
      <c r="AE1032" s="149">
        <v>0</v>
      </c>
      <c r="AF1032" s="149">
        <v>0</v>
      </c>
      <c r="AG1032" s="149">
        <v>0</v>
      </c>
    </row>
    <row r="1033" spans="1:33" ht="14.25" hidden="1" customHeight="1" outlineLevel="1" x14ac:dyDescent="0.35">
      <c r="A1033" s="21"/>
      <c r="B1033" s="21"/>
      <c r="C1033" s="21"/>
      <c r="D1033" s="128" t="s">
        <v>4312</v>
      </c>
      <c r="E1033" s="128"/>
      <c r="F1033" s="21"/>
      <c r="G1033" s="21"/>
      <c r="H1033" s="21"/>
      <c r="I1033" s="22" t="s">
        <v>3921</v>
      </c>
      <c r="J1033" s="201">
        <v>0</v>
      </c>
      <c r="K1033" s="201">
        <v>0</v>
      </c>
      <c r="L1033" s="201">
        <v>0</v>
      </c>
      <c r="M1033" s="201">
        <v>0</v>
      </c>
      <c r="N1033" s="201">
        <v>0</v>
      </c>
      <c r="O1033" s="201">
        <v>0</v>
      </c>
      <c r="P1033" s="201">
        <v>0</v>
      </c>
      <c r="Q1033" s="201">
        <v>0</v>
      </c>
      <c r="R1033" s="149">
        <f t="shared" ref="R1033:AG1033" si="670">Q1036</f>
        <v>0</v>
      </c>
      <c r="S1033" s="149">
        <f t="shared" si="670"/>
        <v>0</v>
      </c>
      <c r="T1033" s="149">
        <f t="shared" si="670"/>
        <v>0</v>
      </c>
      <c r="U1033" s="149">
        <f t="shared" si="670"/>
        <v>0</v>
      </c>
      <c r="V1033" s="149">
        <f t="shared" si="670"/>
        <v>0</v>
      </c>
      <c r="W1033" s="149">
        <f t="shared" si="670"/>
        <v>0</v>
      </c>
      <c r="X1033" s="149">
        <f t="shared" si="670"/>
        <v>0</v>
      </c>
      <c r="Y1033" s="149">
        <f t="shared" si="670"/>
        <v>0</v>
      </c>
      <c r="Z1033" s="149">
        <f t="shared" si="670"/>
        <v>0</v>
      </c>
      <c r="AA1033" s="149">
        <f t="shared" si="670"/>
        <v>0</v>
      </c>
      <c r="AB1033" s="149">
        <f t="shared" si="670"/>
        <v>0</v>
      </c>
      <c r="AC1033" s="149">
        <f t="shared" si="670"/>
        <v>0</v>
      </c>
      <c r="AD1033" s="149">
        <f t="shared" si="670"/>
        <v>0</v>
      </c>
      <c r="AE1033" s="149">
        <f t="shared" si="670"/>
        <v>0</v>
      </c>
      <c r="AF1033" s="149">
        <f t="shared" si="670"/>
        <v>0</v>
      </c>
      <c r="AG1033" s="149">
        <f t="shared" si="670"/>
        <v>0</v>
      </c>
    </row>
    <row r="1034" spans="1:33" ht="14.25" hidden="1" customHeight="1" outlineLevel="1" x14ac:dyDescent="0.35">
      <c r="A1034" s="21"/>
      <c r="B1034" s="21"/>
      <c r="C1034" s="21"/>
      <c r="D1034" s="128" t="s">
        <v>4296</v>
      </c>
      <c r="E1034" s="128"/>
      <c r="F1034" s="21"/>
      <c r="G1034" s="21"/>
      <c r="H1034" s="21"/>
      <c r="I1034" s="22" t="s">
        <v>3921</v>
      </c>
      <c r="J1034" s="201">
        <v>0</v>
      </c>
      <c r="K1034" s="201">
        <v>0</v>
      </c>
      <c r="L1034" s="201">
        <v>0</v>
      </c>
      <c r="M1034" s="201">
        <v>0</v>
      </c>
      <c r="N1034" s="201">
        <v>0</v>
      </c>
      <c r="O1034" s="201">
        <v>0</v>
      </c>
      <c r="P1034" s="201">
        <v>0</v>
      </c>
      <c r="Q1034" s="201">
        <v>0</v>
      </c>
      <c r="R1034" s="149">
        <f t="shared" ref="R1034:AG1034" si="671">R1035</f>
        <v>0</v>
      </c>
      <c r="S1034" s="149">
        <f t="shared" si="671"/>
        <v>0</v>
      </c>
      <c r="T1034" s="149">
        <f t="shared" si="671"/>
        <v>0</v>
      </c>
      <c r="U1034" s="149">
        <f t="shared" si="671"/>
        <v>0</v>
      </c>
      <c r="V1034" s="149">
        <f t="shared" si="671"/>
        <v>0</v>
      </c>
      <c r="W1034" s="149">
        <f t="shared" si="671"/>
        <v>0</v>
      </c>
      <c r="X1034" s="149">
        <f t="shared" si="671"/>
        <v>0</v>
      </c>
      <c r="Y1034" s="149">
        <f t="shared" si="671"/>
        <v>0</v>
      </c>
      <c r="Z1034" s="149">
        <f t="shared" si="671"/>
        <v>0</v>
      </c>
      <c r="AA1034" s="149">
        <f t="shared" si="671"/>
        <v>0</v>
      </c>
      <c r="AB1034" s="149">
        <f t="shared" si="671"/>
        <v>0</v>
      </c>
      <c r="AC1034" s="149">
        <f t="shared" si="671"/>
        <v>0</v>
      </c>
      <c r="AD1034" s="149">
        <f t="shared" si="671"/>
        <v>0</v>
      </c>
      <c r="AE1034" s="149">
        <f t="shared" si="671"/>
        <v>0</v>
      </c>
      <c r="AF1034" s="149">
        <f t="shared" si="671"/>
        <v>0</v>
      </c>
      <c r="AG1034" s="149">
        <f t="shared" si="671"/>
        <v>0</v>
      </c>
    </row>
    <row r="1035" spans="1:33" ht="14.25" hidden="1" customHeight="1" outlineLevel="1" x14ac:dyDescent="0.35">
      <c r="A1035" s="21"/>
      <c r="B1035" s="21"/>
      <c r="C1035" s="21"/>
      <c r="D1035" s="128" t="s">
        <v>4297</v>
      </c>
      <c r="E1035" s="128"/>
      <c r="F1035" s="21"/>
      <c r="G1035" s="21"/>
      <c r="H1035" s="21"/>
      <c r="I1035" s="22" t="s">
        <v>3921</v>
      </c>
      <c r="J1035" s="201">
        <v>0</v>
      </c>
      <c r="K1035" s="201">
        <v>0</v>
      </c>
      <c r="L1035" s="201">
        <v>0</v>
      </c>
      <c r="M1035" s="201">
        <v>0</v>
      </c>
      <c r="N1035" s="201">
        <v>0</v>
      </c>
      <c r="O1035" s="201">
        <v>0</v>
      </c>
      <c r="P1035" s="201">
        <v>0</v>
      </c>
      <c r="Q1035" s="201">
        <v>0</v>
      </c>
      <c r="R1035" s="149">
        <v>0</v>
      </c>
      <c r="S1035" s="149">
        <v>0</v>
      </c>
      <c r="T1035" s="149">
        <v>0</v>
      </c>
      <c r="U1035" s="149">
        <v>0</v>
      </c>
      <c r="V1035" s="149">
        <v>0</v>
      </c>
      <c r="W1035" s="149">
        <v>0</v>
      </c>
      <c r="X1035" s="149">
        <v>0</v>
      </c>
      <c r="Y1035" s="149">
        <v>0</v>
      </c>
      <c r="Z1035" s="149">
        <v>0</v>
      </c>
      <c r="AA1035" s="149">
        <v>0</v>
      </c>
      <c r="AB1035" s="149">
        <v>0</v>
      </c>
      <c r="AC1035" s="149">
        <v>0</v>
      </c>
      <c r="AD1035" s="149">
        <v>0</v>
      </c>
      <c r="AE1035" s="149">
        <v>0</v>
      </c>
      <c r="AF1035" s="149">
        <v>0</v>
      </c>
      <c r="AG1035" s="149">
        <v>0</v>
      </c>
    </row>
    <row r="1036" spans="1:33" ht="14.25" hidden="1" customHeight="1" outlineLevel="1" x14ac:dyDescent="0.35">
      <c r="A1036" s="21"/>
      <c r="B1036" s="21"/>
      <c r="C1036" s="21"/>
      <c r="D1036" s="128" t="s">
        <v>4298</v>
      </c>
      <c r="E1036" s="128"/>
      <c r="F1036" s="21"/>
      <c r="G1036" s="21"/>
      <c r="H1036" s="21"/>
      <c r="I1036" s="22" t="s">
        <v>3921</v>
      </c>
      <c r="J1036" s="148">
        <f t="shared" ref="J1036:AG1036" si="672">J1033+J1034-J1035</f>
        <v>0</v>
      </c>
      <c r="K1036" s="148">
        <f t="shared" si="672"/>
        <v>0</v>
      </c>
      <c r="L1036" s="148">
        <f t="shared" si="672"/>
        <v>0</v>
      </c>
      <c r="M1036" s="148">
        <f t="shared" si="672"/>
        <v>0</v>
      </c>
      <c r="N1036" s="148">
        <f t="shared" si="672"/>
        <v>0</v>
      </c>
      <c r="O1036" s="148">
        <f t="shared" si="672"/>
        <v>0</v>
      </c>
      <c r="P1036" s="148">
        <f t="shared" si="672"/>
        <v>0</v>
      </c>
      <c r="Q1036" s="148">
        <f t="shared" si="672"/>
        <v>0</v>
      </c>
      <c r="R1036" s="149">
        <f t="shared" si="672"/>
        <v>0</v>
      </c>
      <c r="S1036" s="149">
        <f t="shared" si="672"/>
        <v>0</v>
      </c>
      <c r="T1036" s="149">
        <f t="shared" si="672"/>
        <v>0</v>
      </c>
      <c r="U1036" s="149">
        <f t="shared" si="672"/>
        <v>0</v>
      </c>
      <c r="V1036" s="149">
        <f t="shared" si="672"/>
        <v>0</v>
      </c>
      <c r="W1036" s="149">
        <f t="shared" si="672"/>
        <v>0</v>
      </c>
      <c r="X1036" s="149">
        <f t="shared" si="672"/>
        <v>0</v>
      </c>
      <c r="Y1036" s="149">
        <f t="shared" si="672"/>
        <v>0</v>
      </c>
      <c r="Z1036" s="149">
        <f t="shared" si="672"/>
        <v>0</v>
      </c>
      <c r="AA1036" s="149">
        <f t="shared" si="672"/>
        <v>0</v>
      </c>
      <c r="AB1036" s="149">
        <f t="shared" si="672"/>
        <v>0</v>
      </c>
      <c r="AC1036" s="149">
        <f t="shared" si="672"/>
        <v>0</v>
      </c>
      <c r="AD1036" s="149">
        <f t="shared" si="672"/>
        <v>0</v>
      </c>
      <c r="AE1036" s="149">
        <f t="shared" si="672"/>
        <v>0</v>
      </c>
      <c r="AF1036" s="149">
        <f t="shared" si="672"/>
        <v>0</v>
      </c>
      <c r="AG1036" s="149">
        <f t="shared" si="672"/>
        <v>0</v>
      </c>
    </row>
    <row r="1037" spans="1:33" ht="14.25" hidden="1" customHeight="1" outlineLevel="1" x14ac:dyDescent="0.35">
      <c r="A1037" s="21"/>
      <c r="B1037" s="21"/>
      <c r="C1037" s="21"/>
      <c r="D1037" s="128" t="s">
        <v>4299</v>
      </c>
      <c r="E1037" s="128"/>
      <c r="F1037" s="21"/>
      <c r="G1037" s="21"/>
      <c r="H1037" s="21"/>
      <c r="I1037" s="22" t="s">
        <v>3921</v>
      </c>
      <c r="J1037" s="201">
        <v>0</v>
      </c>
      <c r="K1037" s="201">
        <v>0</v>
      </c>
      <c r="L1037" s="201">
        <v>0</v>
      </c>
      <c r="M1037" s="201">
        <v>0</v>
      </c>
      <c r="N1037" s="201">
        <v>0</v>
      </c>
      <c r="O1037" s="201">
        <v>0</v>
      </c>
      <c r="P1037" s="201">
        <v>0</v>
      </c>
      <c r="Q1037" s="201">
        <v>0</v>
      </c>
      <c r="R1037" s="149">
        <v>0</v>
      </c>
      <c r="S1037" s="149">
        <v>0</v>
      </c>
      <c r="T1037" s="149">
        <v>0</v>
      </c>
      <c r="U1037" s="149">
        <v>0</v>
      </c>
      <c r="V1037" s="149">
        <v>0</v>
      </c>
      <c r="W1037" s="149">
        <v>0</v>
      </c>
      <c r="X1037" s="149">
        <v>0</v>
      </c>
      <c r="Y1037" s="149">
        <v>0</v>
      </c>
      <c r="Z1037" s="149">
        <v>0</v>
      </c>
      <c r="AA1037" s="149">
        <v>0</v>
      </c>
      <c r="AB1037" s="149">
        <v>0</v>
      </c>
      <c r="AC1037" s="149">
        <v>0</v>
      </c>
      <c r="AD1037" s="149">
        <v>0</v>
      </c>
      <c r="AE1037" s="149">
        <v>0</v>
      </c>
      <c r="AF1037" s="149">
        <v>0</v>
      </c>
      <c r="AG1037" s="149">
        <v>0</v>
      </c>
    </row>
    <row r="1038" spans="1:33" ht="14.25" hidden="1" customHeight="1" outlineLevel="1" x14ac:dyDescent="0.35">
      <c r="A1038" s="21"/>
      <c r="B1038" s="21"/>
      <c r="C1038" s="21"/>
      <c r="D1038" s="128" t="s">
        <v>4313</v>
      </c>
      <c r="E1038" s="128"/>
      <c r="F1038" s="21"/>
      <c r="G1038" s="21"/>
      <c r="H1038" s="21"/>
      <c r="I1038" s="22" t="s">
        <v>3921</v>
      </c>
      <c r="J1038" s="201">
        <v>0</v>
      </c>
      <c r="K1038" s="201">
        <v>0</v>
      </c>
      <c r="L1038" s="201">
        <v>0</v>
      </c>
      <c r="M1038" s="201">
        <v>0</v>
      </c>
      <c r="N1038" s="201">
        <v>0</v>
      </c>
      <c r="O1038" s="201">
        <v>0</v>
      </c>
      <c r="P1038" s="201">
        <v>0</v>
      </c>
      <c r="Q1038" s="201">
        <v>0</v>
      </c>
      <c r="R1038" s="149">
        <f t="shared" ref="R1038:AG1038" si="673">Q1041</f>
        <v>0</v>
      </c>
      <c r="S1038" s="149">
        <f t="shared" si="673"/>
        <v>0</v>
      </c>
      <c r="T1038" s="149">
        <f t="shared" si="673"/>
        <v>0</v>
      </c>
      <c r="U1038" s="149">
        <f t="shared" si="673"/>
        <v>0</v>
      </c>
      <c r="V1038" s="149">
        <f t="shared" si="673"/>
        <v>0</v>
      </c>
      <c r="W1038" s="149">
        <f t="shared" si="673"/>
        <v>0</v>
      </c>
      <c r="X1038" s="149">
        <f t="shared" si="673"/>
        <v>0</v>
      </c>
      <c r="Y1038" s="149">
        <f t="shared" si="673"/>
        <v>0</v>
      </c>
      <c r="Z1038" s="149">
        <f t="shared" si="673"/>
        <v>0</v>
      </c>
      <c r="AA1038" s="149">
        <f t="shared" si="673"/>
        <v>0</v>
      </c>
      <c r="AB1038" s="149">
        <f t="shared" si="673"/>
        <v>0</v>
      </c>
      <c r="AC1038" s="149">
        <f t="shared" si="673"/>
        <v>0</v>
      </c>
      <c r="AD1038" s="149">
        <f t="shared" si="673"/>
        <v>0</v>
      </c>
      <c r="AE1038" s="149">
        <f t="shared" si="673"/>
        <v>0</v>
      </c>
      <c r="AF1038" s="149">
        <f t="shared" si="673"/>
        <v>0</v>
      </c>
      <c r="AG1038" s="149">
        <f t="shared" si="673"/>
        <v>0</v>
      </c>
    </row>
    <row r="1039" spans="1:33" ht="14.25" hidden="1" customHeight="1" outlineLevel="1" x14ac:dyDescent="0.35">
      <c r="A1039" s="21"/>
      <c r="B1039" s="21"/>
      <c r="C1039" s="21"/>
      <c r="D1039" s="128" t="s">
        <v>4296</v>
      </c>
      <c r="E1039" s="128"/>
      <c r="F1039" s="21"/>
      <c r="G1039" s="21"/>
      <c r="H1039" s="21"/>
      <c r="I1039" s="22" t="s">
        <v>3921</v>
      </c>
      <c r="J1039" s="201">
        <v>0</v>
      </c>
      <c r="K1039" s="201">
        <v>0</v>
      </c>
      <c r="L1039" s="201">
        <v>0</v>
      </c>
      <c r="M1039" s="201">
        <v>0</v>
      </c>
      <c r="N1039" s="201">
        <v>0</v>
      </c>
      <c r="O1039" s="201">
        <v>0</v>
      </c>
      <c r="P1039" s="201">
        <v>0</v>
      </c>
      <c r="Q1039" s="201">
        <v>0</v>
      </c>
      <c r="R1039" s="149">
        <f t="shared" ref="R1039:AG1039" si="674">R1040</f>
        <v>0</v>
      </c>
      <c r="S1039" s="149">
        <f t="shared" si="674"/>
        <v>0</v>
      </c>
      <c r="T1039" s="149">
        <f t="shared" si="674"/>
        <v>0</v>
      </c>
      <c r="U1039" s="149">
        <f t="shared" si="674"/>
        <v>0</v>
      </c>
      <c r="V1039" s="149">
        <f t="shared" si="674"/>
        <v>0</v>
      </c>
      <c r="W1039" s="149">
        <f t="shared" si="674"/>
        <v>0</v>
      </c>
      <c r="X1039" s="149">
        <f t="shared" si="674"/>
        <v>0</v>
      </c>
      <c r="Y1039" s="149">
        <f t="shared" si="674"/>
        <v>0</v>
      </c>
      <c r="Z1039" s="149">
        <f t="shared" si="674"/>
        <v>0</v>
      </c>
      <c r="AA1039" s="149">
        <f t="shared" si="674"/>
        <v>0</v>
      </c>
      <c r="AB1039" s="149">
        <f t="shared" si="674"/>
        <v>0</v>
      </c>
      <c r="AC1039" s="149">
        <f t="shared" si="674"/>
        <v>0</v>
      </c>
      <c r="AD1039" s="149">
        <f t="shared" si="674"/>
        <v>0</v>
      </c>
      <c r="AE1039" s="149">
        <f t="shared" si="674"/>
        <v>0</v>
      </c>
      <c r="AF1039" s="149">
        <f t="shared" si="674"/>
        <v>0</v>
      </c>
      <c r="AG1039" s="149">
        <f t="shared" si="674"/>
        <v>0</v>
      </c>
    </row>
    <row r="1040" spans="1:33" ht="14.25" hidden="1" customHeight="1" outlineLevel="1" x14ac:dyDescent="0.35">
      <c r="A1040" s="21"/>
      <c r="B1040" s="21"/>
      <c r="C1040" s="21"/>
      <c r="D1040" s="128" t="s">
        <v>4297</v>
      </c>
      <c r="E1040" s="128"/>
      <c r="F1040" s="21"/>
      <c r="G1040" s="21"/>
      <c r="H1040" s="21"/>
      <c r="I1040" s="22" t="s">
        <v>3921</v>
      </c>
      <c r="J1040" s="201">
        <v>0</v>
      </c>
      <c r="K1040" s="201">
        <v>0</v>
      </c>
      <c r="L1040" s="201">
        <v>0</v>
      </c>
      <c r="M1040" s="201">
        <v>0</v>
      </c>
      <c r="N1040" s="201">
        <v>0</v>
      </c>
      <c r="O1040" s="201">
        <v>0</v>
      </c>
      <c r="P1040" s="201">
        <v>0</v>
      </c>
      <c r="Q1040" s="201">
        <v>0</v>
      </c>
      <c r="R1040" s="149">
        <v>0</v>
      </c>
      <c r="S1040" s="149">
        <v>0</v>
      </c>
      <c r="T1040" s="149">
        <v>0</v>
      </c>
      <c r="U1040" s="149">
        <v>0</v>
      </c>
      <c r="V1040" s="149">
        <v>0</v>
      </c>
      <c r="W1040" s="149">
        <v>0</v>
      </c>
      <c r="X1040" s="149">
        <v>0</v>
      </c>
      <c r="Y1040" s="149">
        <v>0</v>
      </c>
      <c r="Z1040" s="149">
        <v>0</v>
      </c>
      <c r="AA1040" s="149">
        <v>0</v>
      </c>
      <c r="AB1040" s="149">
        <v>0</v>
      </c>
      <c r="AC1040" s="149">
        <v>0</v>
      </c>
      <c r="AD1040" s="149">
        <v>0</v>
      </c>
      <c r="AE1040" s="149">
        <v>0</v>
      </c>
      <c r="AF1040" s="149">
        <v>0</v>
      </c>
      <c r="AG1040" s="149">
        <v>0</v>
      </c>
    </row>
    <row r="1041" spans="1:33" ht="14.25" hidden="1" customHeight="1" outlineLevel="1" x14ac:dyDescent="0.35">
      <c r="A1041" s="21"/>
      <c r="B1041" s="21"/>
      <c r="C1041" s="21"/>
      <c r="D1041" s="128" t="s">
        <v>4298</v>
      </c>
      <c r="E1041" s="128"/>
      <c r="F1041" s="21"/>
      <c r="G1041" s="21"/>
      <c r="H1041" s="21"/>
      <c r="I1041" s="22" t="s">
        <v>3921</v>
      </c>
      <c r="J1041" s="148">
        <f t="shared" ref="J1041:AG1041" si="675">J1038+J1039-J1040</f>
        <v>0</v>
      </c>
      <c r="K1041" s="148">
        <f t="shared" si="675"/>
        <v>0</v>
      </c>
      <c r="L1041" s="148">
        <f t="shared" si="675"/>
        <v>0</v>
      </c>
      <c r="M1041" s="148">
        <f t="shared" si="675"/>
        <v>0</v>
      </c>
      <c r="N1041" s="148">
        <f t="shared" si="675"/>
        <v>0</v>
      </c>
      <c r="O1041" s="148">
        <f t="shared" si="675"/>
        <v>0</v>
      </c>
      <c r="P1041" s="148">
        <f t="shared" si="675"/>
        <v>0</v>
      </c>
      <c r="Q1041" s="148">
        <f t="shared" si="675"/>
        <v>0</v>
      </c>
      <c r="R1041" s="149">
        <f t="shared" si="675"/>
        <v>0</v>
      </c>
      <c r="S1041" s="149">
        <f t="shared" si="675"/>
        <v>0</v>
      </c>
      <c r="T1041" s="149">
        <f t="shared" si="675"/>
        <v>0</v>
      </c>
      <c r="U1041" s="149">
        <f t="shared" si="675"/>
        <v>0</v>
      </c>
      <c r="V1041" s="149">
        <f t="shared" si="675"/>
        <v>0</v>
      </c>
      <c r="W1041" s="149">
        <f t="shared" si="675"/>
        <v>0</v>
      </c>
      <c r="X1041" s="149">
        <f t="shared" si="675"/>
        <v>0</v>
      </c>
      <c r="Y1041" s="149">
        <f t="shared" si="675"/>
        <v>0</v>
      </c>
      <c r="Z1041" s="149">
        <f t="shared" si="675"/>
        <v>0</v>
      </c>
      <c r="AA1041" s="149">
        <f t="shared" si="675"/>
        <v>0</v>
      </c>
      <c r="AB1041" s="149">
        <f t="shared" si="675"/>
        <v>0</v>
      </c>
      <c r="AC1041" s="149">
        <f t="shared" si="675"/>
        <v>0</v>
      </c>
      <c r="AD1041" s="149">
        <f t="shared" si="675"/>
        <v>0</v>
      </c>
      <c r="AE1041" s="149">
        <f t="shared" si="675"/>
        <v>0</v>
      </c>
      <c r="AF1041" s="149">
        <f t="shared" si="675"/>
        <v>0</v>
      </c>
      <c r="AG1041" s="149">
        <f t="shared" si="675"/>
        <v>0</v>
      </c>
    </row>
    <row r="1042" spans="1:33" ht="14.25" hidden="1" customHeight="1" outlineLevel="1" x14ac:dyDescent="0.35">
      <c r="A1042" s="21"/>
      <c r="B1042" s="21"/>
      <c r="C1042" s="21"/>
      <c r="D1042" s="128" t="s">
        <v>4299</v>
      </c>
      <c r="E1042" s="128"/>
      <c r="F1042" s="21"/>
      <c r="G1042" s="21"/>
      <c r="H1042" s="21"/>
      <c r="I1042" s="22" t="s">
        <v>3921</v>
      </c>
      <c r="J1042" s="201">
        <v>0</v>
      </c>
      <c r="K1042" s="201">
        <v>0</v>
      </c>
      <c r="L1042" s="201">
        <v>0</v>
      </c>
      <c r="M1042" s="201">
        <v>0</v>
      </c>
      <c r="N1042" s="201">
        <v>0</v>
      </c>
      <c r="O1042" s="201">
        <v>0</v>
      </c>
      <c r="P1042" s="201">
        <v>0</v>
      </c>
      <c r="Q1042" s="201">
        <v>0</v>
      </c>
      <c r="R1042" s="149">
        <v>0</v>
      </c>
      <c r="S1042" s="149">
        <v>0</v>
      </c>
      <c r="T1042" s="149">
        <v>0</v>
      </c>
      <c r="U1042" s="149">
        <v>0</v>
      </c>
      <c r="V1042" s="149">
        <v>0</v>
      </c>
      <c r="W1042" s="149">
        <v>0</v>
      </c>
      <c r="X1042" s="149">
        <v>0</v>
      </c>
      <c r="Y1042" s="149">
        <v>0</v>
      </c>
      <c r="Z1042" s="149">
        <v>0</v>
      </c>
      <c r="AA1042" s="149">
        <v>0</v>
      </c>
      <c r="AB1042" s="149">
        <v>0</v>
      </c>
      <c r="AC1042" s="149">
        <v>0</v>
      </c>
      <c r="AD1042" s="149">
        <v>0</v>
      </c>
      <c r="AE1042" s="149">
        <v>0</v>
      </c>
      <c r="AF1042" s="149">
        <v>0</v>
      </c>
      <c r="AG1042" s="149">
        <v>0</v>
      </c>
    </row>
    <row r="1043" spans="1:33" ht="14.25" hidden="1" customHeight="1" outlineLevel="1" x14ac:dyDescent="0.35">
      <c r="A1043" s="21"/>
      <c r="B1043" s="21"/>
      <c r="C1043" s="21"/>
      <c r="D1043" s="128" t="s">
        <v>4314</v>
      </c>
      <c r="E1043" s="128"/>
      <c r="F1043" s="21"/>
      <c r="G1043" s="21"/>
      <c r="H1043" s="21"/>
      <c r="I1043" s="22" t="s">
        <v>3921</v>
      </c>
      <c r="J1043" s="201">
        <v>0</v>
      </c>
      <c r="K1043" s="201">
        <v>0</v>
      </c>
      <c r="L1043" s="201">
        <v>0</v>
      </c>
      <c r="M1043" s="201">
        <v>0</v>
      </c>
      <c r="N1043" s="201">
        <v>0</v>
      </c>
      <c r="O1043" s="201">
        <v>0</v>
      </c>
      <c r="P1043" s="201">
        <v>0</v>
      </c>
      <c r="Q1043" s="201">
        <v>0</v>
      </c>
      <c r="R1043" s="149">
        <f t="shared" ref="R1043:AG1043" si="676">Q1046</f>
        <v>0</v>
      </c>
      <c r="S1043" s="149">
        <f t="shared" si="676"/>
        <v>0</v>
      </c>
      <c r="T1043" s="149">
        <f t="shared" si="676"/>
        <v>0</v>
      </c>
      <c r="U1043" s="149">
        <f t="shared" si="676"/>
        <v>0</v>
      </c>
      <c r="V1043" s="149">
        <f t="shared" si="676"/>
        <v>0</v>
      </c>
      <c r="W1043" s="149">
        <f t="shared" si="676"/>
        <v>0</v>
      </c>
      <c r="X1043" s="149">
        <f t="shared" si="676"/>
        <v>0</v>
      </c>
      <c r="Y1043" s="149">
        <f t="shared" si="676"/>
        <v>0</v>
      </c>
      <c r="Z1043" s="149">
        <f t="shared" si="676"/>
        <v>0</v>
      </c>
      <c r="AA1043" s="149">
        <f t="shared" si="676"/>
        <v>0</v>
      </c>
      <c r="AB1043" s="149">
        <f t="shared" si="676"/>
        <v>0</v>
      </c>
      <c r="AC1043" s="149">
        <f t="shared" si="676"/>
        <v>0</v>
      </c>
      <c r="AD1043" s="149">
        <f t="shared" si="676"/>
        <v>0</v>
      </c>
      <c r="AE1043" s="149">
        <f t="shared" si="676"/>
        <v>0</v>
      </c>
      <c r="AF1043" s="149">
        <f t="shared" si="676"/>
        <v>0</v>
      </c>
      <c r="AG1043" s="149">
        <f t="shared" si="676"/>
        <v>0</v>
      </c>
    </row>
    <row r="1044" spans="1:33" ht="14.25" hidden="1" customHeight="1" outlineLevel="1" x14ac:dyDescent="0.35">
      <c r="A1044" s="21"/>
      <c r="B1044" s="21"/>
      <c r="C1044" s="21"/>
      <c r="D1044" s="128" t="s">
        <v>4296</v>
      </c>
      <c r="E1044" s="128"/>
      <c r="F1044" s="21"/>
      <c r="G1044" s="21"/>
      <c r="H1044" s="21"/>
      <c r="I1044" s="22" t="s">
        <v>3921</v>
      </c>
      <c r="J1044" s="201">
        <v>0</v>
      </c>
      <c r="K1044" s="201">
        <v>0</v>
      </c>
      <c r="L1044" s="201">
        <v>0</v>
      </c>
      <c r="M1044" s="201">
        <v>0</v>
      </c>
      <c r="N1044" s="201">
        <v>0</v>
      </c>
      <c r="O1044" s="201">
        <v>0</v>
      </c>
      <c r="P1044" s="201">
        <v>0</v>
      </c>
      <c r="Q1044" s="201">
        <v>0</v>
      </c>
      <c r="R1044" s="149">
        <f t="shared" ref="R1044:AG1044" si="677">R1045</f>
        <v>0</v>
      </c>
      <c r="S1044" s="149">
        <f t="shared" si="677"/>
        <v>0</v>
      </c>
      <c r="T1044" s="149">
        <f t="shared" si="677"/>
        <v>0</v>
      </c>
      <c r="U1044" s="149">
        <f t="shared" si="677"/>
        <v>0</v>
      </c>
      <c r="V1044" s="149">
        <f t="shared" si="677"/>
        <v>0</v>
      </c>
      <c r="W1044" s="149">
        <f t="shared" si="677"/>
        <v>0</v>
      </c>
      <c r="X1044" s="149">
        <f t="shared" si="677"/>
        <v>0</v>
      </c>
      <c r="Y1044" s="149">
        <f t="shared" si="677"/>
        <v>0</v>
      </c>
      <c r="Z1044" s="149">
        <f t="shared" si="677"/>
        <v>0</v>
      </c>
      <c r="AA1044" s="149">
        <f t="shared" si="677"/>
        <v>0</v>
      </c>
      <c r="AB1044" s="149">
        <f t="shared" si="677"/>
        <v>0</v>
      </c>
      <c r="AC1044" s="149">
        <f t="shared" si="677"/>
        <v>0</v>
      </c>
      <c r="AD1044" s="149">
        <f t="shared" si="677"/>
        <v>0</v>
      </c>
      <c r="AE1044" s="149">
        <f t="shared" si="677"/>
        <v>0</v>
      </c>
      <c r="AF1044" s="149">
        <f t="shared" si="677"/>
        <v>0</v>
      </c>
      <c r="AG1044" s="149">
        <f t="shared" si="677"/>
        <v>0</v>
      </c>
    </row>
    <row r="1045" spans="1:33" ht="14.25" hidden="1" customHeight="1" outlineLevel="1" x14ac:dyDescent="0.35">
      <c r="A1045" s="21"/>
      <c r="B1045" s="21"/>
      <c r="C1045" s="21"/>
      <c r="D1045" s="128" t="s">
        <v>4297</v>
      </c>
      <c r="E1045" s="128"/>
      <c r="F1045" s="21"/>
      <c r="G1045" s="21"/>
      <c r="H1045" s="21"/>
      <c r="I1045" s="22" t="s">
        <v>3921</v>
      </c>
      <c r="J1045" s="201">
        <v>0</v>
      </c>
      <c r="K1045" s="201">
        <v>0</v>
      </c>
      <c r="L1045" s="201">
        <v>0</v>
      </c>
      <c r="M1045" s="201">
        <v>0</v>
      </c>
      <c r="N1045" s="201">
        <v>0</v>
      </c>
      <c r="O1045" s="201">
        <v>0</v>
      </c>
      <c r="P1045" s="201">
        <v>0</v>
      </c>
      <c r="Q1045" s="201">
        <v>0</v>
      </c>
      <c r="R1045" s="149">
        <v>0</v>
      </c>
      <c r="S1045" s="149">
        <v>0</v>
      </c>
      <c r="T1045" s="149">
        <v>0</v>
      </c>
      <c r="U1045" s="149">
        <v>0</v>
      </c>
      <c r="V1045" s="149">
        <v>0</v>
      </c>
      <c r="W1045" s="149">
        <v>0</v>
      </c>
      <c r="X1045" s="149">
        <v>0</v>
      </c>
      <c r="Y1045" s="149">
        <v>0</v>
      </c>
      <c r="Z1045" s="149">
        <v>0</v>
      </c>
      <c r="AA1045" s="149">
        <v>0</v>
      </c>
      <c r="AB1045" s="149">
        <v>0</v>
      </c>
      <c r="AC1045" s="149">
        <v>0</v>
      </c>
      <c r="AD1045" s="149">
        <v>0</v>
      </c>
      <c r="AE1045" s="149">
        <v>0</v>
      </c>
      <c r="AF1045" s="149">
        <v>0</v>
      </c>
      <c r="AG1045" s="149">
        <v>0</v>
      </c>
    </row>
    <row r="1046" spans="1:33" ht="14.25" hidden="1" customHeight="1" outlineLevel="1" x14ac:dyDescent="0.35">
      <c r="A1046" s="21"/>
      <c r="B1046" s="21"/>
      <c r="C1046" s="21"/>
      <c r="D1046" s="128" t="s">
        <v>4298</v>
      </c>
      <c r="E1046" s="128"/>
      <c r="F1046" s="21"/>
      <c r="G1046" s="21"/>
      <c r="H1046" s="21"/>
      <c r="I1046" s="22" t="s">
        <v>3921</v>
      </c>
      <c r="J1046" s="148">
        <f t="shared" ref="J1046:AG1046" si="678">J1043+J1044-J1045</f>
        <v>0</v>
      </c>
      <c r="K1046" s="148">
        <f t="shared" si="678"/>
        <v>0</v>
      </c>
      <c r="L1046" s="148">
        <f t="shared" si="678"/>
        <v>0</v>
      </c>
      <c r="M1046" s="148">
        <f t="shared" si="678"/>
        <v>0</v>
      </c>
      <c r="N1046" s="148">
        <f t="shared" si="678"/>
        <v>0</v>
      </c>
      <c r="O1046" s="148">
        <f t="shared" si="678"/>
        <v>0</v>
      </c>
      <c r="P1046" s="148">
        <f t="shared" si="678"/>
        <v>0</v>
      </c>
      <c r="Q1046" s="148">
        <f t="shared" si="678"/>
        <v>0</v>
      </c>
      <c r="R1046" s="149">
        <f t="shared" si="678"/>
        <v>0</v>
      </c>
      <c r="S1046" s="149">
        <f t="shared" si="678"/>
        <v>0</v>
      </c>
      <c r="T1046" s="149">
        <f t="shared" si="678"/>
        <v>0</v>
      </c>
      <c r="U1046" s="149">
        <f t="shared" si="678"/>
        <v>0</v>
      </c>
      <c r="V1046" s="149">
        <f t="shared" si="678"/>
        <v>0</v>
      </c>
      <c r="W1046" s="149">
        <f t="shared" si="678"/>
        <v>0</v>
      </c>
      <c r="X1046" s="149">
        <f t="shared" si="678"/>
        <v>0</v>
      </c>
      <c r="Y1046" s="149">
        <f t="shared" si="678"/>
        <v>0</v>
      </c>
      <c r="Z1046" s="149">
        <f t="shared" si="678"/>
        <v>0</v>
      </c>
      <c r="AA1046" s="149">
        <f t="shared" si="678"/>
        <v>0</v>
      </c>
      <c r="AB1046" s="149">
        <f t="shared" si="678"/>
        <v>0</v>
      </c>
      <c r="AC1046" s="149">
        <f t="shared" si="678"/>
        <v>0</v>
      </c>
      <c r="AD1046" s="149">
        <f t="shared" si="678"/>
        <v>0</v>
      </c>
      <c r="AE1046" s="149">
        <f t="shared" si="678"/>
        <v>0</v>
      </c>
      <c r="AF1046" s="149">
        <f t="shared" si="678"/>
        <v>0</v>
      </c>
      <c r="AG1046" s="149">
        <f t="shared" si="678"/>
        <v>0</v>
      </c>
    </row>
    <row r="1047" spans="1:33" ht="14.25" hidden="1" customHeight="1" outlineLevel="1" x14ac:dyDescent="0.35">
      <c r="A1047" s="21"/>
      <c r="B1047" s="21"/>
      <c r="C1047" s="21"/>
      <c r="D1047" s="128" t="s">
        <v>4299</v>
      </c>
      <c r="E1047" s="128"/>
      <c r="F1047" s="21"/>
      <c r="G1047" s="21"/>
      <c r="H1047" s="21"/>
      <c r="I1047" s="22" t="s">
        <v>3921</v>
      </c>
      <c r="J1047" s="201">
        <v>0</v>
      </c>
      <c r="K1047" s="201">
        <v>0</v>
      </c>
      <c r="L1047" s="201">
        <v>0</v>
      </c>
      <c r="M1047" s="201">
        <v>0</v>
      </c>
      <c r="N1047" s="201">
        <v>0</v>
      </c>
      <c r="O1047" s="201">
        <v>0</v>
      </c>
      <c r="P1047" s="201">
        <v>0</v>
      </c>
      <c r="Q1047" s="201">
        <v>0</v>
      </c>
      <c r="R1047" s="149">
        <v>0</v>
      </c>
      <c r="S1047" s="149">
        <v>0</v>
      </c>
      <c r="T1047" s="149">
        <v>0</v>
      </c>
      <c r="U1047" s="149">
        <v>0</v>
      </c>
      <c r="V1047" s="149">
        <v>0</v>
      </c>
      <c r="W1047" s="149">
        <v>0</v>
      </c>
      <c r="X1047" s="149">
        <v>0</v>
      </c>
      <c r="Y1047" s="149">
        <v>0</v>
      </c>
      <c r="Z1047" s="149">
        <v>0</v>
      </c>
      <c r="AA1047" s="149">
        <v>0</v>
      </c>
      <c r="AB1047" s="149">
        <v>0</v>
      </c>
      <c r="AC1047" s="149">
        <v>0</v>
      </c>
      <c r="AD1047" s="149">
        <v>0</v>
      </c>
      <c r="AE1047" s="149">
        <v>0</v>
      </c>
      <c r="AF1047" s="149">
        <v>0</v>
      </c>
      <c r="AG1047" s="149">
        <v>0</v>
      </c>
    </row>
    <row r="1048" spans="1:33" ht="14.25" hidden="1" customHeight="1" outlineLevel="1" x14ac:dyDescent="0.35">
      <c r="A1048" s="21"/>
      <c r="B1048" s="21"/>
      <c r="C1048" s="21"/>
      <c r="D1048" s="128" t="s">
        <v>4315</v>
      </c>
      <c r="E1048" s="128"/>
      <c r="F1048" s="21"/>
      <c r="G1048" s="21"/>
      <c r="H1048" s="21"/>
      <c r="I1048" s="22" t="s">
        <v>3921</v>
      </c>
      <c r="J1048" s="201">
        <v>790131.22083809401</v>
      </c>
      <c r="K1048" s="201">
        <v>468646.96313333302</v>
      </c>
      <c r="L1048" s="201">
        <v>1119855.5389854501</v>
      </c>
      <c r="M1048" s="201">
        <v>698810.631515958</v>
      </c>
      <c r="N1048" s="201">
        <v>653554.92793295102</v>
      </c>
      <c r="O1048" s="201">
        <v>1262160.62736135</v>
      </c>
      <c r="P1048" s="201">
        <v>431882.01297850499</v>
      </c>
      <c r="Q1048" s="201">
        <v>1217016.5586459299</v>
      </c>
      <c r="R1048" s="149">
        <f t="shared" ref="R1048:AG1048" si="679">Q1051</f>
        <v>349855.03985448694</v>
      </c>
      <c r="S1048" s="149">
        <f t="shared" si="679"/>
        <v>349855.03985448694</v>
      </c>
      <c r="T1048" s="149">
        <f t="shared" si="679"/>
        <v>349855.03985448694</v>
      </c>
      <c r="U1048" s="149">
        <f t="shared" si="679"/>
        <v>349855.03985448694</v>
      </c>
      <c r="V1048" s="149">
        <f t="shared" si="679"/>
        <v>349855.03985448688</v>
      </c>
      <c r="W1048" s="149">
        <f t="shared" si="679"/>
        <v>349855.03985448694</v>
      </c>
      <c r="X1048" s="149">
        <f t="shared" si="679"/>
        <v>349855.03985448688</v>
      </c>
      <c r="Y1048" s="149">
        <f t="shared" si="679"/>
        <v>349855.03985448688</v>
      </c>
      <c r="Z1048" s="149">
        <f t="shared" si="679"/>
        <v>349855.03985448688</v>
      </c>
      <c r="AA1048" s="149">
        <f t="shared" si="679"/>
        <v>349855.03985448694</v>
      </c>
      <c r="AB1048" s="149">
        <f t="shared" si="679"/>
        <v>349855.03985448688</v>
      </c>
      <c r="AC1048" s="149">
        <f t="shared" si="679"/>
        <v>349855.03985448688</v>
      </c>
      <c r="AD1048" s="149">
        <f t="shared" si="679"/>
        <v>349855.03985448694</v>
      </c>
      <c r="AE1048" s="149">
        <f t="shared" si="679"/>
        <v>349855.03985448694</v>
      </c>
      <c r="AF1048" s="149">
        <f t="shared" si="679"/>
        <v>349855.03985448694</v>
      </c>
      <c r="AG1048" s="149">
        <f t="shared" si="679"/>
        <v>349855.03985448694</v>
      </c>
    </row>
    <row r="1049" spans="1:33" ht="14.25" hidden="1" customHeight="1" outlineLevel="1" x14ac:dyDescent="0.35">
      <c r="A1049" s="21"/>
      <c r="B1049" s="21"/>
      <c r="C1049" s="21"/>
      <c r="D1049" s="128" t="s">
        <v>4296</v>
      </c>
      <c r="E1049" s="128"/>
      <c r="F1049" s="21"/>
      <c r="G1049" s="21"/>
      <c r="H1049" s="21"/>
      <c r="I1049" s="22" t="s">
        <v>3921</v>
      </c>
      <c r="J1049" s="201">
        <v>0</v>
      </c>
      <c r="K1049" s="201">
        <v>1102515.1858818301</v>
      </c>
      <c r="L1049" s="201">
        <v>-140691.184065234</v>
      </c>
      <c r="M1049" s="201">
        <v>115597.966858238</v>
      </c>
      <c r="N1049" s="201">
        <v>1241581.1977097299</v>
      </c>
      <c r="O1049" s="201">
        <v>-493087.29540638399</v>
      </c>
      <c r="P1049" s="201">
        <v>1538458.74826932</v>
      </c>
      <c r="Q1049" s="201">
        <v>-170690.749661407</v>
      </c>
      <c r="R1049" s="149">
        <f t="shared" ref="R1049:AG1049" si="680">R1050</f>
        <v>457909.60332357651</v>
      </c>
      <c r="S1049" s="149">
        <f t="shared" si="680"/>
        <v>458682.04167088086</v>
      </c>
      <c r="T1049" s="149">
        <f t="shared" si="680"/>
        <v>457733.23760700051</v>
      </c>
      <c r="U1049" s="149">
        <f t="shared" si="680"/>
        <v>458107.92379907105</v>
      </c>
      <c r="V1049" s="149">
        <f t="shared" si="680"/>
        <v>458174.06880420051</v>
      </c>
      <c r="W1049" s="149">
        <f t="shared" si="680"/>
        <v>458004.99444996339</v>
      </c>
      <c r="X1049" s="149">
        <f t="shared" si="680"/>
        <v>458095.65178621508</v>
      </c>
      <c r="Y1049" s="149">
        <f t="shared" si="680"/>
        <v>458091.56126137025</v>
      </c>
      <c r="Z1049" s="149">
        <f t="shared" si="680"/>
        <v>458064.06535020238</v>
      </c>
      <c r="AA1049" s="149">
        <f t="shared" si="680"/>
        <v>458083.759036484</v>
      </c>
      <c r="AB1049" s="149">
        <f t="shared" si="680"/>
        <v>458079.79492379614</v>
      </c>
      <c r="AC1049" s="149">
        <f t="shared" si="680"/>
        <v>458075.87294558901</v>
      </c>
      <c r="AD1049" s="149">
        <f t="shared" si="680"/>
        <v>458079.80894599552</v>
      </c>
      <c r="AE1049" s="149">
        <f t="shared" si="680"/>
        <v>458078.49226430443</v>
      </c>
      <c r="AF1049" s="149">
        <f t="shared" si="680"/>
        <v>458078.0580461215</v>
      </c>
      <c r="AG1049" s="149">
        <f t="shared" si="680"/>
        <v>458078.78641759645</v>
      </c>
    </row>
    <row r="1050" spans="1:33" ht="14.25" hidden="1" customHeight="1" outlineLevel="1" x14ac:dyDescent="0.35">
      <c r="A1050" s="21"/>
      <c r="B1050" s="21"/>
      <c r="C1050" s="21"/>
      <c r="D1050" s="128" t="s">
        <v>4297</v>
      </c>
      <c r="E1050" s="128"/>
      <c r="F1050" s="21"/>
      <c r="G1050" s="21"/>
      <c r="H1050" s="21"/>
      <c r="I1050" s="22" t="s">
        <v>3921</v>
      </c>
      <c r="J1050" s="201">
        <v>321484.25770476199</v>
      </c>
      <c r="K1050" s="201">
        <v>451306.61002971901</v>
      </c>
      <c r="L1050" s="201">
        <v>280353.723404255</v>
      </c>
      <c r="M1050" s="201">
        <v>160853.67044124499</v>
      </c>
      <c r="N1050" s="201">
        <v>632975.49828132999</v>
      </c>
      <c r="O1050" s="201">
        <v>337191.31897645799</v>
      </c>
      <c r="P1050" s="201">
        <v>753324.20260189602</v>
      </c>
      <c r="Q1050" s="201">
        <v>696470.769130036</v>
      </c>
      <c r="R1050" s="149">
        <v>457909.60332357651</v>
      </c>
      <c r="S1050" s="149">
        <v>458682.04167088086</v>
      </c>
      <c r="T1050" s="149">
        <v>457733.23760700051</v>
      </c>
      <c r="U1050" s="149">
        <v>458107.92379907105</v>
      </c>
      <c r="V1050" s="149">
        <v>458174.06880420051</v>
      </c>
      <c r="W1050" s="149">
        <v>458004.99444996339</v>
      </c>
      <c r="X1050" s="149">
        <v>458095.65178621508</v>
      </c>
      <c r="Y1050" s="149">
        <v>458091.56126137025</v>
      </c>
      <c r="Z1050" s="149">
        <v>458064.06535020238</v>
      </c>
      <c r="AA1050" s="149">
        <v>458083.759036484</v>
      </c>
      <c r="AB1050" s="149">
        <v>458079.79492379614</v>
      </c>
      <c r="AC1050" s="149">
        <v>458075.87294558901</v>
      </c>
      <c r="AD1050" s="149">
        <v>458079.80894599552</v>
      </c>
      <c r="AE1050" s="149">
        <v>458078.49226430443</v>
      </c>
      <c r="AF1050" s="149">
        <v>458078.0580461215</v>
      </c>
      <c r="AG1050" s="149">
        <v>458078.78641759645</v>
      </c>
    </row>
    <row r="1051" spans="1:33" ht="14.25" hidden="1" customHeight="1" outlineLevel="1" x14ac:dyDescent="0.35">
      <c r="A1051" s="21"/>
      <c r="B1051" s="21"/>
      <c r="C1051" s="21"/>
      <c r="D1051" s="128" t="s">
        <v>4298</v>
      </c>
      <c r="E1051" s="128"/>
      <c r="F1051" s="21"/>
      <c r="G1051" s="21"/>
      <c r="H1051" s="21"/>
      <c r="I1051" s="22" t="s">
        <v>3921</v>
      </c>
      <c r="J1051" s="148">
        <f t="shared" ref="J1051:AG1051" si="681">J1048+J1049-J1050</f>
        <v>468646.96313333203</v>
      </c>
      <c r="K1051" s="148">
        <f t="shared" si="681"/>
        <v>1119855.538985444</v>
      </c>
      <c r="L1051" s="148">
        <f t="shared" si="681"/>
        <v>698810.63151596102</v>
      </c>
      <c r="M1051" s="148">
        <f t="shared" si="681"/>
        <v>653554.92793295102</v>
      </c>
      <c r="N1051" s="148">
        <f t="shared" si="681"/>
        <v>1262160.6273613512</v>
      </c>
      <c r="O1051" s="148">
        <f t="shared" si="681"/>
        <v>431882.01297850808</v>
      </c>
      <c r="P1051" s="148">
        <f t="shared" si="681"/>
        <v>1217016.5586459287</v>
      </c>
      <c r="Q1051" s="148">
        <f t="shared" si="681"/>
        <v>349855.03985448694</v>
      </c>
      <c r="R1051" s="149">
        <f t="shared" si="681"/>
        <v>349855.03985448694</v>
      </c>
      <c r="S1051" s="149">
        <f t="shared" si="681"/>
        <v>349855.03985448694</v>
      </c>
      <c r="T1051" s="149">
        <f t="shared" si="681"/>
        <v>349855.03985448694</v>
      </c>
      <c r="U1051" s="149">
        <f t="shared" si="681"/>
        <v>349855.03985448688</v>
      </c>
      <c r="V1051" s="149">
        <f t="shared" si="681"/>
        <v>349855.03985448694</v>
      </c>
      <c r="W1051" s="149">
        <f t="shared" si="681"/>
        <v>349855.03985448688</v>
      </c>
      <c r="X1051" s="149">
        <f t="shared" si="681"/>
        <v>349855.03985448688</v>
      </c>
      <c r="Y1051" s="149">
        <f t="shared" si="681"/>
        <v>349855.03985448688</v>
      </c>
      <c r="Z1051" s="149">
        <f t="shared" si="681"/>
        <v>349855.03985448694</v>
      </c>
      <c r="AA1051" s="149">
        <f t="shared" si="681"/>
        <v>349855.03985448688</v>
      </c>
      <c r="AB1051" s="149">
        <f t="shared" si="681"/>
        <v>349855.03985448688</v>
      </c>
      <c r="AC1051" s="149">
        <f t="shared" si="681"/>
        <v>349855.03985448694</v>
      </c>
      <c r="AD1051" s="149">
        <f t="shared" si="681"/>
        <v>349855.03985448694</v>
      </c>
      <c r="AE1051" s="149">
        <f t="shared" si="681"/>
        <v>349855.03985448694</v>
      </c>
      <c r="AF1051" s="149">
        <f t="shared" si="681"/>
        <v>349855.03985448694</v>
      </c>
      <c r="AG1051" s="149">
        <f t="shared" si="681"/>
        <v>349855.039854487</v>
      </c>
    </row>
    <row r="1052" spans="1:33" ht="14.25" hidden="1" customHeight="1" outlineLevel="1" x14ac:dyDescent="0.35">
      <c r="A1052" s="21"/>
      <c r="B1052" s="21"/>
      <c r="C1052" s="21"/>
      <c r="D1052" s="128" t="s">
        <v>4299</v>
      </c>
      <c r="E1052" s="128"/>
      <c r="F1052" s="21"/>
      <c r="G1052" s="21"/>
      <c r="H1052" s="21"/>
      <c r="I1052" s="22" t="s">
        <v>3921</v>
      </c>
      <c r="J1052" s="201">
        <v>331589.84484864998</v>
      </c>
      <c r="K1052" s="201">
        <v>461721.66210912698</v>
      </c>
      <c r="L1052" s="201">
        <v>309109.17740128399</v>
      </c>
      <c r="M1052" s="201">
        <v>155365.653227676</v>
      </c>
      <c r="N1052" s="201">
        <v>579839.11591953796</v>
      </c>
      <c r="O1052" s="201">
        <v>376068.40826245397</v>
      </c>
      <c r="P1052" s="201">
        <v>679249.00237609202</v>
      </c>
      <c r="Q1052" s="201">
        <v>645035.98435462895</v>
      </c>
      <c r="R1052" s="149">
        <v>445815.16267070849</v>
      </c>
      <c r="S1052" s="149">
        <v>446567.19915336167</v>
      </c>
      <c r="T1052" s="149">
        <v>445643.45517635986</v>
      </c>
      <c r="U1052" s="149">
        <v>446008.2450485442</v>
      </c>
      <c r="V1052" s="149">
        <v>446072.64301270049</v>
      </c>
      <c r="W1052" s="149">
        <v>445908.03429912345</v>
      </c>
      <c r="X1052" s="149">
        <v>445996.297167635</v>
      </c>
      <c r="Y1052" s="149">
        <v>445992.31468291342</v>
      </c>
      <c r="Z1052" s="149">
        <v>445965.5450016901</v>
      </c>
      <c r="AA1052" s="149">
        <v>445984.71853264357</v>
      </c>
      <c r="AB1052" s="149">
        <v>445980.85912124458</v>
      </c>
      <c r="AC1052" s="149">
        <v>445977.04073145823</v>
      </c>
      <c r="AD1052" s="149">
        <v>445980.87277308555</v>
      </c>
      <c r="AE1052" s="149">
        <v>445979.59086797148</v>
      </c>
      <c r="AF1052" s="149">
        <v>445979.16811848455</v>
      </c>
      <c r="AG1052" s="149">
        <v>445979.87725200178</v>
      </c>
    </row>
    <row r="1053" spans="1:33" ht="14.25" hidden="1" customHeight="1" outlineLevel="1" x14ac:dyDescent="0.35">
      <c r="A1053" s="21"/>
      <c r="B1053" s="21"/>
      <c r="C1053" s="21"/>
      <c r="D1053" s="128" t="s">
        <v>4316</v>
      </c>
      <c r="E1053" s="128"/>
      <c r="F1053" s="21"/>
      <c r="G1053" s="21"/>
      <c r="H1053" s="21"/>
      <c r="I1053" s="22" t="s">
        <v>3921</v>
      </c>
      <c r="J1053" s="201">
        <v>0</v>
      </c>
      <c r="K1053" s="201">
        <v>0</v>
      </c>
      <c r="L1053" s="201">
        <v>0</v>
      </c>
      <c r="M1053" s="201">
        <v>0</v>
      </c>
      <c r="N1053" s="201">
        <v>0</v>
      </c>
      <c r="O1053" s="201">
        <v>0</v>
      </c>
      <c r="P1053" s="201">
        <v>0</v>
      </c>
      <c r="Q1053" s="201">
        <v>0</v>
      </c>
      <c r="R1053" s="149">
        <f t="shared" ref="R1053:AG1053" si="682">Q1056</f>
        <v>0</v>
      </c>
      <c r="S1053" s="149">
        <f t="shared" si="682"/>
        <v>0</v>
      </c>
      <c r="T1053" s="149">
        <f t="shared" si="682"/>
        <v>0</v>
      </c>
      <c r="U1053" s="149">
        <f t="shared" si="682"/>
        <v>0</v>
      </c>
      <c r="V1053" s="149">
        <f t="shared" si="682"/>
        <v>0</v>
      </c>
      <c r="W1053" s="149">
        <f t="shared" si="682"/>
        <v>0</v>
      </c>
      <c r="X1053" s="149">
        <f t="shared" si="682"/>
        <v>0</v>
      </c>
      <c r="Y1053" s="149">
        <f t="shared" si="682"/>
        <v>0</v>
      </c>
      <c r="Z1053" s="149">
        <f t="shared" si="682"/>
        <v>0</v>
      </c>
      <c r="AA1053" s="149">
        <f t="shared" si="682"/>
        <v>0</v>
      </c>
      <c r="AB1053" s="149">
        <f t="shared" si="682"/>
        <v>0</v>
      </c>
      <c r="AC1053" s="149">
        <f t="shared" si="682"/>
        <v>0</v>
      </c>
      <c r="AD1053" s="149">
        <f t="shared" si="682"/>
        <v>0</v>
      </c>
      <c r="AE1053" s="149">
        <f t="shared" si="682"/>
        <v>0</v>
      </c>
      <c r="AF1053" s="149">
        <f t="shared" si="682"/>
        <v>0</v>
      </c>
      <c r="AG1053" s="149">
        <f t="shared" si="682"/>
        <v>0</v>
      </c>
    </row>
    <row r="1054" spans="1:33" ht="14.25" hidden="1" customHeight="1" outlineLevel="1" x14ac:dyDescent="0.35">
      <c r="A1054" s="21"/>
      <c r="B1054" s="21"/>
      <c r="C1054" s="21"/>
      <c r="D1054" s="128" t="s">
        <v>4296</v>
      </c>
      <c r="E1054" s="128"/>
      <c r="F1054" s="21"/>
      <c r="G1054" s="21"/>
      <c r="H1054" s="21"/>
      <c r="I1054" s="22" t="s">
        <v>3921</v>
      </c>
      <c r="J1054" s="201">
        <v>0</v>
      </c>
      <c r="K1054" s="201">
        <v>0</v>
      </c>
      <c r="L1054" s="201">
        <v>0</v>
      </c>
      <c r="M1054" s="201">
        <v>0</v>
      </c>
      <c r="N1054" s="201">
        <v>0</v>
      </c>
      <c r="O1054" s="201">
        <v>0</v>
      </c>
      <c r="P1054" s="201">
        <v>0</v>
      </c>
      <c r="Q1054" s="201">
        <v>0</v>
      </c>
      <c r="R1054" s="149">
        <f t="shared" ref="R1054:AG1054" si="683">R1055</f>
        <v>0</v>
      </c>
      <c r="S1054" s="149">
        <f t="shared" si="683"/>
        <v>0</v>
      </c>
      <c r="T1054" s="149">
        <f t="shared" si="683"/>
        <v>0</v>
      </c>
      <c r="U1054" s="149">
        <f t="shared" si="683"/>
        <v>0</v>
      </c>
      <c r="V1054" s="149">
        <f t="shared" si="683"/>
        <v>0</v>
      </c>
      <c r="W1054" s="149">
        <f t="shared" si="683"/>
        <v>0</v>
      </c>
      <c r="X1054" s="149">
        <f t="shared" si="683"/>
        <v>0</v>
      </c>
      <c r="Y1054" s="149">
        <f t="shared" si="683"/>
        <v>0</v>
      </c>
      <c r="Z1054" s="149">
        <f t="shared" si="683"/>
        <v>0</v>
      </c>
      <c r="AA1054" s="149">
        <f t="shared" si="683"/>
        <v>0</v>
      </c>
      <c r="AB1054" s="149">
        <f t="shared" si="683"/>
        <v>0</v>
      </c>
      <c r="AC1054" s="149">
        <f t="shared" si="683"/>
        <v>0</v>
      </c>
      <c r="AD1054" s="149">
        <f t="shared" si="683"/>
        <v>0</v>
      </c>
      <c r="AE1054" s="149">
        <f t="shared" si="683"/>
        <v>0</v>
      </c>
      <c r="AF1054" s="149">
        <f t="shared" si="683"/>
        <v>0</v>
      </c>
      <c r="AG1054" s="149">
        <f t="shared" si="683"/>
        <v>0</v>
      </c>
    </row>
    <row r="1055" spans="1:33" ht="14.25" hidden="1" customHeight="1" outlineLevel="1" x14ac:dyDescent="0.35">
      <c r="A1055" s="21"/>
      <c r="B1055" s="21"/>
      <c r="C1055" s="21"/>
      <c r="D1055" s="128" t="s">
        <v>4297</v>
      </c>
      <c r="E1055" s="128"/>
      <c r="F1055" s="21"/>
      <c r="G1055" s="21"/>
      <c r="H1055" s="21"/>
      <c r="I1055" s="22" t="s">
        <v>3921</v>
      </c>
      <c r="J1055" s="201">
        <v>0</v>
      </c>
      <c r="K1055" s="201">
        <v>0</v>
      </c>
      <c r="L1055" s="201">
        <v>0</v>
      </c>
      <c r="M1055" s="201">
        <v>0</v>
      </c>
      <c r="N1055" s="201">
        <v>0</v>
      </c>
      <c r="O1055" s="201">
        <v>0</v>
      </c>
      <c r="P1055" s="201">
        <v>0</v>
      </c>
      <c r="Q1055" s="201">
        <v>0</v>
      </c>
      <c r="R1055" s="149">
        <v>0</v>
      </c>
      <c r="S1055" s="149">
        <v>0</v>
      </c>
      <c r="T1055" s="149">
        <v>0</v>
      </c>
      <c r="U1055" s="149">
        <v>0</v>
      </c>
      <c r="V1055" s="149">
        <v>0</v>
      </c>
      <c r="W1055" s="149">
        <v>0</v>
      </c>
      <c r="X1055" s="149">
        <v>0</v>
      </c>
      <c r="Y1055" s="149">
        <v>0</v>
      </c>
      <c r="Z1055" s="149">
        <v>0</v>
      </c>
      <c r="AA1055" s="149">
        <v>0</v>
      </c>
      <c r="AB1055" s="149">
        <v>0</v>
      </c>
      <c r="AC1055" s="149">
        <v>0</v>
      </c>
      <c r="AD1055" s="149">
        <v>0</v>
      </c>
      <c r="AE1055" s="149">
        <v>0</v>
      </c>
      <c r="AF1055" s="149">
        <v>0</v>
      </c>
      <c r="AG1055" s="149">
        <v>0</v>
      </c>
    </row>
    <row r="1056" spans="1:33" ht="14.25" hidden="1" customHeight="1" outlineLevel="1" x14ac:dyDescent="0.35">
      <c r="A1056" s="21"/>
      <c r="B1056" s="21"/>
      <c r="C1056" s="21"/>
      <c r="D1056" s="128" t="s">
        <v>4298</v>
      </c>
      <c r="E1056" s="128"/>
      <c r="F1056" s="21"/>
      <c r="G1056" s="21"/>
      <c r="H1056" s="21"/>
      <c r="I1056" s="22" t="s">
        <v>3921</v>
      </c>
      <c r="J1056" s="148">
        <f t="shared" ref="J1056:AG1056" si="684">J1053+J1054-J1055</f>
        <v>0</v>
      </c>
      <c r="K1056" s="148">
        <f t="shared" si="684"/>
        <v>0</v>
      </c>
      <c r="L1056" s="148">
        <f t="shared" si="684"/>
        <v>0</v>
      </c>
      <c r="M1056" s="148">
        <f t="shared" si="684"/>
        <v>0</v>
      </c>
      <c r="N1056" s="148">
        <f t="shared" si="684"/>
        <v>0</v>
      </c>
      <c r="O1056" s="148">
        <f t="shared" si="684"/>
        <v>0</v>
      </c>
      <c r="P1056" s="148">
        <f t="shared" si="684"/>
        <v>0</v>
      </c>
      <c r="Q1056" s="148">
        <f t="shared" si="684"/>
        <v>0</v>
      </c>
      <c r="R1056" s="149">
        <f t="shared" si="684"/>
        <v>0</v>
      </c>
      <c r="S1056" s="149">
        <f t="shared" si="684"/>
        <v>0</v>
      </c>
      <c r="T1056" s="149">
        <f t="shared" si="684"/>
        <v>0</v>
      </c>
      <c r="U1056" s="149">
        <f t="shared" si="684"/>
        <v>0</v>
      </c>
      <c r="V1056" s="149">
        <f t="shared" si="684"/>
        <v>0</v>
      </c>
      <c r="W1056" s="149">
        <f t="shared" si="684"/>
        <v>0</v>
      </c>
      <c r="X1056" s="149">
        <f t="shared" si="684"/>
        <v>0</v>
      </c>
      <c r="Y1056" s="149">
        <f t="shared" si="684"/>
        <v>0</v>
      </c>
      <c r="Z1056" s="149">
        <f t="shared" si="684"/>
        <v>0</v>
      </c>
      <c r="AA1056" s="149">
        <f t="shared" si="684"/>
        <v>0</v>
      </c>
      <c r="AB1056" s="149">
        <f t="shared" si="684"/>
        <v>0</v>
      </c>
      <c r="AC1056" s="149">
        <f t="shared" si="684"/>
        <v>0</v>
      </c>
      <c r="AD1056" s="149">
        <f t="shared" si="684"/>
        <v>0</v>
      </c>
      <c r="AE1056" s="149">
        <f t="shared" si="684"/>
        <v>0</v>
      </c>
      <c r="AF1056" s="149">
        <f t="shared" si="684"/>
        <v>0</v>
      </c>
      <c r="AG1056" s="149">
        <f t="shared" si="684"/>
        <v>0</v>
      </c>
    </row>
    <row r="1057" spans="1:33" ht="14.25" hidden="1" customHeight="1" outlineLevel="1" x14ac:dyDescent="0.35">
      <c r="A1057" s="21"/>
      <c r="B1057" s="21"/>
      <c r="C1057" s="21"/>
      <c r="D1057" s="128" t="s">
        <v>4299</v>
      </c>
      <c r="E1057" s="128"/>
      <c r="F1057" s="21"/>
      <c r="G1057" s="21"/>
      <c r="H1057" s="21"/>
      <c r="I1057" s="22" t="s">
        <v>3921</v>
      </c>
      <c r="J1057" s="201">
        <v>0</v>
      </c>
      <c r="K1057" s="201">
        <v>0</v>
      </c>
      <c r="L1057" s="201">
        <v>0</v>
      </c>
      <c r="M1057" s="201">
        <v>0</v>
      </c>
      <c r="N1057" s="201">
        <v>0</v>
      </c>
      <c r="O1057" s="201">
        <v>0</v>
      </c>
      <c r="P1057" s="201">
        <v>0</v>
      </c>
      <c r="Q1057" s="201">
        <v>0</v>
      </c>
      <c r="R1057" s="149">
        <v>0</v>
      </c>
      <c r="S1057" s="149">
        <v>0</v>
      </c>
      <c r="T1057" s="149">
        <v>0</v>
      </c>
      <c r="U1057" s="149">
        <v>0</v>
      </c>
      <c r="V1057" s="149">
        <v>0</v>
      </c>
      <c r="W1057" s="149">
        <v>0</v>
      </c>
      <c r="X1057" s="149">
        <v>0</v>
      </c>
      <c r="Y1057" s="149">
        <v>0</v>
      </c>
      <c r="Z1057" s="149">
        <v>0</v>
      </c>
      <c r="AA1057" s="149">
        <v>0</v>
      </c>
      <c r="AB1057" s="149">
        <v>0</v>
      </c>
      <c r="AC1057" s="149">
        <v>0</v>
      </c>
      <c r="AD1057" s="149">
        <v>0</v>
      </c>
      <c r="AE1057" s="149">
        <v>0</v>
      </c>
      <c r="AF1057" s="149">
        <v>0</v>
      </c>
      <c r="AG1057" s="149">
        <v>0</v>
      </c>
    </row>
    <row r="1058" spans="1:33" ht="14.25" hidden="1" customHeight="1" outlineLevel="1" x14ac:dyDescent="0.35">
      <c r="A1058" s="21"/>
      <c r="B1058" s="21"/>
      <c r="C1058" s="21"/>
      <c r="D1058" s="128" t="s">
        <v>4317</v>
      </c>
      <c r="E1058" s="128"/>
      <c r="F1058" s="21"/>
      <c r="G1058" s="21"/>
      <c r="H1058" s="21"/>
      <c r="I1058" s="22" t="s">
        <v>3921</v>
      </c>
      <c r="J1058" s="201">
        <v>0</v>
      </c>
      <c r="K1058" s="201">
        <v>0</v>
      </c>
      <c r="L1058" s="201">
        <v>0</v>
      </c>
      <c r="M1058" s="201">
        <v>134546.13118468001</v>
      </c>
      <c r="N1058" s="201">
        <v>0</v>
      </c>
      <c r="O1058" s="201">
        <v>0</v>
      </c>
      <c r="P1058" s="201">
        <v>0</v>
      </c>
      <c r="Q1058" s="201">
        <v>0</v>
      </c>
      <c r="R1058" s="149">
        <f t="shared" ref="R1058:AG1058" si="685">Q1061</f>
        <v>104746.13530325401</v>
      </c>
      <c r="S1058" s="149">
        <f t="shared" si="685"/>
        <v>104746.13530325401</v>
      </c>
      <c r="T1058" s="149">
        <f t="shared" si="685"/>
        <v>104746.13530325401</v>
      </c>
      <c r="U1058" s="149">
        <f t="shared" si="685"/>
        <v>104746.13530325401</v>
      </c>
      <c r="V1058" s="149">
        <f t="shared" si="685"/>
        <v>104746.13530325401</v>
      </c>
      <c r="W1058" s="149">
        <f t="shared" si="685"/>
        <v>104746.13530325401</v>
      </c>
      <c r="X1058" s="149">
        <f t="shared" si="685"/>
        <v>104746.13530325401</v>
      </c>
      <c r="Y1058" s="149">
        <f t="shared" si="685"/>
        <v>104746.13530325401</v>
      </c>
      <c r="Z1058" s="149">
        <f t="shared" si="685"/>
        <v>104746.13530325401</v>
      </c>
      <c r="AA1058" s="149">
        <f t="shared" si="685"/>
        <v>104746.13530325401</v>
      </c>
      <c r="AB1058" s="149">
        <f t="shared" si="685"/>
        <v>104746.13530325401</v>
      </c>
      <c r="AC1058" s="149">
        <f t="shared" si="685"/>
        <v>104746.13530325401</v>
      </c>
      <c r="AD1058" s="149">
        <f t="shared" si="685"/>
        <v>104746.13530325401</v>
      </c>
      <c r="AE1058" s="149">
        <f t="shared" si="685"/>
        <v>104746.13530325401</v>
      </c>
      <c r="AF1058" s="149">
        <f t="shared" si="685"/>
        <v>104746.13530325401</v>
      </c>
      <c r="AG1058" s="149">
        <f t="shared" si="685"/>
        <v>104746.13530325401</v>
      </c>
    </row>
    <row r="1059" spans="1:33" ht="14.25" hidden="1" customHeight="1" outlineLevel="1" x14ac:dyDescent="0.35">
      <c r="A1059" s="21"/>
      <c r="B1059" s="21"/>
      <c r="C1059" s="21"/>
      <c r="D1059" s="128" t="s">
        <v>4296</v>
      </c>
      <c r="E1059" s="128"/>
      <c r="F1059" s="21"/>
      <c r="G1059" s="21"/>
      <c r="H1059" s="21"/>
      <c r="I1059" s="22" t="s">
        <v>3921</v>
      </c>
      <c r="J1059" s="201">
        <v>0</v>
      </c>
      <c r="K1059" s="201">
        <v>0</v>
      </c>
      <c r="L1059" s="201">
        <v>134546.13118468001</v>
      </c>
      <c r="M1059" s="201">
        <v>-134546.13118468001</v>
      </c>
      <c r="N1059" s="201">
        <v>0</v>
      </c>
      <c r="O1059" s="201">
        <v>0</v>
      </c>
      <c r="P1059" s="201">
        <v>0</v>
      </c>
      <c r="Q1059" s="201">
        <v>104746.13530325401</v>
      </c>
      <c r="R1059" s="149">
        <f t="shared" ref="R1059:AG1059" si="686">R1060</f>
        <v>0</v>
      </c>
      <c r="S1059" s="149">
        <f t="shared" si="686"/>
        <v>0</v>
      </c>
      <c r="T1059" s="149">
        <f t="shared" si="686"/>
        <v>0</v>
      </c>
      <c r="U1059" s="149">
        <f t="shared" si="686"/>
        <v>0</v>
      </c>
      <c r="V1059" s="149">
        <f t="shared" si="686"/>
        <v>0</v>
      </c>
      <c r="W1059" s="149">
        <f t="shared" si="686"/>
        <v>0</v>
      </c>
      <c r="X1059" s="149">
        <f t="shared" si="686"/>
        <v>0</v>
      </c>
      <c r="Y1059" s="149">
        <f t="shared" si="686"/>
        <v>0</v>
      </c>
      <c r="Z1059" s="149">
        <f t="shared" si="686"/>
        <v>0</v>
      </c>
      <c r="AA1059" s="149">
        <f t="shared" si="686"/>
        <v>0</v>
      </c>
      <c r="AB1059" s="149">
        <f t="shared" si="686"/>
        <v>0</v>
      </c>
      <c r="AC1059" s="149">
        <f t="shared" si="686"/>
        <v>0</v>
      </c>
      <c r="AD1059" s="149">
        <f t="shared" si="686"/>
        <v>0</v>
      </c>
      <c r="AE1059" s="149">
        <f t="shared" si="686"/>
        <v>0</v>
      </c>
      <c r="AF1059" s="149">
        <f t="shared" si="686"/>
        <v>0</v>
      </c>
      <c r="AG1059" s="149">
        <f t="shared" si="686"/>
        <v>0</v>
      </c>
    </row>
    <row r="1060" spans="1:33" ht="14.25" hidden="1" customHeight="1" outlineLevel="1" x14ac:dyDescent="0.35">
      <c r="A1060" s="21"/>
      <c r="B1060" s="21"/>
      <c r="C1060" s="21"/>
      <c r="D1060" s="128" t="s">
        <v>4297</v>
      </c>
      <c r="E1060" s="128"/>
      <c r="F1060" s="21"/>
      <c r="G1060" s="21"/>
      <c r="H1060" s="21"/>
      <c r="I1060" s="22" t="s">
        <v>3921</v>
      </c>
      <c r="J1060" s="201">
        <v>0</v>
      </c>
      <c r="K1060" s="201">
        <v>0</v>
      </c>
      <c r="L1060" s="201">
        <v>0</v>
      </c>
      <c r="M1060" s="201">
        <v>0</v>
      </c>
      <c r="N1060" s="201">
        <v>0</v>
      </c>
      <c r="O1060" s="201">
        <v>0</v>
      </c>
      <c r="P1060" s="201">
        <v>0</v>
      </c>
      <c r="Q1060" s="201">
        <v>0</v>
      </c>
      <c r="R1060" s="149">
        <v>0</v>
      </c>
      <c r="S1060" s="149">
        <v>0</v>
      </c>
      <c r="T1060" s="149">
        <v>0</v>
      </c>
      <c r="U1060" s="149">
        <v>0</v>
      </c>
      <c r="V1060" s="149">
        <v>0</v>
      </c>
      <c r="W1060" s="149">
        <v>0</v>
      </c>
      <c r="X1060" s="149">
        <v>0</v>
      </c>
      <c r="Y1060" s="149">
        <v>0</v>
      </c>
      <c r="Z1060" s="149">
        <v>0</v>
      </c>
      <c r="AA1060" s="149">
        <v>0</v>
      </c>
      <c r="AB1060" s="149">
        <v>0</v>
      </c>
      <c r="AC1060" s="149">
        <v>0</v>
      </c>
      <c r="AD1060" s="149">
        <v>0</v>
      </c>
      <c r="AE1060" s="149">
        <v>0</v>
      </c>
      <c r="AF1060" s="149">
        <v>0</v>
      </c>
      <c r="AG1060" s="149">
        <v>0</v>
      </c>
    </row>
    <row r="1061" spans="1:33" ht="14.25" hidden="1" customHeight="1" outlineLevel="1" x14ac:dyDescent="0.35">
      <c r="A1061" s="21"/>
      <c r="B1061" s="21"/>
      <c r="C1061" s="21"/>
      <c r="D1061" s="128" t="s">
        <v>4298</v>
      </c>
      <c r="E1061" s="128"/>
      <c r="F1061" s="21"/>
      <c r="G1061" s="21"/>
      <c r="H1061" s="21"/>
      <c r="I1061" s="22" t="s">
        <v>3921</v>
      </c>
      <c r="J1061" s="148">
        <f t="shared" ref="J1061:AG1061" si="687">J1058+J1059-J1060</f>
        <v>0</v>
      </c>
      <c r="K1061" s="148">
        <f t="shared" si="687"/>
        <v>0</v>
      </c>
      <c r="L1061" s="148">
        <f t="shared" si="687"/>
        <v>134546.13118468001</v>
      </c>
      <c r="M1061" s="148">
        <f t="shared" si="687"/>
        <v>0</v>
      </c>
      <c r="N1061" s="148">
        <f t="shared" si="687"/>
        <v>0</v>
      </c>
      <c r="O1061" s="148">
        <f t="shared" si="687"/>
        <v>0</v>
      </c>
      <c r="P1061" s="148">
        <f t="shared" si="687"/>
        <v>0</v>
      </c>
      <c r="Q1061" s="148">
        <f t="shared" si="687"/>
        <v>104746.13530325401</v>
      </c>
      <c r="R1061" s="149">
        <f t="shared" si="687"/>
        <v>104746.13530325401</v>
      </c>
      <c r="S1061" s="149">
        <f t="shared" si="687"/>
        <v>104746.13530325401</v>
      </c>
      <c r="T1061" s="149">
        <f t="shared" si="687"/>
        <v>104746.13530325401</v>
      </c>
      <c r="U1061" s="149">
        <f t="shared" si="687"/>
        <v>104746.13530325401</v>
      </c>
      <c r="V1061" s="149">
        <f t="shared" si="687"/>
        <v>104746.13530325401</v>
      </c>
      <c r="W1061" s="149">
        <f t="shared" si="687"/>
        <v>104746.13530325401</v>
      </c>
      <c r="X1061" s="149">
        <f t="shared" si="687"/>
        <v>104746.13530325401</v>
      </c>
      <c r="Y1061" s="149">
        <f t="shared" si="687"/>
        <v>104746.13530325401</v>
      </c>
      <c r="Z1061" s="149">
        <f t="shared" si="687"/>
        <v>104746.13530325401</v>
      </c>
      <c r="AA1061" s="149">
        <f t="shared" si="687"/>
        <v>104746.13530325401</v>
      </c>
      <c r="AB1061" s="149">
        <f t="shared" si="687"/>
        <v>104746.13530325401</v>
      </c>
      <c r="AC1061" s="149">
        <f t="shared" si="687"/>
        <v>104746.13530325401</v>
      </c>
      <c r="AD1061" s="149">
        <f t="shared" si="687"/>
        <v>104746.13530325401</v>
      </c>
      <c r="AE1061" s="149">
        <f t="shared" si="687"/>
        <v>104746.13530325401</v>
      </c>
      <c r="AF1061" s="149">
        <f t="shared" si="687"/>
        <v>104746.13530325401</v>
      </c>
      <c r="AG1061" s="149">
        <f t="shared" si="687"/>
        <v>104746.13530325401</v>
      </c>
    </row>
    <row r="1062" spans="1:33" ht="14.25" hidden="1" customHeight="1" outlineLevel="1" x14ac:dyDescent="0.35">
      <c r="A1062" s="21"/>
      <c r="B1062" s="21"/>
      <c r="C1062" s="21"/>
      <c r="D1062" s="128" t="s">
        <v>4299</v>
      </c>
      <c r="E1062" s="128"/>
      <c r="F1062" s="21"/>
      <c r="G1062" s="21"/>
      <c r="H1062" s="21"/>
      <c r="I1062" s="22" t="s">
        <v>3921</v>
      </c>
      <c r="J1062" s="201">
        <v>0</v>
      </c>
      <c r="K1062" s="201">
        <v>0</v>
      </c>
      <c r="L1062" s="201">
        <v>0</v>
      </c>
      <c r="M1062" s="201">
        <v>0</v>
      </c>
      <c r="N1062" s="201">
        <v>0</v>
      </c>
      <c r="O1062" s="201">
        <v>0</v>
      </c>
      <c r="P1062" s="201">
        <v>0</v>
      </c>
      <c r="Q1062" s="201">
        <v>0</v>
      </c>
      <c r="R1062" s="149">
        <v>0</v>
      </c>
      <c r="S1062" s="149">
        <v>0</v>
      </c>
      <c r="T1062" s="149">
        <v>0</v>
      </c>
      <c r="U1062" s="149">
        <v>0</v>
      </c>
      <c r="V1062" s="149">
        <v>0</v>
      </c>
      <c r="W1062" s="149">
        <v>0</v>
      </c>
      <c r="X1062" s="149">
        <v>0</v>
      </c>
      <c r="Y1062" s="149">
        <v>0</v>
      </c>
      <c r="Z1062" s="149">
        <v>0</v>
      </c>
      <c r="AA1062" s="149">
        <v>0</v>
      </c>
      <c r="AB1062" s="149">
        <v>0</v>
      </c>
      <c r="AC1062" s="149">
        <v>0</v>
      </c>
      <c r="AD1062" s="149">
        <v>0</v>
      </c>
      <c r="AE1062" s="149">
        <v>0</v>
      </c>
      <c r="AF1062" s="149">
        <v>0</v>
      </c>
      <c r="AG1062" s="149">
        <v>0</v>
      </c>
    </row>
    <row r="1063" spans="1:33" ht="14.25" hidden="1" customHeight="1" outlineLevel="1" x14ac:dyDescent="0.35">
      <c r="A1063" s="21"/>
      <c r="B1063" s="21"/>
      <c r="C1063" s="21"/>
      <c r="D1063" s="128" t="s">
        <v>4318</v>
      </c>
      <c r="E1063" s="128"/>
      <c r="F1063" s="21"/>
      <c r="G1063" s="21"/>
      <c r="H1063" s="21"/>
      <c r="I1063" s="22" t="s">
        <v>3921</v>
      </c>
      <c r="J1063" s="201">
        <v>3078931.87</v>
      </c>
      <c r="K1063" s="201">
        <v>5115528.66</v>
      </c>
      <c r="L1063" s="201">
        <v>3324462.46</v>
      </c>
      <c r="M1063" s="201">
        <v>4724144.82</v>
      </c>
      <c r="N1063" s="201">
        <v>3794303.6</v>
      </c>
      <c r="O1063" s="201">
        <v>10718345.470000001</v>
      </c>
      <c r="P1063" s="201">
        <v>8970970.3699999992</v>
      </c>
      <c r="Q1063" s="201">
        <v>10303373.220000001</v>
      </c>
      <c r="R1063" s="149">
        <f t="shared" ref="R1063:AG1063" si="688">Q1066</f>
        <v>13224967.73</v>
      </c>
      <c r="S1063" s="149">
        <f t="shared" si="688"/>
        <v>13224967.73</v>
      </c>
      <c r="T1063" s="149">
        <f t="shared" si="688"/>
        <v>13224967.73</v>
      </c>
      <c r="U1063" s="149">
        <f t="shared" si="688"/>
        <v>13224967.73</v>
      </c>
      <c r="V1063" s="149">
        <f t="shared" si="688"/>
        <v>13224967.73</v>
      </c>
      <c r="W1063" s="149">
        <f t="shared" si="688"/>
        <v>13224967.73</v>
      </c>
      <c r="X1063" s="149">
        <f t="shared" si="688"/>
        <v>13224967.73</v>
      </c>
      <c r="Y1063" s="149">
        <f t="shared" si="688"/>
        <v>13224967.73</v>
      </c>
      <c r="Z1063" s="149">
        <f t="shared" si="688"/>
        <v>13224967.73</v>
      </c>
      <c r="AA1063" s="149">
        <f t="shared" si="688"/>
        <v>13224967.73</v>
      </c>
      <c r="AB1063" s="149">
        <f t="shared" si="688"/>
        <v>13224967.73</v>
      </c>
      <c r="AC1063" s="149">
        <f t="shared" si="688"/>
        <v>13224967.73</v>
      </c>
      <c r="AD1063" s="149">
        <f t="shared" si="688"/>
        <v>13224967.73</v>
      </c>
      <c r="AE1063" s="149">
        <f t="shared" si="688"/>
        <v>13224967.73</v>
      </c>
      <c r="AF1063" s="149">
        <f t="shared" si="688"/>
        <v>13224967.73</v>
      </c>
      <c r="AG1063" s="149">
        <f t="shared" si="688"/>
        <v>13224967.73</v>
      </c>
    </row>
    <row r="1064" spans="1:33" ht="14.25" hidden="1" customHeight="1" outlineLevel="1" x14ac:dyDescent="0.35">
      <c r="A1064" s="21"/>
      <c r="B1064" s="21"/>
      <c r="C1064" s="21"/>
      <c r="D1064" s="128" t="s">
        <v>4296</v>
      </c>
      <c r="E1064" s="128"/>
      <c r="F1064" s="21"/>
      <c r="G1064" s="21"/>
      <c r="H1064" s="21"/>
      <c r="I1064" s="22" t="s">
        <v>3921</v>
      </c>
      <c r="J1064" s="201">
        <v>3045000</v>
      </c>
      <c r="K1064" s="201">
        <v>-2.3283064365386999E-10</v>
      </c>
      <c r="L1064" s="201">
        <v>2624999.46</v>
      </c>
      <c r="M1064" s="201">
        <v>2.3283064365386999E-10</v>
      </c>
      <c r="N1064" s="201">
        <v>9143750</v>
      </c>
      <c r="O1064" s="201">
        <v>4.65661287307739E-10</v>
      </c>
      <c r="P1064" s="201">
        <v>3881300</v>
      </c>
      <c r="Q1064" s="201">
        <v>4200000</v>
      </c>
      <c r="R1064" s="149">
        <f t="shared" ref="R1064:AG1064" si="689">R1065</f>
        <v>1606483.1971467792</v>
      </c>
      <c r="S1064" s="149">
        <f t="shared" si="689"/>
        <v>1609193.140805461</v>
      </c>
      <c r="T1064" s="149">
        <f t="shared" si="689"/>
        <v>1605864.4537131938</v>
      </c>
      <c r="U1064" s="149">
        <f t="shared" si="689"/>
        <v>1607178.9644100545</v>
      </c>
      <c r="V1064" s="149">
        <f t="shared" si="689"/>
        <v>1607411.0207778278</v>
      </c>
      <c r="W1064" s="149">
        <f t="shared" si="689"/>
        <v>1606817.8576137905</v>
      </c>
      <c r="X1064" s="149">
        <f t="shared" si="689"/>
        <v>1607135.9105358724</v>
      </c>
      <c r="Y1064" s="149">
        <f t="shared" si="689"/>
        <v>1607121.559757066</v>
      </c>
      <c r="Z1064" s="149">
        <f t="shared" si="689"/>
        <v>1607025.095915817</v>
      </c>
      <c r="AA1064" s="149">
        <f t="shared" si="689"/>
        <v>1607094.1872296301</v>
      </c>
      <c r="AB1064" s="149">
        <f t="shared" si="689"/>
        <v>1607080.2799422999</v>
      </c>
      <c r="AC1064" s="149">
        <f t="shared" si="689"/>
        <v>1607066.5204752707</v>
      </c>
      <c r="AD1064" s="149">
        <f t="shared" si="689"/>
        <v>1607080.3291363493</v>
      </c>
      <c r="AE1064" s="149">
        <f t="shared" si="689"/>
        <v>1607075.7098250326</v>
      </c>
      <c r="AF1064" s="149">
        <f t="shared" si="689"/>
        <v>1607074.1864583907</v>
      </c>
      <c r="AG1064" s="149">
        <f t="shared" si="689"/>
        <v>1607076.7418023432</v>
      </c>
    </row>
    <row r="1065" spans="1:33" ht="14.25" hidden="1" customHeight="1" outlineLevel="1" x14ac:dyDescent="0.35">
      <c r="A1065" s="21"/>
      <c r="B1065" s="21"/>
      <c r="C1065" s="21"/>
      <c r="D1065" s="128" t="s">
        <v>4297</v>
      </c>
      <c r="E1065" s="128"/>
      <c r="F1065" s="21"/>
      <c r="G1065" s="21"/>
      <c r="H1065" s="21"/>
      <c r="I1065" s="22" t="s">
        <v>3921</v>
      </c>
      <c r="J1065" s="201">
        <v>1008403.21</v>
      </c>
      <c r="K1065" s="201">
        <v>1791066.2</v>
      </c>
      <c r="L1065" s="201">
        <v>1225317.1000000001</v>
      </c>
      <c r="M1065" s="201">
        <v>929841.22</v>
      </c>
      <c r="N1065" s="201">
        <v>2219708.13</v>
      </c>
      <c r="O1065" s="201">
        <v>1747375.1</v>
      </c>
      <c r="P1065" s="201">
        <v>2548897.15</v>
      </c>
      <c r="Q1065" s="201">
        <v>1278405.49</v>
      </c>
      <c r="R1065" s="149">
        <v>1606483.1971467792</v>
      </c>
      <c r="S1065" s="149">
        <v>1609193.140805461</v>
      </c>
      <c r="T1065" s="149">
        <v>1605864.4537131938</v>
      </c>
      <c r="U1065" s="149">
        <v>1607178.9644100545</v>
      </c>
      <c r="V1065" s="149">
        <v>1607411.0207778278</v>
      </c>
      <c r="W1065" s="149">
        <v>1606817.8576137905</v>
      </c>
      <c r="X1065" s="149">
        <v>1607135.9105358724</v>
      </c>
      <c r="Y1065" s="149">
        <v>1607121.559757066</v>
      </c>
      <c r="Z1065" s="149">
        <v>1607025.095915817</v>
      </c>
      <c r="AA1065" s="149">
        <v>1607094.1872296301</v>
      </c>
      <c r="AB1065" s="149">
        <v>1607080.2799422999</v>
      </c>
      <c r="AC1065" s="149">
        <v>1607066.5204752707</v>
      </c>
      <c r="AD1065" s="149">
        <v>1607080.3291363493</v>
      </c>
      <c r="AE1065" s="149">
        <v>1607075.7098250326</v>
      </c>
      <c r="AF1065" s="149">
        <v>1607074.1864583907</v>
      </c>
      <c r="AG1065" s="149">
        <v>1607076.7418023432</v>
      </c>
    </row>
    <row r="1066" spans="1:33" ht="14.25" hidden="1" customHeight="1" outlineLevel="1" x14ac:dyDescent="0.35">
      <c r="A1066" s="21"/>
      <c r="B1066" s="21"/>
      <c r="C1066" s="21"/>
      <c r="D1066" s="128" t="s">
        <v>4298</v>
      </c>
      <c r="E1066" s="128"/>
      <c r="F1066" s="21"/>
      <c r="G1066" s="21"/>
      <c r="H1066" s="21"/>
      <c r="I1066" s="22" t="s">
        <v>3921</v>
      </c>
      <c r="J1066" s="148">
        <f t="shared" ref="J1066:AG1066" si="690">J1063+J1064-J1065</f>
        <v>5115528.66</v>
      </c>
      <c r="K1066" s="148">
        <f t="shared" si="690"/>
        <v>3324462.46</v>
      </c>
      <c r="L1066" s="148">
        <f t="shared" si="690"/>
        <v>4724144.82</v>
      </c>
      <c r="M1066" s="148">
        <f t="shared" si="690"/>
        <v>3794303.6000000006</v>
      </c>
      <c r="N1066" s="148">
        <f t="shared" si="690"/>
        <v>10718345.469999999</v>
      </c>
      <c r="O1066" s="148">
        <f t="shared" si="690"/>
        <v>8970970.370000001</v>
      </c>
      <c r="P1066" s="148">
        <f t="shared" si="690"/>
        <v>10303373.219999999</v>
      </c>
      <c r="Q1066" s="148">
        <f t="shared" si="690"/>
        <v>13224967.73</v>
      </c>
      <c r="R1066" s="149">
        <f t="shared" si="690"/>
        <v>13224967.73</v>
      </c>
      <c r="S1066" s="149">
        <f t="shared" si="690"/>
        <v>13224967.73</v>
      </c>
      <c r="T1066" s="149">
        <f t="shared" si="690"/>
        <v>13224967.73</v>
      </c>
      <c r="U1066" s="149">
        <f t="shared" si="690"/>
        <v>13224967.73</v>
      </c>
      <c r="V1066" s="149">
        <f t="shared" si="690"/>
        <v>13224967.73</v>
      </c>
      <c r="W1066" s="149">
        <f t="shared" si="690"/>
        <v>13224967.73</v>
      </c>
      <c r="X1066" s="149">
        <f t="shared" si="690"/>
        <v>13224967.73</v>
      </c>
      <c r="Y1066" s="149">
        <f t="shared" si="690"/>
        <v>13224967.73</v>
      </c>
      <c r="Z1066" s="149">
        <f t="shared" si="690"/>
        <v>13224967.73</v>
      </c>
      <c r="AA1066" s="149">
        <f t="shared" si="690"/>
        <v>13224967.73</v>
      </c>
      <c r="AB1066" s="149">
        <f t="shared" si="690"/>
        <v>13224967.73</v>
      </c>
      <c r="AC1066" s="149">
        <f t="shared" si="690"/>
        <v>13224967.73</v>
      </c>
      <c r="AD1066" s="149">
        <f t="shared" si="690"/>
        <v>13224967.73</v>
      </c>
      <c r="AE1066" s="149">
        <f t="shared" si="690"/>
        <v>13224967.73</v>
      </c>
      <c r="AF1066" s="149">
        <f t="shared" si="690"/>
        <v>13224967.73</v>
      </c>
      <c r="AG1066" s="149">
        <f t="shared" si="690"/>
        <v>13224967.73</v>
      </c>
    </row>
    <row r="1067" spans="1:33" ht="14.25" hidden="1" customHeight="1" outlineLevel="1" x14ac:dyDescent="0.35">
      <c r="A1067" s="21"/>
      <c r="B1067" s="21"/>
      <c r="C1067" s="21"/>
      <c r="D1067" s="128" t="s">
        <v>4299</v>
      </c>
      <c r="E1067" s="128"/>
      <c r="F1067" s="21"/>
      <c r="G1067" s="21"/>
      <c r="H1067" s="21"/>
      <c r="I1067" s="22" t="s">
        <v>3921</v>
      </c>
      <c r="J1067" s="201">
        <v>1108038.5524373001</v>
      </c>
      <c r="K1067" s="201">
        <v>1809705.63038276</v>
      </c>
      <c r="L1067" s="201">
        <v>1300968.4183169601</v>
      </c>
      <c r="M1067" s="201">
        <v>304481.95183261001</v>
      </c>
      <c r="N1067" s="201">
        <v>1787044.56274941</v>
      </c>
      <c r="O1067" s="201">
        <v>1488399.45263601</v>
      </c>
      <c r="P1067" s="201">
        <v>1910351.51374667</v>
      </c>
      <c r="Q1067" s="201">
        <v>1337103.7210303701</v>
      </c>
      <c r="R1067" s="149">
        <v>1391900.9458770098</v>
      </c>
      <c r="S1067" s="149">
        <v>1394248.9151234308</v>
      </c>
      <c r="T1067" s="149">
        <v>1391364.8496564005</v>
      </c>
      <c r="U1067" s="149">
        <v>1392503.7776486606</v>
      </c>
      <c r="V1067" s="149">
        <v>1392704.8376276097</v>
      </c>
      <c r="W1067" s="149">
        <v>1392190.9048516247</v>
      </c>
      <c r="X1067" s="149">
        <v>1392466.4745954422</v>
      </c>
      <c r="Y1067" s="149">
        <v>1392454.0406884893</v>
      </c>
      <c r="Z1067" s="149">
        <v>1392370.4617801534</v>
      </c>
      <c r="AA1067" s="149">
        <v>1392430.32438265</v>
      </c>
      <c r="AB1067" s="149">
        <v>1392418.2747288325</v>
      </c>
      <c r="AC1067" s="149">
        <v>1392406.3531505633</v>
      </c>
      <c r="AD1067" s="149">
        <v>1392418.3173519012</v>
      </c>
      <c r="AE1067" s="149">
        <v>1392414.3150543345</v>
      </c>
      <c r="AF1067" s="149">
        <v>1392412.9951678435</v>
      </c>
      <c r="AG1067" s="149">
        <v>1392415.2091876795</v>
      </c>
    </row>
    <row r="1068" spans="1:33" ht="14.25" hidden="1" customHeight="1" outlineLevel="1" x14ac:dyDescent="0.35">
      <c r="A1068" s="21"/>
      <c r="B1068" s="21"/>
      <c r="C1068" s="21"/>
      <c r="D1068" s="128" t="s">
        <v>4319</v>
      </c>
      <c r="E1068" s="128"/>
      <c r="F1068" s="21"/>
      <c r="G1068" s="21"/>
      <c r="H1068" s="21"/>
      <c r="I1068" s="22" t="s">
        <v>3921</v>
      </c>
      <c r="J1068" s="201">
        <v>32554660.516719598</v>
      </c>
      <c r="K1068" s="201">
        <v>32279179.014559001</v>
      </c>
      <c r="L1068" s="201">
        <v>31921436.743248001</v>
      </c>
      <c r="M1068" s="201">
        <v>42389015.369999997</v>
      </c>
      <c r="N1068" s="201">
        <v>34649962.193471096</v>
      </c>
      <c r="O1068" s="201">
        <v>46790333.350000001</v>
      </c>
      <c r="P1068" s="201">
        <v>48356369.560000002</v>
      </c>
      <c r="Q1068" s="201">
        <v>33316879.8074979</v>
      </c>
      <c r="R1068" s="149">
        <f t="shared" ref="R1068:AG1068" si="691">Q1071</f>
        <v>39398414.939999998</v>
      </c>
      <c r="S1068" s="149">
        <f t="shared" si="691"/>
        <v>39398414.939999998</v>
      </c>
      <c r="T1068" s="149">
        <f t="shared" si="691"/>
        <v>39398414.939999998</v>
      </c>
      <c r="U1068" s="149">
        <f t="shared" si="691"/>
        <v>39398414.939999998</v>
      </c>
      <c r="V1068" s="149">
        <f t="shared" si="691"/>
        <v>39398414.939999998</v>
      </c>
      <c r="W1068" s="149">
        <f t="shared" si="691"/>
        <v>39398414.939999998</v>
      </c>
      <c r="X1068" s="149">
        <f t="shared" si="691"/>
        <v>39398414.939999998</v>
      </c>
      <c r="Y1068" s="149">
        <f t="shared" si="691"/>
        <v>39398414.939999998</v>
      </c>
      <c r="Z1068" s="149">
        <f t="shared" si="691"/>
        <v>39398414.939999998</v>
      </c>
      <c r="AA1068" s="149">
        <f t="shared" si="691"/>
        <v>39398414.939999998</v>
      </c>
      <c r="AB1068" s="149">
        <f t="shared" si="691"/>
        <v>39398414.939999998</v>
      </c>
      <c r="AC1068" s="149">
        <f t="shared" si="691"/>
        <v>39398414.939999998</v>
      </c>
      <c r="AD1068" s="149">
        <f t="shared" si="691"/>
        <v>39398414.939999998</v>
      </c>
      <c r="AE1068" s="149">
        <f t="shared" si="691"/>
        <v>39398414.939999998</v>
      </c>
      <c r="AF1068" s="149">
        <f t="shared" si="691"/>
        <v>39398414.939999998</v>
      </c>
      <c r="AG1068" s="149">
        <f t="shared" si="691"/>
        <v>39398414.939999998</v>
      </c>
    </row>
    <row r="1069" spans="1:33" ht="14.25" hidden="1" customHeight="1" outlineLevel="1" x14ac:dyDescent="0.35">
      <c r="A1069" s="21"/>
      <c r="B1069" s="21"/>
      <c r="C1069" s="21"/>
      <c r="D1069" s="128" t="s">
        <v>4296</v>
      </c>
      <c r="E1069" s="128"/>
      <c r="F1069" s="21"/>
      <c r="G1069" s="21"/>
      <c r="H1069" s="21"/>
      <c r="I1069" s="22" t="s">
        <v>3921</v>
      </c>
      <c r="J1069" s="201">
        <v>7852149.0500809699</v>
      </c>
      <c r="K1069" s="201">
        <v>15878062.740254501</v>
      </c>
      <c r="L1069" s="201">
        <v>20588175.056752</v>
      </c>
      <c r="M1069" s="201">
        <v>-5289520.7908587996</v>
      </c>
      <c r="N1069" s="201">
        <v>24797741.846529</v>
      </c>
      <c r="O1069" s="201">
        <v>13040000</v>
      </c>
      <c r="P1069" s="201">
        <v>3236962.1439377102</v>
      </c>
      <c r="Q1069" s="201">
        <v>13303166.912502101</v>
      </c>
      <c r="R1069" s="149">
        <f t="shared" ref="R1069:AG1069" si="692">R1070</f>
        <v>10907665.589035129</v>
      </c>
      <c r="S1069" s="149">
        <f t="shared" si="692"/>
        <v>10926065.507096224</v>
      </c>
      <c r="T1069" s="149">
        <f t="shared" si="692"/>
        <v>10903464.457973847</v>
      </c>
      <c r="U1069" s="149">
        <f t="shared" si="692"/>
        <v>10912389.694863988</v>
      </c>
      <c r="V1069" s="149">
        <f t="shared" si="692"/>
        <v>10913965.306275284</v>
      </c>
      <c r="W1069" s="149">
        <f t="shared" si="692"/>
        <v>10909937.859586427</v>
      </c>
      <c r="X1069" s="149">
        <f t="shared" si="692"/>
        <v>10912097.368580883</v>
      </c>
      <c r="Y1069" s="149">
        <f t="shared" si="692"/>
        <v>10911999.929966873</v>
      </c>
      <c r="Z1069" s="149">
        <f t="shared" si="692"/>
        <v>10911344.961820522</v>
      </c>
      <c r="AA1069" s="149">
        <f t="shared" si="692"/>
        <v>10911814.076559799</v>
      </c>
      <c r="AB1069" s="149">
        <f t="shared" si="692"/>
        <v>10911719.649154821</v>
      </c>
      <c r="AC1069" s="149">
        <f t="shared" si="692"/>
        <v>10911626.22541699</v>
      </c>
      <c r="AD1069" s="149">
        <f t="shared" si="692"/>
        <v>10911719.983171536</v>
      </c>
      <c r="AE1069" s="149">
        <f t="shared" si="692"/>
        <v>10911688.619069388</v>
      </c>
      <c r="AF1069" s="149">
        <f t="shared" si="692"/>
        <v>10911678.275746824</v>
      </c>
      <c r="AG1069" s="149">
        <f t="shared" si="692"/>
        <v>10911695.625967074</v>
      </c>
    </row>
    <row r="1070" spans="1:33" ht="14.25" hidden="1" customHeight="1" outlineLevel="1" x14ac:dyDescent="0.35">
      <c r="A1070" s="21"/>
      <c r="B1070" s="21"/>
      <c r="C1070" s="21"/>
      <c r="D1070" s="128" t="s">
        <v>4297</v>
      </c>
      <c r="E1070" s="128"/>
      <c r="F1070" s="21"/>
      <c r="G1070" s="21"/>
      <c r="H1070" s="21"/>
      <c r="I1070" s="22" t="s">
        <v>3921</v>
      </c>
      <c r="J1070" s="201">
        <v>8127630.5522415498</v>
      </c>
      <c r="K1070" s="201">
        <v>16235805.0115656</v>
      </c>
      <c r="L1070" s="201">
        <v>10120596.43</v>
      </c>
      <c r="M1070" s="201">
        <v>2449532.3856701502</v>
      </c>
      <c r="N1070" s="201">
        <v>12657370.689999999</v>
      </c>
      <c r="O1070" s="201">
        <v>11473963.789999999</v>
      </c>
      <c r="P1070" s="201">
        <v>18276451.896439798</v>
      </c>
      <c r="Q1070" s="201">
        <v>7221631.7800000003</v>
      </c>
      <c r="R1070" s="149">
        <v>10907665.589035129</v>
      </c>
      <c r="S1070" s="149">
        <v>10926065.507096224</v>
      </c>
      <c r="T1070" s="149">
        <v>10903464.457973847</v>
      </c>
      <c r="U1070" s="149">
        <v>10912389.694863988</v>
      </c>
      <c r="V1070" s="149">
        <v>10913965.306275284</v>
      </c>
      <c r="W1070" s="149">
        <v>10909937.859586427</v>
      </c>
      <c r="X1070" s="149">
        <v>10912097.368580883</v>
      </c>
      <c r="Y1070" s="149">
        <v>10911999.929966873</v>
      </c>
      <c r="Z1070" s="149">
        <v>10911344.961820522</v>
      </c>
      <c r="AA1070" s="149">
        <v>10911814.076559799</v>
      </c>
      <c r="AB1070" s="149">
        <v>10911719.649154821</v>
      </c>
      <c r="AC1070" s="149">
        <v>10911626.22541699</v>
      </c>
      <c r="AD1070" s="149">
        <v>10911719.983171536</v>
      </c>
      <c r="AE1070" s="149">
        <v>10911688.619069388</v>
      </c>
      <c r="AF1070" s="149">
        <v>10911678.275746824</v>
      </c>
      <c r="AG1070" s="149">
        <v>10911695.625967074</v>
      </c>
    </row>
    <row r="1071" spans="1:33" ht="14.25" hidden="1" customHeight="1" outlineLevel="1" x14ac:dyDescent="0.35">
      <c r="A1071" s="21"/>
      <c r="B1071" s="21"/>
      <c r="C1071" s="21"/>
      <c r="D1071" s="128" t="s">
        <v>4298</v>
      </c>
      <c r="E1071" s="128"/>
      <c r="F1071" s="21"/>
      <c r="G1071" s="21"/>
      <c r="H1071" s="21"/>
      <c r="I1071" s="22" t="s">
        <v>3921</v>
      </c>
      <c r="J1071" s="148">
        <f t="shared" ref="J1071:AG1071" si="693">J1068+J1069-J1070</f>
        <v>32279179.014559016</v>
      </c>
      <c r="K1071" s="148">
        <f t="shared" si="693"/>
        <v>31921436.7432479</v>
      </c>
      <c r="L1071" s="148">
        <f t="shared" si="693"/>
        <v>42389015.369999997</v>
      </c>
      <c r="M1071" s="148">
        <f t="shared" si="693"/>
        <v>34649962.193471052</v>
      </c>
      <c r="N1071" s="148">
        <f t="shared" si="693"/>
        <v>46790333.350000098</v>
      </c>
      <c r="O1071" s="148">
        <f t="shared" si="693"/>
        <v>48356369.560000002</v>
      </c>
      <c r="P1071" s="148">
        <f t="shared" si="693"/>
        <v>33316879.807497911</v>
      </c>
      <c r="Q1071" s="148">
        <f t="shared" si="693"/>
        <v>39398414.939999998</v>
      </c>
      <c r="R1071" s="149">
        <f t="shared" si="693"/>
        <v>39398414.939999998</v>
      </c>
      <c r="S1071" s="149">
        <f t="shared" si="693"/>
        <v>39398414.939999998</v>
      </c>
      <c r="T1071" s="149">
        <f t="shared" si="693"/>
        <v>39398414.939999998</v>
      </c>
      <c r="U1071" s="149">
        <f t="shared" si="693"/>
        <v>39398414.939999998</v>
      </c>
      <c r="V1071" s="149">
        <f t="shared" si="693"/>
        <v>39398414.939999998</v>
      </c>
      <c r="W1071" s="149">
        <f t="shared" si="693"/>
        <v>39398414.939999998</v>
      </c>
      <c r="X1071" s="149">
        <f t="shared" si="693"/>
        <v>39398414.939999998</v>
      </c>
      <c r="Y1071" s="149">
        <f t="shared" si="693"/>
        <v>39398414.939999998</v>
      </c>
      <c r="Z1071" s="149">
        <f t="shared" si="693"/>
        <v>39398414.939999998</v>
      </c>
      <c r="AA1071" s="149">
        <f t="shared" si="693"/>
        <v>39398414.939999998</v>
      </c>
      <c r="AB1071" s="149">
        <f t="shared" si="693"/>
        <v>39398414.939999998</v>
      </c>
      <c r="AC1071" s="149">
        <f t="shared" si="693"/>
        <v>39398414.939999998</v>
      </c>
      <c r="AD1071" s="149">
        <f t="shared" si="693"/>
        <v>39398414.939999998</v>
      </c>
      <c r="AE1071" s="149">
        <f t="shared" si="693"/>
        <v>39398414.939999998</v>
      </c>
      <c r="AF1071" s="149">
        <f t="shared" si="693"/>
        <v>39398414.939999998</v>
      </c>
      <c r="AG1071" s="149">
        <f t="shared" si="693"/>
        <v>39398414.939999998</v>
      </c>
    </row>
    <row r="1072" spans="1:33" ht="14.25" hidden="1" customHeight="1" outlineLevel="1" x14ac:dyDescent="0.35">
      <c r="A1072" s="21"/>
      <c r="B1072" s="21"/>
      <c r="C1072" s="21"/>
      <c r="D1072" s="128" t="s">
        <v>4299</v>
      </c>
      <c r="E1072" s="128"/>
      <c r="F1072" s="21"/>
      <c r="G1072" s="21"/>
      <c r="H1072" s="21"/>
      <c r="I1072" s="22" t="s">
        <v>3921</v>
      </c>
      <c r="J1072" s="201">
        <v>8684307.77559622</v>
      </c>
      <c r="K1072" s="201">
        <v>13257224.3047875</v>
      </c>
      <c r="L1072" s="201">
        <v>10274370.184730699</v>
      </c>
      <c r="M1072" s="201">
        <v>2638157.88312267</v>
      </c>
      <c r="N1072" s="201">
        <v>9921643.6119249109</v>
      </c>
      <c r="O1072" s="201">
        <v>8779549.2347133495</v>
      </c>
      <c r="P1072" s="201">
        <v>11245371.845658099</v>
      </c>
      <c r="Q1072" s="201">
        <v>8735895.9330542702</v>
      </c>
      <c r="R1072" s="149">
        <v>9266221.5843430981</v>
      </c>
      <c r="S1072" s="149">
        <v>9281852.5840740819</v>
      </c>
      <c r="T1072" s="149">
        <v>9262652.6620103642</v>
      </c>
      <c r="U1072" s="149">
        <v>9270234.7813961972</v>
      </c>
      <c r="V1072" s="149">
        <v>9271573.2863538992</v>
      </c>
      <c r="W1072" s="149">
        <v>9268151.9114379324</v>
      </c>
      <c r="X1072" s="149">
        <v>9269986.4459396265</v>
      </c>
      <c r="Y1072" s="149">
        <v>9269903.6704107169</v>
      </c>
      <c r="Z1072" s="149">
        <v>9269347.265382966</v>
      </c>
      <c r="AA1072" s="149">
        <v>9269745.7852208838</v>
      </c>
      <c r="AB1072" s="149">
        <v>9269665.567758128</v>
      </c>
      <c r="AC1072" s="149">
        <v>9269586.2029253021</v>
      </c>
      <c r="AD1072" s="149">
        <v>9269665.8515102156</v>
      </c>
      <c r="AE1072" s="149">
        <v>9269639.2072463334</v>
      </c>
      <c r="AF1072" s="149">
        <v>9269630.4204424098</v>
      </c>
      <c r="AG1072" s="149">
        <v>9269645.159708485</v>
      </c>
    </row>
    <row r="1073" spans="1:33" ht="14.25" hidden="1" customHeight="1" outlineLevel="1" x14ac:dyDescent="0.35">
      <c r="A1073" s="21"/>
      <c r="B1073" s="21"/>
      <c r="C1073" s="21"/>
      <c r="D1073" s="128" t="s">
        <v>4320</v>
      </c>
      <c r="E1073" s="128"/>
      <c r="F1073" s="21"/>
      <c r="G1073" s="21"/>
      <c r="H1073" s="21"/>
      <c r="I1073" s="22" t="s">
        <v>3921</v>
      </c>
      <c r="J1073" s="201">
        <v>48459816.079999998</v>
      </c>
      <c r="K1073" s="201">
        <v>47713411.240000002</v>
      </c>
      <c r="L1073" s="201">
        <v>47105911.240000002</v>
      </c>
      <c r="M1073" s="201">
        <v>47105911.240000002</v>
      </c>
      <c r="N1073" s="201">
        <v>47207911.350000001</v>
      </c>
      <c r="O1073" s="201">
        <v>47687043.740000002</v>
      </c>
      <c r="P1073" s="201">
        <v>36553812.390000001</v>
      </c>
      <c r="Q1073" s="201">
        <v>23315911.02</v>
      </c>
      <c r="R1073" s="149">
        <f t="shared" ref="R1073:AG1073" si="694">Q1076</f>
        <v>23427911.02</v>
      </c>
      <c r="S1073" s="149">
        <f t="shared" si="694"/>
        <v>23427911.02</v>
      </c>
      <c r="T1073" s="149">
        <f t="shared" si="694"/>
        <v>23427911.02</v>
      </c>
      <c r="U1073" s="149">
        <f t="shared" si="694"/>
        <v>23427911.02</v>
      </c>
      <c r="V1073" s="149">
        <f t="shared" si="694"/>
        <v>23427911.020000003</v>
      </c>
      <c r="W1073" s="149">
        <f t="shared" si="694"/>
        <v>23427911.020000003</v>
      </c>
      <c r="X1073" s="149">
        <f t="shared" si="694"/>
        <v>23427911.020000003</v>
      </c>
      <c r="Y1073" s="149">
        <f t="shared" si="694"/>
        <v>23427911.020000003</v>
      </c>
      <c r="Z1073" s="149">
        <f t="shared" si="694"/>
        <v>23427911.020000003</v>
      </c>
      <c r="AA1073" s="149">
        <f t="shared" si="694"/>
        <v>23427911.020000003</v>
      </c>
      <c r="AB1073" s="149">
        <f t="shared" si="694"/>
        <v>23427911.020000003</v>
      </c>
      <c r="AC1073" s="149">
        <f t="shared" si="694"/>
        <v>23427911.020000003</v>
      </c>
      <c r="AD1073" s="149">
        <f t="shared" si="694"/>
        <v>23427911.020000003</v>
      </c>
      <c r="AE1073" s="149">
        <f t="shared" si="694"/>
        <v>23427911.020000003</v>
      </c>
      <c r="AF1073" s="149">
        <f t="shared" si="694"/>
        <v>23427911.020000003</v>
      </c>
      <c r="AG1073" s="149">
        <f t="shared" si="694"/>
        <v>23427911.020000003</v>
      </c>
    </row>
    <row r="1074" spans="1:33" ht="14.25" hidden="1" customHeight="1" outlineLevel="1" x14ac:dyDescent="0.35">
      <c r="A1074" s="21"/>
      <c r="B1074" s="21"/>
      <c r="C1074" s="21"/>
      <c r="D1074" s="128" t="s">
        <v>4296</v>
      </c>
      <c r="E1074" s="128"/>
      <c r="F1074" s="21"/>
      <c r="G1074" s="21"/>
      <c r="H1074" s="21"/>
      <c r="I1074" s="22" t="s">
        <v>3921</v>
      </c>
      <c r="J1074" s="201">
        <v>36228647.100000001</v>
      </c>
      <c r="K1074" s="201">
        <v>0</v>
      </c>
      <c r="L1074" s="201">
        <v>0</v>
      </c>
      <c r="M1074" s="201">
        <v>102000.109999999</v>
      </c>
      <c r="N1074" s="201">
        <v>5.8207660913467397E-10</v>
      </c>
      <c r="O1074" s="201">
        <v>-1.8626451492309599E-9</v>
      </c>
      <c r="P1074" s="201">
        <v>3560219</v>
      </c>
      <c r="Q1074" s="201">
        <v>112000</v>
      </c>
      <c r="R1074" s="149">
        <f t="shared" ref="R1074:AG1074" si="695">R1075</f>
        <v>8194929.4708995409</v>
      </c>
      <c r="S1074" s="149">
        <f t="shared" si="695"/>
        <v>8208753.3298682822</v>
      </c>
      <c r="T1074" s="149">
        <f t="shared" si="695"/>
        <v>8191773.1610123171</v>
      </c>
      <c r="U1074" s="149">
        <f t="shared" si="695"/>
        <v>8198478.6917446945</v>
      </c>
      <c r="V1074" s="149">
        <f t="shared" si="695"/>
        <v>8199662.448643337</v>
      </c>
      <c r="W1074" s="149">
        <f t="shared" si="695"/>
        <v>8196636.6278301133</v>
      </c>
      <c r="X1074" s="149">
        <f t="shared" si="695"/>
        <v>8198259.0669997884</v>
      </c>
      <c r="Y1074" s="149">
        <f t="shared" si="695"/>
        <v>8198185.8613662766</v>
      </c>
      <c r="Z1074" s="149">
        <f t="shared" si="695"/>
        <v>8197693.7837790772</v>
      </c>
      <c r="AA1074" s="149">
        <f t="shared" si="695"/>
        <v>8198046.2296961946</v>
      </c>
      <c r="AB1074" s="149">
        <f t="shared" si="695"/>
        <v>8197975.2863841178</v>
      </c>
      <c r="AC1074" s="149">
        <f t="shared" si="695"/>
        <v>8197905.0971271973</v>
      </c>
      <c r="AD1074" s="149">
        <f t="shared" si="695"/>
        <v>8197975.5373308836</v>
      </c>
      <c r="AE1074" s="149">
        <f t="shared" si="695"/>
        <v>8197951.9734800393</v>
      </c>
      <c r="AF1074" s="149">
        <f t="shared" si="695"/>
        <v>8197944.2025414985</v>
      </c>
      <c r="AG1074" s="149">
        <f t="shared" si="695"/>
        <v>8197957.2377624726</v>
      </c>
    </row>
    <row r="1075" spans="1:33" ht="14.25" hidden="1" customHeight="1" outlineLevel="1" x14ac:dyDescent="0.35">
      <c r="A1075" s="21"/>
      <c r="B1075" s="21"/>
      <c r="C1075" s="21"/>
      <c r="D1075" s="128" t="s">
        <v>4297</v>
      </c>
      <c r="E1075" s="128"/>
      <c r="F1075" s="21"/>
      <c r="G1075" s="21"/>
      <c r="H1075" s="21"/>
      <c r="I1075" s="22" t="s">
        <v>3921</v>
      </c>
      <c r="J1075" s="201">
        <v>36975051.939999998</v>
      </c>
      <c r="K1075" s="201">
        <v>607500</v>
      </c>
      <c r="L1075" s="201">
        <v>0</v>
      </c>
      <c r="M1075" s="201">
        <v>0</v>
      </c>
      <c r="N1075" s="201">
        <v>-479132.39</v>
      </c>
      <c r="O1075" s="201">
        <v>11133231.35</v>
      </c>
      <c r="P1075" s="201">
        <v>16798120.370000001</v>
      </c>
      <c r="Q1075" s="201">
        <v>0</v>
      </c>
      <c r="R1075" s="149">
        <v>8194929.4708995409</v>
      </c>
      <c r="S1075" s="149">
        <v>8208753.3298682822</v>
      </c>
      <c r="T1075" s="149">
        <v>8191773.1610123171</v>
      </c>
      <c r="U1075" s="149">
        <v>8198478.6917446945</v>
      </c>
      <c r="V1075" s="149">
        <v>8199662.448643337</v>
      </c>
      <c r="W1075" s="149">
        <v>8196636.6278301133</v>
      </c>
      <c r="X1075" s="149">
        <v>8198259.0669997884</v>
      </c>
      <c r="Y1075" s="149">
        <v>8198185.8613662766</v>
      </c>
      <c r="Z1075" s="149">
        <v>8197693.7837790772</v>
      </c>
      <c r="AA1075" s="149">
        <v>8198046.2296961946</v>
      </c>
      <c r="AB1075" s="149">
        <v>8197975.2863841178</v>
      </c>
      <c r="AC1075" s="149">
        <v>8197905.0971271973</v>
      </c>
      <c r="AD1075" s="149">
        <v>8197975.5373308836</v>
      </c>
      <c r="AE1075" s="149">
        <v>8197951.9734800393</v>
      </c>
      <c r="AF1075" s="149">
        <v>8197944.2025414985</v>
      </c>
      <c r="AG1075" s="149">
        <v>8197957.2377624726</v>
      </c>
    </row>
    <row r="1076" spans="1:33" ht="14.25" hidden="1" customHeight="1" outlineLevel="1" x14ac:dyDescent="0.35">
      <c r="A1076" s="21"/>
      <c r="B1076" s="21"/>
      <c r="C1076" s="21"/>
      <c r="D1076" s="128" t="s">
        <v>4298</v>
      </c>
      <c r="E1076" s="128"/>
      <c r="F1076" s="21"/>
      <c r="G1076" s="21"/>
      <c r="H1076" s="21"/>
      <c r="I1076" s="22" t="s">
        <v>3921</v>
      </c>
      <c r="J1076" s="148">
        <f t="shared" ref="J1076:AG1076" si="696">J1073+J1074-J1075</f>
        <v>47713411.24000001</v>
      </c>
      <c r="K1076" s="148">
        <f t="shared" si="696"/>
        <v>47105911.240000002</v>
      </c>
      <c r="L1076" s="148">
        <f t="shared" si="696"/>
        <v>47105911.240000002</v>
      </c>
      <c r="M1076" s="148">
        <f t="shared" si="696"/>
        <v>47207911.350000001</v>
      </c>
      <c r="N1076" s="148">
        <f t="shared" si="696"/>
        <v>47687043.740000002</v>
      </c>
      <c r="O1076" s="148">
        <f t="shared" si="696"/>
        <v>36553812.390000001</v>
      </c>
      <c r="P1076" s="148">
        <f t="shared" si="696"/>
        <v>23315911.02</v>
      </c>
      <c r="Q1076" s="148">
        <f t="shared" si="696"/>
        <v>23427911.02</v>
      </c>
      <c r="R1076" s="149">
        <f t="shared" si="696"/>
        <v>23427911.02</v>
      </c>
      <c r="S1076" s="149">
        <f t="shared" si="696"/>
        <v>23427911.02</v>
      </c>
      <c r="T1076" s="149">
        <f t="shared" si="696"/>
        <v>23427911.02</v>
      </c>
      <c r="U1076" s="149">
        <f t="shared" si="696"/>
        <v>23427911.020000003</v>
      </c>
      <c r="V1076" s="149">
        <f t="shared" si="696"/>
        <v>23427911.020000003</v>
      </c>
      <c r="W1076" s="149">
        <f t="shared" si="696"/>
        <v>23427911.020000003</v>
      </c>
      <c r="X1076" s="149">
        <f t="shared" si="696"/>
        <v>23427911.020000003</v>
      </c>
      <c r="Y1076" s="149">
        <f t="shared" si="696"/>
        <v>23427911.020000003</v>
      </c>
      <c r="Z1076" s="149">
        <f t="shared" si="696"/>
        <v>23427911.020000003</v>
      </c>
      <c r="AA1076" s="149">
        <f t="shared" si="696"/>
        <v>23427911.020000003</v>
      </c>
      <c r="AB1076" s="149">
        <f t="shared" si="696"/>
        <v>23427911.020000003</v>
      </c>
      <c r="AC1076" s="149">
        <f t="shared" si="696"/>
        <v>23427911.020000003</v>
      </c>
      <c r="AD1076" s="149">
        <f t="shared" si="696"/>
        <v>23427911.020000003</v>
      </c>
      <c r="AE1076" s="149">
        <f t="shared" si="696"/>
        <v>23427911.020000003</v>
      </c>
      <c r="AF1076" s="149">
        <f t="shared" si="696"/>
        <v>23427911.020000003</v>
      </c>
      <c r="AG1076" s="149">
        <f t="shared" si="696"/>
        <v>23427911.020000003</v>
      </c>
    </row>
    <row r="1077" spans="1:33" ht="14.25" hidden="1" customHeight="1" outlineLevel="1" x14ac:dyDescent="0.35">
      <c r="A1077" s="21"/>
      <c r="B1077" s="21"/>
      <c r="C1077" s="21"/>
      <c r="D1077" s="128" t="s">
        <v>4299</v>
      </c>
      <c r="E1077" s="128"/>
      <c r="F1077" s="21"/>
      <c r="G1077" s="21"/>
      <c r="H1077" s="21"/>
      <c r="I1077" s="22" t="s">
        <v>3921</v>
      </c>
      <c r="J1077" s="201">
        <v>56743.5</v>
      </c>
      <c r="K1077" s="201">
        <v>62643</v>
      </c>
      <c r="L1077" s="201">
        <v>36423</v>
      </c>
      <c r="M1077" s="201">
        <v>54276.060371938001</v>
      </c>
      <c r="N1077" s="201">
        <v>9055.6153457600994</v>
      </c>
      <c r="O1077" s="201">
        <v>11321.365345760099</v>
      </c>
      <c r="P1077" s="201">
        <v>81875.536649214599</v>
      </c>
      <c r="Q1077" s="201">
        <v>13466.25</v>
      </c>
      <c r="R1077" s="149">
        <v>41054.092061531046</v>
      </c>
      <c r="S1077" s="149">
        <v>41123.345370026698</v>
      </c>
      <c r="T1077" s="149">
        <v>41038.279913648024</v>
      </c>
      <c r="U1077" s="149">
        <v>41071.872573229295</v>
      </c>
      <c r="V1077" s="149">
        <v>41077.802833504007</v>
      </c>
      <c r="W1077" s="149">
        <v>41062.644396000804</v>
      </c>
      <c r="X1077" s="149">
        <v>41070.772320380456</v>
      </c>
      <c r="Y1077" s="149">
        <v>41070.405582530148</v>
      </c>
      <c r="Z1077" s="149">
        <v>41067.940424210232</v>
      </c>
      <c r="AA1077" s="149">
        <v>41069.706070538174</v>
      </c>
      <c r="AB1077" s="149">
        <v>41069.350666226826</v>
      </c>
      <c r="AC1077" s="149">
        <v>41068.999039501352</v>
      </c>
      <c r="AD1077" s="149">
        <v>41069.351923393428</v>
      </c>
      <c r="AE1077" s="149">
        <v>41069.233875702434</v>
      </c>
      <c r="AF1077" s="149">
        <v>41069.19494567535</v>
      </c>
      <c r="AG1077" s="149">
        <v>41069.260248148523</v>
      </c>
    </row>
    <row r="1078" spans="1:33" ht="14.25" hidden="1" customHeight="1" outlineLevel="1" x14ac:dyDescent="0.35">
      <c r="A1078" s="21"/>
      <c r="B1078" s="21"/>
      <c r="C1078" s="21"/>
      <c r="D1078" s="128" t="s">
        <v>4321</v>
      </c>
      <c r="E1078" s="128"/>
      <c r="F1078" s="21"/>
      <c r="G1078" s="21"/>
      <c r="H1078" s="21"/>
      <c r="I1078" s="22" t="s">
        <v>3921</v>
      </c>
      <c r="J1078" s="201">
        <v>4.3772384737928001E-2</v>
      </c>
      <c r="K1078" s="201">
        <v>3.0700867097730501E-2</v>
      </c>
      <c r="L1078" s="201">
        <v>2.8443325543884099E-2</v>
      </c>
      <c r="M1078" s="201">
        <v>1.1541971463897099E-2</v>
      </c>
      <c r="N1078" s="201">
        <v>1.54131705984189E-2</v>
      </c>
      <c r="O1078" s="201">
        <v>9.5809990705521299E-3</v>
      </c>
      <c r="P1078" s="201">
        <v>6.5510673186634496E-3</v>
      </c>
      <c r="Q1078" s="201">
        <v>2.6132850223376001E-2</v>
      </c>
      <c r="R1078" s="149">
        <f t="shared" ref="R1078:AG1078" si="697">Q1081</f>
        <v>5.8088055445832017E-3</v>
      </c>
      <c r="S1078" s="149">
        <f t="shared" si="697"/>
        <v>5.8088055448024534E-3</v>
      </c>
      <c r="T1078" s="149">
        <f t="shared" si="697"/>
        <v>5.8088055448024534E-3</v>
      </c>
      <c r="U1078" s="149">
        <f t="shared" si="697"/>
        <v>5.8088055448024534E-3</v>
      </c>
      <c r="V1078" s="149">
        <f t="shared" si="697"/>
        <v>5.8088055448024534E-3</v>
      </c>
      <c r="W1078" s="149">
        <f t="shared" si="697"/>
        <v>5.8088055448024534E-3</v>
      </c>
      <c r="X1078" s="149">
        <f t="shared" si="697"/>
        <v>5.8088055448024534E-3</v>
      </c>
      <c r="Y1078" s="149">
        <f t="shared" si="697"/>
        <v>5.8088055448024534E-3</v>
      </c>
      <c r="Z1078" s="149">
        <f t="shared" si="697"/>
        <v>5.8088055448024534E-3</v>
      </c>
      <c r="AA1078" s="149">
        <f t="shared" si="697"/>
        <v>5.8088055448024534E-3</v>
      </c>
      <c r="AB1078" s="149">
        <f t="shared" si="697"/>
        <v>5.8088055448024534E-3</v>
      </c>
      <c r="AC1078" s="149">
        <f t="shared" si="697"/>
        <v>5.8088055448024534E-3</v>
      </c>
      <c r="AD1078" s="149">
        <f t="shared" si="697"/>
        <v>5.8088055448024534E-3</v>
      </c>
      <c r="AE1078" s="149">
        <f t="shared" si="697"/>
        <v>5.8088055448024534E-3</v>
      </c>
      <c r="AF1078" s="149">
        <f t="shared" si="697"/>
        <v>5.8088055448024534E-3</v>
      </c>
      <c r="AG1078" s="149">
        <f t="shared" si="697"/>
        <v>5.8088055448024534E-3</v>
      </c>
    </row>
    <row r="1079" spans="1:33" ht="14.25" hidden="1" customHeight="1" outlineLevel="1" x14ac:dyDescent="0.35">
      <c r="A1079" s="21"/>
      <c r="B1079" s="21"/>
      <c r="C1079" s="21"/>
      <c r="D1079" s="128" t="s">
        <v>4296</v>
      </c>
      <c r="E1079" s="128"/>
      <c r="F1079" s="21"/>
      <c r="G1079" s="21"/>
      <c r="H1079" s="21"/>
      <c r="I1079" s="22" t="s">
        <v>3921</v>
      </c>
      <c r="J1079" s="201">
        <v>197525.26824199699</v>
      </c>
      <c r="K1079" s="201">
        <v>-2.2575415538463499E-3</v>
      </c>
      <c r="L1079" s="201">
        <v>-1.6901354079987E-2</v>
      </c>
      <c r="M1079" s="201">
        <v>3.87119913452181E-3</v>
      </c>
      <c r="N1079" s="201">
        <v>-5.83217152786677E-3</v>
      </c>
      <c r="O1079" s="201">
        <v>17053.278489406599</v>
      </c>
      <c r="P1079" s="201">
        <v>53783.213460166902</v>
      </c>
      <c r="Q1079" s="201">
        <v>-2.0324044678792799E-2</v>
      </c>
      <c r="R1079" s="149">
        <f t="shared" ref="R1079:AG1079" si="698">R1080</f>
        <v>33545.219588904547</v>
      </c>
      <c r="S1079" s="149">
        <f t="shared" si="698"/>
        <v>33545.219588904547</v>
      </c>
      <c r="T1079" s="149">
        <f t="shared" si="698"/>
        <v>33545.219588904547</v>
      </c>
      <c r="U1079" s="149">
        <f t="shared" si="698"/>
        <v>33545.219588904547</v>
      </c>
      <c r="V1079" s="149">
        <f t="shared" si="698"/>
        <v>33545.219588904547</v>
      </c>
      <c r="W1079" s="149">
        <f t="shared" si="698"/>
        <v>33545.219588904547</v>
      </c>
      <c r="X1079" s="149">
        <f t="shared" si="698"/>
        <v>33545.219588904547</v>
      </c>
      <c r="Y1079" s="149">
        <f t="shared" si="698"/>
        <v>33545.219588904547</v>
      </c>
      <c r="Z1079" s="149">
        <f t="shared" si="698"/>
        <v>33545.219588904547</v>
      </c>
      <c r="AA1079" s="149">
        <f t="shared" si="698"/>
        <v>33545.219588904547</v>
      </c>
      <c r="AB1079" s="149">
        <f t="shared" si="698"/>
        <v>33545.219588904547</v>
      </c>
      <c r="AC1079" s="149">
        <f t="shared" si="698"/>
        <v>33545.219588904547</v>
      </c>
      <c r="AD1079" s="149">
        <f t="shared" si="698"/>
        <v>33545.219588904547</v>
      </c>
      <c r="AE1079" s="149">
        <f t="shared" si="698"/>
        <v>33545.219588904547</v>
      </c>
      <c r="AF1079" s="149">
        <f t="shared" si="698"/>
        <v>33545.219588904547</v>
      </c>
      <c r="AG1079" s="149">
        <f t="shared" si="698"/>
        <v>33545.219588904547</v>
      </c>
    </row>
    <row r="1080" spans="1:33" ht="14.25" hidden="1" customHeight="1" outlineLevel="1" x14ac:dyDescent="0.35">
      <c r="A1080" s="21"/>
      <c r="B1080" s="21"/>
      <c r="C1080" s="21"/>
      <c r="D1080" s="128" t="s">
        <v>4297</v>
      </c>
      <c r="E1080" s="128"/>
      <c r="F1080" s="21"/>
      <c r="G1080" s="21"/>
      <c r="H1080" s="21"/>
      <c r="I1080" s="22" t="s">
        <v>3921</v>
      </c>
      <c r="J1080" s="201">
        <v>197525.28131351399</v>
      </c>
      <c r="K1080" s="201">
        <v>0</v>
      </c>
      <c r="L1080" s="201">
        <v>0</v>
      </c>
      <c r="M1080" s="201">
        <v>0</v>
      </c>
      <c r="N1080" s="201">
        <v>0</v>
      </c>
      <c r="O1080" s="201">
        <v>17053.281519338401</v>
      </c>
      <c r="P1080" s="201">
        <v>53783.193878384001</v>
      </c>
      <c r="Q1080" s="201">
        <v>0</v>
      </c>
      <c r="R1080" s="149">
        <v>33545.219588904547</v>
      </c>
      <c r="S1080" s="149">
        <v>33545.219588904547</v>
      </c>
      <c r="T1080" s="149">
        <v>33545.219588904547</v>
      </c>
      <c r="U1080" s="149">
        <v>33545.219588904547</v>
      </c>
      <c r="V1080" s="149">
        <v>33545.219588904547</v>
      </c>
      <c r="W1080" s="149">
        <v>33545.219588904547</v>
      </c>
      <c r="X1080" s="149">
        <v>33545.219588904547</v>
      </c>
      <c r="Y1080" s="149">
        <v>33545.219588904547</v>
      </c>
      <c r="Z1080" s="149">
        <v>33545.219588904547</v>
      </c>
      <c r="AA1080" s="149">
        <v>33545.219588904547</v>
      </c>
      <c r="AB1080" s="149">
        <v>33545.219588904547</v>
      </c>
      <c r="AC1080" s="149">
        <v>33545.219588904547</v>
      </c>
      <c r="AD1080" s="149">
        <v>33545.219588904547</v>
      </c>
      <c r="AE1080" s="149">
        <v>33545.219588904547</v>
      </c>
      <c r="AF1080" s="149">
        <v>33545.219588904547</v>
      </c>
      <c r="AG1080" s="149">
        <v>33545.219588904547</v>
      </c>
    </row>
    <row r="1081" spans="1:33" ht="14.25" hidden="1" customHeight="1" outlineLevel="1" x14ac:dyDescent="0.35">
      <c r="A1081" s="21"/>
      <c r="B1081" s="21"/>
      <c r="C1081" s="21"/>
      <c r="D1081" s="128" t="s">
        <v>4298</v>
      </c>
      <c r="E1081" s="128"/>
      <c r="F1081" s="21"/>
      <c r="G1081" s="21"/>
      <c r="H1081" s="21"/>
      <c r="I1081" s="22" t="s">
        <v>3921</v>
      </c>
      <c r="J1081" s="148">
        <f t="shared" ref="J1081:AG1081" si="699">J1078+J1079-J1080</f>
        <v>3.07008677336853E-2</v>
      </c>
      <c r="K1081" s="148">
        <f t="shared" si="699"/>
        <v>2.8443325543884151E-2</v>
      </c>
      <c r="L1081" s="148">
        <f t="shared" si="699"/>
        <v>1.1541971463897099E-2</v>
      </c>
      <c r="M1081" s="148">
        <f t="shared" si="699"/>
        <v>1.5413170598418909E-2</v>
      </c>
      <c r="N1081" s="148">
        <f t="shared" si="699"/>
        <v>9.5809990705521299E-3</v>
      </c>
      <c r="O1081" s="148">
        <f t="shared" si="699"/>
        <v>6.5510672684467863E-3</v>
      </c>
      <c r="P1081" s="148">
        <f t="shared" si="699"/>
        <v>2.6132850216527004E-2</v>
      </c>
      <c r="Q1081" s="148">
        <f t="shared" si="699"/>
        <v>5.8088055445832017E-3</v>
      </c>
      <c r="R1081" s="149">
        <f t="shared" si="699"/>
        <v>5.8088055448024534E-3</v>
      </c>
      <c r="S1081" s="149">
        <f t="shared" si="699"/>
        <v>5.8088055448024534E-3</v>
      </c>
      <c r="T1081" s="149">
        <f t="shared" si="699"/>
        <v>5.8088055448024534E-3</v>
      </c>
      <c r="U1081" s="149">
        <f t="shared" si="699"/>
        <v>5.8088055448024534E-3</v>
      </c>
      <c r="V1081" s="149">
        <f t="shared" si="699"/>
        <v>5.8088055448024534E-3</v>
      </c>
      <c r="W1081" s="149">
        <f t="shared" si="699"/>
        <v>5.8088055448024534E-3</v>
      </c>
      <c r="X1081" s="149">
        <f t="shared" si="699"/>
        <v>5.8088055448024534E-3</v>
      </c>
      <c r="Y1081" s="149">
        <f t="shared" si="699"/>
        <v>5.8088055448024534E-3</v>
      </c>
      <c r="Z1081" s="149">
        <f t="shared" si="699"/>
        <v>5.8088055448024534E-3</v>
      </c>
      <c r="AA1081" s="149">
        <f t="shared" si="699"/>
        <v>5.8088055448024534E-3</v>
      </c>
      <c r="AB1081" s="149">
        <f t="shared" si="699"/>
        <v>5.8088055448024534E-3</v>
      </c>
      <c r="AC1081" s="149">
        <f t="shared" si="699"/>
        <v>5.8088055448024534E-3</v>
      </c>
      <c r="AD1081" s="149">
        <f t="shared" si="699"/>
        <v>5.8088055448024534E-3</v>
      </c>
      <c r="AE1081" s="149">
        <f t="shared" si="699"/>
        <v>5.8088055448024534E-3</v>
      </c>
      <c r="AF1081" s="149">
        <f t="shared" si="699"/>
        <v>5.8088055448024534E-3</v>
      </c>
      <c r="AG1081" s="149">
        <f t="shared" si="699"/>
        <v>5.8088055448024534E-3</v>
      </c>
    </row>
    <row r="1082" spans="1:33" ht="14.25" hidden="1" customHeight="1" outlineLevel="1" x14ac:dyDescent="0.35">
      <c r="A1082" s="21"/>
      <c r="B1082" s="21"/>
      <c r="C1082" s="21"/>
      <c r="D1082" s="128" t="s">
        <v>4299</v>
      </c>
      <c r="E1082" s="128"/>
      <c r="F1082" s="21"/>
      <c r="G1082" s="21"/>
      <c r="H1082" s="21"/>
      <c r="I1082" s="22" t="s">
        <v>3921</v>
      </c>
      <c r="J1082" s="201">
        <v>0</v>
      </c>
      <c r="K1082" s="201">
        <v>0</v>
      </c>
      <c r="L1082" s="201">
        <v>0</v>
      </c>
      <c r="M1082" s="201">
        <v>0</v>
      </c>
      <c r="N1082" s="201">
        <v>0</v>
      </c>
      <c r="O1082" s="201">
        <v>0</v>
      </c>
      <c r="P1082" s="201">
        <v>0</v>
      </c>
      <c r="Q1082" s="201">
        <v>0</v>
      </c>
      <c r="R1082" s="149">
        <f>0</f>
        <v>0</v>
      </c>
      <c r="S1082" s="149">
        <f>0</f>
        <v>0</v>
      </c>
      <c r="T1082" s="149">
        <f>0</f>
        <v>0</v>
      </c>
      <c r="U1082" s="149">
        <f>0</f>
        <v>0</v>
      </c>
      <c r="V1082" s="149">
        <f>0</f>
        <v>0</v>
      </c>
      <c r="W1082" s="149">
        <f>0</f>
        <v>0</v>
      </c>
      <c r="X1082" s="149">
        <f>0</f>
        <v>0</v>
      </c>
      <c r="Y1082" s="149">
        <f>0</f>
        <v>0</v>
      </c>
      <c r="Z1082" s="149">
        <f>0</f>
        <v>0</v>
      </c>
      <c r="AA1082" s="149">
        <f>0</f>
        <v>0</v>
      </c>
      <c r="AB1082" s="149">
        <f>0</f>
        <v>0</v>
      </c>
      <c r="AC1082" s="149">
        <f>0</f>
        <v>0</v>
      </c>
      <c r="AD1082" s="149">
        <f>0</f>
        <v>0</v>
      </c>
      <c r="AE1082" s="149">
        <f>0</f>
        <v>0</v>
      </c>
      <c r="AF1082" s="149">
        <f>0</f>
        <v>0</v>
      </c>
      <c r="AG1082" s="149">
        <f>0</f>
        <v>0</v>
      </c>
    </row>
    <row r="1083" spans="1:33" ht="14.25" hidden="1" customHeight="1" outlineLevel="1" x14ac:dyDescent="0.35">
      <c r="A1083" s="21"/>
      <c r="B1083" s="21"/>
      <c r="C1083" s="21"/>
      <c r="D1083" s="128" t="s">
        <v>4322</v>
      </c>
      <c r="E1083" s="128"/>
      <c r="F1083" s="21"/>
      <c r="G1083" s="21"/>
      <c r="H1083" s="21"/>
      <c r="I1083" s="22" t="s">
        <v>3921</v>
      </c>
      <c r="J1083" s="201">
        <v>0</v>
      </c>
      <c r="K1083" s="201">
        <v>0</v>
      </c>
      <c r="L1083" s="201">
        <v>0</v>
      </c>
      <c r="M1083" s="201">
        <v>0</v>
      </c>
      <c r="N1083" s="201">
        <v>0</v>
      </c>
      <c r="O1083" s="201">
        <v>0</v>
      </c>
      <c r="P1083" s="201">
        <v>0</v>
      </c>
      <c r="Q1083" s="201">
        <v>0</v>
      </c>
      <c r="R1083" s="149">
        <f t="shared" ref="R1083:AG1083" si="700">Q1086</f>
        <v>0</v>
      </c>
      <c r="S1083" s="149">
        <f t="shared" si="700"/>
        <v>0</v>
      </c>
      <c r="T1083" s="149">
        <f t="shared" si="700"/>
        <v>0</v>
      </c>
      <c r="U1083" s="149">
        <f t="shared" si="700"/>
        <v>0</v>
      </c>
      <c r="V1083" s="149">
        <f t="shared" si="700"/>
        <v>0</v>
      </c>
      <c r="W1083" s="149">
        <f t="shared" si="700"/>
        <v>0</v>
      </c>
      <c r="X1083" s="149">
        <f t="shared" si="700"/>
        <v>0</v>
      </c>
      <c r="Y1083" s="149">
        <f t="shared" si="700"/>
        <v>0</v>
      </c>
      <c r="Z1083" s="149">
        <f t="shared" si="700"/>
        <v>0</v>
      </c>
      <c r="AA1083" s="149">
        <f t="shared" si="700"/>
        <v>0</v>
      </c>
      <c r="AB1083" s="149">
        <f t="shared" si="700"/>
        <v>0</v>
      </c>
      <c r="AC1083" s="149">
        <f t="shared" si="700"/>
        <v>0</v>
      </c>
      <c r="AD1083" s="149">
        <f t="shared" si="700"/>
        <v>0</v>
      </c>
      <c r="AE1083" s="149">
        <f t="shared" si="700"/>
        <v>0</v>
      </c>
      <c r="AF1083" s="149">
        <f t="shared" si="700"/>
        <v>0</v>
      </c>
      <c r="AG1083" s="149">
        <f t="shared" si="700"/>
        <v>0</v>
      </c>
    </row>
    <row r="1084" spans="1:33" ht="14.25" hidden="1" customHeight="1" outlineLevel="1" x14ac:dyDescent="0.35">
      <c r="A1084" s="21"/>
      <c r="B1084" s="21"/>
      <c r="C1084" s="21"/>
      <c r="D1084" s="128" t="s">
        <v>4296</v>
      </c>
      <c r="E1084" s="128"/>
      <c r="F1084" s="21"/>
      <c r="G1084" s="21"/>
      <c r="H1084" s="21"/>
      <c r="I1084" s="22" t="s">
        <v>3921</v>
      </c>
      <c r="J1084" s="201">
        <v>0</v>
      </c>
      <c r="K1084" s="201">
        <v>0</v>
      </c>
      <c r="L1084" s="201">
        <v>0</v>
      </c>
      <c r="M1084" s="201">
        <v>0</v>
      </c>
      <c r="N1084" s="201">
        <v>0</v>
      </c>
      <c r="O1084" s="201">
        <v>0</v>
      </c>
      <c r="P1084" s="201">
        <v>0</v>
      </c>
      <c r="Q1084" s="201">
        <v>0</v>
      </c>
      <c r="R1084" s="149">
        <f t="shared" ref="R1084:AG1084" si="701">R1085</f>
        <v>0</v>
      </c>
      <c r="S1084" s="149">
        <f t="shared" si="701"/>
        <v>0</v>
      </c>
      <c r="T1084" s="149">
        <f t="shared" si="701"/>
        <v>0</v>
      </c>
      <c r="U1084" s="149">
        <f t="shared" si="701"/>
        <v>0</v>
      </c>
      <c r="V1084" s="149">
        <f t="shared" si="701"/>
        <v>0</v>
      </c>
      <c r="W1084" s="149">
        <f t="shared" si="701"/>
        <v>0</v>
      </c>
      <c r="X1084" s="149">
        <f t="shared" si="701"/>
        <v>0</v>
      </c>
      <c r="Y1084" s="149">
        <f t="shared" si="701"/>
        <v>0</v>
      </c>
      <c r="Z1084" s="149">
        <f t="shared" si="701"/>
        <v>0</v>
      </c>
      <c r="AA1084" s="149">
        <f t="shared" si="701"/>
        <v>0</v>
      </c>
      <c r="AB1084" s="149">
        <f t="shared" si="701"/>
        <v>0</v>
      </c>
      <c r="AC1084" s="149">
        <f t="shared" si="701"/>
        <v>0</v>
      </c>
      <c r="AD1084" s="149">
        <f t="shared" si="701"/>
        <v>0</v>
      </c>
      <c r="AE1084" s="149">
        <f t="shared" si="701"/>
        <v>0</v>
      </c>
      <c r="AF1084" s="149">
        <f t="shared" si="701"/>
        <v>0</v>
      </c>
      <c r="AG1084" s="149">
        <f t="shared" si="701"/>
        <v>0</v>
      </c>
    </row>
    <row r="1085" spans="1:33" ht="14.25" hidden="1" customHeight="1" outlineLevel="1" x14ac:dyDescent="0.35">
      <c r="A1085" s="21"/>
      <c r="B1085" s="21"/>
      <c r="C1085" s="21"/>
      <c r="D1085" s="128" t="s">
        <v>4297</v>
      </c>
      <c r="E1085" s="128"/>
      <c r="F1085" s="21"/>
      <c r="G1085" s="21"/>
      <c r="H1085" s="21"/>
      <c r="I1085" s="22" t="s">
        <v>3921</v>
      </c>
      <c r="J1085" s="201">
        <v>0</v>
      </c>
      <c r="K1085" s="201">
        <v>0</v>
      </c>
      <c r="L1085" s="201">
        <v>0</v>
      </c>
      <c r="M1085" s="201">
        <v>0</v>
      </c>
      <c r="N1085" s="201">
        <v>0</v>
      </c>
      <c r="O1085" s="201">
        <v>0</v>
      </c>
      <c r="P1085" s="201">
        <v>0</v>
      </c>
      <c r="Q1085" s="201">
        <v>0</v>
      </c>
      <c r="R1085" s="149">
        <v>0</v>
      </c>
      <c r="S1085" s="149">
        <v>0</v>
      </c>
      <c r="T1085" s="149">
        <v>0</v>
      </c>
      <c r="U1085" s="149">
        <v>0</v>
      </c>
      <c r="V1085" s="149">
        <v>0</v>
      </c>
      <c r="W1085" s="149">
        <v>0</v>
      </c>
      <c r="X1085" s="149">
        <v>0</v>
      </c>
      <c r="Y1085" s="149">
        <v>0</v>
      </c>
      <c r="Z1085" s="149">
        <v>0</v>
      </c>
      <c r="AA1085" s="149">
        <v>0</v>
      </c>
      <c r="AB1085" s="149">
        <v>0</v>
      </c>
      <c r="AC1085" s="149">
        <v>0</v>
      </c>
      <c r="AD1085" s="149">
        <v>0</v>
      </c>
      <c r="AE1085" s="149">
        <v>0</v>
      </c>
      <c r="AF1085" s="149">
        <v>0</v>
      </c>
      <c r="AG1085" s="149">
        <v>0</v>
      </c>
    </row>
    <row r="1086" spans="1:33" ht="14.25" hidden="1" customHeight="1" outlineLevel="1" x14ac:dyDescent="0.35">
      <c r="A1086" s="21"/>
      <c r="B1086" s="21"/>
      <c r="C1086" s="21"/>
      <c r="D1086" s="128" t="s">
        <v>4298</v>
      </c>
      <c r="E1086" s="128"/>
      <c r="F1086" s="21"/>
      <c r="G1086" s="21"/>
      <c r="H1086" s="21"/>
      <c r="I1086" s="22" t="s">
        <v>3921</v>
      </c>
      <c r="J1086" s="148">
        <f t="shared" ref="J1086:AG1086" si="702">J1083+J1084-J1085</f>
        <v>0</v>
      </c>
      <c r="K1086" s="148">
        <f t="shared" si="702"/>
        <v>0</v>
      </c>
      <c r="L1086" s="148">
        <f t="shared" si="702"/>
        <v>0</v>
      </c>
      <c r="M1086" s="148">
        <f t="shared" si="702"/>
        <v>0</v>
      </c>
      <c r="N1086" s="148">
        <f t="shared" si="702"/>
        <v>0</v>
      </c>
      <c r="O1086" s="148">
        <f t="shared" si="702"/>
        <v>0</v>
      </c>
      <c r="P1086" s="148">
        <f t="shared" si="702"/>
        <v>0</v>
      </c>
      <c r="Q1086" s="148">
        <f t="shared" si="702"/>
        <v>0</v>
      </c>
      <c r="R1086" s="149">
        <f t="shared" si="702"/>
        <v>0</v>
      </c>
      <c r="S1086" s="149">
        <f t="shared" si="702"/>
        <v>0</v>
      </c>
      <c r="T1086" s="149">
        <f t="shared" si="702"/>
        <v>0</v>
      </c>
      <c r="U1086" s="149">
        <f t="shared" si="702"/>
        <v>0</v>
      </c>
      <c r="V1086" s="149">
        <f t="shared" si="702"/>
        <v>0</v>
      </c>
      <c r="W1086" s="149">
        <f t="shared" si="702"/>
        <v>0</v>
      </c>
      <c r="X1086" s="149">
        <f t="shared" si="702"/>
        <v>0</v>
      </c>
      <c r="Y1086" s="149">
        <f t="shared" si="702"/>
        <v>0</v>
      </c>
      <c r="Z1086" s="149">
        <f t="shared" si="702"/>
        <v>0</v>
      </c>
      <c r="AA1086" s="149">
        <f t="shared" si="702"/>
        <v>0</v>
      </c>
      <c r="AB1086" s="149">
        <f t="shared" si="702"/>
        <v>0</v>
      </c>
      <c r="AC1086" s="149">
        <f t="shared" si="702"/>
        <v>0</v>
      </c>
      <c r="AD1086" s="149">
        <f t="shared" si="702"/>
        <v>0</v>
      </c>
      <c r="AE1086" s="149">
        <f t="shared" si="702"/>
        <v>0</v>
      </c>
      <c r="AF1086" s="149">
        <f t="shared" si="702"/>
        <v>0</v>
      </c>
      <c r="AG1086" s="149">
        <f t="shared" si="702"/>
        <v>0</v>
      </c>
    </row>
    <row r="1087" spans="1:33" ht="14.25" hidden="1" customHeight="1" outlineLevel="1" x14ac:dyDescent="0.35">
      <c r="A1087" s="21"/>
      <c r="B1087" s="21"/>
      <c r="C1087" s="21"/>
      <c r="D1087" s="128" t="s">
        <v>4299</v>
      </c>
      <c r="E1087" s="128"/>
      <c r="F1087" s="21"/>
      <c r="G1087" s="21"/>
      <c r="H1087" s="21"/>
      <c r="I1087" s="22" t="s">
        <v>3921</v>
      </c>
      <c r="J1087" s="201">
        <v>0</v>
      </c>
      <c r="K1087" s="201">
        <v>0</v>
      </c>
      <c r="L1087" s="201">
        <v>0</v>
      </c>
      <c r="M1087" s="201">
        <v>0</v>
      </c>
      <c r="N1087" s="201">
        <v>0</v>
      </c>
      <c r="O1087" s="201">
        <v>0</v>
      </c>
      <c r="P1087" s="201">
        <v>0</v>
      </c>
      <c r="Q1087" s="201">
        <v>0</v>
      </c>
      <c r="R1087" s="149">
        <v>0</v>
      </c>
      <c r="S1087" s="149">
        <v>0</v>
      </c>
      <c r="T1087" s="149">
        <v>0</v>
      </c>
      <c r="U1087" s="149">
        <v>0</v>
      </c>
      <c r="V1087" s="149">
        <v>0</v>
      </c>
      <c r="W1087" s="149">
        <v>0</v>
      </c>
      <c r="X1087" s="149">
        <v>0</v>
      </c>
      <c r="Y1087" s="149">
        <v>0</v>
      </c>
      <c r="Z1087" s="149">
        <v>0</v>
      </c>
      <c r="AA1087" s="149">
        <v>0</v>
      </c>
      <c r="AB1087" s="149">
        <v>0</v>
      </c>
      <c r="AC1087" s="149">
        <v>0</v>
      </c>
      <c r="AD1087" s="149">
        <v>0</v>
      </c>
      <c r="AE1087" s="149">
        <v>0</v>
      </c>
      <c r="AF1087" s="149">
        <v>0</v>
      </c>
      <c r="AG1087" s="149">
        <v>0</v>
      </c>
    </row>
    <row r="1088" spans="1:33" ht="14.25" hidden="1" customHeight="1" outlineLevel="1" x14ac:dyDescent="0.35">
      <c r="A1088" s="21"/>
      <c r="B1088" s="21"/>
      <c r="C1088" s="21"/>
      <c r="D1088" s="128" t="s">
        <v>4323</v>
      </c>
      <c r="E1088" s="128"/>
      <c r="F1088" s="21"/>
      <c r="G1088" s="21"/>
      <c r="H1088" s="21"/>
      <c r="I1088" s="22" t="s">
        <v>3921</v>
      </c>
      <c r="J1088" s="201">
        <v>541998.61553684098</v>
      </c>
      <c r="K1088" s="201">
        <v>541998.61553684098</v>
      </c>
      <c r="L1088" s="201">
        <v>502143.57193802099</v>
      </c>
      <c r="M1088" s="201">
        <v>203764.03487510601</v>
      </c>
      <c r="N1088" s="201">
        <v>272106.87889638601</v>
      </c>
      <c r="O1088" s="201">
        <v>169144.67644084501</v>
      </c>
      <c r="P1088" s="201">
        <v>115653.717717527</v>
      </c>
      <c r="Q1088" s="201">
        <v>0</v>
      </c>
      <c r="R1088" s="149">
        <f t="shared" ref="R1088:AG1088" si="703">Q1091</f>
        <v>105574.00409106701</v>
      </c>
      <c r="S1088" s="149">
        <f t="shared" si="703"/>
        <v>105574.00409106701</v>
      </c>
      <c r="T1088" s="149">
        <f t="shared" si="703"/>
        <v>105574.00409106701</v>
      </c>
      <c r="U1088" s="149">
        <f t="shared" si="703"/>
        <v>105574.00409106701</v>
      </c>
      <c r="V1088" s="149">
        <f t="shared" si="703"/>
        <v>105574.00409106701</v>
      </c>
      <c r="W1088" s="149">
        <f t="shared" si="703"/>
        <v>105574.00409106701</v>
      </c>
      <c r="X1088" s="149">
        <f t="shared" si="703"/>
        <v>105574.00409106701</v>
      </c>
      <c r="Y1088" s="149">
        <f t="shared" si="703"/>
        <v>105574.00409106701</v>
      </c>
      <c r="Z1088" s="149">
        <f t="shared" si="703"/>
        <v>105574.00409106701</v>
      </c>
      <c r="AA1088" s="149">
        <f t="shared" si="703"/>
        <v>105574.00409106701</v>
      </c>
      <c r="AB1088" s="149">
        <f t="shared" si="703"/>
        <v>105574.00409106701</v>
      </c>
      <c r="AC1088" s="149">
        <f t="shared" si="703"/>
        <v>105574.00409106701</v>
      </c>
      <c r="AD1088" s="149">
        <f t="shared" si="703"/>
        <v>105574.00409106701</v>
      </c>
      <c r="AE1088" s="149">
        <f t="shared" si="703"/>
        <v>105574.00409106701</v>
      </c>
      <c r="AF1088" s="149">
        <f t="shared" si="703"/>
        <v>105574.00409106701</v>
      </c>
      <c r="AG1088" s="149">
        <f t="shared" si="703"/>
        <v>105574.00409106701</v>
      </c>
    </row>
    <row r="1089" spans="1:33" ht="14.25" hidden="1" customHeight="1" outlineLevel="1" x14ac:dyDescent="0.35">
      <c r="A1089" s="21"/>
      <c r="B1089" s="21"/>
      <c r="C1089" s="21"/>
      <c r="D1089" s="128" t="s">
        <v>4296</v>
      </c>
      <c r="E1089" s="128"/>
      <c r="F1089" s="21"/>
      <c r="G1089" s="21"/>
      <c r="H1089" s="21"/>
      <c r="I1089" s="22" t="s">
        <v>3921</v>
      </c>
      <c r="J1089" s="201">
        <v>0</v>
      </c>
      <c r="K1089" s="201">
        <v>-39855.043598819502</v>
      </c>
      <c r="L1089" s="201">
        <v>-298379.53706291498</v>
      </c>
      <c r="M1089" s="201">
        <v>68342.844021280005</v>
      </c>
      <c r="N1089" s="201">
        <v>-102962.202455541</v>
      </c>
      <c r="O1089" s="201">
        <v>-53490.958723318203</v>
      </c>
      <c r="P1089" s="201">
        <v>-115653.717717527</v>
      </c>
      <c r="Q1089" s="201">
        <v>105574.00409106701</v>
      </c>
      <c r="R1089" s="149">
        <f t="shared" ref="R1089:AG1089" si="704">R1090</f>
        <v>0</v>
      </c>
      <c r="S1089" s="149">
        <f t="shared" si="704"/>
        <v>0</v>
      </c>
      <c r="T1089" s="149">
        <f t="shared" si="704"/>
        <v>0</v>
      </c>
      <c r="U1089" s="149">
        <f t="shared" si="704"/>
        <v>0</v>
      </c>
      <c r="V1089" s="149">
        <f t="shared" si="704"/>
        <v>0</v>
      </c>
      <c r="W1089" s="149">
        <f t="shared" si="704"/>
        <v>0</v>
      </c>
      <c r="X1089" s="149">
        <f t="shared" si="704"/>
        <v>0</v>
      </c>
      <c r="Y1089" s="149">
        <f t="shared" si="704"/>
        <v>0</v>
      </c>
      <c r="Z1089" s="149">
        <f t="shared" si="704"/>
        <v>0</v>
      </c>
      <c r="AA1089" s="149">
        <f t="shared" si="704"/>
        <v>0</v>
      </c>
      <c r="AB1089" s="149">
        <f t="shared" si="704"/>
        <v>0</v>
      </c>
      <c r="AC1089" s="149">
        <f t="shared" si="704"/>
        <v>0</v>
      </c>
      <c r="AD1089" s="149">
        <f t="shared" si="704"/>
        <v>0</v>
      </c>
      <c r="AE1089" s="149">
        <f t="shared" si="704"/>
        <v>0</v>
      </c>
      <c r="AF1089" s="149">
        <f t="shared" si="704"/>
        <v>0</v>
      </c>
      <c r="AG1089" s="149">
        <f t="shared" si="704"/>
        <v>0</v>
      </c>
    </row>
    <row r="1090" spans="1:33" ht="14.25" hidden="1" customHeight="1" outlineLevel="1" x14ac:dyDescent="0.35">
      <c r="A1090" s="21"/>
      <c r="B1090" s="21"/>
      <c r="C1090" s="21"/>
      <c r="D1090" s="128" t="s">
        <v>4297</v>
      </c>
      <c r="E1090" s="128"/>
      <c r="F1090" s="21"/>
      <c r="G1090" s="21"/>
      <c r="H1090" s="21"/>
      <c r="I1090" s="22" t="s">
        <v>3921</v>
      </c>
      <c r="J1090" s="201">
        <v>0</v>
      </c>
      <c r="K1090" s="201">
        <v>0</v>
      </c>
      <c r="L1090" s="201">
        <v>0</v>
      </c>
      <c r="M1090" s="201">
        <v>0</v>
      </c>
      <c r="N1090" s="201">
        <v>0</v>
      </c>
      <c r="O1090" s="201">
        <v>0</v>
      </c>
      <c r="P1090" s="201">
        <v>0</v>
      </c>
      <c r="Q1090" s="201">
        <v>0</v>
      </c>
      <c r="R1090" s="149">
        <v>0</v>
      </c>
      <c r="S1090" s="149">
        <v>0</v>
      </c>
      <c r="T1090" s="149">
        <v>0</v>
      </c>
      <c r="U1090" s="149">
        <v>0</v>
      </c>
      <c r="V1090" s="149">
        <v>0</v>
      </c>
      <c r="W1090" s="149">
        <v>0</v>
      </c>
      <c r="X1090" s="149">
        <v>0</v>
      </c>
      <c r="Y1090" s="149">
        <v>0</v>
      </c>
      <c r="Z1090" s="149">
        <v>0</v>
      </c>
      <c r="AA1090" s="149">
        <v>0</v>
      </c>
      <c r="AB1090" s="149">
        <v>0</v>
      </c>
      <c r="AC1090" s="149">
        <v>0</v>
      </c>
      <c r="AD1090" s="149">
        <v>0</v>
      </c>
      <c r="AE1090" s="149">
        <v>0</v>
      </c>
      <c r="AF1090" s="149">
        <v>0</v>
      </c>
      <c r="AG1090" s="149">
        <v>0</v>
      </c>
    </row>
    <row r="1091" spans="1:33" ht="14.25" hidden="1" customHeight="1" outlineLevel="1" x14ac:dyDescent="0.35">
      <c r="A1091" s="21"/>
      <c r="B1091" s="21"/>
      <c r="C1091" s="21"/>
      <c r="D1091" s="128" t="s">
        <v>4298</v>
      </c>
      <c r="E1091" s="128"/>
      <c r="F1091" s="21"/>
      <c r="G1091" s="21"/>
      <c r="H1091" s="21"/>
      <c r="I1091" s="22" t="s">
        <v>3921</v>
      </c>
      <c r="J1091" s="148">
        <f t="shared" ref="J1091:AG1091" si="705">J1088+J1089-J1090</f>
        <v>541998.61553684098</v>
      </c>
      <c r="K1091" s="148">
        <f t="shared" si="705"/>
        <v>502143.57193802146</v>
      </c>
      <c r="L1091" s="148">
        <f t="shared" si="705"/>
        <v>203764.03487510601</v>
      </c>
      <c r="M1091" s="148">
        <f t="shared" si="705"/>
        <v>272106.87889638601</v>
      </c>
      <c r="N1091" s="148">
        <f t="shared" si="705"/>
        <v>169144.67644084501</v>
      </c>
      <c r="O1091" s="148">
        <f t="shared" si="705"/>
        <v>115653.7177175268</v>
      </c>
      <c r="P1091" s="148">
        <f t="shared" si="705"/>
        <v>0</v>
      </c>
      <c r="Q1091" s="148">
        <f t="shared" si="705"/>
        <v>105574.00409106701</v>
      </c>
      <c r="R1091" s="149">
        <f t="shared" si="705"/>
        <v>105574.00409106701</v>
      </c>
      <c r="S1091" s="149">
        <f t="shared" si="705"/>
        <v>105574.00409106701</v>
      </c>
      <c r="T1091" s="149">
        <f t="shared" si="705"/>
        <v>105574.00409106701</v>
      </c>
      <c r="U1091" s="149">
        <f t="shared" si="705"/>
        <v>105574.00409106701</v>
      </c>
      <c r="V1091" s="149">
        <f t="shared" si="705"/>
        <v>105574.00409106701</v>
      </c>
      <c r="W1091" s="149">
        <f t="shared" si="705"/>
        <v>105574.00409106701</v>
      </c>
      <c r="X1091" s="149">
        <f t="shared" si="705"/>
        <v>105574.00409106701</v>
      </c>
      <c r="Y1091" s="149">
        <f t="shared" si="705"/>
        <v>105574.00409106701</v>
      </c>
      <c r="Z1091" s="149">
        <f t="shared" si="705"/>
        <v>105574.00409106701</v>
      </c>
      <c r="AA1091" s="149">
        <f t="shared" si="705"/>
        <v>105574.00409106701</v>
      </c>
      <c r="AB1091" s="149">
        <f t="shared" si="705"/>
        <v>105574.00409106701</v>
      </c>
      <c r="AC1091" s="149">
        <f t="shared" si="705"/>
        <v>105574.00409106701</v>
      </c>
      <c r="AD1091" s="149">
        <f t="shared" si="705"/>
        <v>105574.00409106701</v>
      </c>
      <c r="AE1091" s="149">
        <f t="shared" si="705"/>
        <v>105574.00409106701</v>
      </c>
      <c r="AF1091" s="149">
        <f t="shared" si="705"/>
        <v>105574.00409106701</v>
      </c>
      <c r="AG1091" s="149">
        <f t="shared" si="705"/>
        <v>105574.00409106701</v>
      </c>
    </row>
    <row r="1092" spans="1:33" ht="14.25" hidden="1" customHeight="1" outlineLevel="1" x14ac:dyDescent="0.35">
      <c r="A1092" s="21"/>
      <c r="B1092" s="21"/>
      <c r="C1092" s="21"/>
      <c r="D1092" s="128" t="s">
        <v>4299</v>
      </c>
      <c r="E1092" s="128"/>
      <c r="F1092" s="21"/>
      <c r="G1092" s="21"/>
      <c r="H1092" s="21"/>
      <c r="I1092" s="22" t="s">
        <v>3921</v>
      </c>
      <c r="J1092" s="201">
        <v>0</v>
      </c>
      <c r="K1092" s="201">
        <v>0</v>
      </c>
      <c r="L1092" s="201">
        <v>0</v>
      </c>
      <c r="M1092" s="201">
        <v>0</v>
      </c>
      <c r="N1092" s="201">
        <v>0</v>
      </c>
      <c r="O1092" s="201">
        <v>0</v>
      </c>
      <c r="P1092" s="201">
        <v>0</v>
      </c>
      <c r="Q1092" s="201">
        <v>0</v>
      </c>
      <c r="R1092" s="149">
        <v>0</v>
      </c>
      <c r="S1092" s="149">
        <v>0</v>
      </c>
      <c r="T1092" s="149">
        <v>0</v>
      </c>
      <c r="U1092" s="149">
        <v>0</v>
      </c>
      <c r="V1092" s="149">
        <v>0</v>
      </c>
      <c r="W1092" s="149">
        <v>0</v>
      </c>
      <c r="X1092" s="149">
        <v>0</v>
      </c>
      <c r="Y1092" s="149">
        <v>0</v>
      </c>
      <c r="Z1092" s="149">
        <v>0</v>
      </c>
      <c r="AA1092" s="149">
        <v>0</v>
      </c>
      <c r="AB1092" s="149">
        <v>0</v>
      </c>
      <c r="AC1092" s="149">
        <v>0</v>
      </c>
      <c r="AD1092" s="149">
        <v>0</v>
      </c>
      <c r="AE1092" s="149">
        <v>0</v>
      </c>
      <c r="AF1092" s="149">
        <v>0</v>
      </c>
      <c r="AG1092" s="149">
        <v>0</v>
      </c>
    </row>
    <row r="1093" spans="1:33" ht="14.25" hidden="1" customHeight="1" outlineLevel="1" x14ac:dyDescent="0.35">
      <c r="A1093" s="21"/>
      <c r="B1093" s="21"/>
      <c r="C1093" s="21"/>
      <c r="D1093" s="128" t="s">
        <v>4324</v>
      </c>
      <c r="E1093" s="128"/>
      <c r="F1093" s="21"/>
      <c r="G1093" s="21"/>
      <c r="H1093" s="21"/>
      <c r="I1093" s="22" t="s">
        <v>3921</v>
      </c>
      <c r="J1093" s="201">
        <v>107781.948529712</v>
      </c>
      <c r="K1093" s="201">
        <v>107781.948529712</v>
      </c>
      <c r="L1093" s="201">
        <v>99856.366923636204</v>
      </c>
      <c r="M1093" s="201">
        <v>40520.555015370403</v>
      </c>
      <c r="N1093" s="201">
        <v>54111.226071568002</v>
      </c>
      <c r="O1093" s="201">
        <v>33636.142764248099</v>
      </c>
      <c r="P1093" s="201">
        <v>22858.8157049152</v>
      </c>
      <c r="Q1093" s="201">
        <v>94318.472128949303</v>
      </c>
      <c r="R1093" s="149">
        <f t="shared" ref="R1093:AG1093" si="706">Q1096</f>
        <v>20965.094093302541</v>
      </c>
      <c r="S1093" s="149">
        <f t="shared" si="706"/>
        <v>20965.094093302541</v>
      </c>
      <c r="T1093" s="149">
        <f t="shared" si="706"/>
        <v>20965.094093302541</v>
      </c>
      <c r="U1093" s="149">
        <f t="shared" si="706"/>
        <v>20965.094093302541</v>
      </c>
      <c r="V1093" s="149">
        <f t="shared" si="706"/>
        <v>20965.094093302541</v>
      </c>
      <c r="W1093" s="149">
        <f t="shared" si="706"/>
        <v>20965.094093302541</v>
      </c>
      <c r="X1093" s="149">
        <f t="shared" si="706"/>
        <v>20965.094093302541</v>
      </c>
      <c r="Y1093" s="149">
        <f t="shared" si="706"/>
        <v>20965.094093302541</v>
      </c>
      <c r="Z1093" s="149">
        <f t="shared" si="706"/>
        <v>20965.094093302541</v>
      </c>
      <c r="AA1093" s="149">
        <f t="shared" si="706"/>
        <v>20965.094093302541</v>
      </c>
      <c r="AB1093" s="149">
        <f t="shared" si="706"/>
        <v>20965.094093302541</v>
      </c>
      <c r="AC1093" s="149">
        <f t="shared" si="706"/>
        <v>20965.094093302541</v>
      </c>
      <c r="AD1093" s="149">
        <f t="shared" si="706"/>
        <v>20965.094093302541</v>
      </c>
      <c r="AE1093" s="149">
        <f t="shared" si="706"/>
        <v>20965.094093302541</v>
      </c>
      <c r="AF1093" s="149">
        <f t="shared" si="706"/>
        <v>20965.094093302541</v>
      </c>
      <c r="AG1093" s="149">
        <f t="shared" si="706"/>
        <v>20965.094093302541</v>
      </c>
    </row>
    <row r="1094" spans="1:33" ht="14.25" hidden="1" customHeight="1" outlineLevel="1" x14ac:dyDescent="0.35">
      <c r="A1094" s="21"/>
      <c r="B1094" s="21"/>
      <c r="C1094" s="21"/>
      <c r="D1094" s="128" t="s">
        <v>4296</v>
      </c>
      <c r="E1094" s="128"/>
      <c r="F1094" s="21"/>
      <c r="G1094" s="21"/>
      <c r="H1094" s="21"/>
      <c r="I1094" s="22" t="s">
        <v>3921</v>
      </c>
      <c r="J1094" s="201">
        <v>15479.4287875092</v>
      </c>
      <c r="K1094" s="201">
        <v>6415.5909358989802</v>
      </c>
      <c r="L1094" s="201">
        <v>-53516.330498422401</v>
      </c>
      <c r="M1094" s="201">
        <v>31941.8274039934</v>
      </c>
      <c r="N1094" s="201">
        <v>-17161.487999533299</v>
      </c>
      <c r="O1094" s="201">
        <v>-12170.3562877033</v>
      </c>
      <c r="P1094" s="201">
        <v>72912.741274381493</v>
      </c>
      <c r="Q1094" s="201">
        <v>-73353.378035615096</v>
      </c>
      <c r="R1094" s="149">
        <f t="shared" ref="R1094:AG1094" si="707">R1095</f>
        <v>7228.4597702800056</v>
      </c>
      <c r="S1094" s="149">
        <f t="shared" si="707"/>
        <v>7240.6533112714687</v>
      </c>
      <c r="T1094" s="149">
        <f t="shared" si="707"/>
        <v>7225.675700066422</v>
      </c>
      <c r="U1094" s="149">
        <f t="shared" si="707"/>
        <v>7231.5904134644452</v>
      </c>
      <c r="V1094" s="149">
        <f t="shared" si="707"/>
        <v>7232.6345638930743</v>
      </c>
      <c r="W1094" s="149">
        <f t="shared" si="707"/>
        <v>7229.9655935135079</v>
      </c>
      <c r="X1094" s="149">
        <f t="shared" si="707"/>
        <v>7231.3966901824133</v>
      </c>
      <c r="Y1094" s="149">
        <f t="shared" si="707"/>
        <v>7231.3321180614848</v>
      </c>
      <c r="Z1094" s="149">
        <f t="shared" si="707"/>
        <v>7230.8980736861722</v>
      </c>
      <c r="AA1094" s="149">
        <f t="shared" si="707"/>
        <v>7231.2089538642285</v>
      </c>
      <c r="AB1094" s="149">
        <f t="shared" si="707"/>
        <v>7231.1463772576662</v>
      </c>
      <c r="AC1094" s="149">
        <f t="shared" si="707"/>
        <v>7231.0844657767002</v>
      </c>
      <c r="AD1094" s="149">
        <f t="shared" si="707"/>
        <v>7231.1465986090052</v>
      </c>
      <c r="AE1094" s="149">
        <f t="shared" si="707"/>
        <v>7231.125813762902</v>
      </c>
      <c r="AF1094" s="149">
        <f t="shared" si="707"/>
        <v>7231.1189592906567</v>
      </c>
      <c r="AG1094" s="149">
        <f t="shared" si="707"/>
        <v>7231.1304572017425</v>
      </c>
    </row>
    <row r="1095" spans="1:33" ht="14.25" hidden="1" customHeight="1" outlineLevel="1" x14ac:dyDescent="0.35">
      <c r="A1095" s="21"/>
      <c r="B1095" s="21"/>
      <c r="C1095" s="21"/>
      <c r="D1095" s="128" t="s">
        <v>4297</v>
      </c>
      <c r="E1095" s="128"/>
      <c r="F1095" s="21"/>
      <c r="G1095" s="21"/>
      <c r="H1095" s="21"/>
      <c r="I1095" s="22" t="s">
        <v>3921</v>
      </c>
      <c r="J1095" s="201">
        <v>15479.4287875092</v>
      </c>
      <c r="K1095" s="201">
        <v>14341.1725419749</v>
      </c>
      <c r="L1095" s="201">
        <v>5819.4814098433499</v>
      </c>
      <c r="M1095" s="201">
        <v>18351.156347795801</v>
      </c>
      <c r="N1095" s="201">
        <v>3313.5953077866202</v>
      </c>
      <c r="O1095" s="201">
        <v>-1393.02922837037</v>
      </c>
      <c r="P1095" s="201">
        <v>1453.0848503473901</v>
      </c>
      <c r="Q1095" s="201">
        <v>3.1664967536926303E-8</v>
      </c>
      <c r="R1095" s="149">
        <v>7228.4597702800056</v>
      </c>
      <c r="S1095" s="149">
        <v>7240.6533112714687</v>
      </c>
      <c r="T1095" s="149">
        <v>7225.675700066422</v>
      </c>
      <c r="U1095" s="149">
        <v>7231.5904134644452</v>
      </c>
      <c r="V1095" s="149">
        <v>7232.6345638930743</v>
      </c>
      <c r="W1095" s="149">
        <v>7229.9655935135079</v>
      </c>
      <c r="X1095" s="149">
        <v>7231.3966901824133</v>
      </c>
      <c r="Y1095" s="149">
        <v>7231.3321180614848</v>
      </c>
      <c r="Z1095" s="149">
        <v>7230.8980736861722</v>
      </c>
      <c r="AA1095" s="149">
        <v>7231.2089538642285</v>
      </c>
      <c r="AB1095" s="149">
        <v>7231.1463772576662</v>
      </c>
      <c r="AC1095" s="149">
        <v>7231.0844657767002</v>
      </c>
      <c r="AD1095" s="149">
        <v>7231.1465986090052</v>
      </c>
      <c r="AE1095" s="149">
        <v>7231.125813762902</v>
      </c>
      <c r="AF1095" s="149">
        <v>7231.1189592906567</v>
      </c>
      <c r="AG1095" s="149">
        <v>7231.1304572017425</v>
      </c>
    </row>
    <row r="1096" spans="1:33" ht="14.25" hidden="1" customHeight="1" outlineLevel="1" x14ac:dyDescent="0.35">
      <c r="A1096" s="21"/>
      <c r="B1096" s="21"/>
      <c r="C1096" s="21"/>
      <c r="D1096" s="128" t="s">
        <v>4298</v>
      </c>
      <c r="E1096" s="128"/>
      <c r="F1096" s="21"/>
      <c r="G1096" s="21"/>
      <c r="H1096" s="21"/>
      <c r="I1096" s="22" t="s">
        <v>3921</v>
      </c>
      <c r="J1096" s="148">
        <f t="shared" ref="J1096:AG1096" si="708">J1093+J1094-J1095</f>
        <v>107781.948529712</v>
      </c>
      <c r="K1096" s="148">
        <f t="shared" si="708"/>
        <v>99856.366923636073</v>
      </c>
      <c r="L1096" s="148">
        <f t="shared" si="708"/>
        <v>40520.555015370453</v>
      </c>
      <c r="M1096" s="148">
        <f t="shared" si="708"/>
        <v>54111.226071568002</v>
      </c>
      <c r="N1096" s="148">
        <f t="shared" si="708"/>
        <v>33636.142764248078</v>
      </c>
      <c r="O1096" s="148">
        <f t="shared" si="708"/>
        <v>22858.81570491517</v>
      </c>
      <c r="P1096" s="148">
        <f t="shared" si="708"/>
        <v>94318.472128949303</v>
      </c>
      <c r="Q1096" s="148">
        <f t="shared" si="708"/>
        <v>20965.094093302541</v>
      </c>
      <c r="R1096" s="149">
        <f t="shared" si="708"/>
        <v>20965.094093302541</v>
      </c>
      <c r="S1096" s="149">
        <f t="shared" si="708"/>
        <v>20965.094093302541</v>
      </c>
      <c r="T1096" s="149">
        <f t="shared" si="708"/>
        <v>20965.094093302541</v>
      </c>
      <c r="U1096" s="149">
        <f t="shared" si="708"/>
        <v>20965.094093302541</v>
      </c>
      <c r="V1096" s="149">
        <f t="shared" si="708"/>
        <v>20965.094093302541</v>
      </c>
      <c r="W1096" s="149">
        <f t="shared" si="708"/>
        <v>20965.094093302541</v>
      </c>
      <c r="X1096" s="149">
        <f t="shared" si="708"/>
        <v>20965.094093302541</v>
      </c>
      <c r="Y1096" s="149">
        <f t="shared" si="708"/>
        <v>20965.094093302541</v>
      </c>
      <c r="Z1096" s="149">
        <f t="shared" si="708"/>
        <v>20965.094093302541</v>
      </c>
      <c r="AA1096" s="149">
        <f t="shared" si="708"/>
        <v>20965.094093302541</v>
      </c>
      <c r="AB1096" s="149">
        <f t="shared" si="708"/>
        <v>20965.094093302541</v>
      </c>
      <c r="AC1096" s="149">
        <f t="shared" si="708"/>
        <v>20965.094093302541</v>
      </c>
      <c r="AD1096" s="149">
        <f t="shared" si="708"/>
        <v>20965.094093302541</v>
      </c>
      <c r="AE1096" s="149">
        <f t="shared" si="708"/>
        <v>20965.094093302541</v>
      </c>
      <c r="AF1096" s="149">
        <f t="shared" si="708"/>
        <v>20965.094093302541</v>
      </c>
      <c r="AG1096" s="149">
        <f t="shared" si="708"/>
        <v>20965.094093302541</v>
      </c>
    </row>
    <row r="1097" spans="1:33" ht="14.25" hidden="1" customHeight="1" outlineLevel="1" x14ac:dyDescent="0.35">
      <c r="A1097" s="21"/>
      <c r="B1097" s="21"/>
      <c r="C1097" s="21"/>
      <c r="D1097" s="128" t="s">
        <v>4299</v>
      </c>
      <c r="E1097" s="128"/>
      <c r="F1097" s="21"/>
      <c r="G1097" s="21"/>
      <c r="H1097" s="21"/>
      <c r="I1097" s="22" t="s">
        <v>3921</v>
      </c>
      <c r="J1097" s="201">
        <v>4.4703483581543002E-8</v>
      </c>
      <c r="K1097" s="201">
        <v>-2.2351741790771501E-8</v>
      </c>
      <c r="L1097" s="201">
        <v>-2.9802322387695299E-8</v>
      </c>
      <c r="M1097" s="201">
        <v>-1480.3657563403301</v>
      </c>
      <c r="N1097" s="201">
        <v>-1516.6030137576199</v>
      </c>
      <c r="O1097" s="201">
        <v>-1529.20417427085</v>
      </c>
      <c r="P1097" s="201">
        <v>4.4703483581543002E-8</v>
      </c>
      <c r="Q1097" s="201">
        <v>-5.5879354476928703E-9</v>
      </c>
      <c r="R1097" s="149">
        <v>-570.33594994815678</v>
      </c>
      <c r="S1097" s="149">
        <v>-571.29803800088291</v>
      </c>
      <c r="T1097" s="149">
        <v>-570.1162827741739</v>
      </c>
      <c r="U1097" s="149">
        <v>-570.58296223172613</v>
      </c>
      <c r="V1097" s="149">
        <v>-570.665347213524</v>
      </c>
      <c r="W1097" s="149">
        <v>-570.45476158322526</v>
      </c>
      <c r="X1097" s="149">
        <v>-570.56767718406786</v>
      </c>
      <c r="Y1097" s="149">
        <v>-570.56258235016128</v>
      </c>
      <c r="Z1097" s="149">
        <v>-570.52833562001672</v>
      </c>
      <c r="AA1097" s="149">
        <v>-570.55286451653228</v>
      </c>
      <c r="AB1097" s="149">
        <v>-570.54792713160066</v>
      </c>
      <c r="AC1097" s="149">
        <v>-570.54304222604242</v>
      </c>
      <c r="AD1097" s="149">
        <v>-570.54794459654204</v>
      </c>
      <c r="AE1097" s="149">
        <v>-570.54630464206718</v>
      </c>
      <c r="AF1097" s="149">
        <v>-570.54576381427489</v>
      </c>
      <c r="AG1097" s="149">
        <v>-570.54667101612006</v>
      </c>
    </row>
    <row r="1098" spans="1:33" ht="14.25" hidden="1" customHeight="1" outlineLevel="1" x14ac:dyDescent="0.35">
      <c r="A1098" s="21"/>
      <c r="B1098" s="21"/>
      <c r="C1098" s="21" t="s">
        <v>4325</v>
      </c>
      <c r="D1098" s="21"/>
      <c r="E1098" s="21"/>
      <c r="F1098" s="21"/>
      <c r="G1098" s="21"/>
      <c r="H1098" s="21"/>
      <c r="I1098" s="22" t="s">
        <v>3921</v>
      </c>
      <c r="J1098" s="60">
        <f t="shared" ref="J1098:AG1098" si="709">J968+J973+J978+J983+J988+J993+J998+J1003+J1008+J1013+J1018+J1023+J1028+J1033+J1038+J1043+J1048+J1053+J1058+J1063+J1068+J1073+J1078+J1083+J1088+J1093</f>
        <v>89381240.190023556</v>
      </c>
      <c r="K1098" s="60">
        <f t="shared" si="709"/>
        <v>88177240.075781226</v>
      </c>
      <c r="L1098" s="60">
        <f t="shared" si="709"/>
        <v>86394450.828303382</v>
      </c>
      <c r="M1098" s="60">
        <f t="shared" si="709"/>
        <v>95296713.077541843</v>
      </c>
      <c r="N1098" s="60">
        <f t="shared" si="709"/>
        <v>87434098.193098247</v>
      </c>
      <c r="O1098" s="60">
        <f t="shared" si="709"/>
        <v>106660664.24145868</v>
      </c>
      <c r="P1098" s="60">
        <f t="shared" si="709"/>
        <v>94451547.033811003</v>
      </c>
      <c r="Q1098" s="60">
        <f t="shared" si="709"/>
        <v>71656518.896528676</v>
      </c>
      <c r="R1098" s="190">
        <f t="shared" si="709"/>
        <v>76632433.969586745</v>
      </c>
      <c r="S1098" s="190">
        <f t="shared" si="709"/>
        <v>76632433.969586745</v>
      </c>
      <c r="T1098" s="190">
        <f t="shared" si="709"/>
        <v>76632433.969586745</v>
      </c>
      <c r="U1098" s="190">
        <f t="shared" si="709"/>
        <v>76632433.969586745</v>
      </c>
      <c r="V1098" s="190">
        <f t="shared" si="709"/>
        <v>76632433.96958676</v>
      </c>
      <c r="W1098" s="190">
        <f t="shared" si="709"/>
        <v>76632433.96958676</v>
      </c>
      <c r="X1098" s="190">
        <f t="shared" si="709"/>
        <v>76632433.96958676</v>
      </c>
      <c r="Y1098" s="190">
        <f t="shared" si="709"/>
        <v>76632433.96958676</v>
      </c>
      <c r="Z1098" s="190">
        <f t="shared" si="709"/>
        <v>76632433.96958676</v>
      </c>
      <c r="AA1098" s="190">
        <f t="shared" si="709"/>
        <v>76632433.96958676</v>
      </c>
      <c r="AB1098" s="190">
        <f t="shared" si="709"/>
        <v>76632433.96958676</v>
      </c>
      <c r="AC1098" s="190">
        <f t="shared" si="709"/>
        <v>76632433.96958676</v>
      </c>
      <c r="AD1098" s="190">
        <f t="shared" si="709"/>
        <v>76632433.96958676</v>
      </c>
      <c r="AE1098" s="190">
        <f t="shared" si="709"/>
        <v>76632433.96958676</v>
      </c>
      <c r="AF1098" s="190">
        <f t="shared" si="709"/>
        <v>76632433.96958676</v>
      </c>
      <c r="AG1098" s="190">
        <f t="shared" si="709"/>
        <v>76632433.96958676</v>
      </c>
    </row>
    <row r="1099" spans="1:33" ht="14.25" hidden="1" customHeight="1" outlineLevel="1" x14ac:dyDescent="0.35">
      <c r="A1099" s="21"/>
      <c r="B1099" s="21"/>
      <c r="C1099" s="21" t="s">
        <v>4326</v>
      </c>
      <c r="D1099" s="21"/>
      <c r="E1099" s="21"/>
      <c r="F1099" s="21"/>
      <c r="G1099" s="21"/>
      <c r="H1099" s="21"/>
      <c r="I1099" s="22" t="s">
        <v>3921</v>
      </c>
      <c r="J1099" s="60">
        <f t="shared" ref="J1099:AG1099" si="710">J969+J974+J979+J984+J989+J994+J999+J1004+J1009+J1014+J1019+J1024+J1029+J1034+J1039+J1044+J1049+J1054+J1059+J1064+J1069+J1074+J1079+J1084+J1089+J1094</f>
        <v>81213549.690335438</v>
      </c>
      <c r="K1099" s="60">
        <f t="shared" si="710"/>
        <v>40268501.041533552</v>
      </c>
      <c r="L1099" s="60">
        <f t="shared" si="710"/>
        <v>20534348.984052546</v>
      </c>
      <c r="M1099" s="60">
        <f t="shared" si="710"/>
        <v>11102671.052396683</v>
      </c>
      <c r="N1099" s="60">
        <f t="shared" si="710"/>
        <v>35069137.162783004</v>
      </c>
      <c r="O1099" s="60">
        <f t="shared" si="710"/>
        <v>12508544.08699093</v>
      </c>
      <c r="P1099" s="60">
        <f t="shared" si="710"/>
        <v>55824872.902951434</v>
      </c>
      <c r="Q1099" s="60">
        <f t="shared" si="710"/>
        <v>14430623.134823628</v>
      </c>
      <c r="R1099" s="190">
        <f t="shared" si="710"/>
        <v>38116743.479791492</v>
      </c>
      <c r="S1099" s="190">
        <f t="shared" si="710"/>
        <v>38314459.872655064</v>
      </c>
      <c r="T1099" s="190">
        <f t="shared" si="710"/>
        <v>38474986.531309135</v>
      </c>
      <c r="U1099" s="190">
        <f t="shared" si="710"/>
        <v>38506423.22059451</v>
      </c>
      <c r="V1099" s="190">
        <f t="shared" si="710"/>
        <v>38511972.877929263</v>
      </c>
      <c r="W1099" s="190">
        <f t="shared" si="710"/>
        <v>38497787.305968605</v>
      </c>
      <c r="X1099" s="190">
        <f t="shared" si="710"/>
        <v>38505393.581757493</v>
      </c>
      <c r="Y1099" s="190">
        <f t="shared" si="710"/>
        <v>38505050.381070502</v>
      </c>
      <c r="Z1099" s="190">
        <f t="shared" si="710"/>
        <v>38502743.436127387</v>
      </c>
      <c r="AA1099" s="190">
        <f t="shared" si="710"/>
        <v>38504395.763620742</v>
      </c>
      <c r="AB1099" s="190">
        <f t="shared" si="710"/>
        <v>38504063.169088289</v>
      </c>
      <c r="AC1099" s="190">
        <f t="shared" si="710"/>
        <v>38503734.109697111</v>
      </c>
      <c r="AD1099" s="190">
        <f t="shared" si="710"/>
        <v>38504064.345570236</v>
      </c>
      <c r="AE1099" s="190">
        <f t="shared" si="710"/>
        <v>38503953.874156877</v>
      </c>
      <c r="AF1099" s="190">
        <f t="shared" si="710"/>
        <v>38503917.442651264</v>
      </c>
      <c r="AG1099" s="190">
        <f t="shared" si="710"/>
        <v>38503978.554024577</v>
      </c>
    </row>
    <row r="1100" spans="1:33" ht="14.25" hidden="1" customHeight="1" outlineLevel="1" x14ac:dyDescent="0.35">
      <c r="A1100" s="21"/>
      <c r="B1100" s="21"/>
      <c r="C1100" s="21" t="s">
        <v>4327</v>
      </c>
      <c r="D1100" s="21"/>
      <c r="E1100" s="21"/>
      <c r="F1100" s="21"/>
      <c r="G1100" s="21"/>
      <c r="H1100" s="21"/>
      <c r="I1100" s="22" t="s">
        <v>3921</v>
      </c>
      <c r="J1100" s="60">
        <f t="shared" ref="J1100:AG1100" si="711">J970+J975+J980+J985+J990+J995+J1000+J1005+J1010+J1015+J1020+J1025+J1030+J1035+J1040+J1045+J1050+J1055+J1060+J1065+J1070+J1075+J1080+J1085+J1090+J1095</f>
        <v>82417549.804577693</v>
      </c>
      <c r="K1100" s="60">
        <f t="shared" si="711"/>
        <v>42051290.289011545</v>
      </c>
      <c r="L1100" s="60">
        <f t="shared" si="711"/>
        <v>11632086.734814098</v>
      </c>
      <c r="M1100" s="60">
        <f t="shared" si="711"/>
        <v>18965285.936840307</v>
      </c>
      <c r="N1100" s="60">
        <f t="shared" si="711"/>
        <v>15842571.114422502</v>
      </c>
      <c r="O1100" s="60">
        <f t="shared" si="711"/>
        <v>24717661.2946386</v>
      </c>
      <c r="P1100" s="60">
        <f t="shared" si="711"/>
        <v>78619901.040233746</v>
      </c>
      <c r="Q1100" s="60">
        <f t="shared" si="711"/>
        <v>9454708.0617655609</v>
      </c>
      <c r="R1100" s="190">
        <f t="shared" si="711"/>
        <v>38116743.479791492</v>
      </c>
      <c r="S1100" s="190">
        <f t="shared" si="711"/>
        <v>38314459.872655064</v>
      </c>
      <c r="T1100" s="190">
        <f t="shared" si="711"/>
        <v>38474986.531309135</v>
      </c>
      <c r="U1100" s="190">
        <f t="shared" si="711"/>
        <v>38506423.22059451</v>
      </c>
      <c r="V1100" s="190">
        <f t="shared" si="711"/>
        <v>38511972.877929263</v>
      </c>
      <c r="W1100" s="190">
        <f t="shared" si="711"/>
        <v>38497787.305968605</v>
      </c>
      <c r="X1100" s="190">
        <f t="shared" si="711"/>
        <v>38505393.581757493</v>
      </c>
      <c r="Y1100" s="190">
        <f t="shared" si="711"/>
        <v>38505050.381070502</v>
      </c>
      <c r="Z1100" s="190">
        <f t="shared" si="711"/>
        <v>38502743.436127387</v>
      </c>
      <c r="AA1100" s="190">
        <f t="shared" si="711"/>
        <v>38504395.763620742</v>
      </c>
      <c r="AB1100" s="190">
        <f t="shared" si="711"/>
        <v>38504063.169088289</v>
      </c>
      <c r="AC1100" s="190">
        <f t="shared" si="711"/>
        <v>38503734.109697111</v>
      </c>
      <c r="AD1100" s="190">
        <f t="shared" si="711"/>
        <v>38504064.345570236</v>
      </c>
      <c r="AE1100" s="190">
        <f t="shared" si="711"/>
        <v>38503953.874156877</v>
      </c>
      <c r="AF1100" s="190">
        <f t="shared" si="711"/>
        <v>38503917.442651264</v>
      </c>
      <c r="AG1100" s="190">
        <f t="shared" si="711"/>
        <v>38503978.554024577</v>
      </c>
    </row>
    <row r="1101" spans="1:33" ht="14.25" hidden="1" customHeight="1" outlineLevel="1" x14ac:dyDescent="0.35">
      <c r="A1101" s="21"/>
      <c r="B1101" s="21"/>
      <c r="C1101" s="21" t="s">
        <v>4328</v>
      </c>
      <c r="D1101" s="21"/>
      <c r="E1101" s="21"/>
      <c r="F1101" s="21"/>
      <c r="G1101" s="21"/>
      <c r="H1101" s="21"/>
      <c r="I1101" s="22" t="s">
        <v>3921</v>
      </c>
      <c r="J1101" s="60">
        <f t="shared" ref="J1101:AG1101" si="712">J971+J976+J981+J986+J991+J996+J1001+J1006+J1011+J1016+J1021+J1026+J1031+J1036+J1041+J1046+J1051+J1056+J1061+J1066+J1071+J1076+J1081+J1086+J1091+J1096</f>
        <v>88177240.075781286</v>
      </c>
      <c r="K1101" s="60">
        <f t="shared" si="712"/>
        <v>86394450.828303233</v>
      </c>
      <c r="L1101" s="60">
        <f t="shared" si="712"/>
        <v>95296713.077541843</v>
      </c>
      <c r="M1101" s="60">
        <f t="shared" si="712"/>
        <v>87434098.193098217</v>
      </c>
      <c r="N1101" s="60">
        <f t="shared" si="712"/>
        <v>106660664.24145877</v>
      </c>
      <c r="O1101" s="60">
        <f t="shared" si="712"/>
        <v>94451547.033811003</v>
      </c>
      <c r="P1101" s="60">
        <f t="shared" si="712"/>
        <v>71656518.896528676</v>
      </c>
      <c r="Q1101" s="60">
        <f t="shared" si="712"/>
        <v>76632433.969586745</v>
      </c>
      <c r="R1101" s="190">
        <f t="shared" si="712"/>
        <v>76632433.969586745</v>
      </c>
      <c r="S1101" s="190">
        <f t="shared" si="712"/>
        <v>76632433.969586745</v>
      </c>
      <c r="T1101" s="190">
        <f t="shared" si="712"/>
        <v>76632433.969586745</v>
      </c>
      <c r="U1101" s="190">
        <f t="shared" si="712"/>
        <v>76632433.96958676</v>
      </c>
      <c r="V1101" s="190">
        <f t="shared" si="712"/>
        <v>76632433.96958676</v>
      </c>
      <c r="W1101" s="190">
        <f t="shared" si="712"/>
        <v>76632433.96958676</v>
      </c>
      <c r="X1101" s="190">
        <f t="shared" si="712"/>
        <v>76632433.96958676</v>
      </c>
      <c r="Y1101" s="190">
        <f t="shared" si="712"/>
        <v>76632433.96958676</v>
      </c>
      <c r="Z1101" s="190">
        <f t="shared" si="712"/>
        <v>76632433.96958676</v>
      </c>
      <c r="AA1101" s="190">
        <f t="shared" si="712"/>
        <v>76632433.96958676</v>
      </c>
      <c r="AB1101" s="190">
        <f t="shared" si="712"/>
        <v>76632433.96958676</v>
      </c>
      <c r="AC1101" s="190">
        <f t="shared" si="712"/>
        <v>76632433.96958676</v>
      </c>
      <c r="AD1101" s="190">
        <f t="shared" si="712"/>
        <v>76632433.96958676</v>
      </c>
      <c r="AE1101" s="190">
        <f t="shared" si="712"/>
        <v>76632433.96958676</v>
      </c>
      <c r="AF1101" s="190">
        <f t="shared" si="712"/>
        <v>76632433.96958676</v>
      </c>
      <c r="AG1101" s="190">
        <f t="shared" si="712"/>
        <v>76632433.96958676</v>
      </c>
    </row>
    <row r="1102" spans="1:33" ht="14.25" hidden="1" customHeight="1" outlineLevel="1" x14ac:dyDescent="0.35">
      <c r="A1102" s="21"/>
      <c r="B1102" s="21"/>
      <c r="C1102" s="21" t="s">
        <v>4329</v>
      </c>
      <c r="D1102" s="21"/>
      <c r="E1102" s="21"/>
      <c r="F1102" s="21"/>
      <c r="G1102" s="21"/>
      <c r="H1102" s="21"/>
      <c r="I1102" s="22" t="s">
        <v>3921</v>
      </c>
      <c r="J1102" s="60">
        <f t="shared" ref="J1102:AG1102" si="713">J972+J977+J982+J987+J992+J997+J1002+J1007+J1012+J1017+J1022+J1027+J1032+J1037+J1042+J1047+J1052+J1057+J1062+J1067+J1072+J1077+J1082+J1087+J1092+J1097</f>
        <v>44367076.036372721</v>
      </c>
      <c r="K1102" s="60">
        <f t="shared" si="713"/>
        <v>38298338.155542165</v>
      </c>
      <c r="L1102" s="60">
        <f t="shared" si="713"/>
        <v>11920870.780448914</v>
      </c>
      <c r="M1102" s="60">
        <f t="shared" si="713"/>
        <v>18248645.382460102</v>
      </c>
      <c r="N1102" s="60">
        <f t="shared" si="713"/>
        <v>13104352.616175709</v>
      </c>
      <c r="O1102" s="60">
        <f t="shared" si="713"/>
        <v>10653809.256783303</v>
      </c>
      <c r="P1102" s="60">
        <f t="shared" si="713"/>
        <v>43651549.56387867</v>
      </c>
      <c r="Q1102" s="60">
        <f t="shared" si="713"/>
        <v>10989701.914576204</v>
      </c>
      <c r="R1102" s="190">
        <f t="shared" si="713"/>
        <v>26075867.541002832</v>
      </c>
      <c r="S1102" s="190">
        <f t="shared" si="713"/>
        <v>26226691.106733792</v>
      </c>
      <c r="T1102" s="190">
        <f t="shared" si="713"/>
        <v>26364307.153744277</v>
      </c>
      <c r="U1102" s="190">
        <f t="shared" si="713"/>
        <v>26385864.758486077</v>
      </c>
      <c r="V1102" s="190">
        <f t="shared" si="713"/>
        <v>26389670.417478647</v>
      </c>
      <c r="W1102" s="190">
        <f t="shared" si="713"/>
        <v>26379942.708858054</v>
      </c>
      <c r="X1102" s="190">
        <f t="shared" si="713"/>
        <v>26385158.687090538</v>
      </c>
      <c r="Y1102" s="190">
        <f t="shared" si="713"/>
        <v>26384923.338365044</v>
      </c>
      <c r="Z1102" s="190">
        <f t="shared" si="713"/>
        <v>26383341.35857087</v>
      </c>
      <c r="AA1102" s="190">
        <f t="shared" si="713"/>
        <v>26384474.436633982</v>
      </c>
      <c r="AB1102" s="190">
        <f t="shared" si="713"/>
        <v>26384246.361043546</v>
      </c>
      <c r="AC1102" s="190">
        <f t="shared" si="713"/>
        <v>26384020.709664457</v>
      </c>
      <c r="AD1102" s="190">
        <f t="shared" si="713"/>
        <v>26384247.167812124</v>
      </c>
      <c r="AE1102" s="190">
        <f t="shared" si="713"/>
        <v>26384171.412409168</v>
      </c>
      <c r="AF1102" s="190">
        <f t="shared" si="713"/>
        <v>26384146.429625791</v>
      </c>
      <c r="AG1102" s="190">
        <f t="shared" si="713"/>
        <v>26384188.336546067</v>
      </c>
    </row>
    <row r="1103" spans="1:33" ht="14.25" hidden="1" customHeight="1" outlineLevel="1" x14ac:dyDescent="0.35">
      <c r="A1103" s="21"/>
      <c r="B1103" s="21"/>
      <c r="C1103" s="21"/>
      <c r="D1103" s="128" t="s">
        <v>4330</v>
      </c>
      <c r="E1103" s="128"/>
      <c r="F1103" s="21"/>
      <c r="G1103" s="21"/>
      <c r="H1103" s="21"/>
      <c r="I1103" s="22" t="s">
        <v>3921</v>
      </c>
      <c r="J1103" s="148">
        <f t="shared" ref="J1103:AG1103" si="714">J1100-J1102</f>
        <v>38050473.768204972</v>
      </c>
      <c r="K1103" s="148">
        <f t="shared" si="714"/>
        <v>3752952.1334693804</v>
      </c>
      <c r="L1103" s="148">
        <f t="shared" si="714"/>
        <v>-288784.04563481547</v>
      </c>
      <c r="M1103" s="148">
        <f t="shared" si="714"/>
        <v>716640.55438020453</v>
      </c>
      <c r="N1103" s="148">
        <f t="shared" si="714"/>
        <v>2738218.4982467927</v>
      </c>
      <c r="O1103" s="148">
        <f t="shared" si="714"/>
        <v>14063852.037855297</v>
      </c>
      <c r="P1103" s="148">
        <f t="shared" si="714"/>
        <v>34968351.476355076</v>
      </c>
      <c r="Q1103" s="148">
        <f t="shared" si="714"/>
        <v>-1534993.8528106436</v>
      </c>
      <c r="R1103" s="149">
        <f t="shared" si="714"/>
        <v>12040875.93878866</v>
      </c>
      <c r="S1103" s="149">
        <f t="shared" si="714"/>
        <v>12087768.765921272</v>
      </c>
      <c r="T1103" s="149">
        <f t="shared" si="714"/>
        <v>12110679.377564859</v>
      </c>
      <c r="U1103" s="149">
        <f t="shared" si="714"/>
        <v>12120558.462108433</v>
      </c>
      <c r="V1103" s="149">
        <f t="shared" si="714"/>
        <v>12122302.460450616</v>
      </c>
      <c r="W1103" s="149">
        <f t="shared" si="714"/>
        <v>12117844.597110551</v>
      </c>
      <c r="X1103" s="149">
        <f t="shared" si="714"/>
        <v>12120234.894666955</v>
      </c>
      <c r="Y1103" s="149">
        <f t="shared" si="714"/>
        <v>12120127.042705458</v>
      </c>
      <c r="Z1103" s="149">
        <f t="shared" si="714"/>
        <v>12119402.077556517</v>
      </c>
      <c r="AA1103" s="149">
        <f t="shared" si="714"/>
        <v>12119921.32698676</v>
      </c>
      <c r="AB1103" s="149">
        <f t="shared" si="714"/>
        <v>12119816.808044743</v>
      </c>
      <c r="AC1103" s="149">
        <f t="shared" si="714"/>
        <v>12119713.400032654</v>
      </c>
      <c r="AD1103" s="149">
        <f t="shared" si="714"/>
        <v>12119817.177758113</v>
      </c>
      <c r="AE1103" s="149">
        <f t="shared" si="714"/>
        <v>12119782.46174771</v>
      </c>
      <c r="AF1103" s="149">
        <f t="shared" si="714"/>
        <v>12119771.013025474</v>
      </c>
      <c r="AG1103" s="149">
        <f t="shared" si="714"/>
        <v>12119790.21747851</v>
      </c>
    </row>
    <row r="1104" spans="1:33" ht="14.25" hidden="1" customHeight="1" outlineLevel="1" x14ac:dyDescent="0.35">
      <c r="A1104" s="21"/>
      <c r="B1104" s="21"/>
      <c r="C1104" s="21"/>
      <c r="D1104" s="128" t="s">
        <v>4331</v>
      </c>
      <c r="E1104" s="128"/>
      <c r="F1104" s="21"/>
      <c r="G1104" s="21"/>
      <c r="H1104" s="21"/>
      <c r="I1104" s="22" t="s">
        <v>3921</v>
      </c>
      <c r="J1104" s="148">
        <f t="shared" ref="J1104:AG1104" si="715">J1100-J960</f>
        <v>0</v>
      </c>
      <c r="K1104" s="148">
        <f t="shared" si="715"/>
        <v>9.6857547760009766E-8</v>
      </c>
      <c r="L1104" s="148">
        <f t="shared" si="715"/>
        <v>0</v>
      </c>
      <c r="M1104" s="148">
        <f t="shared" si="715"/>
        <v>4.8428773880004883E-8</v>
      </c>
      <c r="N1104" s="148">
        <f t="shared" si="715"/>
        <v>-1.6763806343078613E-8</v>
      </c>
      <c r="O1104" s="148">
        <f t="shared" si="715"/>
        <v>0</v>
      </c>
      <c r="P1104" s="148">
        <f t="shared" si="715"/>
        <v>0</v>
      </c>
      <c r="Q1104" s="148">
        <f t="shared" si="715"/>
        <v>0</v>
      </c>
      <c r="R1104" s="149">
        <f t="shared" si="715"/>
        <v>0</v>
      </c>
      <c r="S1104" s="149">
        <f t="shared" si="715"/>
        <v>0</v>
      </c>
      <c r="T1104" s="149">
        <f t="shared" si="715"/>
        <v>0</v>
      </c>
      <c r="U1104" s="149">
        <f t="shared" si="715"/>
        <v>0</v>
      </c>
      <c r="V1104" s="149">
        <f t="shared" si="715"/>
        <v>0</v>
      </c>
      <c r="W1104" s="149">
        <f t="shared" si="715"/>
        <v>0</v>
      </c>
      <c r="X1104" s="149">
        <f t="shared" si="715"/>
        <v>0</v>
      </c>
      <c r="Y1104" s="149">
        <f t="shared" si="715"/>
        <v>0</v>
      </c>
      <c r="Z1104" s="149">
        <f t="shared" si="715"/>
        <v>0</v>
      </c>
      <c r="AA1104" s="149">
        <f t="shared" si="715"/>
        <v>0</v>
      </c>
      <c r="AB1104" s="149">
        <f t="shared" si="715"/>
        <v>0</v>
      </c>
      <c r="AC1104" s="149">
        <f t="shared" si="715"/>
        <v>0</v>
      </c>
      <c r="AD1104" s="149">
        <f t="shared" si="715"/>
        <v>0</v>
      </c>
      <c r="AE1104" s="149">
        <f t="shared" si="715"/>
        <v>0</v>
      </c>
      <c r="AF1104" s="149">
        <f t="shared" si="715"/>
        <v>0</v>
      </c>
      <c r="AG1104" s="149">
        <f t="shared" si="715"/>
        <v>0</v>
      </c>
    </row>
    <row r="1105" spans="1:33" ht="14.25" hidden="1" customHeight="1" outlineLevel="1" x14ac:dyDescent="0.35">
      <c r="A1105" s="21"/>
      <c r="B1105" s="21"/>
      <c r="C1105" s="21"/>
      <c r="D1105" s="128" t="s">
        <v>4332</v>
      </c>
      <c r="E1105" s="128"/>
      <c r="F1105" s="21"/>
      <c r="G1105" s="21"/>
      <c r="H1105" s="21"/>
      <c r="I1105" s="22" t="s">
        <v>3921</v>
      </c>
      <c r="J1105" s="148">
        <f t="shared" ref="J1105:AG1105" si="716">J1102-J958</f>
        <v>6.7055225372314453E-8</v>
      </c>
      <c r="K1105" s="148">
        <f t="shared" si="716"/>
        <v>0</v>
      </c>
      <c r="L1105" s="148">
        <f t="shared" si="716"/>
        <v>0</v>
      </c>
      <c r="M1105" s="148">
        <f t="shared" si="716"/>
        <v>-3.3527612686157227E-8</v>
      </c>
      <c r="N1105" s="148">
        <f t="shared" si="716"/>
        <v>-3.9115548133850098E-8</v>
      </c>
      <c r="O1105" s="148">
        <f t="shared" si="716"/>
        <v>0</v>
      </c>
      <c r="P1105" s="148">
        <f t="shared" si="716"/>
        <v>0</v>
      </c>
      <c r="Q1105" s="148">
        <f t="shared" si="716"/>
        <v>-3.5390257835388184E-8</v>
      </c>
      <c r="R1105" s="149">
        <f t="shared" si="716"/>
        <v>0</v>
      </c>
      <c r="S1105" s="149">
        <f t="shared" si="716"/>
        <v>0</v>
      </c>
      <c r="T1105" s="149">
        <f t="shared" si="716"/>
        <v>0</v>
      </c>
      <c r="U1105" s="149">
        <f t="shared" si="716"/>
        <v>0</v>
      </c>
      <c r="V1105" s="149">
        <f t="shared" si="716"/>
        <v>0</v>
      </c>
      <c r="W1105" s="149">
        <f t="shared" si="716"/>
        <v>0</v>
      </c>
      <c r="X1105" s="149">
        <f t="shared" si="716"/>
        <v>0</v>
      </c>
      <c r="Y1105" s="149">
        <f t="shared" si="716"/>
        <v>0</v>
      </c>
      <c r="Z1105" s="149">
        <f t="shared" si="716"/>
        <v>0</v>
      </c>
      <c r="AA1105" s="149">
        <f t="shared" si="716"/>
        <v>0</v>
      </c>
      <c r="AB1105" s="149">
        <f t="shared" si="716"/>
        <v>0</v>
      </c>
      <c r="AC1105" s="149">
        <f t="shared" si="716"/>
        <v>0</v>
      </c>
      <c r="AD1105" s="149">
        <f t="shared" si="716"/>
        <v>0</v>
      </c>
      <c r="AE1105" s="149">
        <f t="shared" si="716"/>
        <v>0</v>
      </c>
      <c r="AF1105" s="149">
        <f t="shared" si="716"/>
        <v>0</v>
      </c>
      <c r="AG1105" s="149">
        <f t="shared" si="716"/>
        <v>0</v>
      </c>
    </row>
    <row r="1106" spans="1:33" ht="14.25" hidden="1" customHeight="1" outlineLevel="1" x14ac:dyDescent="0.35">
      <c r="A1106" s="21"/>
      <c r="B1106" s="21"/>
      <c r="C1106" s="21" t="s">
        <v>4207</v>
      </c>
      <c r="D1106" s="128"/>
      <c r="E1106" s="128"/>
      <c r="F1106" s="21"/>
      <c r="G1106" s="21"/>
      <c r="H1106" s="21"/>
      <c r="I1106" s="22"/>
      <c r="J1106" s="148"/>
      <c r="K1106" s="148"/>
      <c r="L1106" s="148"/>
      <c r="M1106" s="148"/>
      <c r="N1106" s="148"/>
      <c r="O1106" s="148"/>
      <c r="P1106" s="148"/>
      <c r="Q1106" s="148"/>
      <c r="R1106" s="21"/>
      <c r="S1106" s="21"/>
      <c r="T1106" s="21"/>
      <c r="U1106" s="21"/>
      <c r="V1106" s="21"/>
      <c r="W1106" s="21"/>
      <c r="X1106" s="21"/>
      <c r="Y1106" s="21"/>
      <c r="Z1106" s="21"/>
      <c r="AA1106" s="21"/>
      <c r="AB1106" s="21"/>
      <c r="AC1106" s="21"/>
      <c r="AD1106" s="21"/>
      <c r="AE1106" s="21"/>
      <c r="AF1106" s="21"/>
      <c r="AG1106" s="21"/>
    </row>
    <row r="1107" spans="1:33" ht="14.25" hidden="1" customHeight="1" outlineLevel="1" x14ac:dyDescent="0.35">
      <c r="A1107" s="21"/>
      <c r="B1107" s="21"/>
      <c r="C1107" s="21"/>
      <c r="D1107" s="128" t="s">
        <v>4333</v>
      </c>
      <c r="E1107" s="128"/>
      <c r="F1107" s="21"/>
      <c r="G1107" s="21"/>
      <c r="H1107" s="21"/>
      <c r="I1107" s="22" t="s">
        <v>3900</v>
      </c>
      <c r="J1107" s="191"/>
      <c r="K1107" s="191"/>
      <c r="L1107" s="191"/>
      <c r="M1107" s="191"/>
      <c r="N1107" s="191"/>
      <c r="O1107" s="191"/>
      <c r="P1107" s="191"/>
      <c r="Q1107" s="191"/>
      <c r="R1107" s="140">
        <f>IF(OR(Q954=0,Q900=0),0,-Q954/(Q952/Q900))</f>
        <v>0</v>
      </c>
      <c r="S1107" s="140">
        <f t="shared" ref="S1107:AG1107" si="717">R1110</f>
        <v>0</v>
      </c>
      <c r="T1107" s="140">
        <f t="shared" si="717"/>
        <v>0</v>
      </c>
      <c r="U1107" s="140">
        <f t="shared" si="717"/>
        <v>0</v>
      </c>
      <c r="V1107" s="140">
        <f t="shared" si="717"/>
        <v>0</v>
      </c>
      <c r="W1107" s="140">
        <f t="shared" si="717"/>
        <v>0</v>
      </c>
      <c r="X1107" s="140">
        <f t="shared" si="717"/>
        <v>0</v>
      </c>
      <c r="Y1107" s="140">
        <f t="shared" si="717"/>
        <v>0</v>
      </c>
      <c r="Z1107" s="140">
        <f t="shared" si="717"/>
        <v>0</v>
      </c>
      <c r="AA1107" s="140">
        <f t="shared" si="717"/>
        <v>0</v>
      </c>
      <c r="AB1107" s="140">
        <f t="shared" si="717"/>
        <v>0</v>
      </c>
      <c r="AC1107" s="140">
        <f t="shared" si="717"/>
        <v>0</v>
      </c>
      <c r="AD1107" s="140">
        <f t="shared" si="717"/>
        <v>0</v>
      </c>
      <c r="AE1107" s="140">
        <f t="shared" si="717"/>
        <v>0</v>
      </c>
      <c r="AF1107" s="140">
        <f t="shared" si="717"/>
        <v>0</v>
      </c>
      <c r="AG1107" s="140">
        <f t="shared" si="717"/>
        <v>0</v>
      </c>
    </row>
    <row r="1108" spans="1:33" ht="14.25" hidden="1" customHeight="1" outlineLevel="1" x14ac:dyDescent="0.35">
      <c r="A1108" s="21"/>
      <c r="B1108" s="21"/>
      <c r="C1108" s="21"/>
      <c r="D1108" s="128" t="s">
        <v>4334</v>
      </c>
      <c r="E1108" s="128"/>
      <c r="F1108" s="21"/>
      <c r="G1108" s="21"/>
      <c r="H1108" s="21"/>
      <c r="I1108" s="22" t="s">
        <v>3900</v>
      </c>
      <c r="J1108" s="191"/>
      <c r="K1108" s="191"/>
      <c r="L1108" s="191"/>
      <c r="M1108" s="191"/>
      <c r="N1108" s="191"/>
      <c r="O1108" s="191"/>
      <c r="P1108" s="191"/>
      <c r="Q1108" s="191"/>
      <c r="R1108" s="140">
        <f t="shared" ref="R1108:AG1108" si="718">R900</f>
        <v>0</v>
      </c>
      <c r="S1108" s="140">
        <f t="shared" si="718"/>
        <v>0</v>
      </c>
      <c r="T1108" s="140">
        <f t="shared" si="718"/>
        <v>0</v>
      </c>
      <c r="U1108" s="140">
        <f t="shared" si="718"/>
        <v>0</v>
      </c>
      <c r="V1108" s="140">
        <f t="shared" si="718"/>
        <v>0</v>
      </c>
      <c r="W1108" s="140">
        <f t="shared" si="718"/>
        <v>0</v>
      </c>
      <c r="X1108" s="140">
        <f t="shared" si="718"/>
        <v>0</v>
      </c>
      <c r="Y1108" s="140">
        <f t="shared" si="718"/>
        <v>0</v>
      </c>
      <c r="Z1108" s="140">
        <f t="shared" si="718"/>
        <v>0</v>
      </c>
      <c r="AA1108" s="140">
        <f t="shared" si="718"/>
        <v>0</v>
      </c>
      <c r="AB1108" s="140">
        <f t="shared" si="718"/>
        <v>0</v>
      </c>
      <c r="AC1108" s="140">
        <f t="shared" si="718"/>
        <v>0</v>
      </c>
      <c r="AD1108" s="140">
        <f t="shared" si="718"/>
        <v>0</v>
      </c>
      <c r="AE1108" s="140">
        <f t="shared" si="718"/>
        <v>0</v>
      </c>
      <c r="AF1108" s="140">
        <f t="shared" si="718"/>
        <v>0</v>
      </c>
      <c r="AG1108" s="140">
        <f t="shared" si="718"/>
        <v>0</v>
      </c>
    </row>
    <row r="1109" spans="1:33" ht="14.25" hidden="1" customHeight="1" outlineLevel="1" x14ac:dyDescent="0.35">
      <c r="A1109" s="21"/>
      <c r="B1109" s="21"/>
      <c r="C1109" s="21"/>
      <c r="D1109" s="128" t="s">
        <v>4210</v>
      </c>
      <c r="E1109" s="128"/>
      <c r="F1109" s="21"/>
      <c r="G1109" s="21"/>
      <c r="H1109" s="21"/>
      <c r="I1109" s="22" t="s">
        <v>3900</v>
      </c>
      <c r="J1109" s="191"/>
      <c r="K1109" s="191"/>
      <c r="L1109" s="191"/>
      <c r="M1109" s="191"/>
      <c r="N1109" s="191"/>
      <c r="O1109" s="191"/>
      <c r="P1109" s="191"/>
      <c r="Q1109" s="191"/>
      <c r="R1109" s="140">
        <v>0</v>
      </c>
      <c r="S1109" s="140">
        <v>0</v>
      </c>
      <c r="T1109" s="140">
        <v>0</v>
      </c>
      <c r="U1109" s="140">
        <v>0</v>
      </c>
      <c r="V1109" s="140">
        <v>0</v>
      </c>
      <c r="W1109" s="140">
        <v>0</v>
      </c>
      <c r="X1109" s="140">
        <v>0</v>
      </c>
      <c r="Y1109" s="140">
        <v>0</v>
      </c>
      <c r="Z1109" s="140">
        <v>0</v>
      </c>
      <c r="AA1109" s="140">
        <v>0</v>
      </c>
      <c r="AB1109" s="140">
        <v>0</v>
      </c>
      <c r="AC1109" s="140">
        <v>0</v>
      </c>
      <c r="AD1109" s="140">
        <v>0</v>
      </c>
      <c r="AE1109" s="140">
        <v>0</v>
      </c>
      <c r="AF1109" s="140">
        <v>0</v>
      </c>
      <c r="AG1109" s="140">
        <v>0</v>
      </c>
    </row>
    <row r="1110" spans="1:33" ht="14.25" hidden="1" customHeight="1" outlineLevel="1" x14ac:dyDescent="0.35">
      <c r="A1110" s="21"/>
      <c r="B1110" s="21"/>
      <c r="C1110" s="21"/>
      <c r="D1110" s="128" t="s">
        <v>4211</v>
      </c>
      <c r="E1110" s="128"/>
      <c r="F1110" s="21"/>
      <c r="G1110" s="21"/>
      <c r="H1110" s="21"/>
      <c r="I1110" s="22" t="s">
        <v>3900</v>
      </c>
      <c r="J1110" s="191"/>
      <c r="K1110" s="191"/>
      <c r="L1110" s="191"/>
      <c r="M1110" s="191"/>
      <c r="N1110" s="191"/>
      <c r="O1110" s="191"/>
      <c r="P1110" s="191"/>
      <c r="Q1110" s="191"/>
      <c r="R1110" s="140">
        <f t="shared" ref="R1110:AG1110" si="719">R1107+R1108-R1109</f>
        <v>0</v>
      </c>
      <c r="S1110" s="140">
        <f t="shared" si="719"/>
        <v>0</v>
      </c>
      <c r="T1110" s="140">
        <f t="shared" si="719"/>
        <v>0</v>
      </c>
      <c r="U1110" s="140">
        <f t="shared" si="719"/>
        <v>0</v>
      </c>
      <c r="V1110" s="140">
        <f t="shared" si="719"/>
        <v>0</v>
      </c>
      <c r="W1110" s="140">
        <f t="shared" si="719"/>
        <v>0</v>
      </c>
      <c r="X1110" s="140">
        <f t="shared" si="719"/>
        <v>0</v>
      </c>
      <c r="Y1110" s="140">
        <f t="shared" si="719"/>
        <v>0</v>
      </c>
      <c r="Z1110" s="140">
        <f t="shared" si="719"/>
        <v>0</v>
      </c>
      <c r="AA1110" s="140">
        <f t="shared" si="719"/>
        <v>0</v>
      </c>
      <c r="AB1110" s="140">
        <f t="shared" si="719"/>
        <v>0</v>
      </c>
      <c r="AC1110" s="140">
        <f t="shared" si="719"/>
        <v>0</v>
      </c>
      <c r="AD1110" s="140">
        <f t="shared" si="719"/>
        <v>0</v>
      </c>
      <c r="AE1110" s="140">
        <f t="shared" si="719"/>
        <v>0</v>
      </c>
      <c r="AF1110" s="140">
        <f t="shared" si="719"/>
        <v>0</v>
      </c>
      <c r="AG1110" s="140">
        <f t="shared" si="719"/>
        <v>0</v>
      </c>
    </row>
    <row r="1111" spans="1:33" ht="14.25" hidden="1" customHeight="1" outlineLevel="1" x14ac:dyDescent="0.35">
      <c r="A1111" s="21"/>
      <c r="B1111" s="21"/>
      <c r="C1111" s="21"/>
      <c r="D1111" s="128" t="s">
        <v>4212</v>
      </c>
      <c r="E1111" s="128"/>
      <c r="F1111" s="21"/>
      <c r="G1111" s="21"/>
      <c r="H1111" s="21"/>
      <c r="I1111" s="22" t="s">
        <v>3900</v>
      </c>
      <c r="J1111" s="191"/>
      <c r="K1111" s="191"/>
      <c r="L1111" s="191"/>
      <c r="M1111" s="191"/>
      <c r="N1111" s="191"/>
      <c r="O1111" s="191"/>
      <c r="P1111" s="191"/>
      <c r="Q1111" s="191"/>
      <c r="R1111" s="140">
        <f t="shared" ref="R1111:AG1111" si="720">MIN(0,R1110)</f>
        <v>0</v>
      </c>
      <c r="S1111" s="140">
        <f t="shared" si="720"/>
        <v>0</v>
      </c>
      <c r="T1111" s="140">
        <f t="shared" si="720"/>
        <v>0</v>
      </c>
      <c r="U1111" s="140">
        <f t="shared" si="720"/>
        <v>0</v>
      </c>
      <c r="V1111" s="140">
        <f t="shared" si="720"/>
        <v>0</v>
      </c>
      <c r="W1111" s="140">
        <f t="shared" si="720"/>
        <v>0</v>
      </c>
      <c r="X1111" s="140">
        <f t="shared" si="720"/>
        <v>0</v>
      </c>
      <c r="Y1111" s="140">
        <f t="shared" si="720"/>
        <v>0</v>
      </c>
      <c r="Z1111" s="140">
        <f t="shared" si="720"/>
        <v>0</v>
      </c>
      <c r="AA1111" s="140">
        <f t="shared" si="720"/>
        <v>0</v>
      </c>
      <c r="AB1111" s="140">
        <f t="shared" si="720"/>
        <v>0</v>
      </c>
      <c r="AC1111" s="140">
        <f t="shared" si="720"/>
        <v>0</v>
      </c>
      <c r="AD1111" s="140">
        <f t="shared" si="720"/>
        <v>0</v>
      </c>
      <c r="AE1111" s="140">
        <f t="shared" si="720"/>
        <v>0</v>
      </c>
      <c r="AF1111" s="140">
        <f t="shared" si="720"/>
        <v>0</v>
      </c>
      <c r="AG1111" s="140">
        <f t="shared" si="720"/>
        <v>0</v>
      </c>
    </row>
    <row r="1112" spans="1:33" ht="14.25" hidden="1" customHeight="1" outlineLevel="1" x14ac:dyDescent="0.35">
      <c r="A1112" s="21"/>
      <c r="B1112" s="21"/>
      <c r="C1112" s="21"/>
      <c r="D1112" s="128" t="s">
        <v>4213</v>
      </c>
      <c r="E1112" s="128"/>
      <c r="F1112" s="21"/>
      <c r="G1112" s="21"/>
      <c r="H1112" s="21"/>
      <c r="I1112" s="22" t="s">
        <v>4214</v>
      </c>
      <c r="J1112" s="192"/>
      <c r="K1112" s="192"/>
      <c r="L1112" s="192"/>
      <c r="M1112" s="192"/>
      <c r="N1112" s="192"/>
      <c r="O1112" s="192"/>
      <c r="P1112" s="192"/>
      <c r="Q1112" s="192"/>
      <c r="R1112" s="193">
        <v>0</v>
      </c>
      <c r="S1112" s="193">
        <v>0</v>
      </c>
      <c r="T1112" s="193">
        <v>0</v>
      </c>
      <c r="U1112" s="193">
        <v>0</v>
      </c>
      <c r="V1112" s="193">
        <v>0</v>
      </c>
      <c r="W1112" s="193">
        <v>0</v>
      </c>
      <c r="X1112" s="193">
        <v>0</v>
      </c>
      <c r="Y1112" s="193">
        <v>0</v>
      </c>
      <c r="Z1112" s="193">
        <v>0</v>
      </c>
      <c r="AA1112" s="193">
        <v>0</v>
      </c>
      <c r="AB1112" s="193">
        <v>0</v>
      </c>
      <c r="AC1112" s="193">
        <v>0</v>
      </c>
      <c r="AD1112" s="193">
        <v>0</v>
      </c>
      <c r="AE1112" s="193">
        <v>0</v>
      </c>
      <c r="AF1112" s="193">
        <v>0</v>
      </c>
      <c r="AG1112" s="193">
        <v>0</v>
      </c>
    </row>
    <row r="1113" spans="1:33" ht="14.25" hidden="1" customHeight="1" outlineLevel="1" x14ac:dyDescent="0.35">
      <c r="A1113" s="21"/>
      <c r="B1113" s="21"/>
      <c r="C1113" s="21"/>
      <c r="D1113" s="128" t="s">
        <v>4335</v>
      </c>
      <c r="E1113" s="128"/>
      <c r="F1113" s="21"/>
      <c r="G1113" s="21"/>
      <c r="H1113" s="21"/>
      <c r="I1113" s="22"/>
      <c r="J1113" s="148"/>
      <c r="K1113" s="148"/>
      <c r="L1113" s="148"/>
      <c r="M1113" s="148"/>
      <c r="N1113" s="148"/>
      <c r="O1113" s="148"/>
      <c r="P1113" s="148"/>
      <c r="Q1113" s="148"/>
      <c r="R1113" s="21"/>
      <c r="S1113" s="21"/>
      <c r="T1113" s="21"/>
      <c r="U1113" s="21"/>
      <c r="V1113" s="21"/>
      <c r="W1113" s="21"/>
      <c r="X1113" s="21"/>
      <c r="Y1113" s="21"/>
      <c r="Z1113" s="21"/>
      <c r="AA1113" s="21"/>
      <c r="AB1113" s="21"/>
      <c r="AC1113" s="21"/>
      <c r="AD1113" s="21"/>
      <c r="AE1113" s="21"/>
      <c r="AF1113" s="21"/>
      <c r="AG1113" s="21"/>
    </row>
    <row r="1114" spans="1:33" ht="14.25" hidden="1" customHeight="1" outlineLevel="1" x14ac:dyDescent="0.35">
      <c r="A1114" s="21"/>
      <c r="B1114" s="21"/>
      <c r="C1114" s="21"/>
      <c r="D1114" s="21"/>
      <c r="E1114" s="21"/>
      <c r="F1114" s="21"/>
      <c r="G1114" s="21"/>
      <c r="H1114" s="21"/>
      <c r="I1114" s="22"/>
      <c r="J1114" s="21"/>
      <c r="K1114" s="21"/>
      <c r="L1114" s="21"/>
      <c r="M1114" s="21"/>
      <c r="N1114" s="21"/>
      <c r="O1114" s="21"/>
      <c r="P1114" s="60"/>
      <c r="Q1114" s="21"/>
      <c r="R1114" s="21"/>
      <c r="S1114" s="21"/>
      <c r="T1114" s="21"/>
      <c r="U1114" s="21"/>
      <c r="V1114" s="21"/>
      <c r="W1114" s="21"/>
      <c r="X1114" s="21"/>
      <c r="Y1114" s="21"/>
      <c r="Z1114" s="21"/>
      <c r="AA1114" s="21"/>
      <c r="AB1114" s="21"/>
      <c r="AC1114" s="21"/>
      <c r="AD1114" s="21"/>
      <c r="AE1114" s="21"/>
      <c r="AF1114" s="21"/>
      <c r="AG1114" s="21"/>
    </row>
    <row r="1115" spans="1:33" ht="14.25" customHeight="1" collapsed="1" x14ac:dyDescent="0.35">
      <c r="A1115" s="21"/>
      <c r="B1115" s="134" t="s">
        <v>4336</v>
      </c>
      <c r="C1115" s="28" t="s">
        <v>4337</v>
      </c>
      <c r="D1115" s="21"/>
      <c r="E1115" s="21"/>
      <c r="F1115" s="21"/>
      <c r="G1115" s="21"/>
      <c r="H1115" s="21"/>
      <c r="I1115" s="22"/>
      <c r="J1115" s="21"/>
      <c r="K1115" s="21"/>
      <c r="L1115" s="21"/>
      <c r="M1115" s="21"/>
      <c r="N1115" s="21"/>
      <c r="O1115" s="21"/>
      <c r="P1115" s="21"/>
      <c r="Q1115" s="21"/>
      <c r="R1115" s="21"/>
      <c r="S1115" s="21"/>
      <c r="T1115" s="21"/>
      <c r="U1115" s="21"/>
      <c r="V1115" s="21"/>
      <c r="W1115" s="21"/>
      <c r="X1115" s="21"/>
      <c r="Y1115" s="21"/>
      <c r="Z1115" s="21"/>
      <c r="AA1115" s="21"/>
      <c r="AB1115" s="21"/>
      <c r="AC1115" s="21"/>
      <c r="AD1115" s="21"/>
      <c r="AE1115" s="21"/>
      <c r="AF1115" s="21"/>
      <c r="AG1115" s="21"/>
    </row>
    <row r="1116" spans="1:33" ht="14.25" customHeight="1" x14ac:dyDescent="0.35">
      <c r="A1116" s="21"/>
      <c r="B1116" s="28"/>
      <c r="C1116" s="128" t="s">
        <v>4338</v>
      </c>
      <c r="D1116" s="28"/>
      <c r="E1116" s="28"/>
      <c r="F1116" s="21"/>
      <c r="G1116" s="21"/>
      <c r="H1116" s="21"/>
      <c r="I1116" s="22" t="s">
        <v>3883</v>
      </c>
      <c r="J1116" s="135">
        <v>0</v>
      </c>
      <c r="K1116" s="135">
        <v>0</v>
      </c>
      <c r="L1116" s="135">
        <v>0</v>
      </c>
      <c r="M1116" s="135">
        <v>459.9</v>
      </c>
      <c r="N1116" s="135">
        <v>0</v>
      </c>
      <c r="O1116" s="135">
        <v>0</v>
      </c>
      <c r="P1116" s="135">
        <v>571.5</v>
      </c>
      <c r="Q1116" s="135">
        <v>0</v>
      </c>
      <c r="R1116" s="140">
        <f t="shared" ref="R1116:AG1116" si="721">R892</f>
        <v>0</v>
      </c>
      <c r="S1116" s="140">
        <f t="shared" si="721"/>
        <v>0</v>
      </c>
      <c r="T1116" s="140">
        <f t="shared" si="721"/>
        <v>0</v>
      </c>
      <c r="U1116" s="140">
        <f t="shared" si="721"/>
        <v>0</v>
      </c>
      <c r="V1116" s="140">
        <f t="shared" si="721"/>
        <v>0</v>
      </c>
      <c r="W1116" s="140">
        <f t="shared" si="721"/>
        <v>0</v>
      </c>
      <c r="X1116" s="140">
        <f t="shared" si="721"/>
        <v>0</v>
      </c>
      <c r="Y1116" s="140">
        <f t="shared" si="721"/>
        <v>0</v>
      </c>
      <c r="Z1116" s="140">
        <f t="shared" si="721"/>
        <v>0</v>
      </c>
      <c r="AA1116" s="140">
        <f t="shared" si="721"/>
        <v>0</v>
      </c>
      <c r="AB1116" s="140">
        <f t="shared" si="721"/>
        <v>0</v>
      </c>
      <c r="AC1116" s="140">
        <f t="shared" si="721"/>
        <v>0</v>
      </c>
      <c r="AD1116" s="140">
        <f t="shared" si="721"/>
        <v>0</v>
      </c>
      <c r="AE1116" s="140">
        <f t="shared" si="721"/>
        <v>0</v>
      </c>
      <c r="AF1116" s="140">
        <f t="shared" si="721"/>
        <v>0</v>
      </c>
      <c r="AG1116" s="140">
        <f t="shared" si="721"/>
        <v>0</v>
      </c>
    </row>
    <row r="1117" spans="1:33" ht="14.25" customHeight="1" x14ac:dyDescent="0.35">
      <c r="A1117" s="21"/>
      <c r="B1117" s="28"/>
      <c r="C1117" s="128" t="s">
        <v>4339</v>
      </c>
      <c r="D1117" s="28"/>
      <c r="E1117" s="28"/>
      <c r="F1117" s="21"/>
      <c r="G1117" s="21"/>
      <c r="H1117" s="21"/>
      <c r="I1117" s="22" t="s">
        <v>13</v>
      </c>
      <c r="J1117" s="203">
        <f t="shared" ref="J1117:AG1117" si="722">J1116/10^3/J36</f>
        <v>0</v>
      </c>
      <c r="K1117" s="203">
        <f t="shared" si="722"/>
        <v>0</v>
      </c>
      <c r="L1117" s="203">
        <f t="shared" si="722"/>
        <v>0</v>
      </c>
      <c r="M1117" s="203">
        <f t="shared" si="722"/>
        <v>1.2271370192307692E-3</v>
      </c>
      <c r="N1117" s="203">
        <f t="shared" si="722"/>
        <v>0</v>
      </c>
      <c r="O1117" s="203">
        <f t="shared" si="722"/>
        <v>0</v>
      </c>
      <c r="P1117" s="203">
        <f t="shared" si="722"/>
        <v>1.4684375000000001E-3</v>
      </c>
      <c r="Q1117" s="203">
        <f t="shared" si="722"/>
        <v>0</v>
      </c>
      <c r="R1117" s="204">
        <f t="shared" si="722"/>
        <v>0</v>
      </c>
      <c r="S1117" s="204">
        <f t="shared" si="722"/>
        <v>0</v>
      </c>
      <c r="T1117" s="204">
        <f t="shared" si="722"/>
        <v>0</v>
      </c>
      <c r="U1117" s="204">
        <f t="shared" si="722"/>
        <v>0</v>
      </c>
      <c r="V1117" s="204">
        <f t="shared" si="722"/>
        <v>0</v>
      </c>
      <c r="W1117" s="204">
        <f t="shared" si="722"/>
        <v>0</v>
      </c>
      <c r="X1117" s="204">
        <f t="shared" si="722"/>
        <v>0</v>
      </c>
      <c r="Y1117" s="204">
        <f t="shared" si="722"/>
        <v>0</v>
      </c>
      <c r="Z1117" s="204">
        <f t="shared" si="722"/>
        <v>0</v>
      </c>
      <c r="AA1117" s="204">
        <f t="shared" si="722"/>
        <v>0</v>
      </c>
      <c r="AB1117" s="204">
        <f t="shared" si="722"/>
        <v>0</v>
      </c>
      <c r="AC1117" s="204">
        <f t="shared" si="722"/>
        <v>0</v>
      </c>
      <c r="AD1117" s="204">
        <f t="shared" si="722"/>
        <v>0</v>
      </c>
      <c r="AE1117" s="204">
        <f t="shared" si="722"/>
        <v>0</v>
      </c>
      <c r="AF1117" s="204">
        <f t="shared" si="722"/>
        <v>0</v>
      </c>
      <c r="AG1117" s="204">
        <f t="shared" si="722"/>
        <v>0</v>
      </c>
    </row>
    <row r="1118" spans="1:33" ht="14.25" customHeight="1" x14ac:dyDescent="0.35">
      <c r="A1118" s="21"/>
      <c r="B1118" s="28"/>
      <c r="C1118" s="128" t="s">
        <v>4146</v>
      </c>
      <c r="D1118" s="28"/>
      <c r="E1118" s="28"/>
      <c r="F1118" s="21"/>
      <c r="G1118" s="21"/>
      <c r="H1118" s="21"/>
      <c r="I1118" s="22" t="s">
        <v>13</v>
      </c>
      <c r="J1118" s="203"/>
      <c r="K1118" s="203"/>
      <c r="L1118" s="203"/>
      <c r="M1118" s="203"/>
      <c r="N1118" s="203"/>
      <c r="O1118" s="203"/>
      <c r="P1118" s="203"/>
      <c r="Q1118" s="203"/>
      <c r="R1118" s="204">
        <f t="shared" ref="R1118:AG1118" si="723">IF(R892=0,0,R902/R892)</f>
        <v>0</v>
      </c>
      <c r="S1118" s="204">
        <f t="shared" si="723"/>
        <v>0</v>
      </c>
      <c r="T1118" s="204">
        <f t="shared" si="723"/>
        <v>0</v>
      </c>
      <c r="U1118" s="204">
        <f t="shared" si="723"/>
        <v>0</v>
      </c>
      <c r="V1118" s="204">
        <f t="shared" si="723"/>
        <v>0</v>
      </c>
      <c r="W1118" s="204">
        <f t="shared" si="723"/>
        <v>0</v>
      </c>
      <c r="X1118" s="204">
        <f t="shared" si="723"/>
        <v>0</v>
      </c>
      <c r="Y1118" s="204">
        <f t="shared" si="723"/>
        <v>0</v>
      </c>
      <c r="Z1118" s="204">
        <f t="shared" si="723"/>
        <v>0</v>
      </c>
      <c r="AA1118" s="204">
        <f t="shared" si="723"/>
        <v>0</v>
      </c>
      <c r="AB1118" s="204">
        <f t="shared" si="723"/>
        <v>0</v>
      </c>
      <c r="AC1118" s="204">
        <f t="shared" si="723"/>
        <v>0</v>
      </c>
      <c r="AD1118" s="204">
        <f t="shared" si="723"/>
        <v>0</v>
      </c>
      <c r="AE1118" s="204">
        <f t="shared" si="723"/>
        <v>0</v>
      </c>
      <c r="AF1118" s="204">
        <f t="shared" si="723"/>
        <v>0</v>
      </c>
      <c r="AG1118" s="204">
        <f t="shared" si="723"/>
        <v>0</v>
      </c>
    </row>
    <row r="1119" spans="1:33" ht="14.25" customHeight="1" x14ac:dyDescent="0.35">
      <c r="A1119" s="21"/>
      <c r="B1119" s="28"/>
      <c r="C1119" s="128"/>
      <c r="D1119" s="28"/>
      <c r="E1119" s="28"/>
      <c r="F1119" s="21"/>
      <c r="G1119" s="21"/>
      <c r="H1119" s="21"/>
      <c r="I1119" s="22"/>
      <c r="J1119" s="21"/>
      <c r="K1119" s="21"/>
      <c r="L1119" s="21"/>
      <c r="M1119" s="21"/>
      <c r="N1119" s="21"/>
      <c r="O1119" s="21"/>
      <c r="P1119" s="21"/>
      <c r="Q1119" s="21"/>
      <c r="R1119" s="21"/>
      <c r="S1119" s="21"/>
      <c r="T1119" s="21"/>
      <c r="U1119" s="21"/>
      <c r="V1119" s="21"/>
      <c r="W1119" s="21"/>
      <c r="X1119" s="21"/>
      <c r="Y1119" s="21"/>
      <c r="Z1119" s="21"/>
      <c r="AA1119" s="21"/>
      <c r="AB1119" s="21"/>
      <c r="AC1119" s="21"/>
      <c r="AD1119" s="21"/>
      <c r="AE1119" s="21"/>
      <c r="AF1119" s="21"/>
      <c r="AG1119" s="21"/>
    </row>
    <row r="1120" spans="1:33" ht="14.25" customHeight="1" x14ac:dyDescent="0.35">
      <c r="A1120" s="21"/>
      <c r="B1120" s="28" t="s">
        <v>4340</v>
      </c>
      <c r="C1120" s="28" t="s">
        <v>4341</v>
      </c>
      <c r="D1120" s="21"/>
      <c r="E1120" s="21"/>
      <c r="F1120" s="21"/>
      <c r="G1120" s="21"/>
      <c r="H1120" s="21"/>
      <c r="I1120" s="22"/>
      <c r="J1120" s="21"/>
      <c r="K1120" s="21"/>
      <c r="L1120" s="21"/>
      <c r="M1120" s="21"/>
      <c r="N1120" s="21"/>
      <c r="O1120" s="21"/>
      <c r="P1120" s="21"/>
      <c r="Q1120" s="21"/>
      <c r="R1120" s="21"/>
      <c r="S1120" s="21"/>
      <c r="T1120" s="21"/>
      <c r="U1120" s="21"/>
      <c r="V1120" s="21"/>
      <c r="W1120" s="21"/>
      <c r="X1120" s="21"/>
      <c r="Y1120" s="21"/>
      <c r="Z1120" s="21"/>
      <c r="AA1120" s="21"/>
      <c r="AB1120" s="21"/>
      <c r="AC1120" s="21"/>
      <c r="AD1120" s="21"/>
      <c r="AE1120" s="21"/>
      <c r="AF1120" s="21"/>
      <c r="AG1120" s="21"/>
    </row>
    <row r="1121" spans="1:33" ht="14.25" customHeight="1" x14ac:dyDescent="0.35">
      <c r="A1121" s="21"/>
      <c r="B1121" s="28"/>
      <c r="C1121" s="128" t="s">
        <v>4342</v>
      </c>
      <c r="D1121" s="28"/>
      <c r="E1121" s="28"/>
      <c r="F1121" s="21"/>
      <c r="G1121" s="21"/>
      <c r="H1121" s="21"/>
      <c r="I1121" s="22"/>
      <c r="J1121" s="132">
        <v>0</v>
      </c>
      <c r="K1121" s="132">
        <v>0</v>
      </c>
      <c r="L1121" s="132">
        <v>0</v>
      </c>
      <c r="M1121" s="132">
        <v>459.9</v>
      </c>
      <c r="N1121" s="132">
        <v>0</v>
      </c>
      <c r="O1121" s="132">
        <v>0</v>
      </c>
      <c r="P1121" s="132">
        <v>571.5</v>
      </c>
      <c r="Q1121" s="132">
        <v>0</v>
      </c>
      <c r="R1121" s="140">
        <v>0</v>
      </c>
      <c r="S1121" s="140">
        <v>0</v>
      </c>
      <c r="T1121" s="140">
        <v>0</v>
      </c>
      <c r="U1121" s="140">
        <v>0</v>
      </c>
      <c r="V1121" s="140">
        <v>0</v>
      </c>
      <c r="W1121" s="140">
        <v>0</v>
      </c>
      <c r="X1121" s="140">
        <v>0</v>
      </c>
      <c r="Y1121" s="140">
        <v>0</v>
      </c>
      <c r="Z1121" s="140">
        <v>0</v>
      </c>
      <c r="AA1121" s="140">
        <v>0</v>
      </c>
      <c r="AB1121" s="140">
        <v>0</v>
      </c>
      <c r="AC1121" s="140">
        <v>0</v>
      </c>
      <c r="AD1121" s="140">
        <v>0</v>
      </c>
      <c r="AE1121" s="140">
        <v>0</v>
      </c>
      <c r="AF1121" s="140">
        <v>0</v>
      </c>
      <c r="AG1121" s="140">
        <v>0</v>
      </c>
    </row>
    <row r="1122" spans="1:33" ht="14.25" customHeight="1" x14ac:dyDescent="0.35">
      <c r="A1122" s="21"/>
      <c r="B1122" s="28"/>
      <c r="C1122" s="128" t="s">
        <v>4343</v>
      </c>
      <c r="D1122" s="28"/>
      <c r="E1122" s="28"/>
      <c r="F1122" s="21"/>
      <c r="G1122" s="21"/>
      <c r="H1122" s="21"/>
      <c r="I1122" s="22" t="s">
        <v>13</v>
      </c>
      <c r="J1122" s="203"/>
      <c r="K1122" s="203"/>
      <c r="L1122" s="203"/>
      <c r="M1122" s="203"/>
      <c r="N1122" s="203"/>
      <c r="O1122" s="203"/>
      <c r="P1122" s="203"/>
      <c r="Q1122" s="203"/>
      <c r="R1122" s="203">
        <f>'Input Operasional'!Q162</f>
        <v>0.4</v>
      </c>
      <c r="S1122" s="203">
        <f>'Input Operasional'!R162</f>
        <v>0.4</v>
      </c>
      <c r="T1122" s="203">
        <f>'Input Operasional'!S162</f>
        <v>0.4</v>
      </c>
      <c r="U1122" s="203">
        <f>'Input Operasional'!T162</f>
        <v>0.4</v>
      </c>
      <c r="V1122" s="203">
        <f>'Input Operasional'!U162</f>
        <v>0.4</v>
      </c>
      <c r="W1122" s="203">
        <f>'Input Operasional'!V162</f>
        <v>0.4</v>
      </c>
      <c r="X1122" s="203">
        <f>'Input Operasional'!W162</f>
        <v>0.4</v>
      </c>
      <c r="Y1122" s="203">
        <f>'Input Operasional'!X162</f>
        <v>0.4</v>
      </c>
      <c r="Z1122" s="203">
        <f>'Input Operasional'!Y162</f>
        <v>0.4</v>
      </c>
      <c r="AA1122" s="203">
        <f>'Input Operasional'!Z162</f>
        <v>0.4</v>
      </c>
      <c r="AB1122" s="203">
        <f>'Input Operasional'!AA162</f>
        <v>0.4</v>
      </c>
      <c r="AC1122" s="203">
        <f>'Input Operasional'!AB162</f>
        <v>0.4</v>
      </c>
      <c r="AD1122" s="203">
        <f>'Input Operasional'!AC162</f>
        <v>0.4</v>
      </c>
      <c r="AE1122" s="203">
        <f>'Input Operasional'!AD162</f>
        <v>0.4</v>
      </c>
      <c r="AF1122" s="203">
        <f>'Input Operasional'!AE162</f>
        <v>0.4</v>
      </c>
      <c r="AG1122" s="203">
        <f>'Input Operasional'!AF162</f>
        <v>0.4</v>
      </c>
    </row>
    <row r="1123" spans="1:33" ht="14.25" customHeight="1" x14ac:dyDescent="0.35">
      <c r="A1123" s="21"/>
      <c r="B1123" s="28"/>
      <c r="C1123" s="128" t="s">
        <v>4344</v>
      </c>
      <c r="D1123" s="28"/>
      <c r="E1123" s="28"/>
      <c r="F1123" s="21"/>
      <c r="G1123" s="21"/>
      <c r="H1123" s="21"/>
      <c r="I1123" s="22" t="s">
        <v>13</v>
      </c>
      <c r="J1123" s="203"/>
      <c r="K1123" s="203"/>
      <c r="L1123" s="203"/>
      <c r="M1123" s="203"/>
      <c r="N1123" s="203"/>
      <c r="O1123" s="203"/>
      <c r="P1123" s="203"/>
      <c r="Q1123" s="203"/>
      <c r="R1123" s="204">
        <f t="shared" ref="R1123:AG1123" si="724">1-R1122</f>
        <v>0.6</v>
      </c>
      <c r="S1123" s="204">
        <f t="shared" si="724"/>
        <v>0.6</v>
      </c>
      <c r="T1123" s="204">
        <f t="shared" si="724"/>
        <v>0.6</v>
      </c>
      <c r="U1123" s="204">
        <f t="shared" si="724"/>
        <v>0.6</v>
      </c>
      <c r="V1123" s="204">
        <f t="shared" si="724"/>
        <v>0.6</v>
      </c>
      <c r="W1123" s="204">
        <f t="shared" si="724"/>
        <v>0.6</v>
      </c>
      <c r="X1123" s="204">
        <f t="shared" si="724"/>
        <v>0.6</v>
      </c>
      <c r="Y1123" s="204">
        <f t="shared" si="724"/>
        <v>0.6</v>
      </c>
      <c r="Z1123" s="204">
        <f t="shared" si="724"/>
        <v>0.6</v>
      </c>
      <c r="AA1123" s="204">
        <f t="shared" si="724"/>
        <v>0.6</v>
      </c>
      <c r="AB1123" s="204">
        <f t="shared" si="724"/>
        <v>0.6</v>
      </c>
      <c r="AC1123" s="204">
        <f t="shared" si="724"/>
        <v>0.6</v>
      </c>
      <c r="AD1123" s="204">
        <f t="shared" si="724"/>
        <v>0.6</v>
      </c>
      <c r="AE1123" s="204">
        <f t="shared" si="724"/>
        <v>0.6</v>
      </c>
      <c r="AF1123" s="204">
        <f t="shared" si="724"/>
        <v>0.6</v>
      </c>
      <c r="AG1123" s="204">
        <f t="shared" si="724"/>
        <v>0.6</v>
      </c>
    </row>
    <row r="1124" spans="1:33" ht="14.25" customHeight="1" x14ac:dyDescent="0.35">
      <c r="A1124" s="21"/>
      <c r="B1124" s="28"/>
      <c r="C1124" s="28" t="s">
        <v>4345</v>
      </c>
      <c r="D1124" s="21"/>
      <c r="E1124" s="21"/>
      <c r="F1124" s="21"/>
      <c r="G1124" s="21"/>
      <c r="H1124" s="21"/>
      <c r="I1124" s="22"/>
      <c r="J1124" s="21"/>
      <c r="K1124" s="21"/>
      <c r="L1124" s="21"/>
      <c r="M1124" s="21"/>
      <c r="N1124" s="21"/>
      <c r="O1124" s="21"/>
      <c r="P1124" s="21"/>
      <c r="Q1124" s="21"/>
      <c r="R1124" s="21"/>
      <c r="S1124" s="21"/>
      <c r="T1124" s="21"/>
      <c r="U1124" s="21"/>
      <c r="V1124" s="21"/>
      <c r="W1124" s="21"/>
      <c r="X1124" s="21"/>
      <c r="Y1124" s="21"/>
      <c r="Z1124" s="21"/>
      <c r="AA1124" s="21"/>
      <c r="AB1124" s="21"/>
      <c r="AC1124" s="21"/>
      <c r="AD1124" s="21"/>
      <c r="AE1124" s="21"/>
      <c r="AF1124" s="21"/>
      <c r="AG1124" s="21"/>
    </row>
    <row r="1125" spans="1:33" ht="14.25" customHeight="1" x14ac:dyDescent="0.35">
      <c r="A1125" s="21"/>
      <c r="B1125" s="28"/>
      <c r="C1125" s="21"/>
      <c r="D1125" s="128" t="s">
        <v>4346</v>
      </c>
      <c r="E1125" s="128"/>
      <c r="F1125" s="21"/>
      <c r="G1125" s="21"/>
      <c r="H1125" s="21"/>
      <c r="I1125" s="22" t="s">
        <v>3900</v>
      </c>
      <c r="J1125" s="135"/>
      <c r="K1125" s="135"/>
      <c r="L1125" s="135"/>
      <c r="M1125" s="135"/>
      <c r="N1125" s="137"/>
      <c r="O1125" s="137"/>
      <c r="P1125" s="137"/>
      <c r="Q1125" s="137"/>
      <c r="R1125" s="140">
        <f t="shared" ref="R1125:AG1125" si="725">R1122*R1121</f>
        <v>0</v>
      </c>
      <c r="S1125" s="140">
        <f t="shared" si="725"/>
        <v>0</v>
      </c>
      <c r="T1125" s="140">
        <f t="shared" si="725"/>
        <v>0</v>
      </c>
      <c r="U1125" s="140">
        <f t="shared" si="725"/>
        <v>0</v>
      </c>
      <c r="V1125" s="140">
        <f t="shared" si="725"/>
        <v>0</v>
      </c>
      <c r="W1125" s="140">
        <f t="shared" si="725"/>
        <v>0</v>
      </c>
      <c r="X1125" s="140">
        <f t="shared" si="725"/>
        <v>0</v>
      </c>
      <c r="Y1125" s="140">
        <f t="shared" si="725"/>
        <v>0</v>
      </c>
      <c r="Z1125" s="140">
        <f t="shared" si="725"/>
        <v>0</v>
      </c>
      <c r="AA1125" s="140">
        <f t="shared" si="725"/>
        <v>0</v>
      </c>
      <c r="AB1125" s="140">
        <f t="shared" si="725"/>
        <v>0</v>
      </c>
      <c r="AC1125" s="140">
        <f t="shared" si="725"/>
        <v>0</v>
      </c>
      <c r="AD1125" s="140">
        <f t="shared" si="725"/>
        <v>0</v>
      </c>
      <c r="AE1125" s="140">
        <f t="shared" si="725"/>
        <v>0</v>
      </c>
      <c r="AF1125" s="140">
        <f t="shared" si="725"/>
        <v>0</v>
      </c>
      <c r="AG1125" s="140">
        <f t="shared" si="725"/>
        <v>0</v>
      </c>
    </row>
    <row r="1126" spans="1:33" ht="14.25" customHeight="1" x14ac:dyDescent="0.35">
      <c r="A1126" s="21"/>
      <c r="B1126" s="28"/>
      <c r="C1126" s="21"/>
      <c r="D1126" s="128" t="s">
        <v>4347</v>
      </c>
      <c r="E1126" s="128"/>
      <c r="F1126" s="21"/>
      <c r="G1126" s="21"/>
      <c r="H1126" s="21"/>
      <c r="I1126" s="22" t="s">
        <v>3915</v>
      </c>
      <c r="J1126" s="135">
        <f t="shared" ref="J1126:Q1126" si="726">J1125</f>
        <v>0</v>
      </c>
      <c r="K1126" s="135">
        <f t="shared" si="726"/>
        <v>0</v>
      </c>
      <c r="L1126" s="135">
        <f t="shared" si="726"/>
        <v>0</v>
      </c>
      <c r="M1126" s="135">
        <f t="shared" si="726"/>
        <v>0</v>
      </c>
      <c r="N1126" s="137">
        <f t="shared" si="726"/>
        <v>0</v>
      </c>
      <c r="O1126" s="137">
        <f t="shared" si="726"/>
        <v>0</v>
      </c>
      <c r="P1126" s="137">
        <f t="shared" si="726"/>
        <v>0</v>
      </c>
      <c r="Q1126" s="137">
        <f t="shared" si="726"/>
        <v>0</v>
      </c>
      <c r="R1126" s="140">
        <f t="shared" ref="R1126:AG1126" si="727">R905</f>
        <v>0</v>
      </c>
      <c r="S1126" s="140">
        <f t="shared" si="727"/>
        <v>0</v>
      </c>
      <c r="T1126" s="140">
        <f t="shared" si="727"/>
        <v>0</v>
      </c>
      <c r="U1126" s="140">
        <f t="shared" si="727"/>
        <v>0</v>
      </c>
      <c r="V1126" s="140">
        <f t="shared" si="727"/>
        <v>0</v>
      </c>
      <c r="W1126" s="140">
        <f t="shared" si="727"/>
        <v>0</v>
      </c>
      <c r="X1126" s="140">
        <f t="shared" si="727"/>
        <v>0</v>
      </c>
      <c r="Y1126" s="140">
        <f t="shared" si="727"/>
        <v>0</v>
      </c>
      <c r="Z1126" s="140">
        <f t="shared" si="727"/>
        <v>0</v>
      </c>
      <c r="AA1126" s="140">
        <f t="shared" si="727"/>
        <v>0</v>
      </c>
      <c r="AB1126" s="140">
        <f t="shared" si="727"/>
        <v>0</v>
      </c>
      <c r="AC1126" s="140">
        <f t="shared" si="727"/>
        <v>0</v>
      </c>
      <c r="AD1126" s="140">
        <f t="shared" si="727"/>
        <v>0</v>
      </c>
      <c r="AE1126" s="140">
        <f t="shared" si="727"/>
        <v>0</v>
      </c>
      <c r="AF1126" s="140">
        <f t="shared" si="727"/>
        <v>0</v>
      </c>
      <c r="AG1126" s="140">
        <f t="shared" si="727"/>
        <v>0</v>
      </c>
    </row>
    <row r="1127" spans="1:33" ht="14.25" customHeight="1" x14ac:dyDescent="0.35">
      <c r="A1127" s="21"/>
      <c r="B1127" s="28"/>
      <c r="C1127" s="21"/>
      <c r="D1127" s="128" t="s">
        <v>4348</v>
      </c>
      <c r="E1127" s="128"/>
      <c r="F1127" s="21"/>
      <c r="G1127" s="21"/>
      <c r="H1127" s="21"/>
      <c r="I1127" s="22" t="s">
        <v>3921</v>
      </c>
      <c r="J1127" s="135">
        <f t="shared" ref="J1127:Q1127" si="728">J1126/3.33</f>
        <v>0</v>
      </c>
      <c r="K1127" s="135">
        <f t="shared" si="728"/>
        <v>0</v>
      </c>
      <c r="L1127" s="135">
        <f t="shared" si="728"/>
        <v>0</v>
      </c>
      <c r="M1127" s="135">
        <f t="shared" si="728"/>
        <v>0</v>
      </c>
      <c r="N1127" s="135">
        <f t="shared" si="728"/>
        <v>0</v>
      </c>
      <c r="O1127" s="135">
        <f t="shared" si="728"/>
        <v>0</v>
      </c>
      <c r="P1127" s="135">
        <f t="shared" si="728"/>
        <v>0</v>
      </c>
      <c r="Q1127" s="135">
        <f t="shared" si="728"/>
        <v>0</v>
      </c>
      <c r="R1127" s="140">
        <f t="shared" ref="R1127:AG1127" si="729">R1126*R1125</f>
        <v>0</v>
      </c>
      <c r="S1127" s="140">
        <f t="shared" si="729"/>
        <v>0</v>
      </c>
      <c r="T1127" s="140">
        <f t="shared" si="729"/>
        <v>0</v>
      </c>
      <c r="U1127" s="140">
        <f t="shared" si="729"/>
        <v>0</v>
      </c>
      <c r="V1127" s="140">
        <f t="shared" si="729"/>
        <v>0</v>
      </c>
      <c r="W1127" s="140">
        <f t="shared" si="729"/>
        <v>0</v>
      </c>
      <c r="X1127" s="140">
        <f t="shared" si="729"/>
        <v>0</v>
      </c>
      <c r="Y1127" s="140">
        <f t="shared" si="729"/>
        <v>0</v>
      </c>
      <c r="Z1127" s="140">
        <f t="shared" si="729"/>
        <v>0</v>
      </c>
      <c r="AA1127" s="140">
        <f t="shared" si="729"/>
        <v>0</v>
      </c>
      <c r="AB1127" s="140">
        <f t="shared" si="729"/>
        <v>0</v>
      </c>
      <c r="AC1127" s="140">
        <f t="shared" si="729"/>
        <v>0</v>
      </c>
      <c r="AD1127" s="140">
        <f t="shared" si="729"/>
        <v>0</v>
      </c>
      <c r="AE1127" s="140">
        <f t="shared" si="729"/>
        <v>0</v>
      </c>
      <c r="AF1127" s="140">
        <f t="shared" si="729"/>
        <v>0</v>
      </c>
      <c r="AG1127" s="140">
        <f t="shared" si="729"/>
        <v>0</v>
      </c>
    </row>
    <row r="1128" spans="1:33" ht="14.25" customHeight="1" x14ac:dyDescent="0.35">
      <c r="A1128" s="21"/>
      <c r="B1128" s="28"/>
      <c r="C1128" s="28" t="s">
        <v>4349</v>
      </c>
      <c r="D1128" s="21"/>
      <c r="E1128" s="21"/>
      <c r="F1128" s="21"/>
      <c r="G1128" s="21"/>
      <c r="H1128" s="21"/>
      <c r="I1128" s="22"/>
      <c r="J1128" s="21"/>
      <c r="K1128" s="21"/>
      <c r="L1128" s="21"/>
      <c r="M1128" s="21"/>
      <c r="N1128" s="21"/>
      <c r="O1128" s="21"/>
      <c r="P1128" s="21"/>
      <c r="Q1128" s="21"/>
      <c r="R1128" s="21"/>
      <c r="S1128" s="21"/>
      <c r="T1128" s="21"/>
      <c r="U1128" s="21"/>
      <c r="V1128" s="21"/>
      <c r="W1128" s="21"/>
      <c r="X1128" s="21"/>
      <c r="Y1128" s="21"/>
      <c r="Z1128" s="21"/>
      <c r="AA1128" s="21"/>
      <c r="AB1128" s="21"/>
      <c r="AC1128" s="21"/>
      <c r="AD1128" s="21"/>
      <c r="AE1128" s="21"/>
      <c r="AF1128" s="21"/>
      <c r="AG1128" s="21"/>
    </row>
    <row r="1129" spans="1:33" ht="14.25" customHeight="1" x14ac:dyDescent="0.35">
      <c r="A1129" s="21"/>
      <c r="B1129" s="28"/>
      <c r="C1129" s="28"/>
      <c r="D1129" s="128" t="s">
        <v>4346</v>
      </c>
      <c r="E1129" s="128"/>
      <c r="F1129" s="21"/>
      <c r="G1129" s="21"/>
      <c r="H1129" s="21"/>
      <c r="I1129" s="22" t="s">
        <v>3900</v>
      </c>
      <c r="J1129" s="135"/>
      <c r="K1129" s="135"/>
      <c r="L1129" s="135"/>
      <c r="M1129" s="135"/>
      <c r="N1129" s="137"/>
      <c r="O1129" s="137"/>
      <c r="P1129" s="137"/>
      <c r="Q1129" s="137"/>
      <c r="R1129" s="140">
        <f t="shared" ref="R1129:AG1129" si="730">R1123*R1121</f>
        <v>0</v>
      </c>
      <c r="S1129" s="140">
        <f t="shared" si="730"/>
        <v>0</v>
      </c>
      <c r="T1129" s="140">
        <f t="shared" si="730"/>
        <v>0</v>
      </c>
      <c r="U1129" s="140">
        <f t="shared" si="730"/>
        <v>0</v>
      </c>
      <c r="V1129" s="140">
        <f t="shared" si="730"/>
        <v>0</v>
      </c>
      <c r="W1129" s="140">
        <f t="shared" si="730"/>
        <v>0</v>
      </c>
      <c r="X1129" s="140">
        <f t="shared" si="730"/>
        <v>0</v>
      </c>
      <c r="Y1129" s="140">
        <f t="shared" si="730"/>
        <v>0</v>
      </c>
      <c r="Z1129" s="140">
        <f t="shared" si="730"/>
        <v>0</v>
      </c>
      <c r="AA1129" s="140">
        <f t="shared" si="730"/>
        <v>0</v>
      </c>
      <c r="AB1129" s="140">
        <f t="shared" si="730"/>
        <v>0</v>
      </c>
      <c r="AC1129" s="140">
        <f t="shared" si="730"/>
        <v>0</v>
      </c>
      <c r="AD1129" s="140">
        <f t="shared" si="730"/>
        <v>0</v>
      </c>
      <c r="AE1129" s="140">
        <f t="shared" si="730"/>
        <v>0</v>
      </c>
      <c r="AF1129" s="140">
        <f t="shared" si="730"/>
        <v>0</v>
      </c>
      <c r="AG1129" s="140">
        <f t="shared" si="730"/>
        <v>0</v>
      </c>
    </row>
    <row r="1130" spans="1:33" ht="14.25" customHeight="1" x14ac:dyDescent="0.35">
      <c r="A1130" s="21"/>
      <c r="B1130" s="28"/>
      <c r="C1130" s="28"/>
      <c r="D1130" s="128" t="s">
        <v>4347</v>
      </c>
      <c r="E1130" s="128"/>
      <c r="F1130" s="21"/>
      <c r="G1130" s="21"/>
      <c r="H1130" s="21"/>
      <c r="I1130" s="22" t="s">
        <v>3915</v>
      </c>
      <c r="J1130" s="135">
        <f t="shared" ref="J1130:Q1130" si="731">J1129</f>
        <v>0</v>
      </c>
      <c r="K1130" s="135">
        <f t="shared" si="731"/>
        <v>0</v>
      </c>
      <c r="L1130" s="135">
        <f t="shared" si="731"/>
        <v>0</v>
      </c>
      <c r="M1130" s="135">
        <f t="shared" si="731"/>
        <v>0</v>
      </c>
      <c r="N1130" s="137">
        <f t="shared" si="731"/>
        <v>0</v>
      </c>
      <c r="O1130" s="137">
        <f t="shared" si="731"/>
        <v>0</v>
      </c>
      <c r="P1130" s="137">
        <f t="shared" si="731"/>
        <v>0</v>
      </c>
      <c r="Q1130" s="137">
        <f t="shared" si="731"/>
        <v>0</v>
      </c>
      <c r="R1130" s="140">
        <f t="shared" ref="R1130:AG1130" si="732">R905</f>
        <v>0</v>
      </c>
      <c r="S1130" s="140">
        <f t="shared" si="732"/>
        <v>0</v>
      </c>
      <c r="T1130" s="140">
        <f t="shared" si="732"/>
        <v>0</v>
      </c>
      <c r="U1130" s="140">
        <f t="shared" si="732"/>
        <v>0</v>
      </c>
      <c r="V1130" s="140">
        <f t="shared" si="732"/>
        <v>0</v>
      </c>
      <c r="W1130" s="140">
        <f t="shared" si="732"/>
        <v>0</v>
      </c>
      <c r="X1130" s="140">
        <f t="shared" si="732"/>
        <v>0</v>
      </c>
      <c r="Y1130" s="140">
        <f t="shared" si="732"/>
        <v>0</v>
      </c>
      <c r="Z1130" s="140">
        <f t="shared" si="732"/>
        <v>0</v>
      </c>
      <c r="AA1130" s="140">
        <f t="shared" si="732"/>
        <v>0</v>
      </c>
      <c r="AB1130" s="140">
        <f t="shared" si="732"/>
        <v>0</v>
      </c>
      <c r="AC1130" s="140">
        <f t="shared" si="732"/>
        <v>0</v>
      </c>
      <c r="AD1130" s="140">
        <f t="shared" si="732"/>
        <v>0</v>
      </c>
      <c r="AE1130" s="140">
        <f t="shared" si="732"/>
        <v>0</v>
      </c>
      <c r="AF1130" s="140">
        <f t="shared" si="732"/>
        <v>0</v>
      </c>
      <c r="AG1130" s="140">
        <f t="shared" si="732"/>
        <v>0</v>
      </c>
    </row>
    <row r="1131" spans="1:33" ht="14.25" customHeight="1" x14ac:dyDescent="0.35">
      <c r="A1131" s="21"/>
      <c r="B1131" s="28"/>
      <c r="C1131" s="28"/>
      <c r="D1131" s="128" t="s">
        <v>4348</v>
      </c>
      <c r="E1131" s="128"/>
      <c r="F1131" s="21"/>
      <c r="G1131" s="21"/>
      <c r="H1131" s="21"/>
      <c r="I1131" s="22" t="s">
        <v>3921</v>
      </c>
      <c r="J1131" s="135">
        <f t="shared" ref="J1131:Q1131" si="733">J1130/3.33</f>
        <v>0</v>
      </c>
      <c r="K1131" s="135">
        <f t="shared" si="733"/>
        <v>0</v>
      </c>
      <c r="L1131" s="135">
        <f t="shared" si="733"/>
        <v>0</v>
      </c>
      <c r="M1131" s="135">
        <f t="shared" si="733"/>
        <v>0</v>
      </c>
      <c r="N1131" s="135">
        <f t="shared" si="733"/>
        <v>0</v>
      </c>
      <c r="O1131" s="135">
        <f t="shared" si="733"/>
        <v>0</v>
      </c>
      <c r="P1131" s="135">
        <f t="shared" si="733"/>
        <v>0</v>
      </c>
      <c r="Q1131" s="135">
        <f t="shared" si="733"/>
        <v>0</v>
      </c>
      <c r="R1131" s="140">
        <f t="shared" ref="R1131:AG1131" si="734">R1130*R1129</f>
        <v>0</v>
      </c>
      <c r="S1131" s="140">
        <f t="shared" si="734"/>
        <v>0</v>
      </c>
      <c r="T1131" s="140">
        <f t="shared" si="734"/>
        <v>0</v>
      </c>
      <c r="U1131" s="140">
        <f t="shared" si="734"/>
        <v>0</v>
      </c>
      <c r="V1131" s="140">
        <f t="shared" si="734"/>
        <v>0</v>
      </c>
      <c r="W1131" s="140">
        <f t="shared" si="734"/>
        <v>0</v>
      </c>
      <c r="X1131" s="140">
        <f t="shared" si="734"/>
        <v>0</v>
      </c>
      <c r="Y1131" s="140">
        <f t="shared" si="734"/>
        <v>0</v>
      </c>
      <c r="Z1131" s="140">
        <f t="shared" si="734"/>
        <v>0</v>
      </c>
      <c r="AA1131" s="140">
        <f t="shared" si="734"/>
        <v>0</v>
      </c>
      <c r="AB1131" s="140">
        <f t="shared" si="734"/>
        <v>0</v>
      </c>
      <c r="AC1131" s="140">
        <f t="shared" si="734"/>
        <v>0</v>
      </c>
      <c r="AD1131" s="140">
        <f t="shared" si="734"/>
        <v>0</v>
      </c>
      <c r="AE1131" s="140">
        <f t="shared" si="734"/>
        <v>0</v>
      </c>
      <c r="AF1131" s="140">
        <f t="shared" si="734"/>
        <v>0</v>
      </c>
      <c r="AG1131" s="140">
        <f t="shared" si="734"/>
        <v>0</v>
      </c>
    </row>
    <row r="1132" spans="1:33" ht="14.25" customHeight="1" x14ac:dyDescent="0.35">
      <c r="A1132" s="21"/>
      <c r="B1132" s="28"/>
      <c r="C1132" s="28"/>
      <c r="D1132" s="21"/>
      <c r="E1132" s="21"/>
      <c r="F1132" s="21"/>
      <c r="G1132" s="21"/>
      <c r="H1132" s="21"/>
      <c r="I1132" s="22"/>
      <c r="J1132" s="21"/>
      <c r="K1132" s="21"/>
      <c r="L1132" s="21"/>
      <c r="M1132" s="21"/>
      <c r="N1132" s="21"/>
      <c r="O1132" s="21"/>
      <c r="P1132" s="21"/>
      <c r="Q1132" s="21"/>
      <c r="R1132" s="21"/>
      <c r="S1132" s="21"/>
      <c r="T1132" s="21"/>
      <c r="U1132" s="21"/>
      <c r="V1132" s="21"/>
      <c r="W1132" s="21"/>
      <c r="X1132" s="21"/>
      <c r="Y1132" s="21"/>
      <c r="Z1132" s="21"/>
      <c r="AA1132" s="21"/>
      <c r="AB1132" s="21"/>
      <c r="AC1132" s="21"/>
      <c r="AD1132" s="21"/>
      <c r="AE1132" s="21"/>
      <c r="AF1132" s="21"/>
      <c r="AG1132" s="21"/>
    </row>
    <row r="1133" spans="1:33" ht="14.25" customHeight="1" x14ac:dyDescent="0.35">
      <c r="A1133" s="21"/>
      <c r="B1133" s="28" t="s">
        <v>4350</v>
      </c>
      <c r="C1133" s="28" t="s">
        <v>4101</v>
      </c>
      <c r="D1133" s="21"/>
      <c r="E1133" s="21"/>
      <c r="F1133" s="21"/>
      <c r="G1133" s="21"/>
      <c r="H1133" s="21"/>
      <c r="I1133" s="22"/>
      <c r="J1133" s="21"/>
      <c r="K1133" s="21"/>
      <c r="L1133" s="21"/>
      <c r="M1133" s="21"/>
      <c r="N1133" s="21"/>
      <c r="O1133" s="21"/>
      <c r="P1133" s="21"/>
      <c r="Q1133" s="21"/>
      <c r="R1133" s="21"/>
      <c r="S1133" s="21"/>
      <c r="T1133" s="21"/>
      <c r="U1133" s="21"/>
      <c r="V1133" s="21"/>
      <c r="W1133" s="21"/>
      <c r="X1133" s="21"/>
      <c r="Y1133" s="21"/>
      <c r="Z1133" s="21"/>
      <c r="AA1133" s="21"/>
      <c r="AB1133" s="21"/>
      <c r="AC1133" s="21"/>
      <c r="AD1133" s="21"/>
      <c r="AE1133" s="21"/>
      <c r="AF1133" s="21"/>
      <c r="AG1133" s="21"/>
    </row>
    <row r="1134" spans="1:33" ht="14.25" customHeight="1" x14ac:dyDescent="0.35">
      <c r="A1134" s="21"/>
      <c r="B1134" s="28"/>
      <c r="C1134" s="28" t="s">
        <v>4351</v>
      </c>
      <c r="D1134" s="21"/>
      <c r="E1134" s="21"/>
      <c r="F1134" s="21"/>
      <c r="G1134" s="21"/>
      <c r="H1134" s="21"/>
      <c r="I1134" s="22"/>
      <c r="J1134" s="21"/>
      <c r="K1134" s="21"/>
      <c r="L1134" s="21"/>
      <c r="M1134" s="21"/>
      <c r="N1134" s="21"/>
      <c r="O1134" s="21"/>
      <c r="P1134" s="21"/>
      <c r="Q1134" s="21"/>
      <c r="R1134" s="21"/>
      <c r="S1134" s="21"/>
      <c r="T1134" s="21"/>
      <c r="U1134" s="21"/>
      <c r="V1134" s="21"/>
      <c r="W1134" s="21"/>
      <c r="X1134" s="21"/>
      <c r="Y1134" s="21"/>
      <c r="Z1134" s="21"/>
      <c r="AA1134" s="21"/>
      <c r="AB1134" s="21"/>
      <c r="AC1134" s="21"/>
      <c r="AD1134" s="21"/>
      <c r="AE1134" s="21"/>
      <c r="AF1134" s="21"/>
      <c r="AG1134" s="21"/>
    </row>
    <row r="1135" spans="1:33" ht="14.25" customHeight="1" x14ac:dyDescent="0.35">
      <c r="A1135" s="21"/>
      <c r="B1135" s="28"/>
      <c r="C1135" s="28"/>
      <c r="D1135" s="176" t="s">
        <v>4352</v>
      </c>
      <c r="E1135" s="176"/>
      <c r="F1135" s="21"/>
      <c r="G1135" s="21"/>
      <c r="H1135" s="21"/>
      <c r="I1135" s="22"/>
      <c r="J1135" s="21"/>
      <c r="K1135" s="21"/>
      <c r="L1135" s="21"/>
      <c r="M1135" s="21"/>
      <c r="N1135" s="21"/>
      <c r="O1135" s="21"/>
      <c r="P1135" s="21"/>
      <c r="Q1135" s="21"/>
      <c r="R1135" s="21"/>
      <c r="S1135" s="21"/>
      <c r="T1135" s="21"/>
      <c r="U1135" s="21"/>
      <c r="V1135" s="21"/>
      <c r="W1135" s="21"/>
      <c r="X1135" s="21"/>
      <c r="Y1135" s="21"/>
      <c r="Z1135" s="21"/>
      <c r="AA1135" s="21"/>
      <c r="AB1135" s="21"/>
      <c r="AC1135" s="21"/>
      <c r="AD1135" s="21"/>
      <c r="AE1135" s="21"/>
      <c r="AF1135" s="21"/>
      <c r="AG1135" s="21"/>
    </row>
    <row r="1136" spans="1:33" ht="14.25" customHeight="1" x14ac:dyDescent="0.35">
      <c r="A1136" s="21"/>
      <c r="B1136" s="28"/>
      <c r="C1136" s="28"/>
      <c r="D1136" s="175" t="s">
        <v>4106</v>
      </c>
      <c r="E1136" s="175"/>
      <c r="F1136" s="21"/>
      <c r="G1136" s="21"/>
      <c r="H1136" s="21"/>
      <c r="I1136" s="22" t="s">
        <v>13</v>
      </c>
      <c r="J1136" s="122"/>
      <c r="K1136" s="122"/>
      <c r="L1136" s="122"/>
      <c r="M1136" s="122"/>
      <c r="N1136" s="122"/>
      <c r="O1136" s="122"/>
      <c r="P1136" s="122"/>
      <c r="Q1136" s="122"/>
      <c r="R1136" s="126">
        <f t="shared" ref="R1136:AG1136" si="735">1-R1142</f>
        <v>1</v>
      </c>
      <c r="S1136" s="126">
        <f t="shared" si="735"/>
        <v>1</v>
      </c>
      <c r="T1136" s="126">
        <f t="shared" si="735"/>
        <v>1</v>
      </c>
      <c r="U1136" s="126">
        <f t="shared" si="735"/>
        <v>1</v>
      </c>
      <c r="V1136" s="126">
        <f t="shared" si="735"/>
        <v>1</v>
      </c>
      <c r="W1136" s="126">
        <f t="shared" si="735"/>
        <v>1</v>
      </c>
      <c r="X1136" s="126">
        <f t="shared" si="735"/>
        <v>1</v>
      </c>
      <c r="Y1136" s="126">
        <f t="shared" si="735"/>
        <v>1</v>
      </c>
      <c r="Z1136" s="126">
        <f t="shared" si="735"/>
        <v>1</v>
      </c>
      <c r="AA1136" s="126">
        <f t="shared" si="735"/>
        <v>1</v>
      </c>
      <c r="AB1136" s="126">
        <f t="shared" si="735"/>
        <v>1</v>
      </c>
      <c r="AC1136" s="126">
        <f t="shared" si="735"/>
        <v>1</v>
      </c>
      <c r="AD1136" s="126">
        <f t="shared" si="735"/>
        <v>1</v>
      </c>
      <c r="AE1136" s="126">
        <f t="shared" si="735"/>
        <v>1</v>
      </c>
      <c r="AF1136" s="126">
        <f t="shared" si="735"/>
        <v>1</v>
      </c>
      <c r="AG1136" s="126">
        <f t="shared" si="735"/>
        <v>1</v>
      </c>
    </row>
    <row r="1137" spans="1:33" ht="14.25" customHeight="1" x14ac:dyDescent="0.35">
      <c r="A1137" s="21"/>
      <c r="B1137" s="28"/>
      <c r="C1137" s="28"/>
      <c r="D1137" s="175" t="s">
        <v>4112</v>
      </c>
      <c r="E1137" s="175"/>
      <c r="F1137" s="21"/>
      <c r="G1137" s="21"/>
      <c r="H1137" s="21"/>
      <c r="I1137" s="22" t="s">
        <v>13</v>
      </c>
      <c r="J1137" s="122">
        <v>0</v>
      </c>
      <c r="K1137" s="122">
        <v>0</v>
      </c>
      <c r="L1137" s="122">
        <v>0</v>
      </c>
      <c r="M1137" s="122">
        <f>M1138/M1121</f>
        <v>0</v>
      </c>
      <c r="N1137" s="122">
        <v>0</v>
      </c>
      <c r="O1137" s="122">
        <v>0</v>
      </c>
      <c r="P1137" s="122">
        <f>P1138/P1121</f>
        <v>0</v>
      </c>
      <c r="Q1137" s="122">
        <v>0</v>
      </c>
      <c r="R1137" s="126">
        <f t="shared" ref="R1137:AG1137" si="736">IF(R892*R1136=0,0,R1138/R892/R1136)</f>
        <v>0</v>
      </c>
      <c r="S1137" s="126">
        <f t="shared" si="736"/>
        <v>0</v>
      </c>
      <c r="T1137" s="126">
        <f t="shared" si="736"/>
        <v>0</v>
      </c>
      <c r="U1137" s="126">
        <f t="shared" si="736"/>
        <v>0</v>
      </c>
      <c r="V1137" s="126">
        <f t="shared" si="736"/>
        <v>0</v>
      </c>
      <c r="W1137" s="126">
        <f t="shared" si="736"/>
        <v>0</v>
      </c>
      <c r="X1137" s="126">
        <f t="shared" si="736"/>
        <v>0</v>
      </c>
      <c r="Y1137" s="126">
        <f t="shared" si="736"/>
        <v>0</v>
      </c>
      <c r="Z1137" s="126">
        <f t="shared" si="736"/>
        <v>0</v>
      </c>
      <c r="AA1137" s="126">
        <f t="shared" si="736"/>
        <v>0</v>
      </c>
      <c r="AB1137" s="126">
        <f t="shared" si="736"/>
        <v>0</v>
      </c>
      <c r="AC1137" s="126">
        <f t="shared" si="736"/>
        <v>0</v>
      </c>
      <c r="AD1137" s="126">
        <f t="shared" si="736"/>
        <v>0</v>
      </c>
      <c r="AE1137" s="126">
        <f t="shared" si="736"/>
        <v>0</v>
      </c>
      <c r="AF1137" s="126">
        <f t="shared" si="736"/>
        <v>0</v>
      </c>
      <c r="AG1137" s="126">
        <f t="shared" si="736"/>
        <v>0</v>
      </c>
    </row>
    <row r="1138" spans="1:33" ht="14.25" customHeight="1" x14ac:dyDescent="0.35">
      <c r="A1138" s="21"/>
      <c r="B1138" s="28"/>
      <c r="C1138" s="28"/>
      <c r="D1138" s="175" t="s">
        <v>4108</v>
      </c>
      <c r="E1138" s="175"/>
      <c r="F1138" s="21"/>
      <c r="G1138" s="21"/>
      <c r="H1138" s="21"/>
      <c r="I1138" s="22" t="s">
        <v>3880</v>
      </c>
      <c r="J1138" s="132">
        <v>0</v>
      </c>
      <c r="K1138" s="132">
        <v>0</v>
      </c>
      <c r="L1138" s="132">
        <v>0</v>
      </c>
      <c r="M1138" s="132">
        <v>0</v>
      </c>
      <c r="N1138" s="132">
        <v>0</v>
      </c>
      <c r="O1138" s="132">
        <v>0</v>
      </c>
      <c r="P1138" s="132">
        <v>0</v>
      </c>
      <c r="Q1138" s="132">
        <v>0</v>
      </c>
      <c r="R1138" s="140">
        <f t="shared" ref="R1138:AG1138" si="737">R918</f>
        <v>0</v>
      </c>
      <c r="S1138" s="140">
        <f t="shared" si="737"/>
        <v>0</v>
      </c>
      <c r="T1138" s="140">
        <f t="shared" si="737"/>
        <v>0</v>
      </c>
      <c r="U1138" s="140">
        <f t="shared" si="737"/>
        <v>0</v>
      </c>
      <c r="V1138" s="140">
        <f t="shared" si="737"/>
        <v>0</v>
      </c>
      <c r="W1138" s="140">
        <f t="shared" si="737"/>
        <v>0</v>
      </c>
      <c r="X1138" s="140">
        <f t="shared" si="737"/>
        <v>0</v>
      </c>
      <c r="Y1138" s="140">
        <f t="shared" si="737"/>
        <v>0</v>
      </c>
      <c r="Z1138" s="140">
        <f t="shared" si="737"/>
        <v>0</v>
      </c>
      <c r="AA1138" s="140">
        <f t="shared" si="737"/>
        <v>0</v>
      </c>
      <c r="AB1138" s="140">
        <f t="shared" si="737"/>
        <v>0</v>
      </c>
      <c r="AC1138" s="140">
        <f t="shared" si="737"/>
        <v>0</v>
      </c>
      <c r="AD1138" s="140">
        <f t="shared" si="737"/>
        <v>0</v>
      </c>
      <c r="AE1138" s="140">
        <f t="shared" si="737"/>
        <v>0</v>
      </c>
      <c r="AF1138" s="140">
        <f t="shared" si="737"/>
        <v>0</v>
      </c>
      <c r="AG1138" s="140">
        <f t="shared" si="737"/>
        <v>0</v>
      </c>
    </row>
    <row r="1139" spans="1:33" ht="14.25" customHeight="1" x14ac:dyDescent="0.35">
      <c r="A1139" s="21"/>
      <c r="B1139" s="28"/>
      <c r="C1139" s="28"/>
      <c r="D1139" s="175" t="s">
        <v>4061</v>
      </c>
      <c r="E1139" s="175"/>
      <c r="F1139" s="21"/>
      <c r="G1139" s="21"/>
      <c r="H1139" s="21"/>
      <c r="I1139" s="22" t="s">
        <v>3915</v>
      </c>
      <c r="J1139" s="132">
        <v>0</v>
      </c>
      <c r="K1139" s="132">
        <v>0</v>
      </c>
      <c r="L1139" s="132">
        <v>0</v>
      </c>
      <c r="M1139" s="132">
        <v>0</v>
      </c>
      <c r="N1139" s="132">
        <v>0</v>
      </c>
      <c r="O1139" s="132">
        <v>0</v>
      </c>
      <c r="P1139" s="132">
        <v>0</v>
      </c>
      <c r="Q1139" s="132">
        <v>0</v>
      </c>
      <c r="R1139" s="140">
        <v>0</v>
      </c>
      <c r="S1139" s="140">
        <v>0</v>
      </c>
      <c r="T1139" s="140">
        <v>0</v>
      </c>
      <c r="U1139" s="140">
        <v>0</v>
      </c>
      <c r="V1139" s="140">
        <v>0</v>
      </c>
      <c r="W1139" s="140">
        <v>0</v>
      </c>
      <c r="X1139" s="140">
        <v>0</v>
      </c>
      <c r="Y1139" s="140">
        <v>0</v>
      </c>
      <c r="Z1139" s="140">
        <v>0</v>
      </c>
      <c r="AA1139" s="140">
        <v>0</v>
      </c>
      <c r="AB1139" s="140">
        <v>0</v>
      </c>
      <c r="AC1139" s="140">
        <v>0</v>
      </c>
      <c r="AD1139" s="140">
        <v>0</v>
      </c>
      <c r="AE1139" s="140">
        <v>0</v>
      </c>
      <c r="AF1139" s="140">
        <v>0</v>
      </c>
      <c r="AG1139" s="140">
        <v>0</v>
      </c>
    </row>
    <row r="1140" spans="1:33" ht="14.25" customHeight="1" x14ac:dyDescent="0.35">
      <c r="A1140" s="21"/>
      <c r="B1140" s="28"/>
      <c r="C1140" s="28"/>
      <c r="D1140" s="175" t="s">
        <v>4353</v>
      </c>
      <c r="E1140" s="175"/>
      <c r="F1140" s="21"/>
      <c r="G1140" s="21"/>
      <c r="H1140" s="21"/>
      <c r="I1140" s="22" t="s">
        <v>4060</v>
      </c>
      <c r="J1140" s="148">
        <v>0</v>
      </c>
      <c r="K1140" s="148">
        <v>0</v>
      </c>
      <c r="L1140" s="148">
        <v>0</v>
      </c>
      <c r="M1140" s="148">
        <v>0</v>
      </c>
      <c r="N1140" s="148">
        <v>0</v>
      </c>
      <c r="O1140" s="148">
        <v>0</v>
      </c>
      <c r="P1140" s="148">
        <v>0</v>
      </c>
      <c r="Q1140" s="148">
        <v>0</v>
      </c>
      <c r="R1140" s="149">
        <f t="shared" ref="R1140:AG1140" si="738">R1138*R1139</f>
        <v>0</v>
      </c>
      <c r="S1140" s="149">
        <f t="shared" si="738"/>
        <v>0</v>
      </c>
      <c r="T1140" s="149">
        <f t="shared" si="738"/>
        <v>0</v>
      </c>
      <c r="U1140" s="149">
        <f t="shared" si="738"/>
        <v>0</v>
      </c>
      <c r="V1140" s="149">
        <f t="shared" si="738"/>
        <v>0</v>
      </c>
      <c r="W1140" s="149">
        <f t="shared" si="738"/>
        <v>0</v>
      </c>
      <c r="X1140" s="149">
        <f t="shared" si="738"/>
        <v>0</v>
      </c>
      <c r="Y1140" s="149">
        <f t="shared" si="738"/>
        <v>0</v>
      </c>
      <c r="Z1140" s="149">
        <f t="shared" si="738"/>
        <v>0</v>
      </c>
      <c r="AA1140" s="149">
        <f t="shared" si="738"/>
        <v>0</v>
      </c>
      <c r="AB1140" s="149">
        <f t="shared" si="738"/>
        <v>0</v>
      </c>
      <c r="AC1140" s="149">
        <f t="shared" si="738"/>
        <v>0</v>
      </c>
      <c r="AD1140" s="149">
        <f t="shared" si="738"/>
        <v>0</v>
      </c>
      <c r="AE1140" s="149">
        <f t="shared" si="738"/>
        <v>0</v>
      </c>
      <c r="AF1140" s="149">
        <f t="shared" si="738"/>
        <v>0</v>
      </c>
      <c r="AG1140" s="149">
        <f t="shared" si="738"/>
        <v>0</v>
      </c>
    </row>
    <row r="1141" spans="1:33" ht="14.25" customHeight="1" x14ac:dyDescent="0.35">
      <c r="A1141" s="21"/>
      <c r="B1141" s="28"/>
      <c r="C1141" s="28"/>
      <c r="D1141" s="176" t="s">
        <v>4224</v>
      </c>
      <c r="E1141" s="176"/>
      <c r="F1141" s="21"/>
      <c r="G1141" s="21"/>
      <c r="H1141" s="21"/>
      <c r="I1141" s="22"/>
      <c r="J1141" s="21"/>
      <c r="K1141" s="21"/>
      <c r="L1141" s="21"/>
      <c r="M1141" s="21"/>
      <c r="N1141" s="21"/>
      <c r="O1141" s="21"/>
      <c r="P1141" s="21"/>
      <c r="Q1141" s="21"/>
      <c r="R1141" s="21"/>
      <c r="S1141" s="21"/>
      <c r="T1141" s="21"/>
      <c r="U1141" s="21"/>
      <c r="V1141" s="21"/>
      <c r="W1141" s="21"/>
      <c r="X1141" s="21"/>
      <c r="Y1141" s="21"/>
      <c r="Z1141" s="21"/>
      <c r="AA1141" s="21"/>
      <c r="AB1141" s="21"/>
      <c r="AC1141" s="21"/>
      <c r="AD1141" s="21"/>
      <c r="AE1141" s="21"/>
      <c r="AF1141" s="21"/>
      <c r="AG1141" s="21"/>
    </row>
    <row r="1142" spans="1:33" ht="14.25" customHeight="1" x14ac:dyDescent="0.35">
      <c r="A1142" s="21"/>
      <c r="B1142" s="28"/>
      <c r="C1142" s="28"/>
      <c r="D1142" s="175" t="s">
        <v>4106</v>
      </c>
      <c r="E1142" s="175"/>
      <c r="F1142" s="21"/>
      <c r="G1142" s="21"/>
      <c r="H1142" s="21"/>
      <c r="I1142" s="22" t="s">
        <v>13</v>
      </c>
      <c r="J1142" s="122">
        <v>0</v>
      </c>
      <c r="K1142" s="122">
        <v>0</v>
      </c>
      <c r="L1142" s="122">
        <v>0</v>
      </c>
      <c r="M1142" s="122">
        <v>0</v>
      </c>
      <c r="N1142" s="122">
        <v>0</v>
      </c>
      <c r="O1142" s="122">
        <v>0</v>
      </c>
      <c r="P1142" s="122">
        <v>0</v>
      </c>
      <c r="Q1142" s="122">
        <v>0</v>
      </c>
      <c r="R1142" s="126">
        <f t="shared" ref="R1142:AG1142" si="739">IF(R914=0,0,R915/R914)</f>
        <v>0</v>
      </c>
      <c r="S1142" s="126">
        <f t="shared" si="739"/>
        <v>0</v>
      </c>
      <c r="T1142" s="126">
        <f t="shared" si="739"/>
        <v>0</v>
      </c>
      <c r="U1142" s="126">
        <f t="shared" si="739"/>
        <v>0</v>
      </c>
      <c r="V1142" s="126">
        <f t="shared" si="739"/>
        <v>0</v>
      </c>
      <c r="W1142" s="126">
        <f t="shared" si="739"/>
        <v>0</v>
      </c>
      <c r="X1142" s="126">
        <f t="shared" si="739"/>
        <v>0</v>
      </c>
      <c r="Y1142" s="126">
        <f t="shared" si="739"/>
        <v>0</v>
      </c>
      <c r="Z1142" s="126">
        <f t="shared" si="739"/>
        <v>0</v>
      </c>
      <c r="AA1142" s="126">
        <f t="shared" si="739"/>
        <v>0</v>
      </c>
      <c r="AB1142" s="126">
        <f t="shared" si="739"/>
        <v>0</v>
      </c>
      <c r="AC1142" s="126">
        <f t="shared" si="739"/>
        <v>0</v>
      </c>
      <c r="AD1142" s="126">
        <f t="shared" si="739"/>
        <v>0</v>
      </c>
      <c r="AE1142" s="126">
        <f t="shared" si="739"/>
        <v>0</v>
      </c>
      <c r="AF1142" s="126">
        <f t="shared" si="739"/>
        <v>0</v>
      </c>
      <c r="AG1142" s="126">
        <f t="shared" si="739"/>
        <v>0</v>
      </c>
    </row>
    <row r="1143" spans="1:33" ht="14.25" customHeight="1" x14ac:dyDescent="0.35">
      <c r="A1143" s="21"/>
      <c r="B1143" s="28"/>
      <c r="C1143" s="28"/>
      <c r="D1143" s="175" t="s">
        <v>4112</v>
      </c>
      <c r="E1143" s="175"/>
      <c r="F1143" s="21"/>
      <c r="G1143" s="21"/>
      <c r="H1143" s="21"/>
      <c r="I1143" s="22" t="s">
        <v>13</v>
      </c>
      <c r="J1143" s="122">
        <v>0</v>
      </c>
      <c r="K1143" s="122">
        <v>0</v>
      </c>
      <c r="L1143" s="122">
        <v>0</v>
      </c>
      <c r="M1143" s="122">
        <f>M1144/M1121</f>
        <v>0</v>
      </c>
      <c r="N1143" s="122">
        <v>0</v>
      </c>
      <c r="O1143" s="122">
        <v>0</v>
      </c>
      <c r="P1143" s="122">
        <f>P1144/P1121</f>
        <v>0</v>
      </c>
      <c r="Q1143" s="122">
        <v>0</v>
      </c>
      <c r="R1143" s="126">
        <f t="shared" ref="R1143:AG1143" si="740">IF(R892=0,0,R1144/R892)</f>
        <v>0</v>
      </c>
      <c r="S1143" s="126">
        <f t="shared" si="740"/>
        <v>0</v>
      </c>
      <c r="T1143" s="126">
        <f t="shared" si="740"/>
        <v>0</v>
      </c>
      <c r="U1143" s="126">
        <f t="shared" si="740"/>
        <v>0</v>
      </c>
      <c r="V1143" s="126">
        <f t="shared" si="740"/>
        <v>0</v>
      </c>
      <c r="W1143" s="126">
        <f t="shared" si="740"/>
        <v>0</v>
      </c>
      <c r="X1143" s="126">
        <f t="shared" si="740"/>
        <v>0</v>
      </c>
      <c r="Y1143" s="126">
        <f t="shared" si="740"/>
        <v>0</v>
      </c>
      <c r="Z1143" s="126">
        <f t="shared" si="740"/>
        <v>0</v>
      </c>
      <c r="AA1143" s="126">
        <f t="shared" si="740"/>
        <v>0</v>
      </c>
      <c r="AB1143" s="126">
        <f t="shared" si="740"/>
        <v>0</v>
      </c>
      <c r="AC1143" s="126">
        <f t="shared" si="740"/>
        <v>0</v>
      </c>
      <c r="AD1143" s="126">
        <f t="shared" si="740"/>
        <v>0</v>
      </c>
      <c r="AE1143" s="126">
        <f t="shared" si="740"/>
        <v>0</v>
      </c>
      <c r="AF1143" s="126">
        <f t="shared" si="740"/>
        <v>0</v>
      </c>
      <c r="AG1143" s="126">
        <f t="shared" si="740"/>
        <v>0</v>
      </c>
    </row>
    <row r="1144" spans="1:33" ht="14.25" customHeight="1" x14ac:dyDescent="0.35">
      <c r="A1144" s="21"/>
      <c r="B1144" s="28"/>
      <c r="C1144" s="28"/>
      <c r="D1144" s="175" t="s">
        <v>4108</v>
      </c>
      <c r="E1144" s="175"/>
      <c r="F1144" s="21"/>
      <c r="G1144" s="21"/>
      <c r="H1144" s="21"/>
      <c r="I1144" s="22" t="s">
        <v>3880</v>
      </c>
      <c r="J1144" s="132">
        <v>0</v>
      </c>
      <c r="K1144" s="132">
        <v>0</v>
      </c>
      <c r="L1144" s="132">
        <v>0</v>
      </c>
      <c r="M1144" s="132">
        <v>0</v>
      </c>
      <c r="N1144" s="132">
        <v>0</v>
      </c>
      <c r="O1144" s="132">
        <v>0</v>
      </c>
      <c r="P1144" s="132">
        <v>0</v>
      </c>
      <c r="Q1144" s="132">
        <v>0</v>
      </c>
      <c r="R1144" s="140">
        <f t="shared" ref="R1144:AG1144" si="741">R915</f>
        <v>0</v>
      </c>
      <c r="S1144" s="140">
        <f t="shared" si="741"/>
        <v>0</v>
      </c>
      <c r="T1144" s="140">
        <f t="shared" si="741"/>
        <v>0</v>
      </c>
      <c r="U1144" s="140">
        <f t="shared" si="741"/>
        <v>0</v>
      </c>
      <c r="V1144" s="140">
        <f t="shared" si="741"/>
        <v>0</v>
      </c>
      <c r="W1144" s="140">
        <f t="shared" si="741"/>
        <v>0</v>
      </c>
      <c r="X1144" s="140">
        <f t="shared" si="741"/>
        <v>0</v>
      </c>
      <c r="Y1144" s="140">
        <f t="shared" si="741"/>
        <v>0</v>
      </c>
      <c r="Z1144" s="140">
        <f t="shared" si="741"/>
        <v>0</v>
      </c>
      <c r="AA1144" s="140">
        <f t="shared" si="741"/>
        <v>0</v>
      </c>
      <c r="AB1144" s="140">
        <f t="shared" si="741"/>
        <v>0</v>
      </c>
      <c r="AC1144" s="140">
        <f t="shared" si="741"/>
        <v>0</v>
      </c>
      <c r="AD1144" s="140">
        <f t="shared" si="741"/>
        <v>0</v>
      </c>
      <c r="AE1144" s="140">
        <f t="shared" si="741"/>
        <v>0</v>
      </c>
      <c r="AF1144" s="140">
        <f t="shared" si="741"/>
        <v>0</v>
      </c>
      <c r="AG1144" s="140">
        <f t="shared" si="741"/>
        <v>0</v>
      </c>
    </row>
    <row r="1145" spans="1:33" ht="14.25" customHeight="1" x14ac:dyDescent="0.35">
      <c r="A1145" s="21"/>
      <c r="B1145" s="28"/>
      <c r="C1145" s="28"/>
      <c r="D1145" s="175" t="s">
        <v>4061</v>
      </c>
      <c r="E1145" s="175"/>
      <c r="F1145" s="21"/>
      <c r="G1145" s="21"/>
      <c r="H1145" s="21"/>
      <c r="I1145" s="22" t="s">
        <v>3915</v>
      </c>
      <c r="J1145" s="132">
        <v>0</v>
      </c>
      <c r="K1145" s="132">
        <v>0</v>
      </c>
      <c r="L1145" s="132">
        <v>0</v>
      </c>
      <c r="M1145" s="132">
        <v>0</v>
      </c>
      <c r="N1145" s="132">
        <v>0</v>
      </c>
      <c r="O1145" s="132">
        <v>0</v>
      </c>
      <c r="P1145" s="132">
        <v>0</v>
      </c>
      <c r="Q1145" s="132">
        <v>0</v>
      </c>
      <c r="R1145" s="140">
        <v>0</v>
      </c>
      <c r="S1145" s="140">
        <v>0</v>
      </c>
      <c r="T1145" s="140">
        <v>0</v>
      </c>
      <c r="U1145" s="140">
        <v>0</v>
      </c>
      <c r="V1145" s="140">
        <v>0</v>
      </c>
      <c r="W1145" s="140">
        <v>0</v>
      </c>
      <c r="X1145" s="140">
        <v>0</v>
      </c>
      <c r="Y1145" s="140">
        <v>0</v>
      </c>
      <c r="Z1145" s="140">
        <v>0</v>
      </c>
      <c r="AA1145" s="140">
        <v>0</v>
      </c>
      <c r="AB1145" s="140">
        <v>0</v>
      </c>
      <c r="AC1145" s="140">
        <v>0</v>
      </c>
      <c r="AD1145" s="140">
        <v>0</v>
      </c>
      <c r="AE1145" s="140">
        <v>0</v>
      </c>
      <c r="AF1145" s="140">
        <v>0</v>
      </c>
      <c r="AG1145" s="140">
        <v>0</v>
      </c>
    </row>
    <row r="1146" spans="1:33" ht="14.25" customHeight="1" x14ac:dyDescent="0.35">
      <c r="A1146" s="21"/>
      <c r="B1146" s="28"/>
      <c r="C1146" s="28"/>
      <c r="D1146" s="175" t="s">
        <v>4225</v>
      </c>
      <c r="E1146" s="175"/>
      <c r="F1146" s="21"/>
      <c r="G1146" s="21"/>
      <c r="H1146" s="21"/>
      <c r="I1146" s="22" t="s">
        <v>4060</v>
      </c>
      <c r="J1146" s="148">
        <v>10307500</v>
      </c>
      <c r="K1146" s="148">
        <v>4716890.1528695496</v>
      </c>
      <c r="L1146" s="148">
        <v>0</v>
      </c>
      <c r="M1146" s="148">
        <v>9172500</v>
      </c>
      <c r="N1146" s="148">
        <v>0</v>
      </c>
      <c r="O1146" s="148">
        <v>0</v>
      </c>
      <c r="P1146" s="148">
        <v>13312000</v>
      </c>
      <c r="Q1146" s="148">
        <v>0</v>
      </c>
      <c r="R1146" s="149">
        <f t="shared" ref="R1146:AG1146" si="742">R1144*R1145</f>
        <v>0</v>
      </c>
      <c r="S1146" s="149">
        <f t="shared" si="742"/>
        <v>0</v>
      </c>
      <c r="T1146" s="149">
        <f t="shared" si="742"/>
        <v>0</v>
      </c>
      <c r="U1146" s="149">
        <f t="shared" si="742"/>
        <v>0</v>
      </c>
      <c r="V1146" s="149">
        <f t="shared" si="742"/>
        <v>0</v>
      </c>
      <c r="W1146" s="149">
        <f t="shared" si="742"/>
        <v>0</v>
      </c>
      <c r="X1146" s="149">
        <f t="shared" si="742"/>
        <v>0</v>
      </c>
      <c r="Y1146" s="149">
        <f t="shared" si="742"/>
        <v>0</v>
      </c>
      <c r="Z1146" s="149">
        <f t="shared" si="742"/>
        <v>0</v>
      </c>
      <c r="AA1146" s="149">
        <f t="shared" si="742"/>
        <v>0</v>
      </c>
      <c r="AB1146" s="149">
        <f t="shared" si="742"/>
        <v>0</v>
      </c>
      <c r="AC1146" s="149">
        <f t="shared" si="742"/>
        <v>0</v>
      </c>
      <c r="AD1146" s="149">
        <f t="shared" si="742"/>
        <v>0</v>
      </c>
      <c r="AE1146" s="149">
        <f t="shared" si="742"/>
        <v>0</v>
      </c>
      <c r="AF1146" s="149">
        <f t="shared" si="742"/>
        <v>0</v>
      </c>
      <c r="AG1146" s="149">
        <f t="shared" si="742"/>
        <v>0</v>
      </c>
    </row>
    <row r="1147" spans="1:33" ht="14.25" customHeight="1" x14ac:dyDescent="0.35">
      <c r="A1147" s="21"/>
      <c r="B1147" s="28"/>
      <c r="C1147" s="28" t="s">
        <v>4354</v>
      </c>
      <c r="D1147" s="21"/>
      <c r="E1147" s="21"/>
      <c r="F1147" s="21"/>
      <c r="G1147" s="21"/>
      <c r="H1147" s="21"/>
      <c r="I1147" s="22"/>
      <c r="J1147" s="21"/>
      <c r="K1147" s="21"/>
      <c r="L1147" s="21"/>
      <c r="M1147" s="21"/>
      <c r="N1147" s="21"/>
      <c r="O1147" s="21"/>
      <c r="P1147" s="21"/>
      <c r="Q1147" s="21"/>
      <c r="R1147" s="21"/>
      <c r="S1147" s="21"/>
      <c r="T1147" s="21"/>
      <c r="U1147" s="21"/>
      <c r="V1147" s="21"/>
      <c r="W1147" s="21"/>
      <c r="X1147" s="21"/>
      <c r="Y1147" s="21"/>
      <c r="Z1147" s="21"/>
      <c r="AA1147" s="21"/>
      <c r="AB1147" s="21"/>
      <c r="AC1147" s="21"/>
      <c r="AD1147" s="21"/>
      <c r="AE1147" s="21"/>
      <c r="AF1147" s="21"/>
      <c r="AG1147" s="21"/>
    </row>
    <row r="1148" spans="1:33" ht="14.25" customHeight="1" x14ac:dyDescent="0.35">
      <c r="A1148" s="21"/>
      <c r="B1148" s="28"/>
      <c r="C1148" s="28"/>
      <c r="D1148" s="175" t="s">
        <v>4112</v>
      </c>
      <c r="E1148" s="175"/>
      <c r="F1148" s="21"/>
      <c r="G1148" s="21"/>
      <c r="H1148" s="21"/>
      <c r="I1148" s="22" t="s">
        <v>13</v>
      </c>
      <c r="J1148" s="122">
        <v>0</v>
      </c>
      <c r="K1148" s="122">
        <v>0</v>
      </c>
      <c r="L1148" s="122">
        <v>0</v>
      </c>
      <c r="M1148" s="122">
        <f>M1149/M1121</f>
        <v>0.43270276146988479</v>
      </c>
      <c r="N1148" s="122">
        <v>0</v>
      </c>
      <c r="O1148" s="122">
        <v>0</v>
      </c>
      <c r="P1148" s="122">
        <f>P1149/P1121</f>
        <v>0.91688538932633423</v>
      </c>
      <c r="Q1148" s="122">
        <v>0</v>
      </c>
      <c r="R1148" s="126">
        <f>'Input Operasional'!Q72</f>
        <v>0</v>
      </c>
      <c r="S1148" s="126">
        <f>'Input Operasional'!R72</f>
        <v>0</v>
      </c>
      <c r="T1148" s="126">
        <f>'Input Operasional'!S72</f>
        <v>0</v>
      </c>
      <c r="U1148" s="126">
        <f>'Input Operasional'!T72</f>
        <v>0</v>
      </c>
      <c r="V1148" s="126">
        <f>'Input Operasional'!U72</f>
        <v>0</v>
      </c>
      <c r="W1148" s="126">
        <f>'Input Operasional'!V72</f>
        <v>0</v>
      </c>
      <c r="X1148" s="126">
        <f>'Input Operasional'!W72</f>
        <v>0</v>
      </c>
      <c r="Y1148" s="126">
        <f>'Input Operasional'!X72</f>
        <v>0</v>
      </c>
      <c r="Z1148" s="126">
        <f>'Input Operasional'!Y72</f>
        <v>0</v>
      </c>
      <c r="AA1148" s="126">
        <f>'Input Operasional'!Z72</f>
        <v>0</v>
      </c>
      <c r="AB1148" s="126">
        <f>'Input Operasional'!AA72</f>
        <v>0</v>
      </c>
      <c r="AC1148" s="126">
        <f>'Input Operasional'!AB72</f>
        <v>0</v>
      </c>
      <c r="AD1148" s="126">
        <f>'Input Operasional'!AC72</f>
        <v>0</v>
      </c>
      <c r="AE1148" s="126">
        <f>'Input Operasional'!AD72</f>
        <v>0</v>
      </c>
      <c r="AF1148" s="126">
        <f>'Input Operasional'!AE72</f>
        <v>0</v>
      </c>
      <c r="AG1148" s="126">
        <f>'Input Operasional'!AF72</f>
        <v>0</v>
      </c>
    </row>
    <row r="1149" spans="1:33" ht="14.25" customHeight="1" x14ac:dyDescent="0.35">
      <c r="A1149" s="21"/>
      <c r="B1149" s="28"/>
      <c r="C1149" s="28"/>
      <c r="D1149" s="175" t="s">
        <v>4108</v>
      </c>
      <c r="E1149" s="175"/>
      <c r="F1149" s="21"/>
      <c r="G1149" s="21"/>
      <c r="H1149" s="21"/>
      <c r="I1149" s="22" t="s">
        <v>3900</v>
      </c>
      <c r="J1149" s="132">
        <v>1150</v>
      </c>
      <c r="K1149" s="132">
        <v>663</v>
      </c>
      <c r="L1149" s="132">
        <v>0</v>
      </c>
      <c r="M1149" s="132">
        <v>199</v>
      </c>
      <c r="N1149" s="132">
        <v>0</v>
      </c>
      <c r="O1149" s="132">
        <v>0</v>
      </c>
      <c r="P1149" s="132">
        <v>524</v>
      </c>
      <c r="Q1149" s="132">
        <v>0</v>
      </c>
      <c r="R1149" s="140">
        <f t="shared" ref="R1149:AG1149" si="743">R1148*R892</f>
        <v>0</v>
      </c>
      <c r="S1149" s="140">
        <f t="shared" si="743"/>
        <v>0</v>
      </c>
      <c r="T1149" s="140">
        <f t="shared" si="743"/>
        <v>0</v>
      </c>
      <c r="U1149" s="140">
        <f t="shared" si="743"/>
        <v>0</v>
      </c>
      <c r="V1149" s="140">
        <f t="shared" si="743"/>
        <v>0</v>
      </c>
      <c r="W1149" s="140">
        <f t="shared" si="743"/>
        <v>0</v>
      </c>
      <c r="X1149" s="140">
        <f t="shared" si="743"/>
        <v>0</v>
      </c>
      <c r="Y1149" s="140">
        <f t="shared" si="743"/>
        <v>0</v>
      </c>
      <c r="Z1149" s="140">
        <f t="shared" si="743"/>
        <v>0</v>
      </c>
      <c r="AA1149" s="140">
        <f t="shared" si="743"/>
        <v>0</v>
      </c>
      <c r="AB1149" s="140">
        <f t="shared" si="743"/>
        <v>0</v>
      </c>
      <c r="AC1149" s="140">
        <f t="shared" si="743"/>
        <v>0</v>
      </c>
      <c r="AD1149" s="140">
        <f t="shared" si="743"/>
        <v>0</v>
      </c>
      <c r="AE1149" s="140">
        <f t="shared" si="743"/>
        <v>0</v>
      </c>
      <c r="AF1149" s="140">
        <f t="shared" si="743"/>
        <v>0</v>
      </c>
      <c r="AG1149" s="140">
        <f t="shared" si="743"/>
        <v>0</v>
      </c>
    </row>
    <row r="1150" spans="1:33" ht="14.25" customHeight="1" x14ac:dyDescent="0.35">
      <c r="A1150" s="21"/>
      <c r="B1150" s="28"/>
      <c r="C1150" s="28"/>
      <c r="D1150" s="175" t="s">
        <v>4061</v>
      </c>
      <c r="E1150" s="175"/>
      <c r="F1150" s="21"/>
      <c r="G1150" s="21"/>
      <c r="H1150" s="21"/>
      <c r="I1150" s="22" t="s">
        <v>3915</v>
      </c>
      <c r="J1150" s="132">
        <v>15543.041330030999</v>
      </c>
      <c r="K1150" s="132">
        <v>16240.054653028499</v>
      </c>
      <c r="L1150" s="132">
        <v>0</v>
      </c>
      <c r="M1150" s="132">
        <v>17165.665626502501</v>
      </c>
      <c r="N1150" s="132">
        <v>0</v>
      </c>
      <c r="O1150" s="132">
        <v>0</v>
      </c>
      <c r="P1150" s="132">
        <v>17240.006011421701</v>
      </c>
      <c r="Q1150" s="132">
        <v>0</v>
      </c>
      <c r="R1150" s="140">
        <v>16203.227276874019</v>
      </c>
      <c r="S1150" s="140">
        <v>16203.227276874019</v>
      </c>
      <c r="T1150" s="140">
        <v>16203.227276874019</v>
      </c>
      <c r="U1150" s="140">
        <v>16203.227276874019</v>
      </c>
      <c r="V1150" s="140">
        <v>16203.227276874019</v>
      </c>
      <c r="W1150" s="140">
        <v>16203.227276874019</v>
      </c>
      <c r="X1150" s="140">
        <v>16203.227276874019</v>
      </c>
      <c r="Y1150" s="140">
        <v>16203.227276874019</v>
      </c>
      <c r="Z1150" s="140">
        <v>16203.227276874019</v>
      </c>
      <c r="AA1150" s="140">
        <v>16203.227276874019</v>
      </c>
      <c r="AB1150" s="140">
        <v>16203.227276874019</v>
      </c>
      <c r="AC1150" s="140">
        <v>16203.227276874019</v>
      </c>
      <c r="AD1150" s="140">
        <v>16203.227276874019</v>
      </c>
      <c r="AE1150" s="140">
        <v>16203.227276874019</v>
      </c>
      <c r="AF1150" s="140">
        <v>16203.227276874019</v>
      </c>
      <c r="AG1150" s="140">
        <v>16203.227276874019</v>
      </c>
    </row>
    <row r="1151" spans="1:33" ht="14.25" customHeight="1" x14ac:dyDescent="0.35">
      <c r="A1151" s="21"/>
      <c r="B1151" s="28"/>
      <c r="C1151" s="28"/>
      <c r="D1151" s="175" t="s">
        <v>4117</v>
      </c>
      <c r="E1151" s="175"/>
      <c r="F1151" s="21"/>
      <c r="G1151" s="21"/>
      <c r="H1151" s="21"/>
      <c r="I1151" s="22" t="s">
        <v>4060</v>
      </c>
      <c r="J1151" s="148">
        <f>J1149*J1150</f>
        <v>17874497.529535647</v>
      </c>
      <c r="K1151" s="148">
        <f>K1149*K1150</f>
        <v>10767156.234957894</v>
      </c>
      <c r="L1151" s="148">
        <v>0</v>
      </c>
      <c r="M1151" s="148">
        <f>M1149*M1150</f>
        <v>3415967.4596739979</v>
      </c>
      <c r="N1151" s="148">
        <v>0</v>
      </c>
      <c r="O1151" s="148">
        <v>0</v>
      </c>
      <c r="P1151" s="148">
        <f>P1149*P1150</f>
        <v>9033763.1499849707</v>
      </c>
      <c r="Q1151" s="148">
        <v>0</v>
      </c>
      <c r="R1151" s="149">
        <f t="shared" ref="R1151:AG1151" si="744">R1149*R1150</f>
        <v>0</v>
      </c>
      <c r="S1151" s="149">
        <f t="shared" si="744"/>
        <v>0</v>
      </c>
      <c r="T1151" s="149">
        <f t="shared" si="744"/>
        <v>0</v>
      </c>
      <c r="U1151" s="149">
        <f t="shared" si="744"/>
        <v>0</v>
      </c>
      <c r="V1151" s="149">
        <f t="shared" si="744"/>
        <v>0</v>
      </c>
      <c r="W1151" s="149">
        <f t="shared" si="744"/>
        <v>0</v>
      </c>
      <c r="X1151" s="149">
        <f t="shared" si="744"/>
        <v>0</v>
      </c>
      <c r="Y1151" s="149">
        <f t="shared" si="744"/>
        <v>0</v>
      </c>
      <c r="Z1151" s="149">
        <f t="shared" si="744"/>
        <v>0</v>
      </c>
      <c r="AA1151" s="149">
        <f t="shared" si="744"/>
        <v>0</v>
      </c>
      <c r="AB1151" s="149">
        <f t="shared" si="744"/>
        <v>0</v>
      </c>
      <c r="AC1151" s="149">
        <f t="shared" si="744"/>
        <v>0</v>
      </c>
      <c r="AD1151" s="149">
        <f t="shared" si="744"/>
        <v>0</v>
      </c>
      <c r="AE1151" s="149">
        <f t="shared" si="744"/>
        <v>0</v>
      </c>
      <c r="AF1151" s="149">
        <f t="shared" si="744"/>
        <v>0</v>
      </c>
      <c r="AG1151" s="149">
        <f t="shared" si="744"/>
        <v>0</v>
      </c>
    </row>
    <row r="1152" spans="1:33" ht="14.25" customHeight="1" x14ac:dyDescent="0.35">
      <c r="A1152" s="21"/>
      <c r="B1152" s="28"/>
      <c r="C1152" s="28" t="s">
        <v>4355</v>
      </c>
      <c r="D1152" s="21"/>
      <c r="E1152" s="21"/>
      <c r="F1152" s="21"/>
      <c r="G1152" s="21"/>
      <c r="H1152" s="21"/>
      <c r="I1152" s="22"/>
      <c r="J1152" s="21"/>
      <c r="K1152" s="21"/>
      <c r="L1152" s="21"/>
      <c r="M1152" s="21"/>
      <c r="N1152" s="21"/>
      <c r="O1152" s="21"/>
      <c r="P1152" s="21"/>
      <c r="Q1152" s="21"/>
      <c r="R1152" s="21"/>
      <c r="S1152" s="21"/>
      <c r="T1152" s="21"/>
      <c r="U1152" s="21"/>
      <c r="V1152" s="21"/>
      <c r="W1152" s="21"/>
      <c r="X1152" s="21"/>
      <c r="Y1152" s="21"/>
      <c r="Z1152" s="21"/>
      <c r="AA1152" s="21"/>
      <c r="AB1152" s="21"/>
      <c r="AC1152" s="21"/>
      <c r="AD1152" s="21"/>
      <c r="AE1152" s="21"/>
      <c r="AF1152" s="21"/>
      <c r="AG1152" s="21"/>
    </row>
    <row r="1153" spans="1:33" ht="14.25" customHeight="1" x14ac:dyDescent="0.35">
      <c r="A1153" s="21"/>
      <c r="B1153" s="28"/>
      <c r="C1153" s="28"/>
      <c r="D1153" s="175" t="s">
        <v>4112</v>
      </c>
      <c r="E1153" s="175"/>
      <c r="F1153" s="21"/>
      <c r="G1153" s="21"/>
      <c r="H1153" s="21"/>
      <c r="I1153" s="22" t="s">
        <v>13</v>
      </c>
      <c r="J1153" s="122">
        <v>0</v>
      </c>
      <c r="K1153" s="122">
        <v>0</v>
      </c>
      <c r="L1153" s="122">
        <v>0</v>
      </c>
      <c r="M1153" s="122">
        <v>0.53439755796771304</v>
      </c>
      <c r="N1153" s="122">
        <v>0</v>
      </c>
      <c r="O1153" s="122">
        <v>0</v>
      </c>
      <c r="P1153" s="122">
        <v>1.1673346968034499</v>
      </c>
      <c r="Q1153" s="122">
        <v>0</v>
      </c>
      <c r="R1153" s="126">
        <f>'Input Operasional'!Q76</f>
        <v>0</v>
      </c>
      <c r="S1153" s="126">
        <f>'Input Operasional'!R76</f>
        <v>0</v>
      </c>
      <c r="T1153" s="126">
        <f>'Input Operasional'!S76</f>
        <v>0</v>
      </c>
      <c r="U1153" s="126">
        <f>'Input Operasional'!T76</f>
        <v>0</v>
      </c>
      <c r="V1153" s="126">
        <f>'Input Operasional'!U76</f>
        <v>0</v>
      </c>
      <c r="W1153" s="126">
        <f>'Input Operasional'!V76</f>
        <v>0</v>
      </c>
      <c r="X1153" s="126">
        <f>'Input Operasional'!W76</f>
        <v>0</v>
      </c>
      <c r="Y1153" s="126">
        <f>'Input Operasional'!X76</f>
        <v>0</v>
      </c>
      <c r="Z1153" s="126">
        <f>'Input Operasional'!Y76</f>
        <v>0</v>
      </c>
      <c r="AA1153" s="126">
        <f>'Input Operasional'!Z76</f>
        <v>0</v>
      </c>
      <c r="AB1153" s="126">
        <f>'Input Operasional'!AA76</f>
        <v>0</v>
      </c>
      <c r="AC1153" s="126">
        <f>'Input Operasional'!AB76</f>
        <v>0</v>
      </c>
      <c r="AD1153" s="126">
        <f>'Input Operasional'!AC76</f>
        <v>0</v>
      </c>
      <c r="AE1153" s="126">
        <f>'Input Operasional'!AD76</f>
        <v>0</v>
      </c>
      <c r="AF1153" s="126">
        <f>'Input Operasional'!AE76</f>
        <v>0</v>
      </c>
      <c r="AG1153" s="126">
        <f>'Input Operasional'!AF76</f>
        <v>0</v>
      </c>
    </row>
    <row r="1154" spans="1:33" ht="14.25" customHeight="1" x14ac:dyDescent="0.35">
      <c r="A1154" s="21"/>
      <c r="B1154" s="28"/>
      <c r="C1154" s="28"/>
      <c r="D1154" s="175" t="s">
        <v>4108</v>
      </c>
      <c r="E1154" s="175"/>
      <c r="F1154" s="21"/>
      <c r="G1154" s="21"/>
      <c r="H1154" s="21"/>
      <c r="I1154" s="22" t="s">
        <v>4067</v>
      </c>
      <c r="J1154" s="132">
        <f>J1156/(J1155*J13)</f>
        <v>25.851147643254205</v>
      </c>
      <c r="K1154" s="132">
        <f>K1156/(K1155*K13)</f>
        <v>31.994548796544116</v>
      </c>
      <c r="L1154" s="132">
        <v>0</v>
      </c>
      <c r="M1154" s="132">
        <f>M1156/(M1155*M13)</f>
        <v>10.976846892748176</v>
      </c>
      <c r="N1154" s="132">
        <f>N1156/(N1155*N13)</f>
        <v>3.5637194311525318</v>
      </c>
      <c r="O1154" s="132">
        <v>0</v>
      </c>
      <c r="P1154" s="132">
        <f>P1156/(P1155*P13)</f>
        <v>29.893235795059102</v>
      </c>
      <c r="Q1154" s="132">
        <f>Q1156/(Q1155*Q13)</f>
        <v>1.1439294154726893</v>
      </c>
      <c r="R1154" s="140">
        <f t="shared" ref="R1154:AG1154" si="745">R1153*R892</f>
        <v>0</v>
      </c>
      <c r="S1154" s="140">
        <f t="shared" si="745"/>
        <v>0</v>
      </c>
      <c r="T1154" s="140">
        <f t="shared" si="745"/>
        <v>0</v>
      </c>
      <c r="U1154" s="140">
        <f t="shared" si="745"/>
        <v>0</v>
      </c>
      <c r="V1154" s="140">
        <f t="shared" si="745"/>
        <v>0</v>
      </c>
      <c r="W1154" s="140">
        <f t="shared" si="745"/>
        <v>0</v>
      </c>
      <c r="X1154" s="140">
        <f t="shared" si="745"/>
        <v>0</v>
      </c>
      <c r="Y1154" s="140">
        <f t="shared" si="745"/>
        <v>0</v>
      </c>
      <c r="Z1154" s="140">
        <f t="shared" si="745"/>
        <v>0</v>
      </c>
      <c r="AA1154" s="140">
        <f t="shared" si="745"/>
        <v>0</v>
      </c>
      <c r="AB1154" s="140">
        <f t="shared" si="745"/>
        <v>0</v>
      </c>
      <c r="AC1154" s="140">
        <f t="shared" si="745"/>
        <v>0</v>
      </c>
      <c r="AD1154" s="140">
        <f t="shared" si="745"/>
        <v>0</v>
      </c>
      <c r="AE1154" s="140">
        <f t="shared" si="745"/>
        <v>0</v>
      </c>
      <c r="AF1154" s="140">
        <f t="shared" si="745"/>
        <v>0</v>
      </c>
      <c r="AG1154" s="140">
        <f t="shared" si="745"/>
        <v>0</v>
      </c>
    </row>
    <row r="1155" spans="1:33" ht="14.25" customHeight="1" x14ac:dyDescent="0.35">
      <c r="A1155" s="21"/>
      <c r="B1155" s="28"/>
      <c r="C1155" s="28"/>
      <c r="D1155" s="175" t="s">
        <v>4061</v>
      </c>
      <c r="E1155" s="175"/>
      <c r="F1155" s="21"/>
      <c r="G1155" s="21"/>
      <c r="H1155" s="21"/>
      <c r="I1155" s="22" t="s">
        <v>4119</v>
      </c>
      <c r="J1155" s="177">
        <v>12.75</v>
      </c>
      <c r="K1155" s="177">
        <v>12.75</v>
      </c>
      <c r="L1155" s="177">
        <v>12.75</v>
      </c>
      <c r="M1155" s="177">
        <v>12.75</v>
      </c>
      <c r="N1155" s="177">
        <v>12.75</v>
      </c>
      <c r="O1155" s="177">
        <v>12.75</v>
      </c>
      <c r="P1155" s="177">
        <v>12.75</v>
      </c>
      <c r="Q1155" s="177">
        <v>12.75</v>
      </c>
      <c r="R1155" s="178">
        <v>12.75</v>
      </c>
      <c r="S1155" s="178">
        <v>12.75</v>
      </c>
      <c r="T1155" s="178">
        <v>12.75</v>
      </c>
      <c r="U1155" s="178">
        <v>12.75</v>
      </c>
      <c r="V1155" s="178">
        <v>12.75</v>
      </c>
      <c r="W1155" s="178">
        <v>12.75</v>
      </c>
      <c r="X1155" s="178">
        <v>12.75</v>
      </c>
      <c r="Y1155" s="178">
        <v>12.75</v>
      </c>
      <c r="Z1155" s="178">
        <v>12.75</v>
      </c>
      <c r="AA1155" s="178">
        <v>12.75</v>
      </c>
      <c r="AB1155" s="178">
        <v>12.75</v>
      </c>
      <c r="AC1155" s="178">
        <v>12.75</v>
      </c>
      <c r="AD1155" s="178">
        <v>12.75</v>
      </c>
      <c r="AE1155" s="178">
        <v>12.75</v>
      </c>
      <c r="AF1155" s="178">
        <v>12.75</v>
      </c>
      <c r="AG1155" s="178">
        <v>12.75</v>
      </c>
    </row>
    <row r="1156" spans="1:33" ht="14.25" customHeight="1" x14ac:dyDescent="0.35">
      <c r="A1156" s="21"/>
      <c r="B1156" s="28"/>
      <c r="C1156" s="28"/>
      <c r="D1156" s="175" t="s">
        <v>32</v>
      </c>
      <c r="E1156" s="175"/>
      <c r="F1156" s="21"/>
      <c r="G1156" s="21"/>
      <c r="H1156" s="21"/>
      <c r="I1156" s="22" t="s">
        <v>4060</v>
      </c>
      <c r="J1156" s="148">
        <v>5532701.3953307299</v>
      </c>
      <c r="K1156" s="148">
        <v>6836099.2713392004</v>
      </c>
      <c r="L1156" s="148">
        <v>0</v>
      </c>
      <c r="M1156" s="148">
        <v>2424576.9185171099</v>
      </c>
      <c r="N1156" s="148">
        <v>808286.31324984797</v>
      </c>
      <c r="O1156" s="148">
        <v>0</v>
      </c>
      <c r="P1156" s="148">
        <v>6890226.4379642503</v>
      </c>
      <c r="Q1156" s="148">
        <v>258200.02613694099</v>
      </c>
      <c r="R1156" s="149">
        <f t="shared" ref="R1156:AG1156" si="746">R1154*R1155*R13</f>
        <v>0</v>
      </c>
      <c r="S1156" s="149">
        <f t="shared" si="746"/>
        <v>0</v>
      </c>
      <c r="T1156" s="149">
        <f t="shared" si="746"/>
        <v>0</v>
      </c>
      <c r="U1156" s="149">
        <f t="shared" si="746"/>
        <v>0</v>
      </c>
      <c r="V1156" s="149">
        <f t="shared" si="746"/>
        <v>0</v>
      </c>
      <c r="W1156" s="149">
        <f t="shared" si="746"/>
        <v>0</v>
      </c>
      <c r="X1156" s="149">
        <f t="shared" si="746"/>
        <v>0</v>
      </c>
      <c r="Y1156" s="149">
        <f t="shared" si="746"/>
        <v>0</v>
      </c>
      <c r="Z1156" s="149">
        <f t="shared" si="746"/>
        <v>0</v>
      </c>
      <c r="AA1156" s="149">
        <f t="shared" si="746"/>
        <v>0</v>
      </c>
      <c r="AB1156" s="149">
        <f t="shared" si="746"/>
        <v>0</v>
      </c>
      <c r="AC1156" s="149">
        <f t="shared" si="746"/>
        <v>0</v>
      </c>
      <c r="AD1156" s="149">
        <f t="shared" si="746"/>
        <v>0</v>
      </c>
      <c r="AE1156" s="149">
        <f t="shared" si="746"/>
        <v>0</v>
      </c>
      <c r="AF1156" s="149">
        <f t="shared" si="746"/>
        <v>0</v>
      </c>
      <c r="AG1156" s="149">
        <f t="shared" si="746"/>
        <v>0</v>
      </c>
    </row>
    <row r="1157" spans="1:33" ht="14.25" customHeight="1" x14ac:dyDescent="0.35">
      <c r="A1157" s="21"/>
      <c r="B1157" s="28"/>
      <c r="C1157" s="28" t="s">
        <v>4356</v>
      </c>
      <c r="D1157" s="21"/>
      <c r="E1157" s="21"/>
      <c r="F1157" s="21"/>
      <c r="G1157" s="21"/>
      <c r="H1157" s="21"/>
      <c r="I1157" s="22"/>
      <c r="J1157" s="21"/>
      <c r="K1157" s="21"/>
      <c r="L1157" s="21"/>
      <c r="M1157" s="21"/>
      <c r="N1157" s="21"/>
      <c r="O1157" s="21"/>
      <c r="P1157" s="21"/>
      <c r="Q1157" s="21"/>
      <c r="R1157" s="21"/>
      <c r="S1157" s="21"/>
      <c r="T1157" s="21"/>
      <c r="U1157" s="21"/>
      <c r="V1157" s="21"/>
      <c r="W1157" s="21"/>
      <c r="X1157" s="21"/>
      <c r="Y1157" s="21"/>
      <c r="Z1157" s="21"/>
      <c r="AA1157" s="21"/>
      <c r="AB1157" s="21"/>
      <c r="AC1157" s="21"/>
      <c r="AD1157" s="21"/>
      <c r="AE1157" s="21"/>
      <c r="AF1157" s="21"/>
      <c r="AG1157" s="21"/>
    </row>
    <row r="1158" spans="1:33" ht="14.25" customHeight="1" x14ac:dyDescent="0.35">
      <c r="A1158" s="21"/>
      <c r="B1158" s="28"/>
      <c r="C1158" s="28"/>
      <c r="D1158" s="175" t="s">
        <v>4112</v>
      </c>
      <c r="E1158" s="175"/>
      <c r="F1158" s="21"/>
      <c r="G1158" s="21"/>
      <c r="H1158" s="21"/>
      <c r="I1158" s="22" t="s">
        <v>13</v>
      </c>
      <c r="J1158" s="122">
        <v>0</v>
      </c>
      <c r="K1158" s="122">
        <v>0</v>
      </c>
      <c r="L1158" s="122">
        <v>0</v>
      </c>
      <c r="M1158" s="122">
        <f>M1159/M1121</f>
        <v>0</v>
      </c>
      <c r="N1158" s="122">
        <v>0</v>
      </c>
      <c r="O1158" s="122">
        <v>0</v>
      </c>
      <c r="P1158" s="122">
        <f>P1159/P1121</f>
        <v>0</v>
      </c>
      <c r="Q1158" s="122">
        <v>0</v>
      </c>
      <c r="R1158" s="126">
        <f>'Input Operasional'!Q80</f>
        <v>0</v>
      </c>
      <c r="S1158" s="126">
        <f>'Input Operasional'!R80</f>
        <v>0</v>
      </c>
      <c r="T1158" s="126">
        <f>'Input Operasional'!S80</f>
        <v>0</v>
      </c>
      <c r="U1158" s="126">
        <f>'Input Operasional'!T80</f>
        <v>0</v>
      </c>
      <c r="V1158" s="126">
        <f>'Input Operasional'!U80</f>
        <v>0</v>
      </c>
      <c r="W1158" s="126">
        <f>'Input Operasional'!V80</f>
        <v>0</v>
      </c>
      <c r="X1158" s="126">
        <f>'Input Operasional'!W80</f>
        <v>0</v>
      </c>
      <c r="Y1158" s="126">
        <f>'Input Operasional'!X80</f>
        <v>0</v>
      </c>
      <c r="Z1158" s="126">
        <f>'Input Operasional'!Y80</f>
        <v>0</v>
      </c>
      <c r="AA1158" s="126">
        <f>'Input Operasional'!Z80</f>
        <v>0</v>
      </c>
      <c r="AB1158" s="126">
        <f>'Input Operasional'!AA80</f>
        <v>0</v>
      </c>
      <c r="AC1158" s="126">
        <f>'Input Operasional'!AB80</f>
        <v>0</v>
      </c>
      <c r="AD1158" s="126">
        <f>'Input Operasional'!AC80</f>
        <v>0</v>
      </c>
      <c r="AE1158" s="126">
        <f>'Input Operasional'!AD80</f>
        <v>0</v>
      </c>
      <c r="AF1158" s="126">
        <f>'Input Operasional'!AE80</f>
        <v>0</v>
      </c>
      <c r="AG1158" s="126">
        <f>'Input Operasional'!AF80</f>
        <v>0</v>
      </c>
    </row>
    <row r="1159" spans="1:33" ht="14.25" customHeight="1" x14ac:dyDescent="0.35">
      <c r="A1159" s="21"/>
      <c r="B1159" s="28"/>
      <c r="C1159" s="28"/>
      <c r="D1159" s="175" t="s">
        <v>4108</v>
      </c>
      <c r="E1159" s="175"/>
      <c r="F1159" s="21"/>
      <c r="G1159" s="21"/>
      <c r="H1159" s="21"/>
      <c r="I1159" s="22" t="s">
        <v>3900</v>
      </c>
      <c r="J1159" s="132">
        <v>0</v>
      </c>
      <c r="K1159" s="132">
        <v>0</v>
      </c>
      <c r="L1159" s="132">
        <v>0</v>
      </c>
      <c r="M1159" s="132">
        <v>0</v>
      </c>
      <c r="N1159" s="132">
        <v>0</v>
      </c>
      <c r="O1159" s="132">
        <v>0</v>
      </c>
      <c r="P1159" s="132">
        <v>0</v>
      </c>
      <c r="Q1159" s="132">
        <v>0</v>
      </c>
      <c r="R1159" s="140">
        <f t="shared" ref="R1159:AG1159" si="747">R1158*R892</f>
        <v>0</v>
      </c>
      <c r="S1159" s="140">
        <f t="shared" si="747"/>
        <v>0</v>
      </c>
      <c r="T1159" s="140">
        <f t="shared" si="747"/>
        <v>0</v>
      </c>
      <c r="U1159" s="140">
        <f t="shared" si="747"/>
        <v>0</v>
      </c>
      <c r="V1159" s="140">
        <f t="shared" si="747"/>
        <v>0</v>
      </c>
      <c r="W1159" s="140">
        <f t="shared" si="747"/>
        <v>0</v>
      </c>
      <c r="X1159" s="140">
        <f t="shared" si="747"/>
        <v>0</v>
      </c>
      <c r="Y1159" s="140">
        <f t="shared" si="747"/>
        <v>0</v>
      </c>
      <c r="Z1159" s="140">
        <f t="shared" si="747"/>
        <v>0</v>
      </c>
      <c r="AA1159" s="140">
        <f t="shared" si="747"/>
        <v>0</v>
      </c>
      <c r="AB1159" s="140">
        <f t="shared" si="747"/>
        <v>0</v>
      </c>
      <c r="AC1159" s="140">
        <f t="shared" si="747"/>
        <v>0</v>
      </c>
      <c r="AD1159" s="140">
        <f t="shared" si="747"/>
        <v>0</v>
      </c>
      <c r="AE1159" s="140">
        <f t="shared" si="747"/>
        <v>0</v>
      </c>
      <c r="AF1159" s="140">
        <f t="shared" si="747"/>
        <v>0</v>
      </c>
      <c r="AG1159" s="140">
        <f t="shared" si="747"/>
        <v>0</v>
      </c>
    </row>
    <row r="1160" spans="1:33" ht="14.25" customHeight="1" x14ac:dyDescent="0.35">
      <c r="A1160" s="21"/>
      <c r="B1160" s="28"/>
      <c r="C1160" s="28"/>
      <c r="D1160" s="175" t="s">
        <v>4061</v>
      </c>
      <c r="E1160" s="175"/>
      <c r="F1160" s="21"/>
      <c r="G1160" s="21"/>
      <c r="H1160" s="21"/>
      <c r="I1160" s="22" t="s">
        <v>3861</v>
      </c>
      <c r="J1160" s="132">
        <v>0</v>
      </c>
      <c r="K1160" s="132">
        <v>0</v>
      </c>
      <c r="L1160" s="132">
        <v>0</v>
      </c>
      <c r="M1160" s="132">
        <v>0</v>
      </c>
      <c r="N1160" s="132">
        <v>0</v>
      </c>
      <c r="O1160" s="132">
        <v>0</v>
      </c>
      <c r="P1160" s="132">
        <v>0</v>
      </c>
      <c r="Q1160" s="132">
        <v>0</v>
      </c>
      <c r="R1160" s="140">
        <v>0</v>
      </c>
      <c r="S1160" s="140">
        <v>0</v>
      </c>
      <c r="T1160" s="140">
        <v>0</v>
      </c>
      <c r="U1160" s="140">
        <v>0</v>
      </c>
      <c r="V1160" s="140">
        <v>0</v>
      </c>
      <c r="W1160" s="140">
        <v>0</v>
      </c>
      <c r="X1160" s="140">
        <v>0</v>
      </c>
      <c r="Y1160" s="140">
        <v>0</v>
      </c>
      <c r="Z1160" s="140">
        <v>0</v>
      </c>
      <c r="AA1160" s="140">
        <v>0</v>
      </c>
      <c r="AB1160" s="140">
        <v>0</v>
      </c>
      <c r="AC1160" s="140">
        <v>0</v>
      </c>
      <c r="AD1160" s="140">
        <v>0</v>
      </c>
      <c r="AE1160" s="140">
        <v>0</v>
      </c>
      <c r="AF1160" s="140">
        <v>0</v>
      </c>
      <c r="AG1160" s="140">
        <v>0</v>
      </c>
    </row>
    <row r="1161" spans="1:33" ht="14.25" customHeight="1" x14ac:dyDescent="0.35">
      <c r="A1161" s="21"/>
      <c r="B1161" s="28"/>
      <c r="C1161" s="28"/>
      <c r="D1161" s="175" t="s">
        <v>4121</v>
      </c>
      <c r="E1161" s="175"/>
      <c r="F1161" s="21"/>
      <c r="G1161" s="21"/>
      <c r="H1161" s="21"/>
      <c r="I1161" s="22" t="s">
        <v>4060</v>
      </c>
      <c r="J1161" s="148">
        <v>0</v>
      </c>
      <c r="K1161" s="148">
        <v>0</v>
      </c>
      <c r="L1161" s="148">
        <v>0</v>
      </c>
      <c r="M1161" s="148">
        <v>0</v>
      </c>
      <c r="N1161" s="148">
        <v>0</v>
      </c>
      <c r="O1161" s="148">
        <v>0</v>
      </c>
      <c r="P1161" s="148">
        <v>0</v>
      </c>
      <c r="Q1161" s="148">
        <v>0</v>
      </c>
      <c r="R1161" s="149">
        <f t="shared" ref="R1161:AG1161" si="748">R1159*R1160</f>
        <v>0</v>
      </c>
      <c r="S1161" s="149">
        <f t="shared" si="748"/>
        <v>0</v>
      </c>
      <c r="T1161" s="149">
        <f t="shared" si="748"/>
        <v>0</v>
      </c>
      <c r="U1161" s="149">
        <f t="shared" si="748"/>
        <v>0</v>
      </c>
      <c r="V1161" s="149">
        <f t="shared" si="748"/>
        <v>0</v>
      </c>
      <c r="W1161" s="149">
        <f t="shared" si="748"/>
        <v>0</v>
      </c>
      <c r="X1161" s="149">
        <f t="shared" si="748"/>
        <v>0</v>
      </c>
      <c r="Y1161" s="149">
        <f t="shared" si="748"/>
        <v>0</v>
      </c>
      <c r="Z1161" s="149">
        <f t="shared" si="748"/>
        <v>0</v>
      </c>
      <c r="AA1161" s="149">
        <f t="shared" si="748"/>
        <v>0</v>
      </c>
      <c r="AB1161" s="149">
        <f t="shared" si="748"/>
        <v>0</v>
      </c>
      <c r="AC1161" s="149">
        <f t="shared" si="748"/>
        <v>0</v>
      </c>
      <c r="AD1161" s="149">
        <f t="shared" si="748"/>
        <v>0</v>
      </c>
      <c r="AE1161" s="149">
        <f t="shared" si="748"/>
        <v>0</v>
      </c>
      <c r="AF1161" s="149">
        <f t="shared" si="748"/>
        <v>0</v>
      </c>
      <c r="AG1161" s="149">
        <f t="shared" si="748"/>
        <v>0</v>
      </c>
    </row>
    <row r="1162" spans="1:33" ht="14.25" customHeight="1" x14ac:dyDescent="0.35">
      <c r="A1162" s="21"/>
      <c r="B1162" s="28"/>
      <c r="C1162" s="28" t="s">
        <v>4357</v>
      </c>
      <c r="D1162" s="21"/>
      <c r="E1162" s="21"/>
      <c r="F1162" s="21"/>
      <c r="G1162" s="21"/>
      <c r="H1162" s="21"/>
      <c r="I1162" s="22"/>
      <c r="J1162" s="21"/>
      <c r="K1162" s="21"/>
      <c r="L1162" s="21"/>
      <c r="M1162" s="21"/>
      <c r="N1162" s="21"/>
      <c r="O1162" s="21"/>
      <c r="P1162" s="21"/>
      <c r="Q1162" s="21"/>
      <c r="R1162" s="21"/>
      <c r="S1162" s="21"/>
      <c r="T1162" s="21"/>
      <c r="U1162" s="21"/>
      <c r="V1162" s="21"/>
      <c r="W1162" s="21"/>
      <c r="X1162" s="21"/>
      <c r="Y1162" s="21"/>
      <c r="Z1162" s="21"/>
      <c r="AA1162" s="21"/>
      <c r="AB1162" s="21"/>
      <c r="AC1162" s="21"/>
      <c r="AD1162" s="21"/>
      <c r="AE1162" s="21"/>
      <c r="AF1162" s="21"/>
      <c r="AG1162" s="21"/>
    </row>
    <row r="1163" spans="1:33" ht="14.25" customHeight="1" x14ac:dyDescent="0.35">
      <c r="A1163" s="21"/>
      <c r="B1163" s="28"/>
      <c r="C1163" s="28"/>
      <c r="D1163" s="175" t="s">
        <v>4123</v>
      </c>
      <c r="E1163" s="175"/>
      <c r="F1163" s="21"/>
      <c r="G1163" s="21"/>
      <c r="H1163" s="21"/>
      <c r="I1163" s="22" t="s">
        <v>13</v>
      </c>
      <c r="J1163" s="122">
        <v>0</v>
      </c>
      <c r="K1163" s="122">
        <v>0</v>
      </c>
      <c r="L1163" s="122">
        <v>0</v>
      </c>
      <c r="M1163" s="122">
        <f>M1164/M1121</f>
        <v>6.9580343552946297E-3</v>
      </c>
      <c r="N1163" s="122">
        <v>0</v>
      </c>
      <c r="O1163" s="122">
        <v>0</v>
      </c>
      <c r="P1163" s="122">
        <f>P1164/P1121</f>
        <v>2.5216605988767626E-2</v>
      </c>
      <c r="Q1163" s="122">
        <v>0</v>
      </c>
      <c r="R1163" s="126">
        <f>'Input Operasional'!Q84</f>
        <v>0</v>
      </c>
      <c r="S1163" s="126">
        <f>'Input Operasional'!R84</f>
        <v>0</v>
      </c>
      <c r="T1163" s="126">
        <f>'Input Operasional'!S84</f>
        <v>0</v>
      </c>
      <c r="U1163" s="126">
        <f>'Input Operasional'!T84</f>
        <v>0</v>
      </c>
      <c r="V1163" s="126">
        <f>'Input Operasional'!U84</f>
        <v>0</v>
      </c>
      <c r="W1163" s="126">
        <f>'Input Operasional'!V84</f>
        <v>0</v>
      </c>
      <c r="X1163" s="126">
        <f>'Input Operasional'!W84</f>
        <v>0</v>
      </c>
      <c r="Y1163" s="126">
        <f>'Input Operasional'!X84</f>
        <v>0</v>
      </c>
      <c r="Z1163" s="126">
        <f>'Input Operasional'!Y84</f>
        <v>0</v>
      </c>
      <c r="AA1163" s="126">
        <f>'Input Operasional'!Z84</f>
        <v>0</v>
      </c>
      <c r="AB1163" s="126">
        <f>'Input Operasional'!AA84</f>
        <v>0</v>
      </c>
      <c r="AC1163" s="126">
        <f>'Input Operasional'!AB84</f>
        <v>0</v>
      </c>
      <c r="AD1163" s="126">
        <f>'Input Operasional'!AC84</f>
        <v>0</v>
      </c>
      <c r="AE1163" s="126">
        <f>'Input Operasional'!AD84</f>
        <v>0</v>
      </c>
      <c r="AF1163" s="126">
        <f>'Input Operasional'!AE84</f>
        <v>0</v>
      </c>
      <c r="AG1163" s="126">
        <f>'Input Operasional'!AF84</f>
        <v>0</v>
      </c>
    </row>
    <row r="1164" spans="1:33" ht="14.25" customHeight="1" x14ac:dyDescent="0.35">
      <c r="A1164" s="21"/>
      <c r="B1164" s="28"/>
      <c r="C1164" s="28"/>
      <c r="D1164" s="175" t="s">
        <v>4108</v>
      </c>
      <c r="E1164" s="175"/>
      <c r="F1164" s="21"/>
      <c r="G1164" s="21"/>
      <c r="H1164" s="21"/>
      <c r="I1164" s="22" t="s">
        <v>3900</v>
      </c>
      <c r="J1164" s="132">
        <v>17.8</v>
      </c>
      <c r="K1164" s="132">
        <v>14.6</v>
      </c>
      <c r="L1164" s="132">
        <v>0</v>
      </c>
      <c r="M1164" s="132">
        <v>3.2</v>
      </c>
      <c r="N1164" s="132">
        <v>0</v>
      </c>
      <c r="O1164" s="132">
        <v>0</v>
      </c>
      <c r="P1164" s="132">
        <v>14.411290322580699</v>
      </c>
      <c r="Q1164" s="132">
        <v>0</v>
      </c>
      <c r="R1164" s="140">
        <f t="shared" ref="R1164:AG1164" si="749">R1163*R892</f>
        <v>0</v>
      </c>
      <c r="S1164" s="140">
        <f t="shared" si="749"/>
        <v>0</v>
      </c>
      <c r="T1164" s="140">
        <f t="shared" si="749"/>
        <v>0</v>
      </c>
      <c r="U1164" s="140">
        <f t="shared" si="749"/>
        <v>0</v>
      </c>
      <c r="V1164" s="140">
        <f t="shared" si="749"/>
        <v>0</v>
      </c>
      <c r="W1164" s="140">
        <f t="shared" si="749"/>
        <v>0</v>
      </c>
      <c r="X1164" s="140">
        <f t="shared" si="749"/>
        <v>0</v>
      </c>
      <c r="Y1164" s="140">
        <f t="shared" si="749"/>
        <v>0</v>
      </c>
      <c r="Z1164" s="140">
        <f t="shared" si="749"/>
        <v>0</v>
      </c>
      <c r="AA1164" s="140">
        <f t="shared" si="749"/>
        <v>0</v>
      </c>
      <c r="AB1164" s="140">
        <f t="shared" si="749"/>
        <v>0</v>
      </c>
      <c r="AC1164" s="140">
        <f t="shared" si="749"/>
        <v>0</v>
      </c>
      <c r="AD1164" s="140">
        <f t="shared" si="749"/>
        <v>0</v>
      </c>
      <c r="AE1164" s="140">
        <f t="shared" si="749"/>
        <v>0</v>
      </c>
      <c r="AF1164" s="140">
        <f t="shared" si="749"/>
        <v>0</v>
      </c>
      <c r="AG1164" s="140">
        <f t="shared" si="749"/>
        <v>0</v>
      </c>
    </row>
    <row r="1165" spans="1:33" ht="14.25" customHeight="1" x14ac:dyDescent="0.35">
      <c r="A1165" s="21"/>
      <c r="B1165" s="28"/>
      <c r="C1165" s="28"/>
      <c r="D1165" s="175" t="s">
        <v>4061</v>
      </c>
      <c r="E1165" s="175"/>
      <c r="F1165" s="21"/>
      <c r="G1165" s="21"/>
      <c r="H1165" s="21"/>
      <c r="I1165" s="22" t="s">
        <v>3861</v>
      </c>
      <c r="J1165" s="132">
        <v>26499.856102476198</v>
      </c>
      <c r="K1165" s="132">
        <v>26499.856102476198</v>
      </c>
      <c r="L1165" s="132">
        <v>0</v>
      </c>
      <c r="M1165" s="132">
        <v>26499.944209512501</v>
      </c>
      <c r="N1165" s="132">
        <v>0</v>
      </c>
      <c r="O1165" s="132">
        <v>0</v>
      </c>
      <c r="P1165" s="132">
        <v>34605.650593126498</v>
      </c>
      <c r="Q1165" s="132">
        <v>0</v>
      </c>
      <c r="R1165" s="140">
        <v>28835.633461728001</v>
      </c>
      <c r="S1165" s="140">
        <v>28835.633461728001</v>
      </c>
      <c r="T1165" s="140">
        <v>28835.633461728001</v>
      </c>
      <c r="U1165" s="140">
        <v>28835.633461728001</v>
      </c>
      <c r="V1165" s="140">
        <v>28835.633461728001</v>
      </c>
      <c r="W1165" s="140">
        <v>28835.633461728001</v>
      </c>
      <c r="X1165" s="140">
        <v>28835.633461728001</v>
      </c>
      <c r="Y1165" s="140">
        <v>28835.633461728001</v>
      </c>
      <c r="Z1165" s="140">
        <v>28835.633461728001</v>
      </c>
      <c r="AA1165" s="140">
        <v>28835.633461728001</v>
      </c>
      <c r="AB1165" s="140">
        <v>28835.633461728001</v>
      </c>
      <c r="AC1165" s="140">
        <v>28835.633461728001</v>
      </c>
      <c r="AD1165" s="140">
        <v>28835.633461728001</v>
      </c>
      <c r="AE1165" s="140">
        <v>28835.633461728001</v>
      </c>
      <c r="AF1165" s="140">
        <v>28835.633461728001</v>
      </c>
      <c r="AG1165" s="140">
        <v>28835.633461728001</v>
      </c>
    </row>
    <row r="1166" spans="1:33" ht="14.25" customHeight="1" x14ac:dyDescent="0.35">
      <c r="A1166" s="21"/>
      <c r="B1166" s="28"/>
      <c r="C1166" s="28"/>
      <c r="D1166" s="175" t="s">
        <v>4072</v>
      </c>
      <c r="E1166" s="175"/>
      <c r="F1166" s="21"/>
      <c r="G1166" s="21"/>
      <c r="H1166" s="21"/>
      <c r="I1166" s="22" t="s">
        <v>4060</v>
      </c>
      <c r="J1166" s="148">
        <f>J1164*J1165</f>
        <v>471697.43862407637</v>
      </c>
      <c r="K1166" s="148">
        <f>K1164*K1165</f>
        <v>386897.89909615251</v>
      </c>
      <c r="L1166" s="148">
        <v>0</v>
      </c>
      <c r="M1166" s="148">
        <f>M1164*M1165</f>
        <v>84799.821470440016</v>
      </c>
      <c r="N1166" s="148">
        <v>0</v>
      </c>
      <c r="O1166" s="148">
        <v>0</v>
      </c>
      <c r="P1166" s="148">
        <f>P1164*P1165</f>
        <v>498712.07749933295</v>
      </c>
      <c r="Q1166" s="148">
        <v>0</v>
      </c>
      <c r="R1166" s="149">
        <f t="shared" ref="R1166:AG1166" si="750">R1164*R1165</f>
        <v>0</v>
      </c>
      <c r="S1166" s="149">
        <f t="shared" si="750"/>
        <v>0</v>
      </c>
      <c r="T1166" s="149">
        <f t="shared" si="750"/>
        <v>0</v>
      </c>
      <c r="U1166" s="149">
        <f t="shared" si="750"/>
        <v>0</v>
      </c>
      <c r="V1166" s="149">
        <f t="shared" si="750"/>
        <v>0</v>
      </c>
      <c r="W1166" s="149">
        <f t="shared" si="750"/>
        <v>0</v>
      </c>
      <c r="X1166" s="149">
        <f t="shared" si="750"/>
        <v>0</v>
      </c>
      <c r="Y1166" s="149">
        <f t="shared" si="750"/>
        <v>0</v>
      </c>
      <c r="Z1166" s="149">
        <f t="shared" si="750"/>
        <v>0</v>
      </c>
      <c r="AA1166" s="149">
        <f t="shared" si="750"/>
        <v>0</v>
      </c>
      <c r="AB1166" s="149">
        <f t="shared" si="750"/>
        <v>0</v>
      </c>
      <c r="AC1166" s="149">
        <f t="shared" si="750"/>
        <v>0</v>
      </c>
      <c r="AD1166" s="149">
        <f t="shared" si="750"/>
        <v>0</v>
      </c>
      <c r="AE1166" s="149">
        <f t="shared" si="750"/>
        <v>0</v>
      </c>
      <c r="AF1166" s="149">
        <f t="shared" si="750"/>
        <v>0</v>
      </c>
      <c r="AG1166" s="149">
        <f t="shared" si="750"/>
        <v>0</v>
      </c>
    </row>
    <row r="1167" spans="1:33" ht="14.25" customHeight="1" x14ac:dyDescent="0.35">
      <c r="A1167" s="21"/>
      <c r="B1167" s="28"/>
      <c r="C1167" s="28" t="s">
        <v>4358</v>
      </c>
      <c r="D1167" s="21"/>
      <c r="E1167" s="21"/>
      <c r="F1167" s="21"/>
      <c r="G1167" s="21"/>
      <c r="H1167" s="21"/>
      <c r="I1167" s="22"/>
      <c r="J1167" s="21"/>
      <c r="K1167" s="21"/>
      <c r="L1167" s="21"/>
      <c r="M1167" s="21"/>
      <c r="N1167" s="21"/>
      <c r="O1167" s="21"/>
      <c r="P1167" s="21"/>
      <c r="Q1167" s="21"/>
      <c r="R1167" s="21"/>
      <c r="S1167" s="21"/>
      <c r="T1167" s="21"/>
      <c r="U1167" s="21"/>
      <c r="V1167" s="21"/>
      <c r="W1167" s="21"/>
      <c r="X1167" s="21"/>
      <c r="Y1167" s="21"/>
      <c r="Z1167" s="21"/>
      <c r="AA1167" s="21"/>
      <c r="AB1167" s="21"/>
      <c r="AC1167" s="21"/>
      <c r="AD1167" s="21"/>
      <c r="AE1167" s="21"/>
      <c r="AF1167" s="21"/>
      <c r="AG1167" s="21"/>
    </row>
    <row r="1168" spans="1:33" ht="14.25" customHeight="1" x14ac:dyDescent="0.35">
      <c r="A1168" s="21"/>
      <c r="B1168" s="28"/>
      <c r="C1168" s="28"/>
      <c r="D1168" s="175" t="s">
        <v>4123</v>
      </c>
      <c r="E1168" s="175"/>
      <c r="F1168" s="21"/>
      <c r="G1168" s="21"/>
      <c r="H1168" s="21"/>
      <c r="I1168" s="22" t="s">
        <v>13</v>
      </c>
      <c r="J1168" s="122">
        <v>0</v>
      </c>
      <c r="K1168" s="122">
        <v>0</v>
      </c>
      <c r="L1168" s="122">
        <v>0</v>
      </c>
      <c r="M1168" s="122">
        <f>M1169/M1121</f>
        <v>0</v>
      </c>
      <c r="N1168" s="122">
        <v>0</v>
      </c>
      <c r="O1168" s="122">
        <v>0</v>
      </c>
      <c r="P1168" s="122">
        <f>P1169/P1121</f>
        <v>0</v>
      </c>
      <c r="Q1168" s="122">
        <v>0</v>
      </c>
      <c r="R1168" s="126">
        <f>'Input Operasional'!Q88</f>
        <v>0</v>
      </c>
      <c r="S1168" s="126">
        <f>'Input Operasional'!R88</f>
        <v>0</v>
      </c>
      <c r="T1168" s="126">
        <f>'Input Operasional'!S88</f>
        <v>0</v>
      </c>
      <c r="U1168" s="126">
        <f>'Input Operasional'!T88</f>
        <v>0</v>
      </c>
      <c r="V1168" s="126">
        <f>'Input Operasional'!U88</f>
        <v>0</v>
      </c>
      <c r="W1168" s="126">
        <f>'Input Operasional'!V88</f>
        <v>0</v>
      </c>
      <c r="X1168" s="126">
        <f>'Input Operasional'!W88</f>
        <v>0</v>
      </c>
      <c r="Y1168" s="126">
        <f>'Input Operasional'!X88</f>
        <v>0</v>
      </c>
      <c r="Z1168" s="126">
        <f>'Input Operasional'!Y88</f>
        <v>0</v>
      </c>
      <c r="AA1168" s="126">
        <f>'Input Operasional'!Z88</f>
        <v>0</v>
      </c>
      <c r="AB1168" s="126">
        <f>'Input Operasional'!AA88</f>
        <v>0</v>
      </c>
      <c r="AC1168" s="126">
        <f>'Input Operasional'!AB88</f>
        <v>0</v>
      </c>
      <c r="AD1168" s="126">
        <f>'Input Operasional'!AC88</f>
        <v>0</v>
      </c>
      <c r="AE1168" s="126">
        <f>'Input Operasional'!AD88</f>
        <v>0</v>
      </c>
      <c r="AF1168" s="126">
        <f>'Input Operasional'!AE88</f>
        <v>0</v>
      </c>
      <c r="AG1168" s="126">
        <f>'Input Operasional'!AF88</f>
        <v>0</v>
      </c>
    </row>
    <row r="1169" spans="1:33" ht="14.25" customHeight="1" x14ac:dyDescent="0.35">
      <c r="A1169" s="21"/>
      <c r="B1169" s="28"/>
      <c r="C1169" s="28"/>
      <c r="D1169" s="175" t="s">
        <v>4108</v>
      </c>
      <c r="E1169" s="175"/>
      <c r="F1169" s="21"/>
      <c r="G1169" s="21"/>
      <c r="H1169" s="21"/>
      <c r="I1169" s="22" t="s">
        <v>3900</v>
      </c>
      <c r="J1169" s="132">
        <v>0</v>
      </c>
      <c r="K1169" s="132">
        <v>0</v>
      </c>
      <c r="L1169" s="132">
        <v>0</v>
      </c>
      <c r="M1169" s="132">
        <v>0</v>
      </c>
      <c r="N1169" s="132">
        <v>0</v>
      </c>
      <c r="O1169" s="132">
        <v>0</v>
      </c>
      <c r="P1169" s="132">
        <v>0</v>
      </c>
      <c r="Q1169" s="132">
        <v>0</v>
      </c>
      <c r="R1169" s="140">
        <f t="shared" ref="R1169:AG1169" si="751">R1168*R892</f>
        <v>0</v>
      </c>
      <c r="S1169" s="140">
        <f t="shared" si="751"/>
        <v>0</v>
      </c>
      <c r="T1169" s="140">
        <f t="shared" si="751"/>
        <v>0</v>
      </c>
      <c r="U1169" s="140">
        <f t="shared" si="751"/>
        <v>0</v>
      </c>
      <c r="V1169" s="140">
        <f t="shared" si="751"/>
        <v>0</v>
      </c>
      <c r="W1169" s="140">
        <f t="shared" si="751"/>
        <v>0</v>
      </c>
      <c r="X1169" s="140">
        <f t="shared" si="751"/>
        <v>0</v>
      </c>
      <c r="Y1169" s="140">
        <f t="shared" si="751"/>
        <v>0</v>
      </c>
      <c r="Z1169" s="140">
        <f t="shared" si="751"/>
        <v>0</v>
      </c>
      <c r="AA1169" s="140">
        <f t="shared" si="751"/>
        <v>0</v>
      </c>
      <c r="AB1169" s="140">
        <f t="shared" si="751"/>
        <v>0</v>
      </c>
      <c r="AC1169" s="140">
        <f t="shared" si="751"/>
        <v>0</v>
      </c>
      <c r="AD1169" s="140">
        <f t="shared" si="751"/>
        <v>0</v>
      </c>
      <c r="AE1169" s="140">
        <f t="shared" si="751"/>
        <v>0</v>
      </c>
      <c r="AF1169" s="140">
        <f t="shared" si="751"/>
        <v>0</v>
      </c>
      <c r="AG1169" s="140">
        <f t="shared" si="751"/>
        <v>0</v>
      </c>
    </row>
    <row r="1170" spans="1:33" ht="14.25" customHeight="1" x14ac:dyDescent="0.35">
      <c r="A1170" s="21"/>
      <c r="B1170" s="28"/>
      <c r="C1170" s="28"/>
      <c r="D1170" s="175" t="s">
        <v>4061</v>
      </c>
      <c r="E1170" s="175"/>
      <c r="F1170" s="21"/>
      <c r="G1170" s="21"/>
      <c r="H1170" s="21"/>
      <c r="I1170" s="22" t="s">
        <v>3861</v>
      </c>
      <c r="J1170" s="132">
        <v>0</v>
      </c>
      <c r="K1170" s="132">
        <v>0</v>
      </c>
      <c r="L1170" s="132">
        <v>0</v>
      </c>
      <c r="M1170" s="132">
        <v>0</v>
      </c>
      <c r="N1170" s="132">
        <v>0</v>
      </c>
      <c r="O1170" s="132">
        <v>0</v>
      </c>
      <c r="P1170" s="132">
        <v>0</v>
      </c>
      <c r="Q1170" s="132">
        <v>0</v>
      </c>
      <c r="R1170" s="140">
        <v>0</v>
      </c>
      <c r="S1170" s="140">
        <v>0</v>
      </c>
      <c r="T1170" s="140">
        <v>0</v>
      </c>
      <c r="U1170" s="140">
        <v>0</v>
      </c>
      <c r="V1170" s="140">
        <v>0</v>
      </c>
      <c r="W1170" s="140">
        <v>0</v>
      </c>
      <c r="X1170" s="140">
        <v>0</v>
      </c>
      <c r="Y1170" s="140">
        <v>0</v>
      </c>
      <c r="Z1170" s="140">
        <v>0</v>
      </c>
      <c r="AA1170" s="140">
        <v>0</v>
      </c>
      <c r="AB1170" s="140">
        <v>0</v>
      </c>
      <c r="AC1170" s="140">
        <v>0</v>
      </c>
      <c r="AD1170" s="140">
        <v>0</v>
      </c>
      <c r="AE1170" s="140">
        <v>0</v>
      </c>
      <c r="AF1170" s="140">
        <v>0</v>
      </c>
      <c r="AG1170" s="140">
        <v>0</v>
      </c>
    </row>
    <row r="1171" spans="1:33" ht="14.25" customHeight="1" x14ac:dyDescent="0.35">
      <c r="A1171" s="21"/>
      <c r="B1171" s="28"/>
      <c r="C1171" s="28"/>
      <c r="D1171" s="175" t="s">
        <v>4074</v>
      </c>
      <c r="E1171" s="175"/>
      <c r="F1171" s="21"/>
      <c r="G1171" s="21"/>
      <c r="H1171" s="21"/>
      <c r="I1171" s="22" t="s">
        <v>4060</v>
      </c>
      <c r="J1171" s="148">
        <v>0</v>
      </c>
      <c r="K1171" s="148">
        <v>0</v>
      </c>
      <c r="L1171" s="148">
        <v>0</v>
      </c>
      <c r="M1171" s="148">
        <v>0</v>
      </c>
      <c r="N1171" s="148">
        <v>0</v>
      </c>
      <c r="O1171" s="148">
        <v>0</v>
      </c>
      <c r="P1171" s="148">
        <v>0</v>
      </c>
      <c r="Q1171" s="148">
        <v>0</v>
      </c>
      <c r="R1171" s="149">
        <f t="shared" ref="R1171:AG1171" si="752">R1169*R1170</f>
        <v>0</v>
      </c>
      <c r="S1171" s="149">
        <f t="shared" si="752"/>
        <v>0</v>
      </c>
      <c r="T1171" s="149">
        <f t="shared" si="752"/>
        <v>0</v>
      </c>
      <c r="U1171" s="149">
        <f t="shared" si="752"/>
        <v>0</v>
      </c>
      <c r="V1171" s="149">
        <f t="shared" si="752"/>
        <v>0</v>
      </c>
      <c r="W1171" s="149">
        <f t="shared" si="752"/>
        <v>0</v>
      </c>
      <c r="X1171" s="149">
        <f t="shared" si="752"/>
        <v>0</v>
      </c>
      <c r="Y1171" s="149">
        <f t="shared" si="752"/>
        <v>0</v>
      </c>
      <c r="Z1171" s="149">
        <f t="shared" si="752"/>
        <v>0</v>
      </c>
      <c r="AA1171" s="149">
        <f t="shared" si="752"/>
        <v>0</v>
      </c>
      <c r="AB1171" s="149">
        <f t="shared" si="752"/>
        <v>0</v>
      </c>
      <c r="AC1171" s="149">
        <f t="shared" si="752"/>
        <v>0</v>
      </c>
      <c r="AD1171" s="149">
        <f t="shared" si="752"/>
        <v>0</v>
      </c>
      <c r="AE1171" s="149">
        <f t="shared" si="752"/>
        <v>0</v>
      </c>
      <c r="AF1171" s="149">
        <f t="shared" si="752"/>
        <v>0</v>
      </c>
      <c r="AG1171" s="149">
        <f t="shared" si="752"/>
        <v>0</v>
      </c>
    </row>
    <row r="1172" spans="1:33" ht="14.25" customHeight="1" x14ac:dyDescent="0.35">
      <c r="A1172" s="21"/>
      <c r="B1172" s="28"/>
      <c r="C1172" s="28" t="s">
        <v>4359</v>
      </c>
      <c r="D1172" s="21"/>
      <c r="E1172" s="21"/>
      <c r="F1172" s="21"/>
      <c r="G1172" s="21"/>
      <c r="H1172" s="21"/>
      <c r="I1172" s="22"/>
      <c r="J1172" s="21"/>
      <c r="K1172" s="21"/>
      <c r="L1172" s="21"/>
      <c r="M1172" s="21"/>
      <c r="N1172" s="21"/>
      <c r="O1172" s="21"/>
      <c r="P1172" s="21"/>
      <c r="Q1172" s="21"/>
      <c r="R1172" s="21"/>
      <c r="S1172" s="21"/>
      <c r="T1172" s="21"/>
      <c r="U1172" s="21"/>
      <c r="V1172" s="21"/>
      <c r="W1172" s="21"/>
      <c r="X1172" s="21"/>
      <c r="Y1172" s="21"/>
      <c r="Z1172" s="21"/>
      <c r="AA1172" s="21"/>
      <c r="AB1172" s="21"/>
      <c r="AC1172" s="21"/>
      <c r="AD1172" s="21"/>
      <c r="AE1172" s="21"/>
      <c r="AF1172" s="21"/>
      <c r="AG1172" s="21"/>
    </row>
    <row r="1173" spans="1:33" ht="14.25" customHeight="1" x14ac:dyDescent="0.35">
      <c r="A1173" s="21"/>
      <c r="B1173" s="28"/>
      <c r="C1173" s="28"/>
      <c r="D1173" s="175" t="s">
        <v>4123</v>
      </c>
      <c r="E1173" s="175"/>
      <c r="F1173" s="21"/>
      <c r="G1173" s="21"/>
      <c r="H1173" s="21"/>
      <c r="I1173" s="22" t="s">
        <v>13</v>
      </c>
      <c r="J1173" s="122">
        <v>0</v>
      </c>
      <c r="K1173" s="122">
        <v>0</v>
      </c>
      <c r="L1173" s="122">
        <v>0</v>
      </c>
      <c r="M1173" s="122">
        <f>M1174/M1121</f>
        <v>0</v>
      </c>
      <c r="N1173" s="122">
        <v>0</v>
      </c>
      <c r="O1173" s="122">
        <v>0</v>
      </c>
      <c r="P1173" s="122">
        <f>P1174/P1121</f>
        <v>0</v>
      </c>
      <c r="Q1173" s="122">
        <v>0</v>
      </c>
      <c r="R1173" s="126">
        <f>'Input Operasional'!Q92</f>
        <v>0</v>
      </c>
      <c r="S1173" s="126">
        <f>'Input Operasional'!R92</f>
        <v>0</v>
      </c>
      <c r="T1173" s="126">
        <f>'Input Operasional'!S92</f>
        <v>0</v>
      </c>
      <c r="U1173" s="126">
        <f>'Input Operasional'!T92</f>
        <v>0</v>
      </c>
      <c r="V1173" s="126">
        <f>'Input Operasional'!U92</f>
        <v>0</v>
      </c>
      <c r="W1173" s="126">
        <f>'Input Operasional'!V92</f>
        <v>0</v>
      </c>
      <c r="X1173" s="126">
        <f>'Input Operasional'!W92</f>
        <v>0</v>
      </c>
      <c r="Y1173" s="126">
        <f>'Input Operasional'!X92</f>
        <v>0</v>
      </c>
      <c r="Z1173" s="126">
        <f>'Input Operasional'!Y92</f>
        <v>0</v>
      </c>
      <c r="AA1173" s="126">
        <f>'Input Operasional'!Z92</f>
        <v>0</v>
      </c>
      <c r="AB1173" s="126">
        <f>'Input Operasional'!AA92</f>
        <v>0</v>
      </c>
      <c r="AC1173" s="126">
        <f>'Input Operasional'!AB92</f>
        <v>0</v>
      </c>
      <c r="AD1173" s="126">
        <f>'Input Operasional'!AC92</f>
        <v>0</v>
      </c>
      <c r="AE1173" s="126">
        <f>'Input Operasional'!AD92</f>
        <v>0</v>
      </c>
      <c r="AF1173" s="126">
        <f>'Input Operasional'!AE92</f>
        <v>0</v>
      </c>
      <c r="AG1173" s="126">
        <f>'Input Operasional'!AF92</f>
        <v>0</v>
      </c>
    </row>
    <row r="1174" spans="1:33" ht="14.25" customHeight="1" x14ac:dyDescent="0.35">
      <c r="A1174" s="21"/>
      <c r="B1174" s="28"/>
      <c r="C1174" s="28"/>
      <c r="D1174" s="175" t="s">
        <v>4108</v>
      </c>
      <c r="E1174" s="175"/>
      <c r="F1174" s="21"/>
      <c r="G1174" s="21"/>
      <c r="H1174" s="21"/>
      <c r="I1174" s="22" t="s">
        <v>3900</v>
      </c>
      <c r="J1174" s="132">
        <v>0</v>
      </c>
      <c r="K1174" s="132">
        <v>0</v>
      </c>
      <c r="L1174" s="132">
        <v>0</v>
      </c>
      <c r="M1174" s="132">
        <v>0</v>
      </c>
      <c r="N1174" s="132">
        <v>0</v>
      </c>
      <c r="O1174" s="132">
        <v>0</v>
      </c>
      <c r="P1174" s="132">
        <v>0</v>
      </c>
      <c r="Q1174" s="132">
        <v>0</v>
      </c>
      <c r="R1174" s="140">
        <f t="shared" ref="R1174:AG1174" si="753">R1173*R892</f>
        <v>0</v>
      </c>
      <c r="S1174" s="140">
        <f t="shared" si="753"/>
        <v>0</v>
      </c>
      <c r="T1174" s="140">
        <f t="shared" si="753"/>
        <v>0</v>
      </c>
      <c r="U1174" s="140">
        <f t="shared" si="753"/>
        <v>0</v>
      </c>
      <c r="V1174" s="140">
        <f t="shared" si="753"/>
        <v>0</v>
      </c>
      <c r="W1174" s="140">
        <f t="shared" si="753"/>
        <v>0</v>
      </c>
      <c r="X1174" s="140">
        <f t="shared" si="753"/>
        <v>0</v>
      </c>
      <c r="Y1174" s="140">
        <f t="shared" si="753"/>
        <v>0</v>
      </c>
      <c r="Z1174" s="140">
        <f t="shared" si="753"/>
        <v>0</v>
      </c>
      <c r="AA1174" s="140">
        <f t="shared" si="753"/>
        <v>0</v>
      </c>
      <c r="AB1174" s="140">
        <f t="shared" si="753"/>
        <v>0</v>
      </c>
      <c r="AC1174" s="140">
        <f t="shared" si="753"/>
        <v>0</v>
      </c>
      <c r="AD1174" s="140">
        <f t="shared" si="753"/>
        <v>0</v>
      </c>
      <c r="AE1174" s="140">
        <f t="shared" si="753"/>
        <v>0</v>
      </c>
      <c r="AF1174" s="140">
        <f t="shared" si="753"/>
        <v>0</v>
      </c>
      <c r="AG1174" s="140">
        <f t="shared" si="753"/>
        <v>0</v>
      </c>
    </row>
    <row r="1175" spans="1:33" ht="14.25" customHeight="1" x14ac:dyDescent="0.35">
      <c r="A1175" s="21"/>
      <c r="B1175" s="28"/>
      <c r="C1175" s="28"/>
      <c r="D1175" s="175" t="s">
        <v>4061</v>
      </c>
      <c r="E1175" s="175"/>
      <c r="F1175" s="21"/>
      <c r="G1175" s="21"/>
      <c r="H1175" s="21"/>
      <c r="I1175" s="22" t="s">
        <v>3861</v>
      </c>
      <c r="J1175" s="132">
        <v>0</v>
      </c>
      <c r="K1175" s="132">
        <v>0</v>
      </c>
      <c r="L1175" s="132">
        <v>0</v>
      </c>
      <c r="M1175" s="132">
        <v>0</v>
      </c>
      <c r="N1175" s="132">
        <v>0</v>
      </c>
      <c r="O1175" s="132">
        <v>0</v>
      </c>
      <c r="P1175" s="132">
        <v>0</v>
      </c>
      <c r="Q1175" s="132">
        <v>0</v>
      </c>
      <c r="R1175" s="140">
        <v>0</v>
      </c>
      <c r="S1175" s="140">
        <v>0</v>
      </c>
      <c r="T1175" s="140">
        <v>0</v>
      </c>
      <c r="U1175" s="140">
        <v>0</v>
      </c>
      <c r="V1175" s="140">
        <v>0</v>
      </c>
      <c r="W1175" s="140">
        <v>0</v>
      </c>
      <c r="X1175" s="140">
        <v>0</v>
      </c>
      <c r="Y1175" s="140">
        <v>0</v>
      </c>
      <c r="Z1175" s="140">
        <v>0</v>
      </c>
      <c r="AA1175" s="140">
        <v>0</v>
      </c>
      <c r="AB1175" s="140">
        <v>0</v>
      </c>
      <c r="AC1175" s="140">
        <v>0</v>
      </c>
      <c r="AD1175" s="140">
        <v>0</v>
      </c>
      <c r="AE1175" s="140">
        <v>0</v>
      </c>
      <c r="AF1175" s="140">
        <v>0</v>
      </c>
      <c r="AG1175" s="140">
        <v>0</v>
      </c>
    </row>
    <row r="1176" spans="1:33" ht="14.25" customHeight="1" x14ac:dyDescent="0.35">
      <c r="A1176" s="21"/>
      <c r="B1176" s="28"/>
      <c r="C1176" s="28"/>
      <c r="D1176" s="175" t="s">
        <v>4076</v>
      </c>
      <c r="E1176" s="175"/>
      <c r="F1176" s="21"/>
      <c r="G1176" s="21"/>
      <c r="H1176" s="21"/>
      <c r="I1176" s="22" t="s">
        <v>4060</v>
      </c>
      <c r="J1176" s="148">
        <v>0</v>
      </c>
      <c r="K1176" s="148">
        <v>0</v>
      </c>
      <c r="L1176" s="148">
        <v>0</v>
      </c>
      <c r="M1176" s="148">
        <v>0</v>
      </c>
      <c r="N1176" s="148">
        <v>0</v>
      </c>
      <c r="O1176" s="148">
        <v>0</v>
      </c>
      <c r="P1176" s="148">
        <v>0</v>
      </c>
      <c r="Q1176" s="148">
        <v>0</v>
      </c>
      <c r="R1176" s="149">
        <f t="shared" ref="R1176:AG1176" si="754">R1174*R1175</f>
        <v>0</v>
      </c>
      <c r="S1176" s="149">
        <f t="shared" si="754"/>
        <v>0</v>
      </c>
      <c r="T1176" s="149">
        <f t="shared" si="754"/>
        <v>0</v>
      </c>
      <c r="U1176" s="149">
        <f t="shared" si="754"/>
        <v>0</v>
      </c>
      <c r="V1176" s="149">
        <f t="shared" si="754"/>
        <v>0</v>
      </c>
      <c r="W1176" s="149">
        <f t="shared" si="754"/>
        <v>0</v>
      </c>
      <c r="X1176" s="149">
        <f t="shared" si="754"/>
        <v>0</v>
      </c>
      <c r="Y1176" s="149">
        <f t="shared" si="754"/>
        <v>0</v>
      </c>
      <c r="Z1176" s="149">
        <f t="shared" si="754"/>
        <v>0</v>
      </c>
      <c r="AA1176" s="149">
        <f t="shared" si="754"/>
        <v>0</v>
      </c>
      <c r="AB1176" s="149">
        <f t="shared" si="754"/>
        <v>0</v>
      </c>
      <c r="AC1176" s="149">
        <f t="shared" si="754"/>
        <v>0</v>
      </c>
      <c r="AD1176" s="149">
        <f t="shared" si="754"/>
        <v>0</v>
      </c>
      <c r="AE1176" s="149">
        <f t="shared" si="754"/>
        <v>0</v>
      </c>
      <c r="AF1176" s="149">
        <f t="shared" si="754"/>
        <v>0</v>
      </c>
      <c r="AG1176" s="149">
        <f t="shared" si="754"/>
        <v>0</v>
      </c>
    </row>
    <row r="1177" spans="1:33" ht="14.25" customHeight="1" x14ac:dyDescent="0.35">
      <c r="A1177" s="21"/>
      <c r="B1177" s="28"/>
      <c r="C1177" s="28" t="s">
        <v>4360</v>
      </c>
      <c r="D1177" s="21"/>
      <c r="E1177" s="21"/>
      <c r="F1177" s="21"/>
      <c r="G1177" s="21"/>
      <c r="H1177" s="21"/>
      <c r="I1177" s="22"/>
      <c r="J1177" s="21"/>
      <c r="K1177" s="21"/>
      <c r="L1177" s="21"/>
      <c r="M1177" s="21"/>
      <c r="N1177" s="21"/>
      <c r="O1177" s="21"/>
      <c r="P1177" s="21"/>
      <c r="Q1177" s="21"/>
      <c r="R1177" s="21"/>
      <c r="S1177" s="21"/>
      <c r="T1177" s="21"/>
      <c r="U1177" s="21"/>
      <c r="V1177" s="21"/>
      <c r="W1177" s="21"/>
      <c r="X1177" s="21"/>
      <c r="Y1177" s="21"/>
      <c r="Z1177" s="21"/>
      <c r="AA1177" s="21"/>
      <c r="AB1177" s="21"/>
      <c r="AC1177" s="21"/>
      <c r="AD1177" s="21"/>
      <c r="AE1177" s="21"/>
      <c r="AF1177" s="21"/>
      <c r="AG1177" s="21"/>
    </row>
    <row r="1178" spans="1:33" ht="14.25" customHeight="1" x14ac:dyDescent="0.35">
      <c r="A1178" s="21"/>
      <c r="B1178" s="28"/>
      <c r="C1178" s="28"/>
      <c r="D1178" s="175" t="s">
        <v>4112</v>
      </c>
      <c r="E1178" s="175"/>
      <c r="F1178" s="21"/>
      <c r="G1178" s="21"/>
      <c r="H1178" s="21"/>
      <c r="I1178" s="22" t="s">
        <v>13</v>
      </c>
      <c r="J1178" s="122">
        <v>0</v>
      </c>
      <c r="K1178" s="122">
        <v>0</v>
      </c>
      <c r="L1178" s="122">
        <v>0</v>
      </c>
      <c r="M1178" s="122">
        <f>M1179/M1121</f>
        <v>0</v>
      </c>
      <c r="N1178" s="122">
        <v>0</v>
      </c>
      <c r="O1178" s="122">
        <v>0</v>
      </c>
      <c r="P1178" s="122">
        <f>P1179/P1121</f>
        <v>0</v>
      </c>
      <c r="Q1178" s="122">
        <v>0</v>
      </c>
      <c r="R1178" s="126">
        <f>'Input Operasional'!Q96</f>
        <v>0</v>
      </c>
      <c r="S1178" s="126">
        <f>'Input Operasional'!R96</f>
        <v>0</v>
      </c>
      <c r="T1178" s="126">
        <f>'Input Operasional'!S96</f>
        <v>0</v>
      </c>
      <c r="U1178" s="126">
        <f>'Input Operasional'!T96</f>
        <v>0</v>
      </c>
      <c r="V1178" s="126">
        <f>'Input Operasional'!U96</f>
        <v>0</v>
      </c>
      <c r="W1178" s="126">
        <f>'Input Operasional'!V96</f>
        <v>0</v>
      </c>
      <c r="X1178" s="126">
        <f>'Input Operasional'!W96</f>
        <v>0</v>
      </c>
      <c r="Y1178" s="126">
        <f>'Input Operasional'!X96</f>
        <v>0</v>
      </c>
      <c r="Z1178" s="126">
        <f>'Input Operasional'!Y96</f>
        <v>0</v>
      </c>
      <c r="AA1178" s="126">
        <f>'Input Operasional'!Z96</f>
        <v>0</v>
      </c>
      <c r="AB1178" s="126">
        <f>'Input Operasional'!AA96</f>
        <v>0</v>
      </c>
      <c r="AC1178" s="126">
        <f>'Input Operasional'!AB96</f>
        <v>0</v>
      </c>
      <c r="AD1178" s="126">
        <f>'Input Operasional'!AC96</f>
        <v>0</v>
      </c>
      <c r="AE1178" s="126">
        <f>'Input Operasional'!AD96</f>
        <v>0</v>
      </c>
      <c r="AF1178" s="126">
        <f>'Input Operasional'!AE96</f>
        <v>0</v>
      </c>
      <c r="AG1178" s="126">
        <f>'Input Operasional'!AF96</f>
        <v>0</v>
      </c>
    </row>
    <row r="1179" spans="1:33" ht="14.25" customHeight="1" x14ac:dyDescent="0.35">
      <c r="A1179" s="21"/>
      <c r="B1179" s="28"/>
      <c r="C1179" s="28"/>
      <c r="D1179" s="175" t="s">
        <v>4108</v>
      </c>
      <c r="E1179" s="175"/>
      <c r="F1179" s="21"/>
      <c r="G1179" s="21"/>
      <c r="H1179" s="21"/>
      <c r="I1179" s="22" t="s">
        <v>4128</v>
      </c>
      <c r="J1179" s="132">
        <v>0</v>
      </c>
      <c r="K1179" s="132">
        <v>0</v>
      </c>
      <c r="L1179" s="132">
        <v>0</v>
      </c>
      <c r="M1179" s="132">
        <v>0</v>
      </c>
      <c r="N1179" s="132">
        <v>0</v>
      </c>
      <c r="O1179" s="132">
        <v>0</v>
      </c>
      <c r="P1179" s="132">
        <v>0</v>
      </c>
      <c r="Q1179" s="132">
        <v>0</v>
      </c>
      <c r="R1179" s="140">
        <f t="shared" ref="R1179:AG1179" si="755">R1178*R892</f>
        <v>0</v>
      </c>
      <c r="S1179" s="140">
        <f t="shared" si="755"/>
        <v>0</v>
      </c>
      <c r="T1179" s="140">
        <f t="shared" si="755"/>
        <v>0</v>
      </c>
      <c r="U1179" s="140">
        <f t="shared" si="755"/>
        <v>0</v>
      </c>
      <c r="V1179" s="140">
        <f t="shared" si="755"/>
        <v>0</v>
      </c>
      <c r="W1179" s="140">
        <f t="shared" si="755"/>
        <v>0</v>
      </c>
      <c r="X1179" s="140">
        <f t="shared" si="755"/>
        <v>0</v>
      </c>
      <c r="Y1179" s="140">
        <f t="shared" si="755"/>
        <v>0</v>
      </c>
      <c r="Z1179" s="140">
        <f t="shared" si="755"/>
        <v>0</v>
      </c>
      <c r="AA1179" s="140">
        <f t="shared" si="755"/>
        <v>0</v>
      </c>
      <c r="AB1179" s="140">
        <f t="shared" si="755"/>
        <v>0</v>
      </c>
      <c r="AC1179" s="140">
        <f t="shared" si="755"/>
        <v>0</v>
      </c>
      <c r="AD1179" s="140">
        <f t="shared" si="755"/>
        <v>0</v>
      </c>
      <c r="AE1179" s="140">
        <f t="shared" si="755"/>
        <v>0</v>
      </c>
      <c r="AF1179" s="140">
        <f t="shared" si="755"/>
        <v>0</v>
      </c>
      <c r="AG1179" s="140">
        <f t="shared" si="755"/>
        <v>0</v>
      </c>
    </row>
    <row r="1180" spans="1:33" ht="14.25" customHeight="1" x14ac:dyDescent="0.35">
      <c r="A1180" s="21"/>
      <c r="B1180" s="28"/>
      <c r="C1180" s="28"/>
      <c r="D1180" s="175" t="s">
        <v>4061</v>
      </c>
      <c r="E1180" s="175"/>
      <c r="F1180" s="21"/>
      <c r="G1180" s="21"/>
      <c r="H1180" s="21"/>
      <c r="I1180" s="22" t="s">
        <v>3861</v>
      </c>
      <c r="J1180" s="132">
        <v>0</v>
      </c>
      <c r="K1180" s="132">
        <v>0</v>
      </c>
      <c r="L1180" s="132">
        <v>0</v>
      </c>
      <c r="M1180" s="132">
        <v>0</v>
      </c>
      <c r="N1180" s="132">
        <v>0</v>
      </c>
      <c r="O1180" s="132">
        <v>0</v>
      </c>
      <c r="P1180" s="132">
        <v>0</v>
      </c>
      <c r="Q1180" s="132">
        <v>0</v>
      </c>
      <c r="R1180" s="140">
        <v>0</v>
      </c>
      <c r="S1180" s="140">
        <v>0</v>
      </c>
      <c r="T1180" s="140">
        <v>0</v>
      </c>
      <c r="U1180" s="140">
        <v>0</v>
      </c>
      <c r="V1180" s="140">
        <v>0</v>
      </c>
      <c r="W1180" s="140">
        <v>0</v>
      </c>
      <c r="X1180" s="140">
        <v>0</v>
      </c>
      <c r="Y1180" s="140">
        <v>0</v>
      </c>
      <c r="Z1180" s="140">
        <v>0</v>
      </c>
      <c r="AA1180" s="140">
        <v>0</v>
      </c>
      <c r="AB1180" s="140">
        <v>0</v>
      </c>
      <c r="AC1180" s="140">
        <v>0</v>
      </c>
      <c r="AD1180" s="140">
        <v>0</v>
      </c>
      <c r="AE1180" s="140">
        <v>0</v>
      </c>
      <c r="AF1180" s="140">
        <v>0</v>
      </c>
      <c r="AG1180" s="140">
        <v>0</v>
      </c>
    </row>
    <row r="1181" spans="1:33" ht="14.25" customHeight="1" x14ac:dyDescent="0.35">
      <c r="A1181" s="21"/>
      <c r="B1181" s="28"/>
      <c r="C1181" s="28"/>
      <c r="D1181" s="175" t="s">
        <v>4127</v>
      </c>
      <c r="E1181" s="175"/>
      <c r="F1181" s="21"/>
      <c r="G1181" s="21"/>
      <c r="H1181" s="21"/>
      <c r="I1181" s="22" t="s">
        <v>4060</v>
      </c>
      <c r="J1181" s="148">
        <v>0</v>
      </c>
      <c r="K1181" s="148">
        <v>0</v>
      </c>
      <c r="L1181" s="148">
        <v>0</v>
      </c>
      <c r="M1181" s="148">
        <v>0</v>
      </c>
      <c r="N1181" s="148">
        <v>0</v>
      </c>
      <c r="O1181" s="148">
        <v>0</v>
      </c>
      <c r="P1181" s="148">
        <v>0</v>
      </c>
      <c r="Q1181" s="148">
        <v>0</v>
      </c>
      <c r="R1181" s="149">
        <f t="shared" ref="R1181:AG1181" si="756">R1179*R1180</f>
        <v>0</v>
      </c>
      <c r="S1181" s="149">
        <f t="shared" si="756"/>
        <v>0</v>
      </c>
      <c r="T1181" s="149">
        <f t="shared" si="756"/>
        <v>0</v>
      </c>
      <c r="U1181" s="149">
        <f t="shared" si="756"/>
        <v>0</v>
      </c>
      <c r="V1181" s="149">
        <f t="shared" si="756"/>
        <v>0</v>
      </c>
      <c r="W1181" s="149">
        <f t="shared" si="756"/>
        <v>0</v>
      </c>
      <c r="X1181" s="149">
        <f t="shared" si="756"/>
        <v>0</v>
      </c>
      <c r="Y1181" s="149">
        <f t="shared" si="756"/>
        <v>0</v>
      </c>
      <c r="Z1181" s="149">
        <f t="shared" si="756"/>
        <v>0</v>
      </c>
      <c r="AA1181" s="149">
        <f t="shared" si="756"/>
        <v>0</v>
      </c>
      <c r="AB1181" s="149">
        <f t="shared" si="756"/>
        <v>0</v>
      </c>
      <c r="AC1181" s="149">
        <f t="shared" si="756"/>
        <v>0</v>
      </c>
      <c r="AD1181" s="149">
        <f t="shared" si="756"/>
        <v>0</v>
      </c>
      <c r="AE1181" s="149">
        <f t="shared" si="756"/>
        <v>0</v>
      </c>
      <c r="AF1181" s="149">
        <f t="shared" si="756"/>
        <v>0</v>
      </c>
      <c r="AG1181" s="149">
        <f t="shared" si="756"/>
        <v>0</v>
      </c>
    </row>
    <row r="1182" spans="1:33" ht="14.25" customHeight="1" x14ac:dyDescent="0.35">
      <c r="A1182" s="21"/>
      <c r="B1182" s="28"/>
      <c r="C1182" s="28" t="s">
        <v>4361</v>
      </c>
      <c r="D1182" s="21"/>
      <c r="E1182" s="21"/>
      <c r="F1182" s="21"/>
      <c r="G1182" s="21"/>
      <c r="H1182" s="21"/>
      <c r="I1182" s="22"/>
      <c r="J1182" s="21"/>
      <c r="K1182" s="21"/>
      <c r="L1182" s="21"/>
      <c r="M1182" s="21"/>
      <c r="N1182" s="21"/>
      <c r="O1182" s="21"/>
      <c r="P1182" s="21"/>
      <c r="Q1182" s="21"/>
      <c r="R1182" s="21"/>
      <c r="S1182" s="21"/>
      <c r="T1182" s="21"/>
      <c r="U1182" s="21"/>
      <c r="V1182" s="21"/>
      <c r="W1182" s="21"/>
      <c r="X1182" s="21"/>
      <c r="Y1182" s="21"/>
      <c r="Z1182" s="21"/>
      <c r="AA1182" s="21"/>
      <c r="AB1182" s="21"/>
      <c r="AC1182" s="21"/>
      <c r="AD1182" s="21"/>
      <c r="AE1182" s="21"/>
      <c r="AF1182" s="21"/>
      <c r="AG1182" s="21"/>
    </row>
    <row r="1183" spans="1:33" ht="14.25" customHeight="1" x14ac:dyDescent="0.35">
      <c r="A1183" s="21"/>
      <c r="B1183" s="28"/>
      <c r="C1183" s="28"/>
      <c r="D1183" s="175" t="s">
        <v>4130</v>
      </c>
      <c r="E1183" s="175"/>
      <c r="F1183" s="21"/>
      <c r="G1183" s="21"/>
      <c r="H1183" s="21"/>
      <c r="I1183" s="22" t="s">
        <v>13</v>
      </c>
      <c r="J1183" s="122">
        <v>0</v>
      </c>
      <c r="K1183" s="122">
        <v>0</v>
      </c>
      <c r="L1183" s="122">
        <v>0</v>
      </c>
      <c r="M1183" s="122">
        <v>0</v>
      </c>
      <c r="N1183" s="122">
        <v>0</v>
      </c>
      <c r="O1183" s="122">
        <v>0</v>
      </c>
      <c r="P1183" s="180">
        <v>0</v>
      </c>
      <c r="Q1183" s="122">
        <v>0</v>
      </c>
      <c r="R1183" s="126">
        <f t="shared" ref="R1183:AG1183" si="757">IF(R911=0,0,R1184/R911)</f>
        <v>0</v>
      </c>
      <c r="S1183" s="126">
        <f t="shared" si="757"/>
        <v>0</v>
      </c>
      <c r="T1183" s="126">
        <f t="shared" si="757"/>
        <v>0</v>
      </c>
      <c r="U1183" s="126">
        <f t="shared" si="757"/>
        <v>0</v>
      </c>
      <c r="V1183" s="126">
        <f t="shared" si="757"/>
        <v>0</v>
      </c>
      <c r="W1183" s="126">
        <f t="shared" si="757"/>
        <v>0</v>
      </c>
      <c r="X1183" s="126">
        <f t="shared" si="757"/>
        <v>0</v>
      </c>
      <c r="Y1183" s="126">
        <f t="shared" si="757"/>
        <v>0</v>
      </c>
      <c r="Z1183" s="126">
        <f t="shared" si="757"/>
        <v>0</v>
      </c>
      <c r="AA1183" s="126">
        <f t="shared" si="757"/>
        <v>0</v>
      </c>
      <c r="AB1183" s="126">
        <f t="shared" si="757"/>
        <v>0</v>
      </c>
      <c r="AC1183" s="126">
        <f t="shared" si="757"/>
        <v>0</v>
      </c>
      <c r="AD1183" s="126">
        <f t="shared" si="757"/>
        <v>0</v>
      </c>
      <c r="AE1183" s="126">
        <f t="shared" si="757"/>
        <v>0</v>
      </c>
      <c r="AF1183" s="126">
        <f t="shared" si="757"/>
        <v>0</v>
      </c>
      <c r="AG1183" s="126">
        <f t="shared" si="757"/>
        <v>0</v>
      </c>
    </row>
    <row r="1184" spans="1:33" ht="14.25" customHeight="1" x14ac:dyDescent="0.35">
      <c r="A1184" s="21"/>
      <c r="B1184" s="28"/>
      <c r="C1184" s="28"/>
      <c r="D1184" s="175" t="s">
        <v>4131</v>
      </c>
      <c r="E1184" s="175"/>
      <c r="F1184" s="21"/>
      <c r="G1184" s="21"/>
      <c r="H1184" s="21"/>
      <c r="I1184" s="22" t="s">
        <v>4128</v>
      </c>
      <c r="J1184" s="132">
        <v>10180679.672882199</v>
      </c>
      <c r="K1184" s="132">
        <v>15591294.5972794</v>
      </c>
      <c r="L1184" s="132">
        <v>11920870.780448901</v>
      </c>
      <c r="M1184" s="132">
        <v>3150801.18279859</v>
      </c>
      <c r="N1184" s="132">
        <v>12296066.3029259</v>
      </c>
      <c r="O1184" s="132">
        <v>10653809.256783299</v>
      </c>
      <c r="P1184" s="148">
        <v>13916847.8984301</v>
      </c>
      <c r="Q1184" s="132">
        <v>10731501.8884393</v>
      </c>
      <c r="R1184" s="140">
        <v>0</v>
      </c>
      <c r="S1184" s="140">
        <v>0</v>
      </c>
      <c r="T1184" s="140">
        <v>0</v>
      </c>
      <c r="U1184" s="140">
        <v>0</v>
      </c>
      <c r="V1184" s="140">
        <v>0</v>
      </c>
      <c r="W1184" s="140">
        <v>0</v>
      </c>
      <c r="X1184" s="140">
        <v>0</v>
      </c>
      <c r="Y1184" s="140">
        <v>0</v>
      </c>
      <c r="Z1184" s="140">
        <v>0</v>
      </c>
      <c r="AA1184" s="140">
        <v>0</v>
      </c>
      <c r="AB1184" s="140">
        <v>0</v>
      </c>
      <c r="AC1184" s="140">
        <v>0</v>
      </c>
      <c r="AD1184" s="140">
        <v>0</v>
      </c>
      <c r="AE1184" s="140">
        <v>0</v>
      </c>
      <c r="AF1184" s="140">
        <v>0</v>
      </c>
      <c r="AG1184" s="140">
        <v>0</v>
      </c>
    </row>
    <row r="1185" spans="1:33" ht="14.25" customHeight="1" x14ac:dyDescent="0.35">
      <c r="A1185" s="21"/>
      <c r="B1185" s="28"/>
      <c r="C1185" s="28" t="s">
        <v>4362</v>
      </c>
      <c r="D1185" s="21"/>
      <c r="E1185" s="21"/>
      <c r="F1185" s="21"/>
      <c r="G1185" s="21"/>
      <c r="H1185" s="21"/>
      <c r="I1185" s="22"/>
      <c r="J1185" s="21"/>
      <c r="K1185" s="21"/>
      <c r="L1185" s="21"/>
      <c r="M1185" s="21"/>
      <c r="N1185" s="21"/>
      <c r="O1185" s="21"/>
      <c r="P1185" s="21"/>
      <c r="Q1185" s="21"/>
      <c r="R1185" s="21"/>
      <c r="S1185" s="21"/>
      <c r="T1185" s="21"/>
      <c r="U1185" s="21"/>
      <c r="V1185" s="21"/>
      <c r="W1185" s="21"/>
      <c r="X1185" s="21"/>
      <c r="Y1185" s="21"/>
      <c r="Z1185" s="21"/>
      <c r="AA1185" s="21"/>
      <c r="AB1185" s="21"/>
      <c r="AC1185" s="21"/>
      <c r="AD1185" s="21"/>
      <c r="AE1185" s="21"/>
      <c r="AF1185" s="21"/>
      <c r="AG1185" s="21"/>
    </row>
    <row r="1186" spans="1:33" ht="14.25" customHeight="1" x14ac:dyDescent="0.35">
      <c r="A1186" s="21"/>
      <c r="B1186" s="28"/>
      <c r="C1186" s="28"/>
      <c r="D1186" s="175" t="s">
        <v>4133</v>
      </c>
      <c r="E1186" s="175"/>
      <c r="F1186" s="21"/>
      <c r="G1186" s="21"/>
      <c r="H1186" s="21"/>
      <c r="I1186" s="22" t="s">
        <v>3900</v>
      </c>
      <c r="J1186" s="132">
        <f t="shared" ref="J1186:AG1186" si="758">J1138</f>
        <v>0</v>
      </c>
      <c r="K1186" s="132">
        <f t="shared" si="758"/>
        <v>0</v>
      </c>
      <c r="L1186" s="132">
        <f t="shared" si="758"/>
        <v>0</v>
      </c>
      <c r="M1186" s="132">
        <f t="shared" si="758"/>
        <v>0</v>
      </c>
      <c r="N1186" s="132">
        <f t="shared" si="758"/>
        <v>0</v>
      </c>
      <c r="O1186" s="132">
        <f t="shared" si="758"/>
        <v>0</v>
      </c>
      <c r="P1186" s="132">
        <f t="shared" si="758"/>
        <v>0</v>
      </c>
      <c r="Q1186" s="132">
        <f t="shared" si="758"/>
        <v>0</v>
      </c>
      <c r="R1186" s="140">
        <f t="shared" si="758"/>
        <v>0</v>
      </c>
      <c r="S1186" s="140">
        <f t="shared" si="758"/>
        <v>0</v>
      </c>
      <c r="T1186" s="140">
        <f t="shared" si="758"/>
        <v>0</v>
      </c>
      <c r="U1186" s="140">
        <f t="shared" si="758"/>
        <v>0</v>
      </c>
      <c r="V1186" s="140">
        <f t="shared" si="758"/>
        <v>0</v>
      </c>
      <c r="W1186" s="140">
        <f t="shared" si="758"/>
        <v>0</v>
      </c>
      <c r="X1186" s="140">
        <f t="shared" si="758"/>
        <v>0</v>
      </c>
      <c r="Y1186" s="140">
        <f t="shared" si="758"/>
        <v>0</v>
      </c>
      <c r="Z1186" s="140">
        <f t="shared" si="758"/>
        <v>0</v>
      </c>
      <c r="AA1186" s="140">
        <f t="shared" si="758"/>
        <v>0</v>
      </c>
      <c r="AB1186" s="140">
        <f t="shared" si="758"/>
        <v>0</v>
      </c>
      <c r="AC1186" s="140">
        <f t="shared" si="758"/>
        <v>0</v>
      </c>
      <c r="AD1186" s="140">
        <f t="shared" si="758"/>
        <v>0</v>
      </c>
      <c r="AE1186" s="140">
        <f t="shared" si="758"/>
        <v>0</v>
      </c>
      <c r="AF1186" s="140">
        <f t="shared" si="758"/>
        <v>0</v>
      </c>
      <c r="AG1186" s="140">
        <f t="shared" si="758"/>
        <v>0</v>
      </c>
    </row>
    <row r="1187" spans="1:33" ht="14.25" customHeight="1" x14ac:dyDescent="0.35">
      <c r="A1187" s="21"/>
      <c r="B1187" s="28"/>
      <c r="C1187" s="28"/>
      <c r="D1187" s="175" t="s">
        <v>4134</v>
      </c>
      <c r="E1187" s="175"/>
      <c r="F1187" s="21"/>
      <c r="G1187" s="21"/>
      <c r="H1187" s="21"/>
      <c r="I1187" s="22" t="s">
        <v>13</v>
      </c>
      <c r="J1187" s="122">
        <v>0</v>
      </c>
      <c r="K1187" s="122">
        <v>0</v>
      </c>
      <c r="L1187" s="122">
        <v>0</v>
      </c>
      <c r="M1187" s="122">
        <v>0</v>
      </c>
      <c r="N1187" s="122">
        <v>0</v>
      </c>
      <c r="O1187" s="122">
        <v>0</v>
      </c>
      <c r="P1187" s="122">
        <v>0</v>
      </c>
      <c r="Q1187" s="122">
        <v>0</v>
      </c>
      <c r="R1187" s="126">
        <f t="shared" ref="R1187:AG1187" si="759">R917</f>
        <v>1</v>
      </c>
      <c r="S1187" s="126">
        <f t="shared" si="759"/>
        <v>1</v>
      </c>
      <c r="T1187" s="126">
        <f t="shared" si="759"/>
        <v>1</v>
      </c>
      <c r="U1187" s="126">
        <f t="shared" si="759"/>
        <v>1</v>
      </c>
      <c r="V1187" s="126">
        <f t="shared" si="759"/>
        <v>1</v>
      </c>
      <c r="W1187" s="126">
        <f t="shared" si="759"/>
        <v>1</v>
      </c>
      <c r="X1187" s="126">
        <f t="shared" si="759"/>
        <v>1</v>
      </c>
      <c r="Y1187" s="126">
        <f t="shared" si="759"/>
        <v>1</v>
      </c>
      <c r="Z1187" s="126">
        <f t="shared" si="759"/>
        <v>1</v>
      </c>
      <c r="AA1187" s="126">
        <f t="shared" si="759"/>
        <v>1</v>
      </c>
      <c r="AB1187" s="126">
        <f t="shared" si="759"/>
        <v>1</v>
      </c>
      <c r="AC1187" s="126">
        <f t="shared" si="759"/>
        <v>1</v>
      </c>
      <c r="AD1187" s="126">
        <f t="shared" si="759"/>
        <v>1</v>
      </c>
      <c r="AE1187" s="126">
        <f t="shared" si="759"/>
        <v>1</v>
      </c>
      <c r="AF1187" s="126">
        <f t="shared" si="759"/>
        <v>1</v>
      </c>
      <c r="AG1187" s="126">
        <f t="shared" si="759"/>
        <v>1</v>
      </c>
    </row>
    <row r="1188" spans="1:33" ht="14.25" customHeight="1" x14ac:dyDescent="0.35">
      <c r="A1188" s="21"/>
      <c r="B1188" s="28"/>
      <c r="C1188" s="28"/>
      <c r="D1188" s="175" t="s">
        <v>4135</v>
      </c>
      <c r="E1188" s="175"/>
      <c r="F1188" s="21"/>
      <c r="G1188" s="21"/>
      <c r="H1188" s="21"/>
      <c r="I1188" s="22" t="s">
        <v>3900</v>
      </c>
      <c r="J1188" s="132">
        <v>4586</v>
      </c>
      <c r="K1188" s="132">
        <v>1719</v>
      </c>
      <c r="L1188" s="132">
        <v>0</v>
      </c>
      <c r="M1188" s="132">
        <v>0</v>
      </c>
      <c r="N1188" s="132">
        <v>0</v>
      </c>
      <c r="O1188" s="132">
        <v>0</v>
      </c>
      <c r="P1188" s="132">
        <v>424</v>
      </c>
      <c r="Q1188" s="132">
        <v>0</v>
      </c>
      <c r="R1188" s="140">
        <f t="shared" ref="R1188:AG1188" si="760">R1186*R1187</f>
        <v>0</v>
      </c>
      <c r="S1188" s="140">
        <f t="shared" si="760"/>
        <v>0</v>
      </c>
      <c r="T1188" s="140">
        <f t="shared" si="760"/>
        <v>0</v>
      </c>
      <c r="U1188" s="140">
        <f t="shared" si="760"/>
        <v>0</v>
      </c>
      <c r="V1188" s="140">
        <f t="shared" si="760"/>
        <v>0</v>
      </c>
      <c r="W1188" s="140">
        <f t="shared" si="760"/>
        <v>0</v>
      </c>
      <c r="X1188" s="140">
        <f t="shared" si="760"/>
        <v>0</v>
      </c>
      <c r="Y1188" s="140">
        <f t="shared" si="760"/>
        <v>0</v>
      </c>
      <c r="Z1188" s="140">
        <f t="shared" si="760"/>
        <v>0</v>
      </c>
      <c r="AA1188" s="140">
        <f t="shared" si="760"/>
        <v>0</v>
      </c>
      <c r="AB1188" s="140">
        <f t="shared" si="760"/>
        <v>0</v>
      </c>
      <c r="AC1188" s="140">
        <f t="shared" si="760"/>
        <v>0</v>
      </c>
      <c r="AD1188" s="140">
        <f t="shared" si="760"/>
        <v>0</v>
      </c>
      <c r="AE1188" s="140">
        <f t="shared" si="760"/>
        <v>0</v>
      </c>
      <c r="AF1188" s="140">
        <f t="shared" si="760"/>
        <v>0</v>
      </c>
      <c r="AG1188" s="140">
        <f t="shared" si="760"/>
        <v>0</v>
      </c>
    </row>
    <row r="1189" spans="1:33" ht="14.25" customHeight="1" x14ac:dyDescent="0.35">
      <c r="A1189" s="21"/>
      <c r="B1189" s="28"/>
      <c r="C1189" s="28"/>
      <c r="D1189" s="175" t="s">
        <v>4136</v>
      </c>
      <c r="E1189" s="175"/>
      <c r="F1189" s="21"/>
      <c r="G1189" s="21"/>
      <c r="H1189" s="21"/>
      <c r="I1189" s="22" t="s">
        <v>3861</v>
      </c>
      <c r="J1189" s="132">
        <v>267.381620624189</v>
      </c>
      <c r="K1189" s="132">
        <v>271.90743852230202</v>
      </c>
      <c r="L1189" s="132">
        <v>0</v>
      </c>
      <c r="M1189" s="132">
        <v>0</v>
      </c>
      <c r="N1189" s="132">
        <v>0</v>
      </c>
      <c r="O1189" s="132">
        <v>0</v>
      </c>
      <c r="P1189" s="132">
        <v>264.29824531579902</v>
      </c>
      <c r="Q1189" s="132">
        <v>0</v>
      </c>
      <c r="R1189" s="140">
        <v>268.34350646697379</v>
      </c>
      <c r="S1189" s="140">
        <v>268.34350646697379</v>
      </c>
      <c r="T1189" s="140">
        <v>268.34350646697379</v>
      </c>
      <c r="U1189" s="140">
        <v>268.34350646697379</v>
      </c>
      <c r="V1189" s="140">
        <v>268.34350646697379</v>
      </c>
      <c r="W1189" s="140">
        <v>268.34350646697379</v>
      </c>
      <c r="X1189" s="140">
        <v>268.34350646697379</v>
      </c>
      <c r="Y1189" s="140">
        <v>268.34350646697379</v>
      </c>
      <c r="Z1189" s="140">
        <v>268.34350646697379</v>
      </c>
      <c r="AA1189" s="140">
        <v>268.34350646697379</v>
      </c>
      <c r="AB1189" s="140">
        <v>268.34350646697379</v>
      </c>
      <c r="AC1189" s="140">
        <v>268.34350646697379</v>
      </c>
      <c r="AD1189" s="140">
        <v>268.34350646697379</v>
      </c>
      <c r="AE1189" s="140">
        <v>268.34350646697379</v>
      </c>
      <c r="AF1189" s="140">
        <v>268.34350646697379</v>
      </c>
      <c r="AG1189" s="140">
        <v>268.34350646697379</v>
      </c>
    </row>
    <row r="1190" spans="1:33" ht="14.25" customHeight="1" x14ac:dyDescent="0.35">
      <c r="A1190" s="21"/>
      <c r="B1190" s="28"/>
      <c r="C1190" s="28"/>
      <c r="D1190" s="175" t="s">
        <v>34</v>
      </c>
      <c r="E1190" s="175"/>
      <c r="F1190" s="21"/>
      <c r="G1190" s="21"/>
      <c r="H1190" s="21"/>
      <c r="I1190" s="22" t="s">
        <v>4060</v>
      </c>
      <c r="J1190" s="148">
        <f>J1188*J1189</f>
        <v>1226212.1121825308</v>
      </c>
      <c r="K1190" s="148">
        <f>K1188*K1189</f>
        <v>467408.88681983715</v>
      </c>
      <c r="L1190" s="148">
        <v>0</v>
      </c>
      <c r="M1190" s="148">
        <v>0</v>
      </c>
      <c r="N1190" s="148">
        <v>0</v>
      </c>
      <c r="O1190" s="148">
        <v>0</v>
      </c>
      <c r="P1190" s="148">
        <f>P1188*P1189</f>
        <v>112062.45601389879</v>
      </c>
      <c r="Q1190" s="148">
        <v>0</v>
      </c>
      <c r="R1190" s="149">
        <f t="shared" ref="R1190:AG1190" si="761">R1188*R1189</f>
        <v>0</v>
      </c>
      <c r="S1190" s="149">
        <f t="shared" si="761"/>
        <v>0</v>
      </c>
      <c r="T1190" s="149">
        <f t="shared" si="761"/>
        <v>0</v>
      </c>
      <c r="U1190" s="149">
        <f t="shared" si="761"/>
        <v>0</v>
      </c>
      <c r="V1190" s="149">
        <f t="shared" si="761"/>
        <v>0</v>
      </c>
      <c r="W1190" s="149">
        <f t="shared" si="761"/>
        <v>0</v>
      </c>
      <c r="X1190" s="149">
        <f t="shared" si="761"/>
        <v>0</v>
      </c>
      <c r="Y1190" s="149">
        <f t="shared" si="761"/>
        <v>0</v>
      </c>
      <c r="Z1190" s="149">
        <f t="shared" si="761"/>
        <v>0</v>
      </c>
      <c r="AA1190" s="149">
        <f t="shared" si="761"/>
        <v>0</v>
      </c>
      <c r="AB1190" s="149">
        <f t="shared" si="761"/>
        <v>0</v>
      </c>
      <c r="AC1190" s="149">
        <f t="shared" si="761"/>
        <v>0</v>
      </c>
      <c r="AD1190" s="149">
        <f t="shared" si="761"/>
        <v>0</v>
      </c>
      <c r="AE1190" s="149">
        <f t="shared" si="761"/>
        <v>0</v>
      </c>
      <c r="AF1190" s="149">
        <f t="shared" si="761"/>
        <v>0</v>
      </c>
      <c r="AG1190" s="149">
        <f t="shared" si="761"/>
        <v>0</v>
      </c>
    </row>
    <row r="1191" spans="1:33" ht="14.25" customHeight="1" x14ac:dyDescent="0.35">
      <c r="A1191" s="21"/>
      <c r="B1191" s="28"/>
      <c r="C1191" s="28"/>
      <c r="D1191" s="175"/>
      <c r="E1191" s="175"/>
      <c r="F1191" s="21"/>
      <c r="G1191" s="21"/>
      <c r="H1191" s="21"/>
      <c r="I1191" s="22"/>
      <c r="J1191" s="148"/>
      <c r="K1191" s="148"/>
      <c r="L1191" s="148"/>
      <c r="M1191" s="148"/>
      <c r="N1191" s="148"/>
      <c r="O1191" s="148"/>
      <c r="P1191" s="148"/>
      <c r="Q1191" s="148"/>
      <c r="R1191" s="195"/>
      <c r="S1191" s="195"/>
      <c r="T1191" s="195"/>
      <c r="U1191" s="195"/>
      <c r="V1191" s="195"/>
      <c r="W1191" s="195"/>
      <c r="X1191" s="195"/>
      <c r="Y1191" s="195"/>
      <c r="Z1191" s="195"/>
      <c r="AA1191" s="195"/>
      <c r="AB1191" s="195"/>
      <c r="AC1191" s="195"/>
      <c r="AD1191" s="195"/>
      <c r="AE1191" s="195"/>
      <c r="AF1191" s="195"/>
      <c r="AG1191" s="195"/>
    </row>
    <row r="1192" spans="1:33" ht="14.25" customHeight="1" x14ac:dyDescent="0.35">
      <c r="A1192" s="21"/>
      <c r="B1192" s="28"/>
      <c r="C1192" s="28" t="s">
        <v>4363</v>
      </c>
      <c r="D1192" s="175"/>
      <c r="E1192" s="175"/>
      <c r="F1192" s="21"/>
      <c r="G1192" s="21"/>
      <c r="H1192" s="21"/>
      <c r="I1192" s="22"/>
      <c r="J1192" s="148"/>
      <c r="K1192" s="148"/>
      <c r="L1192" s="148"/>
      <c r="M1192" s="148"/>
      <c r="N1192" s="148"/>
      <c r="O1192" s="148"/>
      <c r="P1192" s="148"/>
      <c r="Q1192" s="148"/>
      <c r="R1192" s="195"/>
      <c r="S1192" s="195"/>
      <c r="T1192" s="195"/>
      <c r="U1192" s="195"/>
      <c r="V1192" s="195"/>
      <c r="W1192" s="195"/>
      <c r="X1192" s="195"/>
      <c r="Y1192" s="195"/>
      <c r="Z1192" s="195"/>
      <c r="AA1192" s="195"/>
      <c r="AB1192" s="195"/>
      <c r="AC1192" s="195"/>
      <c r="AD1192" s="195"/>
      <c r="AE1192" s="195"/>
      <c r="AF1192" s="195"/>
      <c r="AG1192" s="195"/>
    </row>
    <row r="1193" spans="1:33" ht="14.25" customHeight="1" x14ac:dyDescent="0.35">
      <c r="A1193" s="21"/>
      <c r="B1193" s="28"/>
      <c r="C1193" s="28"/>
      <c r="D1193" s="175" t="s">
        <v>4364</v>
      </c>
      <c r="E1193" s="175"/>
      <c r="F1193" s="21"/>
      <c r="G1193" s="21"/>
      <c r="H1193" s="21"/>
      <c r="I1193" s="22" t="s">
        <v>3921</v>
      </c>
      <c r="J1193" s="148">
        <v>0</v>
      </c>
      <c r="K1193" s="148">
        <v>0</v>
      </c>
      <c r="L1193" s="148">
        <v>0</v>
      </c>
      <c r="M1193" s="148">
        <v>0</v>
      </c>
      <c r="N1193" s="148">
        <v>0</v>
      </c>
      <c r="O1193" s="148">
        <v>0</v>
      </c>
      <c r="P1193" s="148">
        <v>0</v>
      </c>
      <c r="Q1193" s="148">
        <v>0</v>
      </c>
      <c r="R1193" s="195">
        <f t="shared" ref="R1193:AG1193" si="762">(R536-R523*R543)+(R692-R679*R699)+(R856-R843*R863)</f>
        <v>-1.9360541576161541E-7</v>
      </c>
      <c r="S1193" s="195">
        <f t="shared" si="762"/>
        <v>2.3946809224515201E-7</v>
      </c>
      <c r="T1193" s="195">
        <f t="shared" si="762"/>
        <v>9.3936505019540904E-7</v>
      </c>
      <c r="U1193" s="195">
        <f t="shared" si="762"/>
        <v>1.3563498409143269E-7</v>
      </c>
      <c r="V1193" s="195">
        <f t="shared" si="762"/>
        <v>-8.0336901040905872E-7</v>
      </c>
      <c r="W1193" s="195">
        <f t="shared" si="762"/>
        <v>5.6358041028352879E-7</v>
      </c>
      <c r="X1193" s="195">
        <f t="shared" si="762"/>
        <v>2.9419592418586265E-7</v>
      </c>
      <c r="Y1193" s="195">
        <f t="shared" si="762"/>
        <v>-2.678539118352124E-7</v>
      </c>
      <c r="Z1193" s="195">
        <f t="shared" si="762"/>
        <v>5.0244405083962958E-9</v>
      </c>
      <c r="AA1193" s="195">
        <f t="shared" si="762"/>
        <v>9.5893222989505226E-7</v>
      </c>
      <c r="AB1193" s="195">
        <f t="shared" si="762"/>
        <v>-2.8764294578354581E-7</v>
      </c>
      <c r="AC1193" s="195">
        <f t="shared" si="762"/>
        <v>-1.0212912510439381E-6</v>
      </c>
      <c r="AD1193" s="195">
        <f t="shared" si="762"/>
        <v>2.6696089020265766E-7</v>
      </c>
      <c r="AE1193" s="195">
        <f t="shared" si="762"/>
        <v>-9.7775078090900733E-7</v>
      </c>
      <c r="AF1193" s="195">
        <f t="shared" si="762"/>
        <v>1.5577750698749224E-6</v>
      </c>
      <c r="AG1193" s="195">
        <f t="shared" si="762"/>
        <v>6.6463748239467243E-7</v>
      </c>
    </row>
    <row r="1194" spans="1:33" ht="14.25" customHeight="1" x14ac:dyDescent="0.35">
      <c r="A1194" s="21"/>
      <c r="B1194" s="28"/>
      <c r="C1194" s="28"/>
      <c r="D1194" s="175" t="s">
        <v>4365</v>
      </c>
      <c r="E1194" s="175"/>
      <c r="F1194" s="21"/>
      <c r="G1194" s="21"/>
      <c r="H1194" s="21"/>
      <c r="I1194" s="22" t="s">
        <v>3921</v>
      </c>
      <c r="J1194" s="148">
        <v>0</v>
      </c>
      <c r="K1194" s="148">
        <v>0</v>
      </c>
      <c r="L1194" s="148">
        <v>0</v>
      </c>
      <c r="M1194" s="148">
        <v>0</v>
      </c>
      <c r="N1194" s="148">
        <v>0</v>
      </c>
      <c r="O1194" s="148">
        <v>0</v>
      </c>
      <c r="P1194" s="148">
        <v>0</v>
      </c>
      <c r="Q1194" s="148">
        <v>0</v>
      </c>
      <c r="R1194" s="195">
        <f t="shared" ref="R1194:AG1194" si="763">(R541-R528*R544)+(R697-R684*R700)+(R861-R848*R864)</f>
        <v>4.0233135223388672E-7</v>
      </c>
      <c r="S1194" s="195">
        <f t="shared" si="763"/>
        <v>5.8114528656005859E-7</v>
      </c>
      <c r="T1194" s="195">
        <f t="shared" si="763"/>
        <v>-2.8312206268310547E-7</v>
      </c>
      <c r="U1194" s="195">
        <f t="shared" si="763"/>
        <v>8.3446502685546875E-7</v>
      </c>
      <c r="V1194" s="195">
        <f t="shared" si="763"/>
        <v>-4.1723251342773438E-7</v>
      </c>
      <c r="W1194" s="195">
        <f t="shared" si="763"/>
        <v>-4.1723251342773438E-7</v>
      </c>
      <c r="X1194" s="195">
        <f t="shared" si="763"/>
        <v>-6.2584877014160156E-7</v>
      </c>
      <c r="Y1194" s="195">
        <f t="shared" si="763"/>
        <v>5.5134296417236328E-7</v>
      </c>
      <c r="Z1194" s="195">
        <f t="shared" si="763"/>
        <v>1.6391277313232422E-7</v>
      </c>
      <c r="AA1194" s="195">
        <f t="shared" si="763"/>
        <v>-2.384185791015625E-7</v>
      </c>
      <c r="AB1194" s="195">
        <f t="shared" si="763"/>
        <v>-5.6624412536621094E-7</v>
      </c>
      <c r="AC1194" s="195">
        <f t="shared" si="763"/>
        <v>3.5762786865234375E-7</v>
      </c>
      <c r="AD1194" s="195">
        <f t="shared" si="763"/>
        <v>7.4505805969238281E-8</v>
      </c>
      <c r="AE1194" s="195">
        <f t="shared" si="763"/>
        <v>4.4703483581542969E-8</v>
      </c>
      <c r="AF1194" s="195">
        <f t="shared" si="763"/>
        <v>-1.7881393432617188E-7</v>
      </c>
      <c r="AG1194" s="195">
        <f t="shared" si="763"/>
        <v>-1.0430812835693359E-7</v>
      </c>
    </row>
    <row r="1195" spans="1:33" ht="14.25" customHeight="1" x14ac:dyDescent="0.35">
      <c r="A1195" s="21"/>
      <c r="B1195" s="28"/>
      <c r="C1195" s="28"/>
      <c r="D1195" s="175" t="s">
        <v>4366</v>
      </c>
      <c r="E1195" s="175"/>
      <c r="F1195" s="21"/>
      <c r="G1195" s="21"/>
      <c r="H1195" s="21"/>
      <c r="I1195" s="22" t="s">
        <v>3921</v>
      </c>
      <c r="J1195" s="148">
        <v>0</v>
      </c>
      <c r="K1195" s="148">
        <v>0</v>
      </c>
      <c r="L1195" s="148">
        <v>0</v>
      </c>
      <c r="M1195" s="148">
        <v>0</v>
      </c>
      <c r="N1195" s="148">
        <v>0</v>
      </c>
      <c r="O1195" s="148">
        <v>0</v>
      </c>
      <c r="P1195" s="148">
        <v>0</v>
      </c>
      <c r="Q1195" s="148">
        <v>0</v>
      </c>
      <c r="R1195" s="195">
        <f t="shared" ref="R1195:AG1195" si="764">MIN(0,R523)+MIN(0,R528)+MIN(0,R679)+MIN(0,R684)+MIN(0,R843)+MIN(0,R848)</f>
        <v>0</v>
      </c>
      <c r="S1195" s="195">
        <f t="shared" si="764"/>
        <v>0</v>
      </c>
      <c r="T1195" s="195">
        <f t="shared" si="764"/>
        <v>0</v>
      </c>
      <c r="U1195" s="195">
        <f t="shared" si="764"/>
        <v>0</v>
      </c>
      <c r="V1195" s="195">
        <f t="shared" si="764"/>
        <v>0</v>
      </c>
      <c r="W1195" s="195">
        <f t="shared" si="764"/>
        <v>0</v>
      </c>
      <c r="X1195" s="195">
        <f t="shared" si="764"/>
        <v>0</v>
      </c>
      <c r="Y1195" s="195">
        <f t="shared" si="764"/>
        <v>0</v>
      </c>
      <c r="Z1195" s="195">
        <f t="shared" si="764"/>
        <v>0</v>
      </c>
      <c r="AA1195" s="195">
        <f t="shared" si="764"/>
        <v>0</v>
      </c>
      <c r="AB1195" s="195">
        <f t="shared" si="764"/>
        <v>0</v>
      </c>
      <c r="AC1195" s="195">
        <f t="shared" si="764"/>
        <v>0</v>
      </c>
      <c r="AD1195" s="195">
        <f t="shared" si="764"/>
        <v>0</v>
      </c>
      <c r="AE1195" s="195">
        <f t="shared" si="764"/>
        <v>0</v>
      </c>
      <c r="AF1195" s="195">
        <f t="shared" si="764"/>
        <v>0</v>
      </c>
      <c r="AG1195" s="195">
        <f t="shared" si="764"/>
        <v>0</v>
      </c>
    </row>
    <row r="1196" spans="1:33" ht="14.25" customHeight="1" x14ac:dyDescent="0.35">
      <c r="A1196" s="21"/>
      <c r="B1196" s="28"/>
      <c r="C1196" s="28"/>
      <c r="D1196" s="175" t="s">
        <v>4367</v>
      </c>
      <c r="E1196" s="175"/>
      <c r="F1196" s="21"/>
      <c r="G1196" s="21"/>
      <c r="H1196" s="21"/>
      <c r="I1196" s="22" t="s">
        <v>3921</v>
      </c>
      <c r="J1196" s="148">
        <v>0</v>
      </c>
      <c r="K1196" s="148">
        <v>0</v>
      </c>
      <c r="L1196" s="148">
        <v>0</v>
      </c>
      <c r="M1196" s="148">
        <v>0</v>
      </c>
      <c r="N1196" s="148">
        <v>0</v>
      </c>
      <c r="O1196" s="148">
        <v>0</v>
      </c>
      <c r="P1196" s="148">
        <v>0</v>
      </c>
      <c r="Q1196" s="148">
        <v>0</v>
      </c>
      <c r="R1196" s="195">
        <f t="shared" ref="R1196:AG1196" si="765">R534+R690+R854</f>
        <v>-102608629.656792</v>
      </c>
      <c r="S1196" s="195">
        <f t="shared" si="765"/>
        <v>-107261335.94716236</v>
      </c>
      <c r="T1196" s="195">
        <f t="shared" si="765"/>
        <v>-110403380.51212844</v>
      </c>
      <c r="U1196" s="195">
        <f t="shared" si="765"/>
        <v>-113570516.22104965</v>
      </c>
      <c r="V1196" s="195">
        <f t="shared" si="765"/>
        <v>-113172435.15643057</v>
      </c>
      <c r="W1196" s="195">
        <f t="shared" si="765"/>
        <v>-113417461.82151015</v>
      </c>
      <c r="X1196" s="195">
        <f t="shared" si="765"/>
        <v>-113482568.81939507</v>
      </c>
      <c r="Y1196" s="195">
        <f t="shared" si="765"/>
        <v>-111514261.53553787</v>
      </c>
      <c r="Z1196" s="195">
        <f t="shared" si="765"/>
        <v>-110670318.64101237</v>
      </c>
      <c r="AA1196" s="195">
        <f t="shared" si="765"/>
        <v>-111678504.49346171</v>
      </c>
      <c r="AB1196" s="195">
        <f t="shared" si="765"/>
        <v>-112247167.51297507</v>
      </c>
      <c r="AC1196" s="195">
        <f t="shared" si="765"/>
        <v>-112466229.44325739</v>
      </c>
      <c r="AD1196" s="195">
        <f t="shared" si="765"/>
        <v>-112330152.0049804</v>
      </c>
      <c r="AE1196" s="195">
        <f t="shared" si="765"/>
        <v>-112227454.39073017</v>
      </c>
      <c r="AF1196" s="195">
        <f t="shared" si="765"/>
        <v>-112076322.1564994</v>
      </c>
      <c r="AG1196" s="195">
        <f t="shared" si="765"/>
        <v>-111901264.05816033</v>
      </c>
    </row>
    <row r="1197" spans="1:33" ht="14.25" customHeight="1" x14ac:dyDescent="0.35">
      <c r="A1197" s="21"/>
      <c r="B1197" s="28"/>
      <c r="C1197" s="28"/>
      <c r="D1197" s="175" t="s">
        <v>4368</v>
      </c>
      <c r="E1197" s="175"/>
      <c r="F1197" s="21"/>
      <c r="G1197" s="21"/>
      <c r="H1197" s="21"/>
      <c r="I1197" s="22" t="s">
        <v>3921</v>
      </c>
      <c r="J1197" s="148">
        <v>0</v>
      </c>
      <c r="K1197" s="148">
        <v>0</v>
      </c>
      <c r="L1197" s="148">
        <v>0</v>
      </c>
      <c r="M1197" s="148">
        <v>0</v>
      </c>
      <c r="N1197" s="148">
        <v>0</v>
      </c>
      <c r="O1197" s="148">
        <v>0</v>
      </c>
      <c r="P1197" s="148">
        <v>0</v>
      </c>
      <c r="Q1197" s="148">
        <v>0</v>
      </c>
      <c r="R1197" s="195">
        <f t="shared" ref="R1197:AG1197" si="766">(R521*R507/MAX(1,R519)-R534)+(R677*R663/MAX(1,R675)-R690)+(R841*R827/MAX(1,R839)-R854)</f>
        <v>-151051634.02252835</v>
      </c>
      <c r="S1197" s="195">
        <f t="shared" si="766"/>
        <v>-159442468.68038562</v>
      </c>
      <c r="T1197" s="195">
        <f t="shared" si="766"/>
        <v>-167289882.94917312</v>
      </c>
      <c r="U1197" s="195">
        <f t="shared" si="766"/>
        <v>-171952561.12521565</v>
      </c>
      <c r="V1197" s="195">
        <f t="shared" si="766"/>
        <v>-171266717.09325889</v>
      </c>
      <c r="W1197" s="195">
        <f t="shared" si="766"/>
        <v>-171608717.70075226</v>
      </c>
      <c r="X1197" s="195">
        <f t="shared" si="766"/>
        <v>-171680704.49525177</v>
      </c>
      <c r="Y1197" s="195">
        <f t="shared" si="766"/>
        <v>-168419334.93546841</v>
      </c>
      <c r="Z1197" s="195">
        <f t="shared" si="766"/>
        <v>-167120355.28101885</v>
      </c>
      <c r="AA1197" s="195">
        <f t="shared" si="766"/>
        <v>-168613805.94114381</v>
      </c>
      <c r="AB1197" s="195">
        <f t="shared" si="766"/>
        <v>-169463258.40871724</v>
      </c>
      <c r="AC1197" s="195">
        <f t="shared" si="766"/>
        <v>-169755823.60187972</v>
      </c>
      <c r="AD1197" s="195">
        <f t="shared" si="766"/>
        <v>-169544367.44173342</v>
      </c>
      <c r="AE1197" s="195">
        <f t="shared" si="766"/>
        <v>-169364558.47373101</v>
      </c>
      <c r="AF1197" s="195">
        <f t="shared" si="766"/>
        <v>-169132328.69017613</v>
      </c>
      <c r="AG1197" s="195">
        <f t="shared" si="766"/>
        <v>-168848517.61166218</v>
      </c>
    </row>
    <row r="1198" spans="1:33" ht="14.25" customHeight="1" x14ac:dyDescent="0.35">
      <c r="A1198" s="21"/>
      <c r="B1198" s="28"/>
      <c r="C1198" s="28"/>
      <c r="D1198" s="175"/>
      <c r="E1198" s="175"/>
      <c r="F1198" s="21"/>
      <c r="G1198" s="21"/>
      <c r="H1198" s="21"/>
      <c r="I1198" s="22"/>
      <c r="J1198" s="148"/>
      <c r="K1198" s="148"/>
      <c r="L1198" s="148"/>
      <c r="M1198" s="148"/>
      <c r="N1198" s="148"/>
      <c r="O1198" s="148"/>
      <c r="P1198" s="148"/>
      <c r="Q1198" s="148"/>
      <c r="R1198" s="195"/>
      <c r="S1198" s="195"/>
      <c r="T1198" s="195"/>
      <c r="U1198" s="195"/>
      <c r="V1198" s="195"/>
      <c r="W1198" s="195"/>
      <c r="X1198" s="195"/>
      <c r="Y1198" s="195"/>
      <c r="Z1198" s="195"/>
      <c r="AA1198" s="195"/>
      <c r="AB1198" s="195"/>
      <c r="AC1198" s="195"/>
      <c r="AD1198" s="195"/>
      <c r="AE1198" s="195"/>
      <c r="AF1198" s="195"/>
      <c r="AG1198" s="195"/>
    </row>
    <row r="1199" spans="1:33" ht="14.25" customHeight="1" x14ac:dyDescent="0.35">
      <c r="A1199" s="119">
        <v>10</v>
      </c>
      <c r="B1199" s="119" t="s">
        <v>4369</v>
      </c>
      <c r="C1199" s="119"/>
      <c r="D1199" s="119"/>
      <c r="E1199" s="119"/>
      <c r="F1199" s="119"/>
      <c r="G1199" s="119"/>
      <c r="H1199" s="119"/>
      <c r="I1199" s="120"/>
      <c r="J1199" s="121"/>
      <c r="K1199" s="121"/>
      <c r="L1199" s="121"/>
      <c r="M1199" s="121"/>
      <c r="N1199" s="121"/>
      <c r="O1199" s="121"/>
      <c r="P1199" s="121"/>
      <c r="Q1199" s="121"/>
      <c r="R1199" s="121"/>
      <c r="S1199" s="121"/>
      <c r="T1199" s="121"/>
      <c r="U1199" s="121"/>
      <c r="V1199" s="121"/>
      <c r="W1199" s="121"/>
      <c r="X1199" s="121"/>
      <c r="Y1199" s="121"/>
      <c r="Z1199" s="121"/>
      <c r="AA1199" s="121"/>
      <c r="AB1199" s="121"/>
      <c r="AC1199" s="121"/>
      <c r="AD1199" s="121"/>
      <c r="AE1199" s="121"/>
      <c r="AF1199" s="121"/>
      <c r="AG1199" s="121"/>
    </row>
    <row r="1200" spans="1:33" ht="14.25" customHeight="1" x14ac:dyDescent="0.35">
      <c r="A1200" s="21"/>
      <c r="B1200" s="21"/>
      <c r="C1200" s="21" t="s">
        <v>4370</v>
      </c>
      <c r="D1200" s="21"/>
      <c r="E1200" s="21"/>
      <c r="F1200" s="21"/>
      <c r="G1200" s="21"/>
      <c r="H1200" s="21"/>
      <c r="I1200" s="22"/>
      <c r="J1200" s="21"/>
      <c r="K1200" s="21"/>
      <c r="L1200" s="21"/>
      <c r="M1200" s="21"/>
      <c r="N1200" s="21"/>
      <c r="O1200" s="21"/>
      <c r="P1200" s="60"/>
      <c r="Q1200" s="21"/>
      <c r="R1200" s="21"/>
      <c r="S1200" s="21"/>
      <c r="T1200" s="21"/>
      <c r="U1200" s="21"/>
      <c r="V1200" s="21"/>
      <c r="W1200" s="21"/>
      <c r="X1200" s="21"/>
      <c r="Y1200" s="21"/>
      <c r="Z1200" s="21"/>
      <c r="AA1200" s="21"/>
      <c r="AB1200" s="21"/>
      <c r="AC1200" s="21"/>
      <c r="AD1200" s="21"/>
      <c r="AE1200" s="21"/>
      <c r="AF1200" s="21"/>
      <c r="AG1200" s="21"/>
    </row>
    <row r="1201" spans="1:33" ht="14.25" customHeight="1" x14ac:dyDescent="0.35">
      <c r="A1201" s="21"/>
      <c r="B1201" s="21"/>
      <c r="C1201" s="21"/>
      <c r="D1201" s="128" t="s">
        <v>4010</v>
      </c>
      <c r="E1201" s="128"/>
      <c r="F1201" s="21"/>
      <c r="G1201" s="21"/>
      <c r="H1201" s="21"/>
      <c r="I1201" s="22" t="s">
        <v>3921</v>
      </c>
      <c r="J1201" s="148"/>
      <c r="K1201" s="148"/>
      <c r="L1201" s="148"/>
      <c r="M1201" s="148"/>
      <c r="N1201" s="148"/>
      <c r="O1201" s="148"/>
      <c r="P1201" s="148"/>
      <c r="Q1201" s="148"/>
      <c r="R1201" s="195"/>
      <c r="S1201" s="195"/>
      <c r="T1201" s="195"/>
      <c r="U1201" s="195"/>
      <c r="V1201" s="195"/>
      <c r="W1201" s="195"/>
      <c r="X1201" s="195"/>
      <c r="Y1201" s="195"/>
      <c r="Z1201" s="195"/>
      <c r="AA1201" s="195"/>
      <c r="AB1201" s="195"/>
      <c r="AC1201" s="195"/>
      <c r="AD1201" s="195"/>
      <c r="AE1201" s="195"/>
      <c r="AF1201" s="195"/>
      <c r="AG1201" s="195"/>
    </row>
    <row r="1202" spans="1:33" ht="14.25" customHeight="1" x14ac:dyDescent="0.35">
      <c r="A1202" s="21"/>
      <c r="B1202" s="21"/>
      <c r="C1202" s="21"/>
      <c r="D1202" s="128" t="s">
        <v>4371</v>
      </c>
      <c r="E1202" s="128"/>
      <c r="F1202" s="21"/>
      <c r="G1202" s="21"/>
      <c r="H1202" s="21"/>
      <c r="I1202" s="22" t="s">
        <v>3921</v>
      </c>
      <c r="J1202" s="148">
        <v>1256599308.86237</v>
      </c>
      <c r="K1202" s="148">
        <v>1224313234.26493</v>
      </c>
      <c r="L1202" s="148">
        <v>1183006520.6208601</v>
      </c>
      <c r="M1202" s="148">
        <v>1392346959.7135</v>
      </c>
      <c r="N1202" s="148">
        <v>1245555853.9042301</v>
      </c>
      <c r="O1202" s="148">
        <v>1229346161.18922</v>
      </c>
      <c r="P1202" s="148">
        <v>1292246667.0132201</v>
      </c>
      <c r="Q1202" s="148">
        <v>1250240149.2093699</v>
      </c>
      <c r="R1202" s="149">
        <v>1486480572.9937</v>
      </c>
      <c r="S1202" s="149">
        <v>1520545327.14116</v>
      </c>
      <c r="T1202" s="149">
        <v>1482163595.87397</v>
      </c>
      <c r="U1202" s="149">
        <v>1514639544.1022401</v>
      </c>
      <c r="V1202" s="149">
        <v>1513533589.05832</v>
      </c>
      <c r="W1202" s="149">
        <v>1412944461.4067299</v>
      </c>
      <c r="X1202" s="149">
        <v>1512648072.1540799</v>
      </c>
      <c r="Y1202" s="149">
        <v>1472111354.1103499</v>
      </c>
      <c r="Z1202" s="149">
        <v>1504764847.0701799</v>
      </c>
      <c r="AA1202" s="149">
        <v>1470884648.2711799</v>
      </c>
      <c r="AB1202" s="149">
        <v>1503960622.56708</v>
      </c>
      <c r="AC1202" s="149">
        <v>1502988598.3838401</v>
      </c>
      <c r="AD1202" s="149">
        <v>1469605969.6343501</v>
      </c>
      <c r="AE1202" s="149">
        <v>1502233914.02635</v>
      </c>
      <c r="AF1202" s="149">
        <v>1468872757.04547</v>
      </c>
      <c r="AG1202" s="149">
        <v>1501632151.25962</v>
      </c>
    </row>
    <row r="1203" spans="1:33" ht="14.25" customHeight="1" x14ac:dyDescent="0.35">
      <c r="A1203" s="21"/>
      <c r="B1203" s="21"/>
      <c r="C1203" s="21"/>
      <c r="D1203" s="128" t="s">
        <v>4372</v>
      </c>
      <c r="E1203" s="128"/>
      <c r="F1203" s="21"/>
      <c r="G1203" s="21"/>
      <c r="H1203" s="21"/>
      <c r="I1203" s="22" t="s">
        <v>3921</v>
      </c>
      <c r="J1203" s="148">
        <v>221988097.705944</v>
      </c>
      <c r="K1203" s="148">
        <v>202656917.89902201</v>
      </c>
      <c r="L1203" s="148">
        <v>169010596.820943</v>
      </c>
      <c r="M1203" s="148">
        <v>197982412.07310599</v>
      </c>
      <c r="N1203" s="148">
        <v>205407273.97945601</v>
      </c>
      <c r="O1203" s="148">
        <v>69542984.267818496</v>
      </c>
      <c r="P1203" s="148">
        <v>64956430.876963899</v>
      </c>
      <c r="Q1203" s="148">
        <v>63976093.378766797</v>
      </c>
      <c r="R1203" s="149">
        <v>150645700.80057901</v>
      </c>
      <c r="S1203" s="149">
        <v>150899821.953116</v>
      </c>
      <c r="T1203" s="149">
        <v>150587679.005932</v>
      </c>
      <c r="U1203" s="149">
        <v>150710945.39644799</v>
      </c>
      <c r="V1203" s="149">
        <v>150732706.15573299</v>
      </c>
      <c r="W1203" s="149">
        <v>150677083.11486101</v>
      </c>
      <c r="X1203" s="149">
        <v>150706908.079992</v>
      </c>
      <c r="Y1203" s="149">
        <v>150705562.35590801</v>
      </c>
      <c r="Z1203" s="149">
        <v>150696516.59496</v>
      </c>
      <c r="AA1203" s="149">
        <v>150702995.53567201</v>
      </c>
      <c r="AB1203" s="149">
        <v>150701691.399376</v>
      </c>
      <c r="AC1203" s="149">
        <v>150700401.124722</v>
      </c>
      <c r="AD1203" s="149">
        <v>150701696.01247901</v>
      </c>
      <c r="AE1203" s="149">
        <v>150701262.84306201</v>
      </c>
      <c r="AF1203" s="149">
        <v>150701119.99149901</v>
      </c>
      <c r="AG1203" s="149">
        <v>150701359.615282</v>
      </c>
    </row>
    <row r="1204" spans="1:33" ht="14.25" customHeight="1" x14ac:dyDescent="0.35">
      <c r="A1204" s="21"/>
      <c r="B1204" s="21"/>
      <c r="C1204" s="21" t="s">
        <v>4373</v>
      </c>
      <c r="D1204" s="128"/>
      <c r="E1204" s="128"/>
      <c r="F1204" s="21"/>
      <c r="G1204" s="21"/>
      <c r="H1204" s="21"/>
      <c r="I1204" s="22" t="s">
        <v>3921</v>
      </c>
      <c r="J1204" s="148">
        <f t="shared" ref="J1204:AG1204" si="767">J1202+J1203</f>
        <v>1478587406.5683141</v>
      </c>
      <c r="K1204" s="148">
        <f t="shared" si="767"/>
        <v>1426970152.1639521</v>
      </c>
      <c r="L1204" s="148">
        <f t="shared" si="767"/>
        <v>1352017117.441803</v>
      </c>
      <c r="M1204" s="148">
        <f t="shared" si="767"/>
        <v>1590329371.7866061</v>
      </c>
      <c r="N1204" s="148">
        <f t="shared" si="767"/>
        <v>1450963127.8836861</v>
      </c>
      <c r="O1204" s="148">
        <f t="shared" si="767"/>
        <v>1298889145.4570384</v>
      </c>
      <c r="P1204" s="148">
        <f t="shared" si="767"/>
        <v>1357203097.8901839</v>
      </c>
      <c r="Q1204" s="148">
        <f t="shared" si="767"/>
        <v>1314216242.5881367</v>
      </c>
      <c r="R1204" s="149">
        <f t="shared" si="767"/>
        <v>1637126273.7942791</v>
      </c>
      <c r="S1204" s="149">
        <f t="shared" si="767"/>
        <v>1671445149.094276</v>
      </c>
      <c r="T1204" s="149">
        <f t="shared" si="767"/>
        <v>1632751274.8799021</v>
      </c>
      <c r="U1204" s="149">
        <f t="shared" si="767"/>
        <v>1665350489.498688</v>
      </c>
      <c r="V1204" s="149">
        <f t="shared" si="767"/>
        <v>1664266295.2140532</v>
      </c>
      <c r="W1204" s="149">
        <f t="shared" si="767"/>
        <v>1563621544.5215909</v>
      </c>
      <c r="X1204" s="149">
        <f t="shared" si="767"/>
        <v>1663354980.234072</v>
      </c>
      <c r="Y1204" s="149">
        <f t="shared" si="767"/>
        <v>1622816916.4662578</v>
      </c>
      <c r="Z1204" s="149">
        <f t="shared" si="767"/>
        <v>1655461363.6651399</v>
      </c>
      <c r="AA1204" s="149">
        <f t="shared" si="767"/>
        <v>1621587643.8068519</v>
      </c>
      <c r="AB1204" s="149">
        <f t="shared" si="767"/>
        <v>1654662313.9664559</v>
      </c>
      <c r="AC1204" s="149">
        <f t="shared" si="767"/>
        <v>1653688999.5085621</v>
      </c>
      <c r="AD1204" s="149">
        <f t="shared" si="767"/>
        <v>1620307665.6468291</v>
      </c>
      <c r="AE1204" s="149">
        <f t="shared" si="767"/>
        <v>1652935176.8694119</v>
      </c>
      <c r="AF1204" s="149">
        <f t="shared" si="767"/>
        <v>1619573877.0369689</v>
      </c>
      <c r="AG1204" s="149">
        <f t="shared" si="767"/>
        <v>1652333510.874902</v>
      </c>
    </row>
    <row r="1205" spans="1:33" ht="14.25" customHeight="1" x14ac:dyDescent="0.35">
      <c r="A1205" s="21"/>
      <c r="B1205" s="21"/>
      <c r="C1205" s="21"/>
      <c r="D1205" s="128" t="s">
        <v>4374</v>
      </c>
      <c r="E1205" s="128"/>
      <c r="F1205" s="21"/>
      <c r="G1205" s="21"/>
      <c r="H1205" s="21"/>
      <c r="I1205" s="22" t="s">
        <v>3921</v>
      </c>
      <c r="J1205" s="148"/>
      <c r="K1205" s="148"/>
      <c r="L1205" s="148"/>
      <c r="M1205" s="148"/>
      <c r="N1205" s="148"/>
      <c r="O1205" s="148"/>
      <c r="P1205" s="148"/>
      <c r="Q1205" s="148"/>
      <c r="R1205" s="195"/>
      <c r="S1205" s="195"/>
      <c r="T1205" s="195"/>
      <c r="U1205" s="195"/>
      <c r="V1205" s="195"/>
      <c r="W1205" s="195"/>
      <c r="X1205" s="195"/>
      <c r="Y1205" s="195"/>
      <c r="Z1205" s="195"/>
      <c r="AA1205" s="195"/>
      <c r="AB1205" s="195"/>
      <c r="AC1205" s="195"/>
      <c r="AD1205" s="195"/>
      <c r="AE1205" s="195"/>
      <c r="AF1205" s="195"/>
      <c r="AG1205" s="195"/>
    </row>
    <row r="1206" spans="1:33" ht="14.25" customHeight="1" x14ac:dyDescent="0.35">
      <c r="A1206" s="21"/>
      <c r="B1206" s="21"/>
      <c r="C1206" s="21"/>
      <c r="D1206" s="128" t="s">
        <v>4375</v>
      </c>
      <c r="E1206" s="128"/>
      <c r="F1206" s="21"/>
      <c r="G1206" s="21"/>
      <c r="H1206" s="21"/>
      <c r="I1206" s="22" t="s">
        <v>3921</v>
      </c>
      <c r="J1206" s="148">
        <v>4773006082.4601898</v>
      </c>
      <c r="K1206" s="148">
        <v>4395771306.0245895</v>
      </c>
      <c r="L1206" s="148">
        <v>3495653578.7539501</v>
      </c>
      <c r="M1206" s="148">
        <v>3656869540.77178</v>
      </c>
      <c r="N1206" s="148">
        <v>4295196715.5508299</v>
      </c>
      <c r="O1206" s="148">
        <v>4629449191.9489603</v>
      </c>
      <c r="P1206" s="148">
        <v>4977098128.6927099</v>
      </c>
      <c r="Q1206" s="148">
        <v>5633492958.4435902</v>
      </c>
      <c r="R1206" s="149">
        <v>5330226125.6160202</v>
      </c>
      <c r="S1206" s="149">
        <v>5388830782.5466499</v>
      </c>
      <c r="T1206" s="149">
        <v>5466783668.1577797</v>
      </c>
      <c r="U1206" s="149">
        <v>5471247742.0056896</v>
      </c>
      <c r="V1206" s="149">
        <v>5472035804.6400204</v>
      </c>
      <c r="W1206" s="149">
        <v>5470021424.5559101</v>
      </c>
      <c r="X1206" s="149">
        <v>5471101531.1956596</v>
      </c>
      <c r="Y1206" s="149">
        <v>5471052795.9997597</v>
      </c>
      <c r="Z1206" s="149">
        <v>5470725205.1234999</v>
      </c>
      <c r="AA1206" s="149">
        <v>5470959838.9898195</v>
      </c>
      <c r="AB1206" s="149">
        <v>5470912609.8894196</v>
      </c>
      <c r="AC1206" s="149">
        <v>5470865882.7862997</v>
      </c>
      <c r="AD1206" s="149">
        <v>5470912776.95226</v>
      </c>
      <c r="AE1206" s="149">
        <v>5470897089.7867699</v>
      </c>
      <c r="AF1206" s="149">
        <v>5470891916.4388399</v>
      </c>
      <c r="AG1206" s="149">
        <v>5470900594.3782101</v>
      </c>
    </row>
    <row r="1207" spans="1:33" ht="14.25" customHeight="1" x14ac:dyDescent="0.35">
      <c r="A1207" s="21"/>
      <c r="B1207" s="21"/>
      <c r="C1207" s="21"/>
      <c r="D1207" s="128" t="s">
        <v>4376</v>
      </c>
      <c r="E1207" s="128"/>
      <c r="F1207" s="21"/>
      <c r="G1207" s="21"/>
      <c r="H1207" s="21"/>
      <c r="I1207" s="22" t="s">
        <v>3921</v>
      </c>
      <c r="J1207" s="148">
        <v>250371515.90167299</v>
      </c>
      <c r="K1207" s="148">
        <v>190107802.787949</v>
      </c>
      <c r="L1207" s="148">
        <v>144530696.449137</v>
      </c>
      <c r="M1207" s="148">
        <v>175469403.70136601</v>
      </c>
      <c r="N1207" s="148">
        <v>255547558.26792601</v>
      </c>
      <c r="O1207" s="148">
        <v>281280561.915016</v>
      </c>
      <c r="P1207" s="148">
        <v>216357579.311378</v>
      </c>
      <c r="Q1207" s="148">
        <v>290733906.64664203</v>
      </c>
      <c r="R1207" s="149">
        <v>227369489.55644301</v>
      </c>
      <c r="S1207" s="149">
        <v>227753034.49951801</v>
      </c>
      <c r="T1207" s="149">
        <v>227281917.287458</v>
      </c>
      <c r="U1207" s="149">
        <v>227467963.19611701</v>
      </c>
      <c r="V1207" s="149">
        <v>227500806.700477</v>
      </c>
      <c r="W1207" s="149">
        <v>227416854.86950299</v>
      </c>
      <c r="X1207" s="149">
        <v>227461869.676177</v>
      </c>
      <c r="Y1207" s="149">
        <v>227459838.57541201</v>
      </c>
      <c r="Z1207" s="149">
        <v>227446185.81241599</v>
      </c>
      <c r="AA1207" s="149">
        <v>227455964.47476599</v>
      </c>
      <c r="AB1207" s="149">
        <v>227453996.142432</v>
      </c>
      <c r="AC1207" s="149">
        <v>227452048.73146701</v>
      </c>
      <c r="AD1207" s="149">
        <v>227454003.10498601</v>
      </c>
      <c r="AE1207" s="149">
        <v>227453349.32257599</v>
      </c>
      <c r="AF1207" s="149">
        <v>227453133.716775</v>
      </c>
      <c r="AG1207" s="149">
        <v>227453495.38084501</v>
      </c>
    </row>
    <row r="1208" spans="1:33" ht="14.25" customHeight="1" x14ac:dyDescent="0.35">
      <c r="A1208" s="21"/>
      <c r="B1208" s="21"/>
      <c r="C1208" s="21"/>
      <c r="D1208" s="128" t="s">
        <v>4377</v>
      </c>
      <c r="E1208" s="128"/>
      <c r="F1208" s="21"/>
      <c r="G1208" s="21"/>
      <c r="H1208" s="21"/>
      <c r="I1208" s="22" t="s">
        <v>3921</v>
      </c>
      <c r="J1208" s="148">
        <v>219605337.88781801</v>
      </c>
      <c r="K1208" s="148">
        <v>196803341.11318001</v>
      </c>
      <c r="L1208" s="148">
        <v>152874125</v>
      </c>
      <c r="M1208" s="148">
        <v>144328875</v>
      </c>
      <c r="N1208" s="148">
        <v>173639125</v>
      </c>
      <c r="O1208" s="148">
        <v>174787500</v>
      </c>
      <c r="P1208" s="148">
        <v>155362437.54398599</v>
      </c>
      <c r="Q1208" s="148">
        <v>110021625</v>
      </c>
      <c r="R1208" s="149">
        <v>167275888.554492</v>
      </c>
      <c r="S1208" s="149">
        <v>167580796.04366499</v>
      </c>
      <c r="T1208" s="149">
        <v>167206271.05297199</v>
      </c>
      <c r="U1208" s="149">
        <v>167354172.34043401</v>
      </c>
      <c r="V1208" s="149">
        <v>167380282.00667</v>
      </c>
      <c r="W1208" s="149">
        <v>167313542.65198401</v>
      </c>
      <c r="X1208" s="149">
        <v>167349328.16272101</v>
      </c>
      <c r="Y1208" s="149">
        <v>167347713.49449101</v>
      </c>
      <c r="Z1208" s="149">
        <v>167336859.930233</v>
      </c>
      <c r="AA1208" s="149">
        <v>167344633.692965</v>
      </c>
      <c r="AB1208" s="149">
        <v>167343068.923879</v>
      </c>
      <c r="AC1208" s="149">
        <v>167341520.786697</v>
      </c>
      <c r="AD1208" s="149">
        <v>167343074.458915</v>
      </c>
      <c r="AE1208" s="149">
        <v>167342554.72020799</v>
      </c>
      <c r="AF1208" s="149">
        <v>167342383.31963399</v>
      </c>
      <c r="AG1208" s="149">
        <v>167342670.832441</v>
      </c>
    </row>
    <row r="1209" spans="1:33" ht="14.25" customHeight="1" x14ac:dyDescent="0.35">
      <c r="A1209" s="21"/>
      <c r="B1209" s="21"/>
      <c r="C1209" s="21"/>
      <c r="D1209" s="128" t="s">
        <v>4378</v>
      </c>
      <c r="E1209" s="128"/>
      <c r="F1209" s="21"/>
      <c r="G1209" s="21"/>
      <c r="H1209" s="21"/>
      <c r="I1209" s="22" t="s">
        <v>3921</v>
      </c>
      <c r="J1209" s="148">
        <v>421936583.32246399</v>
      </c>
      <c r="K1209" s="148">
        <v>381284530.15141797</v>
      </c>
      <c r="L1209" s="148">
        <v>328530412.110511</v>
      </c>
      <c r="M1209" s="148">
        <v>349488355.05554199</v>
      </c>
      <c r="N1209" s="148">
        <v>383973663.75807297</v>
      </c>
      <c r="O1209" s="148">
        <v>365291165.29885501</v>
      </c>
      <c r="P1209" s="148">
        <v>414716492.59124303</v>
      </c>
      <c r="Q1209" s="148">
        <v>435713342.44575799</v>
      </c>
      <c r="R1209" s="149">
        <v>388223727.17713898</v>
      </c>
      <c r="S1209" s="149">
        <v>388878613.84478599</v>
      </c>
      <c r="T1209" s="149">
        <v>388074201.25468802</v>
      </c>
      <c r="U1209" s="149">
        <v>388391866.72610599</v>
      </c>
      <c r="V1209" s="149">
        <v>388447945.612068</v>
      </c>
      <c r="W1209" s="149">
        <v>388304601.43344599</v>
      </c>
      <c r="X1209" s="149">
        <v>388381462.30013198</v>
      </c>
      <c r="Y1209" s="149">
        <v>388377994.28201401</v>
      </c>
      <c r="Z1209" s="149">
        <v>388354682.77022398</v>
      </c>
      <c r="AA1209" s="149">
        <v>388371379.42003202</v>
      </c>
      <c r="AB1209" s="149">
        <v>388368018.57633799</v>
      </c>
      <c r="AC1209" s="149">
        <v>388364693.454992</v>
      </c>
      <c r="AD1209" s="149">
        <v>388368030.46460402</v>
      </c>
      <c r="AE1209" s="149">
        <v>388366914.15896201</v>
      </c>
      <c r="AF1209" s="149">
        <v>388366546.02123302</v>
      </c>
      <c r="AG1209" s="149">
        <v>388367163.54724002</v>
      </c>
    </row>
    <row r="1210" spans="1:33" ht="14.25" customHeight="1" x14ac:dyDescent="0.35">
      <c r="A1210" s="21"/>
      <c r="B1210" s="21"/>
      <c r="C1210" s="21" t="s">
        <v>4379</v>
      </c>
      <c r="D1210" s="128"/>
      <c r="E1210" s="128"/>
      <c r="F1210" s="21"/>
      <c r="G1210" s="21"/>
      <c r="H1210" s="21"/>
      <c r="I1210" s="22" t="s">
        <v>3921</v>
      </c>
      <c r="J1210" s="148">
        <f t="shared" ref="J1210:AG1210" si="768">SUM(J1206:J1209)</f>
        <v>5664919519.5721455</v>
      </c>
      <c r="K1210" s="148">
        <f t="shared" si="768"/>
        <v>5163966980.077136</v>
      </c>
      <c r="L1210" s="148">
        <f t="shared" si="768"/>
        <v>4121588812.3135982</v>
      </c>
      <c r="M1210" s="148">
        <f t="shared" si="768"/>
        <v>4326156174.5286884</v>
      </c>
      <c r="N1210" s="148">
        <f t="shared" si="768"/>
        <v>5108357062.576829</v>
      </c>
      <c r="O1210" s="148">
        <f t="shared" si="768"/>
        <v>5450808419.1628313</v>
      </c>
      <c r="P1210" s="148">
        <f t="shared" si="768"/>
        <v>5763534638.1393166</v>
      </c>
      <c r="Q1210" s="148">
        <f t="shared" si="768"/>
        <v>6469961832.5359898</v>
      </c>
      <c r="R1210" s="149">
        <f t="shared" si="768"/>
        <v>6113095230.9040947</v>
      </c>
      <c r="S1210" s="149">
        <f t="shared" si="768"/>
        <v>6173043226.9346189</v>
      </c>
      <c r="T1210" s="149">
        <f t="shared" si="768"/>
        <v>6249346057.7528982</v>
      </c>
      <c r="U1210" s="149">
        <f t="shared" si="768"/>
        <v>6254461744.2683468</v>
      </c>
      <c r="V1210" s="149">
        <f t="shared" si="768"/>
        <v>6255364838.9592352</v>
      </c>
      <c r="W1210" s="149">
        <f t="shared" si="768"/>
        <v>6253056423.5108433</v>
      </c>
      <c r="X1210" s="149">
        <f t="shared" si="768"/>
        <v>6254294191.3346891</v>
      </c>
      <c r="Y1210" s="149">
        <f t="shared" si="768"/>
        <v>6254238342.351676</v>
      </c>
      <c r="Z1210" s="149">
        <f t="shared" si="768"/>
        <v>6253862933.6363726</v>
      </c>
      <c r="AA1210" s="149">
        <f t="shared" si="768"/>
        <v>6254131816.5775814</v>
      </c>
      <c r="AB1210" s="149">
        <f t="shared" si="768"/>
        <v>6254077693.5320683</v>
      </c>
      <c r="AC1210" s="149">
        <f t="shared" si="768"/>
        <v>6254024145.7594566</v>
      </c>
      <c r="AD1210" s="149">
        <f t="shared" si="768"/>
        <v>6254077884.9807653</v>
      </c>
      <c r="AE1210" s="149">
        <f t="shared" si="768"/>
        <v>6254059907.9885159</v>
      </c>
      <c r="AF1210" s="149">
        <f t="shared" si="768"/>
        <v>6254053979.4964819</v>
      </c>
      <c r="AG1210" s="149">
        <f t="shared" si="768"/>
        <v>6254063924.1387367</v>
      </c>
    </row>
    <row r="1211" spans="1:33" ht="14.25" customHeight="1" x14ac:dyDescent="0.35">
      <c r="A1211" s="21"/>
      <c r="B1211" s="21"/>
      <c r="C1211" s="21"/>
      <c r="D1211" s="128"/>
      <c r="E1211" s="128"/>
      <c r="F1211" s="21"/>
      <c r="G1211" s="21"/>
      <c r="H1211" s="21"/>
      <c r="I1211" s="22"/>
      <c r="J1211" s="148"/>
      <c r="K1211" s="148"/>
      <c r="L1211" s="148"/>
      <c r="M1211" s="148"/>
      <c r="N1211" s="148"/>
      <c r="O1211" s="148"/>
      <c r="P1211" s="148"/>
      <c r="Q1211" s="148"/>
      <c r="R1211" s="195"/>
      <c r="S1211" s="195"/>
      <c r="T1211" s="195"/>
      <c r="U1211" s="195"/>
      <c r="V1211" s="195"/>
      <c r="W1211" s="195"/>
      <c r="X1211" s="195"/>
      <c r="Y1211" s="195"/>
      <c r="Z1211" s="195"/>
      <c r="AA1211" s="195"/>
      <c r="AB1211" s="195"/>
      <c r="AC1211" s="195"/>
      <c r="AD1211" s="195"/>
      <c r="AE1211" s="195"/>
      <c r="AF1211" s="195"/>
      <c r="AG1211" s="195"/>
    </row>
    <row r="1212" spans="1:33" ht="14.25" customHeight="1" x14ac:dyDescent="0.35">
      <c r="A1212" s="21"/>
      <c r="B1212" s="21"/>
      <c r="C1212" s="21"/>
      <c r="D1212" s="128" t="s">
        <v>4380</v>
      </c>
      <c r="E1212" s="128"/>
      <c r="F1212" s="21"/>
      <c r="G1212" s="21"/>
      <c r="H1212" s="21"/>
      <c r="I1212" s="22" t="s">
        <v>3900</v>
      </c>
      <c r="J1212" s="132">
        <v>357017.63</v>
      </c>
      <c r="K1212" s="132">
        <v>322492.5</v>
      </c>
      <c r="L1212" s="132">
        <v>235582.2</v>
      </c>
      <c r="M1212" s="132">
        <v>233238.5</v>
      </c>
      <c r="N1212" s="132">
        <v>260425</v>
      </c>
      <c r="O1212" s="132">
        <v>264059.59999999998</v>
      </c>
      <c r="P1212" s="132">
        <v>273392.5</v>
      </c>
      <c r="Q1212" s="132">
        <v>318070</v>
      </c>
      <c r="R1212" s="140">
        <v>278373.51664254098</v>
      </c>
      <c r="S1212" s="140">
        <v>278373.51664254098</v>
      </c>
      <c r="T1212" s="140">
        <v>278373.51664254098</v>
      </c>
      <c r="U1212" s="140">
        <v>278373.51664254098</v>
      </c>
      <c r="V1212" s="140">
        <v>278373.51664254098</v>
      </c>
      <c r="W1212" s="140">
        <v>278373.51664254098</v>
      </c>
      <c r="X1212" s="140">
        <v>278373.51664254098</v>
      </c>
      <c r="Y1212" s="140">
        <v>278373.51664254098</v>
      </c>
      <c r="Z1212" s="140">
        <v>278373.51664254098</v>
      </c>
      <c r="AA1212" s="140">
        <v>278373.51664254098</v>
      </c>
      <c r="AB1212" s="140">
        <v>278373.51664254098</v>
      </c>
      <c r="AC1212" s="140">
        <v>278373.51664254098</v>
      </c>
      <c r="AD1212" s="140">
        <v>278373.51664254098</v>
      </c>
      <c r="AE1212" s="140">
        <v>278373.51664254098</v>
      </c>
      <c r="AF1212" s="140">
        <v>278373.51664254098</v>
      </c>
      <c r="AG1212" s="140">
        <v>278373.51664254098</v>
      </c>
    </row>
    <row r="1213" spans="1:33" ht="14.25" customHeight="1" x14ac:dyDescent="0.35">
      <c r="A1213" s="21"/>
      <c r="B1213" s="21"/>
      <c r="C1213" s="21"/>
      <c r="D1213" s="128" t="s">
        <v>4381</v>
      </c>
      <c r="E1213" s="128"/>
      <c r="F1213" s="21"/>
      <c r="G1213" s="21"/>
      <c r="H1213" s="21"/>
      <c r="I1213" s="22" t="s">
        <v>3915</v>
      </c>
      <c r="J1213" s="132">
        <f t="shared" ref="J1213:AG1213" si="769">IF(J1212=0,0,J1204/J1212)</f>
        <v>4141.4968962970097</v>
      </c>
      <c r="K1213" s="132">
        <f t="shared" si="769"/>
        <v>4424.8165528313129</v>
      </c>
      <c r="L1213" s="132">
        <f t="shared" si="769"/>
        <v>5739.0461479763871</v>
      </c>
      <c r="M1213" s="132">
        <f t="shared" si="769"/>
        <v>6818.4685280800813</v>
      </c>
      <c r="N1213" s="132">
        <f t="shared" si="769"/>
        <v>5571.5201224294369</v>
      </c>
      <c r="O1213" s="132">
        <f t="shared" si="769"/>
        <v>4918.9241574895914</v>
      </c>
      <c r="P1213" s="132">
        <f t="shared" si="769"/>
        <v>4964.302597511577</v>
      </c>
      <c r="Q1213" s="132">
        <f t="shared" si="769"/>
        <v>4131.8459539979776</v>
      </c>
      <c r="R1213" s="140">
        <f t="shared" si="769"/>
        <v>5881.0417511681271</v>
      </c>
      <c r="S1213" s="140">
        <f t="shared" si="769"/>
        <v>6004.3253009609252</v>
      </c>
      <c r="T1213" s="140">
        <f t="shared" si="769"/>
        <v>5865.3254611735056</v>
      </c>
      <c r="U1213" s="140">
        <f t="shared" si="769"/>
        <v>5982.4314812143648</v>
      </c>
      <c r="V1213" s="140">
        <f t="shared" si="769"/>
        <v>5978.5367346964076</v>
      </c>
      <c r="W1213" s="140">
        <f t="shared" si="769"/>
        <v>5616.9910247943417</v>
      </c>
      <c r="X1213" s="140">
        <f t="shared" si="769"/>
        <v>5975.2630217693577</v>
      </c>
      <c r="Y1213" s="140">
        <f t="shared" si="769"/>
        <v>5829.6383076918719</v>
      </c>
      <c r="Z1213" s="140">
        <f t="shared" si="769"/>
        <v>5946.9068165378512</v>
      </c>
      <c r="AA1213" s="140">
        <f t="shared" si="769"/>
        <v>5825.2223967451982</v>
      </c>
      <c r="AB1213" s="140">
        <f t="shared" si="769"/>
        <v>5944.0363937033753</v>
      </c>
      <c r="AC1213" s="140">
        <f t="shared" si="769"/>
        <v>5940.5399603154838</v>
      </c>
      <c r="AD1213" s="140">
        <f t="shared" si="769"/>
        <v>5820.6243366442932</v>
      </c>
      <c r="AE1213" s="140">
        <f t="shared" si="769"/>
        <v>5937.8320064546351</v>
      </c>
      <c r="AF1213" s="140">
        <f t="shared" si="769"/>
        <v>5817.9883509416641</v>
      </c>
      <c r="AG1213" s="140">
        <f t="shared" si="769"/>
        <v>5935.6706442612531</v>
      </c>
    </row>
    <row r="1214" spans="1:33" ht="14.25" customHeight="1" x14ac:dyDescent="0.35">
      <c r="A1214" s="21"/>
      <c r="B1214" s="21"/>
      <c r="C1214" s="21"/>
      <c r="D1214" s="128" t="s">
        <v>4382</v>
      </c>
      <c r="E1214" s="128"/>
      <c r="F1214" s="21"/>
      <c r="G1214" s="21"/>
      <c r="H1214" s="21"/>
      <c r="I1214" s="22" t="s">
        <v>3915</v>
      </c>
      <c r="J1214" s="132">
        <f t="shared" ref="J1214:AG1214" si="770">IF(J1212=0,0,J1210/J1212)</f>
        <v>15867.33831483937</v>
      </c>
      <c r="K1214" s="132">
        <f t="shared" si="770"/>
        <v>16012.673101164015</v>
      </c>
      <c r="L1214" s="132">
        <f t="shared" si="770"/>
        <v>17495.332042546499</v>
      </c>
      <c r="M1214" s="132">
        <f t="shared" si="770"/>
        <v>18548.207841024054</v>
      </c>
      <c r="N1214" s="132">
        <f t="shared" si="770"/>
        <v>19615.463425465408</v>
      </c>
      <c r="O1214" s="132">
        <f t="shared" si="770"/>
        <v>20642.341422780431</v>
      </c>
      <c r="P1214" s="132">
        <f t="shared" si="770"/>
        <v>21081.538952748582</v>
      </c>
      <c r="Q1214" s="132">
        <f t="shared" si="770"/>
        <v>20341.31427841667</v>
      </c>
      <c r="R1214" s="140">
        <f t="shared" si="770"/>
        <v>21960.046000905721</v>
      </c>
      <c r="S1214" s="140">
        <f t="shared" si="770"/>
        <v>22175.396932106207</v>
      </c>
      <c r="T1214" s="140">
        <f t="shared" si="770"/>
        <v>22449.499266762774</v>
      </c>
      <c r="U1214" s="140">
        <f t="shared" si="770"/>
        <v>22467.876325676814</v>
      </c>
      <c r="V1214" s="140">
        <f t="shared" si="770"/>
        <v>22471.120508894313</v>
      </c>
      <c r="W1214" s="140">
        <f t="shared" si="770"/>
        <v>22462.82799789602</v>
      </c>
      <c r="X1214" s="140">
        <f t="shared" si="770"/>
        <v>22467.274425985783</v>
      </c>
      <c r="Y1214" s="140">
        <f t="shared" si="770"/>
        <v>22467.073799921614</v>
      </c>
      <c r="Z1214" s="140">
        <f t="shared" si="770"/>
        <v>22465.725220790126</v>
      </c>
      <c r="AA1214" s="140">
        <f t="shared" si="770"/>
        <v>22466.691127836355</v>
      </c>
      <c r="AB1214" s="140">
        <f t="shared" si="770"/>
        <v>22466.496701850127</v>
      </c>
      <c r="AC1214" s="140">
        <f t="shared" si="770"/>
        <v>22466.304342414296</v>
      </c>
      <c r="AD1214" s="140">
        <f t="shared" si="770"/>
        <v>22466.497389590466</v>
      </c>
      <c r="AE1214" s="140">
        <f t="shared" si="770"/>
        <v>22466.43281091766</v>
      </c>
      <c r="AF1214" s="140">
        <f t="shared" si="770"/>
        <v>22466.411514020936</v>
      </c>
      <c r="AG1214" s="140">
        <f t="shared" si="770"/>
        <v>22466.44723811702</v>
      </c>
    </row>
    <row r="1215" spans="1:33" ht="14.25" customHeight="1" x14ac:dyDescent="0.35">
      <c r="A1215" s="21"/>
      <c r="B1215" s="21"/>
      <c r="C1215" s="21" t="s">
        <v>4383</v>
      </c>
      <c r="D1215" s="21"/>
      <c r="E1215" s="21"/>
      <c r="F1215" s="21"/>
      <c r="G1215" s="21"/>
      <c r="H1215" s="21"/>
      <c r="I1215" s="22" t="s">
        <v>3915</v>
      </c>
      <c r="J1215" s="31">
        <f t="shared" ref="J1215:AG1215" si="771">J1213+J1214</f>
        <v>20008.835211136378</v>
      </c>
      <c r="K1215" s="31">
        <f t="shared" si="771"/>
        <v>20437.489653995326</v>
      </c>
      <c r="L1215" s="31">
        <f t="shared" si="771"/>
        <v>23234.378190522886</v>
      </c>
      <c r="M1215" s="31">
        <f t="shared" si="771"/>
        <v>25366.676369104134</v>
      </c>
      <c r="N1215" s="31">
        <f t="shared" si="771"/>
        <v>25186.983547894844</v>
      </c>
      <c r="O1215" s="31">
        <f t="shared" si="771"/>
        <v>25561.265580270025</v>
      </c>
      <c r="P1215" s="31">
        <f t="shared" si="771"/>
        <v>26045.84155026016</v>
      </c>
      <c r="Q1215" s="31">
        <f t="shared" si="771"/>
        <v>24473.160232414648</v>
      </c>
      <c r="R1215" s="147">
        <f t="shared" si="771"/>
        <v>27841.087752073847</v>
      </c>
      <c r="S1215" s="147">
        <f t="shared" si="771"/>
        <v>28179.722233067132</v>
      </c>
      <c r="T1215" s="147">
        <f t="shared" si="771"/>
        <v>28314.82472793628</v>
      </c>
      <c r="U1215" s="147">
        <f t="shared" si="771"/>
        <v>28450.307806891178</v>
      </c>
      <c r="V1215" s="147">
        <f t="shared" si="771"/>
        <v>28449.657243590722</v>
      </c>
      <c r="W1215" s="147">
        <f t="shared" si="771"/>
        <v>28079.819022690361</v>
      </c>
      <c r="X1215" s="147">
        <f t="shared" si="771"/>
        <v>28442.537447755141</v>
      </c>
      <c r="Y1215" s="147">
        <f t="shared" si="771"/>
        <v>28296.712107613486</v>
      </c>
      <c r="Z1215" s="147">
        <f t="shared" si="771"/>
        <v>28412.632037327978</v>
      </c>
      <c r="AA1215" s="147">
        <f t="shared" si="771"/>
        <v>28291.913524581552</v>
      </c>
      <c r="AB1215" s="147">
        <f t="shared" si="771"/>
        <v>28410.533095553503</v>
      </c>
      <c r="AC1215" s="147">
        <f t="shared" si="771"/>
        <v>28406.84430272978</v>
      </c>
      <c r="AD1215" s="147">
        <f t="shared" si="771"/>
        <v>28287.12172623476</v>
      </c>
      <c r="AE1215" s="147">
        <f t="shared" si="771"/>
        <v>28404.264817372296</v>
      </c>
      <c r="AF1215" s="147">
        <f t="shared" si="771"/>
        <v>28284.399864962601</v>
      </c>
      <c r="AG1215" s="147">
        <f t="shared" si="771"/>
        <v>28402.117882378272</v>
      </c>
    </row>
    <row r="1216" spans="1:33" ht="14.25" customHeight="1" x14ac:dyDescent="0.35">
      <c r="A1216" s="21"/>
      <c r="B1216" s="21"/>
      <c r="C1216" s="21"/>
      <c r="D1216" s="128" t="s">
        <v>4384</v>
      </c>
      <c r="E1216" s="128"/>
      <c r="F1216" s="21"/>
      <c r="G1216" s="21"/>
      <c r="H1216" s="21"/>
      <c r="I1216" s="22" t="s">
        <v>13</v>
      </c>
      <c r="J1216" s="122">
        <f t="shared" ref="J1216:AG1216" si="772">IF((J1204+J1210)=0,0,J1204/(J1204+J1210))</f>
        <v>0.20698340770940848</v>
      </c>
      <c r="K1216" s="122">
        <f t="shared" si="772"/>
        <v>0.21650489506015749</v>
      </c>
      <c r="L1216" s="122">
        <f t="shared" si="772"/>
        <v>0.24700665973997518</v>
      </c>
      <c r="M1216" s="122">
        <f t="shared" si="772"/>
        <v>0.26879629119977166</v>
      </c>
      <c r="N1216" s="122">
        <f t="shared" si="772"/>
        <v>0.22120632714254146</v>
      </c>
      <c r="O1216" s="122">
        <f t="shared" si="772"/>
        <v>0.19243664371948635</v>
      </c>
      <c r="P1216" s="122">
        <f t="shared" si="772"/>
        <v>0.19059866381863907</v>
      </c>
      <c r="Q1216" s="122">
        <f t="shared" si="772"/>
        <v>0.16883172891277673</v>
      </c>
      <c r="R1216" s="126">
        <f t="shared" si="772"/>
        <v>0.21123606245341672</v>
      </c>
      <c r="S1216" s="126">
        <f t="shared" si="772"/>
        <v>0.21307255093931435</v>
      </c>
      <c r="T1216" s="126">
        <f t="shared" si="772"/>
        <v>0.20714680445775793</v>
      </c>
      <c r="U1216" s="126">
        <f t="shared" si="772"/>
        <v>0.21027651165747008</v>
      </c>
      <c r="V1216" s="126">
        <f t="shared" si="772"/>
        <v>0.21014442049361709</v>
      </c>
      <c r="W1216" s="126">
        <f t="shared" si="772"/>
        <v>0.20003658215373252</v>
      </c>
      <c r="X1216" s="126">
        <f t="shared" si="772"/>
        <v>0.21008192510056664</v>
      </c>
      <c r="Y1216" s="126">
        <f t="shared" si="772"/>
        <v>0.20601822167612735</v>
      </c>
      <c r="Z1216" s="126">
        <f t="shared" si="772"/>
        <v>0.20930503054855734</v>
      </c>
      <c r="AA1216" s="126">
        <f t="shared" si="772"/>
        <v>0.2058970805097339</v>
      </c>
      <c r="AB1216" s="126">
        <f t="shared" si="772"/>
        <v>0.20921946004010991</v>
      </c>
      <c r="AC1216" s="126">
        <f t="shared" si="772"/>
        <v>0.20912354420672566</v>
      </c>
      <c r="AD1216" s="126">
        <f t="shared" si="772"/>
        <v>0.20576940959129053</v>
      </c>
      <c r="AE1216" s="126">
        <f t="shared" si="772"/>
        <v>0.20904719923689086</v>
      </c>
      <c r="AF1216" s="126">
        <f t="shared" si="772"/>
        <v>0.20569601542611188</v>
      </c>
      <c r="AG1216" s="126">
        <f t="shared" si="772"/>
        <v>0.20898690262615818</v>
      </c>
    </row>
    <row r="1217" spans="1:33" ht="14.25" customHeight="1" x14ac:dyDescent="0.35">
      <c r="A1217" s="21"/>
      <c r="B1217" s="21"/>
      <c r="C1217" s="21" t="s">
        <v>4385</v>
      </c>
      <c r="D1217" s="21"/>
      <c r="E1217" s="21"/>
      <c r="F1217" s="21"/>
      <c r="G1217" s="21"/>
      <c r="H1217" s="21"/>
      <c r="I1217" s="22"/>
      <c r="J1217" s="21"/>
      <c r="K1217" s="21"/>
      <c r="L1217" s="21"/>
      <c r="M1217" s="21"/>
      <c r="N1217" s="21"/>
      <c r="O1217" s="21"/>
      <c r="P1217" s="60"/>
      <c r="Q1217" s="21"/>
      <c r="R1217" s="21"/>
      <c r="S1217" s="21"/>
      <c r="T1217" s="21"/>
      <c r="U1217" s="21"/>
      <c r="V1217" s="21"/>
      <c r="W1217" s="21"/>
      <c r="X1217" s="21"/>
      <c r="Y1217" s="21"/>
      <c r="Z1217" s="21"/>
      <c r="AA1217" s="21"/>
      <c r="AB1217" s="21"/>
      <c r="AC1217" s="21"/>
      <c r="AD1217" s="21"/>
      <c r="AE1217" s="21"/>
      <c r="AF1217" s="21"/>
      <c r="AG1217" s="21"/>
    </row>
    <row r="1218" spans="1:33" ht="14.25" customHeight="1" x14ac:dyDescent="0.35">
      <c r="A1218" s="21"/>
      <c r="B1218" s="21"/>
      <c r="C1218" s="21"/>
      <c r="D1218" s="128" t="s">
        <v>4386</v>
      </c>
      <c r="E1218" s="128"/>
      <c r="F1218" s="21"/>
      <c r="G1218" s="21"/>
      <c r="H1218" s="21"/>
      <c r="I1218" s="22" t="s">
        <v>3915</v>
      </c>
      <c r="J1218" s="132">
        <f t="shared" ref="J1218:AG1218" si="773">J1214</f>
        <v>15867.33831483937</v>
      </c>
      <c r="K1218" s="132">
        <f t="shared" si="773"/>
        <v>16012.673101164015</v>
      </c>
      <c r="L1218" s="132">
        <f t="shared" si="773"/>
        <v>17495.332042546499</v>
      </c>
      <c r="M1218" s="132">
        <f t="shared" si="773"/>
        <v>18548.207841024054</v>
      </c>
      <c r="N1218" s="132">
        <f t="shared" si="773"/>
        <v>19615.463425465408</v>
      </c>
      <c r="O1218" s="132">
        <f t="shared" si="773"/>
        <v>20642.341422780431</v>
      </c>
      <c r="P1218" s="132">
        <f t="shared" si="773"/>
        <v>21081.538952748582</v>
      </c>
      <c r="Q1218" s="132">
        <f t="shared" si="773"/>
        <v>20341.31427841667</v>
      </c>
      <c r="R1218" s="140">
        <f t="shared" si="773"/>
        <v>21960.046000905721</v>
      </c>
      <c r="S1218" s="140">
        <f t="shared" si="773"/>
        <v>22175.396932106207</v>
      </c>
      <c r="T1218" s="140">
        <f t="shared" si="773"/>
        <v>22449.499266762774</v>
      </c>
      <c r="U1218" s="140">
        <f t="shared" si="773"/>
        <v>22467.876325676814</v>
      </c>
      <c r="V1218" s="140">
        <f t="shared" si="773"/>
        <v>22471.120508894313</v>
      </c>
      <c r="W1218" s="140">
        <f t="shared" si="773"/>
        <v>22462.82799789602</v>
      </c>
      <c r="X1218" s="140">
        <f t="shared" si="773"/>
        <v>22467.274425985783</v>
      </c>
      <c r="Y1218" s="140">
        <f t="shared" si="773"/>
        <v>22467.073799921614</v>
      </c>
      <c r="Z1218" s="140">
        <f t="shared" si="773"/>
        <v>22465.725220790126</v>
      </c>
      <c r="AA1218" s="140">
        <f t="shared" si="773"/>
        <v>22466.691127836355</v>
      </c>
      <c r="AB1218" s="140">
        <f t="shared" si="773"/>
        <v>22466.496701850127</v>
      </c>
      <c r="AC1218" s="140">
        <f t="shared" si="773"/>
        <v>22466.304342414296</v>
      </c>
      <c r="AD1218" s="140">
        <f t="shared" si="773"/>
        <v>22466.497389590466</v>
      </c>
      <c r="AE1218" s="140">
        <f t="shared" si="773"/>
        <v>22466.43281091766</v>
      </c>
      <c r="AF1218" s="140">
        <f t="shared" si="773"/>
        <v>22466.411514020936</v>
      </c>
      <c r="AG1218" s="140">
        <f t="shared" si="773"/>
        <v>22466.44723811702</v>
      </c>
    </row>
    <row r="1219" spans="1:33" ht="14.25" customHeight="1" x14ac:dyDescent="0.35">
      <c r="A1219" s="21"/>
      <c r="B1219" s="21"/>
      <c r="C1219" s="21" t="s">
        <v>4387</v>
      </c>
      <c r="D1219" s="128"/>
      <c r="E1219" s="128"/>
      <c r="F1219" s="21"/>
      <c r="G1219" s="21"/>
      <c r="H1219" s="21"/>
      <c r="I1219" s="22" t="s">
        <v>3915</v>
      </c>
      <c r="J1219" s="132">
        <f t="shared" ref="J1219:AG1219" si="774">IF(J513=0,0,J566/J513)</f>
        <v>20080.73068885809</v>
      </c>
      <c r="K1219" s="132">
        <f t="shared" si="774"/>
        <v>19435.032367874541</v>
      </c>
      <c r="L1219" s="132">
        <f t="shared" si="774"/>
        <v>21955.944763493135</v>
      </c>
      <c r="M1219" s="132">
        <f t="shared" si="774"/>
        <v>24201.26534217878</v>
      </c>
      <c r="N1219" s="132">
        <f t="shared" si="774"/>
        <v>23977.711187707875</v>
      </c>
      <c r="O1219" s="132">
        <f t="shared" si="774"/>
        <v>24655.968937723865</v>
      </c>
      <c r="P1219" s="132">
        <f t="shared" si="774"/>
        <v>25090.032041366983</v>
      </c>
      <c r="Q1219" s="132">
        <f t="shared" si="774"/>
        <v>23410.699479141251</v>
      </c>
      <c r="R1219" s="140">
        <f t="shared" si="774"/>
        <v>25530.194465501863</v>
      </c>
      <c r="S1219" s="140">
        <f t="shared" si="774"/>
        <v>25804.998011559543</v>
      </c>
      <c r="T1219" s="140">
        <f t="shared" si="774"/>
        <v>26040.783635905635</v>
      </c>
      <c r="U1219" s="140">
        <f t="shared" si="774"/>
        <v>26046.301776530028</v>
      </c>
      <c r="V1219" s="140">
        <f t="shared" si="774"/>
        <v>26044.387046519929</v>
      </c>
      <c r="W1219" s="140">
        <f t="shared" si="774"/>
        <v>26030.862475929127</v>
      </c>
      <c r="X1219" s="140">
        <f t="shared" si="774"/>
        <v>26033.426330916554</v>
      </c>
      <c r="Y1219" s="140">
        <f t="shared" si="774"/>
        <v>26014.389410582004</v>
      </c>
      <c r="Z1219" s="140">
        <f t="shared" si="774"/>
        <v>26012.768846142179</v>
      </c>
      <c r="AA1219" s="140">
        <f t="shared" si="774"/>
        <v>26007.284181721134</v>
      </c>
      <c r="AB1219" s="140">
        <f t="shared" si="774"/>
        <v>26004.165275394938</v>
      </c>
      <c r="AC1219" s="140">
        <f t="shared" si="774"/>
        <v>25999.699524827072</v>
      </c>
      <c r="AD1219" s="140">
        <f t="shared" si="774"/>
        <v>25999.825587830728</v>
      </c>
      <c r="AE1219" s="140">
        <f t="shared" si="774"/>
        <v>25997.831676502876</v>
      </c>
      <c r="AF1219" s="140">
        <f t="shared" si="774"/>
        <v>25997.919044881361</v>
      </c>
      <c r="AG1219" s="140">
        <f t="shared" si="774"/>
        <v>25996.782522820344</v>
      </c>
    </row>
    <row r="1220" spans="1:33" ht="14.25" customHeight="1" x14ac:dyDescent="0.35">
      <c r="A1220" s="21"/>
      <c r="B1220" s="21"/>
      <c r="C1220" s="21"/>
      <c r="D1220" s="128" t="s">
        <v>4388</v>
      </c>
      <c r="E1220" s="128"/>
      <c r="F1220" s="21"/>
      <c r="G1220" s="21"/>
      <c r="H1220" s="21"/>
      <c r="I1220" s="22" t="s">
        <v>3856</v>
      </c>
      <c r="J1220" s="198">
        <f t="shared" ref="J1220:AG1220" si="775">IF(J1218=0,0,J1219/J1218)</f>
        <v>1.2655386990821449</v>
      </c>
      <c r="K1220" s="198">
        <f t="shared" si="775"/>
        <v>1.2137281667519799</v>
      </c>
      <c r="L1220" s="198">
        <f t="shared" si="775"/>
        <v>1.2549601636653123</v>
      </c>
      <c r="M1220" s="198">
        <f t="shared" si="775"/>
        <v>1.3047764802727495</v>
      </c>
      <c r="N1220" s="198">
        <f t="shared" si="775"/>
        <v>1.2223882081001085</v>
      </c>
      <c r="O1220" s="198">
        <f t="shared" si="775"/>
        <v>1.1944366403374223</v>
      </c>
      <c r="P1220" s="198">
        <f t="shared" si="775"/>
        <v>1.1901423372175484</v>
      </c>
      <c r="Q1220" s="198">
        <f t="shared" si="775"/>
        <v>1.1508941437467184</v>
      </c>
      <c r="R1220" s="199">
        <f t="shared" si="775"/>
        <v>1.162574726138957</v>
      </c>
      <c r="S1220" s="199">
        <f t="shared" si="775"/>
        <v>1.163676938481236</v>
      </c>
      <c r="T1220" s="199">
        <f t="shared" si="775"/>
        <v>1.1599716914158471</v>
      </c>
      <c r="U1220" s="199">
        <f t="shared" si="775"/>
        <v>1.1592685218212504</v>
      </c>
      <c r="V1220" s="199">
        <f t="shared" si="775"/>
        <v>1.1590159483240401</v>
      </c>
      <c r="W1220" s="199">
        <f t="shared" si="775"/>
        <v>1.1588417308082182</v>
      </c>
      <c r="X1220" s="199">
        <f t="shared" si="775"/>
        <v>1.1587265031492266</v>
      </c>
      <c r="Y1220" s="199">
        <f t="shared" si="775"/>
        <v>1.1578895250111638</v>
      </c>
      <c r="Z1220" s="199">
        <f t="shared" si="775"/>
        <v>1.1578868961714872</v>
      </c>
      <c r="AA1220" s="199">
        <f t="shared" si="775"/>
        <v>1.157592991052339</v>
      </c>
      <c r="AB1220" s="199">
        <f t="shared" si="775"/>
        <v>1.157464184135726</v>
      </c>
      <c r="AC1220" s="199">
        <f t="shared" si="775"/>
        <v>1.1572753190092797</v>
      </c>
      <c r="AD1220" s="199">
        <f t="shared" si="775"/>
        <v>1.1572709860806953</v>
      </c>
      <c r="AE1220" s="199">
        <f t="shared" si="775"/>
        <v>1.1571855619139109</v>
      </c>
      <c r="AF1220" s="199">
        <f t="shared" si="775"/>
        <v>1.1571905477052473</v>
      </c>
      <c r="AG1220" s="199">
        <f t="shared" si="775"/>
        <v>1.1571381201169042</v>
      </c>
    </row>
    <row r="1221" spans="1:33" ht="14.25" customHeight="1" x14ac:dyDescent="0.35">
      <c r="A1221" s="21"/>
      <c r="B1221" s="21"/>
      <c r="C1221" s="21"/>
      <c r="D1221" s="128" t="s">
        <v>4389</v>
      </c>
      <c r="E1221" s="128"/>
      <c r="F1221" s="21"/>
      <c r="G1221" s="21"/>
      <c r="H1221" s="21"/>
      <c r="I1221" s="22" t="s">
        <v>3915</v>
      </c>
      <c r="J1221" s="132">
        <f t="shared" ref="J1221:Q1221" si="776">IF(J1212=0,0,J80/J1212)</f>
        <v>25039.26989263808</v>
      </c>
      <c r="K1221" s="132">
        <f t="shared" si="776"/>
        <v>26179.172848980983</v>
      </c>
      <c r="L1221" s="132">
        <f t="shared" si="776"/>
        <v>27133.620451799845</v>
      </c>
      <c r="M1221" s="132">
        <f t="shared" si="776"/>
        <v>28155.088332329353</v>
      </c>
      <c r="N1221" s="132">
        <f t="shared" si="776"/>
        <v>28832.425650379188</v>
      </c>
      <c r="O1221" s="132">
        <f t="shared" si="776"/>
        <v>30749.424751078925</v>
      </c>
      <c r="P1221" s="132">
        <f t="shared" si="776"/>
        <v>31312.037089532449</v>
      </c>
      <c r="Q1221" s="132">
        <f t="shared" si="776"/>
        <v>29245.810356210895</v>
      </c>
      <c r="R1221" s="140">
        <v>28100</v>
      </c>
      <c r="S1221" s="140">
        <v>28100</v>
      </c>
      <c r="T1221" s="140">
        <v>28100</v>
      </c>
      <c r="U1221" s="140">
        <v>28100</v>
      </c>
      <c r="V1221" s="140">
        <v>28100</v>
      </c>
      <c r="W1221" s="140">
        <v>28100</v>
      </c>
      <c r="X1221" s="140">
        <v>28100</v>
      </c>
      <c r="Y1221" s="140">
        <v>28100</v>
      </c>
      <c r="Z1221" s="140">
        <v>28100</v>
      </c>
      <c r="AA1221" s="140">
        <v>28100</v>
      </c>
      <c r="AB1221" s="140">
        <v>28100</v>
      </c>
      <c r="AC1221" s="140">
        <v>28100</v>
      </c>
      <c r="AD1221" s="140">
        <v>28100</v>
      </c>
      <c r="AE1221" s="140">
        <v>28100</v>
      </c>
      <c r="AF1221" s="140">
        <v>28100</v>
      </c>
      <c r="AG1221" s="140">
        <v>28100</v>
      </c>
    </row>
    <row r="1222" spans="1:33" ht="14.25" customHeight="1" x14ac:dyDescent="0.35">
      <c r="A1222" s="21"/>
      <c r="B1222" s="21"/>
      <c r="C1222" s="21"/>
      <c r="D1222" s="128" t="s">
        <v>4390</v>
      </c>
      <c r="E1222" s="128"/>
      <c r="F1222" s="21"/>
      <c r="G1222" s="21"/>
      <c r="H1222" s="21"/>
      <c r="I1222" s="22" t="s">
        <v>3915</v>
      </c>
      <c r="J1222" s="132">
        <f t="shared" ref="J1222:AG1222" si="777">J1221-J1218</f>
        <v>9171.9315777987104</v>
      </c>
      <c r="K1222" s="132">
        <f t="shared" si="777"/>
        <v>10166.499747816968</v>
      </c>
      <c r="L1222" s="132">
        <f t="shared" si="777"/>
        <v>9638.2884092533459</v>
      </c>
      <c r="M1222" s="132">
        <f t="shared" si="777"/>
        <v>9606.8804913052991</v>
      </c>
      <c r="N1222" s="132">
        <f t="shared" si="777"/>
        <v>9216.9622249137792</v>
      </c>
      <c r="O1222" s="132">
        <f t="shared" si="777"/>
        <v>10107.083328298493</v>
      </c>
      <c r="P1222" s="132">
        <f t="shared" si="777"/>
        <v>10230.498136783866</v>
      </c>
      <c r="Q1222" s="132">
        <f t="shared" si="777"/>
        <v>8904.4960777942251</v>
      </c>
      <c r="R1222" s="140">
        <f t="shared" si="777"/>
        <v>6139.9539990942794</v>
      </c>
      <c r="S1222" s="140">
        <f t="shared" si="777"/>
        <v>5924.6030678937932</v>
      </c>
      <c r="T1222" s="140">
        <f t="shared" si="777"/>
        <v>5650.5007332372261</v>
      </c>
      <c r="U1222" s="140">
        <f t="shared" si="777"/>
        <v>5632.1236743231857</v>
      </c>
      <c r="V1222" s="140">
        <f t="shared" si="777"/>
        <v>5628.8794911056866</v>
      </c>
      <c r="W1222" s="140">
        <f t="shared" si="777"/>
        <v>5637.17200210398</v>
      </c>
      <c r="X1222" s="140">
        <f t="shared" si="777"/>
        <v>5632.7255740142173</v>
      </c>
      <c r="Y1222" s="140">
        <f t="shared" si="777"/>
        <v>5632.9262000783856</v>
      </c>
      <c r="Z1222" s="140">
        <f t="shared" si="777"/>
        <v>5634.2747792098744</v>
      </c>
      <c r="AA1222" s="140">
        <f t="shared" si="777"/>
        <v>5633.308872163645</v>
      </c>
      <c r="AB1222" s="140">
        <f t="shared" si="777"/>
        <v>5633.5032981498734</v>
      </c>
      <c r="AC1222" s="140">
        <f t="shared" si="777"/>
        <v>5633.6956575857039</v>
      </c>
      <c r="AD1222" s="140">
        <f t="shared" si="777"/>
        <v>5633.5026104095341</v>
      </c>
      <c r="AE1222" s="140">
        <f t="shared" si="777"/>
        <v>5633.5671890823396</v>
      </c>
      <c r="AF1222" s="140">
        <f t="shared" si="777"/>
        <v>5633.588485979064</v>
      </c>
      <c r="AG1222" s="140">
        <f t="shared" si="777"/>
        <v>5633.5527618829801</v>
      </c>
    </row>
    <row r="1223" spans="1:33" ht="14.25" customHeight="1" x14ac:dyDescent="0.35">
      <c r="A1223" s="21"/>
      <c r="B1223" s="21"/>
      <c r="C1223" s="21"/>
      <c r="D1223" s="128" t="s">
        <v>4391</v>
      </c>
      <c r="E1223" s="128"/>
      <c r="F1223" s="21"/>
      <c r="G1223" s="21"/>
      <c r="H1223" s="21"/>
      <c r="I1223" s="22" t="s">
        <v>3915</v>
      </c>
      <c r="J1223" s="132">
        <f t="shared" ref="J1223:AG1223" si="778">J1221-J1219</f>
        <v>4958.5392037799902</v>
      </c>
      <c r="K1223" s="132">
        <f t="shared" si="778"/>
        <v>6744.1404811064422</v>
      </c>
      <c r="L1223" s="132">
        <f t="shared" si="778"/>
        <v>5177.6756883067101</v>
      </c>
      <c r="M1223" s="132">
        <f t="shared" si="778"/>
        <v>3953.8229901505729</v>
      </c>
      <c r="N1223" s="132">
        <f t="shared" si="778"/>
        <v>4854.7144626713125</v>
      </c>
      <c r="O1223" s="132">
        <f t="shared" si="778"/>
        <v>6093.4558133550599</v>
      </c>
      <c r="P1223" s="132">
        <f t="shared" si="778"/>
        <v>6222.0050481654653</v>
      </c>
      <c r="Q1223" s="132">
        <f t="shared" si="778"/>
        <v>5835.1108770696446</v>
      </c>
      <c r="R1223" s="140">
        <f t="shared" si="778"/>
        <v>2569.8055344981367</v>
      </c>
      <c r="S1223" s="140">
        <f t="shared" si="778"/>
        <v>2295.0019884404574</v>
      </c>
      <c r="T1223" s="140">
        <f t="shared" si="778"/>
        <v>2059.2163640943654</v>
      </c>
      <c r="U1223" s="140">
        <f t="shared" si="778"/>
        <v>2053.6982234699717</v>
      </c>
      <c r="V1223" s="140">
        <f t="shared" si="778"/>
        <v>2055.6129534800712</v>
      </c>
      <c r="W1223" s="140">
        <f t="shared" si="778"/>
        <v>2069.137524070873</v>
      </c>
      <c r="X1223" s="140">
        <f t="shared" si="778"/>
        <v>2066.5736690834456</v>
      </c>
      <c r="Y1223" s="140">
        <f t="shared" si="778"/>
        <v>2085.6105894179964</v>
      </c>
      <c r="Z1223" s="140">
        <f t="shared" si="778"/>
        <v>2087.2311538578215</v>
      </c>
      <c r="AA1223" s="140">
        <f t="shared" si="778"/>
        <v>2092.7158182788662</v>
      </c>
      <c r="AB1223" s="140">
        <f t="shared" si="778"/>
        <v>2095.8347246050616</v>
      </c>
      <c r="AC1223" s="140">
        <f t="shared" si="778"/>
        <v>2100.3004751729277</v>
      </c>
      <c r="AD1223" s="140">
        <f t="shared" si="778"/>
        <v>2100.1744121692718</v>
      </c>
      <c r="AE1223" s="140">
        <f t="shared" si="778"/>
        <v>2102.1683234971242</v>
      </c>
      <c r="AF1223" s="140">
        <f t="shared" si="778"/>
        <v>2102.0809551186394</v>
      </c>
      <c r="AG1223" s="140">
        <f t="shared" si="778"/>
        <v>2103.2174771796563</v>
      </c>
    </row>
    <row r="1224" spans="1:33" ht="14.25" customHeight="1" x14ac:dyDescent="0.35">
      <c r="A1224" s="21"/>
      <c r="B1224" s="21"/>
      <c r="C1224" s="21"/>
      <c r="D1224" s="128" t="s">
        <v>4392</v>
      </c>
      <c r="E1224" s="128"/>
      <c r="F1224" s="21"/>
      <c r="G1224" s="21"/>
      <c r="H1224" s="21"/>
      <c r="I1224" s="22"/>
      <c r="J1224" s="148"/>
      <c r="K1224" s="148"/>
      <c r="L1224" s="148"/>
      <c r="M1224" s="148"/>
      <c r="N1224" s="148"/>
      <c r="O1224" s="148"/>
      <c r="P1224" s="148"/>
      <c r="Q1224" s="148"/>
      <c r="R1224" s="195"/>
      <c r="S1224" s="195"/>
      <c r="T1224" s="195"/>
      <c r="U1224" s="195"/>
      <c r="V1224" s="195"/>
      <c r="W1224" s="195"/>
      <c r="X1224" s="195"/>
      <c r="Y1224" s="195"/>
      <c r="Z1224" s="195"/>
      <c r="AA1224" s="195"/>
      <c r="AB1224" s="195"/>
      <c r="AC1224" s="195"/>
      <c r="AD1224" s="195"/>
      <c r="AE1224" s="195"/>
      <c r="AF1224" s="195"/>
      <c r="AG1224" s="195"/>
    </row>
    <row r="1225" spans="1:33" ht="14.25" customHeight="1" x14ac:dyDescent="0.35">
      <c r="A1225" s="21"/>
      <c r="B1225" s="21"/>
      <c r="C1225" s="21" t="s">
        <v>4393</v>
      </c>
      <c r="D1225" s="21"/>
      <c r="E1225" s="21"/>
      <c r="F1225" s="21"/>
      <c r="G1225" s="21"/>
      <c r="H1225" s="21"/>
      <c r="I1225" s="22" t="s">
        <v>3915</v>
      </c>
      <c r="J1225" s="21"/>
      <c r="K1225" s="21"/>
      <c r="L1225" s="21"/>
      <c r="M1225" s="21"/>
      <c r="N1225" s="21"/>
      <c r="O1225" s="21"/>
      <c r="P1225" s="60"/>
      <c r="Q1225" s="21"/>
      <c r="R1225" s="21"/>
      <c r="S1225" s="21"/>
      <c r="T1225" s="21"/>
      <c r="U1225" s="21"/>
      <c r="V1225" s="21"/>
      <c r="W1225" s="21"/>
      <c r="X1225" s="21"/>
      <c r="Y1225" s="21"/>
      <c r="Z1225" s="21"/>
      <c r="AA1225" s="21"/>
      <c r="AB1225" s="21"/>
      <c r="AC1225" s="21"/>
      <c r="AD1225" s="21"/>
      <c r="AE1225" s="21"/>
      <c r="AF1225" s="21"/>
      <c r="AG1225" s="21"/>
    </row>
    <row r="1226" spans="1:33" ht="14.25" customHeight="1" x14ac:dyDescent="0.35">
      <c r="A1226" s="21"/>
      <c r="B1226" s="21"/>
      <c r="C1226" s="21"/>
      <c r="D1226" s="128" t="s">
        <v>4394</v>
      </c>
      <c r="E1226" s="128"/>
      <c r="F1226" s="21"/>
      <c r="G1226" s="21"/>
      <c r="H1226" s="21"/>
      <c r="I1226" s="22" t="s">
        <v>3915</v>
      </c>
      <c r="J1226" s="132">
        <f t="shared" ref="J1226:AG1226" si="779">IF(J1204=0,0,J1204/200000+J1214)</f>
        <v>23260.275347680941</v>
      </c>
      <c r="K1226" s="132">
        <f t="shared" si="779"/>
        <v>23147.523861983776</v>
      </c>
      <c r="L1226" s="132">
        <f t="shared" si="779"/>
        <v>24255.417629755513</v>
      </c>
      <c r="M1226" s="132">
        <f t="shared" si="779"/>
        <v>26499.854699957083</v>
      </c>
      <c r="N1226" s="132">
        <f t="shared" si="779"/>
        <v>26870.279064883838</v>
      </c>
      <c r="O1226" s="132">
        <f t="shared" si="779"/>
        <v>27136.787150065626</v>
      </c>
      <c r="P1226" s="132">
        <f t="shared" si="779"/>
        <v>27867.5544421995</v>
      </c>
      <c r="Q1226" s="132">
        <f t="shared" si="779"/>
        <v>26912.395491357354</v>
      </c>
      <c r="R1226" s="140">
        <f t="shared" si="779"/>
        <v>30145.677369877114</v>
      </c>
      <c r="S1226" s="140">
        <f t="shared" si="779"/>
        <v>30532.622677577587</v>
      </c>
      <c r="T1226" s="140">
        <f t="shared" si="779"/>
        <v>30613.255641162286</v>
      </c>
      <c r="U1226" s="140">
        <f t="shared" si="779"/>
        <v>30794.628773170254</v>
      </c>
      <c r="V1226" s="140">
        <f t="shared" si="779"/>
        <v>30792.45198496458</v>
      </c>
      <c r="W1226" s="140">
        <f t="shared" si="779"/>
        <v>30280.935720503974</v>
      </c>
      <c r="X1226" s="140">
        <f t="shared" si="779"/>
        <v>30784.049327156143</v>
      </c>
      <c r="Y1226" s="140">
        <f t="shared" si="779"/>
        <v>30581.158382252903</v>
      </c>
      <c r="Z1226" s="140">
        <f t="shared" si="779"/>
        <v>30743.032039115824</v>
      </c>
      <c r="AA1226" s="140">
        <f t="shared" si="779"/>
        <v>30574.629346870614</v>
      </c>
      <c r="AB1226" s="140">
        <f t="shared" si="779"/>
        <v>30739.808271682406</v>
      </c>
      <c r="AC1226" s="140">
        <f t="shared" si="779"/>
        <v>30734.749339957107</v>
      </c>
      <c r="AD1226" s="140">
        <f t="shared" si="779"/>
        <v>30568.035717824612</v>
      </c>
      <c r="AE1226" s="140">
        <f t="shared" si="779"/>
        <v>30731.10869526472</v>
      </c>
      <c r="AF1226" s="140">
        <f t="shared" si="779"/>
        <v>30564.28089920578</v>
      </c>
      <c r="AG1226" s="140">
        <f t="shared" si="779"/>
        <v>30728.114792491528</v>
      </c>
    </row>
    <row r="1227" spans="1:33" ht="14.25" customHeight="1" x14ac:dyDescent="0.35">
      <c r="A1227" s="21"/>
      <c r="B1227" s="21"/>
      <c r="C1227" s="21"/>
      <c r="D1227" s="128" t="s">
        <v>4395</v>
      </c>
      <c r="E1227" s="128"/>
      <c r="F1227" s="21"/>
      <c r="G1227" s="21"/>
      <c r="H1227" s="21"/>
      <c r="I1227" s="22" t="s">
        <v>3915</v>
      </c>
      <c r="J1227" s="132">
        <f t="shared" ref="J1227:AG1227" si="780">IF(J1204=0,0,J1204/250000+J1214)</f>
        <v>21781.687941112625</v>
      </c>
      <c r="K1227" s="132">
        <f t="shared" si="780"/>
        <v>21720.553709819826</v>
      </c>
      <c r="L1227" s="132">
        <f t="shared" si="780"/>
        <v>22903.40051231371</v>
      </c>
      <c r="M1227" s="132">
        <f t="shared" si="780"/>
        <v>24909.525328170479</v>
      </c>
      <c r="N1227" s="132">
        <f t="shared" si="780"/>
        <v>25419.315937000152</v>
      </c>
      <c r="O1227" s="132">
        <f t="shared" si="780"/>
        <v>25837.898004608585</v>
      </c>
      <c r="P1227" s="132">
        <f t="shared" si="780"/>
        <v>26510.351344309318</v>
      </c>
      <c r="Q1227" s="132">
        <f t="shared" si="780"/>
        <v>25598.179248769218</v>
      </c>
      <c r="R1227" s="140">
        <f t="shared" si="780"/>
        <v>28508.551096082836</v>
      </c>
      <c r="S1227" s="140">
        <f t="shared" si="780"/>
        <v>28861.177528483309</v>
      </c>
      <c r="T1227" s="140">
        <f t="shared" si="780"/>
        <v>28980.504366282381</v>
      </c>
      <c r="U1227" s="140">
        <f t="shared" si="780"/>
        <v>29129.278283671567</v>
      </c>
      <c r="V1227" s="140">
        <f t="shared" si="780"/>
        <v>29128.185689750528</v>
      </c>
      <c r="W1227" s="140">
        <f t="shared" si="780"/>
        <v>28717.314175982385</v>
      </c>
      <c r="X1227" s="140">
        <f t="shared" si="780"/>
        <v>29120.694346922071</v>
      </c>
      <c r="Y1227" s="140">
        <f t="shared" si="780"/>
        <v>28958.341465786645</v>
      </c>
      <c r="Z1227" s="140">
        <f t="shared" si="780"/>
        <v>29087.570675450686</v>
      </c>
      <c r="AA1227" s="140">
        <f t="shared" si="780"/>
        <v>28953.041703063762</v>
      </c>
      <c r="AB1227" s="140">
        <f t="shared" si="780"/>
        <v>29085.145957715951</v>
      </c>
      <c r="AC1227" s="140">
        <f t="shared" si="780"/>
        <v>29081.060340448545</v>
      </c>
      <c r="AD1227" s="140">
        <f t="shared" si="780"/>
        <v>28947.728052177783</v>
      </c>
      <c r="AE1227" s="140">
        <f t="shared" si="780"/>
        <v>29078.173518395306</v>
      </c>
      <c r="AF1227" s="140">
        <f t="shared" si="780"/>
        <v>28944.707022168812</v>
      </c>
      <c r="AG1227" s="140">
        <f t="shared" si="780"/>
        <v>29075.781281616626</v>
      </c>
    </row>
    <row r="1228" spans="1:33" ht="14.25" customHeight="1" x14ac:dyDescent="0.35">
      <c r="A1228" s="21"/>
      <c r="B1228" s="21"/>
      <c r="C1228" s="21"/>
      <c r="D1228" s="128" t="s">
        <v>4396</v>
      </c>
      <c r="E1228" s="128"/>
      <c r="F1228" s="21"/>
      <c r="G1228" s="21"/>
      <c r="H1228" s="21"/>
      <c r="I1228" s="22" t="s">
        <v>3915</v>
      </c>
      <c r="J1228" s="132">
        <f t="shared" ref="J1228:AG1228" si="781">IF(J1204=0,0,J1204/300000+J1214)</f>
        <v>20795.963003400415</v>
      </c>
      <c r="K1228" s="132">
        <f t="shared" si="781"/>
        <v>20769.240275043856</v>
      </c>
      <c r="L1228" s="132">
        <f t="shared" si="781"/>
        <v>22002.055767352511</v>
      </c>
      <c r="M1228" s="132">
        <f t="shared" si="781"/>
        <v>23849.305746979408</v>
      </c>
      <c r="N1228" s="132">
        <f t="shared" si="781"/>
        <v>24452.007185077695</v>
      </c>
      <c r="O1228" s="132">
        <f t="shared" si="781"/>
        <v>24971.971907637228</v>
      </c>
      <c r="P1228" s="132">
        <f t="shared" si="781"/>
        <v>25605.549279049195</v>
      </c>
      <c r="Q1228" s="132">
        <f t="shared" si="781"/>
        <v>24722.035087043791</v>
      </c>
      <c r="R1228" s="140">
        <f t="shared" si="781"/>
        <v>27417.133580219983</v>
      </c>
      <c r="S1228" s="140">
        <f t="shared" si="781"/>
        <v>27746.88076242046</v>
      </c>
      <c r="T1228" s="140">
        <f t="shared" si="781"/>
        <v>27892.003516362449</v>
      </c>
      <c r="U1228" s="140">
        <f t="shared" si="781"/>
        <v>28019.044624005775</v>
      </c>
      <c r="V1228" s="140">
        <f t="shared" si="781"/>
        <v>28018.674826274491</v>
      </c>
      <c r="W1228" s="140">
        <f t="shared" si="781"/>
        <v>27674.899812967989</v>
      </c>
      <c r="X1228" s="140">
        <f t="shared" si="781"/>
        <v>28011.791026766023</v>
      </c>
      <c r="Y1228" s="140">
        <f t="shared" si="781"/>
        <v>27876.463521475809</v>
      </c>
      <c r="Z1228" s="140">
        <f t="shared" si="781"/>
        <v>27983.929766340592</v>
      </c>
      <c r="AA1228" s="140">
        <f t="shared" si="781"/>
        <v>27871.983273859194</v>
      </c>
      <c r="AB1228" s="140">
        <f t="shared" si="781"/>
        <v>27982.037748404979</v>
      </c>
      <c r="AC1228" s="140">
        <f t="shared" si="781"/>
        <v>27978.601007442838</v>
      </c>
      <c r="AD1228" s="140">
        <f t="shared" si="781"/>
        <v>27867.522941746563</v>
      </c>
      <c r="AE1228" s="140">
        <f t="shared" si="781"/>
        <v>27976.216733815701</v>
      </c>
      <c r="AF1228" s="140">
        <f t="shared" si="781"/>
        <v>27864.991104144166</v>
      </c>
      <c r="AG1228" s="140">
        <f t="shared" si="781"/>
        <v>27974.225607700027</v>
      </c>
    </row>
    <row r="1229" spans="1:33" ht="14.25" customHeight="1" x14ac:dyDescent="0.35">
      <c r="A1229" s="21"/>
      <c r="B1229" s="21"/>
      <c r="C1229" s="21"/>
      <c r="D1229" s="128" t="s">
        <v>4397</v>
      </c>
      <c r="E1229" s="128"/>
      <c r="F1229" s="21"/>
      <c r="G1229" s="21"/>
      <c r="H1229" s="21"/>
      <c r="I1229" s="22" t="s">
        <v>3915</v>
      </c>
      <c r="J1229" s="132">
        <f t="shared" ref="J1229:AG1229" si="782">IF(J1204=0,0,J1204/350000+J1214)</f>
        <v>20091.873762177409</v>
      </c>
      <c r="K1229" s="132">
        <f t="shared" si="782"/>
        <v>20089.730678775308</v>
      </c>
      <c r="L1229" s="132">
        <f t="shared" si="782"/>
        <v>21358.238092380223</v>
      </c>
      <c r="M1229" s="132">
        <f t="shared" si="782"/>
        <v>23092.006046128641</v>
      </c>
      <c r="N1229" s="132">
        <f t="shared" si="782"/>
        <v>23761.07236227594</v>
      </c>
      <c r="O1229" s="132">
        <f t="shared" si="782"/>
        <v>24353.453266943397</v>
      </c>
      <c r="P1229" s="132">
        <f t="shared" si="782"/>
        <v>24959.262089577678</v>
      </c>
      <c r="Q1229" s="132">
        <f t="shared" si="782"/>
        <v>24096.21782866849</v>
      </c>
      <c r="R1229" s="140">
        <f t="shared" si="782"/>
        <v>26637.549640317946</v>
      </c>
      <c r="S1229" s="140">
        <f t="shared" si="782"/>
        <v>26950.954500946995</v>
      </c>
      <c r="T1229" s="140">
        <f t="shared" si="782"/>
        <v>27114.50290927678</v>
      </c>
      <c r="U1229" s="140">
        <f t="shared" si="782"/>
        <v>27226.020581387351</v>
      </c>
      <c r="V1229" s="140">
        <f t="shared" si="782"/>
        <v>27226.167066648752</v>
      </c>
      <c r="W1229" s="140">
        <f t="shared" si="782"/>
        <v>26930.318125100566</v>
      </c>
      <c r="X1229" s="140">
        <f t="shared" si="782"/>
        <v>27219.71722665456</v>
      </c>
      <c r="Y1229" s="140">
        <f t="shared" si="782"/>
        <v>27103.693561253778</v>
      </c>
      <c r="Z1229" s="140">
        <f t="shared" si="782"/>
        <v>27195.614831261955</v>
      </c>
      <c r="AA1229" s="140">
        <f t="shared" si="782"/>
        <v>27099.798681570217</v>
      </c>
      <c r="AB1229" s="140">
        <f t="shared" si="782"/>
        <v>27194.103313182859</v>
      </c>
      <c r="AC1229" s="140">
        <f t="shared" si="782"/>
        <v>27191.1300552959</v>
      </c>
      <c r="AD1229" s="140">
        <f t="shared" si="782"/>
        <v>27095.94786286712</v>
      </c>
      <c r="AE1229" s="140">
        <f t="shared" si="782"/>
        <v>27189.104744830267</v>
      </c>
      <c r="AF1229" s="140">
        <f t="shared" si="782"/>
        <v>27093.765448412276</v>
      </c>
      <c r="AG1229" s="140">
        <f t="shared" si="782"/>
        <v>27187.400126331027</v>
      </c>
    </row>
    <row r="1230" spans="1:33" ht="14.25" customHeight="1" x14ac:dyDescent="0.35">
      <c r="A1230" s="21"/>
      <c r="B1230" s="21"/>
      <c r="C1230" s="21"/>
      <c r="D1230" s="128" t="s">
        <v>4398</v>
      </c>
      <c r="E1230" s="128"/>
      <c r="F1230" s="21"/>
      <c r="G1230" s="21"/>
      <c r="H1230" s="21"/>
      <c r="I1230" s="22" t="s">
        <v>3915</v>
      </c>
      <c r="J1230" s="132">
        <f t="shared" ref="J1230:AG1230" si="783">IF(J1204=0,0,J1204/400000+J1214)</f>
        <v>19563.806831260154</v>
      </c>
      <c r="K1230" s="132">
        <f t="shared" si="783"/>
        <v>19580.098481573896</v>
      </c>
      <c r="L1230" s="132">
        <f t="shared" si="783"/>
        <v>20875.374836151008</v>
      </c>
      <c r="M1230" s="132">
        <f t="shared" si="783"/>
        <v>22524.03127049057</v>
      </c>
      <c r="N1230" s="132">
        <f t="shared" si="783"/>
        <v>23242.871245174625</v>
      </c>
      <c r="O1230" s="132">
        <f t="shared" si="783"/>
        <v>23889.564286423029</v>
      </c>
      <c r="P1230" s="132">
        <f t="shared" si="783"/>
        <v>24474.546697474041</v>
      </c>
      <c r="Q1230" s="132">
        <f t="shared" si="783"/>
        <v>23626.854884887012</v>
      </c>
      <c r="R1230" s="140">
        <f t="shared" si="783"/>
        <v>26052.861685391417</v>
      </c>
      <c r="S1230" s="140">
        <f t="shared" si="783"/>
        <v>26354.009804841895</v>
      </c>
      <c r="T1230" s="140">
        <f t="shared" si="783"/>
        <v>26531.37745396253</v>
      </c>
      <c r="U1230" s="140">
        <f t="shared" si="783"/>
        <v>26631.252549423534</v>
      </c>
      <c r="V1230" s="140">
        <f t="shared" si="783"/>
        <v>26631.786246929445</v>
      </c>
      <c r="W1230" s="140">
        <f t="shared" si="783"/>
        <v>26371.881859199999</v>
      </c>
      <c r="X1230" s="140">
        <f t="shared" si="783"/>
        <v>26625.661876570965</v>
      </c>
      <c r="Y1230" s="140">
        <f t="shared" si="783"/>
        <v>26524.11609108726</v>
      </c>
      <c r="Z1230" s="140">
        <f t="shared" si="783"/>
        <v>26604.378629952975</v>
      </c>
      <c r="AA1230" s="140">
        <f t="shared" si="783"/>
        <v>26520.660237353484</v>
      </c>
      <c r="AB1230" s="140">
        <f t="shared" si="783"/>
        <v>26603.152486766267</v>
      </c>
      <c r="AC1230" s="140">
        <f t="shared" si="783"/>
        <v>26600.526841185703</v>
      </c>
      <c r="AD1230" s="140">
        <f t="shared" si="783"/>
        <v>26517.266553707537</v>
      </c>
      <c r="AE1230" s="140">
        <f t="shared" si="783"/>
        <v>26598.77075309119</v>
      </c>
      <c r="AF1230" s="140">
        <f t="shared" si="783"/>
        <v>26515.346206613358</v>
      </c>
      <c r="AG1230" s="140">
        <f t="shared" si="783"/>
        <v>26597.281015304274</v>
      </c>
    </row>
    <row r="1231" spans="1:33" ht="14.25" customHeight="1" x14ac:dyDescent="0.35">
      <c r="A1231" s="21"/>
      <c r="B1231" s="21"/>
      <c r="C1231" s="21" t="s">
        <v>4399</v>
      </c>
      <c r="D1231" s="21"/>
      <c r="E1231" s="21"/>
      <c r="F1231" s="21"/>
      <c r="G1231" s="21"/>
      <c r="H1231" s="21"/>
      <c r="I1231" s="22"/>
      <c r="J1231" s="21"/>
      <c r="K1231" s="21"/>
      <c r="L1231" s="21"/>
      <c r="M1231" s="21"/>
      <c r="N1231" s="21"/>
      <c r="O1231" s="21"/>
      <c r="P1231" s="60"/>
      <c r="Q1231" s="21"/>
      <c r="R1231" s="21"/>
      <c r="S1231" s="21"/>
      <c r="T1231" s="21"/>
      <c r="U1231" s="21"/>
      <c r="V1231" s="21"/>
      <c r="W1231" s="21"/>
      <c r="X1231" s="21"/>
      <c r="Y1231" s="21"/>
      <c r="Z1231" s="21"/>
      <c r="AA1231" s="21"/>
      <c r="AB1231" s="21"/>
      <c r="AC1231" s="21"/>
      <c r="AD1231" s="21"/>
      <c r="AE1231" s="21"/>
      <c r="AF1231" s="21"/>
      <c r="AG1231" s="21"/>
    </row>
    <row r="1232" spans="1:33" ht="14.25" customHeight="1" x14ac:dyDescent="0.35">
      <c r="A1232" s="21"/>
      <c r="B1232" s="21"/>
      <c r="C1232" s="21"/>
      <c r="D1232" s="128" t="s">
        <v>4400</v>
      </c>
      <c r="E1232" s="128"/>
      <c r="F1232" s="21"/>
      <c r="G1232" s="21"/>
      <c r="H1232" s="21"/>
      <c r="I1232" s="22" t="s">
        <v>3915</v>
      </c>
      <c r="J1232" s="132">
        <f t="shared" ref="J1232:AG1232" si="784">J1226-J1228</f>
        <v>2464.3123442805263</v>
      </c>
      <c r="K1232" s="132">
        <f t="shared" si="784"/>
        <v>2378.2835869399205</v>
      </c>
      <c r="L1232" s="132">
        <f t="shared" si="784"/>
        <v>2253.3618624030023</v>
      </c>
      <c r="M1232" s="132">
        <f t="shared" si="784"/>
        <v>2650.5489529776751</v>
      </c>
      <c r="N1232" s="132">
        <f t="shared" si="784"/>
        <v>2418.2718798061433</v>
      </c>
      <c r="O1232" s="132">
        <f t="shared" si="784"/>
        <v>2164.8152424283981</v>
      </c>
      <c r="P1232" s="132">
        <f t="shared" si="784"/>
        <v>2262.0051631503047</v>
      </c>
      <c r="Q1232" s="132">
        <f t="shared" si="784"/>
        <v>2190.3604043135638</v>
      </c>
      <c r="R1232" s="140">
        <f t="shared" si="784"/>
        <v>2728.5437896571311</v>
      </c>
      <c r="S1232" s="140">
        <f t="shared" si="784"/>
        <v>2785.7419151571266</v>
      </c>
      <c r="T1232" s="140">
        <f t="shared" si="784"/>
        <v>2721.2521247998375</v>
      </c>
      <c r="U1232" s="140">
        <f t="shared" si="784"/>
        <v>2775.5841491644787</v>
      </c>
      <c r="V1232" s="140">
        <f t="shared" si="784"/>
        <v>2773.777158690089</v>
      </c>
      <c r="W1232" s="140">
        <f t="shared" si="784"/>
        <v>2606.0359075359847</v>
      </c>
      <c r="X1232" s="140">
        <f t="shared" si="784"/>
        <v>2772.25830039012</v>
      </c>
      <c r="Y1232" s="140">
        <f t="shared" si="784"/>
        <v>2704.6948607770937</v>
      </c>
      <c r="Z1232" s="140">
        <f t="shared" si="784"/>
        <v>2759.1022727752315</v>
      </c>
      <c r="AA1232" s="140">
        <f t="shared" si="784"/>
        <v>2702.6460730114195</v>
      </c>
      <c r="AB1232" s="140">
        <f t="shared" si="784"/>
        <v>2757.7705232774279</v>
      </c>
      <c r="AC1232" s="140">
        <f t="shared" si="784"/>
        <v>2756.148332514269</v>
      </c>
      <c r="AD1232" s="140">
        <f t="shared" si="784"/>
        <v>2700.5127760780488</v>
      </c>
      <c r="AE1232" s="140">
        <f t="shared" si="784"/>
        <v>2754.8919614490187</v>
      </c>
      <c r="AF1232" s="140">
        <f t="shared" si="784"/>
        <v>2699.2897950616134</v>
      </c>
      <c r="AG1232" s="140">
        <f t="shared" si="784"/>
        <v>2753.8891847915002</v>
      </c>
    </row>
    <row r="1233" spans="1:33" ht="14.25" customHeight="1" x14ac:dyDescent="0.35">
      <c r="A1233" s="21"/>
      <c r="B1233" s="21"/>
      <c r="C1233" s="21"/>
      <c r="D1233" s="128" t="s">
        <v>4401</v>
      </c>
      <c r="E1233" s="128"/>
      <c r="F1233" s="21"/>
      <c r="G1233" s="21"/>
      <c r="H1233" s="21"/>
      <c r="I1233" s="22" t="s">
        <v>3915</v>
      </c>
      <c r="J1233" s="132">
        <f t="shared" ref="J1233:AG1233" si="785">J1228-J1230</f>
        <v>1232.1561721402613</v>
      </c>
      <c r="K1233" s="132">
        <f t="shared" si="785"/>
        <v>1189.1417934699602</v>
      </c>
      <c r="L1233" s="132">
        <f t="shared" si="785"/>
        <v>1126.680931201503</v>
      </c>
      <c r="M1233" s="132">
        <f t="shared" si="785"/>
        <v>1325.2744764888375</v>
      </c>
      <c r="N1233" s="132">
        <f t="shared" si="785"/>
        <v>1209.1359399030698</v>
      </c>
      <c r="O1233" s="132">
        <f t="shared" si="785"/>
        <v>1082.407621214199</v>
      </c>
      <c r="P1233" s="132">
        <f t="shared" si="785"/>
        <v>1131.0025815751542</v>
      </c>
      <c r="Q1233" s="132">
        <f t="shared" si="785"/>
        <v>1095.1802021567783</v>
      </c>
      <c r="R1233" s="140">
        <f t="shared" si="785"/>
        <v>1364.2718948285656</v>
      </c>
      <c r="S1233" s="140">
        <f t="shared" si="785"/>
        <v>1392.8709575785651</v>
      </c>
      <c r="T1233" s="140">
        <f t="shared" si="785"/>
        <v>1360.6260623999187</v>
      </c>
      <c r="U1233" s="140">
        <f t="shared" si="785"/>
        <v>1387.7920745822412</v>
      </c>
      <c r="V1233" s="140">
        <f t="shared" si="785"/>
        <v>1386.8885793450463</v>
      </c>
      <c r="W1233" s="140">
        <f t="shared" si="785"/>
        <v>1303.0179537679905</v>
      </c>
      <c r="X1233" s="140">
        <f t="shared" si="785"/>
        <v>1386.1291501950582</v>
      </c>
      <c r="Y1233" s="140">
        <f t="shared" si="785"/>
        <v>1352.3474303885487</v>
      </c>
      <c r="Z1233" s="140">
        <f t="shared" si="785"/>
        <v>1379.5511363876176</v>
      </c>
      <c r="AA1233" s="140">
        <f t="shared" si="785"/>
        <v>1351.3230365057098</v>
      </c>
      <c r="AB1233" s="140">
        <f t="shared" si="785"/>
        <v>1378.8852616387121</v>
      </c>
      <c r="AC1233" s="140">
        <f t="shared" si="785"/>
        <v>1378.0741662571345</v>
      </c>
      <c r="AD1233" s="140">
        <f t="shared" si="785"/>
        <v>1350.2563880390262</v>
      </c>
      <c r="AE1233" s="140">
        <f t="shared" si="785"/>
        <v>1377.4459807245112</v>
      </c>
      <c r="AF1233" s="140">
        <f t="shared" si="785"/>
        <v>1349.6448975308085</v>
      </c>
      <c r="AG1233" s="140">
        <f t="shared" si="785"/>
        <v>1376.9445923957537</v>
      </c>
    </row>
    <row r="1234" spans="1:33" ht="14.25" customHeight="1" x14ac:dyDescent="0.35">
      <c r="A1234" s="21"/>
      <c r="B1234" s="21"/>
      <c r="C1234" s="21" t="s">
        <v>4402</v>
      </c>
      <c r="D1234" s="128"/>
      <c r="E1234" s="128"/>
      <c r="F1234" s="21"/>
      <c r="G1234" s="21"/>
      <c r="H1234" s="21"/>
      <c r="I1234" s="22" t="s">
        <v>3900</v>
      </c>
      <c r="J1234" s="132">
        <f t="shared" ref="J1234:AG1234" si="786">IF(J1222&lt;=0,0,J1204/J1222)</f>
        <v>161207.85398654046</v>
      </c>
      <c r="K1234" s="132">
        <f t="shared" si="786"/>
        <v>140360.02435059939</v>
      </c>
      <c r="L1234" s="132">
        <f t="shared" si="786"/>
        <v>140275.64439177644</v>
      </c>
      <c r="M1234" s="132">
        <f t="shared" si="786"/>
        <v>165540.66361353538</v>
      </c>
      <c r="N1234" s="132">
        <f t="shared" si="786"/>
        <v>157423.13925966635</v>
      </c>
      <c r="O1234" s="132">
        <f t="shared" si="786"/>
        <v>128512.75716905599</v>
      </c>
      <c r="P1234" s="132">
        <f t="shared" si="786"/>
        <v>132662.4646956677</v>
      </c>
      <c r="Q1234" s="132">
        <f t="shared" si="786"/>
        <v>147590.18714888213</v>
      </c>
      <c r="R1234" s="140">
        <f t="shared" si="786"/>
        <v>266634.94124480017</v>
      </c>
      <c r="S1234" s="140">
        <f t="shared" si="786"/>
        <v>282119.34705838066</v>
      </c>
      <c r="T1234" s="140">
        <f t="shared" si="786"/>
        <v>288956.91761895997</v>
      </c>
      <c r="U1234" s="140">
        <f t="shared" si="786"/>
        <v>295687.84099877102</v>
      </c>
      <c r="V1234" s="140">
        <f t="shared" si="786"/>
        <v>295665.64674972987</v>
      </c>
      <c r="W1234" s="140">
        <f t="shared" si="786"/>
        <v>277376.94431498548</v>
      </c>
      <c r="X1234" s="140">
        <f t="shared" si="786"/>
        <v>295301.97386283561</v>
      </c>
      <c r="Y1234" s="140">
        <f t="shared" si="786"/>
        <v>288094.83008026547</v>
      </c>
      <c r="Z1234" s="140">
        <f t="shared" si="786"/>
        <v>293819.77779530559</v>
      </c>
      <c r="AA1234" s="140">
        <f t="shared" si="786"/>
        <v>287857.04469707719</v>
      </c>
      <c r="AB1234" s="140">
        <f t="shared" si="786"/>
        <v>293718.17613204767</v>
      </c>
      <c r="AC1234" s="140">
        <f t="shared" si="786"/>
        <v>293535.38068423868</v>
      </c>
      <c r="AD1234" s="140">
        <f t="shared" si="786"/>
        <v>287619.93695588951</v>
      </c>
      <c r="AE1234" s="140">
        <f t="shared" si="786"/>
        <v>293408.26538338687</v>
      </c>
      <c r="AF1234" s="140">
        <f t="shared" si="786"/>
        <v>287485.30018970714</v>
      </c>
      <c r="AG1234" s="140">
        <f t="shared" si="786"/>
        <v>293302.21633046708</v>
      </c>
    </row>
    <row r="1235" spans="1:33" ht="14.25" customHeight="1" x14ac:dyDescent="0.35">
      <c r="A1235" s="21"/>
      <c r="B1235" s="21"/>
      <c r="C1235" s="21" t="s">
        <v>4403</v>
      </c>
      <c r="D1235" s="128" t="s">
        <v>4404</v>
      </c>
      <c r="E1235" s="128"/>
      <c r="F1235" s="21"/>
      <c r="G1235" s="21"/>
      <c r="H1235" s="21"/>
      <c r="I1235" s="22" t="s">
        <v>3856</v>
      </c>
      <c r="J1235" s="198">
        <f t="shared" ref="J1235:AG1235" si="787">IF(J1234=0,0,J1212/J1234)</f>
        <v>2.2146416639837416</v>
      </c>
      <c r="K1235" s="198">
        <f t="shared" si="787"/>
        <v>2.2976093192635787</v>
      </c>
      <c r="L1235" s="198">
        <f t="shared" si="787"/>
        <v>1.6794234025547692</v>
      </c>
      <c r="M1235" s="198">
        <f t="shared" si="787"/>
        <v>1.4089498912757128</v>
      </c>
      <c r="N1235" s="198">
        <f t="shared" si="787"/>
        <v>1.6542993693603971</v>
      </c>
      <c r="O1235" s="198">
        <f t="shared" si="787"/>
        <v>2.0547345323284505</v>
      </c>
      <c r="P1235" s="198">
        <f t="shared" si="787"/>
        <v>2.0608127598652106</v>
      </c>
      <c r="Q1235" s="198">
        <f t="shared" si="787"/>
        <v>2.155089075665618</v>
      </c>
      <c r="R1235" s="199">
        <f t="shared" si="787"/>
        <v>1.0440248953979498</v>
      </c>
      <c r="S1235" s="199">
        <f t="shared" si="787"/>
        <v>0.98672253266251697</v>
      </c>
      <c r="T1235" s="199">
        <f t="shared" si="787"/>
        <v>0.96337377535852931</v>
      </c>
      <c r="U1235" s="199">
        <f t="shared" si="787"/>
        <v>0.94144390821839041</v>
      </c>
      <c r="V1235" s="199">
        <f t="shared" si="787"/>
        <v>0.94151457804691785</v>
      </c>
      <c r="W1235" s="199">
        <f t="shared" si="787"/>
        <v>1.0035928448560014</v>
      </c>
      <c r="X1235" s="199">
        <f t="shared" si="787"/>
        <v>0.94267408036981937</v>
      </c>
      <c r="Y1235" s="199">
        <f t="shared" si="787"/>
        <v>0.96625655019558643</v>
      </c>
      <c r="Z1235" s="199">
        <f t="shared" si="787"/>
        <v>0.94742947098841823</v>
      </c>
      <c r="AA1235" s="199">
        <f t="shared" si="787"/>
        <v>0.96705473001532383</v>
      </c>
      <c r="AB1235" s="199">
        <f t="shared" si="787"/>
        <v>0.94775720150663012</v>
      </c>
      <c r="AC1235" s="199">
        <f t="shared" si="787"/>
        <v>0.94834740532349115</v>
      </c>
      <c r="AD1235" s="199">
        <f t="shared" si="787"/>
        <v>0.96785194930778884</v>
      </c>
      <c r="AE1235" s="199">
        <f t="shared" si="787"/>
        <v>0.94875826445720446</v>
      </c>
      <c r="AF1235" s="199">
        <f t="shared" si="787"/>
        <v>0.96830521928893953</v>
      </c>
      <c r="AG1235" s="199">
        <f t="shared" si="787"/>
        <v>0.94910130624070788</v>
      </c>
    </row>
    <row r="1236" spans="1:33" x14ac:dyDescent="0.35">
      <c r="A1236" s="119">
        <v>11</v>
      </c>
      <c r="B1236" s="119" t="s">
        <v>5532</v>
      </c>
      <c r="C1236" s="119"/>
      <c r="D1236" s="119"/>
      <c r="E1236" s="119"/>
      <c r="F1236" s="119"/>
      <c r="G1236" s="119"/>
      <c r="H1236" s="119"/>
      <c r="I1236" s="120"/>
      <c r="J1236" s="121"/>
      <c r="K1236" s="121"/>
      <c r="L1236" s="121"/>
      <c r="M1236" s="121"/>
      <c r="N1236" s="121"/>
      <c r="O1236" s="121"/>
      <c r="P1236" s="121"/>
      <c r="Q1236" s="121"/>
      <c r="R1236" s="121"/>
      <c r="S1236" s="121"/>
      <c r="T1236" s="121"/>
      <c r="U1236" s="121"/>
      <c r="V1236" s="121"/>
      <c r="W1236" s="121"/>
      <c r="X1236" s="121"/>
      <c r="Y1236" s="121"/>
      <c r="Z1236" s="121"/>
      <c r="AA1236" s="121"/>
      <c r="AB1236" s="121"/>
      <c r="AC1236" s="121"/>
      <c r="AD1236" s="121"/>
      <c r="AE1236" s="121"/>
      <c r="AF1236" s="121"/>
      <c r="AG1236" s="121"/>
    </row>
    <row r="1237" spans="1:33" ht="14.25" customHeight="1" x14ac:dyDescent="0.35">
      <c r="A1237" s="21"/>
      <c r="B1237" s="292" t="s">
        <v>5533</v>
      </c>
      <c r="C1237" s="293" t="s">
        <v>68</v>
      </c>
      <c r="D1237" s="21"/>
      <c r="E1237" s="21"/>
      <c r="F1237" s="21"/>
      <c r="G1237" s="21"/>
      <c r="H1237" s="21"/>
      <c r="I1237" s="22"/>
      <c r="J1237" s="22"/>
      <c r="K1237" s="22"/>
      <c r="L1237" s="22"/>
      <c r="M1237" s="22"/>
      <c r="N1237" s="22"/>
      <c r="O1237" s="22"/>
      <c r="P1237" s="22"/>
      <c r="Q1237" s="22"/>
      <c r="R1237" s="22"/>
      <c r="S1237" s="22"/>
      <c r="T1237" s="22"/>
      <c r="U1237" s="22"/>
      <c r="V1237" s="22"/>
      <c r="W1237" s="22"/>
      <c r="X1237" s="22"/>
      <c r="Y1237" s="22"/>
      <c r="Z1237" s="22"/>
      <c r="AA1237" s="22"/>
      <c r="AB1237" s="22"/>
      <c r="AC1237" s="22"/>
      <c r="AD1237" s="22"/>
      <c r="AE1237" s="22"/>
      <c r="AF1237" s="22"/>
      <c r="AG1237" s="22"/>
    </row>
    <row r="1238" spans="1:33" ht="14.25" customHeight="1" x14ac:dyDescent="0.35">
      <c r="A1238" s="21"/>
      <c r="B1238" s="292"/>
      <c r="C1238" s="292" t="s">
        <v>5533</v>
      </c>
      <c r="D1238" s="293" t="s">
        <v>5465</v>
      </c>
      <c r="E1238" s="21"/>
      <c r="F1238" s="21"/>
      <c r="G1238" s="21"/>
      <c r="H1238" s="21"/>
      <c r="I1238" s="22"/>
      <c r="J1238" s="22"/>
      <c r="K1238" s="22"/>
      <c r="L1238" s="22"/>
      <c r="M1238" s="22"/>
      <c r="N1238" s="22"/>
      <c r="O1238" s="22"/>
      <c r="P1238" s="22"/>
      <c r="Q1238" s="22"/>
      <c r="R1238" s="22"/>
      <c r="S1238" s="22"/>
      <c r="T1238" s="22"/>
      <c r="U1238" s="22"/>
      <c r="V1238" s="22"/>
      <c r="W1238" s="22"/>
      <c r="X1238" s="22"/>
      <c r="Y1238" s="22"/>
      <c r="Z1238" s="22"/>
      <c r="AA1238" s="22"/>
      <c r="AB1238" s="22"/>
      <c r="AC1238" s="22"/>
      <c r="AD1238" s="22"/>
      <c r="AE1238" s="22"/>
      <c r="AF1238" s="22"/>
      <c r="AG1238" s="22"/>
    </row>
    <row r="1239" spans="1:33" ht="14.25" customHeight="1" x14ac:dyDescent="0.35">
      <c r="A1239" s="21"/>
      <c r="B1239" s="292"/>
      <c r="C1239" s="292"/>
      <c r="D1239" s="295" t="s">
        <v>5543</v>
      </c>
      <c r="E1239" s="21"/>
      <c r="F1239" s="21"/>
      <c r="G1239" s="21"/>
      <c r="H1239" s="21"/>
      <c r="I1239" s="22"/>
      <c r="J1239" s="22"/>
      <c r="K1239" s="22"/>
      <c r="L1239" s="22"/>
      <c r="M1239" s="22"/>
      <c r="N1239" s="22"/>
      <c r="O1239" s="22"/>
      <c r="P1239" s="22"/>
      <c r="Q1239" s="22"/>
      <c r="R1239" s="22"/>
      <c r="S1239" s="22"/>
      <c r="T1239" s="22"/>
      <c r="U1239" s="22"/>
      <c r="V1239" s="22"/>
      <c r="W1239" s="22"/>
      <c r="X1239" s="22"/>
      <c r="Y1239" s="22"/>
      <c r="Z1239" s="22"/>
      <c r="AA1239" s="22"/>
      <c r="AB1239" s="22"/>
      <c r="AC1239" s="22"/>
      <c r="AD1239" s="22"/>
      <c r="AE1239" s="22"/>
      <c r="AF1239" s="22"/>
      <c r="AG1239" s="22"/>
    </row>
    <row r="1240" spans="1:33" ht="14.25" customHeight="1" x14ac:dyDescent="0.35">
      <c r="A1240" s="21"/>
      <c r="B1240" s="21"/>
      <c r="C1240" s="21"/>
      <c r="D1240" s="128"/>
      <c r="E1240" s="128" t="s">
        <v>5534</v>
      </c>
      <c r="F1240" s="21"/>
      <c r="G1240" s="21"/>
      <c r="H1240" s="21"/>
      <c r="I1240" s="22" t="s">
        <v>3900</v>
      </c>
      <c r="J1240" s="172">
        <f>J61</f>
        <v>338218</v>
      </c>
      <c r="K1240" s="172">
        <f t="shared" ref="K1240:AG1240" si="788">K61</f>
        <v>319345.90000000002</v>
      </c>
      <c r="L1240" s="172">
        <f t="shared" si="788"/>
        <v>233800.28</v>
      </c>
      <c r="M1240" s="172">
        <f t="shared" si="788"/>
        <v>238577.4</v>
      </c>
      <c r="N1240" s="172">
        <f t="shared" si="788"/>
        <v>273545.5</v>
      </c>
      <c r="O1240" s="172">
        <f t="shared" si="788"/>
        <v>283250</v>
      </c>
      <c r="P1240" s="172">
        <f t="shared" si="788"/>
        <v>295327.5</v>
      </c>
      <c r="Q1240" s="172">
        <f t="shared" si="788"/>
        <v>315689</v>
      </c>
      <c r="R1240" s="140">
        <f t="shared" si="788"/>
        <v>290325.94164254074</v>
      </c>
      <c r="S1240" s="140">
        <f t="shared" si="788"/>
        <v>290325.94164254074</v>
      </c>
      <c r="T1240" s="140">
        <f t="shared" si="788"/>
        <v>290325.94164254074</v>
      </c>
      <c r="U1240" s="140">
        <f t="shared" si="788"/>
        <v>290325.94164254074</v>
      </c>
      <c r="V1240" s="140">
        <f t="shared" si="788"/>
        <v>290325.94164254074</v>
      </c>
      <c r="W1240" s="140">
        <f t="shared" si="788"/>
        <v>290325.94164254074</v>
      </c>
      <c r="X1240" s="140">
        <f t="shared" si="788"/>
        <v>290325.94164254074</v>
      </c>
      <c r="Y1240" s="140">
        <f t="shared" si="788"/>
        <v>290325.94164254074</v>
      </c>
      <c r="Z1240" s="140">
        <f t="shared" si="788"/>
        <v>290325.94164254074</v>
      </c>
      <c r="AA1240" s="140">
        <f t="shared" si="788"/>
        <v>290325.94164254074</v>
      </c>
      <c r="AB1240" s="140">
        <f t="shared" si="788"/>
        <v>290325.94164254074</v>
      </c>
      <c r="AC1240" s="140">
        <f t="shared" si="788"/>
        <v>290325.94164254074</v>
      </c>
      <c r="AD1240" s="140">
        <f t="shared" si="788"/>
        <v>290325.94164254074</v>
      </c>
      <c r="AE1240" s="140">
        <f t="shared" si="788"/>
        <v>290325.94164254074</v>
      </c>
      <c r="AF1240" s="140">
        <f t="shared" si="788"/>
        <v>290325.94164254074</v>
      </c>
      <c r="AG1240" s="140">
        <f t="shared" si="788"/>
        <v>290325.94164254074</v>
      </c>
    </row>
    <row r="1241" spans="1:33" ht="14.25" customHeight="1" x14ac:dyDescent="0.35">
      <c r="A1241" s="21"/>
      <c r="B1241" s="28"/>
      <c r="C1241" s="28"/>
      <c r="D1241" s="175"/>
      <c r="E1241" s="175" t="s">
        <v>5535</v>
      </c>
      <c r="F1241" s="21"/>
      <c r="G1241" s="21"/>
      <c r="H1241" s="21"/>
      <c r="I1241" s="22" t="s">
        <v>13</v>
      </c>
      <c r="J1241" s="122">
        <f>J63</f>
        <v>0.29627100000000001</v>
      </c>
      <c r="K1241" s="122">
        <f t="shared" ref="K1241:AG1241" si="789">K63</f>
        <v>0.34836400000000001</v>
      </c>
      <c r="L1241" s="122">
        <f t="shared" si="789"/>
        <v>0.40459099999999998</v>
      </c>
      <c r="M1241" s="122">
        <f t="shared" si="789"/>
        <v>0.475161</v>
      </c>
      <c r="N1241" s="122">
        <f t="shared" si="789"/>
        <v>0.53626300000000005</v>
      </c>
      <c r="O1241" s="122">
        <f t="shared" si="789"/>
        <v>0.45452399999999998</v>
      </c>
      <c r="P1241" s="122">
        <f t="shared" si="789"/>
        <v>0.54744999999999999</v>
      </c>
      <c r="Q1241" s="122">
        <f t="shared" si="789"/>
        <v>0.45832200000000001</v>
      </c>
      <c r="R1241" s="126">
        <f t="shared" si="789"/>
        <v>0.5</v>
      </c>
      <c r="S1241" s="126">
        <f t="shared" si="789"/>
        <v>0.5</v>
      </c>
      <c r="T1241" s="126">
        <f t="shared" si="789"/>
        <v>0.5</v>
      </c>
      <c r="U1241" s="126">
        <f t="shared" si="789"/>
        <v>0.5</v>
      </c>
      <c r="V1241" s="126">
        <f t="shared" si="789"/>
        <v>0.5</v>
      </c>
      <c r="W1241" s="126">
        <f t="shared" si="789"/>
        <v>0.5</v>
      </c>
      <c r="X1241" s="126">
        <f t="shared" si="789"/>
        <v>0.5</v>
      </c>
      <c r="Y1241" s="126">
        <f t="shared" si="789"/>
        <v>0.5</v>
      </c>
      <c r="Z1241" s="126">
        <f t="shared" si="789"/>
        <v>0.5</v>
      </c>
      <c r="AA1241" s="126">
        <f t="shared" si="789"/>
        <v>0.5</v>
      </c>
      <c r="AB1241" s="126">
        <f t="shared" si="789"/>
        <v>0.5</v>
      </c>
      <c r="AC1241" s="126">
        <f t="shared" si="789"/>
        <v>0.5</v>
      </c>
      <c r="AD1241" s="126">
        <f t="shared" si="789"/>
        <v>0.5</v>
      </c>
      <c r="AE1241" s="126">
        <f t="shared" si="789"/>
        <v>0.5</v>
      </c>
      <c r="AF1241" s="126">
        <f t="shared" si="789"/>
        <v>0.5</v>
      </c>
      <c r="AG1241" s="126">
        <f t="shared" si="789"/>
        <v>0.5</v>
      </c>
    </row>
    <row r="1242" spans="1:33" ht="14.25" customHeight="1" x14ac:dyDescent="0.35">
      <c r="A1242" s="21"/>
      <c r="B1242" s="21"/>
      <c r="C1242" s="21"/>
      <c r="D1242" s="294"/>
      <c r="E1242" s="294" t="s">
        <v>5536</v>
      </c>
      <c r="F1242" s="21"/>
      <c r="G1242" s="21"/>
      <c r="H1242" s="21"/>
      <c r="I1242" s="22" t="s">
        <v>3900</v>
      </c>
      <c r="J1242" s="172">
        <f>J1240*J1241</f>
        <v>100204.18507799999</v>
      </c>
      <c r="K1242" s="172">
        <f t="shared" ref="K1242:AG1242" si="790">K1240*K1241</f>
        <v>111248.61510760001</v>
      </c>
      <c r="L1242" s="172">
        <f t="shared" si="790"/>
        <v>94593.489085479989</v>
      </c>
      <c r="M1242" s="172">
        <f t="shared" si="790"/>
        <v>113362.6759614</v>
      </c>
      <c r="N1242" s="172">
        <f t="shared" si="790"/>
        <v>146692.33046650002</v>
      </c>
      <c r="O1242" s="172">
        <f t="shared" si="790"/>
        <v>128743.923</v>
      </c>
      <c r="P1242" s="172">
        <f t="shared" si="790"/>
        <v>161677.03987499999</v>
      </c>
      <c r="Q1242" s="172">
        <f t="shared" si="790"/>
        <v>144687.213858</v>
      </c>
      <c r="R1242" s="140">
        <f t="shared" si="790"/>
        <v>145162.97082127037</v>
      </c>
      <c r="S1242" s="140">
        <f t="shared" si="790"/>
        <v>145162.97082127037</v>
      </c>
      <c r="T1242" s="140">
        <f t="shared" si="790"/>
        <v>145162.97082127037</v>
      </c>
      <c r="U1242" s="140">
        <f t="shared" si="790"/>
        <v>145162.97082127037</v>
      </c>
      <c r="V1242" s="140">
        <f t="shared" si="790"/>
        <v>145162.97082127037</v>
      </c>
      <c r="W1242" s="140">
        <f t="shared" si="790"/>
        <v>145162.97082127037</v>
      </c>
      <c r="X1242" s="140">
        <f t="shared" si="790"/>
        <v>145162.97082127037</v>
      </c>
      <c r="Y1242" s="140">
        <f t="shared" si="790"/>
        <v>145162.97082127037</v>
      </c>
      <c r="Z1242" s="140">
        <f t="shared" si="790"/>
        <v>145162.97082127037</v>
      </c>
      <c r="AA1242" s="140">
        <f t="shared" si="790"/>
        <v>145162.97082127037</v>
      </c>
      <c r="AB1242" s="140">
        <f t="shared" si="790"/>
        <v>145162.97082127037</v>
      </c>
      <c r="AC1242" s="140">
        <f t="shared" si="790"/>
        <v>145162.97082127037</v>
      </c>
      <c r="AD1242" s="140">
        <f t="shared" si="790"/>
        <v>145162.97082127037</v>
      </c>
      <c r="AE1242" s="140">
        <f t="shared" si="790"/>
        <v>145162.97082127037</v>
      </c>
      <c r="AF1242" s="140">
        <f t="shared" si="790"/>
        <v>145162.97082127037</v>
      </c>
      <c r="AG1242" s="140">
        <f t="shared" si="790"/>
        <v>145162.97082127037</v>
      </c>
    </row>
    <row r="1243" spans="1:33" ht="14.25" customHeight="1" x14ac:dyDescent="0.35">
      <c r="A1243" s="21"/>
      <c r="B1243" s="292"/>
      <c r="C1243" s="292"/>
      <c r="D1243" s="295" t="s">
        <v>5544</v>
      </c>
      <c r="E1243" s="21"/>
      <c r="F1243" s="21"/>
      <c r="G1243" s="21"/>
      <c r="H1243" s="21"/>
      <c r="I1243" s="22"/>
      <c r="J1243" s="22"/>
      <c r="K1243" s="22"/>
      <c r="L1243" s="22"/>
      <c r="M1243" s="22"/>
      <c r="N1243" s="22"/>
      <c r="O1243" s="22"/>
      <c r="P1243" s="22"/>
      <c r="Q1243" s="22"/>
      <c r="R1243" s="22"/>
      <c r="S1243" s="22"/>
      <c r="T1243" s="22"/>
      <c r="U1243" s="22"/>
      <c r="V1243" s="22"/>
      <c r="W1243" s="22"/>
      <c r="X1243" s="22"/>
      <c r="Y1243" s="22"/>
      <c r="Z1243" s="22"/>
      <c r="AA1243" s="22"/>
      <c r="AB1243" s="22"/>
      <c r="AC1243" s="22"/>
      <c r="AD1243" s="22"/>
      <c r="AE1243" s="22"/>
      <c r="AF1243" s="22"/>
      <c r="AG1243" s="22"/>
    </row>
    <row r="1244" spans="1:33" ht="14.25" customHeight="1" x14ac:dyDescent="0.35">
      <c r="A1244" s="21"/>
      <c r="B1244" s="21"/>
      <c r="C1244" s="21"/>
      <c r="D1244" s="294"/>
      <c r="E1244" s="294" t="s">
        <v>5546</v>
      </c>
      <c r="F1244" s="21"/>
      <c r="G1244" s="21"/>
      <c r="H1244" s="21"/>
      <c r="I1244" s="22" t="s">
        <v>3900</v>
      </c>
      <c r="J1244" s="172">
        <f>'Input Operasional'!I140</f>
        <v>3500</v>
      </c>
      <c r="K1244" s="172">
        <f>'Input Operasional'!J140</f>
        <v>3500</v>
      </c>
      <c r="L1244" s="172">
        <f>'Input Operasional'!K140</f>
        <v>3500</v>
      </c>
      <c r="M1244" s="172">
        <f>'Input Operasional'!L140</f>
        <v>3500</v>
      </c>
      <c r="N1244" s="172">
        <f>'Input Operasional'!M140</f>
        <v>3500</v>
      </c>
      <c r="O1244" s="172">
        <f>'Input Operasional'!N140</f>
        <v>3500</v>
      </c>
      <c r="P1244" s="172">
        <f>'Input Operasional'!O140</f>
        <v>3500</v>
      </c>
      <c r="Q1244" s="172">
        <f>'Input Operasional'!P140</f>
        <v>3500</v>
      </c>
      <c r="R1244" s="140">
        <f>'Input Operasional'!Q140</f>
        <v>3500</v>
      </c>
      <c r="S1244" s="140">
        <f>'Input Operasional'!R140</f>
        <v>3500</v>
      </c>
      <c r="T1244" s="140">
        <f>'Input Operasional'!S140</f>
        <v>3500</v>
      </c>
      <c r="U1244" s="140">
        <f>'Input Operasional'!T140</f>
        <v>3500</v>
      </c>
      <c r="V1244" s="140">
        <f>'Input Operasional'!U140</f>
        <v>3500</v>
      </c>
      <c r="W1244" s="140">
        <f>'Input Operasional'!V140</f>
        <v>3500</v>
      </c>
      <c r="X1244" s="140">
        <f>'Input Operasional'!W140</f>
        <v>3500</v>
      </c>
      <c r="Y1244" s="140">
        <f>'Input Operasional'!X140</f>
        <v>3500</v>
      </c>
      <c r="Z1244" s="140">
        <f>'Input Operasional'!Y140</f>
        <v>3500</v>
      </c>
      <c r="AA1244" s="140">
        <f>'Input Operasional'!Z140</f>
        <v>3500</v>
      </c>
      <c r="AB1244" s="140">
        <f>'Input Operasional'!AA140</f>
        <v>3500</v>
      </c>
      <c r="AC1244" s="140">
        <f>'Input Operasional'!AB140</f>
        <v>3500</v>
      </c>
      <c r="AD1244" s="140">
        <f>'Input Operasional'!AC140</f>
        <v>3500</v>
      </c>
      <c r="AE1244" s="140">
        <f>'Input Operasional'!AD140</f>
        <v>3500</v>
      </c>
      <c r="AF1244" s="140">
        <f>'Input Operasional'!AE140</f>
        <v>3500</v>
      </c>
      <c r="AG1244" s="140">
        <f>'Input Operasional'!AF140</f>
        <v>3500</v>
      </c>
    </row>
    <row r="1245" spans="1:33" ht="14.25" customHeight="1" x14ac:dyDescent="0.35">
      <c r="A1245" s="21"/>
      <c r="B1245" s="28"/>
      <c r="C1245" s="28"/>
      <c r="D1245" s="175"/>
      <c r="E1245" s="175" t="s">
        <v>5537</v>
      </c>
      <c r="F1245" s="21"/>
      <c r="G1245" s="21"/>
      <c r="H1245" s="21"/>
      <c r="I1245" s="22" t="s">
        <v>13</v>
      </c>
      <c r="J1245" s="122">
        <f>'Input Operasional'!I141</f>
        <v>0</v>
      </c>
      <c r="K1245" s="122">
        <f>'Input Operasional'!J141</f>
        <v>0</v>
      </c>
      <c r="L1245" s="122">
        <f>'Input Operasional'!K141</f>
        <v>0</v>
      </c>
      <c r="M1245" s="122">
        <f>'Input Operasional'!L141</f>
        <v>0</v>
      </c>
      <c r="N1245" s="122">
        <f>'Input Operasional'!M141</f>
        <v>0</v>
      </c>
      <c r="O1245" s="122">
        <f>'Input Operasional'!N141</f>
        <v>0</v>
      </c>
      <c r="P1245" s="122">
        <f>'Input Operasional'!O141</f>
        <v>0</v>
      </c>
      <c r="Q1245" s="122">
        <f>'Input Operasional'!P141</f>
        <v>0</v>
      </c>
      <c r="R1245" s="122">
        <f>'Input Operasional'!Q141</f>
        <v>0.9</v>
      </c>
      <c r="S1245" s="122">
        <f>'Input Operasional'!R141</f>
        <v>0.9</v>
      </c>
      <c r="T1245" s="122">
        <f>'Input Operasional'!S141</f>
        <v>0.9</v>
      </c>
      <c r="U1245" s="122">
        <f>'Input Operasional'!T141</f>
        <v>0.9</v>
      </c>
      <c r="V1245" s="122">
        <f>'Input Operasional'!U141</f>
        <v>0.9</v>
      </c>
      <c r="W1245" s="122">
        <f>'Input Operasional'!V141</f>
        <v>0.9</v>
      </c>
      <c r="X1245" s="122">
        <f>'Input Operasional'!W141</f>
        <v>0.9</v>
      </c>
      <c r="Y1245" s="122">
        <f>'Input Operasional'!X141</f>
        <v>0.9</v>
      </c>
      <c r="Z1245" s="122">
        <f>'Input Operasional'!Y141</f>
        <v>0.9</v>
      </c>
      <c r="AA1245" s="122">
        <f>'Input Operasional'!Z141</f>
        <v>0.9</v>
      </c>
      <c r="AB1245" s="122">
        <f>'Input Operasional'!AA141</f>
        <v>0.9</v>
      </c>
      <c r="AC1245" s="122">
        <f>'Input Operasional'!AB141</f>
        <v>0.9</v>
      </c>
      <c r="AD1245" s="122">
        <f>'Input Operasional'!AC141</f>
        <v>0.9</v>
      </c>
      <c r="AE1245" s="122">
        <f>'Input Operasional'!AD141</f>
        <v>0.9</v>
      </c>
      <c r="AF1245" s="122">
        <f>'Input Operasional'!AE141</f>
        <v>0.9</v>
      </c>
      <c r="AG1245" s="122">
        <f>'Input Operasional'!AF141</f>
        <v>0.9</v>
      </c>
    </row>
    <row r="1246" spans="1:33" ht="14.25" customHeight="1" x14ac:dyDescent="0.35">
      <c r="A1246" s="21"/>
      <c r="B1246" s="21"/>
      <c r="C1246" s="21"/>
      <c r="D1246" s="294"/>
      <c r="E1246" s="294" t="s">
        <v>5545</v>
      </c>
      <c r="F1246" s="21"/>
      <c r="G1246" s="21"/>
      <c r="H1246" s="21"/>
      <c r="I1246" s="22" t="s">
        <v>3900</v>
      </c>
      <c r="J1246" s="172">
        <f>J1244*J1245</f>
        <v>0</v>
      </c>
      <c r="K1246" s="172">
        <f t="shared" ref="K1246:AG1246" si="791">K1244*K1245</f>
        <v>0</v>
      </c>
      <c r="L1246" s="172">
        <f t="shared" si="791"/>
        <v>0</v>
      </c>
      <c r="M1246" s="172">
        <f t="shared" si="791"/>
        <v>0</v>
      </c>
      <c r="N1246" s="172">
        <f t="shared" si="791"/>
        <v>0</v>
      </c>
      <c r="O1246" s="172">
        <f t="shared" si="791"/>
        <v>0</v>
      </c>
      <c r="P1246" s="172">
        <f t="shared" si="791"/>
        <v>0</v>
      </c>
      <c r="Q1246" s="172">
        <f t="shared" si="791"/>
        <v>0</v>
      </c>
      <c r="R1246" s="140">
        <f t="shared" si="791"/>
        <v>3150</v>
      </c>
      <c r="S1246" s="140">
        <f t="shared" si="791"/>
        <v>3150</v>
      </c>
      <c r="T1246" s="140">
        <f t="shared" si="791"/>
        <v>3150</v>
      </c>
      <c r="U1246" s="140">
        <f t="shared" si="791"/>
        <v>3150</v>
      </c>
      <c r="V1246" s="140">
        <f t="shared" si="791"/>
        <v>3150</v>
      </c>
      <c r="W1246" s="140">
        <f t="shared" si="791"/>
        <v>3150</v>
      </c>
      <c r="X1246" s="140">
        <f t="shared" si="791"/>
        <v>3150</v>
      </c>
      <c r="Y1246" s="140">
        <f t="shared" si="791"/>
        <v>3150</v>
      </c>
      <c r="Z1246" s="140">
        <f t="shared" si="791"/>
        <v>3150</v>
      </c>
      <c r="AA1246" s="140">
        <f t="shared" si="791"/>
        <v>3150</v>
      </c>
      <c r="AB1246" s="140">
        <f t="shared" si="791"/>
        <v>3150</v>
      </c>
      <c r="AC1246" s="140">
        <f t="shared" si="791"/>
        <v>3150</v>
      </c>
      <c r="AD1246" s="140">
        <f t="shared" si="791"/>
        <v>3150</v>
      </c>
      <c r="AE1246" s="140">
        <f t="shared" si="791"/>
        <v>3150</v>
      </c>
      <c r="AF1246" s="140">
        <f t="shared" si="791"/>
        <v>3150</v>
      </c>
      <c r="AG1246" s="140">
        <f t="shared" si="791"/>
        <v>3150</v>
      </c>
    </row>
    <row r="1247" spans="1:33" ht="14.25" customHeight="1" x14ac:dyDescent="0.35">
      <c r="A1247" s="21"/>
      <c r="B1247" s="21"/>
      <c r="C1247" s="21"/>
      <c r="D1247" s="294"/>
      <c r="E1247" s="294" t="s">
        <v>5547</v>
      </c>
      <c r="F1247" s="21"/>
      <c r="G1247" s="21"/>
      <c r="H1247" s="21"/>
      <c r="I1247" s="22" t="s">
        <v>5548</v>
      </c>
      <c r="J1247" s="172">
        <f t="shared" ref="J1247" si="792">J1245*J1246</f>
        <v>0</v>
      </c>
      <c r="K1247" s="172">
        <f t="shared" ref="K1247" si="793">K1245*K1246</f>
        <v>0</v>
      </c>
      <c r="L1247" s="172">
        <f t="shared" ref="L1247" si="794">L1245*L1246</f>
        <v>0</v>
      </c>
      <c r="M1247" s="172">
        <f t="shared" ref="M1247" si="795">M1245*M1246</f>
        <v>0</v>
      </c>
      <c r="N1247" s="172">
        <f t="shared" ref="N1247" si="796">N1245*N1246</f>
        <v>0</v>
      </c>
      <c r="O1247" s="172">
        <f t="shared" ref="O1247" si="797">O1245*O1246</f>
        <v>0</v>
      </c>
      <c r="P1247" s="172">
        <f t="shared" ref="P1247" si="798">P1245*P1246</f>
        <v>0</v>
      </c>
      <c r="Q1247" s="172">
        <f t="shared" ref="Q1247" si="799">Q1245*Q1246</f>
        <v>0</v>
      </c>
      <c r="R1247" s="140">
        <f>ROUNDUP(R1242/R1246,0)</f>
        <v>47</v>
      </c>
      <c r="S1247" s="140">
        <f t="shared" ref="S1247:AG1247" si="800">ROUNDUP(S1242/S1246,0)</f>
        <v>47</v>
      </c>
      <c r="T1247" s="140">
        <f t="shared" si="800"/>
        <v>47</v>
      </c>
      <c r="U1247" s="140">
        <f t="shared" si="800"/>
        <v>47</v>
      </c>
      <c r="V1247" s="140">
        <f t="shared" si="800"/>
        <v>47</v>
      </c>
      <c r="W1247" s="140">
        <f t="shared" si="800"/>
        <v>47</v>
      </c>
      <c r="X1247" s="140">
        <f t="shared" si="800"/>
        <v>47</v>
      </c>
      <c r="Y1247" s="140">
        <f t="shared" si="800"/>
        <v>47</v>
      </c>
      <c r="Z1247" s="140">
        <f t="shared" si="800"/>
        <v>47</v>
      </c>
      <c r="AA1247" s="140">
        <f t="shared" si="800"/>
        <v>47</v>
      </c>
      <c r="AB1247" s="140">
        <f t="shared" si="800"/>
        <v>47</v>
      </c>
      <c r="AC1247" s="140">
        <f t="shared" si="800"/>
        <v>47</v>
      </c>
      <c r="AD1247" s="140">
        <f t="shared" si="800"/>
        <v>47</v>
      </c>
      <c r="AE1247" s="140">
        <f t="shared" si="800"/>
        <v>47</v>
      </c>
      <c r="AF1247" s="140">
        <f t="shared" si="800"/>
        <v>47</v>
      </c>
      <c r="AG1247" s="140">
        <f t="shared" si="800"/>
        <v>47</v>
      </c>
    </row>
    <row r="1248" spans="1:33" ht="14.25" customHeight="1" x14ac:dyDescent="0.35">
      <c r="A1248" s="21"/>
      <c r="B1248" s="292"/>
      <c r="C1248" s="292"/>
      <c r="D1248" s="295" t="s">
        <v>68</v>
      </c>
      <c r="E1248" s="21"/>
      <c r="F1248" s="21"/>
      <c r="G1248" s="21"/>
      <c r="H1248" s="21"/>
      <c r="I1248" s="22"/>
      <c r="J1248" s="22"/>
      <c r="K1248" s="22"/>
      <c r="L1248" s="22"/>
      <c r="M1248" s="22"/>
      <c r="N1248" s="22"/>
      <c r="O1248" s="22"/>
      <c r="P1248" s="22"/>
      <c r="Q1248" s="22"/>
      <c r="R1248" s="22"/>
      <c r="S1248" s="22"/>
      <c r="T1248" s="22"/>
      <c r="U1248" s="22"/>
      <c r="V1248" s="22"/>
      <c r="W1248" s="22"/>
      <c r="X1248" s="22"/>
      <c r="Y1248" s="22"/>
      <c r="Z1248" s="22"/>
      <c r="AA1248" s="22"/>
      <c r="AB1248" s="22"/>
      <c r="AC1248" s="22"/>
      <c r="AD1248" s="22"/>
      <c r="AE1248" s="22"/>
      <c r="AF1248" s="22"/>
      <c r="AG1248" s="22"/>
    </row>
    <row r="1249" spans="1:33" ht="14.25" customHeight="1" x14ac:dyDescent="0.35">
      <c r="A1249" s="21"/>
      <c r="B1249" s="292"/>
      <c r="C1249" s="292"/>
      <c r="D1249" s="295"/>
      <c r="E1249" s="294" t="s">
        <v>5549</v>
      </c>
      <c r="F1249" s="21"/>
      <c r="G1249" s="21"/>
      <c r="H1249" s="21"/>
      <c r="I1249" s="22" t="s">
        <v>5550</v>
      </c>
      <c r="J1249" s="172">
        <f t="shared" ref="J1249" si="801">J1247*J1248</f>
        <v>0</v>
      </c>
      <c r="K1249" s="172">
        <f t="shared" ref="K1249" si="802">K1247*K1248</f>
        <v>0</v>
      </c>
      <c r="L1249" s="172">
        <f t="shared" ref="L1249" si="803">L1247*L1248</f>
        <v>0</v>
      </c>
      <c r="M1249" s="172">
        <f t="shared" ref="M1249" si="804">M1247*M1248</f>
        <v>0</v>
      </c>
      <c r="N1249" s="172">
        <f t="shared" ref="N1249" si="805">N1247*N1248</f>
        <v>0</v>
      </c>
      <c r="O1249" s="172">
        <f t="shared" ref="O1249" si="806">O1247*O1248</f>
        <v>0</v>
      </c>
      <c r="P1249" s="172">
        <f t="shared" ref="P1249" si="807">P1247*P1248</f>
        <v>0</v>
      </c>
      <c r="Q1249" s="172">
        <f t="shared" ref="Q1249" si="808">Q1247*Q1248</f>
        <v>0</v>
      </c>
      <c r="R1249" s="140">
        <f>'Input Operasional'!Q142</f>
        <v>2599000</v>
      </c>
      <c r="S1249" s="140">
        <f>'Input Operasional'!R142</f>
        <v>2599000</v>
      </c>
      <c r="T1249" s="140">
        <f>'Input Operasional'!S142</f>
        <v>2599000</v>
      </c>
      <c r="U1249" s="140">
        <f>'Input Operasional'!T142</f>
        <v>2599000</v>
      </c>
      <c r="V1249" s="140">
        <f>'Input Operasional'!U142</f>
        <v>2599000</v>
      </c>
      <c r="W1249" s="140">
        <f>'Input Operasional'!V142</f>
        <v>2599000</v>
      </c>
      <c r="X1249" s="140">
        <f>'Input Operasional'!W142</f>
        <v>2599000</v>
      </c>
      <c r="Y1249" s="140">
        <f>'Input Operasional'!X142</f>
        <v>2599000</v>
      </c>
      <c r="Z1249" s="140">
        <f>'Input Operasional'!Y142</f>
        <v>2599000</v>
      </c>
      <c r="AA1249" s="140">
        <f>'Input Operasional'!Z142</f>
        <v>2599000</v>
      </c>
      <c r="AB1249" s="140">
        <f>'Input Operasional'!AA142</f>
        <v>2599000</v>
      </c>
      <c r="AC1249" s="140">
        <f>'Input Operasional'!AB142</f>
        <v>2599000</v>
      </c>
      <c r="AD1249" s="140">
        <f>'Input Operasional'!AC142</f>
        <v>2599000</v>
      </c>
      <c r="AE1249" s="140">
        <f>'Input Operasional'!AD142</f>
        <v>2599000</v>
      </c>
      <c r="AF1249" s="140">
        <f>'Input Operasional'!AE142</f>
        <v>2599000</v>
      </c>
      <c r="AG1249" s="140">
        <f>'Input Operasional'!AF142</f>
        <v>2599000</v>
      </c>
    </row>
    <row r="1250" spans="1:33" ht="14.25" customHeight="1" x14ac:dyDescent="0.35">
      <c r="A1250" s="21"/>
      <c r="B1250" s="292"/>
      <c r="C1250" s="292"/>
      <c r="D1250" s="295"/>
      <c r="E1250" s="294" t="s">
        <v>5554</v>
      </c>
      <c r="F1250" s="21"/>
      <c r="G1250" s="21"/>
      <c r="H1250" s="21"/>
      <c r="I1250" s="22" t="s">
        <v>5550</v>
      </c>
      <c r="J1250" s="172">
        <f t="shared" ref="J1250" si="809">J1248*J1249</f>
        <v>0</v>
      </c>
      <c r="K1250" s="172">
        <f t="shared" ref="K1250" si="810">K1248*K1249</f>
        <v>0</v>
      </c>
      <c r="L1250" s="172">
        <f t="shared" ref="L1250" si="811">L1248*L1249</f>
        <v>0</v>
      </c>
      <c r="M1250" s="172">
        <f t="shared" ref="M1250" si="812">M1248*M1249</f>
        <v>0</v>
      </c>
      <c r="N1250" s="172">
        <f t="shared" ref="N1250" si="813">N1248*N1249</f>
        <v>0</v>
      </c>
      <c r="O1250" s="172">
        <f t="shared" ref="O1250" si="814">O1248*O1249</f>
        <v>0</v>
      </c>
      <c r="P1250" s="172">
        <f t="shared" ref="P1250" si="815">P1248*P1249</f>
        <v>0</v>
      </c>
      <c r="Q1250" s="172">
        <f t="shared" ref="Q1250" si="816">Q1248*Q1249</f>
        <v>0</v>
      </c>
      <c r="R1250" s="140">
        <f>'Input Operasional'!Q143</f>
        <v>1100000</v>
      </c>
      <c r="S1250" s="140">
        <f>'Input Operasional'!R143</f>
        <v>1100000</v>
      </c>
      <c r="T1250" s="140">
        <f>'Input Operasional'!S143</f>
        <v>1100000</v>
      </c>
      <c r="U1250" s="140">
        <f>'Input Operasional'!T143</f>
        <v>1100000</v>
      </c>
      <c r="V1250" s="140">
        <f>'Input Operasional'!U143</f>
        <v>1100000</v>
      </c>
      <c r="W1250" s="140">
        <f>'Input Operasional'!V143</f>
        <v>1100000</v>
      </c>
      <c r="X1250" s="140">
        <f>'Input Operasional'!W143</f>
        <v>1100000</v>
      </c>
      <c r="Y1250" s="140">
        <f>'Input Operasional'!X143</f>
        <v>1100000</v>
      </c>
      <c r="Z1250" s="140">
        <f>'Input Operasional'!Y143</f>
        <v>1100000</v>
      </c>
      <c r="AA1250" s="140">
        <f>'Input Operasional'!Z143</f>
        <v>1100000</v>
      </c>
      <c r="AB1250" s="140">
        <f>'Input Operasional'!AA143</f>
        <v>1100000</v>
      </c>
      <c r="AC1250" s="140">
        <f>'Input Operasional'!AB143</f>
        <v>1100000</v>
      </c>
      <c r="AD1250" s="140">
        <f>'Input Operasional'!AC143</f>
        <v>1100000</v>
      </c>
      <c r="AE1250" s="140">
        <f>'Input Operasional'!AD143</f>
        <v>1100000</v>
      </c>
      <c r="AF1250" s="140">
        <f>'Input Operasional'!AE143</f>
        <v>1100000</v>
      </c>
      <c r="AG1250" s="140">
        <f>'Input Operasional'!AF143</f>
        <v>1100000</v>
      </c>
    </row>
    <row r="1251" spans="1:33" ht="14.25" customHeight="1" x14ac:dyDescent="0.35">
      <c r="A1251" s="21"/>
      <c r="B1251" s="292"/>
      <c r="C1251" s="292"/>
      <c r="D1251" s="295"/>
      <c r="E1251" s="175" t="s">
        <v>5556</v>
      </c>
      <c r="F1251" s="21"/>
      <c r="G1251" s="21"/>
      <c r="H1251" s="21"/>
      <c r="I1251" s="22" t="s">
        <v>13</v>
      </c>
      <c r="J1251" s="122"/>
      <c r="K1251" s="122"/>
      <c r="L1251" s="122"/>
      <c r="M1251" s="122"/>
      <c r="N1251" s="122"/>
      <c r="O1251" s="122"/>
      <c r="P1251" s="122"/>
      <c r="Q1251" s="122"/>
      <c r="R1251" s="122">
        <f>'Input Operasional'!Q144</f>
        <v>0.5</v>
      </c>
      <c r="S1251" s="122">
        <f>'Input Operasional'!R144</f>
        <v>0.5</v>
      </c>
      <c r="T1251" s="122">
        <f>'Input Operasional'!S144</f>
        <v>0.5</v>
      </c>
      <c r="U1251" s="122">
        <f>'Input Operasional'!T144</f>
        <v>0.5</v>
      </c>
      <c r="V1251" s="122">
        <f>'Input Operasional'!U144</f>
        <v>0.5</v>
      </c>
      <c r="W1251" s="122">
        <f>'Input Operasional'!V144</f>
        <v>0.5</v>
      </c>
      <c r="X1251" s="122">
        <f>'Input Operasional'!W144</f>
        <v>0.5</v>
      </c>
      <c r="Y1251" s="122">
        <f>'Input Operasional'!X144</f>
        <v>0.5</v>
      </c>
      <c r="Z1251" s="122">
        <f>'Input Operasional'!Y144</f>
        <v>0.5</v>
      </c>
      <c r="AA1251" s="122">
        <f>'Input Operasional'!Z144</f>
        <v>0.5</v>
      </c>
      <c r="AB1251" s="122">
        <f>'Input Operasional'!AA144</f>
        <v>0.5</v>
      </c>
      <c r="AC1251" s="122">
        <f>'Input Operasional'!AB144</f>
        <v>0.5</v>
      </c>
      <c r="AD1251" s="122">
        <f>'Input Operasional'!AC144</f>
        <v>0.5</v>
      </c>
      <c r="AE1251" s="122">
        <f>'Input Operasional'!AD144</f>
        <v>0.5</v>
      </c>
      <c r="AF1251" s="122">
        <f>'Input Operasional'!AE144</f>
        <v>0.5</v>
      </c>
      <c r="AG1251" s="122">
        <f>'Input Operasional'!AF144</f>
        <v>0.5</v>
      </c>
    </row>
    <row r="1252" spans="1:33" ht="14.25" customHeight="1" x14ac:dyDescent="0.35">
      <c r="A1252" s="21"/>
      <c r="B1252" s="21"/>
      <c r="C1252" s="21"/>
      <c r="D1252" s="21"/>
      <c r="E1252" s="128" t="s">
        <v>5557</v>
      </c>
      <c r="F1252" s="21"/>
      <c r="G1252" s="21"/>
      <c r="H1252" s="21"/>
      <c r="I1252" s="22" t="s">
        <v>3921</v>
      </c>
      <c r="J1252" s="148"/>
      <c r="K1252" s="148"/>
      <c r="L1252" s="148"/>
      <c r="M1252" s="148"/>
      <c r="N1252" s="148"/>
      <c r="O1252" s="148"/>
      <c r="P1252" s="148"/>
      <c r="Q1252" s="148"/>
      <c r="R1252" s="149">
        <f>R1247*R1249+R1247*R1251*R1250</f>
        <v>148003000</v>
      </c>
      <c r="S1252" s="149">
        <f t="shared" ref="S1252:AG1252" si="817">S1247*S1249+S1247*S1251*S1250</f>
        <v>148003000</v>
      </c>
      <c r="T1252" s="149">
        <f t="shared" si="817"/>
        <v>148003000</v>
      </c>
      <c r="U1252" s="149">
        <f t="shared" si="817"/>
        <v>148003000</v>
      </c>
      <c r="V1252" s="149">
        <f t="shared" si="817"/>
        <v>148003000</v>
      </c>
      <c r="W1252" s="149">
        <f t="shared" si="817"/>
        <v>148003000</v>
      </c>
      <c r="X1252" s="149">
        <f t="shared" si="817"/>
        <v>148003000</v>
      </c>
      <c r="Y1252" s="149">
        <f t="shared" si="817"/>
        <v>148003000</v>
      </c>
      <c r="Z1252" s="149">
        <f t="shared" si="817"/>
        <v>148003000</v>
      </c>
      <c r="AA1252" s="149">
        <f t="shared" si="817"/>
        <v>148003000</v>
      </c>
      <c r="AB1252" s="149">
        <f t="shared" si="817"/>
        <v>148003000</v>
      </c>
      <c r="AC1252" s="149">
        <f t="shared" si="817"/>
        <v>148003000</v>
      </c>
      <c r="AD1252" s="149">
        <f t="shared" si="817"/>
        <v>148003000</v>
      </c>
      <c r="AE1252" s="149">
        <f t="shared" si="817"/>
        <v>148003000</v>
      </c>
      <c r="AF1252" s="149">
        <f t="shared" si="817"/>
        <v>148003000</v>
      </c>
      <c r="AG1252" s="149">
        <f t="shared" si="817"/>
        <v>148003000</v>
      </c>
    </row>
    <row r="1253" spans="1:33" ht="14.25" customHeight="1" x14ac:dyDescent="0.35">
      <c r="A1253" s="21"/>
      <c r="B1253" s="292"/>
      <c r="C1253" s="292" t="s">
        <v>5558</v>
      </c>
      <c r="D1253" s="293" t="s">
        <v>5465</v>
      </c>
      <c r="E1253" s="21"/>
      <c r="F1253" s="21"/>
      <c r="G1253" s="21"/>
      <c r="H1253" s="21"/>
      <c r="I1253" s="22"/>
      <c r="J1253" s="22"/>
      <c r="K1253" s="22"/>
      <c r="L1253" s="22"/>
      <c r="M1253" s="22"/>
      <c r="N1253" s="22"/>
      <c r="O1253" s="22"/>
      <c r="P1253" s="22"/>
      <c r="Q1253" s="22"/>
      <c r="R1253" s="22"/>
      <c r="S1253" s="22"/>
      <c r="T1253" s="22"/>
      <c r="U1253" s="22"/>
      <c r="V1253" s="22"/>
      <c r="W1253" s="22"/>
      <c r="X1253" s="22"/>
      <c r="Y1253" s="22"/>
      <c r="Z1253" s="22"/>
      <c r="AA1253" s="22"/>
      <c r="AB1253" s="22"/>
      <c r="AC1253" s="22"/>
      <c r="AD1253" s="22"/>
      <c r="AE1253" s="22"/>
      <c r="AF1253" s="22"/>
      <c r="AG1253" s="22"/>
    </row>
    <row r="1254" spans="1:33" ht="14.25" customHeight="1" x14ac:dyDescent="0.35">
      <c r="A1254" s="21"/>
      <c r="B1254" s="292"/>
      <c r="C1254" s="292"/>
      <c r="D1254" s="295" t="s">
        <v>5559</v>
      </c>
      <c r="E1254" s="21"/>
      <c r="F1254" s="21"/>
      <c r="G1254" s="21"/>
      <c r="H1254" s="21"/>
      <c r="I1254" s="22"/>
      <c r="J1254" s="22"/>
      <c r="K1254" s="22"/>
      <c r="L1254" s="22"/>
      <c r="M1254" s="22"/>
      <c r="N1254" s="22"/>
      <c r="O1254" s="22"/>
      <c r="P1254" s="22"/>
      <c r="Q1254" s="22"/>
      <c r="R1254" s="22"/>
      <c r="S1254" s="22"/>
      <c r="T1254" s="22"/>
      <c r="U1254" s="22"/>
      <c r="V1254" s="22"/>
      <c r="W1254" s="22"/>
      <c r="X1254" s="22"/>
      <c r="Y1254" s="22"/>
      <c r="Z1254" s="22"/>
      <c r="AA1254" s="22"/>
      <c r="AB1254" s="22"/>
      <c r="AC1254" s="22"/>
      <c r="AD1254" s="22"/>
      <c r="AE1254" s="22"/>
      <c r="AF1254" s="22"/>
      <c r="AG1254" s="22"/>
    </row>
    <row r="1255" spans="1:33" ht="14.25" customHeight="1" x14ac:dyDescent="0.35">
      <c r="A1255" s="21"/>
      <c r="B1255" s="21"/>
      <c r="C1255" s="21"/>
      <c r="D1255" s="128"/>
      <c r="E1255" s="128" t="s">
        <v>5534</v>
      </c>
      <c r="F1255" s="21"/>
      <c r="G1255" s="21"/>
      <c r="H1255" s="21"/>
      <c r="I1255" s="22" t="s">
        <v>3900</v>
      </c>
      <c r="J1255" s="172">
        <f>J61</f>
        <v>338218</v>
      </c>
      <c r="K1255" s="172">
        <f t="shared" ref="K1255:AG1255" si="818">K61</f>
        <v>319345.90000000002</v>
      </c>
      <c r="L1255" s="172">
        <f t="shared" si="818"/>
        <v>233800.28</v>
      </c>
      <c r="M1255" s="172">
        <f t="shared" si="818"/>
        <v>238577.4</v>
      </c>
      <c r="N1255" s="172">
        <f t="shared" si="818"/>
        <v>273545.5</v>
      </c>
      <c r="O1255" s="172">
        <f t="shared" si="818"/>
        <v>283250</v>
      </c>
      <c r="P1255" s="172">
        <f t="shared" si="818"/>
        <v>295327.5</v>
      </c>
      <c r="Q1255" s="172">
        <f t="shared" si="818"/>
        <v>315689</v>
      </c>
      <c r="R1255" s="140">
        <f t="shared" si="818"/>
        <v>290325.94164254074</v>
      </c>
      <c r="S1255" s="140">
        <f t="shared" si="818"/>
        <v>290325.94164254074</v>
      </c>
      <c r="T1255" s="140">
        <f t="shared" si="818"/>
        <v>290325.94164254074</v>
      </c>
      <c r="U1255" s="140">
        <f t="shared" si="818"/>
        <v>290325.94164254074</v>
      </c>
      <c r="V1255" s="140">
        <f t="shared" si="818"/>
        <v>290325.94164254074</v>
      </c>
      <c r="W1255" s="140">
        <f t="shared" si="818"/>
        <v>290325.94164254074</v>
      </c>
      <c r="X1255" s="140">
        <f t="shared" si="818"/>
        <v>290325.94164254074</v>
      </c>
      <c r="Y1255" s="140">
        <f t="shared" si="818"/>
        <v>290325.94164254074</v>
      </c>
      <c r="Z1255" s="140">
        <f t="shared" si="818"/>
        <v>290325.94164254074</v>
      </c>
      <c r="AA1255" s="140">
        <f t="shared" si="818"/>
        <v>290325.94164254074</v>
      </c>
      <c r="AB1255" s="140">
        <f t="shared" si="818"/>
        <v>290325.94164254074</v>
      </c>
      <c r="AC1255" s="140">
        <f t="shared" si="818"/>
        <v>290325.94164254074</v>
      </c>
      <c r="AD1255" s="140">
        <f t="shared" si="818"/>
        <v>290325.94164254074</v>
      </c>
      <c r="AE1255" s="140">
        <f t="shared" si="818"/>
        <v>290325.94164254074</v>
      </c>
      <c r="AF1255" s="140">
        <f t="shared" si="818"/>
        <v>290325.94164254074</v>
      </c>
      <c r="AG1255" s="140">
        <f t="shared" si="818"/>
        <v>290325.94164254074</v>
      </c>
    </row>
    <row r="1256" spans="1:33" ht="14.25" customHeight="1" x14ac:dyDescent="0.35">
      <c r="A1256" s="21"/>
      <c r="B1256" s="28"/>
      <c r="C1256" s="28"/>
      <c r="D1256" s="175"/>
      <c r="E1256" s="175" t="s">
        <v>5560</v>
      </c>
      <c r="F1256" s="21"/>
      <c r="G1256" s="21"/>
      <c r="H1256" s="21"/>
      <c r="I1256" s="22" t="s">
        <v>13</v>
      </c>
      <c r="J1256" s="122">
        <f>J62</f>
        <v>0.70370999999999995</v>
      </c>
      <c r="K1256" s="122">
        <f t="shared" ref="K1256:AG1256" si="819">K62</f>
        <v>0.65163599999999999</v>
      </c>
      <c r="L1256" s="122">
        <f t="shared" si="819"/>
        <v>0.59535700000000003</v>
      </c>
      <c r="M1256" s="122">
        <f t="shared" si="819"/>
        <v>0.52478999999999998</v>
      </c>
      <c r="N1256" s="122">
        <f t="shared" si="819"/>
        <v>0.46373700000000001</v>
      </c>
      <c r="O1256" s="122">
        <f t="shared" si="819"/>
        <v>0.54547599999999996</v>
      </c>
      <c r="P1256" s="122">
        <f t="shared" si="819"/>
        <v>0.45255000000000001</v>
      </c>
      <c r="Q1256" s="122">
        <f t="shared" si="819"/>
        <v>0.54164199999999996</v>
      </c>
      <c r="R1256" s="126">
        <f t="shared" si="819"/>
        <v>0.5</v>
      </c>
      <c r="S1256" s="126">
        <f t="shared" si="819"/>
        <v>0.5</v>
      </c>
      <c r="T1256" s="126">
        <f t="shared" si="819"/>
        <v>0.5</v>
      </c>
      <c r="U1256" s="126">
        <f t="shared" si="819"/>
        <v>0.5</v>
      </c>
      <c r="V1256" s="126">
        <f t="shared" si="819"/>
        <v>0.5</v>
      </c>
      <c r="W1256" s="126">
        <f t="shared" si="819"/>
        <v>0.5</v>
      </c>
      <c r="X1256" s="126">
        <f t="shared" si="819"/>
        <v>0.5</v>
      </c>
      <c r="Y1256" s="126">
        <f t="shared" si="819"/>
        <v>0.5</v>
      </c>
      <c r="Z1256" s="126">
        <f t="shared" si="819"/>
        <v>0.5</v>
      </c>
      <c r="AA1256" s="126">
        <f t="shared" si="819"/>
        <v>0.5</v>
      </c>
      <c r="AB1256" s="126">
        <f t="shared" si="819"/>
        <v>0.5</v>
      </c>
      <c r="AC1256" s="126">
        <f t="shared" si="819"/>
        <v>0.5</v>
      </c>
      <c r="AD1256" s="126">
        <f t="shared" si="819"/>
        <v>0.5</v>
      </c>
      <c r="AE1256" s="126">
        <f t="shared" si="819"/>
        <v>0.5</v>
      </c>
      <c r="AF1256" s="126">
        <f t="shared" si="819"/>
        <v>0.5</v>
      </c>
      <c r="AG1256" s="126">
        <f t="shared" si="819"/>
        <v>0.5</v>
      </c>
    </row>
    <row r="1257" spans="1:33" ht="14.25" customHeight="1" x14ac:dyDescent="0.35">
      <c r="A1257" s="21"/>
      <c r="B1257" s="21"/>
      <c r="C1257" s="21"/>
      <c r="D1257" s="294"/>
      <c r="E1257" s="294" t="s">
        <v>5561</v>
      </c>
      <c r="F1257" s="21"/>
      <c r="G1257" s="21"/>
      <c r="H1257" s="21"/>
      <c r="I1257" s="22" t="s">
        <v>3900</v>
      </c>
      <c r="J1257" s="172">
        <f>J1255*J1256</f>
        <v>238007.38877999998</v>
      </c>
      <c r="K1257" s="172">
        <f t="shared" ref="K1257" si="820">K1255*K1256</f>
        <v>208097.2848924</v>
      </c>
      <c r="L1257" s="172">
        <f t="shared" ref="L1257" si="821">L1255*L1256</f>
        <v>139194.63329996</v>
      </c>
      <c r="M1257" s="172">
        <f t="shared" ref="M1257" si="822">M1255*M1256</f>
        <v>125203.03374599999</v>
      </c>
      <c r="N1257" s="172">
        <f t="shared" ref="N1257" si="823">N1255*N1256</f>
        <v>126853.1695335</v>
      </c>
      <c r="O1257" s="172">
        <f t="shared" ref="O1257" si="824">O1255*O1256</f>
        <v>154506.07699999999</v>
      </c>
      <c r="P1257" s="172">
        <f t="shared" ref="P1257" si="825">P1255*P1256</f>
        <v>133650.46012500001</v>
      </c>
      <c r="Q1257" s="172">
        <f t="shared" ref="Q1257" si="826">Q1255*Q1256</f>
        <v>170990.42133799999</v>
      </c>
      <c r="R1257" s="140">
        <f t="shared" ref="R1257" si="827">R1255*R1256</f>
        <v>145162.97082127037</v>
      </c>
      <c r="S1257" s="140">
        <f t="shared" ref="S1257" si="828">S1255*S1256</f>
        <v>145162.97082127037</v>
      </c>
      <c r="T1257" s="140">
        <f t="shared" ref="T1257" si="829">T1255*T1256</f>
        <v>145162.97082127037</v>
      </c>
      <c r="U1257" s="140">
        <f t="shared" ref="U1257" si="830">U1255*U1256</f>
        <v>145162.97082127037</v>
      </c>
      <c r="V1257" s="140">
        <f t="shared" ref="V1257" si="831">V1255*V1256</f>
        <v>145162.97082127037</v>
      </c>
      <c r="W1257" s="140">
        <f t="shared" ref="W1257" si="832">W1255*W1256</f>
        <v>145162.97082127037</v>
      </c>
      <c r="X1257" s="140">
        <f t="shared" ref="X1257" si="833">X1255*X1256</f>
        <v>145162.97082127037</v>
      </c>
      <c r="Y1257" s="140">
        <f t="shared" ref="Y1257" si="834">Y1255*Y1256</f>
        <v>145162.97082127037</v>
      </c>
      <c r="Z1257" s="140">
        <f t="shared" ref="Z1257" si="835">Z1255*Z1256</f>
        <v>145162.97082127037</v>
      </c>
      <c r="AA1257" s="140">
        <f t="shared" ref="AA1257" si="836">AA1255*AA1256</f>
        <v>145162.97082127037</v>
      </c>
      <c r="AB1257" s="140">
        <f t="shared" ref="AB1257" si="837">AB1255*AB1256</f>
        <v>145162.97082127037</v>
      </c>
      <c r="AC1257" s="140">
        <f t="shared" ref="AC1257" si="838">AC1255*AC1256</f>
        <v>145162.97082127037</v>
      </c>
      <c r="AD1257" s="140">
        <f t="shared" ref="AD1257" si="839">AD1255*AD1256</f>
        <v>145162.97082127037</v>
      </c>
      <c r="AE1257" s="140">
        <f t="shared" ref="AE1257" si="840">AE1255*AE1256</f>
        <v>145162.97082127037</v>
      </c>
      <c r="AF1257" s="140">
        <f t="shared" ref="AF1257" si="841">AF1255*AF1256</f>
        <v>145162.97082127037</v>
      </c>
      <c r="AG1257" s="140">
        <f t="shared" ref="AG1257" si="842">AG1255*AG1256</f>
        <v>145162.97082127037</v>
      </c>
    </row>
    <row r="1258" spans="1:33" ht="14.25" customHeight="1" x14ac:dyDescent="0.35">
      <c r="A1258" s="21"/>
      <c r="B1258" s="292"/>
      <c r="C1258" s="292"/>
      <c r="D1258" s="295" t="s">
        <v>5544</v>
      </c>
      <c r="E1258" s="21"/>
      <c r="F1258" s="21"/>
      <c r="G1258" s="21"/>
      <c r="H1258" s="21"/>
      <c r="I1258" s="22"/>
      <c r="J1258" s="22"/>
      <c r="K1258" s="22"/>
      <c r="L1258" s="22"/>
      <c r="M1258" s="22"/>
      <c r="N1258" s="22"/>
      <c r="O1258" s="22"/>
      <c r="P1258" s="22"/>
      <c r="Q1258" s="22"/>
      <c r="R1258" s="22"/>
      <c r="S1258" s="22"/>
      <c r="T1258" s="22"/>
      <c r="U1258" s="22"/>
      <c r="V1258" s="22"/>
      <c r="W1258" s="22"/>
      <c r="X1258" s="22"/>
      <c r="Y1258" s="22"/>
      <c r="Z1258" s="22"/>
      <c r="AA1258" s="22"/>
      <c r="AB1258" s="22"/>
      <c r="AC1258" s="22"/>
      <c r="AD1258" s="22"/>
      <c r="AE1258" s="22"/>
      <c r="AF1258" s="22"/>
      <c r="AG1258" s="22"/>
    </row>
    <row r="1259" spans="1:33" ht="14.25" customHeight="1" x14ac:dyDescent="0.35">
      <c r="A1259" s="21"/>
      <c r="B1259" s="21"/>
      <c r="C1259" s="21"/>
      <c r="D1259" s="294"/>
      <c r="E1259" s="294" t="s">
        <v>5546</v>
      </c>
      <c r="F1259" s="21"/>
      <c r="G1259" s="21"/>
      <c r="H1259" s="21"/>
      <c r="I1259" s="22" t="s">
        <v>3900</v>
      </c>
      <c r="J1259" s="172">
        <f>'Input Operasional'!I140</f>
        <v>3500</v>
      </c>
      <c r="K1259" s="172">
        <f>'Input Operasional'!J140</f>
        <v>3500</v>
      </c>
      <c r="L1259" s="172">
        <f>'Input Operasional'!K140</f>
        <v>3500</v>
      </c>
      <c r="M1259" s="172">
        <f>'Input Operasional'!L140</f>
        <v>3500</v>
      </c>
      <c r="N1259" s="172">
        <f>'Input Operasional'!M140</f>
        <v>3500</v>
      </c>
      <c r="O1259" s="172">
        <f>'Input Operasional'!N140</f>
        <v>3500</v>
      </c>
      <c r="P1259" s="172">
        <f>'Input Operasional'!O140</f>
        <v>3500</v>
      </c>
      <c r="Q1259" s="172">
        <f>'Input Operasional'!P140</f>
        <v>3500</v>
      </c>
      <c r="R1259" s="140">
        <f>'Input Operasional'!Q140</f>
        <v>3500</v>
      </c>
      <c r="S1259" s="140">
        <f>'Input Operasional'!R140</f>
        <v>3500</v>
      </c>
      <c r="T1259" s="140">
        <f>'Input Operasional'!S140</f>
        <v>3500</v>
      </c>
      <c r="U1259" s="140">
        <f>'Input Operasional'!T140</f>
        <v>3500</v>
      </c>
      <c r="V1259" s="140">
        <f>'Input Operasional'!U140</f>
        <v>3500</v>
      </c>
      <c r="W1259" s="140">
        <f>'Input Operasional'!V140</f>
        <v>3500</v>
      </c>
      <c r="X1259" s="140">
        <f>'Input Operasional'!W140</f>
        <v>3500</v>
      </c>
      <c r="Y1259" s="140">
        <f>'Input Operasional'!X140</f>
        <v>3500</v>
      </c>
      <c r="Z1259" s="140">
        <f>'Input Operasional'!Y140</f>
        <v>3500</v>
      </c>
      <c r="AA1259" s="140">
        <f>'Input Operasional'!Z140</f>
        <v>3500</v>
      </c>
      <c r="AB1259" s="140">
        <f>'Input Operasional'!AA140</f>
        <v>3500</v>
      </c>
      <c r="AC1259" s="140">
        <f>'Input Operasional'!AB140</f>
        <v>3500</v>
      </c>
      <c r="AD1259" s="140">
        <f>'Input Operasional'!AC140</f>
        <v>3500</v>
      </c>
      <c r="AE1259" s="140">
        <f>'Input Operasional'!AD140</f>
        <v>3500</v>
      </c>
      <c r="AF1259" s="140">
        <f>'Input Operasional'!AE140</f>
        <v>3500</v>
      </c>
      <c r="AG1259" s="140">
        <f>'Input Operasional'!AF140</f>
        <v>3500</v>
      </c>
    </row>
    <row r="1260" spans="1:33" ht="14.25" customHeight="1" x14ac:dyDescent="0.35">
      <c r="A1260" s="21"/>
      <c r="B1260" s="28"/>
      <c r="C1260" s="28"/>
      <c r="D1260" s="175"/>
      <c r="E1260" s="175" t="s">
        <v>5537</v>
      </c>
      <c r="F1260" s="21"/>
      <c r="G1260" s="21"/>
      <c r="H1260" s="21"/>
      <c r="I1260" s="22" t="s">
        <v>13</v>
      </c>
      <c r="J1260" s="122">
        <f>'Input Operasional'!I141</f>
        <v>0</v>
      </c>
      <c r="K1260" s="122">
        <f>'Input Operasional'!J141</f>
        <v>0</v>
      </c>
      <c r="L1260" s="122">
        <f>'Input Operasional'!K141</f>
        <v>0</v>
      </c>
      <c r="M1260" s="122">
        <f>'Input Operasional'!L141</f>
        <v>0</v>
      </c>
      <c r="N1260" s="122">
        <f>'Input Operasional'!M141</f>
        <v>0</v>
      </c>
      <c r="O1260" s="122">
        <f>'Input Operasional'!N141</f>
        <v>0</v>
      </c>
      <c r="P1260" s="122">
        <f>'Input Operasional'!O141</f>
        <v>0</v>
      </c>
      <c r="Q1260" s="122">
        <f>'Input Operasional'!P141</f>
        <v>0</v>
      </c>
      <c r="R1260" s="122">
        <f>'Input Operasional'!Q141</f>
        <v>0.9</v>
      </c>
      <c r="S1260" s="122">
        <f>'Input Operasional'!R141</f>
        <v>0.9</v>
      </c>
      <c r="T1260" s="122">
        <f>'Input Operasional'!S141</f>
        <v>0.9</v>
      </c>
      <c r="U1260" s="122">
        <f>'Input Operasional'!T141</f>
        <v>0.9</v>
      </c>
      <c r="V1260" s="122">
        <f>'Input Operasional'!U141</f>
        <v>0.9</v>
      </c>
      <c r="W1260" s="122">
        <f>'Input Operasional'!V141</f>
        <v>0.9</v>
      </c>
      <c r="X1260" s="122">
        <f>'Input Operasional'!W141</f>
        <v>0.9</v>
      </c>
      <c r="Y1260" s="122">
        <f>'Input Operasional'!X141</f>
        <v>0.9</v>
      </c>
      <c r="Z1260" s="122">
        <f>'Input Operasional'!Y141</f>
        <v>0.9</v>
      </c>
      <c r="AA1260" s="122">
        <f>'Input Operasional'!Z141</f>
        <v>0.9</v>
      </c>
      <c r="AB1260" s="122">
        <f>'Input Operasional'!AA141</f>
        <v>0.9</v>
      </c>
      <c r="AC1260" s="122">
        <f>'Input Operasional'!AB141</f>
        <v>0.9</v>
      </c>
      <c r="AD1260" s="122">
        <f>'Input Operasional'!AC141</f>
        <v>0.9</v>
      </c>
      <c r="AE1260" s="122">
        <f>'Input Operasional'!AD141</f>
        <v>0.9</v>
      </c>
      <c r="AF1260" s="122">
        <f>'Input Operasional'!AE141</f>
        <v>0.9</v>
      </c>
      <c r="AG1260" s="122">
        <f>'Input Operasional'!AF141</f>
        <v>0.9</v>
      </c>
    </row>
    <row r="1261" spans="1:33" ht="14.25" customHeight="1" x14ac:dyDescent="0.35">
      <c r="A1261" s="21"/>
      <c r="B1261" s="21"/>
      <c r="C1261" s="21"/>
      <c r="D1261" s="294"/>
      <c r="E1261" s="294" t="s">
        <v>5545</v>
      </c>
      <c r="F1261" s="21"/>
      <c r="G1261" s="21"/>
      <c r="H1261" s="21"/>
      <c r="I1261" s="22" t="s">
        <v>3900</v>
      </c>
      <c r="J1261" s="172">
        <f>J1259*J1260</f>
        <v>0</v>
      </c>
      <c r="K1261" s="172">
        <f t="shared" ref="K1261:K1262" si="843">K1259*K1260</f>
        <v>0</v>
      </c>
      <c r="L1261" s="172">
        <f t="shared" ref="L1261:L1262" si="844">L1259*L1260</f>
        <v>0</v>
      </c>
      <c r="M1261" s="172">
        <f t="shared" ref="M1261:M1262" si="845">M1259*M1260</f>
        <v>0</v>
      </c>
      <c r="N1261" s="172">
        <f t="shared" ref="N1261:N1262" si="846">N1259*N1260</f>
        <v>0</v>
      </c>
      <c r="O1261" s="172">
        <f t="shared" ref="O1261:O1262" si="847">O1259*O1260</f>
        <v>0</v>
      </c>
      <c r="P1261" s="172">
        <f t="shared" ref="P1261:P1262" si="848">P1259*P1260</f>
        <v>0</v>
      </c>
      <c r="Q1261" s="172">
        <f t="shared" ref="Q1261:Q1262" si="849">Q1259*Q1260</f>
        <v>0</v>
      </c>
      <c r="R1261" s="140">
        <f t="shared" ref="R1261" si="850">R1259*R1260</f>
        <v>3150</v>
      </c>
      <c r="S1261" s="140">
        <f t="shared" ref="S1261" si="851">S1259*S1260</f>
        <v>3150</v>
      </c>
      <c r="T1261" s="140">
        <f t="shared" ref="T1261" si="852">T1259*T1260</f>
        <v>3150</v>
      </c>
      <c r="U1261" s="140">
        <f t="shared" ref="U1261" si="853">U1259*U1260</f>
        <v>3150</v>
      </c>
      <c r="V1261" s="140">
        <f t="shared" ref="V1261" si="854">V1259*V1260</f>
        <v>3150</v>
      </c>
      <c r="W1261" s="140">
        <f t="shared" ref="W1261" si="855">W1259*W1260</f>
        <v>3150</v>
      </c>
      <c r="X1261" s="140">
        <f t="shared" ref="X1261" si="856">X1259*X1260</f>
        <v>3150</v>
      </c>
      <c r="Y1261" s="140">
        <f t="shared" ref="Y1261" si="857">Y1259*Y1260</f>
        <v>3150</v>
      </c>
      <c r="Z1261" s="140">
        <f t="shared" ref="Z1261" si="858">Z1259*Z1260</f>
        <v>3150</v>
      </c>
      <c r="AA1261" s="140">
        <f t="shared" ref="AA1261" si="859">AA1259*AA1260</f>
        <v>3150</v>
      </c>
      <c r="AB1261" s="140">
        <f t="shared" ref="AB1261" si="860">AB1259*AB1260</f>
        <v>3150</v>
      </c>
      <c r="AC1261" s="140">
        <f t="shared" ref="AC1261" si="861">AC1259*AC1260</f>
        <v>3150</v>
      </c>
      <c r="AD1261" s="140">
        <f t="shared" ref="AD1261" si="862">AD1259*AD1260</f>
        <v>3150</v>
      </c>
      <c r="AE1261" s="140">
        <f t="shared" ref="AE1261" si="863">AE1259*AE1260</f>
        <v>3150</v>
      </c>
      <c r="AF1261" s="140">
        <f t="shared" ref="AF1261" si="864">AF1259*AF1260</f>
        <v>3150</v>
      </c>
      <c r="AG1261" s="140">
        <f t="shared" ref="AG1261" si="865">AG1259*AG1260</f>
        <v>3150</v>
      </c>
    </row>
    <row r="1262" spans="1:33" ht="14.25" customHeight="1" x14ac:dyDescent="0.35">
      <c r="A1262" s="21"/>
      <c r="B1262" s="21"/>
      <c r="C1262" s="21"/>
      <c r="D1262" s="294"/>
      <c r="E1262" s="294" t="s">
        <v>5547</v>
      </c>
      <c r="F1262" s="21"/>
      <c r="G1262" s="21"/>
      <c r="H1262" s="21"/>
      <c r="I1262" s="22" t="s">
        <v>5548</v>
      </c>
      <c r="J1262" s="172">
        <f t="shared" ref="J1262" si="866">J1260*J1261</f>
        <v>0</v>
      </c>
      <c r="K1262" s="172">
        <f t="shared" si="843"/>
        <v>0</v>
      </c>
      <c r="L1262" s="172">
        <f t="shared" si="844"/>
        <v>0</v>
      </c>
      <c r="M1262" s="172">
        <f t="shared" si="845"/>
        <v>0</v>
      </c>
      <c r="N1262" s="172">
        <f t="shared" si="846"/>
        <v>0</v>
      </c>
      <c r="O1262" s="172">
        <f t="shared" si="847"/>
        <v>0</v>
      </c>
      <c r="P1262" s="172">
        <f t="shared" si="848"/>
        <v>0</v>
      </c>
      <c r="Q1262" s="172">
        <f t="shared" si="849"/>
        <v>0</v>
      </c>
      <c r="R1262" s="140">
        <f>ROUNDUP(R1257/R1261,0)</f>
        <v>47</v>
      </c>
      <c r="S1262" s="140">
        <f t="shared" ref="S1262" si="867">ROUNDUP(S1257/S1261,0)</f>
        <v>47</v>
      </c>
      <c r="T1262" s="140">
        <f t="shared" ref="T1262" si="868">ROUNDUP(T1257/T1261,0)</f>
        <v>47</v>
      </c>
      <c r="U1262" s="140">
        <f t="shared" ref="U1262" si="869">ROUNDUP(U1257/U1261,0)</f>
        <v>47</v>
      </c>
      <c r="V1262" s="140">
        <f t="shared" ref="V1262" si="870">ROUNDUP(V1257/V1261,0)</f>
        <v>47</v>
      </c>
      <c r="W1262" s="140">
        <f t="shared" ref="W1262" si="871">ROUNDUP(W1257/W1261,0)</f>
        <v>47</v>
      </c>
      <c r="X1262" s="140">
        <f t="shared" ref="X1262" si="872">ROUNDUP(X1257/X1261,0)</f>
        <v>47</v>
      </c>
      <c r="Y1262" s="140">
        <f t="shared" ref="Y1262" si="873">ROUNDUP(Y1257/Y1261,0)</f>
        <v>47</v>
      </c>
      <c r="Z1262" s="140">
        <f t="shared" ref="Z1262" si="874">ROUNDUP(Z1257/Z1261,0)</f>
        <v>47</v>
      </c>
      <c r="AA1262" s="140">
        <f t="shared" ref="AA1262" si="875">ROUNDUP(AA1257/AA1261,0)</f>
        <v>47</v>
      </c>
      <c r="AB1262" s="140">
        <f t="shared" ref="AB1262" si="876">ROUNDUP(AB1257/AB1261,0)</f>
        <v>47</v>
      </c>
      <c r="AC1262" s="140">
        <f t="shared" ref="AC1262" si="877">ROUNDUP(AC1257/AC1261,0)</f>
        <v>47</v>
      </c>
      <c r="AD1262" s="140">
        <f t="shared" ref="AD1262" si="878">ROUNDUP(AD1257/AD1261,0)</f>
        <v>47</v>
      </c>
      <c r="AE1262" s="140">
        <f t="shared" ref="AE1262" si="879">ROUNDUP(AE1257/AE1261,0)</f>
        <v>47</v>
      </c>
      <c r="AF1262" s="140">
        <f t="shared" ref="AF1262" si="880">ROUNDUP(AF1257/AF1261,0)</f>
        <v>47</v>
      </c>
      <c r="AG1262" s="140">
        <f t="shared" ref="AG1262" si="881">ROUNDUP(AG1257/AG1261,0)</f>
        <v>47</v>
      </c>
    </row>
    <row r="1263" spans="1:33" ht="14.25" customHeight="1" x14ac:dyDescent="0.35">
      <c r="A1263" s="21"/>
      <c r="B1263" s="292"/>
      <c r="C1263" s="292"/>
      <c r="D1263" s="295" t="s">
        <v>68</v>
      </c>
      <c r="E1263" s="21"/>
      <c r="F1263" s="21"/>
      <c r="G1263" s="21"/>
      <c r="H1263" s="21"/>
      <c r="I1263" s="22"/>
      <c r="J1263" s="22"/>
      <c r="K1263" s="22"/>
      <c r="L1263" s="22"/>
      <c r="M1263" s="22"/>
      <c r="N1263" s="22"/>
      <c r="O1263" s="22"/>
      <c r="P1263" s="22"/>
      <c r="Q1263" s="22"/>
      <c r="R1263" s="22"/>
      <c r="S1263" s="22"/>
      <c r="T1263" s="22"/>
      <c r="U1263" s="22"/>
      <c r="V1263" s="22"/>
      <c r="W1263" s="22"/>
      <c r="X1263" s="22"/>
      <c r="Y1263" s="22"/>
      <c r="Z1263" s="22"/>
      <c r="AA1263" s="22"/>
      <c r="AB1263" s="22"/>
      <c r="AC1263" s="22"/>
      <c r="AD1263" s="22"/>
      <c r="AE1263" s="22"/>
      <c r="AF1263" s="22"/>
      <c r="AG1263" s="22"/>
    </row>
    <row r="1264" spans="1:33" ht="14.25" customHeight="1" x14ac:dyDescent="0.35">
      <c r="A1264" s="21"/>
      <c r="B1264" s="292"/>
      <c r="C1264" s="292"/>
      <c r="D1264" s="295"/>
      <c r="E1264" s="294" t="s">
        <v>5549</v>
      </c>
      <c r="F1264" s="21"/>
      <c r="G1264" s="21"/>
      <c r="H1264" s="21"/>
      <c r="I1264" s="22" t="s">
        <v>5550</v>
      </c>
      <c r="J1264" s="172">
        <f>'Input Operasional'!I145</f>
        <v>0</v>
      </c>
      <c r="K1264" s="172">
        <f>'Input Operasional'!J145</f>
        <v>0</v>
      </c>
      <c r="L1264" s="172">
        <f>'Input Operasional'!K145</f>
        <v>0</v>
      </c>
      <c r="M1264" s="172">
        <f>'Input Operasional'!L145</f>
        <v>0</v>
      </c>
      <c r="N1264" s="172">
        <f>'Input Operasional'!M145</f>
        <v>0</v>
      </c>
      <c r="O1264" s="172">
        <f>'Input Operasional'!N145</f>
        <v>0</v>
      </c>
      <c r="P1264" s="172">
        <f>'Input Operasional'!O145</f>
        <v>0</v>
      </c>
      <c r="Q1264" s="172">
        <f>'Input Operasional'!P145</f>
        <v>0</v>
      </c>
      <c r="R1264" s="140">
        <f>'Input Operasional'!Q145</f>
        <v>560000</v>
      </c>
      <c r="S1264" s="140">
        <f>'Input Operasional'!R145</f>
        <v>560000</v>
      </c>
      <c r="T1264" s="140">
        <f>'Input Operasional'!S145</f>
        <v>560000</v>
      </c>
      <c r="U1264" s="140">
        <f>'Input Operasional'!T145</f>
        <v>560000</v>
      </c>
      <c r="V1264" s="140">
        <f>'Input Operasional'!U145</f>
        <v>560000</v>
      </c>
      <c r="W1264" s="140">
        <f>'Input Operasional'!V145</f>
        <v>560000</v>
      </c>
      <c r="X1264" s="140">
        <f>'Input Operasional'!W145</f>
        <v>560000</v>
      </c>
      <c r="Y1264" s="140">
        <f>'Input Operasional'!X145</f>
        <v>560000</v>
      </c>
      <c r="Z1264" s="140">
        <f>'Input Operasional'!Y145</f>
        <v>560000</v>
      </c>
      <c r="AA1264" s="140">
        <f>'Input Operasional'!Z145</f>
        <v>560000</v>
      </c>
      <c r="AB1264" s="140">
        <f>'Input Operasional'!AA145</f>
        <v>560000</v>
      </c>
      <c r="AC1264" s="140">
        <f>'Input Operasional'!AB145</f>
        <v>560000</v>
      </c>
      <c r="AD1264" s="140">
        <f>'Input Operasional'!AC145</f>
        <v>560000</v>
      </c>
      <c r="AE1264" s="140">
        <f>'Input Operasional'!AD145</f>
        <v>560000</v>
      </c>
      <c r="AF1264" s="140">
        <f>'Input Operasional'!AE145</f>
        <v>560000</v>
      </c>
      <c r="AG1264" s="140">
        <f>'Input Operasional'!AF145</f>
        <v>560000</v>
      </c>
    </row>
    <row r="1265" spans="1:33" ht="14.25" customHeight="1" x14ac:dyDescent="0.35">
      <c r="A1265" s="21"/>
      <c r="B1265" s="292"/>
      <c r="C1265" s="292"/>
      <c r="D1265" s="295"/>
      <c r="E1265" s="294" t="s">
        <v>5554</v>
      </c>
      <c r="F1265" s="21"/>
      <c r="G1265" s="21"/>
      <c r="H1265" s="21"/>
      <c r="I1265" s="22" t="s">
        <v>5550</v>
      </c>
      <c r="J1265" s="172">
        <f t="shared" ref="J1265" si="882">J1263*J1264</f>
        <v>0</v>
      </c>
      <c r="K1265" s="172">
        <f t="shared" ref="K1265" si="883">K1263*K1264</f>
        <v>0</v>
      </c>
      <c r="L1265" s="172">
        <f t="shared" ref="L1265" si="884">L1263*L1264</f>
        <v>0</v>
      </c>
      <c r="M1265" s="172">
        <f t="shared" ref="M1265" si="885">M1263*M1264</f>
        <v>0</v>
      </c>
      <c r="N1265" s="172">
        <f t="shared" ref="N1265" si="886">N1263*N1264</f>
        <v>0</v>
      </c>
      <c r="O1265" s="172">
        <f t="shared" ref="O1265" si="887">O1263*O1264</f>
        <v>0</v>
      </c>
      <c r="P1265" s="172">
        <f t="shared" ref="P1265" si="888">P1263*P1264</f>
        <v>0</v>
      </c>
      <c r="Q1265" s="172">
        <f t="shared" ref="Q1265" si="889">Q1263*Q1264</f>
        <v>0</v>
      </c>
      <c r="R1265" s="140">
        <v>0</v>
      </c>
      <c r="S1265" s="140">
        <v>0</v>
      </c>
      <c r="T1265" s="140">
        <v>0</v>
      </c>
      <c r="U1265" s="140">
        <v>0</v>
      </c>
      <c r="V1265" s="140">
        <v>0</v>
      </c>
      <c r="W1265" s="140">
        <v>0</v>
      </c>
      <c r="X1265" s="140">
        <v>0</v>
      </c>
      <c r="Y1265" s="140">
        <v>0</v>
      </c>
      <c r="Z1265" s="140">
        <v>0</v>
      </c>
      <c r="AA1265" s="140">
        <v>0</v>
      </c>
      <c r="AB1265" s="140">
        <v>0</v>
      </c>
      <c r="AC1265" s="140">
        <v>0</v>
      </c>
      <c r="AD1265" s="140">
        <v>0</v>
      </c>
      <c r="AE1265" s="140">
        <v>0</v>
      </c>
      <c r="AF1265" s="140">
        <v>0</v>
      </c>
      <c r="AG1265" s="140">
        <v>0</v>
      </c>
    </row>
    <row r="1266" spans="1:33" ht="14.25" customHeight="1" x14ac:dyDescent="0.35">
      <c r="A1266" s="21"/>
      <c r="B1266" s="292"/>
      <c r="C1266" s="292"/>
      <c r="D1266" s="295"/>
      <c r="E1266" s="175" t="s">
        <v>5556</v>
      </c>
      <c r="F1266" s="21"/>
      <c r="G1266" s="21"/>
      <c r="H1266" s="21"/>
      <c r="I1266" s="22" t="s">
        <v>13</v>
      </c>
      <c r="J1266" s="122">
        <f>'Input Operasional'!I146</f>
        <v>0</v>
      </c>
      <c r="K1266" s="122">
        <f>'Input Operasional'!J146</f>
        <v>0</v>
      </c>
      <c r="L1266" s="122">
        <f>'Input Operasional'!K146</f>
        <v>0</v>
      </c>
      <c r="M1266" s="122">
        <f>'Input Operasional'!L146</f>
        <v>0</v>
      </c>
      <c r="N1266" s="122">
        <f>'Input Operasional'!M146</f>
        <v>0</v>
      </c>
      <c r="O1266" s="122">
        <f>'Input Operasional'!N146</f>
        <v>0</v>
      </c>
      <c r="P1266" s="122">
        <f>'Input Operasional'!O146</f>
        <v>0</v>
      </c>
      <c r="Q1266" s="122">
        <f>'Input Operasional'!P146</f>
        <v>0</v>
      </c>
      <c r="R1266" s="122">
        <v>0</v>
      </c>
      <c r="S1266" s="122">
        <v>0</v>
      </c>
      <c r="T1266" s="122">
        <v>0</v>
      </c>
      <c r="U1266" s="122">
        <v>0</v>
      </c>
      <c r="V1266" s="122">
        <v>0</v>
      </c>
      <c r="W1266" s="122">
        <v>0</v>
      </c>
      <c r="X1266" s="122">
        <v>0</v>
      </c>
      <c r="Y1266" s="122">
        <v>0</v>
      </c>
      <c r="Z1266" s="122">
        <v>0</v>
      </c>
      <c r="AA1266" s="122">
        <v>0</v>
      </c>
      <c r="AB1266" s="122">
        <v>0</v>
      </c>
      <c r="AC1266" s="122">
        <v>0</v>
      </c>
      <c r="AD1266" s="122">
        <v>0</v>
      </c>
      <c r="AE1266" s="122">
        <v>0</v>
      </c>
      <c r="AF1266" s="122">
        <v>0</v>
      </c>
      <c r="AG1266" s="122">
        <v>0</v>
      </c>
    </row>
    <row r="1267" spans="1:33" ht="14.25" customHeight="1" x14ac:dyDescent="0.35">
      <c r="A1267" s="21"/>
      <c r="B1267" s="21"/>
      <c r="C1267" s="21"/>
      <c r="D1267" s="21"/>
      <c r="E1267" s="128" t="s">
        <v>5557</v>
      </c>
      <c r="F1267" s="21"/>
      <c r="G1267" s="21"/>
      <c r="H1267" s="21"/>
      <c r="I1267" s="22" t="s">
        <v>3921</v>
      </c>
      <c r="J1267" s="148"/>
      <c r="K1267" s="148"/>
      <c r="L1267" s="148"/>
      <c r="M1267" s="148"/>
      <c r="N1267" s="148"/>
      <c r="O1267" s="148"/>
      <c r="P1267" s="148"/>
      <c r="Q1267" s="148"/>
      <c r="R1267" s="149">
        <f>R1262*R1264+R1262*R1266*R1265</f>
        <v>26320000</v>
      </c>
      <c r="S1267" s="149">
        <f t="shared" ref="S1267" si="890">S1262*S1264+S1262*S1266*S1265</f>
        <v>26320000</v>
      </c>
      <c r="T1267" s="149">
        <f t="shared" ref="T1267" si="891">T1262*T1264+T1262*T1266*T1265</f>
        <v>26320000</v>
      </c>
      <c r="U1267" s="149">
        <f t="shared" ref="U1267" si="892">U1262*U1264+U1262*U1266*U1265</f>
        <v>26320000</v>
      </c>
      <c r="V1267" s="149">
        <f t="shared" ref="V1267" si="893">V1262*V1264+V1262*V1266*V1265</f>
        <v>26320000</v>
      </c>
      <c r="W1267" s="149">
        <f t="shared" ref="W1267" si="894">W1262*W1264+W1262*W1266*W1265</f>
        <v>26320000</v>
      </c>
      <c r="X1267" s="149">
        <f t="shared" ref="X1267" si="895">X1262*X1264+X1262*X1266*X1265</f>
        <v>26320000</v>
      </c>
      <c r="Y1267" s="149">
        <f t="shared" ref="Y1267" si="896">Y1262*Y1264+Y1262*Y1266*Y1265</f>
        <v>26320000</v>
      </c>
      <c r="Z1267" s="149">
        <f t="shared" ref="Z1267" si="897">Z1262*Z1264+Z1262*Z1266*Z1265</f>
        <v>26320000</v>
      </c>
      <c r="AA1267" s="149">
        <f t="shared" ref="AA1267" si="898">AA1262*AA1264+AA1262*AA1266*AA1265</f>
        <v>26320000</v>
      </c>
      <c r="AB1267" s="149">
        <f t="shared" ref="AB1267" si="899">AB1262*AB1264+AB1262*AB1266*AB1265</f>
        <v>26320000</v>
      </c>
      <c r="AC1267" s="149">
        <f t="shared" ref="AC1267" si="900">AC1262*AC1264+AC1262*AC1266*AC1265</f>
        <v>26320000</v>
      </c>
      <c r="AD1267" s="149">
        <f t="shared" ref="AD1267" si="901">AD1262*AD1264+AD1262*AD1266*AD1265</f>
        <v>26320000</v>
      </c>
      <c r="AE1267" s="149">
        <f t="shared" ref="AE1267" si="902">AE1262*AE1264+AE1262*AE1266*AE1265</f>
        <v>26320000</v>
      </c>
      <c r="AF1267" s="149">
        <f t="shared" ref="AF1267" si="903">AF1262*AF1264+AF1262*AF1266*AF1265</f>
        <v>26320000</v>
      </c>
      <c r="AG1267" s="149">
        <f t="shared" ref="AG1267" si="904">AG1262*AG1264+AG1262*AG1266*AG1265</f>
        <v>26320000</v>
      </c>
    </row>
    <row r="1268" spans="1:33" ht="14.25" customHeight="1" x14ac:dyDescent="0.35">
      <c r="A1268" s="21"/>
      <c r="B1268" s="21"/>
      <c r="C1268" s="21"/>
      <c r="D1268" s="21"/>
      <c r="E1268" s="21"/>
      <c r="F1268" s="21"/>
      <c r="G1268" s="21"/>
      <c r="H1268" s="21"/>
      <c r="I1268" s="21"/>
      <c r="J1268" s="21"/>
      <c r="K1268" s="21"/>
      <c r="L1268" s="21"/>
      <c r="M1268" s="21"/>
      <c r="N1268" s="21"/>
      <c r="O1268" s="21"/>
      <c r="P1268" s="21"/>
      <c r="Q1268" s="21"/>
      <c r="R1268" s="21"/>
      <c r="S1268" s="21"/>
      <c r="T1268" s="21"/>
      <c r="U1268" s="21"/>
      <c r="V1268" s="21"/>
      <c r="W1268" s="21"/>
      <c r="X1268" s="21"/>
      <c r="Y1268" s="21"/>
      <c r="Z1268" s="21"/>
      <c r="AA1268" s="21"/>
      <c r="AB1268" s="21"/>
      <c r="AC1268" s="21"/>
      <c r="AD1268" s="21"/>
      <c r="AE1268" s="21"/>
      <c r="AF1268" s="21"/>
      <c r="AG1268" s="21"/>
    </row>
    <row r="1269" spans="1:33" ht="14.25" customHeight="1" x14ac:dyDescent="0.35">
      <c r="A1269" s="119">
        <v>12</v>
      </c>
      <c r="B1269" s="119" t="s">
        <v>5564</v>
      </c>
      <c r="C1269" s="119"/>
      <c r="D1269" s="119"/>
      <c r="E1269" s="119"/>
      <c r="F1269" s="119"/>
      <c r="G1269" s="119"/>
      <c r="H1269" s="119"/>
      <c r="I1269" s="120"/>
      <c r="J1269" s="121"/>
      <c r="K1269" s="121"/>
      <c r="L1269" s="121"/>
      <c r="M1269" s="121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</row>
    <row r="1270" spans="1:33" ht="14.25" customHeight="1" x14ac:dyDescent="0.35">
      <c r="A1270" s="21"/>
      <c r="B1270" s="292" t="s">
        <v>5566</v>
      </c>
      <c r="C1270" s="293" t="s">
        <v>5565</v>
      </c>
      <c r="D1270" s="21"/>
      <c r="E1270" s="21"/>
      <c r="F1270" s="21"/>
      <c r="G1270" s="21"/>
      <c r="H1270" s="21"/>
      <c r="I1270" s="22"/>
      <c r="J1270" s="22"/>
      <c r="K1270" s="22"/>
      <c r="L1270" s="22"/>
      <c r="M1270" s="22"/>
      <c r="N1270" s="22"/>
      <c r="O1270" s="22"/>
      <c r="P1270" s="22"/>
      <c r="Q1270" s="22"/>
      <c r="R1270" s="22"/>
      <c r="S1270" s="22"/>
      <c r="T1270" s="22"/>
      <c r="U1270" s="22"/>
      <c r="V1270" s="22"/>
      <c r="W1270" s="22"/>
      <c r="X1270" s="22"/>
      <c r="Y1270" s="22"/>
      <c r="Z1270" s="22"/>
      <c r="AA1270" s="22"/>
      <c r="AB1270" s="22"/>
      <c r="AC1270" s="22"/>
      <c r="AD1270" s="22"/>
      <c r="AE1270" s="22"/>
      <c r="AF1270" s="22"/>
      <c r="AG1270" s="22"/>
    </row>
    <row r="1271" spans="1:33" ht="14.25" customHeight="1" x14ac:dyDescent="0.35">
      <c r="A1271" s="21"/>
      <c r="B1271" s="21"/>
      <c r="C1271" s="21" t="s">
        <v>5567</v>
      </c>
      <c r="D1271" s="128"/>
      <c r="E1271" s="128"/>
      <c r="F1271" s="21"/>
      <c r="G1271" s="21"/>
      <c r="H1271" s="21"/>
      <c r="I1271" s="22" t="s">
        <v>3889</v>
      </c>
      <c r="J1271" s="132"/>
      <c r="K1271" s="132"/>
      <c r="L1271" s="132"/>
      <c r="M1271" s="132"/>
      <c r="N1271" s="132"/>
      <c r="O1271" s="132"/>
      <c r="P1271" s="132"/>
      <c r="Q1271" s="132"/>
      <c r="R1271" s="140">
        <v>11</v>
      </c>
      <c r="S1271" s="140">
        <v>11</v>
      </c>
      <c r="T1271" s="140">
        <v>11</v>
      </c>
      <c r="U1271" s="140">
        <v>11</v>
      </c>
      <c r="V1271" s="140">
        <v>11</v>
      </c>
      <c r="W1271" s="140">
        <v>11</v>
      </c>
      <c r="X1271" s="140">
        <v>11</v>
      </c>
      <c r="Y1271" s="140">
        <v>11</v>
      </c>
      <c r="Z1271" s="140">
        <v>11</v>
      </c>
      <c r="AA1271" s="140">
        <v>11</v>
      </c>
      <c r="AB1271" s="140">
        <v>11</v>
      </c>
      <c r="AC1271" s="140">
        <v>11</v>
      </c>
      <c r="AD1271" s="140">
        <v>11</v>
      </c>
      <c r="AE1271" s="140">
        <v>11</v>
      </c>
      <c r="AF1271" s="140">
        <v>11</v>
      </c>
      <c r="AG1271" s="140">
        <v>11</v>
      </c>
    </row>
    <row r="1272" spans="1:33" ht="14.25" customHeight="1" x14ac:dyDescent="0.35">
      <c r="A1272" s="21"/>
      <c r="B1272" s="21"/>
      <c r="C1272" s="21" t="s">
        <v>5568</v>
      </c>
      <c r="D1272" s="128"/>
      <c r="E1272" s="128"/>
      <c r="F1272" s="21"/>
      <c r="G1272" s="21"/>
      <c r="H1272" s="21"/>
      <c r="I1272" s="22" t="s">
        <v>3889</v>
      </c>
      <c r="J1272" s="132"/>
      <c r="K1272" s="132"/>
      <c r="L1272" s="132"/>
      <c r="M1272" s="132"/>
      <c r="N1272" s="132"/>
      <c r="O1272" s="132"/>
      <c r="P1272" s="132"/>
      <c r="Q1272" s="132"/>
      <c r="R1272" s="140">
        <v>16</v>
      </c>
      <c r="S1272" s="140">
        <v>16</v>
      </c>
      <c r="T1272" s="140">
        <v>16</v>
      </c>
      <c r="U1272" s="140">
        <v>16</v>
      </c>
      <c r="V1272" s="140">
        <v>16</v>
      </c>
      <c r="W1272" s="140">
        <v>16</v>
      </c>
      <c r="X1272" s="140">
        <v>16</v>
      </c>
      <c r="Y1272" s="140">
        <v>16</v>
      </c>
      <c r="Z1272" s="140">
        <v>16</v>
      </c>
      <c r="AA1272" s="140">
        <v>16</v>
      </c>
      <c r="AB1272" s="140">
        <v>16</v>
      </c>
      <c r="AC1272" s="140">
        <v>16</v>
      </c>
      <c r="AD1272" s="140">
        <v>16</v>
      </c>
      <c r="AE1272" s="140">
        <v>16</v>
      </c>
      <c r="AF1272" s="140">
        <v>16</v>
      </c>
      <c r="AG1272" s="140">
        <v>16</v>
      </c>
    </row>
    <row r="1273" spans="1:33" ht="14.25" customHeight="1" x14ac:dyDescent="0.35">
      <c r="A1273" s="21"/>
      <c r="B1273" s="21"/>
      <c r="C1273" s="21" t="s">
        <v>5569</v>
      </c>
      <c r="D1273" s="128"/>
      <c r="E1273" s="128"/>
      <c r="F1273" s="21"/>
      <c r="G1273" s="21"/>
      <c r="H1273" s="21"/>
      <c r="I1273" s="22" t="s">
        <v>3889</v>
      </c>
      <c r="J1273" s="132"/>
      <c r="K1273" s="132"/>
      <c r="L1273" s="132"/>
      <c r="M1273" s="132"/>
      <c r="N1273" s="132"/>
      <c r="O1273" s="132"/>
      <c r="P1273" s="132"/>
      <c r="Q1273" s="132"/>
      <c r="R1273" s="140">
        <v>2</v>
      </c>
      <c r="S1273" s="140">
        <v>2</v>
      </c>
      <c r="T1273" s="140">
        <v>2</v>
      </c>
      <c r="U1273" s="140">
        <v>2</v>
      </c>
      <c r="V1273" s="140">
        <v>2</v>
      </c>
      <c r="W1273" s="140">
        <v>2</v>
      </c>
      <c r="X1273" s="140">
        <v>2</v>
      </c>
      <c r="Y1273" s="140">
        <v>2</v>
      </c>
      <c r="Z1273" s="140">
        <v>2</v>
      </c>
      <c r="AA1273" s="140">
        <v>2</v>
      </c>
      <c r="AB1273" s="140">
        <v>2</v>
      </c>
      <c r="AC1273" s="140">
        <v>2</v>
      </c>
      <c r="AD1273" s="140">
        <v>2</v>
      </c>
      <c r="AE1273" s="140">
        <v>2</v>
      </c>
      <c r="AF1273" s="140">
        <v>2</v>
      </c>
      <c r="AG1273" s="140">
        <v>2</v>
      </c>
    </row>
    <row r="1274" spans="1:33" ht="14.25" customHeight="1" x14ac:dyDescent="0.35">
      <c r="A1274" s="21"/>
      <c r="B1274" s="21"/>
      <c r="C1274" s="21" t="s">
        <v>5570</v>
      </c>
      <c r="D1274" s="128"/>
      <c r="E1274" s="128"/>
      <c r="F1274" s="21"/>
      <c r="G1274" s="21"/>
      <c r="H1274" s="21"/>
      <c r="I1274" s="22" t="s">
        <v>3861</v>
      </c>
      <c r="J1274" s="132"/>
      <c r="K1274" s="132"/>
      <c r="L1274" s="132"/>
      <c r="M1274" s="132"/>
      <c r="N1274" s="132"/>
      <c r="O1274" s="132"/>
      <c r="P1274" s="132"/>
      <c r="Q1274" s="132"/>
      <c r="R1274" s="140">
        <v>7008321</v>
      </c>
      <c r="S1274" s="140">
        <v>7008321</v>
      </c>
      <c r="T1274" s="140">
        <v>7008321</v>
      </c>
      <c r="U1274" s="140">
        <v>7008321</v>
      </c>
      <c r="V1274" s="140">
        <v>7008321</v>
      </c>
      <c r="W1274" s="140">
        <v>7008321</v>
      </c>
      <c r="X1274" s="140">
        <v>7008321</v>
      </c>
      <c r="Y1274" s="140">
        <v>7008321</v>
      </c>
      <c r="Z1274" s="140">
        <v>7008321</v>
      </c>
      <c r="AA1274" s="140">
        <v>7008321</v>
      </c>
      <c r="AB1274" s="140">
        <v>7008321</v>
      </c>
      <c r="AC1274" s="140">
        <v>7008321</v>
      </c>
      <c r="AD1274" s="140">
        <v>7008321</v>
      </c>
      <c r="AE1274" s="140">
        <v>7008321</v>
      </c>
      <c r="AF1274" s="140">
        <v>7008321</v>
      </c>
      <c r="AG1274" s="140">
        <v>7008321</v>
      </c>
    </row>
    <row r="1275" spans="1:33" ht="14.25" customHeight="1" x14ac:dyDescent="0.35">
      <c r="A1275" s="21"/>
      <c r="B1275" s="292"/>
      <c r="C1275" s="292" t="s">
        <v>4405</v>
      </c>
      <c r="D1275" s="295"/>
      <c r="E1275" s="175"/>
      <c r="F1275" s="21"/>
      <c r="G1275" s="21"/>
      <c r="H1275" s="21"/>
      <c r="I1275" s="22"/>
      <c r="J1275" s="122"/>
      <c r="K1275" s="122"/>
      <c r="L1275" s="122"/>
      <c r="M1275" s="122"/>
      <c r="N1275" s="122"/>
      <c r="O1275" s="122"/>
      <c r="P1275" s="122"/>
      <c r="Q1275" s="122"/>
      <c r="R1275" s="122">
        <v>9.01E-2</v>
      </c>
      <c r="S1275" s="122">
        <v>9.01E-2</v>
      </c>
      <c r="T1275" s="122">
        <v>9.01E-2</v>
      </c>
      <c r="U1275" s="122">
        <v>9.01E-2</v>
      </c>
      <c r="V1275" s="122">
        <v>9.01E-2</v>
      </c>
      <c r="W1275" s="122">
        <v>9.01E-2</v>
      </c>
      <c r="X1275" s="122">
        <v>9.01E-2</v>
      </c>
      <c r="Y1275" s="122">
        <v>9.01E-2</v>
      </c>
      <c r="Z1275" s="122">
        <v>9.01E-2</v>
      </c>
      <c r="AA1275" s="122">
        <v>9.01E-2</v>
      </c>
      <c r="AB1275" s="122">
        <v>9.01E-2</v>
      </c>
      <c r="AC1275" s="122">
        <v>9.01E-2</v>
      </c>
      <c r="AD1275" s="122">
        <v>9.01E-2</v>
      </c>
      <c r="AE1275" s="122">
        <v>9.01E-2</v>
      </c>
      <c r="AF1275" s="122">
        <v>9.01E-2</v>
      </c>
      <c r="AG1275" s="122">
        <v>9.01E-2</v>
      </c>
    </row>
    <row r="1276" spans="1:33" ht="14.25" customHeight="1" x14ac:dyDescent="0.35">
      <c r="A1276" s="21"/>
      <c r="B1276" s="28"/>
      <c r="C1276" s="295" t="s">
        <v>4406</v>
      </c>
      <c r="D1276" s="175"/>
      <c r="E1276" s="175"/>
      <c r="F1276" s="21"/>
      <c r="G1276" s="21"/>
      <c r="H1276" s="21"/>
      <c r="I1276" s="22" t="s">
        <v>3921</v>
      </c>
      <c r="J1276" s="148"/>
      <c r="K1276" s="148"/>
      <c r="L1276" s="148"/>
      <c r="M1276" s="148"/>
      <c r="N1276" s="148"/>
      <c r="O1276" s="148"/>
      <c r="P1276" s="148"/>
      <c r="Q1276" s="148"/>
      <c r="R1276" s="195">
        <f t="shared" ref="R1276:AG1276" si="905">R1272*R100*R101+(R1271+R1273)*R1274</f>
        <v>145457229</v>
      </c>
      <c r="S1276" s="195">
        <f t="shared" si="905"/>
        <v>145457229</v>
      </c>
      <c r="T1276" s="195">
        <f t="shared" si="905"/>
        <v>145457229</v>
      </c>
      <c r="U1276" s="195">
        <f t="shared" si="905"/>
        <v>145457229</v>
      </c>
      <c r="V1276" s="195">
        <f t="shared" si="905"/>
        <v>145457229</v>
      </c>
      <c r="W1276" s="195">
        <f t="shared" si="905"/>
        <v>145457229</v>
      </c>
      <c r="X1276" s="195">
        <f t="shared" si="905"/>
        <v>145457229</v>
      </c>
      <c r="Y1276" s="195">
        <f t="shared" si="905"/>
        <v>145457229</v>
      </c>
      <c r="Z1276" s="195">
        <f t="shared" si="905"/>
        <v>145457229</v>
      </c>
      <c r="AA1276" s="195">
        <f t="shared" si="905"/>
        <v>145457229</v>
      </c>
      <c r="AB1276" s="195">
        <f t="shared" si="905"/>
        <v>145457229</v>
      </c>
      <c r="AC1276" s="195">
        <f t="shared" si="905"/>
        <v>145457229</v>
      </c>
      <c r="AD1276" s="195">
        <f t="shared" si="905"/>
        <v>145457229</v>
      </c>
      <c r="AE1276" s="195">
        <f t="shared" si="905"/>
        <v>145457229</v>
      </c>
      <c r="AF1276" s="195">
        <f t="shared" si="905"/>
        <v>145457229</v>
      </c>
      <c r="AG1276" s="195">
        <f t="shared" si="905"/>
        <v>145457229</v>
      </c>
    </row>
    <row r="1277" spans="1:33" ht="14.25" customHeight="1" x14ac:dyDescent="0.35">
      <c r="A1277" s="21"/>
      <c r="B1277" s="28"/>
      <c r="C1277" s="295" t="s">
        <v>4407</v>
      </c>
      <c r="D1277" s="175"/>
      <c r="E1277" s="175"/>
      <c r="F1277" s="21"/>
      <c r="G1277" s="21"/>
      <c r="H1277" s="21"/>
      <c r="I1277" s="22" t="s">
        <v>3921</v>
      </c>
      <c r="J1277" s="148"/>
      <c r="K1277" s="148"/>
      <c r="L1277" s="148"/>
      <c r="M1277" s="148"/>
      <c r="N1277" s="148"/>
      <c r="O1277" s="148"/>
      <c r="P1277" s="148"/>
      <c r="Q1277" s="148"/>
      <c r="R1277" s="195">
        <f t="shared" ref="R1277:AG1277" si="906">R1276/12</f>
        <v>12121435.75</v>
      </c>
      <c r="S1277" s="195">
        <f t="shared" si="906"/>
        <v>12121435.75</v>
      </c>
      <c r="T1277" s="195">
        <f t="shared" si="906"/>
        <v>12121435.75</v>
      </c>
      <c r="U1277" s="195">
        <f t="shared" si="906"/>
        <v>12121435.75</v>
      </c>
      <c r="V1277" s="195">
        <f t="shared" si="906"/>
        <v>12121435.75</v>
      </c>
      <c r="W1277" s="195">
        <f t="shared" si="906"/>
        <v>12121435.75</v>
      </c>
      <c r="X1277" s="195">
        <f t="shared" si="906"/>
        <v>12121435.75</v>
      </c>
      <c r="Y1277" s="195">
        <f t="shared" si="906"/>
        <v>12121435.75</v>
      </c>
      <c r="Z1277" s="195">
        <f t="shared" si="906"/>
        <v>12121435.75</v>
      </c>
      <c r="AA1277" s="195">
        <f t="shared" si="906"/>
        <v>12121435.75</v>
      </c>
      <c r="AB1277" s="195">
        <f t="shared" si="906"/>
        <v>12121435.75</v>
      </c>
      <c r="AC1277" s="195">
        <f t="shared" si="906"/>
        <v>12121435.75</v>
      </c>
      <c r="AD1277" s="195">
        <f t="shared" si="906"/>
        <v>12121435.75</v>
      </c>
      <c r="AE1277" s="195">
        <f t="shared" si="906"/>
        <v>12121435.75</v>
      </c>
      <c r="AF1277" s="195">
        <f t="shared" si="906"/>
        <v>12121435.75</v>
      </c>
      <c r="AG1277" s="195">
        <f t="shared" si="906"/>
        <v>12121435.75</v>
      </c>
    </row>
    <row r="1278" spans="1:33" ht="14.25" customHeight="1" x14ac:dyDescent="0.35">
      <c r="A1278" s="21"/>
      <c r="B1278" s="28"/>
      <c r="C1278" s="295" t="s">
        <v>4408</v>
      </c>
      <c r="D1278" s="175"/>
      <c r="E1278" s="175"/>
      <c r="F1278" s="21"/>
      <c r="G1278" s="21"/>
      <c r="H1278" s="21"/>
      <c r="I1278" s="22" t="s">
        <v>3921</v>
      </c>
      <c r="J1278" s="148"/>
      <c r="K1278" s="148"/>
      <c r="L1278" s="148"/>
      <c r="M1278" s="148"/>
      <c r="N1278" s="148"/>
      <c r="O1278" s="148"/>
      <c r="P1278" s="148"/>
      <c r="Q1278" s="148"/>
      <c r="R1278" s="195">
        <f t="shared" ref="R1278:AG1278" si="907">R1276*R1275</f>
        <v>13105696.332900001</v>
      </c>
      <c r="S1278" s="195">
        <f t="shared" si="907"/>
        <v>13105696.332900001</v>
      </c>
      <c r="T1278" s="195">
        <f t="shared" si="907"/>
        <v>13105696.332900001</v>
      </c>
      <c r="U1278" s="195">
        <f t="shared" si="907"/>
        <v>13105696.332900001</v>
      </c>
      <c r="V1278" s="195">
        <f t="shared" si="907"/>
        <v>13105696.332900001</v>
      </c>
      <c r="W1278" s="195">
        <f t="shared" si="907"/>
        <v>13105696.332900001</v>
      </c>
      <c r="X1278" s="195">
        <f t="shared" si="907"/>
        <v>13105696.332900001</v>
      </c>
      <c r="Y1278" s="195">
        <f t="shared" si="907"/>
        <v>13105696.332900001</v>
      </c>
      <c r="Z1278" s="195">
        <f t="shared" si="907"/>
        <v>13105696.332900001</v>
      </c>
      <c r="AA1278" s="195">
        <f t="shared" si="907"/>
        <v>13105696.332900001</v>
      </c>
      <c r="AB1278" s="195">
        <f t="shared" si="907"/>
        <v>13105696.332900001</v>
      </c>
      <c r="AC1278" s="195">
        <f t="shared" si="907"/>
        <v>13105696.332900001</v>
      </c>
      <c r="AD1278" s="195">
        <f t="shared" si="907"/>
        <v>13105696.332900001</v>
      </c>
      <c r="AE1278" s="195">
        <f t="shared" si="907"/>
        <v>13105696.332900001</v>
      </c>
      <c r="AF1278" s="195">
        <f t="shared" si="907"/>
        <v>13105696.332900001</v>
      </c>
      <c r="AG1278" s="195">
        <f t="shared" si="907"/>
        <v>13105696.332900001</v>
      </c>
    </row>
    <row r="1279" spans="1:33" ht="14.25" customHeight="1" x14ac:dyDescent="0.35">
      <c r="A1279" s="21"/>
      <c r="B1279" s="28"/>
      <c r="C1279" s="295" t="s">
        <v>4409</v>
      </c>
      <c r="D1279" s="175"/>
      <c r="E1279" s="175"/>
      <c r="F1279" s="21"/>
      <c r="G1279" s="21"/>
      <c r="H1279" s="21"/>
      <c r="I1279" s="22"/>
      <c r="J1279" s="148"/>
      <c r="K1279" s="148"/>
      <c r="L1279" s="148"/>
      <c r="M1279" s="148"/>
      <c r="N1279" s="148"/>
      <c r="O1279" s="148"/>
      <c r="P1279" s="148"/>
      <c r="Q1279" s="148"/>
      <c r="R1279" s="195">
        <f t="shared" ref="R1279:AG1279" si="908">R1276+R1277+R1278</f>
        <v>170684361.08289999</v>
      </c>
      <c r="S1279" s="195">
        <f t="shared" si="908"/>
        <v>170684361.08289999</v>
      </c>
      <c r="T1279" s="195">
        <f t="shared" si="908"/>
        <v>170684361.08289999</v>
      </c>
      <c r="U1279" s="195">
        <f t="shared" si="908"/>
        <v>170684361.08289999</v>
      </c>
      <c r="V1279" s="195">
        <f t="shared" si="908"/>
        <v>170684361.08289999</v>
      </c>
      <c r="W1279" s="195">
        <f t="shared" si="908"/>
        <v>170684361.08289999</v>
      </c>
      <c r="X1279" s="195">
        <f t="shared" si="908"/>
        <v>170684361.08289999</v>
      </c>
      <c r="Y1279" s="195">
        <f t="shared" si="908"/>
        <v>170684361.08289999</v>
      </c>
      <c r="Z1279" s="195">
        <f t="shared" si="908"/>
        <v>170684361.08289999</v>
      </c>
      <c r="AA1279" s="195">
        <f t="shared" si="908"/>
        <v>170684361.08289999</v>
      </c>
      <c r="AB1279" s="195">
        <f t="shared" si="908"/>
        <v>170684361.08289999</v>
      </c>
      <c r="AC1279" s="195">
        <f t="shared" si="908"/>
        <v>170684361.08289999</v>
      </c>
      <c r="AD1279" s="195">
        <f t="shared" si="908"/>
        <v>170684361.08289999</v>
      </c>
      <c r="AE1279" s="195">
        <f t="shared" si="908"/>
        <v>170684361.08289999</v>
      </c>
      <c r="AF1279" s="195">
        <f t="shared" si="908"/>
        <v>170684361.08289999</v>
      </c>
      <c r="AG1279" s="195">
        <f t="shared" si="908"/>
        <v>170684361.08289999</v>
      </c>
    </row>
    <row r="1280" spans="1:33" ht="14.25" customHeight="1" x14ac:dyDescent="0.35">
      <c r="A1280" s="21"/>
      <c r="B1280" s="28"/>
      <c r="C1280" s="295"/>
      <c r="D1280" s="175"/>
      <c r="E1280" s="175"/>
      <c r="F1280" s="21"/>
      <c r="G1280" s="21"/>
      <c r="H1280" s="21"/>
      <c r="I1280" s="22"/>
      <c r="J1280" s="22"/>
      <c r="K1280" s="22"/>
      <c r="L1280" s="22"/>
      <c r="M1280" s="22"/>
      <c r="N1280" s="22"/>
      <c r="O1280" s="22"/>
      <c r="P1280" s="22"/>
      <c r="Q1280" s="22"/>
      <c r="R1280" s="22"/>
      <c r="S1280" s="22"/>
      <c r="T1280" s="22"/>
      <c r="U1280" s="22"/>
      <c r="V1280" s="22"/>
      <c r="W1280" s="22"/>
      <c r="X1280" s="22"/>
      <c r="Y1280" s="22"/>
      <c r="Z1280" s="22"/>
      <c r="AA1280" s="22"/>
      <c r="AB1280" s="22"/>
      <c r="AC1280" s="22"/>
      <c r="AD1280" s="22"/>
      <c r="AE1280" s="22"/>
      <c r="AF1280" s="22"/>
      <c r="AG1280" s="22"/>
    </row>
    <row r="1281" spans="1:33" ht="14.25" customHeight="1" x14ac:dyDescent="0.35">
      <c r="A1281" s="21"/>
      <c r="B1281" s="28"/>
      <c r="C1281" s="295"/>
      <c r="D1281" s="175"/>
      <c r="E1281" s="175"/>
      <c r="F1281" s="21"/>
      <c r="G1281" s="21"/>
      <c r="H1281" s="21"/>
      <c r="I1281" s="22"/>
      <c r="J1281" s="22"/>
      <c r="K1281" s="22"/>
      <c r="L1281" s="22"/>
      <c r="M1281" s="22"/>
      <c r="N1281" s="22"/>
      <c r="O1281" s="22"/>
      <c r="P1281" s="22"/>
      <c r="Q1281" s="22"/>
      <c r="R1281" s="22"/>
      <c r="S1281" s="22"/>
      <c r="T1281" s="22"/>
      <c r="U1281" s="22"/>
      <c r="V1281" s="22"/>
      <c r="W1281" s="22"/>
      <c r="X1281" s="22"/>
      <c r="Y1281" s="22"/>
      <c r="Z1281" s="22"/>
      <c r="AA1281" s="22"/>
      <c r="AB1281" s="22"/>
      <c r="AC1281" s="22"/>
      <c r="AD1281" s="22"/>
      <c r="AE1281" s="22"/>
      <c r="AF1281" s="22"/>
      <c r="AG1281" s="22"/>
    </row>
    <row r="1282" spans="1:33" ht="14.25" customHeight="1" x14ac:dyDescent="0.35">
      <c r="A1282" s="21"/>
      <c r="B1282" s="28"/>
      <c r="C1282" s="295"/>
      <c r="D1282" s="175"/>
      <c r="E1282" s="175"/>
      <c r="F1282" s="21"/>
      <c r="G1282" s="21"/>
      <c r="H1282" s="21"/>
      <c r="I1282" s="22"/>
      <c r="J1282" s="22"/>
      <c r="K1282" s="22"/>
      <c r="L1282" s="22"/>
      <c r="M1282" s="22"/>
      <c r="N1282" s="22"/>
      <c r="O1282" s="22"/>
      <c r="P1282" s="22"/>
      <c r="Q1282" s="22"/>
      <c r="R1282" s="22"/>
      <c r="S1282" s="22"/>
      <c r="T1282" s="22"/>
      <c r="U1282" s="22"/>
      <c r="V1282" s="22"/>
      <c r="W1282" s="22"/>
      <c r="X1282" s="22"/>
      <c r="Y1282" s="22"/>
      <c r="Z1282" s="22"/>
      <c r="AA1282" s="22"/>
      <c r="AB1282" s="22"/>
      <c r="AC1282" s="22"/>
      <c r="AD1282" s="22"/>
      <c r="AE1282" s="22"/>
      <c r="AF1282" s="22"/>
      <c r="AG1282" s="22"/>
    </row>
    <row r="1283" spans="1:33" ht="14.25" customHeight="1" x14ac:dyDescent="0.35">
      <c r="A1283" s="21"/>
      <c r="B1283" s="28"/>
      <c r="C1283" s="295"/>
      <c r="D1283" s="175"/>
      <c r="E1283" s="175"/>
      <c r="F1283" s="21"/>
      <c r="G1283" s="21"/>
      <c r="H1283" s="21"/>
      <c r="I1283" s="22"/>
      <c r="J1283" s="22"/>
      <c r="K1283" s="22"/>
      <c r="L1283" s="22"/>
      <c r="M1283" s="22"/>
      <c r="N1283" s="22"/>
      <c r="O1283" s="22"/>
      <c r="P1283" s="22"/>
      <c r="Q1283" s="22"/>
      <c r="R1283" s="22"/>
      <c r="S1283" s="22"/>
      <c r="T1283" s="22"/>
      <c r="U1283" s="22"/>
      <c r="V1283" s="22"/>
      <c r="W1283" s="22"/>
      <c r="X1283" s="22"/>
      <c r="Y1283" s="22"/>
      <c r="Z1283" s="22"/>
      <c r="AA1283" s="22"/>
      <c r="AB1283" s="22"/>
      <c r="AC1283" s="22"/>
      <c r="AD1283" s="22"/>
      <c r="AE1283" s="22"/>
      <c r="AF1283" s="22"/>
      <c r="AG1283" s="22"/>
    </row>
    <row r="1284" spans="1:33" ht="14.25" customHeight="1" x14ac:dyDescent="0.35">
      <c r="A1284" s="21"/>
      <c r="B1284" s="28"/>
      <c r="C1284" s="295"/>
      <c r="D1284" s="175"/>
      <c r="E1284" s="175"/>
      <c r="F1284" s="21"/>
      <c r="G1284" s="21"/>
      <c r="H1284" s="21"/>
      <c r="I1284" s="22"/>
      <c r="J1284" s="22"/>
      <c r="K1284" s="22"/>
      <c r="L1284" s="22"/>
      <c r="M1284" s="22"/>
      <c r="N1284" s="22"/>
      <c r="O1284" s="22"/>
      <c r="P1284" s="22"/>
      <c r="Q1284" s="22"/>
      <c r="R1284" s="22"/>
      <c r="S1284" s="22"/>
      <c r="T1284" s="22"/>
      <c r="U1284" s="22"/>
      <c r="V1284" s="22"/>
      <c r="W1284" s="22"/>
      <c r="X1284" s="22"/>
      <c r="Y1284" s="22"/>
      <c r="Z1284" s="22"/>
      <c r="AA1284" s="22"/>
      <c r="AB1284" s="22"/>
      <c r="AC1284" s="22"/>
      <c r="AD1284" s="22"/>
      <c r="AE1284" s="22"/>
      <c r="AF1284" s="22"/>
      <c r="AG1284" s="22"/>
    </row>
    <row r="1285" spans="1:33" ht="14.25" customHeight="1" x14ac:dyDescent="0.35">
      <c r="A1285" s="21"/>
      <c r="B1285" s="28"/>
      <c r="C1285" s="295"/>
      <c r="D1285" s="175"/>
      <c r="E1285" s="175"/>
      <c r="F1285" s="21"/>
      <c r="G1285" s="21"/>
      <c r="H1285" s="21"/>
      <c r="I1285" s="22"/>
      <c r="J1285" s="22"/>
      <c r="K1285" s="22"/>
      <c r="L1285" s="22"/>
      <c r="M1285" s="22"/>
      <c r="N1285" s="22"/>
      <c r="O1285" s="22"/>
      <c r="P1285" s="22"/>
      <c r="Q1285" s="22"/>
      <c r="R1285" s="22"/>
      <c r="S1285" s="22"/>
      <c r="T1285" s="22"/>
      <c r="U1285" s="22"/>
      <c r="V1285" s="22"/>
      <c r="W1285" s="22"/>
      <c r="X1285" s="22"/>
      <c r="Y1285" s="22"/>
      <c r="Z1285" s="22"/>
      <c r="AA1285" s="22"/>
      <c r="AB1285" s="22"/>
      <c r="AC1285" s="22"/>
      <c r="AD1285" s="22"/>
      <c r="AE1285" s="22"/>
      <c r="AF1285" s="22"/>
      <c r="AG1285" s="22"/>
    </row>
    <row r="1286" spans="1:33" ht="14.25" customHeight="1" x14ac:dyDescent="0.35">
      <c r="A1286" s="21"/>
      <c r="B1286" s="28"/>
      <c r="C1286" s="295"/>
      <c r="D1286" s="175"/>
      <c r="E1286" s="175"/>
      <c r="F1286" s="21"/>
      <c r="G1286" s="21"/>
      <c r="H1286" s="21"/>
      <c r="I1286" s="22"/>
      <c r="J1286" s="22"/>
      <c r="K1286" s="22"/>
      <c r="L1286" s="22"/>
      <c r="M1286" s="22"/>
      <c r="N1286" s="22"/>
      <c r="O1286" s="22"/>
      <c r="P1286" s="22"/>
      <c r="Q1286" s="22"/>
      <c r="R1286" s="22"/>
      <c r="S1286" s="22"/>
      <c r="T1286" s="22"/>
      <c r="U1286" s="22"/>
      <c r="V1286" s="22"/>
      <c r="W1286" s="22"/>
      <c r="X1286" s="22"/>
      <c r="Y1286" s="22"/>
      <c r="Z1286" s="22"/>
      <c r="AA1286" s="22"/>
      <c r="AB1286" s="22"/>
      <c r="AC1286" s="22"/>
      <c r="AD1286" s="22"/>
      <c r="AE1286" s="22"/>
      <c r="AF1286" s="22"/>
      <c r="AG1286" s="22"/>
    </row>
    <row r="1287" spans="1:33" ht="14.25" customHeight="1" x14ac:dyDescent="0.35">
      <c r="A1287" s="21"/>
      <c r="B1287" s="28"/>
      <c r="C1287" s="295"/>
      <c r="D1287" s="175"/>
      <c r="E1287" s="175"/>
      <c r="F1287" s="21"/>
      <c r="G1287" s="21"/>
      <c r="H1287" s="21"/>
      <c r="I1287" s="22"/>
      <c r="J1287" s="22"/>
      <c r="K1287" s="22"/>
      <c r="L1287" s="22"/>
      <c r="M1287" s="22"/>
      <c r="N1287" s="22"/>
      <c r="O1287" s="22"/>
      <c r="P1287" s="22"/>
      <c r="Q1287" s="22"/>
      <c r="R1287" s="22"/>
      <c r="S1287" s="22"/>
      <c r="T1287" s="22"/>
      <c r="U1287" s="22"/>
      <c r="V1287" s="22"/>
      <c r="W1287" s="22"/>
      <c r="X1287" s="22"/>
      <c r="Y1287" s="22"/>
      <c r="Z1287" s="22"/>
      <c r="AA1287" s="22"/>
      <c r="AB1287" s="22"/>
      <c r="AC1287" s="22"/>
      <c r="AD1287" s="22"/>
      <c r="AE1287" s="22"/>
      <c r="AF1287" s="22"/>
      <c r="AG1287" s="22"/>
    </row>
    <row r="1288" spans="1:33" ht="14.25" customHeight="1" x14ac:dyDescent="0.35">
      <c r="A1288" s="21"/>
      <c r="B1288" s="28"/>
      <c r="C1288" s="295"/>
      <c r="D1288" s="175"/>
      <c r="E1288" s="175"/>
      <c r="F1288" s="21"/>
      <c r="G1288" s="21"/>
      <c r="H1288" s="21"/>
      <c r="I1288" s="22"/>
      <c r="J1288" s="22"/>
      <c r="K1288" s="22"/>
      <c r="L1288" s="22"/>
      <c r="M1288" s="22"/>
      <c r="N1288" s="22"/>
      <c r="O1288" s="22"/>
      <c r="P1288" s="22"/>
      <c r="Q1288" s="22"/>
      <c r="R1288" s="22"/>
      <c r="S1288" s="22"/>
      <c r="T1288" s="22"/>
      <c r="U1288" s="22"/>
      <c r="V1288" s="22"/>
      <c r="W1288" s="22"/>
      <c r="X1288" s="22"/>
      <c r="Y1288" s="22"/>
      <c r="Z1288" s="22"/>
      <c r="AA1288" s="22"/>
      <c r="AB1288" s="22"/>
      <c r="AC1288" s="22"/>
      <c r="AD1288" s="22"/>
      <c r="AE1288" s="22"/>
      <c r="AF1288" s="22"/>
      <c r="AG1288" s="22"/>
    </row>
    <row r="1289" spans="1:33" ht="14.25" customHeight="1" x14ac:dyDescent="0.35">
      <c r="A1289" s="21"/>
      <c r="B1289" s="28"/>
      <c r="C1289" s="295"/>
      <c r="D1289" s="175"/>
      <c r="E1289" s="175"/>
      <c r="F1289" s="21"/>
      <c r="G1289" s="21"/>
      <c r="H1289" s="21"/>
      <c r="I1289" s="22"/>
      <c r="J1289" s="22"/>
      <c r="K1289" s="22"/>
      <c r="L1289" s="22"/>
      <c r="M1289" s="22"/>
      <c r="N1289" s="22"/>
      <c r="O1289" s="22"/>
      <c r="P1289" s="22"/>
      <c r="Q1289" s="22"/>
      <c r="R1289" s="22"/>
      <c r="S1289" s="22"/>
      <c r="T1289" s="22"/>
      <c r="U1289" s="22"/>
      <c r="V1289" s="22"/>
      <c r="W1289" s="22"/>
      <c r="X1289" s="22"/>
      <c r="Y1289" s="22"/>
      <c r="Z1289" s="22"/>
      <c r="AA1289" s="22"/>
      <c r="AB1289" s="22"/>
      <c r="AC1289" s="22"/>
      <c r="AD1289" s="22"/>
      <c r="AE1289" s="22"/>
      <c r="AF1289" s="22"/>
      <c r="AG1289" s="22"/>
    </row>
    <row r="1290" spans="1:33" ht="14.25" customHeight="1" x14ac:dyDescent="0.35">
      <c r="A1290" s="21"/>
      <c r="B1290" s="28"/>
      <c r="C1290" s="295"/>
      <c r="D1290" s="175"/>
      <c r="E1290" s="175"/>
      <c r="F1290" s="21"/>
      <c r="G1290" s="21"/>
      <c r="H1290" s="21"/>
      <c r="I1290" s="22"/>
      <c r="J1290" s="22"/>
      <c r="K1290" s="22"/>
      <c r="L1290" s="22"/>
      <c r="M1290" s="22"/>
      <c r="N1290" s="22"/>
      <c r="O1290" s="22"/>
      <c r="P1290" s="22"/>
      <c r="Q1290" s="22"/>
      <c r="R1290" s="22"/>
      <c r="S1290" s="22"/>
      <c r="T1290" s="22"/>
      <c r="U1290" s="22"/>
      <c r="V1290" s="22"/>
      <c r="W1290" s="22"/>
      <c r="X1290" s="22"/>
      <c r="Y1290" s="22"/>
      <c r="Z1290" s="22"/>
      <c r="AA1290" s="22"/>
      <c r="AB1290" s="22"/>
      <c r="AC1290" s="22"/>
      <c r="AD1290" s="22"/>
      <c r="AE1290" s="22"/>
      <c r="AF1290" s="22"/>
      <c r="AG1290" s="22"/>
    </row>
    <row r="1291" spans="1:33" ht="14.25" customHeight="1" x14ac:dyDescent="0.35">
      <c r="A1291" s="21"/>
      <c r="B1291" s="28"/>
      <c r="C1291" s="295"/>
      <c r="D1291" s="175"/>
      <c r="E1291" s="175"/>
      <c r="F1291" s="21"/>
      <c r="G1291" s="21"/>
      <c r="H1291" s="21"/>
      <c r="I1291" s="22"/>
      <c r="J1291" s="22"/>
      <c r="K1291" s="22"/>
      <c r="L1291" s="22"/>
      <c r="M1291" s="22"/>
      <c r="N1291" s="22"/>
      <c r="O1291" s="22"/>
      <c r="P1291" s="22"/>
      <c r="Q1291" s="22"/>
      <c r="R1291" s="22"/>
      <c r="S1291" s="22"/>
      <c r="T1291" s="22"/>
      <c r="U1291" s="22"/>
      <c r="V1291" s="22"/>
      <c r="W1291" s="22"/>
      <c r="X1291" s="22"/>
      <c r="Y1291" s="22"/>
      <c r="Z1291" s="22"/>
      <c r="AA1291" s="22"/>
      <c r="AB1291" s="22"/>
      <c r="AC1291" s="22"/>
      <c r="AD1291" s="22"/>
      <c r="AE1291" s="22"/>
      <c r="AF1291" s="22"/>
      <c r="AG1291" s="22"/>
    </row>
    <row r="1292" spans="1:33" ht="14.25" customHeight="1" x14ac:dyDescent="0.35">
      <c r="A1292" s="21"/>
      <c r="B1292" s="28"/>
      <c r="C1292" s="295"/>
      <c r="D1292" s="175"/>
      <c r="E1292" s="175"/>
      <c r="F1292" s="21"/>
      <c r="G1292" s="21"/>
      <c r="H1292" s="21"/>
      <c r="I1292" s="22"/>
      <c r="J1292" s="22"/>
      <c r="K1292" s="22"/>
      <c r="L1292" s="22"/>
      <c r="M1292" s="22"/>
      <c r="N1292" s="22"/>
      <c r="O1292" s="22"/>
      <c r="P1292" s="22"/>
      <c r="Q1292" s="22"/>
      <c r="R1292" s="22"/>
      <c r="S1292" s="22"/>
      <c r="T1292" s="22"/>
      <c r="U1292" s="22"/>
      <c r="V1292" s="22"/>
      <c r="W1292" s="22"/>
      <c r="X1292" s="22"/>
      <c r="Y1292" s="22"/>
      <c r="Z1292" s="22"/>
      <c r="AA1292" s="22"/>
      <c r="AB1292" s="22"/>
      <c r="AC1292" s="22"/>
      <c r="AD1292" s="22"/>
      <c r="AE1292" s="22"/>
      <c r="AF1292" s="22"/>
      <c r="AG1292" s="22"/>
    </row>
    <row r="1293" spans="1:33" ht="14.25" customHeight="1" x14ac:dyDescent="0.35">
      <c r="A1293" s="21"/>
      <c r="B1293" s="28"/>
      <c r="C1293" s="295"/>
      <c r="D1293" s="175"/>
      <c r="E1293" s="175"/>
      <c r="F1293" s="21"/>
      <c r="G1293" s="21"/>
      <c r="H1293" s="21"/>
      <c r="I1293" s="22"/>
      <c r="J1293" s="22"/>
      <c r="K1293" s="22"/>
      <c r="L1293" s="22"/>
      <c r="M1293" s="22"/>
      <c r="N1293" s="22"/>
      <c r="O1293" s="22"/>
      <c r="P1293" s="22"/>
      <c r="Q1293" s="22"/>
      <c r="R1293" s="22"/>
      <c r="S1293" s="22"/>
      <c r="T1293" s="22"/>
      <c r="U1293" s="22"/>
      <c r="V1293" s="22"/>
      <c r="W1293" s="22"/>
      <c r="X1293" s="22"/>
      <c r="Y1293" s="22"/>
      <c r="Z1293" s="22"/>
      <c r="AA1293" s="22"/>
      <c r="AB1293" s="22"/>
      <c r="AC1293" s="22"/>
      <c r="AD1293" s="22"/>
      <c r="AE1293" s="22"/>
      <c r="AF1293" s="22"/>
      <c r="AG1293" s="22"/>
    </row>
    <row r="1294" spans="1:33" ht="14.25" customHeight="1" x14ac:dyDescent="0.35">
      <c r="A1294" s="21"/>
      <c r="B1294" s="28"/>
      <c r="C1294" s="295"/>
      <c r="D1294" s="175"/>
      <c r="E1294" s="175"/>
      <c r="F1294" s="21"/>
      <c r="G1294" s="21"/>
      <c r="H1294" s="21"/>
      <c r="I1294" s="22"/>
      <c r="J1294" s="22"/>
      <c r="K1294" s="22"/>
      <c r="L1294" s="22"/>
      <c r="M1294" s="22"/>
      <c r="N1294" s="22"/>
      <c r="O1294" s="22"/>
      <c r="P1294" s="22"/>
      <c r="Q1294" s="22"/>
      <c r="R1294" s="22"/>
      <c r="S1294" s="22"/>
      <c r="T1294" s="22"/>
      <c r="U1294" s="22"/>
      <c r="V1294" s="22"/>
      <c r="W1294" s="22"/>
      <c r="X1294" s="22"/>
      <c r="Y1294" s="22"/>
      <c r="Z1294" s="22"/>
      <c r="AA1294" s="22"/>
      <c r="AB1294" s="22"/>
      <c r="AC1294" s="22"/>
      <c r="AD1294" s="22"/>
      <c r="AE1294" s="22"/>
      <c r="AF1294" s="22"/>
      <c r="AG1294" s="22"/>
    </row>
    <row r="1295" spans="1:33" ht="14.25" customHeight="1" x14ac:dyDescent="0.35">
      <c r="A1295" s="21"/>
      <c r="B1295" s="28"/>
      <c r="C1295" s="295"/>
      <c r="D1295" s="175"/>
      <c r="E1295" s="175"/>
      <c r="F1295" s="21"/>
      <c r="G1295" s="21"/>
      <c r="H1295" s="21"/>
      <c r="I1295" s="22"/>
      <c r="J1295" s="22"/>
      <c r="K1295" s="22"/>
      <c r="L1295" s="22"/>
      <c r="M1295" s="22"/>
      <c r="N1295" s="22"/>
      <c r="O1295" s="22"/>
      <c r="P1295" s="22"/>
      <c r="Q1295" s="22"/>
      <c r="R1295" s="22"/>
      <c r="S1295" s="22"/>
      <c r="T1295" s="22"/>
      <c r="U1295" s="22"/>
      <c r="V1295" s="22"/>
      <c r="W1295" s="22"/>
      <c r="X1295" s="22"/>
      <c r="Y1295" s="22"/>
      <c r="Z1295" s="22"/>
      <c r="AA1295" s="22"/>
      <c r="AB1295" s="22"/>
      <c r="AC1295" s="22"/>
      <c r="AD1295" s="22"/>
      <c r="AE1295" s="22"/>
      <c r="AF1295" s="22"/>
      <c r="AG1295" s="22"/>
    </row>
    <row r="1296" spans="1:33" ht="14.25" hidden="1" customHeight="1" x14ac:dyDescent="0.35">
      <c r="A1296" s="21"/>
      <c r="B1296" s="28"/>
      <c r="C1296" s="295"/>
      <c r="D1296" s="175"/>
      <c r="E1296" s="175"/>
      <c r="F1296" s="21"/>
      <c r="G1296" s="21"/>
      <c r="H1296" s="21"/>
      <c r="I1296" s="22"/>
      <c r="J1296" s="22"/>
      <c r="K1296" s="22"/>
      <c r="L1296" s="22"/>
      <c r="M1296" s="22"/>
      <c r="N1296" s="22"/>
      <c r="O1296" s="22"/>
      <c r="P1296" s="22"/>
      <c r="Q1296" s="22"/>
      <c r="R1296" s="22"/>
      <c r="S1296" s="22"/>
      <c r="T1296" s="22"/>
      <c r="U1296" s="22"/>
      <c r="V1296" s="22"/>
      <c r="W1296" s="22"/>
      <c r="X1296" s="22"/>
      <c r="Y1296" s="22"/>
      <c r="Z1296" s="22"/>
      <c r="AA1296" s="22"/>
      <c r="AB1296" s="22"/>
      <c r="AC1296" s="22"/>
      <c r="AD1296" s="22"/>
      <c r="AE1296" s="22"/>
      <c r="AF1296" s="22"/>
      <c r="AG1296" s="22"/>
    </row>
    <row r="1297" spans="1:33" ht="14.25" hidden="1" customHeight="1" x14ac:dyDescent="0.35">
      <c r="A1297" s="21"/>
      <c r="B1297" s="28"/>
      <c r="C1297" s="295"/>
      <c r="D1297" s="175"/>
      <c r="E1297" s="175"/>
      <c r="F1297" s="21"/>
      <c r="G1297" s="21"/>
      <c r="H1297" s="21"/>
      <c r="I1297" s="22"/>
      <c r="J1297" s="22"/>
      <c r="K1297" s="22"/>
      <c r="L1297" s="22"/>
      <c r="M1297" s="22"/>
      <c r="N1297" s="22"/>
      <c r="O1297" s="22"/>
      <c r="P1297" s="22"/>
      <c r="Q1297" s="22"/>
      <c r="R1297" s="22"/>
      <c r="S1297" s="22"/>
      <c r="T1297" s="22"/>
      <c r="U1297" s="22"/>
      <c r="V1297" s="22"/>
      <c r="W1297" s="22"/>
      <c r="X1297" s="22"/>
      <c r="Y1297" s="22"/>
      <c r="Z1297" s="22"/>
      <c r="AA1297" s="22"/>
      <c r="AB1297" s="22"/>
      <c r="AC1297" s="22"/>
      <c r="AD1297" s="22"/>
      <c r="AE1297" s="22"/>
      <c r="AF1297" s="22"/>
      <c r="AG1297" s="22"/>
    </row>
    <row r="1300" spans="1:33" ht="14.25" hidden="1" customHeight="1" x14ac:dyDescent="0.35"/>
    <row r="1393" ht="14.25" hidden="1" customHeight="1" x14ac:dyDescent="0.35"/>
    <row r="1447" ht="14.25" hidden="1" customHeight="1" x14ac:dyDescent="0.35"/>
    <row r="1514" ht="14.25" hidden="1" customHeight="1" x14ac:dyDescent="0.35"/>
    <row r="1594" ht="14.25" hidden="1" customHeight="1" x14ac:dyDescent="0.35"/>
    <row r="1713" ht="14.25" hidden="1" customHeight="1" x14ac:dyDescent="0.35"/>
    <row r="1767" ht="14.25" hidden="1" customHeight="1" x14ac:dyDescent="0.35"/>
    <row r="1834" ht="14.25" hidden="1" customHeight="1" x14ac:dyDescent="0.35"/>
    <row r="1901" ht="14.25" hidden="1" customHeight="1" x14ac:dyDescent="0.35"/>
    <row r="1929" ht="14.25" hidden="1" customHeight="1" x14ac:dyDescent="0.35"/>
    <row r="1957" ht="14.25" hidden="1" customHeight="1" x14ac:dyDescent="0.35"/>
    <row r="1998" ht="14.25" hidden="1" customHeight="1" x14ac:dyDescent="0.35"/>
    <row r="2065" ht="14.25" hidden="1" customHeight="1" x14ac:dyDescent="0.35"/>
    <row r="2106" ht="14.25" hidden="1" customHeight="1" x14ac:dyDescent="0.35"/>
    <row r="1047635" ht="12.75" hidden="1" customHeight="1" x14ac:dyDescent="0.35"/>
    <row r="1047636" ht="12.75" hidden="1" customHeight="1" x14ac:dyDescent="0.35"/>
    <row r="1047637" ht="12.75" hidden="1" customHeight="1" x14ac:dyDescent="0.35"/>
    <row r="1047638" ht="12.75" hidden="1" customHeight="1" x14ac:dyDescent="0.35"/>
    <row r="1047639" ht="12.75" hidden="1" customHeight="1" x14ac:dyDescent="0.35"/>
    <row r="1047640" ht="12.75" hidden="1" customHeight="1" x14ac:dyDescent="0.35"/>
    <row r="1047641" ht="12.75" hidden="1" customHeight="1" x14ac:dyDescent="0.35"/>
    <row r="1047642" ht="12.75" hidden="1" customHeight="1" x14ac:dyDescent="0.35"/>
    <row r="1047643" ht="12.75" hidden="1" customHeight="1" x14ac:dyDescent="0.35"/>
    <row r="1047644" ht="12.75" hidden="1" customHeight="1" x14ac:dyDescent="0.35"/>
    <row r="1047645" ht="12.75" hidden="1" customHeight="1" x14ac:dyDescent="0.35"/>
    <row r="1047646" ht="12.75" hidden="1" customHeight="1" x14ac:dyDescent="0.35"/>
    <row r="1047647" ht="12.75" hidden="1" customHeight="1" x14ac:dyDescent="0.35"/>
    <row r="1047648" ht="12.75" hidden="1" customHeight="1" x14ac:dyDescent="0.35"/>
    <row r="1047649" ht="12.75" hidden="1" customHeight="1" x14ac:dyDescent="0.35"/>
    <row r="1047650" ht="12.75" hidden="1" customHeight="1" x14ac:dyDescent="0.35"/>
    <row r="1047651" ht="12.75" hidden="1" customHeight="1" x14ac:dyDescent="0.35"/>
    <row r="1047652" ht="12.75" hidden="1" customHeight="1" x14ac:dyDescent="0.35"/>
    <row r="1047653" ht="12.75" hidden="1" customHeight="1" x14ac:dyDescent="0.35"/>
    <row r="1047654" ht="12.75" hidden="1" customHeight="1" x14ac:dyDescent="0.35"/>
    <row r="1047655" ht="12.75" hidden="1" customHeight="1" x14ac:dyDescent="0.35"/>
    <row r="1047656" ht="12.75" hidden="1" customHeight="1" x14ac:dyDescent="0.35"/>
    <row r="1047657" ht="12.75" hidden="1" customHeight="1" x14ac:dyDescent="0.35"/>
    <row r="1047658" ht="12.75" hidden="1" customHeight="1" x14ac:dyDescent="0.35"/>
    <row r="1047659" ht="12.75" hidden="1" customHeight="1" x14ac:dyDescent="0.35"/>
    <row r="1047660" ht="12.75" hidden="1" customHeight="1" x14ac:dyDescent="0.35"/>
    <row r="1047661" ht="12.75" hidden="1" customHeight="1" x14ac:dyDescent="0.35"/>
    <row r="1047662" ht="12.75" hidden="1" customHeight="1" x14ac:dyDescent="0.35"/>
    <row r="1047663" ht="12.75" hidden="1" customHeight="1" x14ac:dyDescent="0.35"/>
    <row r="1047664" ht="12.75" hidden="1" customHeight="1" x14ac:dyDescent="0.35"/>
    <row r="1047665" ht="12.75" hidden="1" customHeight="1" x14ac:dyDescent="0.35"/>
    <row r="1047666" ht="12.75" hidden="1" customHeight="1" x14ac:dyDescent="0.35"/>
    <row r="1047667" ht="12.75" hidden="1" customHeight="1" x14ac:dyDescent="0.35"/>
    <row r="1047668" ht="12.75" hidden="1" customHeight="1" x14ac:dyDescent="0.35"/>
    <row r="1047669" ht="12.75" hidden="1" customHeight="1" x14ac:dyDescent="0.35"/>
    <row r="1047670" ht="12.75" hidden="1" customHeight="1" x14ac:dyDescent="0.35"/>
    <row r="1047671" ht="12.75" hidden="1" customHeight="1" x14ac:dyDescent="0.35"/>
    <row r="1047672" ht="12.75" hidden="1" customHeight="1" x14ac:dyDescent="0.35"/>
    <row r="1047673" ht="12.75" hidden="1" customHeight="1" x14ac:dyDescent="0.35"/>
    <row r="1047674" ht="12.75" hidden="1" customHeight="1" x14ac:dyDescent="0.35"/>
    <row r="1047675" ht="12.75" hidden="1" customHeight="1" x14ac:dyDescent="0.35"/>
    <row r="1047676" ht="12.75" hidden="1" customHeight="1" x14ac:dyDescent="0.35"/>
    <row r="1047677" ht="12.75" hidden="1" customHeight="1" x14ac:dyDescent="0.35"/>
    <row r="1047678" ht="12.75" hidden="1" customHeight="1" x14ac:dyDescent="0.35"/>
    <row r="1047679" ht="12.75" hidden="1" customHeight="1" x14ac:dyDescent="0.35"/>
    <row r="1047680" ht="12.75" hidden="1" customHeight="1" x14ac:dyDescent="0.35"/>
    <row r="1047681" ht="12.75" hidden="1" customHeight="1" x14ac:dyDescent="0.35"/>
    <row r="1047682" ht="12.75" hidden="1" customHeight="1" x14ac:dyDescent="0.35"/>
    <row r="1047683" ht="12.75" hidden="1" customHeight="1" x14ac:dyDescent="0.35"/>
    <row r="1047684" ht="12.75" hidden="1" customHeight="1" x14ac:dyDescent="0.35"/>
    <row r="1047685" ht="12.75" hidden="1" customHeight="1" x14ac:dyDescent="0.35"/>
    <row r="1047686" ht="12.75" hidden="1" customHeight="1" x14ac:dyDescent="0.35"/>
    <row r="1047687" ht="12.75" hidden="1" customHeight="1" x14ac:dyDescent="0.35"/>
    <row r="1047688" ht="12.75" hidden="1" customHeight="1" x14ac:dyDescent="0.35"/>
    <row r="1047689" ht="12.75" hidden="1" customHeight="1" x14ac:dyDescent="0.35"/>
    <row r="1047690" ht="12.75" hidden="1" customHeight="1" x14ac:dyDescent="0.35"/>
    <row r="1047691" ht="12.75" hidden="1" customHeight="1" x14ac:dyDescent="0.35"/>
    <row r="1047692" ht="12.75" hidden="1" customHeight="1" x14ac:dyDescent="0.35"/>
    <row r="1047693" ht="12.75" hidden="1" customHeight="1" x14ac:dyDescent="0.35"/>
    <row r="1047694" ht="12.75" hidden="1" customHeight="1" x14ac:dyDescent="0.35"/>
    <row r="1047695" ht="12.75" hidden="1" customHeight="1" x14ac:dyDescent="0.35"/>
    <row r="1047696" ht="12.75" hidden="1" customHeight="1" x14ac:dyDescent="0.35"/>
    <row r="1047697" ht="12.75" hidden="1" customHeight="1" x14ac:dyDescent="0.35"/>
    <row r="1047698" ht="12.75" hidden="1" customHeight="1" x14ac:dyDescent="0.35"/>
    <row r="1047699" ht="12.75" hidden="1" customHeight="1" x14ac:dyDescent="0.35"/>
    <row r="1047700" ht="12.75" hidden="1" customHeight="1" x14ac:dyDescent="0.35"/>
    <row r="1047701" ht="12.75" hidden="1" customHeight="1" x14ac:dyDescent="0.35"/>
    <row r="1047702" ht="12.75" hidden="1" customHeight="1" x14ac:dyDescent="0.35"/>
    <row r="1047703" ht="12.75" hidden="1" customHeight="1" x14ac:dyDescent="0.35"/>
    <row r="1047704" ht="12.75" hidden="1" customHeight="1" x14ac:dyDescent="0.35"/>
    <row r="1047705" ht="12.75" hidden="1" customHeight="1" x14ac:dyDescent="0.35"/>
    <row r="1047706" ht="12.75" hidden="1" customHeight="1" x14ac:dyDescent="0.35"/>
    <row r="1047707" ht="12.75" hidden="1" customHeight="1" x14ac:dyDescent="0.35"/>
    <row r="1047708" ht="12.75" hidden="1" customHeight="1" x14ac:dyDescent="0.35"/>
    <row r="1047709" ht="12.75" hidden="1" customHeight="1" x14ac:dyDescent="0.35"/>
    <row r="1047710" ht="12.75" hidden="1" customHeight="1" x14ac:dyDescent="0.35"/>
    <row r="1047711" ht="12.75" hidden="1" customHeight="1" x14ac:dyDescent="0.35"/>
    <row r="1047712" ht="12.75" hidden="1" customHeight="1" x14ac:dyDescent="0.35"/>
    <row r="1047713" ht="12.75" hidden="1" customHeight="1" x14ac:dyDescent="0.35"/>
    <row r="1047714" ht="12.75" hidden="1" customHeight="1" x14ac:dyDescent="0.35"/>
    <row r="1047715" ht="12.75" hidden="1" customHeight="1" x14ac:dyDescent="0.35"/>
    <row r="1047716" ht="12.75" hidden="1" customHeight="1" x14ac:dyDescent="0.35"/>
    <row r="1047717" ht="12.75" hidden="1" customHeight="1" x14ac:dyDescent="0.35"/>
    <row r="1047718" ht="12.75" hidden="1" customHeight="1" x14ac:dyDescent="0.35"/>
    <row r="1047719" ht="12.75" hidden="1" customHeight="1" x14ac:dyDescent="0.35"/>
    <row r="1047720" ht="12.75" hidden="1" customHeight="1" x14ac:dyDescent="0.35"/>
    <row r="1047721" ht="12.75" hidden="1" customHeight="1" x14ac:dyDescent="0.35"/>
    <row r="1047722" ht="12.75" hidden="1" customHeight="1" x14ac:dyDescent="0.35"/>
    <row r="1047723" ht="12.75" hidden="1" customHeight="1" x14ac:dyDescent="0.35"/>
    <row r="1047724" ht="12.75" hidden="1" customHeight="1" x14ac:dyDescent="0.35"/>
    <row r="1047725" ht="12.75" hidden="1" customHeight="1" x14ac:dyDescent="0.35"/>
    <row r="1047726" ht="12.75" hidden="1" customHeight="1" x14ac:dyDescent="0.35"/>
    <row r="1047727" ht="12.75" hidden="1" customHeight="1" x14ac:dyDescent="0.35"/>
    <row r="1047728" ht="12.75" hidden="1" customHeight="1" x14ac:dyDescent="0.35"/>
    <row r="1047729" ht="12.75" hidden="1" customHeight="1" x14ac:dyDescent="0.35"/>
    <row r="1047730" ht="12.75" hidden="1" customHeight="1" x14ac:dyDescent="0.35"/>
    <row r="1047731" ht="12.75" hidden="1" customHeight="1" x14ac:dyDescent="0.35"/>
    <row r="1047732" ht="12.75" hidden="1" customHeight="1" x14ac:dyDescent="0.35"/>
    <row r="1047733" ht="12.75" hidden="1" customHeight="1" x14ac:dyDescent="0.35"/>
    <row r="1047734" ht="12.75" hidden="1" customHeight="1" x14ac:dyDescent="0.35"/>
    <row r="1047735" ht="12.75" hidden="1" customHeight="1" x14ac:dyDescent="0.35"/>
    <row r="1047736" ht="12.75" hidden="1" customHeight="1" x14ac:dyDescent="0.35"/>
    <row r="1047737" ht="12.75" hidden="1" customHeight="1" x14ac:dyDescent="0.35"/>
    <row r="1047738" ht="12.75" hidden="1" customHeight="1" x14ac:dyDescent="0.35"/>
    <row r="1047739" ht="12.75" hidden="1" customHeight="1" x14ac:dyDescent="0.35"/>
    <row r="1047740" ht="12.75" hidden="1" customHeight="1" x14ac:dyDescent="0.35"/>
    <row r="1047741" ht="12.75" hidden="1" customHeight="1" x14ac:dyDescent="0.35"/>
    <row r="1047742" ht="12.75" hidden="1" customHeight="1" x14ac:dyDescent="0.35"/>
    <row r="1047743" ht="12.75" hidden="1" customHeight="1" x14ac:dyDescent="0.35"/>
    <row r="1047744" ht="12.75" hidden="1" customHeight="1" x14ac:dyDescent="0.35"/>
    <row r="1047745" ht="12.75" hidden="1" customHeight="1" x14ac:dyDescent="0.35"/>
    <row r="1047746" ht="12.75" hidden="1" customHeight="1" x14ac:dyDescent="0.35"/>
    <row r="1047747" ht="12.75" hidden="1" customHeight="1" x14ac:dyDescent="0.35"/>
    <row r="1047748" ht="12.75" hidden="1" customHeight="1" x14ac:dyDescent="0.35"/>
    <row r="1047749" ht="12.75" hidden="1" customHeight="1" x14ac:dyDescent="0.35"/>
    <row r="1047750" ht="12.75" hidden="1" customHeight="1" x14ac:dyDescent="0.35"/>
    <row r="1047751" ht="12.75" hidden="1" customHeight="1" x14ac:dyDescent="0.35"/>
    <row r="1047752" ht="12.75" hidden="1" customHeight="1" x14ac:dyDescent="0.35"/>
    <row r="1047753" ht="12.75" hidden="1" customHeight="1" x14ac:dyDescent="0.35"/>
    <row r="1047754" ht="12.75" hidden="1" customHeight="1" x14ac:dyDescent="0.35"/>
    <row r="1047755" ht="12.75" hidden="1" customHeight="1" x14ac:dyDescent="0.35"/>
    <row r="1047756" ht="12.75" hidden="1" customHeight="1" x14ac:dyDescent="0.35"/>
    <row r="1047757" ht="12.75" hidden="1" customHeight="1" x14ac:dyDescent="0.35"/>
    <row r="1047758" ht="12.75" hidden="1" customHeight="1" x14ac:dyDescent="0.35"/>
    <row r="1047759" ht="12.75" hidden="1" customHeight="1" x14ac:dyDescent="0.35"/>
    <row r="1047760" ht="12.75" hidden="1" customHeight="1" x14ac:dyDescent="0.35"/>
    <row r="1047761" ht="12.75" hidden="1" customHeight="1" x14ac:dyDescent="0.35"/>
    <row r="1047762" ht="12.75" hidden="1" customHeight="1" x14ac:dyDescent="0.35"/>
    <row r="1047763" ht="12.75" hidden="1" customHeight="1" x14ac:dyDescent="0.35"/>
    <row r="1047764" ht="12.75" hidden="1" customHeight="1" x14ac:dyDescent="0.35"/>
    <row r="1047765" ht="12.75" hidden="1" customHeight="1" x14ac:dyDescent="0.35"/>
    <row r="1047766" ht="12.75" hidden="1" customHeight="1" x14ac:dyDescent="0.35"/>
    <row r="1047767" ht="12.75" hidden="1" customHeight="1" x14ac:dyDescent="0.35"/>
    <row r="1047768" ht="12.75" hidden="1" customHeight="1" x14ac:dyDescent="0.35"/>
    <row r="1047769" ht="12.75" hidden="1" customHeight="1" x14ac:dyDescent="0.35"/>
    <row r="1047770" ht="12.75" hidden="1" customHeight="1" x14ac:dyDescent="0.35"/>
    <row r="1047771" ht="12.75" hidden="1" customHeight="1" x14ac:dyDescent="0.35"/>
    <row r="1047772" ht="12.75" hidden="1" customHeight="1" x14ac:dyDescent="0.35"/>
    <row r="1047773" ht="12.75" hidden="1" customHeight="1" x14ac:dyDescent="0.35"/>
    <row r="1047774" ht="12.75" hidden="1" customHeight="1" x14ac:dyDescent="0.35"/>
    <row r="1047775" ht="12.75" hidden="1" customHeight="1" x14ac:dyDescent="0.35"/>
    <row r="1047776" ht="12.75" hidden="1" customHeight="1" x14ac:dyDescent="0.35"/>
    <row r="1047777" ht="12.75" hidden="1" customHeight="1" x14ac:dyDescent="0.35"/>
    <row r="1047778" ht="12.75" hidden="1" customHeight="1" x14ac:dyDescent="0.35"/>
    <row r="1047779" ht="12.75" hidden="1" customHeight="1" x14ac:dyDescent="0.35"/>
    <row r="1047780" ht="12.75" hidden="1" customHeight="1" x14ac:dyDescent="0.35"/>
    <row r="1047781" ht="12.75" hidden="1" customHeight="1" x14ac:dyDescent="0.35"/>
    <row r="1047782" ht="12.75" hidden="1" customHeight="1" x14ac:dyDescent="0.35"/>
    <row r="1047783" ht="12.75" hidden="1" customHeight="1" x14ac:dyDescent="0.35"/>
    <row r="1047784" ht="12.75" hidden="1" customHeight="1" x14ac:dyDescent="0.35"/>
    <row r="1047785" ht="12.75" hidden="1" customHeight="1" x14ac:dyDescent="0.35"/>
    <row r="1047786" ht="12.75" hidden="1" customHeight="1" x14ac:dyDescent="0.35"/>
    <row r="1047787" ht="12.75" hidden="1" customHeight="1" x14ac:dyDescent="0.35"/>
    <row r="1047788" ht="12.75" hidden="1" customHeight="1" x14ac:dyDescent="0.35"/>
    <row r="1047789" ht="12.75" hidden="1" customHeight="1" x14ac:dyDescent="0.35"/>
    <row r="1047790" ht="12.75" hidden="1" customHeight="1" x14ac:dyDescent="0.35"/>
    <row r="1047791" ht="12.75" hidden="1" customHeight="1" x14ac:dyDescent="0.35"/>
    <row r="1047792" ht="12.75" hidden="1" customHeight="1" x14ac:dyDescent="0.35"/>
    <row r="1047793" ht="12.75" hidden="1" customHeight="1" x14ac:dyDescent="0.35"/>
    <row r="1047794" ht="12.75" hidden="1" customHeight="1" x14ac:dyDescent="0.35"/>
    <row r="1047795" ht="12.75" hidden="1" customHeight="1" x14ac:dyDescent="0.35"/>
    <row r="1047796" ht="12.75" hidden="1" customHeight="1" x14ac:dyDescent="0.35"/>
    <row r="1047797" ht="12.75" hidden="1" customHeight="1" x14ac:dyDescent="0.35"/>
    <row r="1047798" ht="12.75" hidden="1" customHeight="1" x14ac:dyDescent="0.35"/>
    <row r="1047799" ht="12.75" hidden="1" customHeight="1" x14ac:dyDescent="0.35"/>
    <row r="1047800" ht="12.75" hidden="1" customHeight="1" x14ac:dyDescent="0.35"/>
    <row r="1047801" ht="12.75" hidden="1" customHeight="1" x14ac:dyDescent="0.35"/>
    <row r="1047802" ht="12.75" hidden="1" customHeight="1" x14ac:dyDescent="0.35"/>
    <row r="1047803" ht="12.75" hidden="1" customHeight="1" x14ac:dyDescent="0.35"/>
    <row r="1047804" ht="12.75" hidden="1" customHeight="1" x14ac:dyDescent="0.35"/>
    <row r="1047805" ht="12.75" hidden="1" customHeight="1" x14ac:dyDescent="0.35"/>
    <row r="1047806" ht="12.75" hidden="1" customHeight="1" x14ac:dyDescent="0.35"/>
    <row r="1047807" ht="12.75" hidden="1" customHeight="1" x14ac:dyDescent="0.35"/>
    <row r="1047808" ht="12.75" hidden="1" customHeight="1" x14ac:dyDescent="0.35"/>
    <row r="1047809" ht="12.75" hidden="1" customHeight="1" x14ac:dyDescent="0.35"/>
    <row r="1047810" ht="12.75" hidden="1" customHeight="1" x14ac:dyDescent="0.35"/>
    <row r="1047811" ht="12.75" hidden="1" customHeight="1" x14ac:dyDescent="0.35"/>
    <row r="1047812" ht="12.75" hidden="1" customHeight="1" x14ac:dyDescent="0.35"/>
    <row r="1047813" ht="12.75" hidden="1" customHeight="1" x14ac:dyDescent="0.35"/>
    <row r="1047814" ht="12.75" hidden="1" customHeight="1" x14ac:dyDescent="0.35"/>
    <row r="1047815" ht="12.75" hidden="1" customHeight="1" x14ac:dyDescent="0.35"/>
    <row r="1047816" ht="12.75" hidden="1" customHeight="1" x14ac:dyDescent="0.35"/>
    <row r="1047817" ht="12.75" hidden="1" customHeight="1" x14ac:dyDescent="0.35"/>
    <row r="1047818" ht="12.75" hidden="1" customHeight="1" x14ac:dyDescent="0.35"/>
    <row r="1047819" ht="12.75" hidden="1" customHeight="1" x14ac:dyDescent="0.35"/>
    <row r="1047820" ht="12.75" hidden="1" customHeight="1" x14ac:dyDescent="0.35"/>
    <row r="1047821" ht="12.75" hidden="1" customHeight="1" x14ac:dyDescent="0.35"/>
    <row r="1047822" ht="12.75" hidden="1" customHeight="1" x14ac:dyDescent="0.35"/>
    <row r="1047823" ht="12.75" hidden="1" customHeight="1" x14ac:dyDescent="0.35"/>
    <row r="1047824" ht="12.75" hidden="1" customHeight="1" x14ac:dyDescent="0.35"/>
    <row r="1047825" ht="12.75" hidden="1" customHeight="1" x14ac:dyDescent="0.35"/>
    <row r="1047826" ht="12.75" hidden="1" customHeight="1" x14ac:dyDescent="0.35"/>
    <row r="1047827" ht="12.75" hidden="1" customHeight="1" x14ac:dyDescent="0.35"/>
    <row r="1047828" ht="12.75" hidden="1" customHeight="1" x14ac:dyDescent="0.35"/>
    <row r="1047829" ht="12.75" hidden="1" customHeight="1" x14ac:dyDescent="0.35"/>
    <row r="1047830" ht="12.75" hidden="1" customHeight="1" x14ac:dyDescent="0.35"/>
    <row r="1047831" ht="12.75" hidden="1" customHeight="1" x14ac:dyDescent="0.35"/>
    <row r="1047832" ht="12.75" hidden="1" customHeight="1" x14ac:dyDescent="0.35"/>
    <row r="1047833" ht="12.75" hidden="1" customHeight="1" x14ac:dyDescent="0.35"/>
    <row r="1047834" ht="12.75" hidden="1" customHeight="1" x14ac:dyDescent="0.35"/>
    <row r="1047835" ht="12.75" hidden="1" customHeight="1" x14ac:dyDescent="0.35"/>
    <row r="1047836" ht="12.75" hidden="1" customHeight="1" x14ac:dyDescent="0.35"/>
    <row r="1047837" ht="12.75" hidden="1" customHeight="1" x14ac:dyDescent="0.35"/>
    <row r="1047838" ht="12.75" hidden="1" customHeight="1" x14ac:dyDescent="0.35"/>
    <row r="1047839" ht="12.75" hidden="1" customHeight="1" x14ac:dyDescent="0.35"/>
    <row r="1047840" ht="12.75" hidden="1" customHeight="1" x14ac:dyDescent="0.35"/>
    <row r="1047841" ht="12.75" hidden="1" customHeight="1" x14ac:dyDescent="0.35"/>
    <row r="1047842" ht="12.75" hidden="1" customHeight="1" x14ac:dyDescent="0.35"/>
    <row r="1047843" ht="12.75" hidden="1" customHeight="1" x14ac:dyDescent="0.35"/>
    <row r="1047844" ht="12.75" hidden="1" customHeight="1" x14ac:dyDescent="0.35"/>
    <row r="1047845" ht="12.75" hidden="1" customHeight="1" x14ac:dyDescent="0.35"/>
    <row r="1047846" ht="12.75" hidden="1" customHeight="1" x14ac:dyDescent="0.35"/>
    <row r="1047847" ht="12.75" hidden="1" customHeight="1" x14ac:dyDescent="0.35"/>
    <row r="1047848" ht="12.75" hidden="1" customHeight="1" x14ac:dyDescent="0.35"/>
    <row r="1047849" ht="12.75" hidden="1" customHeight="1" x14ac:dyDescent="0.35"/>
    <row r="1047850" ht="12.75" hidden="1" customHeight="1" x14ac:dyDescent="0.35"/>
    <row r="1047851" ht="12.75" hidden="1" customHeight="1" x14ac:dyDescent="0.35"/>
    <row r="1047852" ht="12.75" hidden="1" customHeight="1" x14ac:dyDescent="0.35"/>
    <row r="1047853" ht="12.75" hidden="1" customHeight="1" x14ac:dyDescent="0.35"/>
    <row r="1047854" ht="12.75" hidden="1" customHeight="1" x14ac:dyDescent="0.35"/>
    <row r="1047855" ht="12.75" hidden="1" customHeight="1" x14ac:dyDescent="0.35"/>
    <row r="1047856" ht="12.75" hidden="1" customHeight="1" x14ac:dyDescent="0.35"/>
    <row r="1047857" ht="12.75" hidden="1" customHeight="1" x14ac:dyDescent="0.35"/>
    <row r="1047858" ht="12.75" hidden="1" customHeight="1" x14ac:dyDescent="0.35"/>
    <row r="1047859" ht="12.75" hidden="1" customHeight="1" x14ac:dyDescent="0.35"/>
    <row r="1047860" ht="12.75" hidden="1" customHeight="1" x14ac:dyDescent="0.35"/>
    <row r="1047861" ht="12.75" hidden="1" customHeight="1" x14ac:dyDescent="0.35"/>
    <row r="1047862" ht="12.75" hidden="1" customHeight="1" x14ac:dyDescent="0.35"/>
    <row r="1047863" ht="12.75" hidden="1" customHeight="1" x14ac:dyDescent="0.35"/>
    <row r="1047864" ht="12.75" hidden="1" customHeight="1" x14ac:dyDescent="0.35"/>
    <row r="1047865" ht="12.75" hidden="1" customHeight="1" x14ac:dyDescent="0.35"/>
    <row r="1047866" ht="12.75" hidden="1" customHeight="1" x14ac:dyDescent="0.35"/>
    <row r="1047867" ht="12.75" hidden="1" customHeight="1" x14ac:dyDescent="0.35"/>
    <row r="1047868" ht="12.75" hidden="1" customHeight="1" x14ac:dyDescent="0.35"/>
    <row r="1047869" ht="12.75" hidden="1" customHeight="1" x14ac:dyDescent="0.35"/>
    <row r="1047870" ht="12.75" hidden="1" customHeight="1" x14ac:dyDescent="0.35"/>
    <row r="1047871" ht="12.75" hidden="1" customHeight="1" x14ac:dyDescent="0.35"/>
    <row r="1047872" ht="12.75" hidden="1" customHeight="1" x14ac:dyDescent="0.35"/>
    <row r="1047873" ht="12.75" hidden="1" customHeight="1" x14ac:dyDescent="0.35"/>
    <row r="1047874" ht="12.75" hidden="1" customHeight="1" x14ac:dyDescent="0.35"/>
    <row r="1047875" ht="12.75" hidden="1" customHeight="1" x14ac:dyDescent="0.35"/>
    <row r="1047876" ht="12.75" hidden="1" customHeight="1" x14ac:dyDescent="0.35"/>
    <row r="1047877" ht="12.75" hidden="1" customHeight="1" x14ac:dyDescent="0.35"/>
    <row r="1047878" ht="12.75" hidden="1" customHeight="1" x14ac:dyDescent="0.35"/>
    <row r="1047879" ht="12.75" hidden="1" customHeight="1" x14ac:dyDescent="0.35"/>
    <row r="1047880" ht="12.75" hidden="1" customHeight="1" x14ac:dyDescent="0.35"/>
    <row r="1047881" ht="12.75" hidden="1" customHeight="1" x14ac:dyDescent="0.35"/>
    <row r="1047882" ht="12.75" hidden="1" customHeight="1" x14ac:dyDescent="0.35"/>
    <row r="1047883" ht="12.75" hidden="1" customHeight="1" x14ac:dyDescent="0.35"/>
    <row r="1047884" ht="12.75" hidden="1" customHeight="1" x14ac:dyDescent="0.35"/>
    <row r="1047885" ht="12.75" hidden="1" customHeight="1" x14ac:dyDescent="0.35"/>
    <row r="1047886" ht="12.75" hidden="1" customHeight="1" x14ac:dyDescent="0.35"/>
    <row r="1047887" ht="12.75" hidden="1" customHeight="1" x14ac:dyDescent="0.35"/>
    <row r="1047888" ht="12.75" hidden="1" customHeight="1" x14ac:dyDescent="0.35"/>
    <row r="1047889" ht="12.75" hidden="1" customHeight="1" x14ac:dyDescent="0.35"/>
    <row r="1047890" ht="12.75" hidden="1" customHeight="1" x14ac:dyDescent="0.35"/>
    <row r="1047891" ht="12.75" hidden="1" customHeight="1" x14ac:dyDescent="0.35"/>
    <row r="1047892" ht="12.75" hidden="1" customHeight="1" x14ac:dyDescent="0.35"/>
    <row r="1047893" ht="12.75" hidden="1" customHeight="1" x14ac:dyDescent="0.35"/>
    <row r="1047894" ht="12.75" hidden="1" customHeight="1" x14ac:dyDescent="0.35"/>
    <row r="1047895" ht="12.75" hidden="1" customHeight="1" x14ac:dyDescent="0.35"/>
    <row r="1047896" ht="12.75" hidden="1" customHeight="1" x14ac:dyDescent="0.35"/>
    <row r="1047897" ht="12.75" hidden="1" customHeight="1" x14ac:dyDescent="0.35"/>
    <row r="1047898" ht="12.75" hidden="1" customHeight="1" x14ac:dyDescent="0.35"/>
    <row r="1047899" ht="12.75" hidden="1" customHeight="1" x14ac:dyDescent="0.35"/>
    <row r="1047900" ht="12.75" hidden="1" customHeight="1" x14ac:dyDescent="0.35"/>
    <row r="1047901" ht="12.75" hidden="1" customHeight="1" x14ac:dyDescent="0.35"/>
    <row r="1047902" ht="12.75" hidden="1" customHeight="1" x14ac:dyDescent="0.35"/>
    <row r="1047903" ht="12.75" hidden="1" customHeight="1" x14ac:dyDescent="0.35"/>
    <row r="1047904" ht="12.75" hidden="1" customHeight="1" x14ac:dyDescent="0.35"/>
    <row r="1047905" ht="12.75" hidden="1" customHeight="1" x14ac:dyDescent="0.35"/>
    <row r="1047906" ht="12.75" hidden="1" customHeight="1" x14ac:dyDescent="0.35"/>
    <row r="1047907" ht="12.75" hidden="1" customHeight="1" x14ac:dyDescent="0.35"/>
    <row r="1047908" ht="12.75" hidden="1" customHeight="1" x14ac:dyDescent="0.35"/>
    <row r="1047909" ht="12.75" hidden="1" customHeight="1" x14ac:dyDescent="0.35"/>
    <row r="1047910" ht="12.75" hidden="1" customHeight="1" x14ac:dyDescent="0.35"/>
    <row r="1047911" ht="12.75" hidden="1" customHeight="1" x14ac:dyDescent="0.35"/>
    <row r="1047912" ht="12.75" hidden="1" customHeight="1" x14ac:dyDescent="0.35"/>
    <row r="1047913" ht="12.75" hidden="1" customHeight="1" x14ac:dyDescent="0.35"/>
    <row r="1047914" ht="12.75" hidden="1" customHeight="1" x14ac:dyDescent="0.35"/>
    <row r="1047915" ht="12.75" hidden="1" customHeight="1" x14ac:dyDescent="0.35"/>
    <row r="1047916" ht="12.75" hidden="1" customHeight="1" x14ac:dyDescent="0.35"/>
    <row r="1047917" ht="12.75" hidden="1" customHeight="1" x14ac:dyDescent="0.35"/>
    <row r="1047918" ht="12.75" hidden="1" customHeight="1" x14ac:dyDescent="0.35"/>
    <row r="1047919" ht="12.75" hidden="1" customHeight="1" x14ac:dyDescent="0.35"/>
    <row r="1047920" ht="12.75" hidden="1" customHeight="1" x14ac:dyDescent="0.35"/>
    <row r="1047921" ht="12.75" hidden="1" customHeight="1" x14ac:dyDescent="0.35"/>
    <row r="1047922" ht="12.75" hidden="1" customHeight="1" x14ac:dyDescent="0.35"/>
    <row r="1047923" ht="12.75" hidden="1" customHeight="1" x14ac:dyDescent="0.35"/>
    <row r="1047924" ht="12.75" hidden="1" customHeight="1" x14ac:dyDescent="0.35"/>
    <row r="1047925" ht="12.75" hidden="1" customHeight="1" x14ac:dyDescent="0.35"/>
    <row r="1047926" ht="12.75" hidden="1" customHeight="1" x14ac:dyDescent="0.35"/>
    <row r="1047927" ht="12.75" hidden="1" customHeight="1" x14ac:dyDescent="0.35"/>
    <row r="1047928" ht="12.75" hidden="1" customHeight="1" x14ac:dyDescent="0.35"/>
    <row r="1047929" ht="12.75" hidden="1" customHeight="1" x14ac:dyDescent="0.35"/>
    <row r="1047930" ht="12.75" hidden="1" customHeight="1" x14ac:dyDescent="0.35"/>
    <row r="1047931" ht="12.75" hidden="1" customHeight="1" x14ac:dyDescent="0.35"/>
    <row r="1047932" ht="12.75" hidden="1" customHeight="1" x14ac:dyDescent="0.35"/>
    <row r="1047933" ht="12.75" hidden="1" customHeight="1" x14ac:dyDescent="0.35"/>
    <row r="1047934" ht="12.75" hidden="1" customHeight="1" x14ac:dyDescent="0.35"/>
    <row r="1047935" ht="12.75" hidden="1" customHeight="1" x14ac:dyDescent="0.35"/>
    <row r="1047936" ht="12.75" hidden="1" customHeight="1" x14ac:dyDescent="0.35"/>
    <row r="1047937" ht="12.75" hidden="1" customHeight="1" x14ac:dyDescent="0.35"/>
    <row r="1047938" ht="12.75" hidden="1" customHeight="1" x14ac:dyDescent="0.35"/>
    <row r="1047939" ht="12.75" hidden="1" customHeight="1" x14ac:dyDescent="0.35"/>
    <row r="1047940" ht="12.75" hidden="1" customHeight="1" x14ac:dyDescent="0.35"/>
    <row r="1047941" ht="12.75" hidden="1" customHeight="1" x14ac:dyDescent="0.35"/>
    <row r="1047942" ht="12.75" hidden="1" customHeight="1" x14ac:dyDescent="0.35"/>
    <row r="1047943" ht="12.75" hidden="1" customHeight="1" x14ac:dyDescent="0.35"/>
    <row r="1047944" ht="12.75" hidden="1" customHeight="1" x14ac:dyDescent="0.35"/>
    <row r="1047945" ht="12.75" hidden="1" customHeight="1" x14ac:dyDescent="0.35"/>
    <row r="1047946" ht="12.75" hidden="1" customHeight="1" x14ac:dyDescent="0.35"/>
    <row r="1047947" ht="12.75" hidden="1" customHeight="1" x14ac:dyDescent="0.35"/>
    <row r="1047948" ht="12.75" hidden="1" customHeight="1" x14ac:dyDescent="0.35"/>
    <row r="1047949" ht="12.75" hidden="1" customHeight="1" x14ac:dyDescent="0.35"/>
    <row r="1047950" ht="12.75" hidden="1" customHeight="1" x14ac:dyDescent="0.35"/>
    <row r="1047951" ht="12.75" hidden="1" customHeight="1" x14ac:dyDescent="0.35"/>
    <row r="1047952" ht="12.75" hidden="1" customHeight="1" x14ac:dyDescent="0.35"/>
    <row r="1047953" ht="12.75" hidden="1" customHeight="1" x14ac:dyDescent="0.35"/>
    <row r="1047954" ht="12.75" hidden="1" customHeight="1" x14ac:dyDescent="0.35"/>
    <row r="1047955" ht="12.75" hidden="1" customHeight="1" x14ac:dyDescent="0.35"/>
    <row r="1047956" ht="12.75" hidden="1" customHeight="1" x14ac:dyDescent="0.35"/>
    <row r="1047957" ht="12.75" hidden="1" customHeight="1" x14ac:dyDescent="0.35"/>
    <row r="1047958" ht="12.75" hidden="1" customHeight="1" x14ac:dyDescent="0.35"/>
    <row r="1047959" ht="12.75" hidden="1" customHeight="1" x14ac:dyDescent="0.35"/>
    <row r="1047960" ht="12.75" hidden="1" customHeight="1" x14ac:dyDescent="0.35"/>
    <row r="1047961" ht="12.75" hidden="1" customHeight="1" x14ac:dyDescent="0.35"/>
    <row r="1047962" ht="12.75" hidden="1" customHeight="1" x14ac:dyDescent="0.35"/>
    <row r="1047963" ht="12.75" hidden="1" customHeight="1" x14ac:dyDescent="0.35"/>
    <row r="1047964" ht="12.75" hidden="1" customHeight="1" x14ac:dyDescent="0.35"/>
    <row r="1047965" ht="12.75" hidden="1" customHeight="1" x14ac:dyDescent="0.35"/>
    <row r="1047966" ht="12.75" hidden="1" customHeight="1" x14ac:dyDescent="0.35"/>
    <row r="1047967" ht="12.75" hidden="1" customHeight="1" x14ac:dyDescent="0.35"/>
    <row r="1047968" ht="12.75" hidden="1" customHeight="1" x14ac:dyDescent="0.35"/>
    <row r="1047969" ht="12.75" hidden="1" customHeight="1" x14ac:dyDescent="0.35"/>
    <row r="1047970" ht="12.75" hidden="1" customHeight="1" x14ac:dyDescent="0.35"/>
    <row r="1047971" ht="12.75" hidden="1" customHeight="1" x14ac:dyDescent="0.35"/>
    <row r="1047972" ht="12.75" hidden="1" customHeight="1" x14ac:dyDescent="0.35"/>
    <row r="1047973" ht="12.75" hidden="1" customHeight="1" x14ac:dyDescent="0.35"/>
    <row r="1047974" ht="12.75" hidden="1" customHeight="1" x14ac:dyDescent="0.35"/>
    <row r="1047975" ht="12.75" hidden="1" customHeight="1" x14ac:dyDescent="0.35"/>
    <row r="1047976" ht="12.75" hidden="1" customHeight="1" x14ac:dyDescent="0.35"/>
    <row r="1047977" ht="12.75" hidden="1" customHeight="1" x14ac:dyDescent="0.35"/>
    <row r="1047978" ht="12.75" hidden="1" customHeight="1" x14ac:dyDescent="0.35"/>
    <row r="1047979" ht="12.75" hidden="1" customHeight="1" x14ac:dyDescent="0.35"/>
    <row r="1047980" ht="12.75" hidden="1" customHeight="1" x14ac:dyDescent="0.35"/>
    <row r="1047981" ht="12.75" hidden="1" customHeight="1" x14ac:dyDescent="0.35"/>
    <row r="1047982" ht="12.75" hidden="1" customHeight="1" x14ac:dyDescent="0.35"/>
    <row r="1047983" ht="12.75" hidden="1" customHeight="1" x14ac:dyDescent="0.35"/>
    <row r="1047984" ht="12.75" hidden="1" customHeight="1" x14ac:dyDescent="0.35"/>
    <row r="1047985" ht="12.75" hidden="1" customHeight="1" x14ac:dyDescent="0.35"/>
    <row r="1047986" ht="12.75" hidden="1" customHeight="1" x14ac:dyDescent="0.35"/>
    <row r="1047987" ht="12.75" hidden="1" customHeight="1" x14ac:dyDescent="0.35"/>
    <row r="1047988" ht="12.75" hidden="1" customHeight="1" x14ac:dyDescent="0.35"/>
    <row r="1047989" ht="12.75" hidden="1" customHeight="1" x14ac:dyDescent="0.35"/>
    <row r="1047990" ht="12.75" hidden="1" customHeight="1" x14ac:dyDescent="0.35"/>
    <row r="1047991" ht="12.75" hidden="1" customHeight="1" x14ac:dyDescent="0.35"/>
    <row r="1047992" ht="12.75" hidden="1" customHeight="1" x14ac:dyDescent="0.35"/>
    <row r="1047993" ht="12.75" hidden="1" customHeight="1" x14ac:dyDescent="0.35"/>
    <row r="1047994" ht="12.75" hidden="1" customHeight="1" x14ac:dyDescent="0.35"/>
    <row r="1047995" ht="12.75" hidden="1" customHeight="1" x14ac:dyDescent="0.35"/>
    <row r="1047996" ht="12.75" hidden="1" customHeight="1" x14ac:dyDescent="0.35"/>
    <row r="1047997" ht="12.75" hidden="1" customHeight="1" x14ac:dyDescent="0.35"/>
    <row r="1047998" ht="12.75" hidden="1" customHeight="1" x14ac:dyDescent="0.35"/>
    <row r="1047999" ht="12.75" hidden="1" customHeight="1" x14ac:dyDescent="0.35"/>
    <row r="1048000" ht="12.75" hidden="1" customHeight="1" x14ac:dyDescent="0.35"/>
    <row r="1048001" ht="12.75" hidden="1" customHeight="1" x14ac:dyDescent="0.35"/>
    <row r="1048002" ht="12.75" hidden="1" customHeight="1" x14ac:dyDescent="0.35"/>
    <row r="1048003" ht="12.75" hidden="1" customHeight="1" x14ac:dyDescent="0.35"/>
    <row r="1048004" ht="12.75" hidden="1" customHeight="1" x14ac:dyDescent="0.35"/>
    <row r="1048005" ht="12.75" hidden="1" customHeight="1" x14ac:dyDescent="0.35"/>
    <row r="1048006" ht="12.75" hidden="1" customHeight="1" x14ac:dyDescent="0.35"/>
    <row r="1048007" ht="12.75" hidden="1" customHeight="1" x14ac:dyDescent="0.35"/>
    <row r="1048008" ht="12.75" hidden="1" customHeight="1" x14ac:dyDescent="0.35"/>
    <row r="1048009" ht="12.75" hidden="1" customHeight="1" x14ac:dyDescent="0.35"/>
    <row r="1048010" ht="12.75" hidden="1" customHeight="1" x14ac:dyDescent="0.35"/>
    <row r="1048011" ht="12.75" hidden="1" customHeight="1" x14ac:dyDescent="0.35"/>
    <row r="1048012" ht="12.75" hidden="1" customHeight="1" x14ac:dyDescent="0.35"/>
    <row r="1048013" ht="12.75" hidden="1" customHeight="1" x14ac:dyDescent="0.35"/>
    <row r="1048014" ht="12.75" hidden="1" customHeight="1" x14ac:dyDescent="0.35"/>
    <row r="1048015" ht="12.75" hidden="1" customHeight="1" x14ac:dyDescent="0.35"/>
    <row r="1048016" ht="12.75" hidden="1" customHeight="1" x14ac:dyDescent="0.35"/>
    <row r="1048017" ht="12.75" hidden="1" customHeight="1" x14ac:dyDescent="0.35"/>
    <row r="1048018" ht="12.75" hidden="1" customHeight="1" x14ac:dyDescent="0.35"/>
    <row r="1048019" ht="12.75" hidden="1" customHeight="1" x14ac:dyDescent="0.35"/>
    <row r="1048020" ht="12.75" hidden="1" customHeight="1" x14ac:dyDescent="0.35"/>
    <row r="1048021" ht="12.75" hidden="1" customHeight="1" x14ac:dyDescent="0.35"/>
    <row r="1048022" ht="12.75" hidden="1" customHeight="1" x14ac:dyDescent="0.35"/>
    <row r="1048023" ht="12.75" hidden="1" customHeight="1" x14ac:dyDescent="0.35"/>
    <row r="1048024" ht="12.75" hidden="1" customHeight="1" x14ac:dyDescent="0.35"/>
    <row r="1048025" ht="12.75" hidden="1" customHeight="1" x14ac:dyDescent="0.35"/>
    <row r="1048026" ht="12.75" hidden="1" customHeight="1" x14ac:dyDescent="0.35"/>
    <row r="1048027" ht="12.75" hidden="1" customHeight="1" x14ac:dyDescent="0.35"/>
    <row r="1048028" ht="12.75" hidden="1" customHeight="1" x14ac:dyDescent="0.35"/>
    <row r="1048029" ht="12.75" hidden="1" customHeight="1" x14ac:dyDescent="0.35"/>
    <row r="1048030" ht="12.75" hidden="1" customHeight="1" x14ac:dyDescent="0.35"/>
    <row r="1048031" ht="12.75" hidden="1" customHeight="1" x14ac:dyDescent="0.35"/>
    <row r="1048032" ht="12.75" hidden="1" customHeight="1" x14ac:dyDescent="0.35"/>
    <row r="1048033" ht="12.75" hidden="1" customHeight="1" x14ac:dyDescent="0.35"/>
    <row r="1048034" ht="12.75" hidden="1" customHeight="1" x14ac:dyDescent="0.35"/>
    <row r="1048035" ht="12.75" hidden="1" customHeight="1" x14ac:dyDescent="0.35"/>
    <row r="1048036" ht="12.75" hidden="1" customHeight="1" x14ac:dyDescent="0.35"/>
    <row r="1048037" ht="12.75" hidden="1" customHeight="1" x14ac:dyDescent="0.35"/>
    <row r="1048038" ht="12.75" hidden="1" customHeight="1" x14ac:dyDescent="0.35"/>
    <row r="1048039" ht="12.75" hidden="1" customHeight="1" x14ac:dyDescent="0.35"/>
    <row r="1048040" ht="12.75" hidden="1" customHeight="1" x14ac:dyDescent="0.35"/>
    <row r="1048041" ht="12.75" hidden="1" customHeight="1" x14ac:dyDescent="0.35"/>
    <row r="1048042" ht="12.75" hidden="1" customHeight="1" x14ac:dyDescent="0.35"/>
    <row r="1048043" ht="12.75" hidden="1" customHeight="1" x14ac:dyDescent="0.35"/>
    <row r="1048044" ht="12.75" hidden="1" customHeight="1" x14ac:dyDescent="0.35"/>
    <row r="1048045" ht="12.75" hidden="1" customHeight="1" x14ac:dyDescent="0.35"/>
    <row r="1048046" ht="12.75" hidden="1" customHeight="1" x14ac:dyDescent="0.35"/>
    <row r="1048047" ht="12.75" hidden="1" customHeight="1" x14ac:dyDescent="0.35"/>
    <row r="1048048" ht="12.75" hidden="1" customHeight="1" x14ac:dyDescent="0.35"/>
    <row r="1048049" ht="12.75" hidden="1" customHeight="1" x14ac:dyDescent="0.35"/>
    <row r="1048050" ht="12.75" hidden="1" customHeight="1" x14ac:dyDescent="0.35"/>
    <row r="1048051" ht="12.75" hidden="1" customHeight="1" x14ac:dyDescent="0.35"/>
    <row r="1048052" ht="12.75" hidden="1" customHeight="1" x14ac:dyDescent="0.35"/>
    <row r="1048053" ht="12.75" hidden="1" customHeight="1" x14ac:dyDescent="0.35"/>
    <row r="1048054" ht="12.75" hidden="1" customHeight="1" x14ac:dyDescent="0.35"/>
    <row r="1048055" ht="12.75" hidden="1" customHeight="1" x14ac:dyDescent="0.35"/>
    <row r="1048056" ht="12.75" hidden="1" customHeight="1" x14ac:dyDescent="0.35"/>
    <row r="1048057" ht="12.75" hidden="1" customHeight="1" x14ac:dyDescent="0.35"/>
    <row r="1048058" ht="12.75" hidden="1" customHeight="1" x14ac:dyDescent="0.35"/>
    <row r="1048059" ht="12.75" hidden="1" customHeight="1" x14ac:dyDescent="0.35"/>
    <row r="1048060" ht="12.75" hidden="1" customHeight="1" x14ac:dyDescent="0.35"/>
    <row r="1048061" ht="12.75" hidden="1" customHeight="1" x14ac:dyDescent="0.35"/>
    <row r="1048062" ht="12.75" hidden="1" customHeight="1" x14ac:dyDescent="0.35"/>
    <row r="1048063" ht="12.75" hidden="1" customHeight="1" x14ac:dyDescent="0.35"/>
    <row r="1048064" ht="12.75" hidden="1" customHeight="1" x14ac:dyDescent="0.35"/>
    <row r="1048065" ht="12.75" hidden="1" customHeight="1" x14ac:dyDescent="0.35"/>
    <row r="1048066" ht="12.75" hidden="1" customHeight="1" x14ac:dyDescent="0.35"/>
    <row r="1048067" ht="12.75" hidden="1" customHeight="1" x14ac:dyDescent="0.35"/>
    <row r="1048068" ht="12.75" hidden="1" customHeight="1" x14ac:dyDescent="0.35"/>
    <row r="1048069" ht="12.75" hidden="1" customHeight="1" x14ac:dyDescent="0.35"/>
    <row r="1048070" ht="12.75" hidden="1" customHeight="1" x14ac:dyDescent="0.35"/>
    <row r="1048071" ht="12.75" hidden="1" customHeight="1" x14ac:dyDescent="0.35"/>
    <row r="1048072" ht="12.75" hidden="1" customHeight="1" x14ac:dyDescent="0.35"/>
    <row r="1048073" ht="12.75" hidden="1" customHeight="1" x14ac:dyDescent="0.35"/>
    <row r="1048074" ht="12.75" hidden="1" customHeight="1" x14ac:dyDescent="0.35"/>
    <row r="1048075" ht="12.75" hidden="1" customHeight="1" x14ac:dyDescent="0.35"/>
    <row r="1048076" ht="12.75" hidden="1" customHeight="1" x14ac:dyDescent="0.35"/>
    <row r="1048077" ht="12.75" hidden="1" customHeight="1" x14ac:dyDescent="0.35"/>
    <row r="1048078" ht="12.75" hidden="1" customHeight="1" x14ac:dyDescent="0.35"/>
    <row r="1048079" ht="12.75" hidden="1" customHeight="1" x14ac:dyDescent="0.35"/>
    <row r="1048080" ht="12.75" hidden="1" customHeight="1" x14ac:dyDescent="0.35"/>
    <row r="1048081" ht="12.75" hidden="1" customHeight="1" x14ac:dyDescent="0.35"/>
    <row r="1048082" ht="12.75" hidden="1" customHeight="1" x14ac:dyDescent="0.35"/>
    <row r="1048083" ht="12.75" hidden="1" customHeight="1" x14ac:dyDescent="0.35"/>
    <row r="1048084" ht="12.75" hidden="1" customHeight="1" x14ac:dyDescent="0.35"/>
    <row r="1048085" ht="12.75" hidden="1" customHeight="1" x14ac:dyDescent="0.35"/>
    <row r="1048086" ht="12.75" hidden="1" customHeight="1" x14ac:dyDescent="0.35"/>
    <row r="1048087" ht="12.75" hidden="1" customHeight="1" x14ac:dyDescent="0.35"/>
    <row r="1048088" ht="12.75" hidden="1" customHeight="1" x14ac:dyDescent="0.35"/>
    <row r="1048089" ht="12.75" hidden="1" customHeight="1" x14ac:dyDescent="0.35"/>
    <row r="1048090" ht="12.75" hidden="1" customHeight="1" x14ac:dyDescent="0.35"/>
    <row r="1048091" ht="12.75" hidden="1" customHeight="1" x14ac:dyDescent="0.35"/>
    <row r="1048092" ht="12.75" hidden="1" customHeight="1" x14ac:dyDescent="0.35"/>
    <row r="1048093" ht="12.75" hidden="1" customHeight="1" x14ac:dyDescent="0.35"/>
    <row r="1048094" ht="12.75" hidden="1" customHeight="1" x14ac:dyDescent="0.35"/>
    <row r="1048095" ht="12.75" hidden="1" customHeight="1" x14ac:dyDescent="0.35"/>
    <row r="1048096" ht="12.75" hidden="1" customHeight="1" x14ac:dyDescent="0.35"/>
    <row r="1048097" ht="12.75" hidden="1" customHeight="1" x14ac:dyDescent="0.35"/>
    <row r="1048098" ht="12.75" hidden="1" customHeight="1" x14ac:dyDescent="0.35"/>
    <row r="1048099" ht="12.75" hidden="1" customHeight="1" x14ac:dyDescent="0.35"/>
    <row r="1048100" ht="12.75" hidden="1" customHeight="1" x14ac:dyDescent="0.35"/>
    <row r="1048101" ht="12.75" hidden="1" customHeight="1" x14ac:dyDescent="0.35"/>
    <row r="1048102" ht="12.75" hidden="1" customHeight="1" x14ac:dyDescent="0.35"/>
    <row r="1048103" ht="12.75" hidden="1" customHeight="1" x14ac:dyDescent="0.35"/>
    <row r="1048104" ht="12.75" hidden="1" customHeight="1" x14ac:dyDescent="0.35"/>
    <row r="1048105" ht="12.75" hidden="1" customHeight="1" x14ac:dyDescent="0.35"/>
    <row r="1048106" ht="12.75" hidden="1" customHeight="1" x14ac:dyDescent="0.35"/>
    <row r="1048107" ht="12.75" hidden="1" customHeight="1" x14ac:dyDescent="0.35"/>
    <row r="1048108" ht="12.75" hidden="1" customHeight="1" x14ac:dyDescent="0.35"/>
    <row r="1048109" ht="12.75" hidden="1" customHeight="1" x14ac:dyDescent="0.35"/>
    <row r="1048110" ht="12.75" hidden="1" customHeight="1" x14ac:dyDescent="0.35"/>
    <row r="1048111" ht="12.75" hidden="1" customHeight="1" x14ac:dyDescent="0.35"/>
    <row r="1048112" ht="12.75" hidden="1" customHeight="1" x14ac:dyDescent="0.35"/>
    <row r="1048113" ht="12.75" hidden="1" customHeight="1" x14ac:dyDescent="0.35"/>
    <row r="1048114" ht="12.75" hidden="1" customHeight="1" x14ac:dyDescent="0.35"/>
    <row r="1048115" ht="12.75" hidden="1" customHeight="1" x14ac:dyDescent="0.35"/>
    <row r="1048116" ht="12.75" hidden="1" customHeight="1" x14ac:dyDescent="0.35"/>
    <row r="1048117" ht="12.75" hidden="1" customHeight="1" x14ac:dyDescent="0.35"/>
    <row r="1048118" ht="12.75" hidden="1" customHeight="1" x14ac:dyDescent="0.35"/>
    <row r="1048119" ht="12.75" hidden="1" customHeight="1" x14ac:dyDescent="0.35"/>
    <row r="1048120" ht="12.75" hidden="1" customHeight="1" x14ac:dyDescent="0.35"/>
    <row r="1048121" ht="12.75" hidden="1" customHeight="1" x14ac:dyDescent="0.35"/>
    <row r="1048122" ht="12.75" hidden="1" customHeight="1" x14ac:dyDescent="0.35"/>
    <row r="1048123" ht="12.75" hidden="1" customHeight="1" x14ac:dyDescent="0.35"/>
    <row r="1048124" ht="12.75" hidden="1" customHeight="1" x14ac:dyDescent="0.35"/>
    <row r="1048125" ht="12.75" hidden="1" customHeight="1" x14ac:dyDescent="0.35"/>
    <row r="1048126" ht="12.75" hidden="1" customHeight="1" x14ac:dyDescent="0.35"/>
    <row r="1048127" ht="12.75" hidden="1" customHeight="1" x14ac:dyDescent="0.35"/>
    <row r="1048128" ht="12.75" hidden="1" customHeight="1" x14ac:dyDescent="0.35"/>
    <row r="1048129" ht="12.75" hidden="1" customHeight="1" x14ac:dyDescent="0.35"/>
    <row r="1048130" ht="12.75" hidden="1" customHeight="1" x14ac:dyDescent="0.35"/>
    <row r="1048131" ht="12.75" hidden="1" customHeight="1" x14ac:dyDescent="0.35"/>
    <row r="1048132" ht="12.75" hidden="1" customHeight="1" x14ac:dyDescent="0.35"/>
    <row r="1048133" ht="12.75" hidden="1" customHeight="1" x14ac:dyDescent="0.35"/>
    <row r="1048134" ht="12.75" hidden="1" customHeight="1" x14ac:dyDescent="0.35"/>
    <row r="1048135" ht="12.75" hidden="1" customHeight="1" x14ac:dyDescent="0.35"/>
    <row r="1048136" ht="12.75" hidden="1" customHeight="1" x14ac:dyDescent="0.35"/>
    <row r="1048137" ht="12.75" hidden="1" customHeight="1" x14ac:dyDescent="0.35"/>
    <row r="1048138" ht="12.75" hidden="1" customHeight="1" x14ac:dyDescent="0.35"/>
    <row r="1048139" ht="12.75" hidden="1" customHeight="1" x14ac:dyDescent="0.35"/>
    <row r="1048140" ht="12.75" hidden="1" customHeight="1" x14ac:dyDescent="0.35"/>
    <row r="1048141" ht="12.75" hidden="1" customHeight="1" x14ac:dyDescent="0.35"/>
    <row r="1048142" ht="12.75" hidden="1" customHeight="1" x14ac:dyDescent="0.35"/>
    <row r="1048143" ht="12.75" hidden="1" customHeight="1" x14ac:dyDescent="0.35"/>
    <row r="1048144" ht="12.75" hidden="1" customHeight="1" x14ac:dyDescent="0.35"/>
    <row r="1048145" ht="12.75" hidden="1" customHeight="1" x14ac:dyDescent="0.35"/>
    <row r="1048146" ht="12.75" hidden="1" customHeight="1" x14ac:dyDescent="0.35"/>
    <row r="1048147" ht="12.75" hidden="1" customHeight="1" x14ac:dyDescent="0.35"/>
    <row r="1048148" ht="12.75" hidden="1" customHeight="1" x14ac:dyDescent="0.35"/>
    <row r="1048149" ht="12.75" hidden="1" customHeight="1" x14ac:dyDescent="0.35"/>
    <row r="1048150" ht="12.75" hidden="1" customHeight="1" x14ac:dyDescent="0.35"/>
    <row r="1048151" ht="12.75" hidden="1" customHeight="1" x14ac:dyDescent="0.35"/>
    <row r="1048152" ht="12.75" hidden="1" customHeight="1" x14ac:dyDescent="0.35"/>
    <row r="1048153" ht="12.75" hidden="1" customHeight="1" x14ac:dyDescent="0.35"/>
    <row r="1048154" ht="12.75" hidden="1" customHeight="1" x14ac:dyDescent="0.35"/>
    <row r="1048155" ht="12.75" hidden="1" customHeight="1" x14ac:dyDescent="0.35"/>
    <row r="1048156" ht="12.75" hidden="1" customHeight="1" x14ac:dyDescent="0.35"/>
    <row r="1048157" ht="12.75" hidden="1" customHeight="1" x14ac:dyDescent="0.35"/>
    <row r="1048158" ht="12.75" hidden="1" customHeight="1" x14ac:dyDescent="0.35"/>
    <row r="1048159" ht="12.75" hidden="1" customHeight="1" x14ac:dyDescent="0.35"/>
    <row r="1048160" ht="12.75" hidden="1" customHeight="1" x14ac:dyDescent="0.35"/>
    <row r="1048161" ht="12.75" hidden="1" customHeight="1" x14ac:dyDescent="0.35"/>
    <row r="1048162" ht="12.75" hidden="1" customHeight="1" x14ac:dyDescent="0.35"/>
    <row r="1048163" ht="12.75" hidden="1" customHeight="1" x14ac:dyDescent="0.35"/>
    <row r="1048164" ht="12.75" hidden="1" customHeight="1" x14ac:dyDescent="0.35"/>
    <row r="1048165" ht="12.75" hidden="1" customHeight="1" x14ac:dyDescent="0.35"/>
    <row r="1048166" ht="12.75" hidden="1" customHeight="1" x14ac:dyDescent="0.35"/>
    <row r="1048167" ht="12.75" hidden="1" customHeight="1" x14ac:dyDescent="0.35"/>
    <row r="1048168" ht="12.75" hidden="1" customHeight="1" x14ac:dyDescent="0.35"/>
    <row r="1048169" ht="12.75" hidden="1" customHeight="1" x14ac:dyDescent="0.35"/>
    <row r="1048170" ht="12.75" hidden="1" customHeight="1" x14ac:dyDescent="0.35"/>
    <row r="1048171" ht="12.75" hidden="1" customHeight="1" x14ac:dyDescent="0.35"/>
    <row r="1048172" ht="12.75" hidden="1" customHeight="1" x14ac:dyDescent="0.35"/>
    <row r="1048173" ht="12.75" hidden="1" customHeight="1" x14ac:dyDescent="0.35"/>
    <row r="1048174" ht="12.75" hidden="1" customHeight="1" x14ac:dyDescent="0.35"/>
    <row r="1048175" ht="12.75" hidden="1" customHeight="1" x14ac:dyDescent="0.35"/>
    <row r="1048176" ht="12.75" hidden="1" customHeight="1" x14ac:dyDescent="0.35"/>
    <row r="1048177" ht="12.75" hidden="1" customHeight="1" x14ac:dyDescent="0.35"/>
    <row r="1048178" ht="12.75" hidden="1" customHeight="1" x14ac:dyDescent="0.35"/>
    <row r="1048179" ht="12.75" hidden="1" customHeight="1" x14ac:dyDescent="0.35"/>
    <row r="1048180" ht="12.75" hidden="1" customHeight="1" x14ac:dyDescent="0.35"/>
    <row r="1048181" ht="12.75" hidden="1" customHeight="1" x14ac:dyDescent="0.35"/>
    <row r="1048182" ht="12.75" hidden="1" customHeight="1" x14ac:dyDescent="0.35"/>
    <row r="1048183" ht="12.75" hidden="1" customHeight="1" x14ac:dyDescent="0.35"/>
    <row r="1048184" ht="12.75" hidden="1" customHeight="1" x14ac:dyDescent="0.35"/>
    <row r="1048185" ht="12.75" hidden="1" customHeight="1" x14ac:dyDescent="0.35"/>
    <row r="1048186" ht="12.75" hidden="1" customHeight="1" x14ac:dyDescent="0.35"/>
    <row r="1048187" ht="12.75" hidden="1" customHeight="1" x14ac:dyDescent="0.35"/>
    <row r="1048188" ht="12.75" hidden="1" customHeight="1" x14ac:dyDescent="0.35"/>
    <row r="1048189" ht="12.75" hidden="1" customHeight="1" x14ac:dyDescent="0.35"/>
    <row r="1048190" ht="12.75" hidden="1" customHeight="1" x14ac:dyDescent="0.35"/>
    <row r="1048191" ht="12.75" hidden="1" customHeight="1" x14ac:dyDescent="0.35"/>
    <row r="1048192" ht="12.75" hidden="1" customHeight="1" x14ac:dyDescent="0.35"/>
    <row r="1048193" ht="12.75" hidden="1" customHeight="1" x14ac:dyDescent="0.35"/>
    <row r="1048194" ht="12.75" hidden="1" customHeight="1" x14ac:dyDescent="0.35"/>
    <row r="1048195" ht="12.75" hidden="1" customHeight="1" x14ac:dyDescent="0.35"/>
    <row r="1048196" ht="12.75" hidden="1" customHeight="1" x14ac:dyDescent="0.35"/>
    <row r="1048197" ht="12.75" hidden="1" customHeight="1" x14ac:dyDescent="0.35"/>
    <row r="1048198" ht="12.75" hidden="1" customHeight="1" x14ac:dyDescent="0.35"/>
    <row r="1048199" ht="12.75" hidden="1" customHeight="1" x14ac:dyDescent="0.35"/>
    <row r="1048200" ht="12.75" hidden="1" customHeight="1" x14ac:dyDescent="0.35"/>
    <row r="1048201" ht="12.75" hidden="1" customHeight="1" x14ac:dyDescent="0.35"/>
    <row r="1048202" ht="12.75" hidden="1" customHeight="1" x14ac:dyDescent="0.35"/>
    <row r="1048203" ht="12.75" hidden="1" customHeight="1" x14ac:dyDescent="0.35"/>
    <row r="1048204" ht="12.75" hidden="1" customHeight="1" x14ac:dyDescent="0.35"/>
    <row r="1048205" ht="12.75" hidden="1" customHeight="1" x14ac:dyDescent="0.35"/>
    <row r="1048206" ht="12.75" hidden="1" customHeight="1" x14ac:dyDescent="0.35"/>
    <row r="1048207" ht="12.75" hidden="1" customHeight="1" x14ac:dyDescent="0.35"/>
    <row r="1048208" ht="12.75" hidden="1" customHeight="1" x14ac:dyDescent="0.35"/>
    <row r="1048209" ht="12.75" hidden="1" customHeight="1" x14ac:dyDescent="0.35"/>
    <row r="1048210" ht="12.75" hidden="1" customHeight="1" x14ac:dyDescent="0.35"/>
    <row r="1048211" ht="12.75" hidden="1" customHeight="1" x14ac:dyDescent="0.35"/>
    <row r="1048212" ht="12.75" hidden="1" customHeight="1" x14ac:dyDescent="0.35"/>
    <row r="1048213" ht="12.75" hidden="1" customHeight="1" x14ac:dyDescent="0.35"/>
    <row r="1048214" ht="12.75" hidden="1" customHeight="1" x14ac:dyDescent="0.35"/>
    <row r="1048215" ht="12.75" hidden="1" customHeight="1" x14ac:dyDescent="0.35"/>
    <row r="1048216" ht="12.75" hidden="1" customHeight="1" x14ac:dyDescent="0.35"/>
    <row r="1048217" ht="12.75" hidden="1" customHeight="1" x14ac:dyDescent="0.35"/>
    <row r="1048218" ht="12.75" hidden="1" customHeight="1" x14ac:dyDescent="0.35"/>
    <row r="1048219" ht="12.75" hidden="1" customHeight="1" x14ac:dyDescent="0.35"/>
    <row r="1048220" ht="12.75" hidden="1" customHeight="1" x14ac:dyDescent="0.35"/>
    <row r="1048221" ht="12.75" hidden="1" customHeight="1" x14ac:dyDescent="0.35"/>
    <row r="1048222" ht="12.75" hidden="1" customHeight="1" x14ac:dyDescent="0.35"/>
    <row r="1048223" ht="12.75" hidden="1" customHeight="1" x14ac:dyDescent="0.35"/>
    <row r="1048224" ht="12.75" hidden="1" customHeight="1" x14ac:dyDescent="0.35"/>
    <row r="1048225" ht="12.75" hidden="1" customHeight="1" x14ac:dyDescent="0.35"/>
    <row r="1048226" ht="12.75" hidden="1" customHeight="1" x14ac:dyDescent="0.35"/>
    <row r="1048227" ht="12.75" hidden="1" customHeight="1" x14ac:dyDescent="0.35"/>
    <row r="1048228" ht="12.75" hidden="1" customHeight="1" x14ac:dyDescent="0.35"/>
    <row r="1048229" ht="12.75" hidden="1" customHeight="1" x14ac:dyDescent="0.35"/>
    <row r="1048230" ht="12.75" hidden="1" customHeight="1" x14ac:dyDescent="0.35"/>
    <row r="1048231" ht="12.75" hidden="1" customHeight="1" x14ac:dyDescent="0.35"/>
    <row r="1048232" ht="12.75" hidden="1" customHeight="1" x14ac:dyDescent="0.35"/>
    <row r="1048233" ht="12.75" hidden="1" customHeight="1" x14ac:dyDescent="0.35"/>
    <row r="1048234" ht="12.75" hidden="1" customHeight="1" x14ac:dyDescent="0.35"/>
    <row r="1048235" ht="12.75" hidden="1" customHeight="1" x14ac:dyDescent="0.35"/>
    <row r="1048236" ht="12.75" hidden="1" customHeight="1" x14ac:dyDescent="0.35"/>
    <row r="1048237" ht="12.75" hidden="1" customHeight="1" x14ac:dyDescent="0.35"/>
    <row r="1048238" ht="12.75" hidden="1" customHeight="1" x14ac:dyDescent="0.35"/>
    <row r="1048239" ht="12.75" hidden="1" customHeight="1" x14ac:dyDescent="0.35"/>
    <row r="1048240" ht="12.75" hidden="1" customHeight="1" x14ac:dyDescent="0.35"/>
    <row r="1048241" ht="12.75" hidden="1" customHeight="1" x14ac:dyDescent="0.35"/>
    <row r="1048242" ht="12.75" hidden="1" customHeight="1" x14ac:dyDescent="0.35"/>
    <row r="1048243" ht="12.75" hidden="1" customHeight="1" x14ac:dyDescent="0.35"/>
    <row r="1048244" ht="12.75" hidden="1" customHeight="1" x14ac:dyDescent="0.35"/>
    <row r="1048245" ht="12.75" hidden="1" customHeight="1" x14ac:dyDescent="0.35"/>
    <row r="1048246" ht="12.75" hidden="1" customHeight="1" x14ac:dyDescent="0.35"/>
    <row r="1048247" ht="12.75" hidden="1" customHeight="1" x14ac:dyDescent="0.35"/>
    <row r="1048248" ht="12.75" hidden="1" customHeight="1" x14ac:dyDescent="0.35"/>
    <row r="1048249" ht="12.75" hidden="1" customHeight="1" x14ac:dyDescent="0.35"/>
    <row r="1048250" ht="12.75" hidden="1" customHeight="1" x14ac:dyDescent="0.35"/>
    <row r="1048251" ht="12.75" hidden="1" customHeight="1" x14ac:dyDescent="0.35"/>
    <row r="1048252" ht="12.75" hidden="1" customHeight="1" x14ac:dyDescent="0.35"/>
    <row r="1048253" ht="12.75" hidden="1" customHeight="1" x14ac:dyDescent="0.35"/>
    <row r="1048254" ht="12.75" hidden="1" customHeight="1" x14ac:dyDescent="0.35"/>
    <row r="1048255" ht="12.75" hidden="1" customHeight="1" x14ac:dyDescent="0.35"/>
    <row r="1048256" ht="12.75" hidden="1" customHeight="1" x14ac:dyDescent="0.35"/>
    <row r="1048257" ht="12.75" hidden="1" customHeight="1" x14ac:dyDescent="0.35"/>
    <row r="1048258" ht="12.75" hidden="1" customHeight="1" x14ac:dyDescent="0.35"/>
    <row r="1048259" ht="12.75" hidden="1" customHeight="1" x14ac:dyDescent="0.35"/>
    <row r="1048260" ht="12.75" hidden="1" customHeight="1" x14ac:dyDescent="0.35"/>
    <row r="1048261" ht="12.75" hidden="1" customHeight="1" x14ac:dyDescent="0.35"/>
    <row r="1048262" ht="12.75" hidden="1" customHeight="1" x14ac:dyDescent="0.35"/>
    <row r="1048263" ht="12.75" hidden="1" customHeight="1" x14ac:dyDescent="0.35"/>
    <row r="1048264" ht="12.75" hidden="1" customHeight="1" x14ac:dyDescent="0.35"/>
    <row r="1048265" ht="12.75" hidden="1" customHeight="1" x14ac:dyDescent="0.35"/>
    <row r="1048266" ht="12.75" hidden="1" customHeight="1" x14ac:dyDescent="0.35"/>
    <row r="1048267" ht="12.75" hidden="1" customHeight="1" x14ac:dyDescent="0.35"/>
    <row r="1048268" ht="12.75" hidden="1" customHeight="1" x14ac:dyDescent="0.35"/>
    <row r="1048269" ht="12.75" hidden="1" customHeight="1" x14ac:dyDescent="0.35"/>
    <row r="1048270" ht="12.75" hidden="1" customHeight="1" x14ac:dyDescent="0.35"/>
    <row r="1048271" ht="12.75" hidden="1" customHeight="1" x14ac:dyDescent="0.35"/>
    <row r="1048272" ht="12.75" hidden="1" customHeight="1" x14ac:dyDescent="0.35"/>
    <row r="1048273" ht="12.75" hidden="1" customHeight="1" x14ac:dyDescent="0.35"/>
    <row r="1048274" ht="12.75" hidden="1" customHeight="1" x14ac:dyDescent="0.35"/>
    <row r="1048275" ht="12.75" hidden="1" customHeight="1" x14ac:dyDescent="0.35"/>
    <row r="1048276" ht="12.75" hidden="1" customHeight="1" x14ac:dyDescent="0.35"/>
    <row r="1048277" ht="12.75" hidden="1" customHeight="1" x14ac:dyDescent="0.35"/>
    <row r="1048278" ht="12.75" hidden="1" customHeight="1" x14ac:dyDescent="0.35"/>
    <row r="1048279" ht="12.75" hidden="1" customHeight="1" x14ac:dyDescent="0.35"/>
    <row r="1048280" ht="12.75" hidden="1" customHeight="1" x14ac:dyDescent="0.35"/>
    <row r="1048281" ht="12.75" hidden="1" customHeight="1" x14ac:dyDescent="0.35"/>
    <row r="1048282" ht="12.75" hidden="1" customHeight="1" x14ac:dyDescent="0.35"/>
    <row r="1048283" ht="12.75" hidden="1" customHeight="1" x14ac:dyDescent="0.35"/>
    <row r="1048284" ht="12.75" hidden="1" customHeight="1" x14ac:dyDescent="0.35"/>
    <row r="1048285" ht="12.75" hidden="1" customHeight="1" x14ac:dyDescent="0.35"/>
    <row r="1048286" ht="12.75" hidden="1" customHeight="1" x14ac:dyDescent="0.35"/>
    <row r="1048287" ht="12.75" hidden="1" customHeight="1" x14ac:dyDescent="0.35"/>
  </sheetData>
  <conditionalFormatting sqref="J436:Q437 R635:AG639 J637:Q639 J732:AG732 J734:AG737 J739:AG741 J746:AG803 J866:AG1236 J1240:AG1241">
    <cfRule type="cellIs" dxfId="77" priority="76" operator="equal">
      <formula>0</formula>
    </cfRule>
  </conditionalFormatting>
  <conditionalFormatting sqref="J443:Q444">
    <cfRule type="cellIs" dxfId="76" priority="73" operator="equal">
      <formula>0</formula>
    </cfRule>
  </conditionalFormatting>
  <conditionalFormatting sqref="J448:Q449 J453:Q454">
    <cfRule type="cellIs" dxfId="75" priority="70" operator="equal">
      <formula>0</formula>
    </cfRule>
  </conditionalFormatting>
  <conditionalFormatting sqref="J458:Q459">
    <cfRule type="cellIs" dxfId="74" priority="67" operator="equal">
      <formula>0</formula>
    </cfRule>
  </conditionalFormatting>
  <conditionalFormatting sqref="J463:Q464 J468:Q469 J473:Q474">
    <cfRule type="cellIs" dxfId="73" priority="64" operator="equal">
      <formula>0</formula>
    </cfRule>
  </conditionalFormatting>
  <conditionalFormatting sqref="J477:Q477">
    <cfRule type="cellIs" dxfId="72" priority="36" operator="equal">
      <formula>0</formula>
    </cfRule>
  </conditionalFormatting>
  <conditionalFormatting sqref="J479:Q479 J481:Q483 J485:AG489">
    <cfRule type="cellIs" dxfId="71" priority="60" operator="equal">
      <formula>0</formula>
    </cfRule>
  </conditionalFormatting>
  <conditionalFormatting sqref="J588:Q589">
    <cfRule type="cellIs" dxfId="70" priority="57" operator="equal">
      <formula>0</formula>
    </cfRule>
  </conditionalFormatting>
  <conditionalFormatting sqref="J594:Q595">
    <cfRule type="cellIs" dxfId="69" priority="38" operator="equal">
      <formula>0</formula>
    </cfRule>
  </conditionalFormatting>
  <conditionalFormatting sqref="J599:Q600">
    <cfRule type="cellIs" dxfId="68" priority="52" operator="equal">
      <formula>0</formula>
    </cfRule>
  </conditionalFormatting>
  <conditionalFormatting sqref="J604:Q605 J609:Q610">
    <cfRule type="cellIs" dxfId="67" priority="49" operator="equal">
      <formula>0</formula>
    </cfRule>
  </conditionalFormatting>
  <conditionalFormatting sqref="J614:Q615">
    <cfRule type="cellIs" dxfId="66" priority="46" operator="equal">
      <formula>0</formula>
    </cfRule>
  </conditionalFormatting>
  <conditionalFormatting sqref="J619:Q620 J624:Q625 J629:Q630">
    <cfRule type="cellIs" dxfId="65" priority="43" operator="equal">
      <formula>0</formula>
    </cfRule>
  </conditionalFormatting>
  <conditionalFormatting sqref="J633:Q633">
    <cfRule type="cellIs" dxfId="64" priority="27" operator="equal">
      <formula>0</formula>
    </cfRule>
  </conditionalFormatting>
  <conditionalFormatting sqref="J635:Q635">
    <cfRule type="cellIs" dxfId="63" priority="39" operator="equal">
      <formula>0</formula>
    </cfRule>
  </conditionalFormatting>
  <conditionalFormatting sqref="J24:AG26">
    <cfRule type="cellIs" dxfId="62" priority="83" operator="equal">
      <formula>0</formula>
    </cfRule>
  </conditionalFormatting>
  <conditionalFormatting sqref="J29:AG31">
    <cfRule type="cellIs" dxfId="61" priority="84" operator="equal">
      <formula>0</formula>
    </cfRule>
  </conditionalFormatting>
  <conditionalFormatting sqref="J34:AG36">
    <cfRule type="cellIs" dxfId="60" priority="82" operator="equal">
      <formula>0</formula>
    </cfRule>
  </conditionalFormatting>
  <conditionalFormatting sqref="J64:AG90 J430:Q431 R479:AG483 J39:AG61">
    <cfRule type="cellIs" dxfId="59" priority="79" operator="equal">
      <formula>0</formula>
    </cfRule>
  </conditionalFormatting>
  <conditionalFormatting sqref="J102:AG102">
    <cfRule type="cellIs" dxfId="58" priority="14" operator="equal">
      <formula>0</formula>
    </cfRule>
  </conditionalFormatting>
  <conditionalFormatting sqref="J117:AG117">
    <cfRule type="cellIs" dxfId="57" priority="13" operator="equal">
      <formula>0</formula>
    </cfRule>
  </conditionalFormatting>
  <conditionalFormatting sqref="J425:AG425">
    <cfRule type="cellIs" dxfId="56" priority="34" operator="equal">
      <formula>0</formula>
    </cfRule>
  </conditionalFormatting>
  <conditionalFormatting sqref="J429:AG429">
    <cfRule type="cellIs" dxfId="55" priority="81" operator="equal">
      <formula>0</formula>
    </cfRule>
  </conditionalFormatting>
  <conditionalFormatting sqref="J435:AG435">
    <cfRule type="cellIs" dxfId="54" priority="78" operator="equal">
      <formula>0</formula>
    </cfRule>
  </conditionalFormatting>
  <conditionalFormatting sqref="J439:AG439">
    <cfRule type="cellIs" dxfId="53" priority="35" operator="equal">
      <formula>0</formula>
    </cfRule>
  </conditionalFormatting>
  <conditionalFormatting sqref="J442:AG442">
    <cfRule type="cellIs" dxfId="52" priority="75" operator="equal">
      <formula>0</formula>
    </cfRule>
  </conditionalFormatting>
  <conditionalFormatting sqref="J447:AG447">
    <cfRule type="cellIs" dxfId="51" priority="71" operator="equal">
      <formula>0</formula>
    </cfRule>
  </conditionalFormatting>
  <conditionalFormatting sqref="J452:AG452">
    <cfRule type="cellIs" dxfId="50" priority="69" operator="equal">
      <formula>0</formula>
    </cfRule>
  </conditionalFormatting>
  <conditionalFormatting sqref="J457:AG457">
    <cfRule type="cellIs" dxfId="49" priority="66" operator="equal">
      <formula>0</formula>
    </cfRule>
  </conditionalFormatting>
  <conditionalFormatting sqref="J462:AG462">
    <cfRule type="cellIs" dxfId="48" priority="63" operator="equal">
      <formula>0</formula>
    </cfRule>
  </conditionalFormatting>
  <conditionalFormatting sqref="J467:AG467">
    <cfRule type="cellIs" dxfId="47" priority="62" operator="equal">
      <formula>0</formula>
    </cfRule>
  </conditionalFormatting>
  <conditionalFormatting sqref="J472:AG472">
    <cfRule type="cellIs" dxfId="46" priority="61" operator="equal">
      <formula>0</formula>
    </cfRule>
  </conditionalFormatting>
  <conditionalFormatting sqref="J492:AG511">
    <cfRule type="cellIs" dxfId="45" priority="32" operator="equal">
      <formula>0</formula>
    </cfRule>
  </conditionalFormatting>
  <conditionalFormatting sqref="J513:AG516">
    <cfRule type="cellIs" dxfId="44" priority="31" operator="equal">
      <formula>0</formula>
    </cfRule>
  </conditionalFormatting>
  <conditionalFormatting sqref="J518:AG523">
    <cfRule type="cellIs" dxfId="43" priority="30" operator="equal">
      <formula>0</formula>
    </cfRule>
  </conditionalFormatting>
  <conditionalFormatting sqref="J546:AG568">
    <cfRule type="cellIs" dxfId="42" priority="28" operator="equal">
      <formula>0</formula>
    </cfRule>
  </conditionalFormatting>
  <conditionalFormatting sqref="J587:AG587">
    <cfRule type="cellIs" dxfId="41" priority="59" operator="equal">
      <formula>0</formula>
    </cfRule>
  </conditionalFormatting>
  <conditionalFormatting sqref="J593:AG593">
    <cfRule type="cellIs" dxfId="40" priority="56" operator="equal">
      <formula>0</formula>
    </cfRule>
  </conditionalFormatting>
  <conditionalFormatting sqref="J598:AG598">
    <cfRule type="cellIs" dxfId="39" priority="54" operator="equal">
      <formula>0</formula>
    </cfRule>
  </conditionalFormatting>
  <conditionalFormatting sqref="J603:AG603">
    <cfRule type="cellIs" dxfId="38" priority="50" operator="equal">
      <formula>0</formula>
    </cfRule>
  </conditionalFormatting>
  <conditionalFormatting sqref="J608:AG608">
    <cfRule type="cellIs" dxfId="37" priority="48" operator="equal">
      <formula>0</formula>
    </cfRule>
  </conditionalFormatting>
  <conditionalFormatting sqref="J613:AG613">
    <cfRule type="cellIs" dxfId="36" priority="45" operator="equal">
      <formula>0</formula>
    </cfRule>
  </conditionalFormatting>
  <conditionalFormatting sqref="J618:AG618">
    <cfRule type="cellIs" dxfId="35" priority="42" operator="equal">
      <formula>0</formula>
    </cfRule>
  </conditionalFormatting>
  <conditionalFormatting sqref="J623:AG623">
    <cfRule type="cellIs" dxfId="34" priority="41" operator="equal">
      <formula>0</formula>
    </cfRule>
  </conditionalFormatting>
  <conditionalFormatting sqref="J628:AG628">
    <cfRule type="cellIs" dxfId="33" priority="40" operator="equal">
      <formula>0</formula>
    </cfRule>
  </conditionalFormatting>
  <conditionalFormatting sqref="J641:AG646">
    <cfRule type="cellIs" dxfId="32" priority="26" operator="equal">
      <formula>0</formula>
    </cfRule>
  </conditionalFormatting>
  <conditionalFormatting sqref="J648:AG672">
    <cfRule type="cellIs" dxfId="31" priority="25" operator="equal">
      <formula>0</formula>
    </cfRule>
  </conditionalFormatting>
  <conditionalFormatting sqref="J674:AG679">
    <cfRule type="cellIs" dxfId="30" priority="24" operator="equal">
      <formula>0</formula>
    </cfRule>
  </conditionalFormatting>
  <conditionalFormatting sqref="J684:AG684">
    <cfRule type="cellIs" dxfId="29" priority="21" operator="equal">
      <formula>0</formula>
    </cfRule>
  </conditionalFormatting>
  <conditionalFormatting sqref="J702:AG724">
    <cfRule type="cellIs" dxfId="28" priority="22" operator="equal">
      <formula>0</formula>
    </cfRule>
  </conditionalFormatting>
  <conditionalFormatting sqref="J805:AG809">
    <cfRule type="cellIs" dxfId="27" priority="20" operator="equal">
      <formula>0</formula>
    </cfRule>
  </conditionalFormatting>
  <conditionalFormatting sqref="J812:AG831">
    <cfRule type="cellIs" dxfId="26" priority="16" operator="equal">
      <formula>0</formula>
    </cfRule>
  </conditionalFormatting>
  <conditionalFormatting sqref="J833:AG836">
    <cfRule type="cellIs" dxfId="25" priority="19" operator="equal">
      <formula>0</formula>
    </cfRule>
  </conditionalFormatting>
  <conditionalFormatting sqref="J838:AG843">
    <cfRule type="cellIs" dxfId="24" priority="18" operator="equal">
      <formula>0</formula>
    </cfRule>
  </conditionalFormatting>
  <conditionalFormatting sqref="J1245:AG1245">
    <cfRule type="cellIs" dxfId="23" priority="12" operator="equal">
      <formula>0</formula>
    </cfRule>
  </conditionalFormatting>
  <conditionalFormatting sqref="J1251:AG1251">
    <cfRule type="cellIs" dxfId="22" priority="11" operator="equal">
      <formula>0</formula>
    </cfRule>
  </conditionalFormatting>
  <conditionalFormatting sqref="J1255:AG1256">
    <cfRule type="cellIs" dxfId="21" priority="10" operator="equal">
      <formula>0</formula>
    </cfRule>
  </conditionalFormatting>
  <conditionalFormatting sqref="J1260:AG1260">
    <cfRule type="cellIs" dxfId="20" priority="9" operator="equal">
      <formula>0</formula>
    </cfRule>
  </conditionalFormatting>
  <conditionalFormatting sqref="J1266:AG1266">
    <cfRule type="cellIs" dxfId="19" priority="8" operator="equal">
      <formula>0</formula>
    </cfRule>
  </conditionalFormatting>
  <conditionalFormatting sqref="J1269:AG1269">
    <cfRule type="cellIs" dxfId="18" priority="6" operator="equal">
      <formula>0</formula>
    </cfRule>
  </conditionalFormatting>
  <conditionalFormatting sqref="J1271:AG1297">
    <cfRule type="cellIs" dxfId="17" priority="1" operator="equal">
      <formula>0</formula>
    </cfRule>
  </conditionalFormatting>
  <conditionalFormatting sqref="R424:AG425">
    <cfRule type="cellIs" dxfId="16" priority="33" operator="equal">
      <formula>0</formula>
    </cfRule>
  </conditionalFormatting>
  <conditionalFormatting sqref="R427:AG431">
    <cfRule type="cellIs" dxfId="15" priority="80" operator="equal">
      <formula>0</formula>
    </cfRule>
  </conditionalFormatting>
  <conditionalFormatting sqref="R433:AG439">
    <cfRule type="cellIs" dxfId="14" priority="77" operator="equal">
      <formula>0</formula>
    </cfRule>
  </conditionalFormatting>
  <conditionalFormatting sqref="R441:AG444">
    <cfRule type="cellIs" dxfId="13" priority="74" operator="equal">
      <formula>0</formula>
    </cfRule>
  </conditionalFormatting>
  <conditionalFormatting sqref="R446:AG449 R451:AG454">
    <cfRule type="cellIs" dxfId="12" priority="72" operator="equal">
      <formula>0</formula>
    </cfRule>
  </conditionalFormatting>
  <conditionalFormatting sqref="R456:AG459">
    <cfRule type="cellIs" dxfId="11" priority="68" operator="equal">
      <formula>0</formula>
    </cfRule>
  </conditionalFormatting>
  <conditionalFormatting sqref="R461:AG464 R466:AG469 R471:AG474">
    <cfRule type="cellIs" dxfId="10" priority="65" operator="equal">
      <formula>0</formula>
    </cfRule>
  </conditionalFormatting>
  <conditionalFormatting sqref="R476:AG477">
    <cfRule type="cellIs" dxfId="9" priority="37" operator="equal">
      <formula>0</formula>
    </cfRule>
  </conditionalFormatting>
  <conditionalFormatting sqref="R525:AG528">
    <cfRule type="cellIs" dxfId="8" priority="29" operator="equal">
      <formula>0</formula>
    </cfRule>
  </conditionalFormatting>
  <conditionalFormatting sqref="R585:AG589">
    <cfRule type="cellIs" dxfId="7" priority="58" operator="equal">
      <formula>0</formula>
    </cfRule>
  </conditionalFormatting>
  <conditionalFormatting sqref="R591:AG595">
    <cfRule type="cellIs" dxfId="6" priority="55" operator="equal">
      <formula>0</formula>
    </cfRule>
  </conditionalFormatting>
  <conditionalFormatting sqref="R597:AG600">
    <cfRule type="cellIs" dxfId="5" priority="53" operator="equal">
      <formula>0</formula>
    </cfRule>
  </conditionalFormatting>
  <conditionalFormatting sqref="R602:AG605 R607:AG610">
    <cfRule type="cellIs" dxfId="4" priority="51" operator="equal">
      <formula>0</formula>
    </cfRule>
  </conditionalFormatting>
  <conditionalFormatting sqref="R612:AG615">
    <cfRule type="cellIs" dxfId="3" priority="47" operator="equal">
      <formula>0</formula>
    </cfRule>
  </conditionalFormatting>
  <conditionalFormatting sqref="R617:AG620 R622:AG625 R627:AG630 R632:AG633">
    <cfRule type="cellIs" dxfId="2" priority="44" operator="equal">
      <formula>0</formula>
    </cfRule>
  </conditionalFormatting>
  <conditionalFormatting sqref="R681:AG683">
    <cfRule type="cellIs" dxfId="1" priority="23" operator="equal">
      <formula>0</formula>
    </cfRule>
  </conditionalFormatting>
  <conditionalFormatting sqref="R845:AG848">
    <cfRule type="cellIs" dxfId="0" priority="17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1460"/>
  <sheetViews>
    <sheetView topLeftCell="I1" zoomScale="75" zoomScaleNormal="75" workbookViewId="0">
      <selection activeCell="A3" sqref="A3"/>
    </sheetView>
  </sheetViews>
  <sheetFormatPr defaultColWidth="8.6328125" defaultRowHeight="14.5" x14ac:dyDescent="0.35"/>
  <cols>
    <col min="1" max="1" width="5" customWidth="1"/>
    <col min="2" max="2" width="22" customWidth="1"/>
    <col min="3" max="3" width="7" customWidth="1"/>
    <col min="4" max="4" width="28" customWidth="1"/>
    <col min="5" max="5" width="8" customWidth="1"/>
    <col min="6" max="8" width="10" customWidth="1"/>
    <col min="9" max="9" width="24" customWidth="1"/>
    <col min="10" max="10" width="12" customWidth="1"/>
    <col min="11" max="11" width="16" customWidth="1"/>
    <col min="12" max="12" width="12" customWidth="1"/>
    <col min="13" max="13" width="42" customWidth="1"/>
    <col min="14" max="14" width="40" customWidth="1"/>
    <col min="15" max="15" width="9" customWidth="1"/>
    <col min="16" max="16" width="6" customWidth="1"/>
    <col min="17" max="17" width="16" customWidth="1"/>
    <col min="18" max="18" width="8" customWidth="1"/>
    <col min="19" max="19" width="14" customWidth="1"/>
    <col min="20" max="20" width="16" customWidth="1"/>
    <col min="21" max="50" width="13" customWidth="1"/>
  </cols>
  <sheetData>
    <row r="1" spans="1:50" ht="15" customHeight="1" x14ac:dyDescent="0.35">
      <c r="A1" s="1" t="s">
        <v>324</v>
      </c>
    </row>
    <row r="2" spans="1:50" ht="15" customHeight="1" x14ac:dyDescent="0.35">
      <c r="A2" s="2" t="s">
        <v>5</v>
      </c>
    </row>
    <row r="3" spans="1:50" ht="15" customHeight="1" x14ac:dyDescent="0.35">
      <c r="A3" s="3"/>
    </row>
    <row r="5" spans="1:50" ht="15" customHeight="1" x14ac:dyDescent="0.35">
      <c r="U5" s="99">
        <v>46053</v>
      </c>
      <c r="V5" s="99">
        <v>46081</v>
      </c>
      <c r="W5" s="99">
        <v>46112</v>
      </c>
      <c r="X5" s="99">
        <v>46142</v>
      </c>
      <c r="Y5" s="99">
        <v>46173</v>
      </c>
      <c r="Z5" s="99">
        <v>46203</v>
      </c>
      <c r="AA5" s="99">
        <v>46234</v>
      </c>
      <c r="AB5" s="99">
        <v>46265</v>
      </c>
      <c r="AG5" s="100">
        <v>46295</v>
      </c>
      <c r="AH5" s="100">
        <v>46326</v>
      </c>
      <c r="AI5" s="100">
        <v>46356</v>
      </c>
      <c r="AJ5" s="100">
        <v>46387</v>
      </c>
      <c r="AK5" s="100">
        <v>46418</v>
      </c>
      <c r="AL5" s="100">
        <v>46446</v>
      </c>
      <c r="AM5" s="100">
        <v>46477</v>
      </c>
      <c r="AN5" s="100">
        <v>46507</v>
      </c>
      <c r="AO5" s="100">
        <v>46538</v>
      </c>
      <c r="AP5" s="100">
        <v>46568</v>
      </c>
      <c r="AQ5" s="100">
        <v>46599</v>
      </c>
      <c r="AR5" s="100">
        <v>46630</v>
      </c>
      <c r="AS5" s="100">
        <v>46660</v>
      </c>
      <c r="AT5" s="100">
        <v>46691</v>
      </c>
      <c r="AU5" s="100">
        <v>46721</v>
      </c>
      <c r="AV5" s="100">
        <v>46752</v>
      </c>
    </row>
    <row r="6" spans="1:50" ht="15" customHeight="1" x14ac:dyDescent="0.35">
      <c r="A6" s="5" t="s">
        <v>4</v>
      </c>
      <c r="B6" s="5" t="s">
        <v>325</v>
      </c>
      <c r="C6" s="5" t="s">
        <v>326</v>
      </c>
      <c r="D6" s="5" t="s">
        <v>327</v>
      </c>
      <c r="E6" s="5" t="s">
        <v>328</v>
      </c>
      <c r="F6" s="5" t="s">
        <v>329</v>
      </c>
      <c r="G6" s="5" t="s">
        <v>330</v>
      </c>
      <c r="H6" s="5" t="s">
        <v>331</v>
      </c>
      <c r="I6" s="5" t="s">
        <v>332</v>
      </c>
      <c r="J6" s="5" t="s">
        <v>333</v>
      </c>
      <c r="K6" s="5" t="s">
        <v>334</v>
      </c>
      <c r="L6" s="5" t="s">
        <v>335</v>
      </c>
      <c r="M6" s="5" t="s">
        <v>336</v>
      </c>
      <c r="N6" s="5" t="s">
        <v>337</v>
      </c>
      <c r="O6" s="5" t="s">
        <v>338</v>
      </c>
      <c r="P6" s="5" t="s">
        <v>339</v>
      </c>
      <c r="Q6" s="5" t="s">
        <v>340</v>
      </c>
      <c r="R6" s="5" t="s">
        <v>341</v>
      </c>
      <c r="S6" s="5" t="s">
        <v>342</v>
      </c>
      <c r="T6" s="5" t="s">
        <v>343</v>
      </c>
      <c r="U6" s="101" t="s">
        <v>344</v>
      </c>
      <c r="V6" s="101" t="s">
        <v>345</v>
      </c>
      <c r="W6" s="101" t="s">
        <v>346</v>
      </c>
      <c r="X6" s="101" t="s">
        <v>347</v>
      </c>
      <c r="Y6" s="101" t="s">
        <v>348</v>
      </c>
      <c r="Z6" s="101" t="s">
        <v>349</v>
      </c>
      <c r="AA6" s="101" t="s">
        <v>350</v>
      </c>
      <c r="AB6" s="101" t="s">
        <v>351</v>
      </c>
      <c r="AC6" s="5" t="s">
        <v>352</v>
      </c>
      <c r="AD6" s="5" t="s">
        <v>353</v>
      </c>
      <c r="AE6" s="5" t="s">
        <v>354</v>
      </c>
      <c r="AF6" s="5" t="s">
        <v>355</v>
      </c>
      <c r="AG6" s="5" t="s">
        <v>356</v>
      </c>
      <c r="AH6" s="5" t="s">
        <v>357</v>
      </c>
      <c r="AI6" s="5" t="s">
        <v>358</v>
      </c>
      <c r="AJ6" s="5" t="s">
        <v>359</v>
      </c>
      <c r="AK6" s="5" t="s">
        <v>360</v>
      </c>
      <c r="AL6" s="5" t="s">
        <v>361</v>
      </c>
      <c r="AM6" s="5" t="s">
        <v>362</v>
      </c>
      <c r="AN6" s="5" t="s">
        <v>363</v>
      </c>
      <c r="AO6" s="5" t="s">
        <v>364</v>
      </c>
      <c r="AP6" s="5" t="s">
        <v>365</v>
      </c>
      <c r="AQ6" s="5" t="s">
        <v>366</v>
      </c>
      <c r="AR6" s="5" t="s">
        <v>367</v>
      </c>
      <c r="AS6" s="5" t="s">
        <v>368</v>
      </c>
      <c r="AT6" s="5" t="s">
        <v>369</v>
      </c>
      <c r="AU6" s="5" t="s">
        <v>370</v>
      </c>
      <c r="AV6" s="5" t="s">
        <v>371</v>
      </c>
      <c r="AW6" s="5" t="s">
        <v>372</v>
      </c>
      <c r="AX6" s="5" t="s">
        <v>373</v>
      </c>
    </row>
    <row r="7" spans="1:50" ht="15" customHeight="1" x14ac:dyDescent="0.35">
      <c r="A7" s="102">
        <v>1</v>
      </c>
      <c r="B7" s="102" t="s">
        <v>374</v>
      </c>
      <c r="C7" s="103">
        <v>8</v>
      </c>
      <c r="D7" s="102" t="s">
        <v>182</v>
      </c>
      <c r="E7" s="102" t="s">
        <v>375</v>
      </c>
      <c r="F7" s="102" t="s">
        <v>376</v>
      </c>
      <c r="G7" s="102" t="s">
        <v>377</v>
      </c>
      <c r="H7" s="102" t="s">
        <v>378</v>
      </c>
      <c r="I7" s="102" t="s">
        <v>90</v>
      </c>
      <c r="J7" s="102" t="s">
        <v>379</v>
      </c>
      <c r="K7" s="102" t="s">
        <v>380</v>
      </c>
      <c r="L7" s="104">
        <v>41090</v>
      </c>
      <c r="M7" s="102" t="s">
        <v>381</v>
      </c>
      <c r="N7" s="102" t="s">
        <v>382</v>
      </c>
      <c r="O7" s="102" t="s">
        <v>383</v>
      </c>
      <c r="P7" s="103">
        <v>1</v>
      </c>
      <c r="Q7" s="105">
        <v>3175850457</v>
      </c>
      <c r="R7" s="103">
        <v>240</v>
      </c>
      <c r="S7" s="105">
        <v>13232710.237500001</v>
      </c>
      <c r="T7" s="105">
        <v>2156931768.7125001</v>
      </c>
      <c r="U7" s="105">
        <v>13232710.237500001</v>
      </c>
      <c r="V7" s="105">
        <v>13232710.237500001</v>
      </c>
      <c r="W7" s="105">
        <v>13232710.237500001</v>
      </c>
      <c r="X7" s="105">
        <v>13232710.237500001</v>
      </c>
      <c r="Y7" s="105">
        <v>13232710.237500001</v>
      </c>
      <c r="Z7" s="105">
        <v>13232710.237500001</v>
      </c>
      <c r="AA7" s="105">
        <v>13232710.237500001</v>
      </c>
      <c r="AB7" s="105">
        <v>13232710.237500001</v>
      </c>
      <c r="AC7" s="8">
        <f t="shared" ref="AC7:AC70" si="0">T7+SUM(U7:AB7)</f>
        <v>2262793450.6125002</v>
      </c>
      <c r="AD7" s="8">
        <f t="shared" ref="AD7:AD70" si="1">Q7-AC7</f>
        <v>913057006.38749981</v>
      </c>
      <c r="AE7" s="8">
        <f t="shared" ref="AE7:AE70" si="2">IF(O7="Aktif",AB7,0)</f>
        <v>13232710.237500001</v>
      </c>
      <c r="AF7" s="106">
        <f t="shared" ref="AF7:AF70" si="3">IF(AE7&gt;0,MAX(0,AD7)/AE7,0)</f>
        <v>68.999999999999986</v>
      </c>
      <c r="AG7" s="8">
        <f t="shared" ref="AG7:AG70" si="4">IF($O7="Aktif",MAX(0,MIN($AE7,$AD7-0)),0)</f>
        <v>13232710.237500001</v>
      </c>
      <c r="AH7" s="8">
        <f>IF($O7="Aktif",MAX(0,MIN($AE7,$AD7-SUM($AG7:AG7))),0)</f>
        <v>13232710.237500001</v>
      </c>
      <c r="AI7" s="8">
        <f>IF($O7="Aktif",MAX(0,MIN($AE7,$AD7-SUM($AG7:AH7))),0)</f>
        <v>13232710.237500001</v>
      </c>
      <c r="AJ7" s="8">
        <f>IF($O7="Aktif",MAX(0,MIN($AE7,$AD7-SUM($AG7:AI7))),0)</f>
        <v>13232710.237500001</v>
      </c>
      <c r="AK7" s="8">
        <f>IF($O7="Aktif",MAX(0,MIN($AE7,$AD7-SUM($AG7:AJ7))),0)</f>
        <v>13232710.237500001</v>
      </c>
      <c r="AL7" s="8">
        <f>IF($O7="Aktif",MAX(0,MIN($AE7,$AD7-SUM($AG7:AK7))),0)</f>
        <v>13232710.237500001</v>
      </c>
      <c r="AM7" s="8">
        <f>IF($O7="Aktif",MAX(0,MIN($AE7,$AD7-SUM($AG7:AL7))),0)</f>
        <v>13232710.237500001</v>
      </c>
      <c r="AN7" s="8">
        <f>IF($O7="Aktif",MAX(0,MIN($AE7,$AD7-SUM($AG7:AM7))),0)</f>
        <v>13232710.237500001</v>
      </c>
      <c r="AO7" s="8">
        <f>IF($O7="Aktif",MAX(0,MIN($AE7,$AD7-SUM($AG7:AN7))),0)</f>
        <v>13232710.237500001</v>
      </c>
      <c r="AP7" s="8">
        <f>IF($O7="Aktif",MAX(0,MIN($AE7,$AD7-SUM($AG7:AO7))),0)</f>
        <v>13232710.237500001</v>
      </c>
      <c r="AQ7" s="8">
        <f>IF($O7="Aktif",MAX(0,MIN($AE7,$AD7-SUM($AG7:AP7))),0)</f>
        <v>13232710.237500001</v>
      </c>
      <c r="AR7" s="8">
        <f>IF($O7="Aktif",MAX(0,MIN($AE7,$AD7-SUM($AG7:AQ7))),0)</f>
        <v>13232710.237500001</v>
      </c>
      <c r="AS7" s="8">
        <f>IF($O7="Aktif",MAX(0,MIN($AE7,$AD7-SUM($AG7:AR7))),0)</f>
        <v>13232710.237500001</v>
      </c>
      <c r="AT7" s="8">
        <f>IF($O7="Aktif",MAX(0,MIN($AE7,$AD7-SUM($AG7:AS7))),0)</f>
        <v>13232710.237500001</v>
      </c>
      <c r="AU7" s="8">
        <f>IF($O7="Aktif",MAX(0,MIN($AE7,$AD7-SUM($AG7:AT7))),0)</f>
        <v>13232710.237500001</v>
      </c>
      <c r="AV7" s="8">
        <f>IF($O7="Aktif",MAX(0,MIN($AE7,$AD7-SUM($AG7:AU7))),0)</f>
        <v>13232710.237500001</v>
      </c>
      <c r="AW7" s="8">
        <f t="shared" ref="AW7:AW70" si="5">SUM(AG7:AV7)</f>
        <v>211723363.80000004</v>
      </c>
      <c r="AX7" s="8">
        <f t="shared" ref="AX7:AX70" si="6">AD7-AW7</f>
        <v>701333642.58749974</v>
      </c>
    </row>
    <row r="8" spans="1:50" ht="15" customHeight="1" x14ac:dyDescent="0.35">
      <c r="A8" s="102">
        <v>2</v>
      </c>
      <c r="B8" s="102" t="s">
        <v>374</v>
      </c>
      <c r="C8" s="103">
        <v>9</v>
      </c>
      <c r="D8" s="102" t="s">
        <v>182</v>
      </c>
      <c r="E8" s="102" t="s">
        <v>375</v>
      </c>
      <c r="F8" s="102" t="s">
        <v>376</v>
      </c>
      <c r="G8" s="102" t="s">
        <v>377</v>
      </c>
      <c r="H8" s="102" t="s">
        <v>378</v>
      </c>
      <c r="I8" s="102" t="s">
        <v>90</v>
      </c>
      <c r="J8" s="102" t="s">
        <v>384</v>
      </c>
      <c r="K8" s="102" t="s">
        <v>385</v>
      </c>
      <c r="L8" s="104">
        <v>41820</v>
      </c>
      <c r="M8" s="102" t="s">
        <v>386</v>
      </c>
      <c r="N8" s="102" t="s">
        <v>387</v>
      </c>
      <c r="O8" s="102" t="s">
        <v>383</v>
      </c>
      <c r="P8" s="103">
        <v>1</v>
      </c>
      <c r="Q8" s="105">
        <v>2649000000</v>
      </c>
      <c r="R8" s="103">
        <v>240</v>
      </c>
      <c r="S8" s="105">
        <v>11037500</v>
      </c>
      <c r="T8" s="105">
        <v>1534212500</v>
      </c>
      <c r="U8" s="105">
        <v>11037500</v>
      </c>
      <c r="V8" s="105">
        <v>11037500</v>
      </c>
      <c r="W8" s="105">
        <v>11037500</v>
      </c>
      <c r="X8" s="105">
        <v>11037500</v>
      </c>
      <c r="Y8" s="105">
        <v>11037500</v>
      </c>
      <c r="Z8" s="105">
        <v>11037500</v>
      </c>
      <c r="AA8" s="105">
        <v>11037500</v>
      </c>
      <c r="AB8" s="105">
        <v>11037500</v>
      </c>
      <c r="AC8" s="8">
        <f t="shared" si="0"/>
        <v>1622512500</v>
      </c>
      <c r="AD8" s="8">
        <f t="shared" si="1"/>
        <v>1026487500</v>
      </c>
      <c r="AE8" s="8">
        <f t="shared" si="2"/>
        <v>11037500</v>
      </c>
      <c r="AF8" s="106">
        <f t="shared" si="3"/>
        <v>93</v>
      </c>
      <c r="AG8" s="8">
        <f t="shared" si="4"/>
        <v>11037500</v>
      </c>
      <c r="AH8" s="8">
        <f>IF($O8="Aktif",MAX(0,MIN($AE8,$AD8-SUM($AG8:AG8))),0)</f>
        <v>11037500</v>
      </c>
      <c r="AI8" s="8">
        <f>IF($O8="Aktif",MAX(0,MIN($AE8,$AD8-SUM($AG8:AH8))),0)</f>
        <v>11037500</v>
      </c>
      <c r="AJ8" s="8">
        <f>IF($O8="Aktif",MAX(0,MIN($AE8,$AD8-SUM($AG8:AI8))),0)</f>
        <v>11037500</v>
      </c>
      <c r="AK8" s="8">
        <f>IF($O8="Aktif",MAX(0,MIN($AE8,$AD8-SUM($AG8:AJ8))),0)</f>
        <v>11037500</v>
      </c>
      <c r="AL8" s="8">
        <f>IF($O8="Aktif",MAX(0,MIN($AE8,$AD8-SUM($AG8:AK8))),0)</f>
        <v>11037500</v>
      </c>
      <c r="AM8" s="8">
        <f>IF($O8="Aktif",MAX(0,MIN($AE8,$AD8-SUM($AG8:AL8))),0)</f>
        <v>11037500</v>
      </c>
      <c r="AN8" s="8">
        <f>IF($O8="Aktif",MAX(0,MIN($AE8,$AD8-SUM($AG8:AM8))),0)</f>
        <v>11037500</v>
      </c>
      <c r="AO8" s="8">
        <f>IF($O8="Aktif",MAX(0,MIN($AE8,$AD8-SUM($AG8:AN8))),0)</f>
        <v>11037500</v>
      </c>
      <c r="AP8" s="8">
        <f>IF($O8="Aktif",MAX(0,MIN($AE8,$AD8-SUM($AG8:AO8))),0)</f>
        <v>11037500</v>
      </c>
      <c r="AQ8" s="8">
        <f>IF($O8="Aktif",MAX(0,MIN($AE8,$AD8-SUM($AG8:AP8))),0)</f>
        <v>11037500</v>
      </c>
      <c r="AR8" s="8">
        <f>IF($O8="Aktif",MAX(0,MIN($AE8,$AD8-SUM($AG8:AQ8))),0)</f>
        <v>11037500</v>
      </c>
      <c r="AS8" s="8">
        <f>IF($O8="Aktif",MAX(0,MIN($AE8,$AD8-SUM($AG8:AR8))),0)</f>
        <v>11037500</v>
      </c>
      <c r="AT8" s="8">
        <f>IF($O8="Aktif",MAX(0,MIN($AE8,$AD8-SUM($AG8:AS8))),0)</f>
        <v>11037500</v>
      </c>
      <c r="AU8" s="8">
        <f>IF($O8="Aktif",MAX(0,MIN($AE8,$AD8-SUM($AG8:AT8))),0)</f>
        <v>11037500</v>
      </c>
      <c r="AV8" s="8">
        <f>IF($O8="Aktif",MAX(0,MIN($AE8,$AD8-SUM($AG8:AU8))),0)</f>
        <v>11037500</v>
      </c>
      <c r="AW8" s="8">
        <f t="shared" si="5"/>
        <v>176600000</v>
      </c>
      <c r="AX8" s="8">
        <f t="shared" si="6"/>
        <v>849887500</v>
      </c>
    </row>
    <row r="9" spans="1:50" ht="15" customHeight="1" x14ac:dyDescent="0.35">
      <c r="A9" s="102">
        <v>3</v>
      </c>
      <c r="B9" s="102" t="s">
        <v>374</v>
      </c>
      <c r="C9" s="103">
        <v>10</v>
      </c>
      <c r="D9" s="102" t="s">
        <v>182</v>
      </c>
      <c r="E9" s="102" t="s">
        <v>375</v>
      </c>
      <c r="F9" s="102" t="s">
        <v>376</v>
      </c>
      <c r="G9" s="102" t="s">
        <v>377</v>
      </c>
      <c r="H9" s="102" t="s">
        <v>378</v>
      </c>
      <c r="I9" s="102" t="s">
        <v>90</v>
      </c>
      <c r="J9" s="102" t="s">
        <v>388</v>
      </c>
      <c r="K9" s="102" t="s">
        <v>389</v>
      </c>
      <c r="L9" s="104">
        <v>42582</v>
      </c>
      <c r="M9" s="102" t="s">
        <v>390</v>
      </c>
      <c r="N9" s="102" t="s">
        <v>391</v>
      </c>
      <c r="O9" s="102" t="s">
        <v>383</v>
      </c>
      <c r="P9" s="103">
        <v>1</v>
      </c>
      <c r="Q9" s="105">
        <v>5353400000</v>
      </c>
      <c r="R9" s="103">
        <v>240</v>
      </c>
      <c r="S9" s="105">
        <v>22305833.333333299</v>
      </c>
      <c r="T9" s="105">
        <v>2542864999.9966698</v>
      </c>
      <c r="U9" s="105">
        <v>22305833.333333299</v>
      </c>
      <c r="V9" s="105">
        <v>22305833.333333299</v>
      </c>
      <c r="W9" s="105">
        <v>22305833.333333299</v>
      </c>
      <c r="X9" s="105">
        <v>22305833.333333299</v>
      </c>
      <c r="Y9" s="105">
        <v>22305833.333333299</v>
      </c>
      <c r="Z9" s="105">
        <v>22305833.333333299</v>
      </c>
      <c r="AA9" s="105">
        <v>22305833.333333299</v>
      </c>
      <c r="AB9" s="105">
        <v>22305833.333333299</v>
      </c>
      <c r="AC9" s="8">
        <f t="shared" si="0"/>
        <v>2721311666.6633363</v>
      </c>
      <c r="AD9" s="8">
        <f t="shared" si="1"/>
        <v>2632088333.3366637</v>
      </c>
      <c r="AE9" s="8">
        <f t="shared" si="2"/>
        <v>22305833.333333299</v>
      </c>
      <c r="AF9" s="106">
        <f t="shared" si="3"/>
        <v>118.00000000014948</v>
      </c>
      <c r="AG9" s="8">
        <f t="shared" si="4"/>
        <v>22305833.333333299</v>
      </c>
      <c r="AH9" s="8">
        <f>IF($O9="Aktif",MAX(0,MIN($AE9,$AD9-SUM($AG9:AG9))),0)</f>
        <v>22305833.333333299</v>
      </c>
      <c r="AI9" s="8">
        <f>IF($O9="Aktif",MAX(0,MIN($AE9,$AD9-SUM($AG9:AH9))),0)</f>
        <v>22305833.333333299</v>
      </c>
      <c r="AJ9" s="8">
        <f>IF($O9="Aktif",MAX(0,MIN($AE9,$AD9-SUM($AG9:AI9))),0)</f>
        <v>22305833.333333299</v>
      </c>
      <c r="AK9" s="8">
        <f>IF($O9="Aktif",MAX(0,MIN($AE9,$AD9-SUM($AG9:AJ9))),0)</f>
        <v>22305833.333333299</v>
      </c>
      <c r="AL9" s="8">
        <f>IF($O9="Aktif",MAX(0,MIN($AE9,$AD9-SUM($AG9:AK9))),0)</f>
        <v>22305833.333333299</v>
      </c>
      <c r="AM9" s="8">
        <f>IF($O9="Aktif",MAX(0,MIN($AE9,$AD9-SUM($AG9:AL9))),0)</f>
        <v>22305833.333333299</v>
      </c>
      <c r="AN9" s="8">
        <f>IF($O9="Aktif",MAX(0,MIN($AE9,$AD9-SUM($AG9:AM9))),0)</f>
        <v>22305833.333333299</v>
      </c>
      <c r="AO9" s="8">
        <f>IF($O9="Aktif",MAX(0,MIN($AE9,$AD9-SUM($AG9:AN9))),0)</f>
        <v>22305833.333333299</v>
      </c>
      <c r="AP9" s="8">
        <f>IF($O9="Aktif",MAX(0,MIN($AE9,$AD9-SUM($AG9:AO9))),0)</f>
        <v>22305833.333333299</v>
      </c>
      <c r="AQ9" s="8">
        <f>IF($O9="Aktif",MAX(0,MIN($AE9,$AD9-SUM($AG9:AP9))),0)</f>
        <v>22305833.333333299</v>
      </c>
      <c r="AR9" s="8">
        <f>IF($O9="Aktif",MAX(0,MIN($AE9,$AD9-SUM($AG9:AQ9))),0)</f>
        <v>22305833.333333299</v>
      </c>
      <c r="AS9" s="8">
        <f>IF($O9="Aktif",MAX(0,MIN($AE9,$AD9-SUM($AG9:AR9))),0)</f>
        <v>22305833.333333299</v>
      </c>
      <c r="AT9" s="8">
        <f>IF($O9="Aktif",MAX(0,MIN($AE9,$AD9-SUM($AG9:AS9))),0)</f>
        <v>22305833.333333299</v>
      </c>
      <c r="AU9" s="8">
        <f>IF($O9="Aktif",MAX(0,MIN($AE9,$AD9-SUM($AG9:AT9))),0)</f>
        <v>22305833.333333299</v>
      </c>
      <c r="AV9" s="8">
        <f>IF($O9="Aktif",MAX(0,MIN($AE9,$AD9-SUM($AG9:AU9))),0)</f>
        <v>22305833.333333299</v>
      </c>
      <c r="AW9" s="8">
        <f t="shared" si="5"/>
        <v>356893333.3333329</v>
      </c>
      <c r="AX9" s="8">
        <f t="shared" si="6"/>
        <v>2275195000.0033307</v>
      </c>
    </row>
    <row r="10" spans="1:50" ht="15" customHeight="1" x14ac:dyDescent="0.35">
      <c r="A10" s="102">
        <v>4</v>
      </c>
      <c r="B10" s="102" t="s">
        <v>374</v>
      </c>
      <c r="C10" s="103">
        <v>11</v>
      </c>
      <c r="D10" s="102" t="s">
        <v>182</v>
      </c>
      <c r="E10" s="102" t="s">
        <v>375</v>
      </c>
      <c r="F10" s="102" t="s">
        <v>376</v>
      </c>
      <c r="G10" s="102" t="s">
        <v>377</v>
      </c>
      <c r="H10" s="102" t="s">
        <v>378</v>
      </c>
      <c r="I10" s="102" t="s">
        <v>90</v>
      </c>
      <c r="J10" s="102" t="s">
        <v>392</v>
      </c>
      <c r="K10" s="102" t="s">
        <v>393</v>
      </c>
      <c r="L10" s="104">
        <v>43131</v>
      </c>
      <c r="M10" s="102" t="s">
        <v>394</v>
      </c>
      <c r="N10" s="102" t="s">
        <v>395</v>
      </c>
      <c r="O10" s="102" t="s">
        <v>383</v>
      </c>
      <c r="P10" s="103">
        <v>1</v>
      </c>
      <c r="Q10" s="105">
        <v>85470000</v>
      </c>
      <c r="R10" s="103">
        <v>240</v>
      </c>
      <c r="S10" s="105">
        <v>356125</v>
      </c>
      <c r="T10" s="105">
        <v>34188000</v>
      </c>
      <c r="U10" s="105">
        <v>356125</v>
      </c>
      <c r="V10" s="105">
        <v>356125</v>
      </c>
      <c r="W10" s="105">
        <v>356125</v>
      </c>
      <c r="X10" s="105">
        <v>356125</v>
      </c>
      <c r="Y10" s="105">
        <v>356125</v>
      </c>
      <c r="Z10" s="105">
        <v>356125</v>
      </c>
      <c r="AA10" s="105">
        <v>356125</v>
      </c>
      <c r="AB10" s="105">
        <v>356125</v>
      </c>
      <c r="AC10" s="8">
        <f t="shared" si="0"/>
        <v>37037000</v>
      </c>
      <c r="AD10" s="8">
        <f t="shared" si="1"/>
        <v>48433000</v>
      </c>
      <c r="AE10" s="8">
        <f t="shared" si="2"/>
        <v>356125</v>
      </c>
      <c r="AF10" s="106">
        <f t="shared" si="3"/>
        <v>136</v>
      </c>
      <c r="AG10" s="8">
        <f t="shared" si="4"/>
        <v>356125</v>
      </c>
      <c r="AH10" s="8">
        <f>IF($O10="Aktif",MAX(0,MIN($AE10,$AD10-SUM($AG10:AG10))),0)</f>
        <v>356125</v>
      </c>
      <c r="AI10" s="8">
        <f>IF($O10="Aktif",MAX(0,MIN($AE10,$AD10-SUM($AG10:AH10))),0)</f>
        <v>356125</v>
      </c>
      <c r="AJ10" s="8">
        <f>IF($O10="Aktif",MAX(0,MIN($AE10,$AD10-SUM($AG10:AI10))),0)</f>
        <v>356125</v>
      </c>
      <c r="AK10" s="8">
        <f>IF($O10="Aktif",MAX(0,MIN($AE10,$AD10-SUM($AG10:AJ10))),0)</f>
        <v>356125</v>
      </c>
      <c r="AL10" s="8">
        <f>IF($O10="Aktif",MAX(0,MIN($AE10,$AD10-SUM($AG10:AK10))),0)</f>
        <v>356125</v>
      </c>
      <c r="AM10" s="8">
        <f>IF($O10="Aktif",MAX(0,MIN($AE10,$AD10-SUM($AG10:AL10))),0)</f>
        <v>356125</v>
      </c>
      <c r="AN10" s="8">
        <f>IF($O10="Aktif",MAX(0,MIN($AE10,$AD10-SUM($AG10:AM10))),0)</f>
        <v>356125</v>
      </c>
      <c r="AO10" s="8">
        <f>IF($O10="Aktif",MAX(0,MIN($AE10,$AD10-SUM($AG10:AN10))),0)</f>
        <v>356125</v>
      </c>
      <c r="AP10" s="8">
        <f>IF($O10="Aktif",MAX(0,MIN($AE10,$AD10-SUM($AG10:AO10))),0)</f>
        <v>356125</v>
      </c>
      <c r="AQ10" s="8">
        <f>IF($O10="Aktif",MAX(0,MIN($AE10,$AD10-SUM($AG10:AP10))),0)</f>
        <v>356125</v>
      </c>
      <c r="AR10" s="8">
        <f>IF($O10="Aktif",MAX(0,MIN($AE10,$AD10-SUM($AG10:AQ10))),0)</f>
        <v>356125</v>
      </c>
      <c r="AS10" s="8">
        <f>IF($O10="Aktif",MAX(0,MIN($AE10,$AD10-SUM($AG10:AR10))),0)</f>
        <v>356125</v>
      </c>
      <c r="AT10" s="8">
        <f>IF($O10="Aktif",MAX(0,MIN($AE10,$AD10-SUM($AG10:AS10))),0)</f>
        <v>356125</v>
      </c>
      <c r="AU10" s="8">
        <f>IF($O10="Aktif",MAX(0,MIN($AE10,$AD10-SUM($AG10:AT10))),0)</f>
        <v>356125</v>
      </c>
      <c r="AV10" s="8">
        <f>IF($O10="Aktif",MAX(0,MIN($AE10,$AD10-SUM($AG10:AU10))),0)</f>
        <v>356125</v>
      </c>
      <c r="AW10" s="8">
        <f t="shared" si="5"/>
        <v>5698000</v>
      </c>
      <c r="AX10" s="8">
        <f t="shared" si="6"/>
        <v>42735000</v>
      </c>
    </row>
    <row r="11" spans="1:50" ht="15" customHeight="1" x14ac:dyDescent="0.35">
      <c r="A11" s="102">
        <v>5</v>
      </c>
      <c r="B11" s="102" t="s">
        <v>374</v>
      </c>
      <c r="C11" s="103">
        <v>12</v>
      </c>
      <c r="D11" s="102" t="s">
        <v>182</v>
      </c>
      <c r="E11" s="102" t="s">
        <v>375</v>
      </c>
      <c r="F11" s="102" t="s">
        <v>376</v>
      </c>
      <c r="G11" s="102" t="s">
        <v>377</v>
      </c>
      <c r="H11" s="102" t="s">
        <v>378</v>
      </c>
      <c r="I11" s="102" t="s">
        <v>90</v>
      </c>
      <c r="J11" s="102" t="s">
        <v>396</v>
      </c>
      <c r="K11" s="102" t="s">
        <v>397</v>
      </c>
      <c r="L11" s="104">
        <v>43131</v>
      </c>
      <c r="M11" s="102" t="s">
        <v>398</v>
      </c>
      <c r="N11" s="102" t="s">
        <v>399</v>
      </c>
      <c r="O11" s="102" t="s">
        <v>383</v>
      </c>
      <c r="P11" s="103">
        <v>1</v>
      </c>
      <c r="Q11" s="105">
        <v>230000000</v>
      </c>
      <c r="R11" s="103">
        <v>240</v>
      </c>
      <c r="S11" s="105">
        <v>958333.33333333302</v>
      </c>
      <c r="T11" s="105">
        <v>92000000</v>
      </c>
      <c r="U11" s="105">
        <v>958333.33333333302</v>
      </c>
      <c r="V11" s="105">
        <v>958333.33333333302</v>
      </c>
      <c r="W11" s="105">
        <v>958333.33333333302</v>
      </c>
      <c r="X11" s="105">
        <v>958333.33333333302</v>
      </c>
      <c r="Y11" s="105">
        <v>958333.33333333302</v>
      </c>
      <c r="Z11" s="105">
        <v>958333.33333333302</v>
      </c>
      <c r="AA11" s="105">
        <v>958333.33333333302</v>
      </c>
      <c r="AB11" s="105">
        <v>958333.33333333302</v>
      </c>
      <c r="AC11" s="8">
        <f t="shared" si="0"/>
        <v>99666666.666666657</v>
      </c>
      <c r="AD11" s="8">
        <f t="shared" si="1"/>
        <v>130333333.33333334</v>
      </c>
      <c r="AE11" s="8">
        <f t="shared" si="2"/>
        <v>958333.33333333302</v>
      </c>
      <c r="AF11" s="106">
        <f t="shared" si="3"/>
        <v>136.00000000000006</v>
      </c>
      <c r="AG11" s="8">
        <f t="shared" si="4"/>
        <v>958333.33333333302</v>
      </c>
      <c r="AH11" s="8">
        <f>IF($O11="Aktif",MAX(0,MIN($AE11,$AD11-SUM($AG11:AG11))),0)</f>
        <v>958333.33333333302</v>
      </c>
      <c r="AI11" s="8">
        <f>IF($O11="Aktif",MAX(0,MIN($AE11,$AD11-SUM($AG11:AH11))),0)</f>
        <v>958333.33333333302</v>
      </c>
      <c r="AJ11" s="8">
        <f>IF($O11="Aktif",MAX(0,MIN($AE11,$AD11-SUM($AG11:AI11))),0)</f>
        <v>958333.33333333302</v>
      </c>
      <c r="AK11" s="8">
        <f>IF($O11="Aktif",MAX(0,MIN($AE11,$AD11-SUM($AG11:AJ11))),0)</f>
        <v>958333.33333333302</v>
      </c>
      <c r="AL11" s="8">
        <f>IF($O11="Aktif",MAX(0,MIN($AE11,$AD11-SUM($AG11:AK11))),0)</f>
        <v>958333.33333333302</v>
      </c>
      <c r="AM11" s="8">
        <f>IF($O11="Aktif",MAX(0,MIN($AE11,$AD11-SUM($AG11:AL11))),0)</f>
        <v>958333.33333333302</v>
      </c>
      <c r="AN11" s="8">
        <f>IF($O11="Aktif",MAX(0,MIN($AE11,$AD11-SUM($AG11:AM11))),0)</f>
        <v>958333.33333333302</v>
      </c>
      <c r="AO11" s="8">
        <f>IF($O11="Aktif",MAX(0,MIN($AE11,$AD11-SUM($AG11:AN11))),0)</f>
        <v>958333.33333333302</v>
      </c>
      <c r="AP11" s="8">
        <f>IF($O11="Aktif",MAX(0,MIN($AE11,$AD11-SUM($AG11:AO11))),0)</f>
        <v>958333.33333333302</v>
      </c>
      <c r="AQ11" s="8">
        <f>IF($O11="Aktif",MAX(0,MIN($AE11,$AD11-SUM($AG11:AP11))),0)</f>
        <v>958333.33333333302</v>
      </c>
      <c r="AR11" s="8">
        <f>IF($O11="Aktif",MAX(0,MIN($AE11,$AD11-SUM($AG11:AQ11))),0)</f>
        <v>958333.33333333302</v>
      </c>
      <c r="AS11" s="8">
        <f>IF($O11="Aktif",MAX(0,MIN($AE11,$AD11-SUM($AG11:AR11))),0)</f>
        <v>958333.33333333302</v>
      </c>
      <c r="AT11" s="8">
        <f>IF($O11="Aktif",MAX(0,MIN($AE11,$AD11-SUM($AG11:AS11))),0)</f>
        <v>958333.33333333302</v>
      </c>
      <c r="AU11" s="8">
        <f>IF($O11="Aktif",MAX(0,MIN($AE11,$AD11-SUM($AG11:AT11))),0)</f>
        <v>958333.33333333302</v>
      </c>
      <c r="AV11" s="8">
        <f>IF($O11="Aktif",MAX(0,MIN($AE11,$AD11-SUM($AG11:AU11))),0)</f>
        <v>958333.33333333302</v>
      </c>
      <c r="AW11" s="8">
        <f t="shared" si="5"/>
        <v>15333333.333333321</v>
      </c>
      <c r="AX11" s="8">
        <f t="shared" si="6"/>
        <v>115000000.00000003</v>
      </c>
    </row>
    <row r="12" spans="1:50" ht="15" customHeight="1" x14ac:dyDescent="0.35">
      <c r="A12" s="102">
        <v>6</v>
      </c>
      <c r="B12" s="102" t="s">
        <v>374</v>
      </c>
      <c r="C12" s="103">
        <v>13</v>
      </c>
      <c r="D12" s="102" t="s">
        <v>182</v>
      </c>
      <c r="E12" s="102" t="s">
        <v>375</v>
      </c>
      <c r="F12" s="102" t="s">
        <v>376</v>
      </c>
      <c r="G12" s="102" t="s">
        <v>377</v>
      </c>
      <c r="H12" s="102" t="s">
        <v>378</v>
      </c>
      <c r="I12" s="102" t="s">
        <v>90</v>
      </c>
      <c r="J12" s="102" t="s">
        <v>400</v>
      </c>
      <c r="K12" s="102" t="s">
        <v>401</v>
      </c>
      <c r="L12" s="104">
        <v>43131</v>
      </c>
      <c r="M12" s="102" t="s">
        <v>402</v>
      </c>
      <c r="N12" s="102" t="s">
        <v>403</v>
      </c>
      <c r="O12" s="102" t="s">
        <v>383</v>
      </c>
      <c r="P12" s="103">
        <v>1</v>
      </c>
      <c r="Q12" s="105">
        <v>96000000</v>
      </c>
      <c r="R12" s="103">
        <v>240</v>
      </c>
      <c r="S12" s="105">
        <v>400000</v>
      </c>
      <c r="T12" s="105">
        <v>38400000</v>
      </c>
      <c r="U12" s="105">
        <v>400000</v>
      </c>
      <c r="V12" s="105">
        <v>400000</v>
      </c>
      <c r="W12" s="105">
        <v>400000</v>
      </c>
      <c r="X12" s="105">
        <v>400000</v>
      </c>
      <c r="Y12" s="105">
        <v>400000</v>
      </c>
      <c r="Z12" s="105">
        <v>400000</v>
      </c>
      <c r="AA12" s="105">
        <v>400000</v>
      </c>
      <c r="AB12" s="105">
        <v>400000</v>
      </c>
      <c r="AC12" s="8">
        <f t="shared" si="0"/>
        <v>41600000</v>
      </c>
      <c r="AD12" s="8">
        <f t="shared" si="1"/>
        <v>54400000</v>
      </c>
      <c r="AE12" s="8">
        <f t="shared" si="2"/>
        <v>400000</v>
      </c>
      <c r="AF12" s="106">
        <f t="shared" si="3"/>
        <v>136</v>
      </c>
      <c r="AG12" s="8">
        <f t="shared" si="4"/>
        <v>400000</v>
      </c>
      <c r="AH12" s="8">
        <f>IF($O12="Aktif",MAX(0,MIN($AE12,$AD12-SUM($AG12:AG12))),0)</f>
        <v>400000</v>
      </c>
      <c r="AI12" s="8">
        <f>IF($O12="Aktif",MAX(0,MIN($AE12,$AD12-SUM($AG12:AH12))),0)</f>
        <v>400000</v>
      </c>
      <c r="AJ12" s="8">
        <f>IF($O12="Aktif",MAX(0,MIN($AE12,$AD12-SUM($AG12:AI12))),0)</f>
        <v>400000</v>
      </c>
      <c r="AK12" s="8">
        <f>IF($O12="Aktif",MAX(0,MIN($AE12,$AD12-SUM($AG12:AJ12))),0)</f>
        <v>400000</v>
      </c>
      <c r="AL12" s="8">
        <f>IF($O12="Aktif",MAX(0,MIN($AE12,$AD12-SUM($AG12:AK12))),0)</f>
        <v>400000</v>
      </c>
      <c r="AM12" s="8">
        <f>IF($O12="Aktif",MAX(0,MIN($AE12,$AD12-SUM($AG12:AL12))),0)</f>
        <v>400000</v>
      </c>
      <c r="AN12" s="8">
        <f>IF($O12="Aktif",MAX(0,MIN($AE12,$AD12-SUM($AG12:AM12))),0)</f>
        <v>400000</v>
      </c>
      <c r="AO12" s="8">
        <f>IF($O12="Aktif",MAX(0,MIN($AE12,$AD12-SUM($AG12:AN12))),0)</f>
        <v>400000</v>
      </c>
      <c r="AP12" s="8">
        <f>IF($O12="Aktif",MAX(0,MIN($AE12,$AD12-SUM($AG12:AO12))),0)</f>
        <v>400000</v>
      </c>
      <c r="AQ12" s="8">
        <f>IF($O12="Aktif",MAX(0,MIN($AE12,$AD12-SUM($AG12:AP12))),0)</f>
        <v>400000</v>
      </c>
      <c r="AR12" s="8">
        <f>IF($O12="Aktif",MAX(0,MIN($AE12,$AD12-SUM($AG12:AQ12))),0)</f>
        <v>400000</v>
      </c>
      <c r="AS12" s="8">
        <f>IF($O12="Aktif",MAX(0,MIN($AE12,$AD12-SUM($AG12:AR12))),0)</f>
        <v>400000</v>
      </c>
      <c r="AT12" s="8">
        <f>IF($O12="Aktif",MAX(0,MIN($AE12,$AD12-SUM($AG12:AS12))),0)</f>
        <v>400000</v>
      </c>
      <c r="AU12" s="8">
        <f>IF($O12="Aktif",MAX(0,MIN($AE12,$AD12-SUM($AG12:AT12))),0)</f>
        <v>400000</v>
      </c>
      <c r="AV12" s="8">
        <f>IF($O12="Aktif",MAX(0,MIN($AE12,$AD12-SUM($AG12:AU12))),0)</f>
        <v>400000</v>
      </c>
      <c r="AW12" s="8">
        <f t="shared" si="5"/>
        <v>6400000</v>
      </c>
      <c r="AX12" s="8">
        <f t="shared" si="6"/>
        <v>48000000</v>
      </c>
    </row>
    <row r="13" spans="1:50" ht="15" customHeight="1" x14ac:dyDescent="0.35">
      <c r="A13" s="102">
        <v>7</v>
      </c>
      <c r="B13" s="102" t="s">
        <v>374</v>
      </c>
      <c r="C13" s="103">
        <v>14</v>
      </c>
      <c r="D13" s="102" t="s">
        <v>182</v>
      </c>
      <c r="E13" s="102" t="s">
        <v>375</v>
      </c>
      <c r="F13" s="102" t="s">
        <v>376</v>
      </c>
      <c r="G13" s="102" t="s">
        <v>377</v>
      </c>
      <c r="H13" s="102" t="s">
        <v>378</v>
      </c>
      <c r="I13" s="102" t="s">
        <v>90</v>
      </c>
      <c r="J13" s="102" t="s">
        <v>404</v>
      </c>
      <c r="K13" s="102" t="s">
        <v>405</v>
      </c>
      <c r="L13" s="104">
        <v>43109</v>
      </c>
      <c r="M13" s="102" t="s">
        <v>406</v>
      </c>
      <c r="N13" s="102" t="s">
        <v>407</v>
      </c>
      <c r="O13" s="102" t="s">
        <v>383</v>
      </c>
      <c r="P13" s="103">
        <v>1</v>
      </c>
      <c r="Q13" s="105">
        <v>34000000</v>
      </c>
      <c r="R13" s="103">
        <v>240</v>
      </c>
      <c r="S13" s="105">
        <v>141666.66666666701</v>
      </c>
      <c r="T13" s="105">
        <v>13600000</v>
      </c>
      <c r="U13" s="105">
        <v>141666.66666666701</v>
      </c>
      <c r="V13" s="105">
        <v>141666.66666666701</v>
      </c>
      <c r="W13" s="105">
        <v>141666.66666666701</v>
      </c>
      <c r="X13" s="105">
        <v>141666.66666666701</v>
      </c>
      <c r="Y13" s="105">
        <v>141666.66666666701</v>
      </c>
      <c r="Z13" s="105">
        <v>141666.66666666701</v>
      </c>
      <c r="AA13" s="105">
        <v>141666.66666666701</v>
      </c>
      <c r="AB13" s="105">
        <v>141666.66666666701</v>
      </c>
      <c r="AC13" s="8">
        <f t="shared" si="0"/>
        <v>14733333.333333336</v>
      </c>
      <c r="AD13" s="8">
        <f t="shared" si="1"/>
        <v>19266666.666666664</v>
      </c>
      <c r="AE13" s="8">
        <f t="shared" si="2"/>
        <v>141666.66666666701</v>
      </c>
      <c r="AF13" s="106">
        <f t="shared" si="3"/>
        <v>135.99999999999966</v>
      </c>
      <c r="AG13" s="8">
        <f t="shared" si="4"/>
        <v>141666.66666666701</v>
      </c>
      <c r="AH13" s="8">
        <f>IF($O13="Aktif",MAX(0,MIN($AE13,$AD13-SUM($AG13:AG13))),0)</f>
        <v>141666.66666666701</v>
      </c>
      <c r="AI13" s="8">
        <f>IF($O13="Aktif",MAX(0,MIN($AE13,$AD13-SUM($AG13:AH13))),0)</f>
        <v>141666.66666666701</v>
      </c>
      <c r="AJ13" s="8">
        <f>IF($O13="Aktif",MAX(0,MIN($AE13,$AD13-SUM($AG13:AI13))),0)</f>
        <v>141666.66666666701</v>
      </c>
      <c r="AK13" s="8">
        <f>IF($O13="Aktif",MAX(0,MIN($AE13,$AD13-SUM($AG13:AJ13))),0)</f>
        <v>141666.66666666701</v>
      </c>
      <c r="AL13" s="8">
        <f>IF($O13="Aktif",MAX(0,MIN($AE13,$AD13-SUM($AG13:AK13))),0)</f>
        <v>141666.66666666701</v>
      </c>
      <c r="AM13" s="8">
        <f>IF($O13="Aktif",MAX(0,MIN($AE13,$AD13-SUM($AG13:AL13))),0)</f>
        <v>141666.66666666701</v>
      </c>
      <c r="AN13" s="8">
        <f>IF($O13="Aktif",MAX(0,MIN($AE13,$AD13-SUM($AG13:AM13))),0)</f>
        <v>141666.66666666701</v>
      </c>
      <c r="AO13" s="8">
        <f>IF($O13="Aktif",MAX(0,MIN($AE13,$AD13-SUM($AG13:AN13))),0)</f>
        <v>141666.66666666701</v>
      </c>
      <c r="AP13" s="8">
        <f>IF($O13="Aktif",MAX(0,MIN($AE13,$AD13-SUM($AG13:AO13))),0)</f>
        <v>141666.66666666701</v>
      </c>
      <c r="AQ13" s="8">
        <f>IF($O13="Aktif",MAX(0,MIN($AE13,$AD13-SUM($AG13:AP13))),0)</f>
        <v>141666.66666666701</v>
      </c>
      <c r="AR13" s="8">
        <f>IF($O13="Aktif",MAX(0,MIN($AE13,$AD13-SUM($AG13:AQ13))),0)</f>
        <v>141666.66666666701</v>
      </c>
      <c r="AS13" s="8">
        <f>IF($O13="Aktif",MAX(0,MIN($AE13,$AD13-SUM($AG13:AR13))),0)</f>
        <v>141666.66666666701</v>
      </c>
      <c r="AT13" s="8">
        <f>IF($O13="Aktif",MAX(0,MIN($AE13,$AD13-SUM($AG13:AS13))),0)</f>
        <v>141666.66666666701</v>
      </c>
      <c r="AU13" s="8">
        <f>IF($O13="Aktif",MAX(0,MIN($AE13,$AD13-SUM($AG13:AT13))),0)</f>
        <v>141666.66666666701</v>
      </c>
      <c r="AV13" s="8">
        <f>IF($O13="Aktif",MAX(0,MIN($AE13,$AD13-SUM($AG13:AU13))),0)</f>
        <v>141666.66666666701</v>
      </c>
      <c r="AW13" s="8">
        <f t="shared" si="5"/>
        <v>2266666.6666666721</v>
      </c>
      <c r="AX13" s="8">
        <f t="shared" si="6"/>
        <v>16999999.999999993</v>
      </c>
    </row>
    <row r="14" spans="1:50" ht="15" customHeight="1" x14ac:dyDescent="0.35">
      <c r="A14" s="102">
        <v>8</v>
      </c>
      <c r="B14" s="102" t="s">
        <v>374</v>
      </c>
      <c r="C14" s="103">
        <v>15</v>
      </c>
      <c r="D14" s="102" t="s">
        <v>182</v>
      </c>
      <c r="E14" s="102" t="s">
        <v>375</v>
      </c>
      <c r="F14" s="102" t="s">
        <v>376</v>
      </c>
      <c r="G14" s="102" t="s">
        <v>377</v>
      </c>
      <c r="H14" s="102" t="s">
        <v>378</v>
      </c>
      <c r="I14" s="102" t="s">
        <v>90</v>
      </c>
      <c r="J14" s="102" t="s">
        <v>408</v>
      </c>
      <c r="K14" s="102" t="s">
        <v>409</v>
      </c>
      <c r="L14" s="104">
        <v>43144</v>
      </c>
      <c r="M14" s="102" t="s">
        <v>410</v>
      </c>
      <c r="N14" s="102" t="s">
        <v>411</v>
      </c>
      <c r="O14" s="102" t="s">
        <v>383</v>
      </c>
      <c r="P14" s="103">
        <v>1</v>
      </c>
      <c r="Q14" s="105">
        <v>8340000</v>
      </c>
      <c r="R14" s="103">
        <v>240</v>
      </c>
      <c r="S14" s="105">
        <v>34750</v>
      </c>
      <c r="T14" s="105">
        <v>3301250</v>
      </c>
      <c r="U14" s="105">
        <v>34750</v>
      </c>
      <c r="V14" s="105">
        <v>34750</v>
      </c>
      <c r="W14" s="105">
        <v>34750</v>
      </c>
      <c r="X14" s="105">
        <v>34750</v>
      </c>
      <c r="Y14" s="105">
        <v>34750</v>
      </c>
      <c r="Z14" s="105">
        <v>34750</v>
      </c>
      <c r="AA14" s="105">
        <v>34750</v>
      </c>
      <c r="AB14" s="105">
        <v>34750</v>
      </c>
      <c r="AC14" s="8">
        <f t="shared" si="0"/>
        <v>3579250</v>
      </c>
      <c r="AD14" s="8">
        <f t="shared" si="1"/>
        <v>4760750</v>
      </c>
      <c r="AE14" s="8">
        <f t="shared" si="2"/>
        <v>34750</v>
      </c>
      <c r="AF14" s="106">
        <f t="shared" si="3"/>
        <v>137</v>
      </c>
      <c r="AG14" s="8">
        <f t="shared" si="4"/>
        <v>34750</v>
      </c>
      <c r="AH14" s="8">
        <f>IF($O14="Aktif",MAX(0,MIN($AE14,$AD14-SUM($AG14:AG14))),0)</f>
        <v>34750</v>
      </c>
      <c r="AI14" s="8">
        <f>IF($O14="Aktif",MAX(0,MIN($AE14,$AD14-SUM($AG14:AH14))),0)</f>
        <v>34750</v>
      </c>
      <c r="AJ14" s="8">
        <f>IF($O14="Aktif",MAX(0,MIN($AE14,$AD14-SUM($AG14:AI14))),0)</f>
        <v>34750</v>
      </c>
      <c r="AK14" s="8">
        <f>IF($O14="Aktif",MAX(0,MIN($AE14,$AD14-SUM($AG14:AJ14))),0)</f>
        <v>34750</v>
      </c>
      <c r="AL14" s="8">
        <f>IF($O14="Aktif",MAX(0,MIN($AE14,$AD14-SUM($AG14:AK14))),0)</f>
        <v>34750</v>
      </c>
      <c r="AM14" s="8">
        <f>IF($O14="Aktif",MAX(0,MIN($AE14,$AD14-SUM($AG14:AL14))),0)</f>
        <v>34750</v>
      </c>
      <c r="AN14" s="8">
        <f>IF($O14="Aktif",MAX(0,MIN($AE14,$AD14-SUM($AG14:AM14))),0)</f>
        <v>34750</v>
      </c>
      <c r="AO14" s="8">
        <f>IF($O14="Aktif",MAX(0,MIN($AE14,$AD14-SUM($AG14:AN14))),0)</f>
        <v>34750</v>
      </c>
      <c r="AP14" s="8">
        <f>IF($O14="Aktif",MAX(0,MIN($AE14,$AD14-SUM($AG14:AO14))),0)</f>
        <v>34750</v>
      </c>
      <c r="AQ14" s="8">
        <f>IF($O14="Aktif",MAX(0,MIN($AE14,$AD14-SUM($AG14:AP14))),0)</f>
        <v>34750</v>
      </c>
      <c r="AR14" s="8">
        <f>IF($O14="Aktif",MAX(0,MIN($AE14,$AD14-SUM($AG14:AQ14))),0)</f>
        <v>34750</v>
      </c>
      <c r="AS14" s="8">
        <f>IF($O14="Aktif",MAX(0,MIN($AE14,$AD14-SUM($AG14:AR14))),0)</f>
        <v>34750</v>
      </c>
      <c r="AT14" s="8">
        <f>IF($O14="Aktif",MAX(0,MIN($AE14,$AD14-SUM($AG14:AS14))),0)</f>
        <v>34750</v>
      </c>
      <c r="AU14" s="8">
        <f>IF($O14="Aktif",MAX(0,MIN($AE14,$AD14-SUM($AG14:AT14))),0)</f>
        <v>34750</v>
      </c>
      <c r="AV14" s="8">
        <f>IF($O14="Aktif",MAX(0,MIN($AE14,$AD14-SUM($AG14:AU14))),0)</f>
        <v>34750</v>
      </c>
      <c r="AW14" s="8">
        <f t="shared" si="5"/>
        <v>556000</v>
      </c>
      <c r="AX14" s="8">
        <f t="shared" si="6"/>
        <v>4204750</v>
      </c>
    </row>
    <row r="15" spans="1:50" ht="15" customHeight="1" x14ac:dyDescent="0.35">
      <c r="A15" s="102">
        <v>9</v>
      </c>
      <c r="B15" s="102" t="s">
        <v>374</v>
      </c>
      <c r="C15" s="103">
        <v>16</v>
      </c>
      <c r="D15" s="102" t="s">
        <v>182</v>
      </c>
      <c r="E15" s="102" t="s">
        <v>375</v>
      </c>
      <c r="F15" s="102" t="s">
        <v>376</v>
      </c>
      <c r="G15" s="102" t="s">
        <v>377</v>
      </c>
      <c r="H15" s="102" t="s">
        <v>378</v>
      </c>
      <c r="I15" s="102" t="s">
        <v>90</v>
      </c>
      <c r="J15" s="102" t="s">
        <v>412</v>
      </c>
      <c r="K15" s="102" t="s">
        <v>413</v>
      </c>
      <c r="L15" s="104">
        <v>43144</v>
      </c>
      <c r="M15" s="102" t="s">
        <v>414</v>
      </c>
      <c r="N15" s="102" t="s">
        <v>415</v>
      </c>
      <c r="O15" s="102" t="s">
        <v>383</v>
      </c>
      <c r="P15" s="103">
        <v>1</v>
      </c>
      <c r="Q15" s="105">
        <v>51500000</v>
      </c>
      <c r="R15" s="103">
        <v>240</v>
      </c>
      <c r="S15" s="105">
        <v>214583.33333333299</v>
      </c>
      <c r="T15" s="105">
        <v>20385416.666666701</v>
      </c>
      <c r="U15" s="105">
        <v>214583.33333333299</v>
      </c>
      <c r="V15" s="105">
        <v>214583.33333333299</v>
      </c>
      <c r="W15" s="105">
        <v>214583.33333333299</v>
      </c>
      <c r="X15" s="105">
        <v>214583.33333333299</v>
      </c>
      <c r="Y15" s="105">
        <v>214583.33333333299</v>
      </c>
      <c r="Z15" s="105">
        <v>214583.33333333299</v>
      </c>
      <c r="AA15" s="105">
        <v>214583.33333333299</v>
      </c>
      <c r="AB15" s="105">
        <v>214583.33333333299</v>
      </c>
      <c r="AC15" s="8">
        <f t="shared" si="0"/>
        <v>22102083.333333366</v>
      </c>
      <c r="AD15" s="8">
        <f t="shared" si="1"/>
        <v>29397916.666666634</v>
      </c>
      <c r="AE15" s="8">
        <f t="shared" si="2"/>
        <v>214583.33333333299</v>
      </c>
      <c r="AF15" s="106">
        <f t="shared" si="3"/>
        <v>137.00000000000006</v>
      </c>
      <c r="AG15" s="8">
        <f t="shared" si="4"/>
        <v>214583.33333333299</v>
      </c>
      <c r="AH15" s="8">
        <f>IF($O15="Aktif",MAX(0,MIN($AE15,$AD15-SUM($AG15:AG15))),0)</f>
        <v>214583.33333333299</v>
      </c>
      <c r="AI15" s="8">
        <f>IF($O15="Aktif",MAX(0,MIN($AE15,$AD15-SUM($AG15:AH15))),0)</f>
        <v>214583.33333333299</v>
      </c>
      <c r="AJ15" s="8">
        <f>IF($O15="Aktif",MAX(0,MIN($AE15,$AD15-SUM($AG15:AI15))),0)</f>
        <v>214583.33333333299</v>
      </c>
      <c r="AK15" s="8">
        <f>IF($O15="Aktif",MAX(0,MIN($AE15,$AD15-SUM($AG15:AJ15))),0)</f>
        <v>214583.33333333299</v>
      </c>
      <c r="AL15" s="8">
        <f>IF($O15="Aktif",MAX(0,MIN($AE15,$AD15-SUM($AG15:AK15))),0)</f>
        <v>214583.33333333299</v>
      </c>
      <c r="AM15" s="8">
        <f>IF($O15="Aktif",MAX(0,MIN($AE15,$AD15-SUM($AG15:AL15))),0)</f>
        <v>214583.33333333299</v>
      </c>
      <c r="AN15" s="8">
        <f>IF($O15="Aktif",MAX(0,MIN($AE15,$AD15-SUM($AG15:AM15))),0)</f>
        <v>214583.33333333299</v>
      </c>
      <c r="AO15" s="8">
        <f>IF($O15="Aktif",MAX(0,MIN($AE15,$AD15-SUM($AG15:AN15))),0)</f>
        <v>214583.33333333299</v>
      </c>
      <c r="AP15" s="8">
        <f>IF($O15="Aktif",MAX(0,MIN($AE15,$AD15-SUM($AG15:AO15))),0)</f>
        <v>214583.33333333299</v>
      </c>
      <c r="AQ15" s="8">
        <f>IF($O15="Aktif",MAX(0,MIN($AE15,$AD15-SUM($AG15:AP15))),0)</f>
        <v>214583.33333333299</v>
      </c>
      <c r="AR15" s="8">
        <f>IF($O15="Aktif",MAX(0,MIN($AE15,$AD15-SUM($AG15:AQ15))),0)</f>
        <v>214583.33333333299</v>
      </c>
      <c r="AS15" s="8">
        <f>IF($O15="Aktif",MAX(0,MIN($AE15,$AD15-SUM($AG15:AR15))),0)</f>
        <v>214583.33333333299</v>
      </c>
      <c r="AT15" s="8">
        <f>IF($O15="Aktif",MAX(0,MIN($AE15,$AD15-SUM($AG15:AS15))),0)</f>
        <v>214583.33333333299</v>
      </c>
      <c r="AU15" s="8">
        <f>IF($O15="Aktif",MAX(0,MIN($AE15,$AD15-SUM($AG15:AT15))),0)</f>
        <v>214583.33333333299</v>
      </c>
      <c r="AV15" s="8">
        <f>IF($O15="Aktif",MAX(0,MIN($AE15,$AD15-SUM($AG15:AU15))),0)</f>
        <v>214583.33333333299</v>
      </c>
      <c r="AW15" s="8">
        <f t="shared" si="5"/>
        <v>3433333.3333333279</v>
      </c>
      <c r="AX15" s="8">
        <f t="shared" si="6"/>
        <v>25964583.333333306</v>
      </c>
    </row>
    <row r="16" spans="1:50" ht="15" customHeight="1" x14ac:dyDescent="0.35">
      <c r="A16" s="102">
        <v>10</v>
      </c>
      <c r="B16" s="102" t="s">
        <v>374</v>
      </c>
      <c r="C16" s="103">
        <v>17</v>
      </c>
      <c r="D16" s="102" t="s">
        <v>182</v>
      </c>
      <c r="E16" s="102" t="s">
        <v>375</v>
      </c>
      <c r="F16" s="102" t="s">
        <v>376</v>
      </c>
      <c r="G16" s="102" t="s">
        <v>377</v>
      </c>
      <c r="H16" s="102" t="s">
        <v>378</v>
      </c>
      <c r="I16" s="102" t="s">
        <v>90</v>
      </c>
      <c r="J16" s="102" t="s">
        <v>416</v>
      </c>
      <c r="K16" s="102" t="s">
        <v>417</v>
      </c>
      <c r="L16" s="104">
        <v>43158</v>
      </c>
      <c r="M16" s="102" t="s">
        <v>418</v>
      </c>
      <c r="N16" s="102" t="s">
        <v>419</v>
      </c>
      <c r="O16" s="102" t="s">
        <v>383</v>
      </c>
      <c r="P16" s="103">
        <v>1</v>
      </c>
      <c r="Q16" s="105">
        <v>40000000</v>
      </c>
      <c r="R16" s="103">
        <v>240</v>
      </c>
      <c r="S16" s="105">
        <v>166666.66666666701</v>
      </c>
      <c r="T16" s="105">
        <v>15833333.3333333</v>
      </c>
      <c r="U16" s="105">
        <v>166666.66666666701</v>
      </c>
      <c r="V16" s="105">
        <v>166666.66666666701</v>
      </c>
      <c r="W16" s="105">
        <v>166666.66666666701</v>
      </c>
      <c r="X16" s="105">
        <v>166666.66666666701</v>
      </c>
      <c r="Y16" s="105">
        <v>166666.66666666701</v>
      </c>
      <c r="Z16" s="105">
        <v>166666.66666666701</v>
      </c>
      <c r="AA16" s="105">
        <v>166666.66666666701</v>
      </c>
      <c r="AB16" s="105">
        <v>166666.66666666701</v>
      </c>
      <c r="AC16" s="8">
        <f t="shared" si="0"/>
        <v>17166666.666666638</v>
      </c>
      <c r="AD16" s="8">
        <f t="shared" si="1"/>
        <v>22833333.333333362</v>
      </c>
      <c r="AE16" s="8">
        <f t="shared" si="2"/>
        <v>166666.66666666701</v>
      </c>
      <c r="AF16" s="106">
        <f t="shared" si="3"/>
        <v>136.99999999999989</v>
      </c>
      <c r="AG16" s="8">
        <f t="shared" si="4"/>
        <v>166666.66666666701</v>
      </c>
      <c r="AH16" s="8">
        <f>IF($O16="Aktif",MAX(0,MIN($AE16,$AD16-SUM($AG16:AG16))),0)</f>
        <v>166666.66666666701</v>
      </c>
      <c r="AI16" s="8">
        <f>IF($O16="Aktif",MAX(0,MIN($AE16,$AD16-SUM($AG16:AH16))),0)</f>
        <v>166666.66666666701</v>
      </c>
      <c r="AJ16" s="8">
        <f>IF($O16="Aktif",MAX(0,MIN($AE16,$AD16-SUM($AG16:AI16))),0)</f>
        <v>166666.66666666701</v>
      </c>
      <c r="AK16" s="8">
        <f>IF($O16="Aktif",MAX(0,MIN($AE16,$AD16-SUM($AG16:AJ16))),0)</f>
        <v>166666.66666666701</v>
      </c>
      <c r="AL16" s="8">
        <f>IF($O16="Aktif",MAX(0,MIN($AE16,$AD16-SUM($AG16:AK16))),0)</f>
        <v>166666.66666666701</v>
      </c>
      <c r="AM16" s="8">
        <f>IF($O16="Aktif",MAX(0,MIN($AE16,$AD16-SUM($AG16:AL16))),0)</f>
        <v>166666.66666666701</v>
      </c>
      <c r="AN16" s="8">
        <f>IF($O16="Aktif",MAX(0,MIN($AE16,$AD16-SUM($AG16:AM16))),0)</f>
        <v>166666.66666666701</v>
      </c>
      <c r="AO16" s="8">
        <f>IF($O16="Aktif",MAX(0,MIN($AE16,$AD16-SUM($AG16:AN16))),0)</f>
        <v>166666.66666666701</v>
      </c>
      <c r="AP16" s="8">
        <f>IF($O16="Aktif",MAX(0,MIN($AE16,$AD16-SUM($AG16:AO16))),0)</f>
        <v>166666.66666666701</v>
      </c>
      <c r="AQ16" s="8">
        <f>IF($O16="Aktif",MAX(0,MIN($AE16,$AD16-SUM($AG16:AP16))),0)</f>
        <v>166666.66666666701</v>
      </c>
      <c r="AR16" s="8">
        <f>IF($O16="Aktif",MAX(0,MIN($AE16,$AD16-SUM($AG16:AQ16))),0)</f>
        <v>166666.66666666701</v>
      </c>
      <c r="AS16" s="8">
        <f>IF($O16="Aktif",MAX(0,MIN($AE16,$AD16-SUM($AG16:AR16))),0)</f>
        <v>166666.66666666701</v>
      </c>
      <c r="AT16" s="8">
        <f>IF($O16="Aktif",MAX(0,MIN($AE16,$AD16-SUM($AG16:AS16))),0)</f>
        <v>166666.66666666701</v>
      </c>
      <c r="AU16" s="8">
        <f>IF($O16="Aktif",MAX(0,MIN($AE16,$AD16-SUM($AG16:AT16))),0)</f>
        <v>166666.66666666701</v>
      </c>
      <c r="AV16" s="8">
        <f>IF($O16="Aktif",MAX(0,MIN($AE16,$AD16-SUM($AG16:AU16))),0)</f>
        <v>166666.66666666701</v>
      </c>
      <c r="AW16" s="8">
        <f t="shared" si="5"/>
        <v>2666666.6666666721</v>
      </c>
      <c r="AX16" s="8">
        <f t="shared" si="6"/>
        <v>20166666.66666669</v>
      </c>
    </row>
    <row r="17" spans="1:50" ht="15" customHeight="1" x14ac:dyDescent="0.35">
      <c r="A17" s="102">
        <v>11</v>
      </c>
      <c r="B17" s="102" t="s">
        <v>374</v>
      </c>
      <c r="C17" s="103">
        <v>18</v>
      </c>
      <c r="D17" s="102" t="s">
        <v>182</v>
      </c>
      <c r="E17" s="102" t="s">
        <v>375</v>
      </c>
      <c r="F17" s="102" t="s">
        <v>376</v>
      </c>
      <c r="G17" s="102" t="s">
        <v>377</v>
      </c>
      <c r="H17" s="102" t="s">
        <v>378</v>
      </c>
      <c r="I17" s="102" t="s">
        <v>90</v>
      </c>
      <c r="J17" s="102" t="s">
        <v>420</v>
      </c>
      <c r="K17" s="102" t="s">
        <v>421</v>
      </c>
      <c r="L17" s="104">
        <v>43140</v>
      </c>
      <c r="M17" s="102" t="s">
        <v>422</v>
      </c>
      <c r="N17" s="102" t="s">
        <v>423</v>
      </c>
      <c r="O17" s="102" t="s">
        <v>383</v>
      </c>
      <c r="P17" s="103">
        <v>1</v>
      </c>
      <c r="Q17" s="105">
        <v>38565000</v>
      </c>
      <c r="R17" s="103">
        <v>240</v>
      </c>
      <c r="S17" s="105">
        <v>160687.5</v>
      </c>
      <c r="T17" s="105">
        <v>15265312.5</v>
      </c>
      <c r="U17" s="105">
        <v>160687.5</v>
      </c>
      <c r="V17" s="105">
        <v>160687.5</v>
      </c>
      <c r="W17" s="105">
        <v>160687.5</v>
      </c>
      <c r="X17" s="105">
        <v>160687.5</v>
      </c>
      <c r="Y17" s="105">
        <v>160687.5</v>
      </c>
      <c r="Z17" s="105">
        <v>160687.5</v>
      </c>
      <c r="AA17" s="105">
        <v>160687.5</v>
      </c>
      <c r="AB17" s="105">
        <v>160687.5</v>
      </c>
      <c r="AC17" s="8">
        <f t="shared" si="0"/>
        <v>16550812.5</v>
      </c>
      <c r="AD17" s="8">
        <f t="shared" si="1"/>
        <v>22014187.5</v>
      </c>
      <c r="AE17" s="8">
        <f t="shared" si="2"/>
        <v>160687.5</v>
      </c>
      <c r="AF17" s="106">
        <f t="shared" si="3"/>
        <v>137</v>
      </c>
      <c r="AG17" s="8">
        <f t="shared" si="4"/>
        <v>160687.5</v>
      </c>
      <c r="AH17" s="8">
        <f>IF($O17="Aktif",MAX(0,MIN($AE17,$AD17-SUM($AG17:AG17))),0)</f>
        <v>160687.5</v>
      </c>
      <c r="AI17" s="8">
        <f>IF($O17="Aktif",MAX(0,MIN($AE17,$AD17-SUM($AG17:AH17))),0)</f>
        <v>160687.5</v>
      </c>
      <c r="AJ17" s="8">
        <f>IF($O17="Aktif",MAX(0,MIN($AE17,$AD17-SUM($AG17:AI17))),0)</f>
        <v>160687.5</v>
      </c>
      <c r="AK17" s="8">
        <f>IF($O17="Aktif",MAX(0,MIN($AE17,$AD17-SUM($AG17:AJ17))),0)</f>
        <v>160687.5</v>
      </c>
      <c r="AL17" s="8">
        <f>IF($O17="Aktif",MAX(0,MIN($AE17,$AD17-SUM($AG17:AK17))),0)</f>
        <v>160687.5</v>
      </c>
      <c r="AM17" s="8">
        <f>IF($O17="Aktif",MAX(0,MIN($AE17,$AD17-SUM($AG17:AL17))),0)</f>
        <v>160687.5</v>
      </c>
      <c r="AN17" s="8">
        <f>IF($O17="Aktif",MAX(0,MIN($AE17,$AD17-SUM($AG17:AM17))),0)</f>
        <v>160687.5</v>
      </c>
      <c r="AO17" s="8">
        <f>IF($O17="Aktif",MAX(0,MIN($AE17,$AD17-SUM($AG17:AN17))),0)</f>
        <v>160687.5</v>
      </c>
      <c r="AP17" s="8">
        <f>IF($O17="Aktif",MAX(0,MIN($AE17,$AD17-SUM($AG17:AO17))),0)</f>
        <v>160687.5</v>
      </c>
      <c r="AQ17" s="8">
        <f>IF($O17="Aktif",MAX(0,MIN($AE17,$AD17-SUM($AG17:AP17))),0)</f>
        <v>160687.5</v>
      </c>
      <c r="AR17" s="8">
        <f>IF($O17="Aktif",MAX(0,MIN($AE17,$AD17-SUM($AG17:AQ17))),0)</f>
        <v>160687.5</v>
      </c>
      <c r="AS17" s="8">
        <f>IF($O17="Aktif",MAX(0,MIN($AE17,$AD17-SUM($AG17:AR17))),0)</f>
        <v>160687.5</v>
      </c>
      <c r="AT17" s="8">
        <f>IF($O17="Aktif",MAX(0,MIN($AE17,$AD17-SUM($AG17:AS17))),0)</f>
        <v>160687.5</v>
      </c>
      <c r="AU17" s="8">
        <f>IF($O17="Aktif",MAX(0,MIN($AE17,$AD17-SUM($AG17:AT17))),0)</f>
        <v>160687.5</v>
      </c>
      <c r="AV17" s="8">
        <f>IF($O17="Aktif",MAX(0,MIN($AE17,$AD17-SUM($AG17:AU17))),0)</f>
        <v>160687.5</v>
      </c>
      <c r="AW17" s="8">
        <f t="shared" si="5"/>
        <v>2571000</v>
      </c>
      <c r="AX17" s="8">
        <f t="shared" si="6"/>
        <v>19443187.5</v>
      </c>
    </row>
    <row r="18" spans="1:50" ht="15" customHeight="1" x14ac:dyDescent="0.35">
      <c r="A18" s="102">
        <v>12</v>
      </c>
      <c r="B18" s="102" t="s">
        <v>374</v>
      </c>
      <c r="C18" s="103">
        <v>19</v>
      </c>
      <c r="D18" s="102" t="s">
        <v>182</v>
      </c>
      <c r="E18" s="102" t="s">
        <v>375</v>
      </c>
      <c r="F18" s="102" t="s">
        <v>376</v>
      </c>
      <c r="G18" s="102" t="s">
        <v>377</v>
      </c>
      <c r="H18" s="102" t="s">
        <v>378</v>
      </c>
      <c r="I18" s="102" t="s">
        <v>90</v>
      </c>
      <c r="J18" s="102" t="s">
        <v>424</v>
      </c>
      <c r="K18" s="102" t="s">
        <v>425</v>
      </c>
      <c r="L18" s="104">
        <v>43186</v>
      </c>
      <c r="M18" s="102" t="s">
        <v>426</v>
      </c>
      <c r="N18" s="102" t="s">
        <v>427</v>
      </c>
      <c r="O18" s="102" t="s">
        <v>383</v>
      </c>
      <c r="P18" s="103">
        <v>1</v>
      </c>
      <c r="Q18" s="105">
        <v>25100000</v>
      </c>
      <c r="R18" s="103">
        <v>240</v>
      </c>
      <c r="S18" s="105">
        <v>104583.33333333299</v>
      </c>
      <c r="T18" s="105">
        <v>9830833.3333333302</v>
      </c>
      <c r="U18" s="105">
        <v>104583.33333333299</v>
      </c>
      <c r="V18" s="105">
        <v>104583.33333333299</v>
      </c>
      <c r="W18" s="105">
        <v>104583.33333333299</v>
      </c>
      <c r="X18" s="105">
        <v>104583.33333333299</v>
      </c>
      <c r="Y18" s="105">
        <v>104583.33333333299</v>
      </c>
      <c r="Z18" s="105">
        <v>104583.33333333299</v>
      </c>
      <c r="AA18" s="105">
        <v>104583.33333333299</v>
      </c>
      <c r="AB18" s="105">
        <v>104583.33333333299</v>
      </c>
      <c r="AC18" s="8">
        <f t="shared" si="0"/>
        <v>10667499.999999994</v>
      </c>
      <c r="AD18" s="8">
        <f t="shared" si="1"/>
        <v>14432500.000000006</v>
      </c>
      <c r="AE18" s="8">
        <f t="shared" si="2"/>
        <v>104583.33333333299</v>
      </c>
      <c r="AF18" s="106">
        <f t="shared" si="3"/>
        <v>138.00000000000051</v>
      </c>
      <c r="AG18" s="8">
        <f t="shared" si="4"/>
        <v>104583.33333333299</v>
      </c>
      <c r="AH18" s="8">
        <f>IF($O18="Aktif",MAX(0,MIN($AE18,$AD18-SUM($AG18:AG18))),0)</f>
        <v>104583.33333333299</v>
      </c>
      <c r="AI18" s="8">
        <f>IF($O18="Aktif",MAX(0,MIN($AE18,$AD18-SUM($AG18:AH18))),0)</f>
        <v>104583.33333333299</v>
      </c>
      <c r="AJ18" s="8">
        <f>IF($O18="Aktif",MAX(0,MIN($AE18,$AD18-SUM($AG18:AI18))),0)</f>
        <v>104583.33333333299</v>
      </c>
      <c r="AK18" s="8">
        <f>IF($O18="Aktif",MAX(0,MIN($AE18,$AD18-SUM($AG18:AJ18))),0)</f>
        <v>104583.33333333299</v>
      </c>
      <c r="AL18" s="8">
        <f>IF($O18="Aktif",MAX(0,MIN($AE18,$AD18-SUM($AG18:AK18))),0)</f>
        <v>104583.33333333299</v>
      </c>
      <c r="AM18" s="8">
        <f>IF($O18="Aktif",MAX(0,MIN($AE18,$AD18-SUM($AG18:AL18))),0)</f>
        <v>104583.33333333299</v>
      </c>
      <c r="AN18" s="8">
        <f>IF($O18="Aktif",MAX(0,MIN($AE18,$AD18-SUM($AG18:AM18))),0)</f>
        <v>104583.33333333299</v>
      </c>
      <c r="AO18" s="8">
        <f>IF($O18="Aktif",MAX(0,MIN($AE18,$AD18-SUM($AG18:AN18))),0)</f>
        <v>104583.33333333299</v>
      </c>
      <c r="AP18" s="8">
        <f>IF($O18="Aktif",MAX(0,MIN($AE18,$AD18-SUM($AG18:AO18))),0)</f>
        <v>104583.33333333299</v>
      </c>
      <c r="AQ18" s="8">
        <f>IF($O18="Aktif",MAX(0,MIN($AE18,$AD18-SUM($AG18:AP18))),0)</f>
        <v>104583.33333333299</v>
      </c>
      <c r="AR18" s="8">
        <f>IF($O18="Aktif",MAX(0,MIN($AE18,$AD18-SUM($AG18:AQ18))),0)</f>
        <v>104583.33333333299</v>
      </c>
      <c r="AS18" s="8">
        <f>IF($O18="Aktif",MAX(0,MIN($AE18,$AD18-SUM($AG18:AR18))),0)</f>
        <v>104583.33333333299</v>
      </c>
      <c r="AT18" s="8">
        <f>IF($O18="Aktif",MAX(0,MIN($AE18,$AD18-SUM($AG18:AS18))),0)</f>
        <v>104583.33333333299</v>
      </c>
      <c r="AU18" s="8">
        <f>IF($O18="Aktif",MAX(0,MIN($AE18,$AD18-SUM($AG18:AT18))),0)</f>
        <v>104583.33333333299</v>
      </c>
      <c r="AV18" s="8">
        <f>IF($O18="Aktif",MAX(0,MIN($AE18,$AD18-SUM($AG18:AU18))),0)</f>
        <v>104583.33333333299</v>
      </c>
      <c r="AW18" s="8">
        <f t="shared" si="5"/>
        <v>1673333.3333333281</v>
      </c>
      <c r="AX18" s="8">
        <f t="shared" si="6"/>
        <v>12759166.666666677</v>
      </c>
    </row>
    <row r="19" spans="1:50" ht="15" customHeight="1" x14ac:dyDescent="0.35">
      <c r="A19" s="102">
        <v>13</v>
      </c>
      <c r="B19" s="102" t="s">
        <v>374</v>
      </c>
      <c r="C19" s="103">
        <v>20</v>
      </c>
      <c r="D19" s="102" t="s">
        <v>182</v>
      </c>
      <c r="E19" s="102" t="s">
        <v>375</v>
      </c>
      <c r="F19" s="102" t="s">
        <v>376</v>
      </c>
      <c r="G19" s="102" t="s">
        <v>377</v>
      </c>
      <c r="H19" s="102" t="s">
        <v>378</v>
      </c>
      <c r="I19" s="102" t="s">
        <v>90</v>
      </c>
      <c r="J19" s="102" t="s">
        <v>428</v>
      </c>
      <c r="K19" s="102" t="s">
        <v>429</v>
      </c>
      <c r="L19" s="104">
        <v>43220</v>
      </c>
      <c r="M19" s="102" t="s">
        <v>430</v>
      </c>
      <c r="N19" s="102" t="s">
        <v>431</v>
      </c>
      <c r="O19" s="102" t="s">
        <v>383</v>
      </c>
      <c r="P19" s="103">
        <v>1</v>
      </c>
      <c r="Q19" s="105">
        <v>25275000</v>
      </c>
      <c r="R19" s="103">
        <v>240</v>
      </c>
      <c r="S19" s="105">
        <v>105312.5</v>
      </c>
      <c r="T19" s="105">
        <v>9794062.5</v>
      </c>
      <c r="U19" s="105">
        <v>105312.5</v>
      </c>
      <c r="V19" s="105">
        <v>105312.5</v>
      </c>
      <c r="W19" s="105">
        <v>105312.5</v>
      </c>
      <c r="X19" s="105">
        <v>105312.5</v>
      </c>
      <c r="Y19" s="105">
        <v>105312.5</v>
      </c>
      <c r="Z19" s="105">
        <v>105312.5</v>
      </c>
      <c r="AA19" s="105">
        <v>105312.5</v>
      </c>
      <c r="AB19" s="105">
        <v>105312.5</v>
      </c>
      <c r="AC19" s="8">
        <f t="shared" si="0"/>
        <v>10636562.5</v>
      </c>
      <c r="AD19" s="8">
        <f t="shared" si="1"/>
        <v>14638437.5</v>
      </c>
      <c r="AE19" s="8">
        <f t="shared" si="2"/>
        <v>105312.5</v>
      </c>
      <c r="AF19" s="106">
        <f t="shared" si="3"/>
        <v>139</v>
      </c>
      <c r="AG19" s="8">
        <f t="shared" si="4"/>
        <v>105312.5</v>
      </c>
      <c r="AH19" s="8">
        <f>IF($O19="Aktif",MAX(0,MIN($AE19,$AD19-SUM($AG19:AG19))),0)</f>
        <v>105312.5</v>
      </c>
      <c r="AI19" s="8">
        <f>IF($O19="Aktif",MAX(0,MIN($AE19,$AD19-SUM($AG19:AH19))),0)</f>
        <v>105312.5</v>
      </c>
      <c r="AJ19" s="8">
        <f>IF($O19="Aktif",MAX(0,MIN($AE19,$AD19-SUM($AG19:AI19))),0)</f>
        <v>105312.5</v>
      </c>
      <c r="AK19" s="8">
        <f>IF($O19="Aktif",MAX(0,MIN($AE19,$AD19-SUM($AG19:AJ19))),0)</f>
        <v>105312.5</v>
      </c>
      <c r="AL19" s="8">
        <f>IF($O19="Aktif",MAX(0,MIN($AE19,$AD19-SUM($AG19:AK19))),0)</f>
        <v>105312.5</v>
      </c>
      <c r="AM19" s="8">
        <f>IF($O19="Aktif",MAX(0,MIN($AE19,$AD19-SUM($AG19:AL19))),0)</f>
        <v>105312.5</v>
      </c>
      <c r="AN19" s="8">
        <f>IF($O19="Aktif",MAX(0,MIN($AE19,$AD19-SUM($AG19:AM19))),0)</f>
        <v>105312.5</v>
      </c>
      <c r="AO19" s="8">
        <f>IF($O19="Aktif",MAX(0,MIN($AE19,$AD19-SUM($AG19:AN19))),0)</f>
        <v>105312.5</v>
      </c>
      <c r="AP19" s="8">
        <f>IF($O19="Aktif",MAX(0,MIN($AE19,$AD19-SUM($AG19:AO19))),0)</f>
        <v>105312.5</v>
      </c>
      <c r="AQ19" s="8">
        <f>IF($O19="Aktif",MAX(0,MIN($AE19,$AD19-SUM($AG19:AP19))),0)</f>
        <v>105312.5</v>
      </c>
      <c r="AR19" s="8">
        <f>IF($O19="Aktif",MAX(0,MIN($AE19,$AD19-SUM($AG19:AQ19))),0)</f>
        <v>105312.5</v>
      </c>
      <c r="AS19" s="8">
        <f>IF($O19="Aktif",MAX(0,MIN($AE19,$AD19-SUM($AG19:AR19))),0)</f>
        <v>105312.5</v>
      </c>
      <c r="AT19" s="8">
        <f>IF($O19="Aktif",MAX(0,MIN($AE19,$AD19-SUM($AG19:AS19))),0)</f>
        <v>105312.5</v>
      </c>
      <c r="AU19" s="8">
        <f>IF($O19="Aktif",MAX(0,MIN($AE19,$AD19-SUM($AG19:AT19))),0)</f>
        <v>105312.5</v>
      </c>
      <c r="AV19" s="8">
        <f>IF($O19="Aktif",MAX(0,MIN($AE19,$AD19-SUM($AG19:AU19))),0)</f>
        <v>105312.5</v>
      </c>
      <c r="AW19" s="8">
        <f t="shared" si="5"/>
        <v>1685000</v>
      </c>
      <c r="AX19" s="8">
        <f t="shared" si="6"/>
        <v>12953437.5</v>
      </c>
    </row>
    <row r="20" spans="1:50" ht="15" customHeight="1" x14ac:dyDescent="0.35">
      <c r="A20" s="102">
        <v>14</v>
      </c>
      <c r="B20" s="102" t="s">
        <v>374</v>
      </c>
      <c r="C20" s="103">
        <v>21</v>
      </c>
      <c r="D20" s="102" t="s">
        <v>182</v>
      </c>
      <c r="E20" s="102" t="s">
        <v>375</v>
      </c>
      <c r="F20" s="102" t="s">
        <v>376</v>
      </c>
      <c r="G20" s="102" t="s">
        <v>377</v>
      </c>
      <c r="H20" s="102" t="s">
        <v>378</v>
      </c>
      <c r="I20" s="102" t="s">
        <v>90</v>
      </c>
      <c r="J20" s="102" t="s">
        <v>432</v>
      </c>
      <c r="K20" s="102" t="s">
        <v>433</v>
      </c>
      <c r="L20" s="104">
        <v>43220</v>
      </c>
      <c r="M20" s="102" t="s">
        <v>434</v>
      </c>
      <c r="N20" s="102" t="s">
        <v>435</v>
      </c>
      <c r="O20" s="102" t="s">
        <v>383</v>
      </c>
      <c r="P20" s="103">
        <v>1</v>
      </c>
      <c r="Q20" s="105">
        <v>284000000</v>
      </c>
      <c r="R20" s="103">
        <v>240</v>
      </c>
      <c r="S20" s="105">
        <v>1183333.33333333</v>
      </c>
      <c r="T20" s="105">
        <v>110050000</v>
      </c>
      <c r="U20" s="105">
        <v>1183333.33333333</v>
      </c>
      <c r="V20" s="105">
        <v>1183333.33333333</v>
      </c>
      <c r="W20" s="105">
        <v>1183333.33333333</v>
      </c>
      <c r="X20" s="105">
        <v>1183333.33333333</v>
      </c>
      <c r="Y20" s="105">
        <v>1183333.33333333</v>
      </c>
      <c r="Z20" s="105">
        <v>1183333.33333333</v>
      </c>
      <c r="AA20" s="105">
        <v>1183333.33333333</v>
      </c>
      <c r="AB20" s="105">
        <v>1183333.33333333</v>
      </c>
      <c r="AC20" s="8">
        <f t="shared" si="0"/>
        <v>119516666.66666664</v>
      </c>
      <c r="AD20" s="8">
        <f t="shared" si="1"/>
        <v>164483333.33333337</v>
      </c>
      <c r="AE20" s="8">
        <f t="shared" si="2"/>
        <v>1183333.33333333</v>
      </c>
      <c r="AF20" s="106">
        <f t="shared" si="3"/>
        <v>139.00000000000043</v>
      </c>
      <c r="AG20" s="8">
        <f t="shared" si="4"/>
        <v>1183333.33333333</v>
      </c>
      <c r="AH20" s="8">
        <f>IF($O20="Aktif",MAX(0,MIN($AE20,$AD20-SUM($AG20:AG20))),0)</f>
        <v>1183333.33333333</v>
      </c>
      <c r="AI20" s="8">
        <f>IF($O20="Aktif",MAX(0,MIN($AE20,$AD20-SUM($AG20:AH20))),0)</f>
        <v>1183333.33333333</v>
      </c>
      <c r="AJ20" s="8">
        <f>IF($O20="Aktif",MAX(0,MIN($AE20,$AD20-SUM($AG20:AI20))),0)</f>
        <v>1183333.33333333</v>
      </c>
      <c r="AK20" s="8">
        <f>IF($O20="Aktif",MAX(0,MIN($AE20,$AD20-SUM($AG20:AJ20))),0)</f>
        <v>1183333.33333333</v>
      </c>
      <c r="AL20" s="8">
        <f>IF($O20="Aktif",MAX(0,MIN($AE20,$AD20-SUM($AG20:AK20))),0)</f>
        <v>1183333.33333333</v>
      </c>
      <c r="AM20" s="8">
        <f>IF($O20="Aktif",MAX(0,MIN($AE20,$AD20-SUM($AG20:AL20))),0)</f>
        <v>1183333.33333333</v>
      </c>
      <c r="AN20" s="8">
        <f>IF($O20="Aktif",MAX(0,MIN($AE20,$AD20-SUM($AG20:AM20))),0)</f>
        <v>1183333.33333333</v>
      </c>
      <c r="AO20" s="8">
        <f>IF($O20="Aktif",MAX(0,MIN($AE20,$AD20-SUM($AG20:AN20))),0)</f>
        <v>1183333.33333333</v>
      </c>
      <c r="AP20" s="8">
        <f>IF($O20="Aktif",MAX(0,MIN($AE20,$AD20-SUM($AG20:AO20))),0)</f>
        <v>1183333.33333333</v>
      </c>
      <c r="AQ20" s="8">
        <f>IF($O20="Aktif",MAX(0,MIN($AE20,$AD20-SUM($AG20:AP20))),0)</f>
        <v>1183333.33333333</v>
      </c>
      <c r="AR20" s="8">
        <f>IF($O20="Aktif",MAX(0,MIN($AE20,$AD20-SUM($AG20:AQ20))),0)</f>
        <v>1183333.33333333</v>
      </c>
      <c r="AS20" s="8">
        <f>IF($O20="Aktif",MAX(0,MIN($AE20,$AD20-SUM($AG20:AR20))),0)</f>
        <v>1183333.33333333</v>
      </c>
      <c r="AT20" s="8">
        <f>IF($O20="Aktif",MAX(0,MIN($AE20,$AD20-SUM($AG20:AS20))),0)</f>
        <v>1183333.33333333</v>
      </c>
      <c r="AU20" s="8">
        <f>IF($O20="Aktif",MAX(0,MIN($AE20,$AD20-SUM($AG20:AT20))),0)</f>
        <v>1183333.33333333</v>
      </c>
      <c r="AV20" s="8">
        <f>IF($O20="Aktif",MAX(0,MIN($AE20,$AD20-SUM($AG20:AU20))),0)</f>
        <v>1183333.33333333</v>
      </c>
      <c r="AW20" s="8">
        <f t="shared" si="5"/>
        <v>18933333.33333328</v>
      </c>
      <c r="AX20" s="8">
        <f t="shared" si="6"/>
        <v>145550000.00000009</v>
      </c>
    </row>
    <row r="21" spans="1:50" ht="15" customHeight="1" x14ac:dyDescent="0.35">
      <c r="A21" s="102">
        <v>15</v>
      </c>
      <c r="B21" s="102" t="s">
        <v>374</v>
      </c>
      <c r="C21" s="103">
        <v>22</v>
      </c>
      <c r="D21" s="102" t="s">
        <v>182</v>
      </c>
      <c r="E21" s="102" t="s">
        <v>375</v>
      </c>
      <c r="F21" s="102" t="s">
        <v>376</v>
      </c>
      <c r="G21" s="102" t="s">
        <v>377</v>
      </c>
      <c r="H21" s="102" t="s">
        <v>378</v>
      </c>
      <c r="I21" s="102" t="s">
        <v>90</v>
      </c>
      <c r="J21" s="102" t="s">
        <v>436</v>
      </c>
      <c r="K21" s="102" t="s">
        <v>437</v>
      </c>
      <c r="L21" s="104">
        <v>43281</v>
      </c>
      <c r="M21" s="102" t="s">
        <v>438</v>
      </c>
      <c r="N21" s="102" t="s">
        <v>439</v>
      </c>
      <c r="O21" s="102" t="s">
        <v>383</v>
      </c>
      <c r="P21" s="103">
        <v>1</v>
      </c>
      <c r="Q21" s="105">
        <v>129000000</v>
      </c>
      <c r="R21" s="103">
        <v>240</v>
      </c>
      <c r="S21" s="105">
        <v>537500</v>
      </c>
      <c r="T21" s="105">
        <v>48912500</v>
      </c>
      <c r="U21" s="105">
        <v>537500</v>
      </c>
      <c r="V21" s="105">
        <v>537500</v>
      </c>
      <c r="W21" s="105">
        <v>537500</v>
      </c>
      <c r="X21" s="105">
        <v>537500</v>
      </c>
      <c r="Y21" s="105">
        <v>537500</v>
      </c>
      <c r="Z21" s="105">
        <v>537500</v>
      </c>
      <c r="AA21" s="105">
        <v>537500</v>
      </c>
      <c r="AB21" s="105">
        <v>537500</v>
      </c>
      <c r="AC21" s="8">
        <f t="shared" si="0"/>
        <v>53212500</v>
      </c>
      <c r="AD21" s="8">
        <f t="shared" si="1"/>
        <v>75787500</v>
      </c>
      <c r="AE21" s="8">
        <f t="shared" si="2"/>
        <v>537500</v>
      </c>
      <c r="AF21" s="106">
        <f t="shared" si="3"/>
        <v>141</v>
      </c>
      <c r="AG21" s="8">
        <f t="shared" si="4"/>
        <v>537500</v>
      </c>
      <c r="AH21" s="8">
        <f>IF($O21="Aktif",MAX(0,MIN($AE21,$AD21-SUM($AG21:AG21))),0)</f>
        <v>537500</v>
      </c>
      <c r="AI21" s="8">
        <f>IF($O21="Aktif",MAX(0,MIN($AE21,$AD21-SUM($AG21:AH21))),0)</f>
        <v>537500</v>
      </c>
      <c r="AJ21" s="8">
        <f>IF($O21="Aktif",MAX(0,MIN($AE21,$AD21-SUM($AG21:AI21))),0)</f>
        <v>537500</v>
      </c>
      <c r="AK21" s="8">
        <f>IF($O21="Aktif",MAX(0,MIN($AE21,$AD21-SUM($AG21:AJ21))),0)</f>
        <v>537500</v>
      </c>
      <c r="AL21" s="8">
        <f>IF($O21="Aktif",MAX(0,MIN($AE21,$AD21-SUM($AG21:AK21))),0)</f>
        <v>537500</v>
      </c>
      <c r="AM21" s="8">
        <f>IF($O21="Aktif",MAX(0,MIN($AE21,$AD21-SUM($AG21:AL21))),0)</f>
        <v>537500</v>
      </c>
      <c r="AN21" s="8">
        <f>IF($O21="Aktif",MAX(0,MIN($AE21,$AD21-SUM($AG21:AM21))),0)</f>
        <v>537500</v>
      </c>
      <c r="AO21" s="8">
        <f>IF($O21="Aktif",MAX(0,MIN($AE21,$AD21-SUM($AG21:AN21))),0)</f>
        <v>537500</v>
      </c>
      <c r="AP21" s="8">
        <f>IF($O21="Aktif",MAX(0,MIN($AE21,$AD21-SUM($AG21:AO21))),0)</f>
        <v>537500</v>
      </c>
      <c r="AQ21" s="8">
        <f>IF($O21="Aktif",MAX(0,MIN($AE21,$AD21-SUM($AG21:AP21))),0)</f>
        <v>537500</v>
      </c>
      <c r="AR21" s="8">
        <f>IF($O21="Aktif",MAX(0,MIN($AE21,$AD21-SUM($AG21:AQ21))),0)</f>
        <v>537500</v>
      </c>
      <c r="AS21" s="8">
        <f>IF($O21="Aktif",MAX(0,MIN($AE21,$AD21-SUM($AG21:AR21))),0)</f>
        <v>537500</v>
      </c>
      <c r="AT21" s="8">
        <f>IF($O21="Aktif",MAX(0,MIN($AE21,$AD21-SUM($AG21:AS21))),0)</f>
        <v>537500</v>
      </c>
      <c r="AU21" s="8">
        <f>IF($O21="Aktif",MAX(0,MIN($AE21,$AD21-SUM($AG21:AT21))),0)</f>
        <v>537500</v>
      </c>
      <c r="AV21" s="8">
        <f>IF($O21="Aktif",MAX(0,MIN($AE21,$AD21-SUM($AG21:AU21))),0)</f>
        <v>537500</v>
      </c>
      <c r="AW21" s="8">
        <f t="shared" si="5"/>
        <v>8600000</v>
      </c>
      <c r="AX21" s="8">
        <f t="shared" si="6"/>
        <v>67187500</v>
      </c>
    </row>
    <row r="22" spans="1:50" ht="15" customHeight="1" x14ac:dyDescent="0.35">
      <c r="A22" s="102">
        <v>16</v>
      </c>
      <c r="B22" s="102" t="s">
        <v>374</v>
      </c>
      <c r="C22" s="103">
        <v>23</v>
      </c>
      <c r="D22" s="102" t="s">
        <v>182</v>
      </c>
      <c r="E22" s="102" t="s">
        <v>375</v>
      </c>
      <c r="F22" s="102" t="s">
        <v>376</v>
      </c>
      <c r="G22" s="102" t="s">
        <v>377</v>
      </c>
      <c r="H22" s="102" t="s">
        <v>378</v>
      </c>
      <c r="I22" s="102" t="s">
        <v>90</v>
      </c>
      <c r="J22" s="102" t="s">
        <v>440</v>
      </c>
      <c r="K22" s="102" t="s">
        <v>441</v>
      </c>
      <c r="L22" s="104">
        <v>43322</v>
      </c>
      <c r="M22" s="102" t="s">
        <v>442</v>
      </c>
      <c r="N22" s="102" t="s">
        <v>443</v>
      </c>
      <c r="O22" s="102" t="s">
        <v>383</v>
      </c>
      <c r="P22" s="103">
        <v>1</v>
      </c>
      <c r="Q22" s="105">
        <v>22500000</v>
      </c>
      <c r="R22" s="103">
        <v>240</v>
      </c>
      <c r="S22" s="105">
        <v>93750</v>
      </c>
      <c r="T22" s="105">
        <v>8343750</v>
      </c>
      <c r="U22" s="105">
        <v>93750</v>
      </c>
      <c r="V22" s="105">
        <v>93750</v>
      </c>
      <c r="W22" s="105">
        <v>93750</v>
      </c>
      <c r="X22" s="105">
        <v>93750</v>
      </c>
      <c r="Y22" s="105">
        <v>93750</v>
      </c>
      <c r="Z22" s="105">
        <v>93750</v>
      </c>
      <c r="AA22" s="105">
        <v>93750</v>
      </c>
      <c r="AB22" s="105">
        <v>93750</v>
      </c>
      <c r="AC22" s="8">
        <f t="shared" si="0"/>
        <v>9093750</v>
      </c>
      <c r="AD22" s="8">
        <f t="shared" si="1"/>
        <v>13406250</v>
      </c>
      <c r="AE22" s="8">
        <f t="shared" si="2"/>
        <v>93750</v>
      </c>
      <c r="AF22" s="106">
        <f t="shared" si="3"/>
        <v>143</v>
      </c>
      <c r="AG22" s="8">
        <f t="shared" si="4"/>
        <v>93750</v>
      </c>
      <c r="AH22" s="8">
        <f>IF($O22="Aktif",MAX(0,MIN($AE22,$AD22-SUM($AG22:AG22))),0)</f>
        <v>93750</v>
      </c>
      <c r="AI22" s="8">
        <f>IF($O22="Aktif",MAX(0,MIN($AE22,$AD22-SUM($AG22:AH22))),0)</f>
        <v>93750</v>
      </c>
      <c r="AJ22" s="8">
        <f>IF($O22="Aktif",MAX(0,MIN($AE22,$AD22-SUM($AG22:AI22))),0)</f>
        <v>93750</v>
      </c>
      <c r="AK22" s="8">
        <f>IF($O22="Aktif",MAX(0,MIN($AE22,$AD22-SUM($AG22:AJ22))),0)</f>
        <v>93750</v>
      </c>
      <c r="AL22" s="8">
        <f>IF($O22="Aktif",MAX(0,MIN($AE22,$AD22-SUM($AG22:AK22))),0)</f>
        <v>93750</v>
      </c>
      <c r="AM22" s="8">
        <f>IF($O22="Aktif",MAX(0,MIN($AE22,$AD22-SUM($AG22:AL22))),0)</f>
        <v>93750</v>
      </c>
      <c r="AN22" s="8">
        <f>IF($O22="Aktif",MAX(0,MIN($AE22,$AD22-SUM($AG22:AM22))),0)</f>
        <v>93750</v>
      </c>
      <c r="AO22" s="8">
        <f>IF($O22="Aktif",MAX(0,MIN($AE22,$AD22-SUM($AG22:AN22))),0)</f>
        <v>93750</v>
      </c>
      <c r="AP22" s="8">
        <f>IF($O22="Aktif",MAX(0,MIN($AE22,$AD22-SUM($AG22:AO22))),0)</f>
        <v>93750</v>
      </c>
      <c r="AQ22" s="8">
        <f>IF($O22="Aktif",MAX(0,MIN($AE22,$AD22-SUM($AG22:AP22))),0)</f>
        <v>93750</v>
      </c>
      <c r="AR22" s="8">
        <f>IF($O22="Aktif",MAX(0,MIN($AE22,$AD22-SUM($AG22:AQ22))),0)</f>
        <v>93750</v>
      </c>
      <c r="AS22" s="8">
        <f>IF($O22="Aktif",MAX(0,MIN($AE22,$AD22-SUM($AG22:AR22))),0)</f>
        <v>93750</v>
      </c>
      <c r="AT22" s="8">
        <f>IF($O22="Aktif",MAX(0,MIN($AE22,$AD22-SUM($AG22:AS22))),0)</f>
        <v>93750</v>
      </c>
      <c r="AU22" s="8">
        <f>IF($O22="Aktif",MAX(0,MIN($AE22,$AD22-SUM($AG22:AT22))),0)</f>
        <v>93750</v>
      </c>
      <c r="AV22" s="8">
        <f>IF($O22="Aktif",MAX(0,MIN($AE22,$AD22-SUM($AG22:AU22))),0)</f>
        <v>93750</v>
      </c>
      <c r="AW22" s="8">
        <f t="shared" si="5"/>
        <v>1500000</v>
      </c>
      <c r="AX22" s="8">
        <f t="shared" si="6"/>
        <v>11906250</v>
      </c>
    </row>
    <row r="23" spans="1:50" ht="15" customHeight="1" x14ac:dyDescent="0.35">
      <c r="A23" s="102">
        <v>17</v>
      </c>
      <c r="B23" s="102" t="s">
        <v>374</v>
      </c>
      <c r="C23" s="103">
        <v>24</v>
      </c>
      <c r="D23" s="102" t="s">
        <v>182</v>
      </c>
      <c r="E23" s="102" t="s">
        <v>375</v>
      </c>
      <c r="F23" s="102" t="s">
        <v>376</v>
      </c>
      <c r="G23" s="102" t="s">
        <v>377</v>
      </c>
      <c r="H23" s="102" t="s">
        <v>378</v>
      </c>
      <c r="I23" s="102" t="s">
        <v>90</v>
      </c>
      <c r="J23" s="102" t="s">
        <v>444</v>
      </c>
      <c r="K23" s="102" t="s">
        <v>445</v>
      </c>
      <c r="L23" s="104">
        <v>43385</v>
      </c>
      <c r="M23" s="102" t="s">
        <v>442</v>
      </c>
      <c r="N23" s="102" t="s">
        <v>446</v>
      </c>
      <c r="O23" s="102" t="s">
        <v>383</v>
      </c>
      <c r="P23" s="103">
        <v>1</v>
      </c>
      <c r="Q23" s="105">
        <v>22000000</v>
      </c>
      <c r="R23" s="103">
        <v>240</v>
      </c>
      <c r="S23" s="105">
        <v>91666.666666666701</v>
      </c>
      <c r="T23" s="105">
        <v>7975000</v>
      </c>
      <c r="U23" s="105">
        <v>91666.666666666701</v>
      </c>
      <c r="V23" s="105">
        <v>91666.666666666701</v>
      </c>
      <c r="W23" s="105">
        <v>91666.666666666701</v>
      </c>
      <c r="X23" s="105">
        <v>91666.666666666701</v>
      </c>
      <c r="Y23" s="105">
        <v>91666.666666666701</v>
      </c>
      <c r="Z23" s="105">
        <v>91666.666666666701</v>
      </c>
      <c r="AA23" s="105">
        <v>91666.666666666701</v>
      </c>
      <c r="AB23" s="105">
        <v>91666.666666666701</v>
      </c>
      <c r="AC23" s="8">
        <f t="shared" si="0"/>
        <v>8708333.333333334</v>
      </c>
      <c r="AD23" s="8">
        <f t="shared" si="1"/>
        <v>13291666.666666666</v>
      </c>
      <c r="AE23" s="8">
        <f t="shared" si="2"/>
        <v>91666.666666666701</v>
      </c>
      <c r="AF23" s="106">
        <f t="shared" si="3"/>
        <v>144.99999999999994</v>
      </c>
      <c r="AG23" s="8">
        <f t="shared" si="4"/>
        <v>91666.666666666701</v>
      </c>
      <c r="AH23" s="8">
        <f>IF($O23="Aktif",MAX(0,MIN($AE23,$AD23-SUM($AG23:AG23))),0)</f>
        <v>91666.666666666701</v>
      </c>
      <c r="AI23" s="8">
        <f>IF($O23="Aktif",MAX(0,MIN($AE23,$AD23-SUM($AG23:AH23))),0)</f>
        <v>91666.666666666701</v>
      </c>
      <c r="AJ23" s="8">
        <f>IF($O23="Aktif",MAX(0,MIN($AE23,$AD23-SUM($AG23:AI23))),0)</f>
        <v>91666.666666666701</v>
      </c>
      <c r="AK23" s="8">
        <f>IF($O23="Aktif",MAX(0,MIN($AE23,$AD23-SUM($AG23:AJ23))),0)</f>
        <v>91666.666666666701</v>
      </c>
      <c r="AL23" s="8">
        <f>IF($O23="Aktif",MAX(0,MIN($AE23,$AD23-SUM($AG23:AK23))),0)</f>
        <v>91666.666666666701</v>
      </c>
      <c r="AM23" s="8">
        <f>IF($O23="Aktif",MAX(0,MIN($AE23,$AD23-SUM($AG23:AL23))),0)</f>
        <v>91666.666666666701</v>
      </c>
      <c r="AN23" s="8">
        <f>IF($O23="Aktif",MAX(0,MIN($AE23,$AD23-SUM($AG23:AM23))),0)</f>
        <v>91666.666666666701</v>
      </c>
      <c r="AO23" s="8">
        <f>IF($O23="Aktif",MAX(0,MIN($AE23,$AD23-SUM($AG23:AN23))),0)</f>
        <v>91666.666666666701</v>
      </c>
      <c r="AP23" s="8">
        <f>IF($O23="Aktif",MAX(0,MIN($AE23,$AD23-SUM($AG23:AO23))),0)</f>
        <v>91666.666666666701</v>
      </c>
      <c r="AQ23" s="8">
        <f>IF($O23="Aktif",MAX(0,MIN($AE23,$AD23-SUM($AG23:AP23))),0)</f>
        <v>91666.666666666701</v>
      </c>
      <c r="AR23" s="8">
        <f>IF($O23="Aktif",MAX(0,MIN($AE23,$AD23-SUM($AG23:AQ23))),0)</f>
        <v>91666.666666666701</v>
      </c>
      <c r="AS23" s="8">
        <f>IF($O23="Aktif",MAX(0,MIN($AE23,$AD23-SUM($AG23:AR23))),0)</f>
        <v>91666.666666666701</v>
      </c>
      <c r="AT23" s="8">
        <f>IF($O23="Aktif",MAX(0,MIN($AE23,$AD23-SUM($AG23:AS23))),0)</f>
        <v>91666.666666666701</v>
      </c>
      <c r="AU23" s="8">
        <f>IF($O23="Aktif",MAX(0,MIN($AE23,$AD23-SUM($AG23:AT23))),0)</f>
        <v>91666.666666666701</v>
      </c>
      <c r="AV23" s="8">
        <f>IF($O23="Aktif",MAX(0,MIN($AE23,$AD23-SUM($AG23:AU23))),0)</f>
        <v>91666.666666666701</v>
      </c>
      <c r="AW23" s="8">
        <f t="shared" si="5"/>
        <v>1466666.6666666677</v>
      </c>
      <c r="AX23" s="8">
        <f t="shared" si="6"/>
        <v>11824999.999999998</v>
      </c>
    </row>
    <row r="24" spans="1:50" ht="15" customHeight="1" x14ac:dyDescent="0.35">
      <c r="A24" s="102">
        <v>18</v>
      </c>
      <c r="B24" s="102" t="s">
        <v>374</v>
      </c>
      <c r="C24" s="103">
        <v>25</v>
      </c>
      <c r="D24" s="102" t="s">
        <v>182</v>
      </c>
      <c r="E24" s="102" t="s">
        <v>375</v>
      </c>
      <c r="F24" s="102" t="s">
        <v>376</v>
      </c>
      <c r="G24" s="102" t="s">
        <v>377</v>
      </c>
      <c r="H24" s="102" t="s">
        <v>378</v>
      </c>
      <c r="I24" s="102" t="s">
        <v>90</v>
      </c>
      <c r="J24" s="102" t="s">
        <v>447</v>
      </c>
      <c r="K24" s="102" t="s">
        <v>448</v>
      </c>
      <c r="L24" s="104">
        <v>43465</v>
      </c>
      <c r="M24" s="102" t="s">
        <v>442</v>
      </c>
      <c r="N24" s="102" t="s">
        <v>449</v>
      </c>
      <c r="O24" s="102" t="s">
        <v>383</v>
      </c>
      <c r="P24" s="103">
        <v>1</v>
      </c>
      <c r="Q24" s="105">
        <v>24000000</v>
      </c>
      <c r="R24" s="103">
        <v>240</v>
      </c>
      <c r="S24" s="105">
        <v>100000</v>
      </c>
      <c r="T24" s="105">
        <v>8500000</v>
      </c>
      <c r="U24" s="105">
        <v>100000</v>
      </c>
      <c r="V24" s="105">
        <v>100000</v>
      </c>
      <c r="W24" s="105">
        <v>100000</v>
      </c>
      <c r="X24" s="105">
        <v>100000</v>
      </c>
      <c r="Y24" s="105">
        <v>100000</v>
      </c>
      <c r="Z24" s="105">
        <v>100000</v>
      </c>
      <c r="AA24" s="105">
        <v>100000</v>
      </c>
      <c r="AB24" s="105">
        <v>100000</v>
      </c>
      <c r="AC24" s="8">
        <f t="shared" si="0"/>
        <v>9300000</v>
      </c>
      <c r="AD24" s="8">
        <f t="shared" si="1"/>
        <v>14700000</v>
      </c>
      <c r="AE24" s="8">
        <f t="shared" si="2"/>
        <v>100000</v>
      </c>
      <c r="AF24" s="106">
        <f t="shared" si="3"/>
        <v>147</v>
      </c>
      <c r="AG24" s="8">
        <f t="shared" si="4"/>
        <v>100000</v>
      </c>
      <c r="AH24" s="8">
        <f>IF($O24="Aktif",MAX(0,MIN($AE24,$AD24-SUM($AG24:AG24))),0)</f>
        <v>100000</v>
      </c>
      <c r="AI24" s="8">
        <f>IF($O24="Aktif",MAX(0,MIN($AE24,$AD24-SUM($AG24:AH24))),0)</f>
        <v>100000</v>
      </c>
      <c r="AJ24" s="8">
        <f>IF($O24="Aktif",MAX(0,MIN($AE24,$AD24-SUM($AG24:AI24))),0)</f>
        <v>100000</v>
      </c>
      <c r="AK24" s="8">
        <f>IF($O24="Aktif",MAX(0,MIN($AE24,$AD24-SUM($AG24:AJ24))),0)</f>
        <v>100000</v>
      </c>
      <c r="AL24" s="8">
        <f>IF($O24="Aktif",MAX(0,MIN($AE24,$AD24-SUM($AG24:AK24))),0)</f>
        <v>100000</v>
      </c>
      <c r="AM24" s="8">
        <f>IF($O24="Aktif",MAX(0,MIN($AE24,$AD24-SUM($AG24:AL24))),0)</f>
        <v>100000</v>
      </c>
      <c r="AN24" s="8">
        <f>IF($O24="Aktif",MAX(0,MIN($AE24,$AD24-SUM($AG24:AM24))),0)</f>
        <v>100000</v>
      </c>
      <c r="AO24" s="8">
        <f>IF($O24="Aktif",MAX(0,MIN($AE24,$AD24-SUM($AG24:AN24))),0)</f>
        <v>100000</v>
      </c>
      <c r="AP24" s="8">
        <f>IF($O24="Aktif",MAX(0,MIN($AE24,$AD24-SUM($AG24:AO24))),0)</f>
        <v>100000</v>
      </c>
      <c r="AQ24" s="8">
        <f>IF($O24="Aktif",MAX(0,MIN($AE24,$AD24-SUM($AG24:AP24))),0)</f>
        <v>100000</v>
      </c>
      <c r="AR24" s="8">
        <f>IF($O24="Aktif",MAX(0,MIN($AE24,$AD24-SUM($AG24:AQ24))),0)</f>
        <v>100000</v>
      </c>
      <c r="AS24" s="8">
        <f>IF($O24="Aktif",MAX(0,MIN($AE24,$AD24-SUM($AG24:AR24))),0)</f>
        <v>100000</v>
      </c>
      <c r="AT24" s="8">
        <f>IF($O24="Aktif",MAX(0,MIN($AE24,$AD24-SUM($AG24:AS24))),0)</f>
        <v>100000</v>
      </c>
      <c r="AU24" s="8">
        <f>IF($O24="Aktif",MAX(0,MIN($AE24,$AD24-SUM($AG24:AT24))),0)</f>
        <v>100000</v>
      </c>
      <c r="AV24" s="8">
        <f>IF($O24="Aktif",MAX(0,MIN($AE24,$AD24-SUM($AG24:AU24))),0)</f>
        <v>100000</v>
      </c>
      <c r="AW24" s="8">
        <f t="shared" si="5"/>
        <v>1600000</v>
      </c>
      <c r="AX24" s="8">
        <f t="shared" si="6"/>
        <v>13100000</v>
      </c>
    </row>
    <row r="25" spans="1:50" ht="15" customHeight="1" x14ac:dyDescent="0.35">
      <c r="A25" s="102">
        <v>19</v>
      </c>
      <c r="B25" s="102" t="s">
        <v>374</v>
      </c>
      <c r="C25" s="103">
        <v>26</v>
      </c>
      <c r="D25" s="102" t="s">
        <v>182</v>
      </c>
      <c r="E25" s="102" t="s">
        <v>375</v>
      </c>
      <c r="F25" s="102" t="s">
        <v>376</v>
      </c>
      <c r="G25" s="102" t="s">
        <v>377</v>
      </c>
      <c r="H25" s="102" t="s">
        <v>378</v>
      </c>
      <c r="I25" s="102" t="s">
        <v>90</v>
      </c>
      <c r="J25" s="102"/>
      <c r="K25" s="102" t="s">
        <v>450</v>
      </c>
      <c r="L25" s="104">
        <v>44114</v>
      </c>
      <c r="M25" s="102" t="s">
        <v>451</v>
      </c>
      <c r="N25" s="102" t="s">
        <v>452</v>
      </c>
      <c r="O25" s="102" t="s">
        <v>383</v>
      </c>
      <c r="P25" s="103">
        <v>1</v>
      </c>
      <c r="Q25" s="105">
        <v>11913500</v>
      </c>
      <c r="R25" s="103">
        <v>240</v>
      </c>
      <c r="S25" s="105">
        <v>49639.583333333299</v>
      </c>
      <c r="T25" s="105">
        <v>3127293.75</v>
      </c>
      <c r="U25" s="105">
        <v>49639.583333333299</v>
      </c>
      <c r="V25" s="105">
        <v>49639.583333333299</v>
      </c>
      <c r="W25" s="105">
        <v>49639.583333333299</v>
      </c>
      <c r="X25" s="105">
        <v>49639.583333333299</v>
      </c>
      <c r="Y25" s="105">
        <v>49639.583333333299</v>
      </c>
      <c r="Z25" s="105">
        <v>49639.583333333299</v>
      </c>
      <c r="AA25" s="105">
        <v>49639.583333333299</v>
      </c>
      <c r="AB25" s="105">
        <v>49639.583333333299</v>
      </c>
      <c r="AC25" s="8">
        <f t="shared" si="0"/>
        <v>3524410.4166666665</v>
      </c>
      <c r="AD25" s="8">
        <f t="shared" si="1"/>
        <v>8389089.583333334</v>
      </c>
      <c r="AE25" s="8">
        <f t="shared" si="2"/>
        <v>49639.583333333299</v>
      </c>
      <c r="AF25" s="106">
        <f t="shared" si="3"/>
        <v>169.00000000000014</v>
      </c>
      <c r="AG25" s="8">
        <f t="shared" si="4"/>
        <v>49639.583333333299</v>
      </c>
      <c r="AH25" s="8">
        <f>IF($O25="Aktif",MAX(0,MIN($AE25,$AD25-SUM($AG25:AG25))),0)</f>
        <v>49639.583333333299</v>
      </c>
      <c r="AI25" s="8">
        <f>IF($O25="Aktif",MAX(0,MIN($AE25,$AD25-SUM($AG25:AH25))),0)</f>
        <v>49639.583333333299</v>
      </c>
      <c r="AJ25" s="8">
        <f>IF($O25="Aktif",MAX(0,MIN($AE25,$AD25-SUM($AG25:AI25))),0)</f>
        <v>49639.583333333299</v>
      </c>
      <c r="AK25" s="8">
        <f>IF($O25="Aktif",MAX(0,MIN($AE25,$AD25-SUM($AG25:AJ25))),0)</f>
        <v>49639.583333333299</v>
      </c>
      <c r="AL25" s="8">
        <f>IF($O25="Aktif",MAX(0,MIN($AE25,$AD25-SUM($AG25:AK25))),0)</f>
        <v>49639.583333333299</v>
      </c>
      <c r="AM25" s="8">
        <f>IF($O25="Aktif",MAX(0,MIN($AE25,$AD25-SUM($AG25:AL25))),0)</f>
        <v>49639.583333333299</v>
      </c>
      <c r="AN25" s="8">
        <f>IF($O25="Aktif",MAX(0,MIN($AE25,$AD25-SUM($AG25:AM25))),0)</f>
        <v>49639.583333333299</v>
      </c>
      <c r="AO25" s="8">
        <f>IF($O25="Aktif",MAX(0,MIN($AE25,$AD25-SUM($AG25:AN25))),0)</f>
        <v>49639.583333333299</v>
      </c>
      <c r="AP25" s="8">
        <f>IF($O25="Aktif",MAX(0,MIN($AE25,$AD25-SUM($AG25:AO25))),0)</f>
        <v>49639.583333333299</v>
      </c>
      <c r="AQ25" s="8">
        <f>IF($O25="Aktif",MAX(0,MIN($AE25,$AD25-SUM($AG25:AP25))),0)</f>
        <v>49639.583333333299</v>
      </c>
      <c r="AR25" s="8">
        <f>IF($O25="Aktif",MAX(0,MIN($AE25,$AD25-SUM($AG25:AQ25))),0)</f>
        <v>49639.583333333299</v>
      </c>
      <c r="AS25" s="8">
        <f>IF($O25="Aktif",MAX(0,MIN($AE25,$AD25-SUM($AG25:AR25))),0)</f>
        <v>49639.583333333299</v>
      </c>
      <c r="AT25" s="8">
        <f>IF($O25="Aktif",MAX(0,MIN($AE25,$AD25-SUM($AG25:AS25))),0)</f>
        <v>49639.583333333299</v>
      </c>
      <c r="AU25" s="8">
        <f>IF($O25="Aktif",MAX(0,MIN($AE25,$AD25-SUM($AG25:AT25))),0)</f>
        <v>49639.583333333299</v>
      </c>
      <c r="AV25" s="8">
        <f>IF($O25="Aktif",MAX(0,MIN($AE25,$AD25-SUM($AG25:AU25))),0)</f>
        <v>49639.583333333299</v>
      </c>
      <c r="AW25" s="8">
        <f t="shared" si="5"/>
        <v>794233.33333333267</v>
      </c>
      <c r="AX25" s="8">
        <f t="shared" si="6"/>
        <v>7594856.2500000009</v>
      </c>
    </row>
    <row r="26" spans="1:50" ht="15" customHeight="1" x14ac:dyDescent="0.35">
      <c r="A26" s="102">
        <v>20</v>
      </c>
      <c r="B26" s="102" t="s">
        <v>374</v>
      </c>
      <c r="C26" s="103">
        <v>27</v>
      </c>
      <c r="D26" s="102" t="s">
        <v>182</v>
      </c>
      <c r="E26" s="102" t="s">
        <v>375</v>
      </c>
      <c r="F26" s="102" t="s">
        <v>376</v>
      </c>
      <c r="G26" s="102" t="s">
        <v>377</v>
      </c>
      <c r="H26" s="102" t="s">
        <v>378</v>
      </c>
      <c r="I26" s="102" t="s">
        <v>90</v>
      </c>
      <c r="J26" s="102"/>
      <c r="K26" s="102" t="s">
        <v>453</v>
      </c>
      <c r="L26" s="104">
        <v>44165</v>
      </c>
      <c r="M26" s="102" t="s">
        <v>454</v>
      </c>
      <c r="N26" s="102" t="s">
        <v>455</v>
      </c>
      <c r="O26" s="102" t="s">
        <v>383</v>
      </c>
      <c r="P26" s="103">
        <v>1</v>
      </c>
      <c r="Q26" s="105">
        <v>99680000</v>
      </c>
      <c r="R26" s="103">
        <v>240</v>
      </c>
      <c r="S26" s="105">
        <v>415333.33333333302</v>
      </c>
      <c r="T26" s="105">
        <v>25750666.666666701</v>
      </c>
      <c r="U26" s="105">
        <v>415333.33333333302</v>
      </c>
      <c r="V26" s="105">
        <v>415333.33333333302</v>
      </c>
      <c r="W26" s="105">
        <v>415333.33333333302</v>
      </c>
      <c r="X26" s="105">
        <v>415333.33333333302</v>
      </c>
      <c r="Y26" s="105">
        <v>415333.33333333302</v>
      </c>
      <c r="Z26" s="105">
        <v>415333.33333333302</v>
      </c>
      <c r="AA26" s="105">
        <v>415333.33333333302</v>
      </c>
      <c r="AB26" s="105">
        <v>415333.33333333302</v>
      </c>
      <c r="AC26" s="8">
        <f t="shared" si="0"/>
        <v>29073333.333333366</v>
      </c>
      <c r="AD26" s="8">
        <f t="shared" si="1"/>
        <v>70606666.666666627</v>
      </c>
      <c r="AE26" s="8">
        <f t="shared" si="2"/>
        <v>415333.33333333302</v>
      </c>
      <c r="AF26" s="106">
        <f t="shared" si="3"/>
        <v>170.00000000000003</v>
      </c>
      <c r="AG26" s="8">
        <f t="shared" si="4"/>
        <v>415333.33333333302</v>
      </c>
      <c r="AH26" s="8">
        <f>IF($O26="Aktif",MAX(0,MIN($AE26,$AD26-SUM($AG26:AG26))),0)</f>
        <v>415333.33333333302</v>
      </c>
      <c r="AI26" s="8">
        <f>IF($O26="Aktif",MAX(0,MIN($AE26,$AD26-SUM($AG26:AH26))),0)</f>
        <v>415333.33333333302</v>
      </c>
      <c r="AJ26" s="8">
        <f>IF($O26="Aktif",MAX(0,MIN($AE26,$AD26-SUM($AG26:AI26))),0)</f>
        <v>415333.33333333302</v>
      </c>
      <c r="AK26" s="8">
        <f>IF($O26="Aktif",MAX(0,MIN($AE26,$AD26-SUM($AG26:AJ26))),0)</f>
        <v>415333.33333333302</v>
      </c>
      <c r="AL26" s="8">
        <f>IF($O26="Aktif",MAX(0,MIN($AE26,$AD26-SUM($AG26:AK26))),0)</f>
        <v>415333.33333333302</v>
      </c>
      <c r="AM26" s="8">
        <f>IF($O26="Aktif",MAX(0,MIN($AE26,$AD26-SUM($AG26:AL26))),0)</f>
        <v>415333.33333333302</v>
      </c>
      <c r="AN26" s="8">
        <f>IF($O26="Aktif",MAX(0,MIN($AE26,$AD26-SUM($AG26:AM26))),0)</f>
        <v>415333.33333333302</v>
      </c>
      <c r="AO26" s="8">
        <f>IF($O26="Aktif",MAX(0,MIN($AE26,$AD26-SUM($AG26:AN26))),0)</f>
        <v>415333.33333333302</v>
      </c>
      <c r="AP26" s="8">
        <f>IF($O26="Aktif",MAX(0,MIN($AE26,$AD26-SUM($AG26:AO26))),0)</f>
        <v>415333.33333333302</v>
      </c>
      <c r="AQ26" s="8">
        <f>IF($O26="Aktif",MAX(0,MIN($AE26,$AD26-SUM($AG26:AP26))),0)</f>
        <v>415333.33333333302</v>
      </c>
      <c r="AR26" s="8">
        <f>IF($O26="Aktif",MAX(0,MIN($AE26,$AD26-SUM($AG26:AQ26))),0)</f>
        <v>415333.33333333302</v>
      </c>
      <c r="AS26" s="8">
        <f>IF($O26="Aktif",MAX(0,MIN($AE26,$AD26-SUM($AG26:AR26))),0)</f>
        <v>415333.33333333302</v>
      </c>
      <c r="AT26" s="8">
        <f>IF($O26="Aktif",MAX(0,MIN($AE26,$AD26-SUM($AG26:AS26))),0)</f>
        <v>415333.33333333302</v>
      </c>
      <c r="AU26" s="8">
        <f>IF($O26="Aktif",MAX(0,MIN($AE26,$AD26-SUM($AG26:AT26))),0)</f>
        <v>415333.33333333302</v>
      </c>
      <c r="AV26" s="8">
        <f>IF($O26="Aktif",MAX(0,MIN($AE26,$AD26-SUM($AG26:AU26))),0)</f>
        <v>415333.33333333302</v>
      </c>
      <c r="AW26" s="8">
        <f t="shared" si="5"/>
        <v>6645333.3333333284</v>
      </c>
      <c r="AX26" s="8">
        <f t="shared" si="6"/>
        <v>63961333.333333299</v>
      </c>
    </row>
    <row r="27" spans="1:50" ht="15" customHeight="1" x14ac:dyDescent="0.35">
      <c r="A27" s="102">
        <v>21</v>
      </c>
      <c r="B27" s="102" t="s">
        <v>374</v>
      </c>
      <c r="C27" s="103">
        <v>28</v>
      </c>
      <c r="D27" s="102" t="s">
        <v>182</v>
      </c>
      <c r="E27" s="102" t="s">
        <v>375</v>
      </c>
      <c r="F27" s="102" t="s">
        <v>376</v>
      </c>
      <c r="G27" s="102" t="s">
        <v>377</v>
      </c>
      <c r="H27" s="102" t="s">
        <v>378</v>
      </c>
      <c r="I27" s="102" t="s">
        <v>90</v>
      </c>
      <c r="J27" s="102"/>
      <c r="K27" s="102" t="s">
        <v>456</v>
      </c>
      <c r="L27" s="104">
        <v>44613</v>
      </c>
      <c r="M27" s="102" t="s">
        <v>457</v>
      </c>
      <c r="N27" s="102" t="s">
        <v>458</v>
      </c>
      <c r="O27" s="102" t="s">
        <v>383</v>
      </c>
      <c r="P27" s="103">
        <v>1</v>
      </c>
      <c r="Q27" s="105">
        <v>12311500</v>
      </c>
      <c r="R27" s="103">
        <v>240</v>
      </c>
      <c r="S27" s="105">
        <v>51297.916666666701</v>
      </c>
      <c r="T27" s="105">
        <v>2411002.0833333302</v>
      </c>
      <c r="U27" s="105">
        <v>51297.916666666701</v>
      </c>
      <c r="V27" s="105">
        <v>51297.916666666701</v>
      </c>
      <c r="W27" s="105">
        <v>51297.916666666701</v>
      </c>
      <c r="X27" s="105">
        <v>51297.916666666701</v>
      </c>
      <c r="Y27" s="105">
        <v>51297.916666666701</v>
      </c>
      <c r="Z27" s="105">
        <v>51297.916666666701</v>
      </c>
      <c r="AA27" s="105">
        <v>51297.916666666701</v>
      </c>
      <c r="AB27" s="105">
        <v>51297.916666666701</v>
      </c>
      <c r="AC27" s="8">
        <f t="shared" si="0"/>
        <v>2821385.4166666637</v>
      </c>
      <c r="AD27" s="8">
        <f t="shared" si="1"/>
        <v>9490114.5833333358</v>
      </c>
      <c r="AE27" s="8">
        <f t="shared" si="2"/>
        <v>51297.916666666701</v>
      </c>
      <c r="AF27" s="106">
        <f t="shared" si="3"/>
        <v>184.99999999999991</v>
      </c>
      <c r="AG27" s="8">
        <f t="shared" si="4"/>
        <v>51297.916666666701</v>
      </c>
      <c r="AH27" s="8">
        <f>IF($O27="Aktif",MAX(0,MIN($AE27,$AD27-SUM($AG27:AG27))),0)</f>
        <v>51297.916666666701</v>
      </c>
      <c r="AI27" s="8">
        <f>IF($O27="Aktif",MAX(0,MIN($AE27,$AD27-SUM($AG27:AH27))),0)</f>
        <v>51297.916666666701</v>
      </c>
      <c r="AJ27" s="8">
        <f>IF($O27="Aktif",MAX(0,MIN($AE27,$AD27-SUM($AG27:AI27))),0)</f>
        <v>51297.916666666701</v>
      </c>
      <c r="AK27" s="8">
        <f>IF($O27="Aktif",MAX(0,MIN($AE27,$AD27-SUM($AG27:AJ27))),0)</f>
        <v>51297.916666666701</v>
      </c>
      <c r="AL27" s="8">
        <f>IF($O27="Aktif",MAX(0,MIN($AE27,$AD27-SUM($AG27:AK27))),0)</f>
        <v>51297.916666666701</v>
      </c>
      <c r="AM27" s="8">
        <f>IF($O27="Aktif",MAX(0,MIN($AE27,$AD27-SUM($AG27:AL27))),0)</f>
        <v>51297.916666666701</v>
      </c>
      <c r="AN27" s="8">
        <f>IF($O27="Aktif",MAX(0,MIN($AE27,$AD27-SUM($AG27:AM27))),0)</f>
        <v>51297.916666666701</v>
      </c>
      <c r="AO27" s="8">
        <f>IF($O27="Aktif",MAX(0,MIN($AE27,$AD27-SUM($AG27:AN27))),0)</f>
        <v>51297.916666666701</v>
      </c>
      <c r="AP27" s="8">
        <f>IF($O27="Aktif",MAX(0,MIN($AE27,$AD27-SUM($AG27:AO27))),0)</f>
        <v>51297.916666666701</v>
      </c>
      <c r="AQ27" s="8">
        <f>IF($O27="Aktif",MAX(0,MIN($AE27,$AD27-SUM($AG27:AP27))),0)</f>
        <v>51297.916666666701</v>
      </c>
      <c r="AR27" s="8">
        <f>IF($O27="Aktif",MAX(0,MIN($AE27,$AD27-SUM($AG27:AQ27))),0)</f>
        <v>51297.916666666701</v>
      </c>
      <c r="AS27" s="8">
        <f>IF($O27="Aktif",MAX(0,MIN($AE27,$AD27-SUM($AG27:AR27))),0)</f>
        <v>51297.916666666701</v>
      </c>
      <c r="AT27" s="8">
        <f>IF($O27="Aktif",MAX(0,MIN($AE27,$AD27-SUM($AG27:AS27))),0)</f>
        <v>51297.916666666701</v>
      </c>
      <c r="AU27" s="8">
        <f>IF($O27="Aktif",MAX(0,MIN($AE27,$AD27-SUM($AG27:AT27))),0)</f>
        <v>51297.916666666701</v>
      </c>
      <c r="AV27" s="8">
        <f>IF($O27="Aktif",MAX(0,MIN($AE27,$AD27-SUM($AG27:AU27))),0)</f>
        <v>51297.916666666701</v>
      </c>
      <c r="AW27" s="8">
        <f t="shared" si="5"/>
        <v>820766.66666666733</v>
      </c>
      <c r="AX27" s="8">
        <f t="shared" si="6"/>
        <v>8669347.9166666679</v>
      </c>
    </row>
    <row r="28" spans="1:50" ht="15" customHeight="1" x14ac:dyDescent="0.35">
      <c r="A28" s="102">
        <v>22</v>
      </c>
      <c r="B28" s="102" t="s">
        <v>374</v>
      </c>
      <c r="C28" s="103">
        <v>29</v>
      </c>
      <c r="D28" s="102" t="s">
        <v>182</v>
      </c>
      <c r="E28" s="102" t="s">
        <v>375</v>
      </c>
      <c r="F28" s="102" t="s">
        <v>376</v>
      </c>
      <c r="G28" s="102" t="s">
        <v>377</v>
      </c>
      <c r="H28" s="102" t="s">
        <v>378</v>
      </c>
      <c r="I28" s="102" t="s">
        <v>90</v>
      </c>
      <c r="J28" s="102"/>
      <c r="K28" s="102" t="s">
        <v>459</v>
      </c>
      <c r="L28" s="104">
        <v>44623</v>
      </c>
      <c r="M28" s="102" t="s">
        <v>460</v>
      </c>
      <c r="N28" s="102" t="s">
        <v>461</v>
      </c>
      <c r="O28" s="102" t="s">
        <v>383</v>
      </c>
      <c r="P28" s="103">
        <v>1</v>
      </c>
      <c r="Q28" s="105">
        <v>28200000</v>
      </c>
      <c r="R28" s="103">
        <v>240</v>
      </c>
      <c r="S28" s="105">
        <v>117500</v>
      </c>
      <c r="T28" s="105">
        <v>5405000</v>
      </c>
      <c r="U28" s="105">
        <v>117500</v>
      </c>
      <c r="V28" s="105">
        <v>117500</v>
      </c>
      <c r="W28" s="105">
        <v>117500</v>
      </c>
      <c r="X28" s="105">
        <v>117500</v>
      </c>
      <c r="Y28" s="105">
        <v>117500</v>
      </c>
      <c r="Z28" s="105">
        <v>117500</v>
      </c>
      <c r="AA28" s="105">
        <v>117500</v>
      </c>
      <c r="AB28" s="105">
        <v>117500</v>
      </c>
      <c r="AC28" s="8">
        <f t="shared" si="0"/>
        <v>6345000</v>
      </c>
      <c r="AD28" s="8">
        <f t="shared" si="1"/>
        <v>21855000</v>
      </c>
      <c r="AE28" s="8">
        <f t="shared" si="2"/>
        <v>117500</v>
      </c>
      <c r="AF28" s="106">
        <f t="shared" si="3"/>
        <v>186</v>
      </c>
      <c r="AG28" s="8">
        <f t="shared" si="4"/>
        <v>117500</v>
      </c>
      <c r="AH28" s="8">
        <f>IF($O28="Aktif",MAX(0,MIN($AE28,$AD28-SUM($AG28:AG28))),0)</f>
        <v>117500</v>
      </c>
      <c r="AI28" s="8">
        <f>IF($O28="Aktif",MAX(0,MIN($AE28,$AD28-SUM($AG28:AH28))),0)</f>
        <v>117500</v>
      </c>
      <c r="AJ28" s="8">
        <f>IF($O28="Aktif",MAX(0,MIN($AE28,$AD28-SUM($AG28:AI28))),0)</f>
        <v>117500</v>
      </c>
      <c r="AK28" s="8">
        <f>IF($O28="Aktif",MAX(0,MIN($AE28,$AD28-SUM($AG28:AJ28))),0)</f>
        <v>117500</v>
      </c>
      <c r="AL28" s="8">
        <f>IF($O28="Aktif",MAX(0,MIN($AE28,$AD28-SUM($AG28:AK28))),0)</f>
        <v>117500</v>
      </c>
      <c r="AM28" s="8">
        <f>IF($O28="Aktif",MAX(0,MIN($AE28,$AD28-SUM($AG28:AL28))),0)</f>
        <v>117500</v>
      </c>
      <c r="AN28" s="8">
        <f>IF($O28="Aktif",MAX(0,MIN($AE28,$AD28-SUM($AG28:AM28))),0)</f>
        <v>117500</v>
      </c>
      <c r="AO28" s="8">
        <f>IF($O28="Aktif",MAX(0,MIN($AE28,$AD28-SUM($AG28:AN28))),0)</f>
        <v>117500</v>
      </c>
      <c r="AP28" s="8">
        <f>IF($O28="Aktif",MAX(0,MIN($AE28,$AD28-SUM($AG28:AO28))),0)</f>
        <v>117500</v>
      </c>
      <c r="AQ28" s="8">
        <f>IF($O28="Aktif",MAX(0,MIN($AE28,$AD28-SUM($AG28:AP28))),0)</f>
        <v>117500</v>
      </c>
      <c r="AR28" s="8">
        <f>IF($O28="Aktif",MAX(0,MIN($AE28,$AD28-SUM($AG28:AQ28))),0)</f>
        <v>117500</v>
      </c>
      <c r="AS28" s="8">
        <f>IF($O28="Aktif",MAX(0,MIN($AE28,$AD28-SUM($AG28:AR28))),0)</f>
        <v>117500</v>
      </c>
      <c r="AT28" s="8">
        <f>IF($O28="Aktif",MAX(0,MIN($AE28,$AD28-SUM($AG28:AS28))),0)</f>
        <v>117500</v>
      </c>
      <c r="AU28" s="8">
        <f>IF($O28="Aktif",MAX(0,MIN($AE28,$AD28-SUM($AG28:AT28))),0)</f>
        <v>117500</v>
      </c>
      <c r="AV28" s="8">
        <f>IF($O28="Aktif",MAX(0,MIN($AE28,$AD28-SUM($AG28:AU28))),0)</f>
        <v>117500</v>
      </c>
      <c r="AW28" s="8">
        <f t="shared" si="5"/>
        <v>1880000</v>
      </c>
      <c r="AX28" s="8">
        <f t="shared" si="6"/>
        <v>19975000</v>
      </c>
    </row>
    <row r="29" spans="1:50" ht="15" customHeight="1" x14ac:dyDescent="0.35">
      <c r="A29" s="102">
        <v>23</v>
      </c>
      <c r="B29" s="102" t="s">
        <v>374</v>
      </c>
      <c r="C29" s="103">
        <v>30</v>
      </c>
      <c r="D29" s="102" t="s">
        <v>182</v>
      </c>
      <c r="E29" s="102" t="s">
        <v>375</v>
      </c>
      <c r="F29" s="102" t="s">
        <v>376</v>
      </c>
      <c r="G29" s="102" t="s">
        <v>377</v>
      </c>
      <c r="H29" s="102" t="s">
        <v>378</v>
      </c>
      <c r="I29" s="102" t="s">
        <v>90</v>
      </c>
      <c r="J29" s="102"/>
      <c r="K29" s="102" t="s">
        <v>462</v>
      </c>
      <c r="L29" s="104">
        <v>44671</v>
      </c>
      <c r="M29" s="102" t="s">
        <v>463</v>
      </c>
      <c r="N29" s="102" t="s">
        <v>464</v>
      </c>
      <c r="O29" s="102" t="s">
        <v>383</v>
      </c>
      <c r="P29" s="103">
        <v>1</v>
      </c>
      <c r="Q29" s="105">
        <v>30441800</v>
      </c>
      <c r="R29" s="103">
        <v>240</v>
      </c>
      <c r="S29" s="105">
        <v>126840.83333333299</v>
      </c>
      <c r="T29" s="105">
        <v>5707837.5</v>
      </c>
      <c r="U29" s="105">
        <v>126840.83333333299</v>
      </c>
      <c r="V29" s="105">
        <v>126840.83333333299</v>
      </c>
      <c r="W29" s="105">
        <v>126840.83333333299</v>
      </c>
      <c r="X29" s="105">
        <v>126840.83333333299</v>
      </c>
      <c r="Y29" s="105">
        <v>126840.83333333299</v>
      </c>
      <c r="Z29" s="105">
        <v>126840.83333333299</v>
      </c>
      <c r="AA29" s="105">
        <v>126840.83333333299</v>
      </c>
      <c r="AB29" s="105">
        <v>126840.83333333299</v>
      </c>
      <c r="AC29" s="8">
        <f t="shared" si="0"/>
        <v>6722564.1666666642</v>
      </c>
      <c r="AD29" s="8">
        <f t="shared" si="1"/>
        <v>23719235.833333336</v>
      </c>
      <c r="AE29" s="8">
        <f t="shared" si="2"/>
        <v>126840.83333333299</v>
      </c>
      <c r="AF29" s="106">
        <f t="shared" si="3"/>
        <v>187.00000000000051</v>
      </c>
      <c r="AG29" s="8">
        <f t="shared" si="4"/>
        <v>126840.83333333299</v>
      </c>
      <c r="AH29" s="8">
        <f>IF($O29="Aktif",MAX(0,MIN($AE29,$AD29-SUM($AG29:AG29))),0)</f>
        <v>126840.83333333299</v>
      </c>
      <c r="AI29" s="8">
        <f>IF($O29="Aktif",MAX(0,MIN($AE29,$AD29-SUM($AG29:AH29))),0)</f>
        <v>126840.83333333299</v>
      </c>
      <c r="AJ29" s="8">
        <f>IF($O29="Aktif",MAX(0,MIN($AE29,$AD29-SUM($AG29:AI29))),0)</f>
        <v>126840.83333333299</v>
      </c>
      <c r="AK29" s="8">
        <f>IF($O29="Aktif",MAX(0,MIN($AE29,$AD29-SUM($AG29:AJ29))),0)</f>
        <v>126840.83333333299</v>
      </c>
      <c r="AL29" s="8">
        <f>IF($O29="Aktif",MAX(0,MIN($AE29,$AD29-SUM($AG29:AK29))),0)</f>
        <v>126840.83333333299</v>
      </c>
      <c r="AM29" s="8">
        <f>IF($O29="Aktif",MAX(0,MIN($AE29,$AD29-SUM($AG29:AL29))),0)</f>
        <v>126840.83333333299</v>
      </c>
      <c r="AN29" s="8">
        <f>IF($O29="Aktif",MAX(0,MIN($AE29,$AD29-SUM($AG29:AM29))),0)</f>
        <v>126840.83333333299</v>
      </c>
      <c r="AO29" s="8">
        <f>IF($O29="Aktif",MAX(0,MIN($AE29,$AD29-SUM($AG29:AN29))),0)</f>
        <v>126840.83333333299</v>
      </c>
      <c r="AP29" s="8">
        <f>IF($O29="Aktif",MAX(0,MIN($AE29,$AD29-SUM($AG29:AO29))),0)</f>
        <v>126840.83333333299</v>
      </c>
      <c r="AQ29" s="8">
        <f>IF($O29="Aktif",MAX(0,MIN($AE29,$AD29-SUM($AG29:AP29))),0)</f>
        <v>126840.83333333299</v>
      </c>
      <c r="AR29" s="8">
        <f>IF($O29="Aktif",MAX(0,MIN($AE29,$AD29-SUM($AG29:AQ29))),0)</f>
        <v>126840.83333333299</v>
      </c>
      <c r="AS29" s="8">
        <f>IF($O29="Aktif",MAX(0,MIN($AE29,$AD29-SUM($AG29:AR29))),0)</f>
        <v>126840.83333333299</v>
      </c>
      <c r="AT29" s="8">
        <f>IF($O29="Aktif",MAX(0,MIN($AE29,$AD29-SUM($AG29:AS29))),0)</f>
        <v>126840.83333333299</v>
      </c>
      <c r="AU29" s="8">
        <f>IF($O29="Aktif",MAX(0,MIN($AE29,$AD29-SUM($AG29:AT29))),0)</f>
        <v>126840.83333333299</v>
      </c>
      <c r="AV29" s="8">
        <f>IF($O29="Aktif",MAX(0,MIN($AE29,$AD29-SUM($AG29:AU29))),0)</f>
        <v>126840.83333333299</v>
      </c>
      <c r="AW29" s="8">
        <f t="shared" si="5"/>
        <v>2029453.3333333281</v>
      </c>
      <c r="AX29" s="8">
        <f t="shared" si="6"/>
        <v>21689782.500000007</v>
      </c>
    </row>
    <row r="30" spans="1:50" ht="15" customHeight="1" x14ac:dyDescent="0.35">
      <c r="A30" s="102">
        <v>24</v>
      </c>
      <c r="B30" s="102" t="s">
        <v>374</v>
      </c>
      <c r="C30" s="103">
        <v>31</v>
      </c>
      <c r="D30" s="102" t="s">
        <v>182</v>
      </c>
      <c r="E30" s="102" t="s">
        <v>375</v>
      </c>
      <c r="F30" s="102" t="s">
        <v>376</v>
      </c>
      <c r="G30" s="102" t="s">
        <v>377</v>
      </c>
      <c r="H30" s="102" t="s">
        <v>378</v>
      </c>
      <c r="I30" s="102" t="s">
        <v>90</v>
      </c>
      <c r="J30" s="102"/>
      <c r="K30" s="102" t="s">
        <v>465</v>
      </c>
      <c r="L30" s="104">
        <v>44994</v>
      </c>
      <c r="M30" s="102" t="s">
        <v>466</v>
      </c>
      <c r="N30" s="102" t="s">
        <v>467</v>
      </c>
      <c r="O30" s="102" t="s">
        <v>383</v>
      </c>
      <c r="P30" s="103">
        <v>1</v>
      </c>
      <c r="Q30" s="105">
        <v>2018391185</v>
      </c>
      <c r="R30" s="103">
        <v>240</v>
      </c>
      <c r="S30" s="105">
        <v>8409963.2708333302</v>
      </c>
      <c r="T30" s="105">
        <v>285938751.20833302</v>
      </c>
      <c r="U30" s="105">
        <v>8409963.2708333302</v>
      </c>
      <c r="V30" s="105">
        <v>8409963.2708333302</v>
      </c>
      <c r="W30" s="105">
        <v>8409963.2708333302</v>
      </c>
      <c r="X30" s="105">
        <v>8409963.2708333302</v>
      </c>
      <c r="Y30" s="105">
        <v>8409963.2708333302</v>
      </c>
      <c r="Z30" s="105">
        <v>8409963.2708333302</v>
      </c>
      <c r="AA30" s="105">
        <v>8409963.2708333302</v>
      </c>
      <c r="AB30" s="105">
        <v>8409963.2708333302</v>
      </c>
      <c r="AC30" s="8">
        <f t="shared" si="0"/>
        <v>353218457.37499964</v>
      </c>
      <c r="AD30" s="8">
        <f t="shared" si="1"/>
        <v>1665172727.6250005</v>
      </c>
      <c r="AE30" s="8">
        <f t="shared" si="2"/>
        <v>8409963.2708333302</v>
      </c>
      <c r="AF30" s="106">
        <f t="shared" si="3"/>
        <v>198.00000000000014</v>
      </c>
      <c r="AG30" s="8">
        <f t="shared" si="4"/>
        <v>8409963.2708333302</v>
      </c>
      <c r="AH30" s="8">
        <f>IF($O30="Aktif",MAX(0,MIN($AE30,$AD30-SUM($AG30:AG30))),0)</f>
        <v>8409963.2708333302</v>
      </c>
      <c r="AI30" s="8">
        <f>IF($O30="Aktif",MAX(0,MIN($AE30,$AD30-SUM($AG30:AH30))),0)</f>
        <v>8409963.2708333302</v>
      </c>
      <c r="AJ30" s="8">
        <f>IF($O30="Aktif",MAX(0,MIN($AE30,$AD30-SUM($AG30:AI30))),0)</f>
        <v>8409963.2708333302</v>
      </c>
      <c r="AK30" s="8">
        <f>IF($O30="Aktif",MAX(0,MIN($AE30,$AD30-SUM($AG30:AJ30))),0)</f>
        <v>8409963.2708333302</v>
      </c>
      <c r="AL30" s="8">
        <f>IF($O30="Aktif",MAX(0,MIN($AE30,$AD30-SUM($AG30:AK30))),0)</f>
        <v>8409963.2708333302</v>
      </c>
      <c r="AM30" s="8">
        <f>IF($O30="Aktif",MAX(0,MIN($AE30,$AD30-SUM($AG30:AL30))),0)</f>
        <v>8409963.2708333302</v>
      </c>
      <c r="AN30" s="8">
        <f>IF($O30="Aktif",MAX(0,MIN($AE30,$AD30-SUM($AG30:AM30))),0)</f>
        <v>8409963.2708333302</v>
      </c>
      <c r="AO30" s="8">
        <f>IF($O30="Aktif",MAX(0,MIN($AE30,$AD30-SUM($AG30:AN30))),0)</f>
        <v>8409963.2708333302</v>
      </c>
      <c r="AP30" s="8">
        <f>IF($O30="Aktif",MAX(0,MIN($AE30,$AD30-SUM($AG30:AO30))),0)</f>
        <v>8409963.2708333302</v>
      </c>
      <c r="AQ30" s="8">
        <f>IF($O30="Aktif",MAX(0,MIN($AE30,$AD30-SUM($AG30:AP30))),0)</f>
        <v>8409963.2708333302</v>
      </c>
      <c r="AR30" s="8">
        <f>IF($O30="Aktif",MAX(0,MIN($AE30,$AD30-SUM($AG30:AQ30))),0)</f>
        <v>8409963.2708333302</v>
      </c>
      <c r="AS30" s="8">
        <f>IF($O30="Aktif",MAX(0,MIN($AE30,$AD30-SUM($AG30:AR30))),0)</f>
        <v>8409963.2708333302</v>
      </c>
      <c r="AT30" s="8">
        <f>IF($O30="Aktif",MAX(0,MIN($AE30,$AD30-SUM($AG30:AS30))),0)</f>
        <v>8409963.2708333302</v>
      </c>
      <c r="AU30" s="8">
        <f>IF($O30="Aktif",MAX(0,MIN($AE30,$AD30-SUM($AG30:AT30))),0)</f>
        <v>8409963.2708333302</v>
      </c>
      <c r="AV30" s="8">
        <f>IF($O30="Aktif",MAX(0,MIN($AE30,$AD30-SUM($AG30:AU30))),0)</f>
        <v>8409963.2708333302</v>
      </c>
      <c r="AW30" s="8">
        <f t="shared" si="5"/>
        <v>134559412.33333328</v>
      </c>
      <c r="AX30" s="8">
        <f t="shared" si="6"/>
        <v>1530613315.2916672</v>
      </c>
    </row>
    <row r="31" spans="1:50" ht="15" customHeight="1" x14ac:dyDescent="0.35">
      <c r="A31" s="102">
        <v>25</v>
      </c>
      <c r="B31" s="102" t="s">
        <v>374</v>
      </c>
      <c r="C31" s="103">
        <v>32</v>
      </c>
      <c r="D31" s="102" t="s">
        <v>182</v>
      </c>
      <c r="E31" s="102" t="s">
        <v>375</v>
      </c>
      <c r="F31" s="102" t="s">
        <v>376</v>
      </c>
      <c r="G31" s="102" t="s">
        <v>377</v>
      </c>
      <c r="H31" s="102" t="s">
        <v>378</v>
      </c>
      <c r="I31" s="102" t="s">
        <v>90</v>
      </c>
      <c r="J31" s="102"/>
      <c r="K31" s="102" t="s">
        <v>468</v>
      </c>
      <c r="L31" s="104">
        <v>45216</v>
      </c>
      <c r="M31" s="102" t="s">
        <v>469</v>
      </c>
      <c r="N31" s="102" t="s">
        <v>470</v>
      </c>
      <c r="O31" s="102" t="s">
        <v>383</v>
      </c>
      <c r="P31" s="103">
        <v>1</v>
      </c>
      <c r="Q31" s="105">
        <v>85000000</v>
      </c>
      <c r="R31" s="103">
        <v>240</v>
      </c>
      <c r="S31" s="105">
        <v>354166.66666666698</v>
      </c>
      <c r="T31" s="105">
        <v>9562500</v>
      </c>
      <c r="U31" s="105">
        <v>354166.66666666698</v>
      </c>
      <c r="V31" s="105">
        <v>354166.66666666698</v>
      </c>
      <c r="W31" s="105">
        <v>354166.66666666698</v>
      </c>
      <c r="X31" s="105">
        <v>354166.66666666698</v>
      </c>
      <c r="Y31" s="105">
        <v>354166.66666666698</v>
      </c>
      <c r="Z31" s="105">
        <v>354166.66666666698</v>
      </c>
      <c r="AA31" s="105">
        <v>354166.66666666698</v>
      </c>
      <c r="AB31" s="105">
        <v>354166.66666666698</v>
      </c>
      <c r="AC31" s="8">
        <f t="shared" si="0"/>
        <v>12395833.333333336</v>
      </c>
      <c r="AD31" s="8">
        <f t="shared" si="1"/>
        <v>72604166.666666657</v>
      </c>
      <c r="AE31" s="8">
        <f t="shared" si="2"/>
        <v>354166.66666666698</v>
      </c>
      <c r="AF31" s="106">
        <f t="shared" si="3"/>
        <v>204.9999999999998</v>
      </c>
      <c r="AG31" s="8">
        <f t="shared" si="4"/>
        <v>354166.66666666698</v>
      </c>
      <c r="AH31" s="8">
        <f>IF($O31="Aktif",MAX(0,MIN($AE31,$AD31-SUM($AG31:AG31))),0)</f>
        <v>354166.66666666698</v>
      </c>
      <c r="AI31" s="8">
        <f>IF($O31="Aktif",MAX(0,MIN($AE31,$AD31-SUM($AG31:AH31))),0)</f>
        <v>354166.66666666698</v>
      </c>
      <c r="AJ31" s="8">
        <f>IF($O31="Aktif",MAX(0,MIN($AE31,$AD31-SUM($AG31:AI31))),0)</f>
        <v>354166.66666666698</v>
      </c>
      <c r="AK31" s="8">
        <f>IF($O31="Aktif",MAX(0,MIN($AE31,$AD31-SUM($AG31:AJ31))),0)</f>
        <v>354166.66666666698</v>
      </c>
      <c r="AL31" s="8">
        <f>IF($O31="Aktif",MAX(0,MIN($AE31,$AD31-SUM($AG31:AK31))),0)</f>
        <v>354166.66666666698</v>
      </c>
      <c r="AM31" s="8">
        <f>IF($O31="Aktif",MAX(0,MIN($AE31,$AD31-SUM($AG31:AL31))),0)</f>
        <v>354166.66666666698</v>
      </c>
      <c r="AN31" s="8">
        <f>IF($O31="Aktif",MAX(0,MIN($AE31,$AD31-SUM($AG31:AM31))),0)</f>
        <v>354166.66666666698</v>
      </c>
      <c r="AO31" s="8">
        <f>IF($O31="Aktif",MAX(0,MIN($AE31,$AD31-SUM($AG31:AN31))),0)</f>
        <v>354166.66666666698</v>
      </c>
      <c r="AP31" s="8">
        <f>IF($O31="Aktif",MAX(0,MIN($AE31,$AD31-SUM($AG31:AO31))),0)</f>
        <v>354166.66666666698</v>
      </c>
      <c r="AQ31" s="8">
        <f>IF($O31="Aktif",MAX(0,MIN($AE31,$AD31-SUM($AG31:AP31))),0)</f>
        <v>354166.66666666698</v>
      </c>
      <c r="AR31" s="8">
        <f>IF($O31="Aktif",MAX(0,MIN($AE31,$AD31-SUM($AG31:AQ31))),0)</f>
        <v>354166.66666666698</v>
      </c>
      <c r="AS31" s="8">
        <f>IF($O31="Aktif",MAX(0,MIN($AE31,$AD31-SUM($AG31:AR31))),0)</f>
        <v>354166.66666666698</v>
      </c>
      <c r="AT31" s="8">
        <f>IF($O31="Aktif",MAX(0,MIN($AE31,$AD31-SUM($AG31:AS31))),0)</f>
        <v>354166.66666666698</v>
      </c>
      <c r="AU31" s="8">
        <f>IF($O31="Aktif",MAX(0,MIN($AE31,$AD31-SUM($AG31:AT31))),0)</f>
        <v>354166.66666666698</v>
      </c>
      <c r="AV31" s="8">
        <f>IF($O31="Aktif",MAX(0,MIN($AE31,$AD31-SUM($AG31:AU31))),0)</f>
        <v>354166.66666666698</v>
      </c>
      <c r="AW31" s="8">
        <f t="shared" si="5"/>
        <v>5666666.6666666716</v>
      </c>
      <c r="AX31" s="8">
        <f t="shared" si="6"/>
        <v>66937499.999999985</v>
      </c>
    </row>
    <row r="32" spans="1:50" ht="15" customHeight="1" x14ac:dyDescent="0.35">
      <c r="A32" s="102">
        <v>26</v>
      </c>
      <c r="B32" s="102" t="s">
        <v>374</v>
      </c>
      <c r="C32" s="103">
        <v>33</v>
      </c>
      <c r="D32" s="102" t="s">
        <v>182</v>
      </c>
      <c r="E32" s="102" t="s">
        <v>375</v>
      </c>
      <c r="F32" s="102" t="s">
        <v>376</v>
      </c>
      <c r="G32" s="102" t="s">
        <v>377</v>
      </c>
      <c r="H32" s="102" t="s">
        <v>378</v>
      </c>
      <c r="I32" s="102" t="s">
        <v>90</v>
      </c>
      <c r="J32" s="102"/>
      <c r="K32" s="102" t="s">
        <v>471</v>
      </c>
      <c r="L32" s="102" t="s">
        <v>472</v>
      </c>
      <c r="M32" s="102" t="s">
        <v>473</v>
      </c>
      <c r="N32" s="102"/>
      <c r="O32" s="102" t="s">
        <v>383</v>
      </c>
      <c r="P32" s="103">
        <v>1</v>
      </c>
      <c r="Q32" s="105">
        <v>80000000</v>
      </c>
      <c r="R32" s="103">
        <v>240</v>
      </c>
      <c r="S32" s="105">
        <v>333333.33333333302</v>
      </c>
      <c r="T32" s="105">
        <v>6333333.3333333302</v>
      </c>
      <c r="U32" s="105">
        <v>333333.33333333302</v>
      </c>
      <c r="V32" s="105">
        <v>333333.33333333302</v>
      </c>
      <c r="W32" s="105">
        <v>333333.33333333302</v>
      </c>
      <c r="X32" s="105">
        <v>333333.33333333302</v>
      </c>
      <c r="Y32" s="105">
        <v>333333.33333333302</v>
      </c>
      <c r="Z32" s="105">
        <v>333333.33333333302</v>
      </c>
      <c r="AA32" s="105">
        <v>333333.33333333302</v>
      </c>
      <c r="AB32" s="105">
        <v>333333.33333333302</v>
      </c>
      <c r="AC32" s="8">
        <f t="shared" si="0"/>
        <v>8999999.9999999944</v>
      </c>
      <c r="AD32" s="8">
        <f t="shared" si="1"/>
        <v>71000000</v>
      </c>
      <c r="AE32" s="8">
        <f t="shared" si="2"/>
        <v>333333.33333333302</v>
      </c>
      <c r="AF32" s="106">
        <f t="shared" si="3"/>
        <v>213.0000000000002</v>
      </c>
      <c r="AG32" s="8">
        <f t="shared" si="4"/>
        <v>333333.33333333302</v>
      </c>
      <c r="AH32" s="8">
        <f>IF($O32="Aktif",MAX(0,MIN($AE32,$AD32-SUM($AG32:AG32))),0)</f>
        <v>333333.33333333302</v>
      </c>
      <c r="AI32" s="8">
        <f>IF($O32="Aktif",MAX(0,MIN($AE32,$AD32-SUM($AG32:AH32))),0)</f>
        <v>333333.33333333302</v>
      </c>
      <c r="AJ32" s="8">
        <f>IF($O32="Aktif",MAX(0,MIN($AE32,$AD32-SUM($AG32:AI32))),0)</f>
        <v>333333.33333333302</v>
      </c>
      <c r="AK32" s="8">
        <f>IF($O32="Aktif",MAX(0,MIN($AE32,$AD32-SUM($AG32:AJ32))),0)</f>
        <v>333333.33333333302</v>
      </c>
      <c r="AL32" s="8">
        <f>IF($O32="Aktif",MAX(0,MIN($AE32,$AD32-SUM($AG32:AK32))),0)</f>
        <v>333333.33333333302</v>
      </c>
      <c r="AM32" s="8">
        <f>IF($O32="Aktif",MAX(0,MIN($AE32,$AD32-SUM($AG32:AL32))),0)</f>
        <v>333333.33333333302</v>
      </c>
      <c r="AN32" s="8">
        <f>IF($O32="Aktif",MAX(0,MIN($AE32,$AD32-SUM($AG32:AM32))),0)</f>
        <v>333333.33333333302</v>
      </c>
      <c r="AO32" s="8">
        <f>IF($O32="Aktif",MAX(0,MIN($AE32,$AD32-SUM($AG32:AN32))),0)</f>
        <v>333333.33333333302</v>
      </c>
      <c r="AP32" s="8">
        <f>IF($O32="Aktif",MAX(0,MIN($AE32,$AD32-SUM($AG32:AO32))),0)</f>
        <v>333333.33333333302</v>
      </c>
      <c r="AQ32" s="8">
        <f>IF($O32="Aktif",MAX(0,MIN($AE32,$AD32-SUM($AG32:AP32))),0)</f>
        <v>333333.33333333302</v>
      </c>
      <c r="AR32" s="8">
        <f>IF($O32="Aktif",MAX(0,MIN($AE32,$AD32-SUM($AG32:AQ32))),0)</f>
        <v>333333.33333333302</v>
      </c>
      <c r="AS32" s="8">
        <f>IF($O32="Aktif",MAX(0,MIN($AE32,$AD32-SUM($AG32:AR32))),0)</f>
        <v>333333.33333333302</v>
      </c>
      <c r="AT32" s="8">
        <f>IF($O32="Aktif",MAX(0,MIN($AE32,$AD32-SUM($AG32:AS32))),0)</f>
        <v>333333.33333333302</v>
      </c>
      <c r="AU32" s="8">
        <f>IF($O32="Aktif",MAX(0,MIN($AE32,$AD32-SUM($AG32:AT32))),0)</f>
        <v>333333.33333333302</v>
      </c>
      <c r="AV32" s="8">
        <f>IF($O32="Aktif",MAX(0,MIN($AE32,$AD32-SUM($AG32:AU32))),0)</f>
        <v>333333.33333333302</v>
      </c>
      <c r="AW32" s="8">
        <f t="shared" si="5"/>
        <v>5333333.3333333284</v>
      </c>
      <c r="AX32" s="8">
        <f t="shared" si="6"/>
        <v>65666666.666666672</v>
      </c>
    </row>
    <row r="33" spans="1:50" ht="15" customHeight="1" x14ac:dyDescent="0.35">
      <c r="A33" s="102">
        <v>27</v>
      </c>
      <c r="B33" s="102" t="s">
        <v>374</v>
      </c>
      <c r="C33" s="103">
        <v>34</v>
      </c>
      <c r="D33" s="102" t="s">
        <v>182</v>
      </c>
      <c r="E33" s="102" t="s">
        <v>375</v>
      </c>
      <c r="F33" s="102" t="s">
        <v>376</v>
      </c>
      <c r="G33" s="102" t="s">
        <v>377</v>
      </c>
      <c r="H33" s="102" t="s">
        <v>378</v>
      </c>
      <c r="I33" s="102" t="s">
        <v>90</v>
      </c>
      <c r="J33" s="102"/>
      <c r="K33" s="102" t="s">
        <v>474</v>
      </c>
      <c r="L33" s="104">
        <v>45883</v>
      </c>
      <c r="M33" s="102" t="s">
        <v>475</v>
      </c>
      <c r="N33" s="102"/>
      <c r="O33" s="102" t="s">
        <v>383</v>
      </c>
      <c r="P33" s="103">
        <v>1</v>
      </c>
      <c r="Q33" s="105">
        <v>155350000</v>
      </c>
      <c r="R33" s="103">
        <v>240</v>
      </c>
      <c r="S33" s="105">
        <v>647291.66666666698</v>
      </c>
      <c r="T33" s="105">
        <v>3236458.3333333302</v>
      </c>
      <c r="U33" s="105">
        <v>647291.66666666698</v>
      </c>
      <c r="V33" s="105">
        <v>647291.66666666698</v>
      </c>
      <c r="W33" s="105">
        <v>647291.66666666698</v>
      </c>
      <c r="X33" s="105">
        <v>647291.66666666698</v>
      </c>
      <c r="Y33" s="105">
        <v>647291.66666666698</v>
      </c>
      <c r="Z33" s="105">
        <v>647291.66666666698</v>
      </c>
      <c r="AA33" s="105">
        <v>647291.66666666698</v>
      </c>
      <c r="AB33" s="105">
        <v>647291.66666666698</v>
      </c>
      <c r="AC33" s="8">
        <f t="shared" si="0"/>
        <v>8414791.666666666</v>
      </c>
      <c r="AD33" s="8">
        <f t="shared" si="1"/>
        <v>146935208.33333334</v>
      </c>
      <c r="AE33" s="8">
        <f t="shared" si="2"/>
        <v>647291.66666666698</v>
      </c>
      <c r="AF33" s="106">
        <f t="shared" si="3"/>
        <v>226.99999999999991</v>
      </c>
      <c r="AG33" s="8">
        <f t="shared" si="4"/>
        <v>647291.66666666698</v>
      </c>
      <c r="AH33" s="8">
        <f>IF($O33="Aktif",MAX(0,MIN($AE33,$AD33-SUM($AG33:AG33))),0)</f>
        <v>647291.66666666698</v>
      </c>
      <c r="AI33" s="8">
        <f>IF($O33="Aktif",MAX(0,MIN($AE33,$AD33-SUM($AG33:AH33))),0)</f>
        <v>647291.66666666698</v>
      </c>
      <c r="AJ33" s="8">
        <f>IF($O33="Aktif",MAX(0,MIN($AE33,$AD33-SUM($AG33:AI33))),0)</f>
        <v>647291.66666666698</v>
      </c>
      <c r="AK33" s="8">
        <f>IF($O33="Aktif",MAX(0,MIN($AE33,$AD33-SUM($AG33:AJ33))),0)</f>
        <v>647291.66666666698</v>
      </c>
      <c r="AL33" s="8">
        <f>IF($O33="Aktif",MAX(0,MIN($AE33,$AD33-SUM($AG33:AK33))),0)</f>
        <v>647291.66666666698</v>
      </c>
      <c r="AM33" s="8">
        <f>IF($O33="Aktif",MAX(0,MIN($AE33,$AD33-SUM($AG33:AL33))),0)</f>
        <v>647291.66666666698</v>
      </c>
      <c r="AN33" s="8">
        <f>IF($O33="Aktif",MAX(0,MIN($AE33,$AD33-SUM($AG33:AM33))),0)</f>
        <v>647291.66666666698</v>
      </c>
      <c r="AO33" s="8">
        <f>IF($O33="Aktif",MAX(0,MIN($AE33,$AD33-SUM($AG33:AN33))),0)</f>
        <v>647291.66666666698</v>
      </c>
      <c r="AP33" s="8">
        <f>IF($O33="Aktif",MAX(0,MIN($AE33,$AD33-SUM($AG33:AO33))),0)</f>
        <v>647291.66666666698</v>
      </c>
      <c r="AQ33" s="8">
        <f>IF($O33="Aktif",MAX(0,MIN($AE33,$AD33-SUM($AG33:AP33))),0)</f>
        <v>647291.66666666698</v>
      </c>
      <c r="AR33" s="8">
        <f>IF($O33="Aktif",MAX(0,MIN($AE33,$AD33-SUM($AG33:AQ33))),0)</f>
        <v>647291.66666666698</v>
      </c>
      <c r="AS33" s="8">
        <f>IF($O33="Aktif",MAX(0,MIN($AE33,$AD33-SUM($AG33:AR33))),0)</f>
        <v>647291.66666666698</v>
      </c>
      <c r="AT33" s="8">
        <f>IF($O33="Aktif",MAX(0,MIN($AE33,$AD33-SUM($AG33:AS33))),0)</f>
        <v>647291.66666666698</v>
      </c>
      <c r="AU33" s="8">
        <f>IF($O33="Aktif",MAX(0,MIN($AE33,$AD33-SUM($AG33:AT33))),0)</f>
        <v>647291.66666666698</v>
      </c>
      <c r="AV33" s="8">
        <f>IF($O33="Aktif",MAX(0,MIN($AE33,$AD33-SUM($AG33:AU33))),0)</f>
        <v>647291.66666666698</v>
      </c>
      <c r="AW33" s="8">
        <f t="shared" si="5"/>
        <v>10356666.666666675</v>
      </c>
      <c r="AX33" s="8">
        <f t="shared" si="6"/>
        <v>136578541.66666666</v>
      </c>
    </row>
    <row r="34" spans="1:50" ht="15" customHeight="1" x14ac:dyDescent="0.35">
      <c r="A34" s="102">
        <v>28</v>
      </c>
      <c r="B34" s="102" t="s">
        <v>374</v>
      </c>
      <c r="C34" s="103">
        <v>35</v>
      </c>
      <c r="D34" s="102" t="s">
        <v>182</v>
      </c>
      <c r="E34" s="102" t="s">
        <v>375</v>
      </c>
      <c r="F34" s="102" t="s">
        <v>376</v>
      </c>
      <c r="G34" s="102" t="s">
        <v>377</v>
      </c>
      <c r="H34" s="102" t="s">
        <v>378</v>
      </c>
      <c r="I34" s="102" t="s">
        <v>90</v>
      </c>
      <c r="J34" s="102"/>
      <c r="K34" s="102" t="s">
        <v>476</v>
      </c>
      <c r="L34" s="104">
        <v>46249</v>
      </c>
      <c r="M34" s="102" t="s">
        <v>477</v>
      </c>
      <c r="N34" s="102" t="s">
        <v>477</v>
      </c>
      <c r="O34" s="102" t="s">
        <v>383</v>
      </c>
      <c r="P34" s="103">
        <v>1</v>
      </c>
      <c r="Q34" s="105">
        <v>89800000</v>
      </c>
      <c r="R34" s="103">
        <v>240</v>
      </c>
      <c r="S34" s="105">
        <v>374166.66666666698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Z34" s="105">
        <v>0</v>
      </c>
      <c r="AA34" s="105">
        <v>0</v>
      </c>
      <c r="AB34" s="105">
        <v>374166.66666666698</v>
      </c>
      <c r="AC34" s="8">
        <f t="shared" si="0"/>
        <v>374166.66666666698</v>
      </c>
      <c r="AD34" s="8">
        <f t="shared" si="1"/>
        <v>89425833.333333328</v>
      </c>
      <c r="AE34" s="8">
        <f t="shared" si="2"/>
        <v>374166.66666666698</v>
      </c>
      <c r="AF34" s="106">
        <f t="shared" si="3"/>
        <v>238.9999999999998</v>
      </c>
      <c r="AG34" s="8">
        <f t="shared" si="4"/>
        <v>374166.66666666698</v>
      </c>
      <c r="AH34" s="8">
        <f>IF($O34="Aktif",MAX(0,MIN($AE34,$AD34-SUM($AG34:AG34))),0)</f>
        <v>374166.66666666698</v>
      </c>
      <c r="AI34" s="8">
        <f>IF($O34="Aktif",MAX(0,MIN($AE34,$AD34-SUM($AG34:AH34))),0)</f>
        <v>374166.66666666698</v>
      </c>
      <c r="AJ34" s="8">
        <f>IF($O34="Aktif",MAX(0,MIN($AE34,$AD34-SUM($AG34:AI34))),0)</f>
        <v>374166.66666666698</v>
      </c>
      <c r="AK34" s="8">
        <f>IF($O34="Aktif",MAX(0,MIN($AE34,$AD34-SUM($AG34:AJ34))),0)</f>
        <v>374166.66666666698</v>
      </c>
      <c r="AL34" s="8">
        <f>IF($O34="Aktif",MAX(0,MIN($AE34,$AD34-SUM($AG34:AK34))),0)</f>
        <v>374166.66666666698</v>
      </c>
      <c r="AM34" s="8">
        <f>IF($O34="Aktif",MAX(0,MIN($AE34,$AD34-SUM($AG34:AL34))),0)</f>
        <v>374166.66666666698</v>
      </c>
      <c r="AN34" s="8">
        <f>IF($O34="Aktif",MAX(0,MIN($AE34,$AD34-SUM($AG34:AM34))),0)</f>
        <v>374166.66666666698</v>
      </c>
      <c r="AO34" s="8">
        <f>IF($O34="Aktif",MAX(0,MIN($AE34,$AD34-SUM($AG34:AN34))),0)</f>
        <v>374166.66666666698</v>
      </c>
      <c r="AP34" s="8">
        <f>IF($O34="Aktif",MAX(0,MIN($AE34,$AD34-SUM($AG34:AO34))),0)</f>
        <v>374166.66666666698</v>
      </c>
      <c r="AQ34" s="8">
        <f>IF($O34="Aktif",MAX(0,MIN($AE34,$AD34-SUM($AG34:AP34))),0)</f>
        <v>374166.66666666698</v>
      </c>
      <c r="AR34" s="8">
        <f>IF($O34="Aktif",MAX(0,MIN($AE34,$AD34-SUM($AG34:AQ34))),0)</f>
        <v>374166.66666666698</v>
      </c>
      <c r="AS34" s="8">
        <f>IF($O34="Aktif",MAX(0,MIN($AE34,$AD34-SUM($AG34:AR34))),0)</f>
        <v>374166.66666666698</v>
      </c>
      <c r="AT34" s="8">
        <f>IF($O34="Aktif",MAX(0,MIN($AE34,$AD34-SUM($AG34:AS34))),0)</f>
        <v>374166.66666666698</v>
      </c>
      <c r="AU34" s="8">
        <f>IF($O34="Aktif",MAX(0,MIN($AE34,$AD34-SUM($AG34:AT34))),0)</f>
        <v>374166.66666666698</v>
      </c>
      <c r="AV34" s="8">
        <f>IF($O34="Aktif",MAX(0,MIN($AE34,$AD34-SUM($AG34:AU34))),0)</f>
        <v>374166.66666666698</v>
      </c>
      <c r="AW34" s="8">
        <f t="shared" si="5"/>
        <v>5986666.6666666716</v>
      </c>
      <c r="AX34" s="8">
        <f t="shared" si="6"/>
        <v>83439166.666666657</v>
      </c>
    </row>
    <row r="35" spans="1:50" ht="15" customHeight="1" x14ac:dyDescent="0.35">
      <c r="A35" s="102">
        <v>29</v>
      </c>
      <c r="B35" s="102" t="s">
        <v>478</v>
      </c>
      <c r="C35" s="103">
        <v>8</v>
      </c>
      <c r="D35" s="102" t="s">
        <v>183</v>
      </c>
      <c r="E35" s="102" t="s">
        <v>479</v>
      </c>
      <c r="F35" s="102" t="s">
        <v>480</v>
      </c>
      <c r="G35" s="102" t="s">
        <v>481</v>
      </c>
      <c r="H35" s="102" t="s">
        <v>482</v>
      </c>
      <c r="I35" s="102" t="s">
        <v>90</v>
      </c>
      <c r="J35" s="102"/>
      <c r="K35" s="102"/>
      <c r="L35" s="102" t="s">
        <v>483</v>
      </c>
      <c r="M35" s="102" t="s">
        <v>484</v>
      </c>
      <c r="N35" s="102" t="s">
        <v>485</v>
      </c>
      <c r="O35" s="102" t="s">
        <v>383</v>
      </c>
      <c r="P35" s="103">
        <v>1</v>
      </c>
      <c r="Q35" s="105">
        <v>5700000</v>
      </c>
      <c r="R35" s="103">
        <v>48</v>
      </c>
      <c r="S35" s="105">
        <v>0</v>
      </c>
      <c r="T35" s="105">
        <v>5700000</v>
      </c>
      <c r="U35" s="105">
        <v>0</v>
      </c>
      <c r="V35" s="105">
        <v>0</v>
      </c>
      <c r="W35" s="105">
        <v>0</v>
      </c>
      <c r="X35" s="105">
        <v>0</v>
      </c>
      <c r="Y35" s="105">
        <v>0</v>
      </c>
      <c r="Z35" s="105">
        <v>0</v>
      </c>
      <c r="AA35" s="105">
        <v>0</v>
      </c>
      <c r="AB35" s="105">
        <v>0</v>
      </c>
      <c r="AC35" s="8">
        <f t="shared" si="0"/>
        <v>5700000</v>
      </c>
      <c r="AD35" s="8">
        <f t="shared" si="1"/>
        <v>0</v>
      </c>
      <c r="AE35" s="8">
        <f t="shared" si="2"/>
        <v>0</v>
      </c>
      <c r="AF35" s="106">
        <f t="shared" si="3"/>
        <v>0</v>
      </c>
      <c r="AG35" s="8">
        <f t="shared" si="4"/>
        <v>0</v>
      </c>
      <c r="AH35" s="8">
        <f>IF($O35="Aktif",MAX(0,MIN($AE35,$AD35-SUM($AG35:AG35))),0)</f>
        <v>0</v>
      </c>
      <c r="AI35" s="8">
        <f>IF($O35="Aktif",MAX(0,MIN($AE35,$AD35-SUM($AG35:AH35))),0)</f>
        <v>0</v>
      </c>
      <c r="AJ35" s="8">
        <f>IF($O35="Aktif",MAX(0,MIN($AE35,$AD35-SUM($AG35:AI35))),0)</f>
        <v>0</v>
      </c>
      <c r="AK35" s="8">
        <f>IF($O35="Aktif",MAX(0,MIN($AE35,$AD35-SUM($AG35:AJ35))),0)</f>
        <v>0</v>
      </c>
      <c r="AL35" s="8">
        <f>IF($O35="Aktif",MAX(0,MIN($AE35,$AD35-SUM($AG35:AK35))),0)</f>
        <v>0</v>
      </c>
      <c r="AM35" s="8">
        <f>IF($O35="Aktif",MAX(0,MIN($AE35,$AD35-SUM($AG35:AL35))),0)</f>
        <v>0</v>
      </c>
      <c r="AN35" s="8">
        <f>IF($O35="Aktif",MAX(0,MIN($AE35,$AD35-SUM($AG35:AM35))),0)</f>
        <v>0</v>
      </c>
      <c r="AO35" s="8">
        <f>IF($O35="Aktif",MAX(0,MIN($AE35,$AD35-SUM($AG35:AN35))),0)</f>
        <v>0</v>
      </c>
      <c r="AP35" s="8">
        <f>IF($O35="Aktif",MAX(0,MIN($AE35,$AD35-SUM($AG35:AO35))),0)</f>
        <v>0</v>
      </c>
      <c r="AQ35" s="8">
        <f>IF($O35="Aktif",MAX(0,MIN($AE35,$AD35-SUM($AG35:AP35))),0)</f>
        <v>0</v>
      </c>
      <c r="AR35" s="8">
        <f>IF($O35="Aktif",MAX(0,MIN($AE35,$AD35-SUM($AG35:AQ35))),0)</f>
        <v>0</v>
      </c>
      <c r="AS35" s="8">
        <f>IF($O35="Aktif",MAX(0,MIN($AE35,$AD35-SUM($AG35:AR35))),0)</f>
        <v>0</v>
      </c>
      <c r="AT35" s="8">
        <f>IF($O35="Aktif",MAX(0,MIN($AE35,$AD35-SUM($AG35:AS35))),0)</f>
        <v>0</v>
      </c>
      <c r="AU35" s="8">
        <f>IF($O35="Aktif",MAX(0,MIN($AE35,$AD35-SUM($AG35:AT35))),0)</f>
        <v>0</v>
      </c>
      <c r="AV35" s="8">
        <f>IF($O35="Aktif",MAX(0,MIN($AE35,$AD35-SUM($AG35:AU35))),0)</f>
        <v>0</v>
      </c>
      <c r="AW35" s="8">
        <f t="shared" si="5"/>
        <v>0</v>
      </c>
      <c r="AX35" s="8">
        <f t="shared" si="6"/>
        <v>0</v>
      </c>
    </row>
    <row r="36" spans="1:50" ht="15" customHeight="1" x14ac:dyDescent="0.35">
      <c r="A36" s="102">
        <v>30</v>
      </c>
      <c r="B36" s="102" t="s">
        <v>478</v>
      </c>
      <c r="C36" s="103">
        <v>9</v>
      </c>
      <c r="D36" s="102" t="s">
        <v>183</v>
      </c>
      <c r="E36" s="102" t="s">
        <v>479</v>
      </c>
      <c r="F36" s="102" t="s">
        <v>480</v>
      </c>
      <c r="G36" s="102" t="s">
        <v>481</v>
      </c>
      <c r="H36" s="102" t="s">
        <v>482</v>
      </c>
      <c r="I36" s="102" t="s">
        <v>90</v>
      </c>
      <c r="J36" s="102"/>
      <c r="K36" s="102"/>
      <c r="L36" s="104">
        <v>42035</v>
      </c>
      <c r="M36" s="102" t="s">
        <v>484</v>
      </c>
      <c r="N36" s="102" t="s">
        <v>486</v>
      </c>
      <c r="O36" s="102" t="s">
        <v>487</v>
      </c>
      <c r="P36" s="103">
        <v>1</v>
      </c>
      <c r="Q36" s="105">
        <v>-5700000</v>
      </c>
      <c r="R36" s="103">
        <v>48</v>
      </c>
      <c r="S36" s="105">
        <v>0</v>
      </c>
      <c r="T36" s="105">
        <v>-5700000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Z36" s="105">
        <v>0</v>
      </c>
      <c r="AA36" s="105">
        <v>0</v>
      </c>
      <c r="AB36" s="105">
        <v>0</v>
      </c>
      <c r="AC36" s="8">
        <f t="shared" si="0"/>
        <v>-5700000</v>
      </c>
      <c r="AD36" s="8">
        <f t="shared" si="1"/>
        <v>0</v>
      </c>
      <c r="AE36" s="8">
        <f t="shared" si="2"/>
        <v>0</v>
      </c>
      <c r="AF36" s="106">
        <f t="shared" si="3"/>
        <v>0</v>
      </c>
      <c r="AG36" s="8">
        <f t="shared" si="4"/>
        <v>0</v>
      </c>
      <c r="AH36" s="8">
        <f>IF($O36="Aktif",MAX(0,MIN($AE36,$AD36-SUM($AG36:AG36))),0)</f>
        <v>0</v>
      </c>
      <c r="AI36" s="8">
        <f>IF($O36="Aktif",MAX(0,MIN($AE36,$AD36-SUM($AG36:AH36))),0)</f>
        <v>0</v>
      </c>
      <c r="AJ36" s="8">
        <f>IF($O36="Aktif",MAX(0,MIN($AE36,$AD36-SUM($AG36:AI36))),0)</f>
        <v>0</v>
      </c>
      <c r="AK36" s="8">
        <f>IF($O36="Aktif",MAX(0,MIN($AE36,$AD36-SUM($AG36:AJ36))),0)</f>
        <v>0</v>
      </c>
      <c r="AL36" s="8">
        <f>IF($O36="Aktif",MAX(0,MIN($AE36,$AD36-SUM($AG36:AK36))),0)</f>
        <v>0</v>
      </c>
      <c r="AM36" s="8">
        <f>IF($O36="Aktif",MAX(0,MIN($AE36,$AD36-SUM($AG36:AL36))),0)</f>
        <v>0</v>
      </c>
      <c r="AN36" s="8">
        <f>IF($O36="Aktif",MAX(0,MIN($AE36,$AD36-SUM($AG36:AM36))),0)</f>
        <v>0</v>
      </c>
      <c r="AO36" s="8">
        <f>IF($O36="Aktif",MAX(0,MIN($AE36,$AD36-SUM($AG36:AN36))),0)</f>
        <v>0</v>
      </c>
      <c r="AP36" s="8">
        <f>IF($O36="Aktif",MAX(0,MIN($AE36,$AD36-SUM($AG36:AO36))),0)</f>
        <v>0</v>
      </c>
      <c r="AQ36" s="8">
        <f>IF($O36="Aktif",MAX(0,MIN($AE36,$AD36-SUM($AG36:AP36))),0)</f>
        <v>0</v>
      </c>
      <c r="AR36" s="8">
        <f>IF($O36="Aktif",MAX(0,MIN($AE36,$AD36-SUM($AG36:AQ36))),0)</f>
        <v>0</v>
      </c>
      <c r="AS36" s="8">
        <f>IF($O36="Aktif",MAX(0,MIN($AE36,$AD36-SUM($AG36:AR36))),0)</f>
        <v>0</v>
      </c>
      <c r="AT36" s="8">
        <f>IF($O36="Aktif",MAX(0,MIN($AE36,$AD36-SUM($AG36:AS36))),0)</f>
        <v>0</v>
      </c>
      <c r="AU36" s="8">
        <f>IF($O36="Aktif",MAX(0,MIN($AE36,$AD36-SUM($AG36:AT36))),0)</f>
        <v>0</v>
      </c>
      <c r="AV36" s="8">
        <f>IF($O36="Aktif",MAX(0,MIN($AE36,$AD36-SUM($AG36:AU36))),0)</f>
        <v>0</v>
      </c>
      <c r="AW36" s="8">
        <f t="shared" si="5"/>
        <v>0</v>
      </c>
      <c r="AX36" s="8">
        <f t="shared" si="6"/>
        <v>0</v>
      </c>
    </row>
    <row r="37" spans="1:50" ht="15" customHeight="1" x14ac:dyDescent="0.35">
      <c r="A37" s="102">
        <v>31</v>
      </c>
      <c r="B37" s="102" t="s">
        <v>478</v>
      </c>
      <c r="C37" s="103">
        <v>10</v>
      </c>
      <c r="D37" s="102" t="s">
        <v>183</v>
      </c>
      <c r="E37" s="102" t="s">
        <v>479</v>
      </c>
      <c r="F37" s="102" t="s">
        <v>480</v>
      </c>
      <c r="G37" s="102" t="s">
        <v>481</v>
      </c>
      <c r="H37" s="102" t="s">
        <v>482</v>
      </c>
      <c r="I37" s="102" t="s">
        <v>90</v>
      </c>
      <c r="J37" s="102"/>
      <c r="K37" s="102"/>
      <c r="L37" s="102" t="s">
        <v>488</v>
      </c>
      <c r="M37" s="102" t="s">
        <v>489</v>
      </c>
      <c r="N37" s="102" t="s">
        <v>490</v>
      </c>
      <c r="O37" s="102" t="s">
        <v>383</v>
      </c>
      <c r="P37" s="103">
        <v>1</v>
      </c>
      <c r="Q37" s="105">
        <v>120500000</v>
      </c>
      <c r="R37" s="103">
        <v>48</v>
      </c>
      <c r="S37" s="105">
        <v>0</v>
      </c>
      <c r="T37" s="105">
        <v>120500000</v>
      </c>
      <c r="U37" s="105">
        <v>0</v>
      </c>
      <c r="V37" s="105">
        <v>0</v>
      </c>
      <c r="W37" s="105">
        <v>0</v>
      </c>
      <c r="X37" s="105">
        <v>0</v>
      </c>
      <c r="Y37" s="105">
        <v>0</v>
      </c>
      <c r="Z37" s="105">
        <v>0</v>
      </c>
      <c r="AA37" s="105">
        <v>0</v>
      </c>
      <c r="AB37" s="105">
        <v>0</v>
      </c>
      <c r="AC37" s="8">
        <f t="shared" si="0"/>
        <v>120500000</v>
      </c>
      <c r="AD37" s="8">
        <f t="shared" si="1"/>
        <v>0</v>
      </c>
      <c r="AE37" s="8">
        <f t="shared" si="2"/>
        <v>0</v>
      </c>
      <c r="AF37" s="106">
        <f t="shared" si="3"/>
        <v>0</v>
      </c>
      <c r="AG37" s="8">
        <f t="shared" si="4"/>
        <v>0</v>
      </c>
      <c r="AH37" s="8">
        <f>IF($O37="Aktif",MAX(0,MIN($AE37,$AD37-SUM($AG37:AG37))),0)</f>
        <v>0</v>
      </c>
      <c r="AI37" s="8">
        <f>IF($O37="Aktif",MAX(0,MIN($AE37,$AD37-SUM($AG37:AH37))),0)</f>
        <v>0</v>
      </c>
      <c r="AJ37" s="8">
        <f>IF($O37="Aktif",MAX(0,MIN($AE37,$AD37-SUM($AG37:AI37))),0)</f>
        <v>0</v>
      </c>
      <c r="AK37" s="8">
        <f>IF($O37="Aktif",MAX(0,MIN($AE37,$AD37-SUM($AG37:AJ37))),0)</f>
        <v>0</v>
      </c>
      <c r="AL37" s="8">
        <f>IF($O37="Aktif",MAX(0,MIN($AE37,$AD37-SUM($AG37:AK37))),0)</f>
        <v>0</v>
      </c>
      <c r="AM37" s="8">
        <f>IF($O37="Aktif",MAX(0,MIN($AE37,$AD37-SUM($AG37:AL37))),0)</f>
        <v>0</v>
      </c>
      <c r="AN37" s="8">
        <f>IF($O37="Aktif",MAX(0,MIN($AE37,$AD37-SUM($AG37:AM37))),0)</f>
        <v>0</v>
      </c>
      <c r="AO37" s="8">
        <f>IF($O37="Aktif",MAX(0,MIN($AE37,$AD37-SUM($AG37:AN37))),0)</f>
        <v>0</v>
      </c>
      <c r="AP37" s="8">
        <f>IF($O37="Aktif",MAX(0,MIN($AE37,$AD37-SUM($AG37:AO37))),0)</f>
        <v>0</v>
      </c>
      <c r="AQ37" s="8">
        <f>IF($O37="Aktif",MAX(0,MIN($AE37,$AD37-SUM($AG37:AP37))),0)</f>
        <v>0</v>
      </c>
      <c r="AR37" s="8">
        <f>IF($O37="Aktif",MAX(0,MIN($AE37,$AD37-SUM($AG37:AQ37))),0)</f>
        <v>0</v>
      </c>
      <c r="AS37" s="8">
        <f>IF($O37="Aktif",MAX(0,MIN($AE37,$AD37-SUM($AG37:AR37))),0)</f>
        <v>0</v>
      </c>
      <c r="AT37" s="8">
        <f>IF($O37="Aktif",MAX(0,MIN($AE37,$AD37-SUM($AG37:AS37))),0)</f>
        <v>0</v>
      </c>
      <c r="AU37" s="8">
        <f>IF($O37="Aktif",MAX(0,MIN($AE37,$AD37-SUM($AG37:AT37))),0)</f>
        <v>0</v>
      </c>
      <c r="AV37" s="8">
        <f>IF($O37="Aktif",MAX(0,MIN($AE37,$AD37-SUM($AG37:AU37))),0)</f>
        <v>0</v>
      </c>
      <c r="AW37" s="8">
        <f t="shared" si="5"/>
        <v>0</v>
      </c>
      <c r="AX37" s="8">
        <f t="shared" si="6"/>
        <v>0</v>
      </c>
    </row>
    <row r="38" spans="1:50" ht="15" customHeight="1" x14ac:dyDescent="0.35">
      <c r="A38" s="102">
        <v>32</v>
      </c>
      <c r="B38" s="102" t="s">
        <v>478</v>
      </c>
      <c r="C38" s="103">
        <v>11</v>
      </c>
      <c r="D38" s="102" t="s">
        <v>183</v>
      </c>
      <c r="E38" s="102" t="s">
        <v>479</v>
      </c>
      <c r="F38" s="102" t="s">
        <v>480</v>
      </c>
      <c r="G38" s="102" t="s">
        <v>481</v>
      </c>
      <c r="H38" s="102" t="s">
        <v>482</v>
      </c>
      <c r="I38" s="102" t="s">
        <v>90</v>
      </c>
      <c r="J38" s="102"/>
      <c r="K38" s="102"/>
      <c r="L38" s="104">
        <v>42064</v>
      </c>
      <c r="M38" s="102" t="s">
        <v>489</v>
      </c>
      <c r="N38" s="102" t="s">
        <v>491</v>
      </c>
      <c r="O38" s="102" t="s">
        <v>487</v>
      </c>
      <c r="P38" s="103">
        <v>1</v>
      </c>
      <c r="Q38" s="105">
        <v>-120500000</v>
      </c>
      <c r="R38" s="103">
        <v>48</v>
      </c>
      <c r="S38" s="105">
        <v>0</v>
      </c>
      <c r="T38" s="105">
        <v>-120500000</v>
      </c>
      <c r="U38" s="105">
        <v>0</v>
      </c>
      <c r="V38" s="105">
        <v>0</v>
      </c>
      <c r="W38" s="105">
        <v>0</v>
      </c>
      <c r="X38" s="105">
        <v>0</v>
      </c>
      <c r="Y38" s="105">
        <v>0</v>
      </c>
      <c r="Z38" s="105">
        <v>0</v>
      </c>
      <c r="AA38" s="105">
        <v>0</v>
      </c>
      <c r="AB38" s="105">
        <v>0</v>
      </c>
      <c r="AC38" s="8">
        <f t="shared" si="0"/>
        <v>-120500000</v>
      </c>
      <c r="AD38" s="8">
        <f t="shared" si="1"/>
        <v>0</v>
      </c>
      <c r="AE38" s="8">
        <f t="shared" si="2"/>
        <v>0</v>
      </c>
      <c r="AF38" s="106">
        <f t="shared" si="3"/>
        <v>0</v>
      </c>
      <c r="AG38" s="8">
        <f t="shared" si="4"/>
        <v>0</v>
      </c>
      <c r="AH38" s="8">
        <f>IF($O38="Aktif",MAX(0,MIN($AE38,$AD38-SUM($AG38:AG38))),0)</f>
        <v>0</v>
      </c>
      <c r="AI38" s="8">
        <f>IF($O38="Aktif",MAX(0,MIN($AE38,$AD38-SUM($AG38:AH38))),0)</f>
        <v>0</v>
      </c>
      <c r="AJ38" s="8">
        <f>IF($O38="Aktif",MAX(0,MIN($AE38,$AD38-SUM($AG38:AI38))),0)</f>
        <v>0</v>
      </c>
      <c r="AK38" s="8">
        <f>IF($O38="Aktif",MAX(0,MIN($AE38,$AD38-SUM($AG38:AJ38))),0)</f>
        <v>0</v>
      </c>
      <c r="AL38" s="8">
        <f>IF($O38="Aktif",MAX(0,MIN($AE38,$AD38-SUM($AG38:AK38))),0)</f>
        <v>0</v>
      </c>
      <c r="AM38" s="8">
        <f>IF($O38="Aktif",MAX(0,MIN($AE38,$AD38-SUM($AG38:AL38))),0)</f>
        <v>0</v>
      </c>
      <c r="AN38" s="8">
        <f>IF($O38="Aktif",MAX(0,MIN($AE38,$AD38-SUM($AG38:AM38))),0)</f>
        <v>0</v>
      </c>
      <c r="AO38" s="8">
        <f>IF($O38="Aktif",MAX(0,MIN($AE38,$AD38-SUM($AG38:AN38))),0)</f>
        <v>0</v>
      </c>
      <c r="AP38" s="8">
        <f>IF($O38="Aktif",MAX(0,MIN($AE38,$AD38-SUM($AG38:AO38))),0)</f>
        <v>0</v>
      </c>
      <c r="AQ38" s="8">
        <f>IF($O38="Aktif",MAX(0,MIN($AE38,$AD38-SUM($AG38:AP38))),0)</f>
        <v>0</v>
      </c>
      <c r="AR38" s="8">
        <f>IF($O38="Aktif",MAX(0,MIN($AE38,$AD38-SUM($AG38:AQ38))),0)</f>
        <v>0</v>
      </c>
      <c r="AS38" s="8">
        <f>IF($O38="Aktif",MAX(0,MIN($AE38,$AD38-SUM($AG38:AR38))),0)</f>
        <v>0</v>
      </c>
      <c r="AT38" s="8">
        <f>IF($O38="Aktif",MAX(0,MIN($AE38,$AD38-SUM($AG38:AS38))),0)</f>
        <v>0</v>
      </c>
      <c r="AU38" s="8">
        <f>IF($O38="Aktif",MAX(0,MIN($AE38,$AD38-SUM($AG38:AT38))),0)</f>
        <v>0</v>
      </c>
      <c r="AV38" s="8">
        <f>IF($O38="Aktif",MAX(0,MIN($AE38,$AD38-SUM($AG38:AU38))),0)</f>
        <v>0</v>
      </c>
      <c r="AW38" s="8">
        <f t="shared" si="5"/>
        <v>0</v>
      </c>
      <c r="AX38" s="8">
        <f t="shared" si="6"/>
        <v>0</v>
      </c>
    </row>
    <row r="39" spans="1:50" ht="15" customHeight="1" x14ac:dyDescent="0.35">
      <c r="A39" s="102">
        <v>33</v>
      </c>
      <c r="B39" s="102" t="s">
        <v>478</v>
      </c>
      <c r="C39" s="103">
        <v>12</v>
      </c>
      <c r="D39" s="102" t="s">
        <v>183</v>
      </c>
      <c r="E39" s="102" t="s">
        <v>479</v>
      </c>
      <c r="F39" s="102" t="s">
        <v>480</v>
      </c>
      <c r="G39" s="102" t="s">
        <v>481</v>
      </c>
      <c r="H39" s="102" t="s">
        <v>482</v>
      </c>
      <c r="I39" s="102" t="s">
        <v>90</v>
      </c>
      <c r="J39" s="102"/>
      <c r="K39" s="102"/>
      <c r="L39" s="104">
        <v>41353</v>
      </c>
      <c r="M39" s="102" t="s">
        <v>492</v>
      </c>
      <c r="N39" s="102" t="s">
        <v>493</v>
      </c>
      <c r="O39" s="102" t="s">
        <v>383</v>
      </c>
      <c r="P39" s="103">
        <v>1</v>
      </c>
      <c r="Q39" s="105">
        <v>232400000</v>
      </c>
      <c r="R39" s="103">
        <v>48</v>
      </c>
      <c r="S39" s="105">
        <v>0</v>
      </c>
      <c r="T39" s="105">
        <v>232400000</v>
      </c>
      <c r="U39" s="105">
        <v>0</v>
      </c>
      <c r="V39" s="105">
        <v>0</v>
      </c>
      <c r="W39" s="105">
        <v>0</v>
      </c>
      <c r="X39" s="105">
        <v>0</v>
      </c>
      <c r="Y39" s="105">
        <v>0</v>
      </c>
      <c r="Z39" s="105">
        <v>0</v>
      </c>
      <c r="AA39" s="105">
        <v>0</v>
      </c>
      <c r="AB39" s="105">
        <v>0</v>
      </c>
      <c r="AC39" s="8">
        <f t="shared" si="0"/>
        <v>232400000</v>
      </c>
      <c r="AD39" s="8">
        <f t="shared" si="1"/>
        <v>0</v>
      </c>
      <c r="AE39" s="8">
        <f t="shared" si="2"/>
        <v>0</v>
      </c>
      <c r="AF39" s="106">
        <f t="shared" si="3"/>
        <v>0</v>
      </c>
      <c r="AG39" s="8">
        <f t="shared" si="4"/>
        <v>0</v>
      </c>
      <c r="AH39" s="8">
        <f>IF($O39="Aktif",MAX(0,MIN($AE39,$AD39-SUM($AG39:AG39))),0)</f>
        <v>0</v>
      </c>
      <c r="AI39" s="8">
        <f>IF($O39="Aktif",MAX(0,MIN($AE39,$AD39-SUM($AG39:AH39))),0)</f>
        <v>0</v>
      </c>
      <c r="AJ39" s="8">
        <f>IF($O39="Aktif",MAX(0,MIN($AE39,$AD39-SUM($AG39:AI39))),0)</f>
        <v>0</v>
      </c>
      <c r="AK39" s="8">
        <f>IF($O39="Aktif",MAX(0,MIN($AE39,$AD39-SUM($AG39:AJ39))),0)</f>
        <v>0</v>
      </c>
      <c r="AL39" s="8">
        <f>IF($O39="Aktif",MAX(0,MIN($AE39,$AD39-SUM($AG39:AK39))),0)</f>
        <v>0</v>
      </c>
      <c r="AM39" s="8">
        <f>IF($O39="Aktif",MAX(0,MIN($AE39,$AD39-SUM($AG39:AL39))),0)</f>
        <v>0</v>
      </c>
      <c r="AN39" s="8">
        <f>IF($O39="Aktif",MAX(0,MIN($AE39,$AD39-SUM($AG39:AM39))),0)</f>
        <v>0</v>
      </c>
      <c r="AO39" s="8">
        <f>IF($O39="Aktif",MAX(0,MIN($AE39,$AD39-SUM($AG39:AN39))),0)</f>
        <v>0</v>
      </c>
      <c r="AP39" s="8">
        <f>IF($O39="Aktif",MAX(0,MIN($AE39,$AD39-SUM($AG39:AO39))),0)</f>
        <v>0</v>
      </c>
      <c r="AQ39" s="8">
        <f>IF($O39="Aktif",MAX(0,MIN($AE39,$AD39-SUM($AG39:AP39))),0)</f>
        <v>0</v>
      </c>
      <c r="AR39" s="8">
        <f>IF($O39="Aktif",MAX(0,MIN($AE39,$AD39-SUM($AG39:AQ39))),0)</f>
        <v>0</v>
      </c>
      <c r="AS39" s="8">
        <f>IF($O39="Aktif",MAX(0,MIN($AE39,$AD39-SUM($AG39:AR39))),0)</f>
        <v>0</v>
      </c>
      <c r="AT39" s="8">
        <f>IF($O39="Aktif",MAX(0,MIN($AE39,$AD39-SUM($AG39:AS39))),0)</f>
        <v>0</v>
      </c>
      <c r="AU39" s="8">
        <f>IF($O39="Aktif",MAX(0,MIN($AE39,$AD39-SUM($AG39:AT39))),0)</f>
        <v>0</v>
      </c>
      <c r="AV39" s="8">
        <f>IF($O39="Aktif",MAX(0,MIN($AE39,$AD39-SUM($AG39:AU39))),0)</f>
        <v>0</v>
      </c>
      <c r="AW39" s="8">
        <f t="shared" si="5"/>
        <v>0</v>
      </c>
      <c r="AX39" s="8">
        <f t="shared" si="6"/>
        <v>0</v>
      </c>
    </row>
    <row r="40" spans="1:50" ht="15" customHeight="1" x14ac:dyDescent="0.35">
      <c r="A40" s="102">
        <v>34</v>
      </c>
      <c r="B40" s="102" t="s">
        <v>478</v>
      </c>
      <c r="C40" s="103">
        <v>13</v>
      </c>
      <c r="D40" s="102" t="s">
        <v>183</v>
      </c>
      <c r="E40" s="102" t="s">
        <v>479</v>
      </c>
      <c r="F40" s="102" t="s">
        <v>480</v>
      </c>
      <c r="G40" s="102" t="s">
        <v>481</v>
      </c>
      <c r="H40" s="102" t="s">
        <v>482</v>
      </c>
      <c r="I40" s="102" t="s">
        <v>90</v>
      </c>
      <c r="J40" s="102"/>
      <c r="K40" s="102"/>
      <c r="L40" s="104">
        <v>43434</v>
      </c>
      <c r="M40" s="102" t="s">
        <v>492</v>
      </c>
      <c r="N40" s="102" t="s">
        <v>494</v>
      </c>
      <c r="O40" s="102" t="s">
        <v>487</v>
      </c>
      <c r="P40" s="103">
        <v>1</v>
      </c>
      <c r="Q40" s="105">
        <v>-232400000</v>
      </c>
      <c r="R40" s="103">
        <v>48</v>
      </c>
      <c r="S40" s="105">
        <v>0</v>
      </c>
      <c r="T40" s="105">
        <v>-232400000</v>
      </c>
      <c r="U40" s="105">
        <v>0</v>
      </c>
      <c r="V40" s="105">
        <v>0</v>
      </c>
      <c r="W40" s="105">
        <v>0</v>
      </c>
      <c r="X40" s="105">
        <v>0</v>
      </c>
      <c r="Y40" s="105">
        <v>0</v>
      </c>
      <c r="Z40" s="105">
        <v>0</v>
      </c>
      <c r="AA40" s="105">
        <v>0</v>
      </c>
      <c r="AB40" s="105">
        <v>0</v>
      </c>
      <c r="AC40" s="8">
        <f t="shared" si="0"/>
        <v>-232400000</v>
      </c>
      <c r="AD40" s="8">
        <f t="shared" si="1"/>
        <v>0</v>
      </c>
      <c r="AE40" s="8">
        <f t="shared" si="2"/>
        <v>0</v>
      </c>
      <c r="AF40" s="106">
        <f t="shared" si="3"/>
        <v>0</v>
      </c>
      <c r="AG40" s="8">
        <f t="shared" si="4"/>
        <v>0</v>
      </c>
      <c r="AH40" s="8">
        <f>IF($O40="Aktif",MAX(0,MIN($AE40,$AD40-SUM($AG40:AG40))),0)</f>
        <v>0</v>
      </c>
      <c r="AI40" s="8">
        <f>IF($O40="Aktif",MAX(0,MIN($AE40,$AD40-SUM($AG40:AH40))),0)</f>
        <v>0</v>
      </c>
      <c r="AJ40" s="8">
        <f>IF($O40="Aktif",MAX(0,MIN($AE40,$AD40-SUM($AG40:AI40))),0)</f>
        <v>0</v>
      </c>
      <c r="AK40" s="8">
        <f>IF($O40="Aktif",MAX(0,MIN($AE40,$AD40-SUM($AG40:AJ40))),0)</f>
        <v>0</v>
      </c>
      <c r="AL40" s="8">
        <f>IF($O40="Aktif",MAX(0,MIN($AE40,$AD40-SUM($AG40:AK40))),0)</f>
        <v>0</v>
      </c>
      <c r="AM40" s="8">
        <f>IF($O40="Aktif",MAX(0,MIN($AE40,$AD40-SUM($AG40:AL40))),0)</f>
        <v>0</v>
      </c>
      <c r="AN40" s="8">
        <f>IF($O40="Aktif",MAX(0,MIN($AE40,$AD40-SUM($AG40:AM40))),0)</f>
        <v>0</v>
      </c>
      <c r="AO40" s="8">
        <f>IF($O40="Aktif",MAX(0,MIN($AE40,$AD40-SUM($AG40:AN40))),0)</f>
        <v>0</v>
      </c>
      <c r="AP40" s="8">
        <f>IF($O40="Aktif",MAX(0,MIN($AE40,$AD40-SUM($AG40:AO40))),0)</f>
        <v>0</v>
      </c>
      <c r="AQ40" s="8">
        <f>IF($O40="Aktif",MAX(0,MIN($AE40,$AD40-SUM($AG40:AP40))),0)</f>
        <v>0</v>
      </c>
      <c r="AR40" s="8">
        <f>IF($O40="Aktif",MAX(0,MIN($AE40,$AD40-SUM($AG40:AQ40))),0)</f>
        <v>0</v>
      </c>
      <c r="AS40" s="8">
        <f>IF($O40="Aktif",MAX(0,MIN($AE40,$AD40-SUM($AG40:AR40))),0)</f>
        <v>0</v>
      </c>
      <c r="AT40" s="8">
        <f>IF($O40="Aktif",MAX(0,MIN($AE40,$AD40-SUM($AG40:AS40))),0)</f>
        <v>0</v>
      </c>
      <c r="AU40" s="8">
        <f>IF($O40="Aktif",MAX(0,MIN($AE40,$AD40-SUM($AG40:AT40))),0)</f>
        <v>0</v>
      </c>
      <c r="AV40" s="8">
        <f>IF($O40="Aktif",MAX(0,MIN($AE40,$AD40-SUM($AG40:AU40))),0)</f>
        <v>0</v>
      </c>
      <c r="AW40" s="8">
        <f t="shared" si="5"/>
        <v>0</v>
      </c>
      <c r="AX40" s="8">
        <f t="shared" si="6"/>
        <v>0</v>
      </c>
    </row>
    <row r="41" spans="1:50" ht="15" customHeight="1" x14ac:dyDescent="0.35">
      <c r="A41" s="102">
        <v>35</v>
      </c>
      <c r="B41" s="102" t="s">
        <v>478</v>
      </c>
      <c r="C41" s="103">
        <v>14</v>
      </c>
      <c r="D41" s="102" t="s">
        <v>183</v>
      </c>
      <c r="E41" s="102" t="s">
        <v>479</v>
      </c>
      <c r="F41" s="102" t="s">
        <v>480</v>
      </c>
      <c r="G41" s="102" t="s">
        <v>481</v>
      </c>
      <c r="H41" s="102" t="s">
        <v>482</v>
      </c>
      <c r="I41" s="102" t="s">
        <v>90</v>
      </c>
      <c r="J41" s="102" t="s">
        <v>495</v>
      </c>
      <c r="K41" s="102"/>
      <c r="L41" s="102" t="s">
        <v>496</v>
      </c>
      <c r="M41" s="102" t="s">
        <v>497</v>
      </c>
      <c r="N41" s="102" t="s">
        <v>498</v>
      </c>
      <c r="O41" s="102" t="s">
        <v>383</v>
      </c>
      <c r="P41" s="103">
        <v>1</v>
      </c>
      <c r="Q41" s="105">
        <v>49046357</v>
      </c>
      <c r="R41" s="103">
        <v>48</v>
      </c>
      <c r="S41" s="105">
        <v>0</v>
      </c>
      <c r="T41" s="105">
        <v>49046357</v>
      </c>
      <c r="U41" s="105">
        <v>0</v>
      </c>
      <c r="V41" s="105">
        <v>0</v>
      </c>
      <c r="W41" s="105">
        <v>0</v>
      </c>
      <c r="X41" s="105">
        <v>0</v>
      </c>
      <c r="Y41" s="105">
        <v>0</v>
      </c>
      <c r="Z41" s="105">
        <v>0</v>
      </c>
      <c r="AA41" s="105">
        <v>0</v>
      </c>
      <c r="AB41" s="105">
        <v>0</v>
      </c>
      <c r="AC41" s="8">
        <f t="shared" si="0"/>
        <v>49046357</v>
      </c>
      <c r="AD41" s="8">
        <f t="shared" si="1"/>
        <v>0</v>
      </c>
      <c r="AE41" s="8">
        <f t="shared" si="2"/>
        <v>0</v>
      </c>
      <c r="AF41" s="106">
        <f t="shared" si="3"/>
        <v>0</v>
      </c>
      <c r="AG41" s="8">
        <f t="shared" si="4"/>
        <v>0</v>
      </c>
      <c r="AH41" s="8">
        <f>IF($O41="Aktif",MAX(0,MIN($AE41,$AD41-SUM($AG41:AG41))),0)</f>
        <v>0</v>
      </c>
      <c r="AI41" s="8">
        <f>IF($O41="Aktif",MAX(0,MIN($AE41,$AD41-SUM($AG41:AH41))),0)</f>
        <v>0</v>
      </c>
      <c r="AJ41" s="8">
        <f>IF($O41="Aktif",MAX(0,MIN($AE41,$AD41-SUM($AG41:AI41))),0)</f>
        <v>0</v>
      </c>
      <c r="AK41" s="8">
        <f>IF($O41="Aktif",MAX(0,MIN($AE41,$AD41-SUM($AG41:AJ41))),0)</f>
        <v>0</v>
      </c>
      <c r="AL41" s="8">
        <f>IF($O41="Aktif",MAX(0,MIN($AE41,$AD41-SUM($AG41:AK41))),0)</f>
        <v>0</v>
      </c>
      <c r="AM41" s="8">
        <f>IF($O41="Aktif",MAX(0,MIN($AE41,$AD41-SUM($AG41:AL41))),0)</f>
        <v>0</v>
      </c>
      <c r="AN41" s="8">
        <f>IF($O41="Aktif",MAX(0,MIN($AE41,$AD41-SUM($AG41:AM41))),0)</f>
        <v>0</v>
      </c>
      <c r="AO41" s="8">
        <f>IF($O41="Aktif",MAX(0,MIN($AE41,$AD41-SUM($AG41:AN41))),0)</f>
        <v>0</v>
      </c>
      <c r="AP41" s="8">
        <f>IF($O41="Aktif",MAX(0,MIN($AE41,$AD41-SUM($AG41:AO41))),0)</f>
        <v>0</v>
      </c>
      <c r="AQ41" s="8">
        <f>IF($O41="Aktif",MAX(0,MIN($AE41,$AD41-SUM($AG41:AP41))),0)</f>
        <v>0</v>
      </c>
      <c r="AR41" s="8">
        <f>IF($O41="Aktif",MAX(0,MIN($AE41,$AD41-SUM($AG41:AQ41))),0)</f>
        <v>0</v>
      </c>
      <c r="AS41" s="8">
        <f>IF($O41="Aktif",MAX(0,MIN($AE41,$AD41-SUM($AG41:AR41))),0)</f>
        <v>0</v>
      </c>
      <c r="AT41" s="8">
        <f>IF($O41="Aktif",MAX(0,MIN($AE41,$AD41-SUM($AG41:AS41))),0)</f>
        <v>0</v>
      </c>
      <c r="AU41" s="8">
        <f>IF($O41="Aktif",MAX(0,MIN($AE41,$AD41-SUM($AG41:AT41))),0)</f>
        <v>0</v>
      </c>
      <c r="AV41" s="8">
        <f>IF($O41="Aktif",MAX(0,MIN($AE41,$AD41-SUM($AG41:AU41))),0)</f>
        <v>0</v>
      </c>
      <c r="AW41" s="8">
        <f t="shared" si="5"/>
        <v>0</v>
      </c>
      <c r="AX41" s="8">
        <f t="shared" si="6"/>
        <v>0</v>
      </c>
    </row>
    <row r="42" spans="1:50" ht="15" customHeight="1" x14ac:dyDescent="0.35">
      <c r="A42" s="102">
        <v>36</v>
      </c>
      <c r="B42" s="102" t="s">
        <v>478</v>
      </c>
      <c r="C42" s="103">
        <v>15</v>
      </c>
      <c r="D42" s="102" t="s">
        <v>183</v>
      </c>
      <c r="E42" s="102" t="s">
        <v>479</v>
      </c>
      <c r="F42" s="102" t="s">
        <v>480</v>
      </c>
      <c r="G42" s="102" t="s">
        <v>481</v>
      </c>
      <c r="H42" s="102" t="s">
        <v>482</v>
      </c>
      <c r="I42" s="102" t="s">
        <v>90</v>
      </c>
      <c r="J42" s="102" t="s">
        <v>499</v>
      </c>
      <c r="K42" s="102"/>
      <c r="L42" s="102" t="s">
        <v>500</v>
      </c>
      <c r="M42" s="102" t="s">
        <v>501</v>
      </c>
      <c r="N42" s="102" t="s">
        <v>502</v>
      </c>
      <c r="O42" s="102" t="s">
        <v>383</v>
      </c>
      <c r="P42" s="103">
        <v>1</v>
      </c>
      <c r="Q42" s="105">
        <v>105100000</v>
      </c>
      <c r="R42" s="103">
        <v>48</v>
      </c>
      <c r="S42" s="105">
        <v>0</v>
      </c>
      <c r="T42" s="105">
        <v>105100000</v>
      </c>
      <c r="U42" s="105">
        <v>0</v>
      </c>
      <c r="V42" s="105">
        <v>0</v>
      </c>
      <c r="W42" s="105">
        <v>0</v>
      </c>
      <c r="X42" s="105">
        <v>0</v>
      </c>
      <c r="Y42" s="105">
        <v>0</v>
      </c>
      <c r="Z42" s="105">
        <v>0</v>
      </c>
      <c r="AA42" s="105">
        <v>0</v>
      </c>
      <c r="AB42" s="105">
        <v>0</v>
      </c>
      <c r="AC42" s="8">
        <f t="shared" si="0"/>
        <v>105100000</v>
      </c>
      <c r="AD42" s="8">
        <f t="shared" si="1"/>
        <v>0</v>
      </c>
      <c r="AE42" s="8">
        <f t="shared" si="2"/>
        <v>0</v>
      </c>
      <c r="AF42" s="106">
        <f t="shared" si="3"/>
        <v>0</v>
      </c>
      <c r="AG42" s="8">
        <f t="shared" si="4"/>
        <v>0</v>
      </c>
      <c r="AH42" s="8">
        <f>IF($O42="Aktif",MAX(0,MIN($AE42,$AD42-SUM($AG42:AG42))),0)</f>
        <v>0</v>
      </c>
      <c r="AI42" s="8">
        <f>IF($O42="Aktif",MAX(0,MIN($AE42,$AD42-SUM($AG42:AH42))),0)</f>
        <v>0</v>
      </c>
      <c r="AJ42" s="8">
        <f>IF($O42="Aktif",MAX(0,MIN($AE42,$AD42-SUM($AG42:AI42))),0)</f>
        <v>0</v>
      </c>
      <c r="AK42" s="8">
        <f>IF($O42="Aktif",MAX(0,MIN($AE42,$AD42-SUM($AG42:AJ42))),0)</f>
        <v>0</v>
      </c>
      <c r="AL42" s="8">
        <f>IF($O42="Aktif",MAX(0,MIN($AE42,$AD42-SUM($AG42:AK42))),0)</f>
        <v>0</v>
      </c>
      <c r="AM42" s="8">
        <f>IF($O42="Aktif",MAX(0,MIN($AE42,$AD42-SUM($AG42:AL42))),0)</f>
        <v>0</v>
      </c>
      <c r="AN42" s="8">
        <f>IF($O42="Aktif",MAX(0,MIN($AE42,$AD42-SUM($AG42:AM42))),0)</f>
        <v>0</v>
      </c>
      <c r="AO42" s="8">
        <f>IF($O42="Aktif",MAX(0,MIN($AE42,$AD42-SUM($AG42:AN42))),0)</f>
        <v>0</v>
      </c>
      <c r="AP42" s="8">
        <f>IF($O42="Aktif",MAX(0,MIN($AE42,$AD42-SUM($AG42:AO42))),0)</f>
        <v>0</v>
      </c>
      <c r="AQ42" s="8">
        <f>IF($O42="Aktif",MAX(0,MIN($AE42,$AD42-SUM($AG42:AP42))),0)</f>
        <v>0</v>
      </c>
      <c r="AR42" s="8">
        <f>IF($O42="Aktif",MAX(0,MIN($AE42,$AD42-SUM($AG42:AQ42))),0)</f>
        <v>0</v>
      </c>
      <c r="AS42" s="8">
        <f>IF($O42="Aktif",MAX(0,MIN($AE42,$AD42-SUM($AG42:AR42))),0)</f>
        <v>0</v>
      </c>
      <c r="AT42" s="8">
        <f>IF($O42="Aktif",MAX(0,MIN($AE42,$AD42-SUM($AG42:AS42))),0)</f>
        <v>0</v>
      </c>
      <c r="AU42" s="8">
        <f>IF($O42="Aktif",MAX(0,MIN($AE42,$AD42-SUM($AG42:AT42))),0)</f>
        <v>0</v>
      </c>
      <c r="AV42" s="8">
        <f>IF($O42="Aktif",MAX(0,MIN($AE42,$AD42-SUM($AG42:AU42))),0)</f>
        <v>0</v>
      </c>
      <c r="AW42" s="8">
        <f t="shared" si="5"/>
        <v>0</v>
      </c>
      <c r="AX42" s="8">
        <f t="shared" si="6"/>
        <v>0</v>
      </c>
    </row>
    <row r="43" spans="1:50" ht="15" customHeight="1" x14ac:dyDescent="0.35">
      <c r="A43" s="102">
        <v>37</v>
      </c>
      <c r="B43" s="102" t="s">
        <v>478</v>
      </c>
      <c r="C43" s="103">
        <v>16</v>
      </c>
      <c r="D43" s="102" t="s">
        <v>183</v>
      </c>
      <c r="E43" s="102" t="s">
        <v>479</v>
      </c>
      <c r="F43" s="102" t="s">
        <v>480</v>
      </c>
      <c r="G43" s="102" t="s">
        <v>481</v>
      </c>
      <c r="H43" s="102" t="s">
        <v>482</v>
      </c>
      <c r="I43" s="102" t="s">
        <v>90</v>
      </c>
      <c r="J43" s="102" t="s">
        <v>503</v>
      </c>
      <c r="K43" s="102"/>
      <c r="L43" s="104">
        <v>40544</v>
      </c>
      <c r="M43" s="102" t="s">
        <v>504</v>
      </c>
      <c r="N43" s="102" t="s">
        <v>505</v>
      </c>
      <c r="O43" s="102" t="s">
        <v>383</v>
      </c>
      <c r="P43" s="103">
        <v>1</v>
      </c>
      <c r="Q43" s="105">
        <v>85400000</v>
      </c>
      <c r="R43" s="103">
        <v>48</v>
      </c>
      <c r="S43" s="105">
        <v>0</v>
      </c>
      <c r="T43" s="105">
        <v>85400000</v>
      </c>
      <c r="U43" s="105">
        <v>0</v>
      </c>
      <c r="V43" s="105">
        <v>0</v>
      </c>
      <c r="W43" s="105">
        <v>0</v>
      </c>
      <c r="X43" s="105">
        <v>0</v>
      </c>
      <c r="Y43" s="105">
        <v>0</v>
      </c>
      <c r="Z43" s="105">
        <v>0</v>
      </c>
      <c r="AA43" s="105">
        <v>0</v>
      </c>
      <c r="AB43" s="105">
        <v>0</v>
      </c>
      <c r="AC43" s="8">
        <f t="shared" si="0"/>
        <v>85400000</v>
      </c>
      <c r="AD43" s="8">
        <f t="shared" si="1"/>
        <v>0</v>
      </c>
      <c r="AE43" s="8">
        <f t="shared" si="2"/>
        <v>0</v>
      </c>
      <c r="AF43" s="106">
        <f t="shared" si="3"/>
        <v>0</v>
      </c>
      <c r="AG43" s="8">
        <f t="shared" si="4"/>
        <v>0</v>
      </c>
      <c r="AH43" s="8">
        <f>IF($O43="Aktif",MAX(0,MIN($AE43,$AD43-SUM($AG43:AG43))),0)</f>
        <v>0</v>
      </c>
      <c r="AI43" s="8">
        <f>IF($O43="Aktif",MAX(0,MIN($AE43,$AD43-SUM($AG43:AH43))),0)</f>
        <v>0</v>
      </c>
      <c r="AJ43" s="8">
        <f>IF($O43="Aktif",MAX(0,MIN($AE43,$AD43-SUM($AG43:AI43))),0)</f>
        <v>0</v>
      </c>
      <c r="AK43" s="8">
        <f>IF($O43="Aktif",MAX(0,MIN($AE43,$AD43-SUM($AG43:AJ43))),0)</f>
        <v>0</v>
      </c>
      <c r="AL43" s="8">
        <f>IF($O43="Aktif",MAX(0,MIN($AE43,$AD43-SUM($AG43:AK43))),0)</f>
        <v>0</v>
      </c>
      <c r="AM43" s="8">
        <f>IF($O43="Aktif",MAX(0,MIN($AE43,$AD43-SUM($AG43:AL43))),0)</f>
        <v>0</v>
      </c>
      <c r="AN43" s="8">
        <f>IF($O43="Aktif",MAX(0,MIN($AE43,$AD43-SUM($AG43:AM43))),0)</f>
        <v>0</v>
      </c>
      <c r="AO43" s="8">
        <f>IF($O43="Aktif",MAX(0,MIN($AE43,$AD43-SUM($AG43:AN43))),0)</f>
        <v>0</v>
      </c>
      <c r="AP43" s="8">
        <f>IF($O43="Aktif",MAX(0,MIN($AE43,$AD43-SUM($AG43:AO43))),0)</f>
        <v>0</v>
      </c>
      <c r="AQ43" s="8">
        <f>IF($O43="Aktif",MAX(0,MIN($AE43,$AD43-SUM($AG43:AP43))),0)</f>
        <v>0</v>
      </c>
      <c r="AR43" s="8">
        <f>IF($O43="Aktif",MAX(0,MIN($AE43,$AD43-SUM($AG43:AQ43))),0)</f>
        <v>0</v>
      </c>
      <c r="AS43" s="8">
        <f>IF($O43="Aktif",MAX(0,MIN($AE43,$AD43-SUM($AG43:AR43))),0)</f>
        <v>0</v>
      </c>
      <c r="AT43" s="8">
        <f>IF($O43="Aktif",MAX(0,MIN($AE43,$AD43-SUM($AG43:AS43))),0)</f>
        <v>0</v>
      </c>
      <c r="AU43" s="8">
        <f>IF($O43="Aktif",MAX(0,MIN($AE43,$AD43-SUM($AG43:AT43))),0)</f>
        <v>0</v>
      </c>
      <c r="AV43" s="8">
        <f>IF($O43="Aktif",MAX(0,MIN($AE43,$AD43-SUM($AG43:AU43))),0)</f>
        <v>0</v>
      </c>
      <c r="AW43" s="8">
        <f t="shared" si="5"/>
        <v>0</v>
      </c>
      <c r="AX43" s="8">
        <f t="shared" si="6"/>
        <v>0</v>
      </c>
    </row>
    <row r="44" spans="1:50" ht="15" customHeight="1" x14ac:dyDescent="0.35">
      <c r="A44" s="102">
        <v>38</v>
      </c>
      <c r="B44" s="102" t="s">
        <v>478</v>
      </c>
      <c r="C44" s="103">
        <v>17</v>
      </c>
      <c r="D44" s="102" t="s">
        <v>183</v>
      </c>
      <c r="E44" s="102" t="s">
        <v>479</v>
      </c>
      <c r="F44" s="102" t="s">
        <v>480</v>
      </c>
      <c r="G44" s="102" t="s">
        <v>481</v>
      </c>
      <c r="H44" s="102" t="s">
        <v>482</v>
      </c>
      <c r="I44" s="102" t="s">
        <v>90</v>
      </c>
      <c r="J44" s="102" t="s">
        <v>506</v>
      </c>
      <c r="K44" s="102"/>
      <c r="L44" s="104">
        <v>41275</v>
      </c>
      <c r="M44" s="102" t="s">
        <v>507</v>
      </c>
      <c r="N44" s="102" t="s">
        <v>508</v>
      </c>
      <c r="O44" s="102" t="s">
        <v>383</v>
      </c>
      <c r="P44" s="103">
        <v>1</v>
      </c>
      <c r="Q44" s="105">
        <v>146000000</v>
      </c>
      <c r="R44" s="103">
        <v>48</v>
      </c>
      <c r="S44" s="105">
        <v>0</v>
      </c>
      <c r="T44" s="105">
        <v>146000000</v>
      </c>
      <c r="U44" s="105">
        <v>0</v>
      </c>
      <c r="V44" s="105">
        <v>0</v>
      </c>
      <c r="W44" s="105">
        <v>0</v>
      </c>
      <c r="X44" s="105">
        <v>0</v>
      </c>
      <c r="Y44" s="105">
        <v>0</v>
      </c>
      <c r="Z44" s="105">
        <v>0</v>
      </c>
      <c r="AA44" s="105">
        <v>0</v>
      </c>
      <c r="AB44" s="105">
        <v>0</v>
      </c>
      <c r="AC44" s="8">
        <f t="shared" si="0"/>
        <v>146000000</v>
      </c>
      <c r="AD44" s="8">
        <f t="shared" si="1"/>
        <v>0</v>
      </c>
      <c r="AE44" s="8">
        <f t="shared" si="2"/>
        <v>0</v>
      </c>
      <c r="AF44" s="106">
        <f t="shared" si="3"/>
        <v>0</v>
      </c>
      <c r="AG44" s="8">
        <f t="shared" si="4"/>
        <v>0</v>
      </c>
      <c r="AH44" s="8">
        <f>IF($O44="Aktif",MAX(0,MIN($AE44,$AD44-SUM($AG44:AG44))),0)</f>
        <v>0</v>
      </c>
      <c r="AI44" s="8">
        <f>IF($O44="Aktif",MAX(0,MIN($AE44,$AD44-SUM($AG44:AH44))),0)</f>
        <v>0</v>
      </c>
      <c r="AJ44" s="8">
        <f>IF($O44="Aktif",MAX(0,MIN($AE44,$AD44-SUM($AG44:AI44))),0)</f>
        <v>0</v>
      </c>
      <c r="AK44" s="8">
        <f>IF($O44="Aktif",MAX(0,MIN($AE44,$AD44-SUM($AG44:AJ44))),0)</f>
        <v>0</v>
      </c>
      <c r="AL44" s="8">
        <f>IF($O44="Aktif",MAX(0,MIN($AE44,$AD44-SUM($AG44:AK44))),0)</f>
        <v>0</v>
      </c>
      <c r="AM44" s="8">
        <f>IF($O44="Aktif",MAX(0,MIN($AE44,$AD44-SUM($AG44:AL44))),0)</f>
        <v>0</v>
      </c>
      <c r="AN44" s="8">
        <f>IF($O44="Aktif",MAX(0,MIN($AE44,$AD44-SUM($AG44:AM44))),0)</f>
        <v>0</v>
      </c>
      <c r="AO44" s="8">
        <f>IF($O44="Aktif",MAX(0,MIN($AE44,$AD44-SUM($AG44:AN44))),0)</f>
        <v>0</v>
      </c>
      <c r="AP44" s="8">
        <f>IF($O44="Aktif",MAX(0,MIN($AE44,$AD44-SUM($AG44:AO44))),0)</f>
        <v>0</v>
      </c>
      <c r="AQ44" s="8">
        <f>IF($O44="Aktif",MAX(0,MIN($AE44,$AD44-SUM($AG44:AP44))),0)</f>
        <v>0</v>
      </c>
      <c r="AR44" s="8">
        <f>IF($O44="Aktif",MAX(0,MIN($AE44,$AD44-SUM($AG44:AQ44))),0)</f>
        <v>0</v>
      </c>
      <c r="AS44" s="8">
        <f>IF($O44="Aktif",MAX(0,MIN($AE44,$AD44-SUM($AG44:AR44))),0)</f>
        <v>0</v>
      </c>
      <c r="AT44" s="8">
        <f>IF($O44="Aktif",MAX(0,MIN($AE44,$AD44-SUM($AG44:AS44))),0)</f>
        <v>0</v>
      </c>
      <c r="AU44" s="8">
        <f>IF($O44="Aktif",MAX(0,MIN($AE44,$AD44-SUM($AG44:AT44))),0)</f>
        <v>0</v>
      </c>
      <c r="AV44" s="8">
        <f>IF($O44="Aktif",MAX(0,MIN($AE44,$AD44-SUM($AG44:AU44))),0)</f>
        <v>0</v>
      </c>
      <c r="AW44" s="8">
        <f t="shared" si="5"/>
        <v>0</v>
      </c>
      <c r="AX44" s="8">
        <f t="shared" si="6"/>
        <v>0</v>
      </c>
    </row>
    <row r="45" spans="1:50" ht="15" customHeight="1" x14ac:dyDescent="0.35">
      <c r="A45" s="102">
        <v>39</v>
      </c>
      <c r="B45" s="102" t="s">
        <v>478</v>
      </c>
      <c r="C45" s="103">
        <v>18</v>
      </c>
      <c r="D45" s="102" t="s">
        <v>183</v>
      </c>
      <c r="E45" s="102" t="s">
        <v>479</v>
      </c>
      <c r="F45" s="102" t="s">
        <v>480</v>
      </c>
      <c r="G45" s="102" t="s">
        <v>481</v>
      </c>
      <c r="H45" s="102" t="s">
        <v>482</v>
      </c>
      <c r="I45" s="102" t="s">
        <v>90</v>
      </c>
      <c r="J45" s="102" t="s">
        <v>509</v>
      </c>
      <c r="K45" s="102"/>
      <c r="L45" s="104">
        <v>41295</v>
      </c>
      <c r="M45" s="102" t="s">
        <v>510</v>
      </c>
      <c r="N45" s="102" t="s">
        <v>511</v>
      </c>
      <c r="O45" s="102" t="s">
        <v>383</v>
      </c>
      <c r="P45" s="103">
        <v>1</v>
      </c>
      <c r="Q45" s="105">
        <v>16090909</v>
      </c>
      <c r="R45" s="103">
        <v>48</v>
      </c>
      <c r="S45" s="105">
        <v>0</v>
      </c>
      <c r="T45" s="105">
        <v>16090909</v>
      </c>
      <c r="U45" s="105">
        <v>0</v>
      </c>
      <c r="V45" s="105">
        <v>0</v>
      </c>
      <c r="W45" s="105">
        <v>0</v>
      </c>
      <c r="X45" s="105">
        <v>0</v>
      </c>
      <c r="Y45" s="105">
        <v>0</v>
      </c>
      <c r="Z45" s="105">
        <v>0</v>
      </c>
      <c r="AA45" s="105">
        <v>0</v>
      </c>
      <c r="AB45" s="105">
        <v>0</v>
      </c>
      <c r="AC45" s="8">
        <f t="shared" si="0"/>
        <v>16090909</v>
      </c>
      <c r="AD45" s="8">
        <f t="shared" si="1"/>
        <v>0</v>
      </c>
      <c r="AE45" s="8">
        <f t="shared" si="2"/>
        <v>0</v>
      </c>
      <c r="AF45" s="106">
        <f t="shared" si="3"/>
        <v>0</v>
      </c>
      <c r="AG45" s="8">
        <f t="shared" si="4"/>
        <v>0</v>
      </c>
      <c r="AH45" s="8">
        <f>IF($O45="Aktif",MAX(0,MIN($AE45,$AD45-SUM($AG45:AG45))),0)</f>
        <v>0</v>
      </c>
      <c r="AI45" s="8">
        <f>IF($O45="Aktif",MAX(0,MIN($AE45,$AD45-SUM($AG45:AH45))),0)</f>
        <v>0</v>
      </c>
      <c r="AJ45" s="8">
        <f>IF($O45="Aktif",MAX(0,MIN($AE45,$AD45-SUM($AG45:AI45))),0)</f>
        <v>0</v>
      </c>
      <c r="AK45" s="8">
        <f>IF($O45="Aktif",MAX(0,MIN($AE45,$AD45-SUM($AG45:AJ45))),0)</f>
        <v>0</v>
      </c>
      <c r="AL45" s="8">
        <f>IF($O45="Aktif",MAX(0,MIN($AE45,$AD45-SUM($AG45:AK45))),0)</f>
        <v>0</v>
      </c>
      <c r="AM45" s="8">
        <f>IF($O45="Aktif",MAX(0,MIN($AE45,$AD45-SUM($AG45:AL45))),0)</f>
        <v>0</v>
      </c>
      <c r="AN45" s="8">
        <f>IF($O45="Aktif",MAX(0,MIN($AE45,$AD45-SUM($AG45:AM45))),0)</f>
        <v>0</v>
      </c>
      <c r="AO45" s="8">
        <f>IF($O45="Aktif",MAX(0,MIN($AE45,$AD45-SUM($AG45:AN45))),0)</f>
        <v>0</v>
      </c>
      <c r="AP45" s="8">
        <f>IF($O45="Aktif",MAX(0,MIN($AE45,$AD45-SUM($AG45:AO45))),0)</f>
        <v>0</v>
      </c>
      <c r="AQ45" s="8">
        <f>IF($O45="Aktif",MAX(0,MIN($AE45,$AD45-SUM($AG45:AP45))),0)</f>
        <v>0</v>
      </c>
      <c r="AR45" s="8">
        <f>IF($O45="Aktif",MAX(0,MIN($AE45,$AD45-SUM($AG45:AQ45))),0)</f>
        <v>0</v>
      </c>
      <c r="AS45" s="8">
        <f>IF($O45="Aktif",MAX(0,MIN($AE45,$AD45-SUM($AG45:AR45))),0)</f>
        <v>0</v>
      </c>
      <c r="AT45" s="8">
        <f>IF($O45="Aktif",MAX(0,MIN($AE45,$AD45-SUM($AG45:AS45))),0)</f>
        <v>0</v>
      </c>
      <c r="AU45" s="8">
        <f>IF($O45="Aktif",MAX(0,MIN($AE45,$AD45-SUM($AG45:AT45))),0)</f>
        <v>0</v>
      </c>
      <c r="AV45" s="8">
        <f>IF($O45="Aktif",MAX(0,MIN($AE45,$AD45-SUM($AG45:AU45))),0)</f>
        <v>0</v>
      </c>
      <c r="AW45" s="8">
        <f t="shared" si="5"/>
        <v>0</v>
      </c>
      <c r="AX45" s="8">
        <f t="shared" si="6"/>
        <v>0</v>
      </c>
    </row>
    <row r="46" spans="1:50" ht="15" customHeight="1" x14ac:dyDescent="0.35">
      <c r="A46" s="102">
        <v>40</v>
      </c>
      <c r="B46" s="102" t="s">
        <v>478</v>
      </c>
      <c r="C46" s="103">
        <v>19</v>
      </c>
      <c r="D46" s="102" t="s">
        <v>183</v>
      </c>
      <c r="E46" s="102" t="s">
        <v>479</v>
      </c>
      <c r="F46" s="102" t="s">
        <v>480</v>
      </c>
      <c r="G46" s="102" t="s">
        <v>481</v>
      </c>
      <c r="H46" s="102" t="s">
        <v>482</v>
      </c>
      <c r="I46" s="102" t="s">
        <v>90</v>
      </c>
      <c r="J46" s="102" t="s">
        <v>512</v>
      </c>
      <c r="K46" s="102"/>
      <c r="L46" s="104">
        <v>41334</v>
      </c>
      <c r="M46" s="102" t="s">
        <v>513</v>
      </c>
      <c r="N46" s="102" t="s">
        <v>514</v>
      </c>
      <c r="O46" s="102" t="s">
        <v>383</v>
      </c>
      <c r="P46" s="103">
        <v>1</v>
      </c>
      <c r="Q46" s="105">
        <v>334500000</v>
      </c>
      <c r="R46" s="103">
        <v>48</v>
      </c>
      <c r="S46" s="105">
        <v>0</v>
      </c>
      <c r="T46" s="105">
        <v>334500000</v>
      </c>
      <c r="U46" s="105">
        <v>0</v>
      </c>
      <c r="V46" s="105">
        <v>0</v>
      </c>
      <c r="W46" s="105">
        <v>0</v>
      </c>
      <c r="X46" s="105">
        <v>0</v>
      </c>
      <c r="Y46" s="105">
        <v>0</v>
      </c>
      <c r="Z46" s="105">
        <v>0</v>
      </c>
      <c r="AA46" s="105">
        <v>0</v>
      </c>
      <c r="AB46" s="105">
        <v>0</v>
      </c>
      <c r="AC46" s="8">
        <f t="shared" si="0"/>
        <v>334500000</v>
      </c>
      <c r="AD46" s="8">
        <f t="shared" si="1"/>
        <v>0</v>
      </c>
      <c r="AE46" s="8">
        <f t="shared" si="2"/>
        <v>0</v>
      </c>
      <c r="AF46" s="106">
        <f t="shared" si="3"/>
        <v>0</v>
      </c>
      <c r="AG46" s="8">
        <f t="shared" si="4"/>
        <v>0</v>
      </c>
      <c r="AH46" s="8">
        <f>IF($O46="Aktif",MAX(0,MIN($AE46,$AD46-SUM($AG46:AG46))),0)</f>
        <v>0</v>
      </c>
      <c r="AI46" s="8">
        <f>IF($O46="Aktif",MAX(0,MIN($AE46,$AD46-SUM($AG46:AH46))),0)</f>
        <v>0</v>
      </c>
      <c r="AJ46" s="8">
        <f>IF($O46="Aktif",MAX(0,MIN($AE46,$AD46-SUM($AG46:AI46))),0)</f>
        <v>0</v>
      </c>
      <c r="AK46" s="8">
        <f>IF($O46="Aktif",MAX(0,MIN($AE46,$AD46-SUM($AG46:AJ46))),0)</f>
        <v>0</v>
      </c>
      <c r="AL46" s="8">
        <f>IF($O46="Aktif",MAX(0,MIN($AE46,$AD46-SUM($AG46:AK46))),0)</f>
        <v>0</v>
      </c>
      <c r="AM46" s="8">
        <f>IF($O46="Aktif",MAX(0,MIN($AE46,$AD46-SUM($AG46:AL46))),0)</f>
        <v>0</v>
      </c>
      <c r="AN46" s="8">
        <f>IF($O46="Aktif",MAX(0,MIN($AE46,$AD46-SUM($AG46:AM46))),0)</f>
        <v>0</v>
      </c>
      <c r="AO46" s="8">
        <f>IF($O46="Aktif",MAX(0,MIN($AE46,$AD46-SUM($AG46:AN46))),0)</f>
        <v>0</v>
      </c>
      <c r="AP46" s="8">
        <f>IF($O46="Aktif",MAX(0,MIN($AE46,$AD46-SUM($AG46:AO46))),0)</f>
        <v>0</v>
      </c>
      <c r="AQ46" s="8">
        <f>IF($O46="Aktif",MAX(0,MIN($AE46,$AD46-SUM($AG46:AP46))),0)</f>
        <v>0</v>
      </c>
      <c r="AR46" s="8">
        <f>IF($O46="Aktif",MAX(0,MIN($AE46,$AD46-SUM($AG46:AQ46))),0)</f>
        <v>0</v>
      </c>
      <c r="AS46" s="8">
        <f>IF($O46="Aktif",MAX(0,MIN($AE46,$AD46-SUM($AG46:AR46))),0)</f>
        <v>0</v>
      </c>
      <c r="AT46" s="8">
        <f>IF($O46="Aktif",MAX(0,MIN($AE46,$AD46-SUM($AG46:AS46))),0)</f>
        <v>0</v>
      </c>
      <c r="AU46" s="8">
        <f>IF($O46="Aktif",MAX(0,MIN($AE46,$AD46-SUM($AG46:AT46))),0)</f>
        <v>0</v>
      </c>
      <c r="AV46" s="8">
        <f>IF($O46="Aktif",MAX(0,MIN($AE46,$AD46-SUM($AG46:AU46))),0)</f>
        <v>0</v>
      </c>
      <c r="AW46" s="8">
        <f t="shared" si="5"/>
        <v>0</v>
      </c>
      <c r="AX46" s="8">
        <f t="shared" si="6"/>
        <v>0</v>
      </c>
    </row>
    <row r="47" spans="1:50" ht="15" customHeight="1" x14ac:dyDescent="0.35">
      <c r="A47" s="102">
        <v>41</v>
      </c>
      <c r="B47" s="102" t="s">
        <v>478</v>
      </c>
      <c r="C47" s="103">
        <v>20</v>
      </c>
      <c r="D47" s="102" t="s">
        <v>183</v>
      </c>
      <c r="E47" s="102" t="s">
        <v>0</v>
      </c>
      <c r="F47" s="102" t="s">
        <v>480</v>
      </c>
      <c r="G47" s="102" t="s">
        <v>481</v>
      </c>
      <c r="H47" s="102" t="s">
        <v>482</v>
      </c>
      <c r="I47" s="102" t="s">
        <v>90</v>
      </c>
      <c r="J47" s="102"/>
      <c r="K47" s="102"/>
      <c r="L47" s="104">
        <v>44260</v>
      </c>
      <c r="M47" s="102" t="s">
        <v>513</v>
      </c>
      <c r="N47" s="102" t="s">
        <v>515</v>
      </c>
      <c r="O47" s="102" t="s">
        <v>487</v>
      </c>
      <c r="P47" s="103">
        <v>1</v>
      </c>
      <c r="Q47" s="105">
        <v>-334500000</v>
      </c>
      <c r="R47" s="102"/>
      <c r="S47" s="105">
        <v>0</v>
      </c>
      <c r="T47" s="105">
        <v>-334500000</v>
      </c>
      <c r="U47" s="105">
        <v>0</v>
      </c>
      <c r="V47" s="105">
        <v>0</v>
      </c>
      <c r="W47" s="105">
        <v>0</v>
      </c>
      <c r="X47" s="105">
        <v>0</v>
      </c>
      <c r="Y47" s="105">
        <v>0</v>
      </c>
      <c r="Z47" s="105">
        <v>0</v>
      </c>
      <c r="AA47" s="105">
        <v>0</v>
      </c>
      <c r="AB47" s="105">
        <v>0</v>
      </c>
      <c r="AC47" s="8">
        <f t="shared" si="0"/>
        <v>-334500000</v>
      </c>
      <c r="AD47" s="8">
        <f t="shared" si="1"/>
        <v>0</v>
      </c>
      <c r="AE47" s="8">
        <f t="shared" si="2"/>
        <v>0</v>
      </c>
      <c r="AF47" s="106">
        <f t="shared" si="3"/>
        <v>0</v>
      </c>
      <c r="AG47" s="8">
        <f t="shared" si="4"/>
        <v>0</v>
      </c>
      <c r="AH47" s="8">
        <f>IF($O47="Aktif",MAX(0,MIN($AE47,$AD47-SUM($AG47:AG47))),0)</f>
        <v>0</v>
      </c>
      <c r="AI47" s="8">
        <f>IF($O47="Aktif",MAX(0,MIN($AE47,$AD47-SUM($AG47:AH47))),0)</f>
        <v>0</v>
      </c>
      <c r="AJ47" s="8">
        <f>IF($O47="Aktif",MAX(0,MIN($AE47,$AD47-SUM($AG47:AI47))),0)</f>
        <v>0</v>
      </c>
      <c r="AK47" s="8">
        <f>IF($O47="Aktif",MAX(0,MIN($AE47,$AD47-SUM($AG47:AJ47))),0)</f>
        <v>0</v>
      </c>
      <c r="AL47" s="8">
        <f>IF($O47="Aktif",MAX(0,MIN($AE47,$AD47-SUM($AG47:AK47))),0)</f>
        <v>0</v>
      </c>
      <c r="AM47" s="8">
        <f>IF($O47="Aktif",MAX(0,MIN($AE47,$AD47-SUM($AG47:AL47))),0)</f>
        <v>0</v>
      </c>
      <c r="AN47" s="8">
        <f>IF($O47="Aktif",MAX(0,MIN($AE47,$AD47-SUM($AG47:AM47))),0)</f>
        <v>0</v>
      </c>
      <c r="AO47" s="8">
        <f>IF($O47="Aktif",MAX(0,MIN($AE47,$AD47-SUM($AG47:AN47))),0)</f>
        <v>0</v>
      </c>
      <c r="AP47" s="8">
        <f>IF($O47="Aktif",MAX(0,MIN($AE47,$AD47-SUM($AG47:AO47))),0)</f>
        <v>0</v>
      </c>
      <c r="AQ47" s="8">
        <f>IF($O47="Aktif",MAX(0,MIN($AE47,$AD47-SUM($AG47:AP47))),0)</f>
        <v>0</v>
      </c>
      <c r="AR47" s="8">
        <f>IF($O47="Aktif",MAX(0,MIN($AE47,$AD47-SUM($AG47:AQ47))),0)</f>
        <v>0</v>
      </c>
      <c r="AS47" s="8">
        <f>IF($O47="Aktif",MAX(0,MIN($AE47,$AD47-SUM($AG47:AR47))),0)</f>
        <v>0</v>
      </c>
      <c r="AT47" s="8">
        <f>IF($O47="Aktif",MAX(0,MIN($AE47,$AD47-SUM($AG47:AS47))),0)</f>
        <v>0</v>
      </c>
      <c r="AU47" s="8">
        <f>IF($O47="Aktif",MAX(0,MIN($AE47,$AD47-SUM($AG47:AT47))),0)</f>
        <v>0</v>
      </c>
      <c r="AV47" s="8">
        <f>IF($O47="Aktif",MAX(0,MIN($AE47,$AD47-SUM($AG47:AU47))),0)</f>
        <v>0</v>
      </c>
      <c r="AW47" s="8">
        <f t="shared" si="5"/>
        <v>0</v>
      </c>
      <c r="AX47" s="8">
        <f t="shared" si="6"/>
        <v>0</v>
      </c>
    </row>
    <row r="48" spans="1:50" ht="15" customHeight="1" x14ac:dyDescent="0.35">
      <c r="A48" s="102">
        <v>42</v>
      </c>
      <c r="B48" s="102" t="s">
        <v>478</v>
      </c>
      <c r="C48" s="103">
        <v>21</v>
      </c>
      <c r="D48" s="102" t="s">
        <v>183</v>
      </c>
      <c r="E48" s="102" t="s">
        <v>479</v>
      </c>
      <c r="F48" s="102" t="s">
        <v>480</v>
      </c>
      <c r="G48" s="102" t="s">
        <v>481</v>
      </c>
      <c r="H48" s="102" t="s">
        <v>482</v>
      </c>
      <c r="I48" s="102" t="s">
        <v>90</v>
      </c>
      <c r="J48" s="102" t="s">
        <v>516</v>
      </c>
      <c r="K48" s="102"/>
      <c r="L48" s="104">
        <v>42038</v>
      </c>
      <c r="M48" s="102" t="s">
        <v>517</v>
      </c>
      <c r="N48" s="102" t="s">
        <v>518</v>
      </c>
      <c r="O48" s="102" t="s">
        <v>383</v>
      </c>
      <c r="P48" s="103">
        <v>1</v>
      </c>
      <c r="Q48" s="105">
        <v>4600000</v>
      </c>
      <c r="R48" s="103">
        <v>48</v>
      </c>
      <c r="S48" s="105">
        <v>0</v>
      </c>
      <c r="T48" s="105">
        <v>4600000</v>
      </c>
      <c r="U48" s="105">
        <v>0</v>
      </c>
      <c r="V48" s="105">
        <v>0</v>
      </c>
      <c r="W48" s="105">
        <v>0</v>
      </c>
      <c r="X48" s="105">
        <v>0</v>
      </c>
      <c r="Y48" s="105">
        <v>0</v>
      </c>
      <c r="Z48" s="105">
        <v>0</v>
      </c>
      <c r="AA48" s="105">
        <v>0</v>
      </c>
      <c r="AB48" s="105">
        <v>0</v>
      </c>
      <c r="AC48" s="8">
        <f t="shared" si="0"/>
        <v>4600000</v>
      </c>
      <c r="AD48" s="8">
        <f t="shared" si="1"/>
        <v>0</v>
      </c>
      <c r="AE48" s="8">
        <f t="shared" si="2"/>
        <v>0</v>
      </c>
      <c r="AF48" s="106">
        <f t="shared" si="3"/>
        <v>0</v>
      </c>
      <c r="AG48" s="8">
        <f t="shared" si="4"/>
        <v>0</v>
      </c>
      <c r="AH48" s="8">
        <f>IF($O48="Aktif",MAX(0,MIN($AE48,$AD48-SUM($AG48:AG48))),0)</f>
        <v>0</v>
      </c>
      <c r="AI48" s="8">
        <f>IF($O48="Aktif",MAX(0,MIN($AE48,$AD48-SUM($AG48:AH48))),0)</f>
        <v>0</v>
      </c>
      <c r="AJ48" s="8">
        <f>IF($O48="Aktif",MAX(0,MIN($AE48,$AD48-SUM($AG48:AI48))),0)</f>
        <v>0</v>
      </c>
      <c r="AK48" s="8">
        <f>IF($O48="Aktif",MAX(0,MIN($AE48,$AD48-SUM($AG48:AJ48))),0)</f>
        <v>0</v>
      </c>
      <c r="AL48" s="8">
        <f>IF($O48="Aktif",MAX(0,MIN($AE48,$AD48-SUM($AG48:AK48))),0)</f>
        <v>0</v>
      </c>
      <c r="AM48" s="8">
        <f>IF($O48="Aktif",MAX(0,MIN($AE48,$AD48-SUM($AG48:AL48))),0)</f>
        <v>0</v>
      </c>
      <c r="AN48" s="8">
        <f>IF($O48="Aktif",MAX(0,MIN($AE48,$AD48-SUM($AG48:AM48))),0)</f>
        <v>0</v>
      </c>
      <c r="AO48" s="8">
        <f>IF($O48="Aktif",MAX(0,MIN($AE48,$AD48-SUM($AG48:AN48))),0)</f>
        <v>0</v>
      </c>
      <c r="AP48" s="8">
        <f>IF($O48="Aktif",MAX(0,MIN($AE48,$AD48-SUM($AG48:AO48))),0)</f>
        <v>0</v>
      </c>
      <c r="AQ48" s="8">
        <f>IF($O48="Aktif",MAX(0,MIN($AE48,$AD48-SUM($AG48:AP48))),0)</f>
        <v>0</v>
      </c>
      <c r="AR48" s="8">
        <f>IF($O48="Aktif",MAX(0,MIN($AE48,$AD48-SUM($AG48:AQ48))),0)</f>
        <v>0</v>
      </c>
      <c r="AS48" s="8">
        <f>IF($O48="Aktif",MAX(0,MIN($AE48,$AD48-SUM($AG48:AR48))),0)</f>
        <v>0</v>
      </c>
      <c r="AT48" s="8">
        <f>IF($O48="Aktif",MAX(0,MIN($AE48,$AD48-SUM($AG48:AS48))),0)</f>
        <v>0</v>
      </c>
      <c r="AU48" s="8">
        <f>IF($O48="Aktif",MAX(0,MIN($AE48,$AD48-SUM($AG48:AT48))),0)</f>
        <v>0</v>
      </c>
      <c r="AV48" s="8">
        <f>IF($O48="Aktif",MAX(0,MIN($AE48,$AD48-SUM($AG48:AU48))),0)</f>
        <v>0</v>
      </c>
      <c r="AW48" s="8">
        <f t="shared" si="5"/>
        <v>0</v>
      </c>
      <c r="AX48" s="8">
        <f t="shared" si="6"/>
        <v>0</v>
      </c>
    </row>
    <row r="49" spans="1:50" ht="15" customHeight="1" x14ac:dyDescent="0.35">
      <c r="A49" s="102">
        <v>43</v>
      </c>
      <c r="B49" s="102" t="s">
        <v>478</v>
      </c>
      <c r="C49" s="103">
        <v>22</v>
      </c>
      <c r="D49" s="102" t="s">
        <v>183</v>
      </c>
      <c r="E49" s="102" t="s">
        <v>479</v>
      </c>
      <c r="F49" s="102" t="s">
        <v>480</v>
      </c>
      <c r="G49" s="102" t="s">
        <v>481</v>
      </c>
      <c r="H49" s="102" t="s">
        <v>482</v>
      </c>
      <c r="I49" s="102" t="s">
        <v>90</v>
      </c>
      <c r="J49" s="102" t="s">
        <v>519</v>
      </c>
      <c r="K49" s="102"/>
      <c r="L49" s="104">
        <v>42671</v>
      </c>
      <c r="M49" s="102" t="s">
        <v>520</v>
      </c>
      <c r="N49" s="102" t="s">
        <v>521</v>
      </c>
      <c r="O49" s="102" t="s">
        <v>383</v>
      </c>
      <c r="P49" s="103">
        <v>1</v>
      </c>
      <c r="Q49" s="105">
        <v>70000000</v>
      </c>
      <c r="R49" s="103">
        <v>48</v>
      </c>
      <c r="S49" s="105">
        <v>0</v>
      </c>
      <c r="T49" s="105">
        <v>70000000</v>
      </c>
      <c r="U49" s="105">
        <v>0</v>
      </c>
      <c r="V49" s="105">
        <v>0</v>
      </c>
      <c r="W49" s="105">
        <v>0</v>
      </c>
      <c r="X49" s="105">
        <v>0</v>
      </c>
      <c r="Y49" s="105">
        <v>0</v>
      </c>
      <c r="Z49" s="105">
        <v>0</v>
      </c>
      <c r="AA49" s="105">
        <v>0</v>
      </c>
      <c r="AB49" s="105">
        <v>0</v>
      </c>
      <c r="AC49" s="8">
        <f t="shared" si="0"/>
        <v>70000000</v>
      </c>
      <c r="AD49" s="8">
        <f t="shared" si="1"/>
        <v>0</v>
      </c>
      <c r="AE49" s="8">
        <f t="shared" si="2"/>
        <v>0</v>
      </c>
      <c r="AF49" s="106">
        <f t="shared" si="3"/>
        <v>0</v>
      </c>
      <c r="AG49" s="8">
        <f t="shared" si="4"/>
        <v>0</v>
      </c>
      <c r="AH49" s="8">
        <f>IF($O49="Aktif",MAX(0,MIN($AE49,$AD49-SUM($AG49:AG49))),0)</f>
        <v>0</v>
      </c>
      <c r="AI49" s="8">
        <f>IF($O49="Aktif",MAX(0,MIN($AE49,$AD49-SUM($AG49:AH49))),0)</f>
        <v>0</v>
      </c>
      <c r="AJ49" s="8">
        <f>IF($O49="Aktif",MAX(0,MIN($AE49,$AD49-SUM($AG49:AI49))),0)</f>
        <v>0</v>
      </c>
      <c r="AK49" s="8">
        <f>IF($O49="Aktif",MAX(0,MIN($AE49,$AD49-SUM($AG49:AJ49))),0)</f>
        <v>0</v>
      </c>
      <c r="AL49" s="8">
        <f>IF($O49="Aktif",MAX(0,MIN($AE49,$AD49-SUM($AG49:AK49))),0)</f>
        <v>0</v>
      </c>
      <c r="AM49" s="8">
        <f>IF($O49="Aktif",MAX(0,MIN($AE49,$AD49-SUM($AG49:AL49))),0)</f>
        <v>0</v>
      </c>
      <c r="AN49" s="8">
        <f>IF($O49="Aktif",MAX(0,MIN($AE49,$AD49-SUM($AG49:AM49))),0)</f>
        <v>0</v>
      </c>
      <c r="AO49" s="8">
        <f>IF($O49="Aktif",MAX(0,MIN($AE49,$AD49-SUM($AG49:AN49))),0)</f>
        <v>0</v>
      </c>
      <c r="AP49" s="8">
        <f>IF($O49="Aktif",MAX(0,MIN($AE49,$AD49-SUM($AG49:AO49))),0)</f>
        <v>0</v>
      </c>
      <c r="AQ49" s="8">
        <f>IF($O49="Aktif",MAX(0,MIN($AE49,$AD49-SUM($AG49:AP49))),0)</f>
        <v>0</v>
      </c>
      <c r="AR49" s="8">
        <f>IF($O49="Aktif",MAX(0,MIN($AE49,$AD49-SUM($AG49:AQ49))),0)</f>
        <v>0</v>
      </c>
      <c r="AS49" s="8">
        <f>IF($O49="Aktif",MAX(0,MIN($AE49,$AD49-SUM($AG49:AR49))),0)</f>
        <v>0</v>
      </c>
      <c r="AT49" s="8">
        <f>IF($O49="Aktif",MAX(0,MIN($AE49,$AD49-SUM($AG49:AS49))),0)</f>
        <v>0</v>
      </c>
      <c r="AU49" s="8">
        <f>IF($O49="Aktif",MAX(0,MIN($AE49,$AD49-SUM($AG49:AT49))),0)</f>
        <v>0</v>
      </c>
      <c r="AV49" s="8">
        <f>IF($O49="Aktif",MAX(0,MIN($AE49,$AD49-SUM($AG49:AU49))),0)</f>
        <v>0</v>
      </c>
      <c r="AW49" s="8">
        <f t="shared" si="5"/>
        <v>0</v>
      </c>
      <c r="AX49" s="8">
        <f t="shared" si="6"/>
        <v>0</v>
      </c>
    </row>
    <row r="50" spans="1:50" ht="15" customHeight="1" x14ac:dyDescent="0.35">
      <c r="A50" s="102">
        <v>44</v>
      </c>
      <c r="B50" s="102" t="s">
        <v>478</v>
      </c>
      <c r="C50" s="103">
        <v>23</v>
      </c>
      <c r="D50" s="102" t="s">
        <v>183</v>
      </c>
      <c r="E50" s="102" t="s">
        <v>479</v>
      </c>
      <c r="F50" s="102" t="s">
        <v>480</v>
      </c>
      <c r="G50" s="102" t="s">
        <v>481</v>
      </c>
      <c r="H50" s="102" t="s">
        <v>482</v>
      </c>
      <c r="I50" s="102" t="s">
        <v>90</v>
      </c>
      <c r="J50" s="102"/>
      <c r="K50" s="102"/>
      <c r="L50" s="104">
        <v>39783</v>
      </c>
      <c r="M50" s="102" t="s">
        <v>522</v>
      </c>
      <c r="N50" s="102" t="s">
        <v>523</v>
      </c>
      <c r="O50" s="102" t="s">
        <v>383</v>
      </c>
      <c r="P50" s="103">
        <v>1</v>
      </c>
      <c r="Q50" s="105">
        <v>72179250</v>
      </c>
      <c r="R50" s="103">
        <v>48</v>
      </c>
      <c r="S50" s="105">
        <v>0</v>
      </c>
      <c r="T50" s="105">
        <v>72179250</v>
      </c>
      <c r="U50" s="105">
        <v>0</v>
      </c>
      <c r="V50" s="105">
        <v>0</v>
      </c>
      <c r="W50" s="105">
        <v>0</v>
      </c>
      <c r="X50" s="105">
        <v>0</v>
      </c>
      <c r="Y50" s="105">
        <v>0</v>
      </c>
      <c r="Z50" s="105">
        <v>0</v>
      </c>
      <c r="AA50" s="105">
        <v>0</v>
      </c>
      <c r="AB50" s="105">
        <v>0</v>
      </c>
      <c r="AC50" s="8">
        <f t="shared" si="0"/>
        <v>72179250</v>
      </c>
      <c r="AD50" s="8">
        <f t="shared" si="1"/>
        <v>0</v>
      </c>
      <c r="AE50" s="8">
        <f t="shared" si="2"/>
        <v>0</v>
      </c>
      <c r="AF50" s="106">
        <f t="shared" si="3"/>
        <v>0</v>
      </c>
      <c r="AG50" s="8">
        <f t="shared" si="4"/>
        <v>0</v>
      </c>
      <c r="AH50" s="8">
        <f>IF($O50="Aktif",MAX(0,MIN($AE50,$AD50-SUM($AG50:AG50))),0)</f>
        <v>0</v>
      </c>
      <c r="AI50" s="8">
        <f>IF($O50="Aktif",MAX(0,MIN($AE50,$AD50-SUM($AG50:AH50))),0)</f>
        <v>0</v>
      </c>
      <c r="AJ50" s="8">
        <f>IF($O50="Aktif",MAX(0,MIN($AE50,$AD50-SUM($AG50:AI50))),0)</f>
        <v>0</v>
      </c>
      <c r="AK50" s="8">
        <f>IF($O50="Aktif",MAX(0,MIN($AE50,$AD50-SUM($AG50:AJ50))),0)</f>
        <v>0</v>
      </c>
      <c r="AL50" s="8">
        <f>IF($O50="Aktif",MAX(0,MIN($AE50,$AD50-SUM($AG50:AK50))),0)</f>
        <v>0</v>
      </c>
      <c r="AM50" s="8">
        <f>IF($O50="Aktif",MAX(0,MIN($AE50,$AD50-SUM($AG50:AL50))),0)</f>
        <v>0</v>
      </c>
      <c r="AN50" s="8">
        <f>IF($O50="Aktif",MAX(0,MIN($AE50,$AD50-SUM($AG50:AM50))),0)</f>
        <v>0</v>
      </c>
      <c r="AO50" s="8">
        <f>IF($O50="Aktif",MAX(0,MIN($AE50,$AD50-SUM($AG50:AN50))),0)</f>
        <v>0</v>
      </c>
      <c r="AP50" s="8">
        <f>IF($O50="Aktif",MAX(0,MIN($AE50,$AD50-SUM($AG50:AO50))),0)</f>
        <v>0</v>
      </c>
      <c r="AQ50" s="8">
        <f>IF($O50="Aktif",MAX(0,MIN($AE50,$AD50-SUM($AG50:AP50))),0)</f>
        <v>0</v>
      </c>
      <c r="AR50" s="8">
        <f>IF($O50="Aktif",MAX(0,MIN($AE50,$AD50-SUM($AG50:AQ50))),0)</f>
        <v>0</v>
      </c>
      <c r="AS50" s="8">
        <f>IF($O50="Aktif",MAX(0,MIN($AE50,$AD50-SUM($AG50:AR50))),0)</f>
        <v>0</v>
      </c>
      <c r="AT50" s="8">
        <f>IF($O50="Aktif",MAX(0,MIN($AE50,$AD50-SUM($AG50:AS50))),0)</f>
        <v>0</v>
      </c>
      <c r="AU50" s="8">
        <f>IF($O50="Aktif",MAX(0,MIN($AE50,$AD50-SUM($AG50:AT50))),0)</f>
        <v>0</v>
      </c>
      <c r="AV50" s="8">
        <f>IF($O50="Aktif",MAX(0,MIN($AE50,$AD50-SUM($AG50:AU50))),0)</f>
        <v>0</v>
      </c>
      <c r="AW50" s="8">
        <f t="shared" si="5"/>
        <v>0</v>
      </c>
      <c r="AX50" s="8">
        <f t="shared" si="6"/>
        <v>0</v>
      </c>
    </row>
    <row r="51" spans="1:50" ht="15" customHeight="1" x14ac:dyDescent="0.35">
      <c r="A51" s="102">
        <v>45</v>
      </c>
      <c r="B51" s="102" t="s">
        <v>478</v>
      </c>
      <c r="C51" s="103">
        <v>24</v>
      </c>
      <c r="D51" s="102" t="s">
        <v>183</v>
      </c>
      <c r="E51" s="102" t="s">
        <v>479</v>
      </c>
      <c r="F51" s="102" t="s">
        <v>480</v>
      </c>
      <c r="G51" s="102" t="s">
        <v>481</v>
      </c>
      <c r="H51" s="102" t="s">
        <v>482</v>
      </c>
      <c r="I51" s="102" t="s">
        <v>90</v>
      </c>
      <c r="J51" s="102" t="s">
        <v>524</v>
      </c>
      <c r="K51" s="102"/>
      <c r="L51" s="104">
        <v>42783</v>
      </c>
      <c r="M51" s="102" t="s">
        <v>525</v>
      </c>
      <c r="N51" s="102" t="s">
        <v>526</v>
      </c>
      <c r="O51" s="102" t="s">
        <v>383</v>
      </c>
      <c r="P51" s="103">
        <v>1</v>
      </c>
      <c r="Q51" s="105">
        <v>100000000</v>
      </c>
      <c r="R51" s="103">
        <v>48</v>
      </c>
      <c r="S51" s="105">
        <v>2083333.33333333</v>
      </c>
      <c r="T51" s="105">
        <v>100000000</v>
      </c>
      <c r="U51" s="105">
        <v>0</v>
      </c>
      <c r="V51" s="105">
        <v>0</v>
      </c>
      <c r="W51" s="105">
        <v>0</v>
      </c>
      <c r="X51" s="105">
        <v>0</v>
      </c>
      <c r="Y51" s="105">
        <v>0</v>
      </c>
      <c r="Z51" s="105">
        <v>0</v>
      </c>
      <c r="AA51" s="105">
        <v>0</v>
      </c>
      <c r="AB51" s="105">
        <v>0</v>
      </c>
      <c r="AC51" s="8">
        <f t="shared" si="0"/>
        <v>100000000</v>
      </c>
      <c r="AD51" s="8">
        <f t="shared" si="1"/>
        <v>0</v>
      </c>
      <c r="AE51" s="8">
        <f t="shared" si="2"/>
        <v>0</v>
      </c>
      <c r="AF51" s="106">
        <f t="shared" si="3"/>
        <v>0</v>
      </c>
      <c r="AG51" s="8">
        <f t="shared" si="4"/>
        <v>0</v>
      </c>
      <c r="AH51" s="8">
        <f>IF($O51="Aktif",MAX(0,MIN($AE51,$AD51-SUM($AG51:AG51))),0)</f>
        <v>0</v>
      </c>
      <c r="AI51" s="8">
        <f>IF($O51="Aktif",MAX(0,MIN($AE51,$AD51-SUM($AG51:AH51))),0)</f>
        <v>0</v>
      </c>
      <c r="AJ51" s="8">
        <f>IF($O51="Aktif",MAX(0,MIN($AE51,$AD51-SUM($AG51:AI51))),0)</f>
        <v>0</v>
      </c>
      <c r="AK51" s="8">
        <f>IF($O51="Aktif",MAX(0,MIN($AE51,$AD51-SUM($AG51:AJ51))),0)</f>
        <v>0</v>
      </c>
      <c r="AL51" s="8">
        <f>IF($O51="Aktif",MAX(0,MIN($AE51,$AD51-SUM($AG51:AK51))),0)</f>
        <v>0</v>
      </c>
      <c r="AM51" s="8">
        <f>IF($O51="Aktif",MAX(0,MIN($AE51,$AD51-SUM($AG51:AL51))),0)</f>
        <v>0</v>
      </c>
      <c r="AN51" s="8">
        <f>IF($O51="Aktif",MAX(0,MIN($AE51,$AD51-SUM($AG51:AM51))),0)</f>
        <v>0</v>
      </c>
      <c r="AO51" s="8">
        <f>IF($O51="Aktif",MAX(0,MIN($AE51,$AD51-SUM($AG51:AN51))),0)</f>
        <v>0</v>
      </c>
      <c r="AP51" s="8">
        <f>IF($O51="Aktif",MAX(0,MIN($AE51,$AD51-SUM($AG51:AO51))),0)</f>
        <v>0</v>
      </c>
      <c r="AQ51" s="8">
        <f>IF($O51="Aktif",MAX(0,MIN($AE51,$AD51-SUM($AG51:AP51))),0)</f>
        <v>0</v>
      </c>
      <c r="AR51" s="8">
        <f>IF($O51="Aktif",MAX(0,MIN($AE51,$AD51-SUM($AG51:AQ51))),0)</f>
        <v>0</v>
      </c>
      <c r="AS51" s="8">
        <f>IF($O51="Aktif",MAX(0,MIN($AE51,$AD51-SUM($AG51:AR51))),0)</f>
        <v>0</v>
      </c>
      <c r="AT51" s="8">
        <f>IF($O51="Aktif",MAX(0,MIN($AE51,$AD51-SUM($AG51:AS51))),0)</f>
        <v>0</v>
      </c>
      <c r="AU51" s="8">
        <f>IF($O51="Aktif",MAX(0,MIN($AE51,$AD51-SUM($AG51:AT51))),0)</f>
        <v>0</v>
      </c>
      <c r="AV51" s="8">
        <f>IF($O51="Aktif",MAX(0,MIN($AE51,$AD51-SUM($AG51:AU51))),0)</f>
        <v>0</v>
      </c>
      <c r="AW51" s="8">
        <f t="shared" si="5"/>
        <v>0</v>
      </c>
      <c r="AX51" s="8">
        <f t="shared" si="6"/>
        <v>0</v>
      </c>
    </row>
    <row r="52" spans="1:50" ht="15" customHeight="1" x14ac:dyDescent="0.35">
      <c r="A52" s="102">
        <v>46</v>
      </c>
      <c r="B52" s="102" t="s">
        <v>478</v>
      </c>
      <c r="C52" s="103">
        <v>25</v>
      </c>
      <c r="D52" s="102" t="s">
        <v>183</v>
      </c>
      <c r="E52" s="102" t="s">
        <v>479</v>
      </c>
      <c r="F52" s="102" t="s">
        <v>480</v>
      </c>
      <c r="G52" s="102" t="s">
        <v>481</v>
      </c>
      <c r="H52" s="102" t="s">
        <v>482</v>
      </c>
      <c r="I52" s="102" t="s">
        <v>90</v>
      </c>
      <c r="J52" s="102" t="s">
        <v>527</v>
      </c>
      <c r="K52" s="102"/>
      <c r="L52" s="104">
        <v>42978</v>
      </c>
      <c r="M52" s="102" t="s">
        <v>528</v>
      </c>
      <c r="N52" s="102" t="s">
        <v>529</v>
      </c>
      <c r="O52" s="102" t="s">
        <v>383</v>
      </c>
      <c r="P52" s="103">
        <v>1</v>
      </c>
      <c r="Q52" s="105">
        <v>426800000</v>
      </c>
      <c r="R52" s="103">
        <v>48</v>
      </c>
      <c r="S52" s="105">
        <v>8891666.6666666698</v>
      </c>
      <c r="T52" s="105">
        <v>417908333.33333302</v>
      </c>
      <c r="U52" s="105">
        <v>0</v>
      </c>
      <c r="V52" s="105">
        <v>0</v>
      </c>
      <c r="W52" s="105">
        <v>0</v>
      </c>
      <c r="X52" s="105">
        <v>0</v>
      </c>
      <c r="Y52" s="105">
        <v>0</v>
      </c>
      <c r="Z52" s="105">
        <v>0</v>
      </c>
      <c r="AA52" s="105">
        <v>0</v>
      </c>
      <c r="AB52" s="105">
        <v>0</v>
      </c>
      <c r="AC52" s="8">
        <f t="shared" si="0"/>
        <v>417908333.33333302</v>
      </c>
      <c r="AD52" s="8">
        <f t="shared" si="1"/>
        <v>8891666.6666669846</v>
      </c>
      <c r="AE52" s="8">
        <f t="shared" si="2"/>
        <v>0</v>
      </c>
      <c r="AF52" s="106">
        <f t="shared" si="3"/>
        <v>0</v>
      </c>
      <c r="AG52" s="8">
        <f t="shared" si="4"/>
        <v>0</v>
      </c>
      <c r="AH52" s="8">
        <f>IF($O52="Aktif",MAX(0,MIN($AE52,$AD52-SUM($AG52:AG52))),0)</f>
        <v>0</v>
      </c>
      <c r="AI52" s="8">
        <f>IF($O52="Aktif",MAX(0,MIN($AE52,$AD52-SUM($AG52:AH52))),0)</f>
        <v>0</v>
      </c>
      <c r="AJ52" s="8">
        <f>IF($O52="Aktif",MAX(0,MIN($AE52,$AD52-SUM($AG52:AI52))),0)</f>
        <v>0</v>
      </c>
      <c r="AK52" s="8">
        <f>IF($O52="Aktif",MAX(0,MIN($AE52,$AD52-SUM($AG52:AJ52))),0)</f>
        <v>0</v>
      </c>
      <c r="AL52" s="8">
        <f>IF($O52="Aktif",MAX(0,MIN($AE52,$AD52-SUM($AG52:AK52))),0)</f>
        <v>0</v>
      </c>
      <c r="AM52" s="8">
        <f>IF($O52="Aktif",MAX(0,MIN($AE52,$AD52-SUM($AG52:AL52))),0)</f>
        <v>0</v>
      </c>
      <c r="AN52" s="8">
        <f>IF($O52="Aktif",MAX(0,MIN($AE52,$AD52-SUM($AG52:AM52))),0)</f>
        <v>0</v>
      </c>
      <c r="AO52" s="8">
        <f>IF($O52="Aktif",MAX(0,MIN($AE52,$AD52-SUM($AG52:AN52))),0)</f>
        <v>0</v>
      </c>
      <c r="AP52" s="8">
        <f>IF($O52="Aktif",MAX(0,MIN($AE52,$AD52-SUM($AG52:AO52))),0)</f>
        <v>0</v>
      </c>
      <c r="AQ52" s="8">
        <f>IF($O52="Aktif",MAX(0,MIN($AE52,$AD52-SUM($AG52:AP52))),0)</f>
        <v>0</v>
      </c>
      <c r="AR52" s="8">
        <f>IF($O52="Aktif",MAX(0,MIN($AE52,$AD52-SUM($AG52:AQ52))),0)</f>
        <v>0</v>
      </c>
      <c r="AS52" s="8">
        <f>IF($O52="Aktif",MAX(0,MIN($AE52,$AD52-SUM($AG52:AR52))),0)</f>
        <v>0</v>
      </c>
      <c r="AT52" s="8">
        <f>IF($O52="Aktif",MAX(0,MIN($AE52,$AD52-SUM($AG52:AS52))),0)</f>
        <v>0</v>
      </c>
      <c r="AU52" s="8">
        <f>IF($O52="Aktif",MAX(0,MIN($AE52,$AD52-SUM($AG52:AT52))),0)</f>
        <v>0</v>
      </c>
      <c r="AV52" s="8">
        <f>IF($O52="Aktif",MAX(0,MIN($AE52,$AD52-SUM($AG52:AU52))),0)</f>
        <v>0</v>
      </c>
      <c r="AW52" s="8">
        <f t="shared" si="5"/>
        <v>0</v>
      </c>
      <c r="AX52" s="8">
        <f t="shared" si="6"/>
        <v>8891666.6666669846</v>
      </c>
    </row>
    <row r="53" spans="1:50" ht="15" customHeight="1" x14ac:dyDescent="0.35">
      <c r="A53" s="102">
        <v>47</v>
      </c>
      <c r="B53" s="102" t="s">
        <v>478</v>
      </c>
      <c r="C53" s="103">
        <v>26</v>
      </c>
      <c r="D53" s="102" t="s">
        <v>183</v>
      </c>
      <c r="E53" s="102" t="s">
        <v>0</v>
      </c>
      <c r="F53" s="102" t="s">
        <v>480</v>
      </c>
      <c r="G53" s="102" t="s">
        <v>481</v>
      </c>
      <c r="H53" s="102" t="s">
        <v>482</v>
      </c>
      <c r="I53" s="102" t="s">
        <v>90</v>
      </c>
      <c r="J53" s="102" t="s">
        <v>530</v>
      </c>
      <c r="K53" s="102"/>
      <c r="L53" s="104">
        <v>44349</v>
      </c>
      <c r="M53" s="102" t="s">
        <v>528</v>
      </c>
      <c r="N53" s="102" t="s">
        <v>531</v>
      </c>
      <c r="O53" s="102" t="s">
        <v>487</v>
      </c>
      <c r="P53" s="103">
        <v>1</v>
      </c>
      <c r="Q53" s="105">
        <v>-426800000</v>
      </c>
      <c r="R53" s="102"/>
      <c r="S53" s="105">
        <v>0</v>
      </c>
      <c r="T53" s="105">
        <v>-417908333.33333302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Z53" s="105">
        <v>0</v>
      </c>
      <c r="AA53" s="105">
        <v>0</v>
      </c>
      <c r="AB53" s="105">
        <v>0</v>
      </c>
      <c r="AC53" s="8">
        <f t="shared" si="0"/>
        <v>-417908333.33333302</v>
      </c>
      <c r="AD53" s="8">
        <f t="shared" si="1"/>
        <v>-8891666.6666669846</v>
      </c>
      <c r="AE53" s="8">
        <f t="shared" si="2"/>
        <v>0</v>
      </c>
      <c r="AF53" s="106">
        <f t="shared" si="3"/>
        <v>0</v>
      </c>
      <c r="AG53" s="8">
        <f t="shared" si="4"/>
        <v>0</v>
      </c>
      <c r="AH53" s="8">
        <f>IF($O53="Aktif",MAX(0,MIN($AE53,$AD53-SUM($AG53:AG53))),0)</f>
        <v>0</v>
      </c>
      <c r="AI53" s="8">
        <f>IF($O53="Aktif",MAX(0,MIN($AE53,$AD53-SUM($AG53:AH53))),0)</f>
        <v>0</v>
      </c>
      <c r="AJ53" s="8">
        <f>IF($O53="Aktif",MAX(0,MIN($AE53,$AD53-SUM($AG53:AI53))),0)</f>
        <v>0</v>
      </c>
      <c r="AK53" s="8">
        <f>IF($O53="Aktif",MAX(0,MIN($AE53,$AD53-SUM($AG53:AJ53))),0)</f>
        <v>0</v>
      </c>
      <c r="AL53" s="8">
        <f>IF($O53="Aktif",MAX(0,MIN($AE53,$AD53-SUM($AG53:AK53))),0)</f>
        <v>0</v>
      </c>
      <c r="AM53" s="8">
        <f>IF($O53="Aktif",MAX(0,MIN($AE53,$AD53-SUM($AG53:AL53))),0)</f>
        <v>0</v>
      </c>
      <c r="AN53" s="8">
        <f>IF($O53="Aktif",MAX(0,MIN($AE53,$AD53-SUM($AG53:AM53))),0)</f>
        <v>0</v>
      </c>
      <c r="AO53" s="8">
        <f>IF($O53="Aktif",MAX(0,MIN($AE53,$AD53-SUM($AG53:AN53))),0)</f>
        <v>0</v>
      </c>
      <c r="AP53" s="8">
        <f>IF($O53="Aktif",MAX(0,MIN($AE53,$AD53-SUM($AG53:AO53))),0)</f>
        <v>0</v>
      </c>
      <c r="AQ53" s="8">
        <f>IF($O53="Aktif",MAX(0,MIN($AE53,$AD53-SUM($AG53:AP53))),0)</f>
        <v>0</v>
      </c>
      <c r="AR53" s="8">
        <f>IF($O53="Aktif",MAX(0,MIN($AE53,$AD53-SUM($AG53:AQ53))),0)</f>
        <v>0</v>
      </c>
      <c r="AS53" s="8">
        <f>IF($O53="Aktif",MAX(0,MIN($AE53,$AD53-SUM($AG53:AR53))),0)</f>
        <v>0</v>
      </c>
      <c r="AT53" s="8">
        <f>IF($O53="Aktif",MAX(0,MIN($AE53,$AD53-SUM($AG53:AS53))),0)</f>
        <v>0</v>
      </c>
      <c r="AU53" s="8">
        <f>IF($O53="Aktif",MAX(0,MIN($AE53,$AD53-SUM($AG53:AT53))),0)</f>
        <v>0</v>
      </c>
      <c r="AV53" s="8">
        <f>IF($O53="Aktif",MAX(0,MIN($AE53,$AD53-SUM($AG53:AU53))),0)</f>
        <v>0</v>
      </c>
      <c r="AW53" s="8">
        <f t="shared" si="5"/>
        <v>0</v>
      </c>
      <c r="AX53" s="8">
        <f t="shared" si="6"/>
        <v>-8891666.6666669846</v>
      </c>
    </row>
    <row r="54" spans="1:50" ht="15" customHeight="1" x14ac:dyDescent="0.35">
      <c r="A54" s="102">
        <v>48</v>
      </c>
      <c r="B54" s="102" t="s">
        <v>478</v>
      </c>
      <c r="C54" s="103">
        <v>27</v>
      </c>
      <c r="D54" s="102" t="s">
        <v>183</v>
      </c>
      <c r="E54" s="102" t="s">
        <v>479</v>
      </c>
      <c r="F54" s="102" t="s">
        <v>480</v>
      </c>
      <c r="G54" s="102" t="s">
        <v>481</v>
      </c>
      <c r="H54" s="102" t="s">
        <v>482</v>
      </c>
      <c r="I54" s="102" t="s">
        <v>90</v>
      </c>
      <c r="J54" s="102" t="s">
        <v>532</v>
      </c>
      <c r="K54" s="102"/>
      <c r="L54" s="104">
        <v>43039</v>
      </c>
      <c r="M54" s="102" t="s">
        <v>533</v>
      </c>
      <c r="N54" s="102" t="s">
        <v>534</v>
      </c>
      <c r="O54" s="102" t="s">
        <v>383</v>
      </c>
      <c r="P54" s="103">
        <v>1</v>
      </c>
      <c r="Q54" s="105">
        <v>1900000000</v>
      </c>
      <c r="R54" s="103">
        <v>48</v>
      </c>
      <c r="S54" s="105">
        <v>39583333.333333299</v>
      </c>
      <c r="T54" s="105">
        <v>1820833333.3333299</v>
      </c>
      <c r="U54" s="105">
        <v>0</v>
      </c>
      <c r="V54" s="105">
        <v>0</v>
      </c>
      <c r="W54" s="105">
        <v>0</v>
      </c>
      <c r="X54" s="105">
        <v>0</v>
      </c>
      <c r="Y54" s="105">
        <v>0</v>
      </c>
      <c r="Z54" s="105">
        <v>0</v>
      </c>
      <c r="AA54" s="105">
        <v>0</v>
      </c>
      <c r="AB54" s="105">
        <v>0</v>
      </c>
      <c r="AC54" s="8">
        <f t="shared" si="0"/>
        <v>1820833333.3333299</v>
      </c>
      <c r="AD54" s="8">
        <f t="shared" si="1"/>
        <v>79166666.666670084</v>
      </c>
      <c r="AE54" s="8">
        <f t="shared" si="2"/>
        <v>0</v>
      </c>
      <c r="AF54" s="106">
        <f t="shared" si="3"/>
        <v>0</v>
      </c>
      <c r="AG54" s="8">
        <f t="shared" si="4"/>
        <v>0</v>
      </c>
      <c r="AH54" s="8">
        <f>IF($O54="Aktif",MAX(0,MIN($AE54,$AD54-SUM($AG54:AG54))),0)</f>
        <v>0</v>
      </c>
      <c r="AI54" s="8">
        <f>IF($O54="Aktif",MAX(0,MIN($AE54,$AD54-SUM($AG54:AH54))),0)</f>
        <v>0</v>
      </c>
      <c r="AJ54" s="8">
        <f>IF($O54="Aktif",MAX(0,MIN($AE54,$AD54-SUM($AG54:AI54))),0)</f>
        <v>0</v>
      </c>
      <c r="AK54" s="8">
        <f>IF($O54="Aktif",MAX(0,MIN($AE54,$AD54-SUM($AG54:AJ54))),0)</f>
        <v>0</v>
      </c>
      <c r="AL54" s="8">
        <f>IF($O54="Aktif",MAX(0,MIN($AE54,$AD54-SUM($AG54:AK54))),0)</f>
        <v>0</v>
      </c>
      <c r="AM54" s="8">
        <f>IF($O54="Aktif",MAX(0,MIN($AE54,$AD54-SUM($AG54:AL54))),0)</f>
        <v>0</v>
      </c>
      <c r="AN54" s="8">
        <f>IF($O54="Aktif",MAX(0,MIN($AE54,$AD54-SUM($AG54:AM54))),0)</f>
        <v>0</v>
      </c>
      <c r="AO54" s="8">
        <f>IF($O54="Aktif",MAX(0,MIN($AE54,$AD54-SUM($AG54:AN54))),0)</f>
        <v>0</v>
      </c>
      <c r="AP54" s="8">
        <f>IF($O54="Aktif",MAX(0,MIN($AE54,$AD54-SUM($AG54:AO54))),0)</f>
        <v>0</v>
      </c>
      <c r="AQ54" s="8">
        <f>IF($O54="Aktif",MAX(0,MIN($AE54,$AD54-SUM($AG54:AP54))),0)</f>
        <v>0</v>
      </c>
      <c r="AR54" s="8">
        <f>IF($O54="Aktif",MAX(0,MIN($AE54,$AD54-SUM($AG54:AQ54))),0)</f>
        <v>0</v>
      </c>
      <c r="AS54" s="8">
        <f>IF($O54="Aktif",MAX(0,MIN($AE54,$AD54-SUM($AG54:AR54))),0)</f>
        <v>0</v>
      </c>
      <c r="AT54" s="8">
        <f>IF($O54="Aktif",MAX(0,MIN($AE54,$AD54-SUM($AG54:AS54))),0)</f>
        <v>0</v>
      </c>
      <c r="AU54" s="8">
        <f>IF($O54="Aktif",MAX(0,MIN($AE54,$AD54-SUM($AG54:AT54))),0)</f>
        <v>0</v>
      </c>
      <c r="AV54" s="8">
        <f>IF($O54="Aktif",MAX(0,MIN($AE54,$AD54-SUM($AG54:AU54))),0)</f>
        <v>0</v>
      </c>
      <c r="AW54" s="8">
        <f t="shared" si="5"/>
        <v>0</v>
      </c>
      <c r="AX54" s="8">
        <f t="shared" si="6"/>
        <v>79166666.666670084</v>
      </c>
    </row>
    <row r="55" spans="1:50" ht="15" customHeight="1" x14ac:dyDescent="0.35">
      <c r="A55" s="102">
        <v>49</v>
      </c>
      <c r="B55" s="102" t="s">
        <v>478</v>
      </c>
      <c r="C55" s="103">
        <v>28</v>
      </c>
      <c r="D55" s="102" t="s">
        <v>183</v>
      </c>
      <c r="E55" s="102" t="s">
        <v>0</v>
      </c>
      <c r="F55" s="102" t="s">
        <v>480</v>
      </c>
      <c r="G55" s="102" t="s">
        <v>481</v>
      </c>
      <c r="H55" s="102" t="s">
        <v>482</v>
      </c>
      <c r="I55" s="102" t="s">
        <v>90</v>
      </c>
      <c r="J55" s="102"/>
      <c r="K55" s="102"/>
      <c r="L55" s="102"/>
      <c r="M55" s="102" t="s">
        <v>533</v>
      </c>
      <c r="N55" s="102" t="s">
        <v>535</v>
      </c>
      <c r="O55" s="102" t="s">
        <v>487</v>
      </c>
      <c r="P55" s="103">
        <v>1</v>
      </c>
      <c r="Q55" s="105">
        <v>-1900000000</v>
      </c>
      <c r="R55" s="102"/>
      <c r="S55" s="105">
        <v>0</v>
      </c>
      <c r="T55" s="105">
        <v>-1820833333.3333299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Z55" s="105">
        <v>0</v>
      </c>
      <c r="AA55" s="105">
        <v>0</v>
      </c>
      <c r="AB55" s="105">
        <v>0</v>
      </c>
      <c r="AC55" s="8">
        <f t="shared" si="0"/>
        <v>-1820833333.3333299</v>
      </c>
      <c r="AD55" s="8">
        <f t="shared" si="1"/>
        <v>-79166666.666670084</v>
      </c>
      <c r="AE55" s="8">
        <f t="shared" si="2"/>
        <v>0</v>
      </c>
      <c r="AF55" s="106">
        <f t="shared" si="3"/>
        <v>0</v>
      </c>
      <c r="AG55" s="8">
        <f t="shared" si="4"/>
        <v>0</v>
      </c>
      <c r="AH55" s="8">
        <f>IF($O55="Aktif",MAX(0,MIN($AE55,$AD55-SUM($AG55:AG55))),0)</f>
        <v>0</v>
      </c>
      <c r="AI55" s="8">
        <f>IF($O55="Aktif",MAX(0,MIN($AE55,$AD55-SUM($AG55:AH55))),0)</f>
        <v>0</v>
      </c>
      <c r="AJ55" s="8">
        <f>IF($O55="Aktif",MAX(0,MIN($AE55,$AD55-SUM($AG55:AI55))),0)</f>
        <v>0</v>
      </c>
      <c r="AK55" s="8">
        <f>IF($O55="Aktif",MAX(0,MIN($AE55,$AD55-SUM($AG55:AJ55))),0)</f>
        <v>0</v>
      </c>
      <c r="AL55" s="8">
        <f>IF($O55="Aktif",MAX(0,MIN($AE55,$AD55-SUM($AG55:AK55))),0)</f>
        <v>0</v>
      </c>
      <c r="AM55" s="8">
        <f>IF($O55="Aktif",MAX(0,MIN($AE55,$AD55-SUM($AG55:AL55))),0)</f>
        <v>0</v>
      </c>
      <c r="AN55" s="8">
        <f>IF($O55="Aktif",MAX(0,MIN($AE55,$AD55-SUM($AG55:AM55))),0)</f>
        <v>0</v>
      </c>
      <c r="AO55" s="8">
        <f>IF($O55="Aktif",MAX(0,MIN($AE55,$AD55-SUM($AG55:AN55))),0)</f>
        <v>0</v>
      </c>
      <c r="AP55" s="8">
        <f>IF($O55="Aktif",MAX(0,MIN($AE55,$AD55-SUM($AG55:AO55))),0)</f>
        <v>0</v>
      </c>
      <c r="AQ55" s="8">
        <f>IF($O55="Aktif",MAX(0,MIN($AE55,$AD55-SUM($AG55:AP55))),0)</f>
        <v>0</v>
      </c>
      <c r="AR55" s="8">
        <f>IF($O55="Aktif",MAX(0,MIN($AE55,$AD55-SUM($AG55:AQ55))),0)</f>
        <v>0</v>
      </c>
      <c r="AS55" s="8">
        <f>IF($O55="Aktif",MAX(0,MIN($AE55,$AD55-SUM($AG55:AR55))),0)</f>
        <v>0</v>
      </c>
      <c r="AT55" s="8">
        <f>IF($O55="Aktif",MAX(0,MIN($AE55,$AD55-SUM($AG55:AS55))),0)</f>
        <v>0</v>
      </c>
      <c r="AU55" s="8">
        <f>IF($O55="Aktif",MAX(0,MIN($AE55,$AD55-SUM($AG55:AT55))),0)</f>
        <v>0</v>
      </c>
      <c r="AV55" s="8">
        <f>IF($O55="Aktif",MAX(0,MIN($AE55,$AD55-SUM($AG55:AU55))),0)</f>
        <v>0</v>
      </c>
      <c r="AW55" s="8">
        <f t="shared" si="5"/>
        <v>0</v>
      </c>
      <c r="AX55" s="8">
        <f t="shared" si="6"/>
        <v>-79166666.666670084</v>
      </c>
    </row>
    <row r="56" spans="1:50" ht="15" customHeight="1" x14ac:dyDescent="0.35">
      <c r="A56" s="102">
        <v>50</v>
      </c>
      <c r="B56" s="102" t="s">
        <v>478</v>
      </c>
      <c r="C56" s="103">
        <v>29</v>
      </c>
      <c r="D56" s="102" t="s">
        <v>183</v>
      </c>
      <c r="E56" s="102" t="s">
        <v>479</v>
      </c>
      <c r="F56" s="102" t="s">
        <v>480</v>
      </c>
      <c r="G56" s="102" t="s">
        <v>481</v>
      </c>
      <c r="H56" s="102" t="s">
        <v>482</v>
      </c>
      <c r="I56" s="102" t="s">
        <v>90</v>
      </c>
      <c r="J56" s="102" t="s">
        <v>536</v>
      </c>
      <c r="K56" s="102"/>
      <c r="L56" s="104">
        <v>43409</v>
      </c>
      <c r="M56" s="102" t="s">
        <v>537</v>
      </c>
      <c r="N56" s="102" t="s">
        <v>538</v>
      </c>
      <c r="O56" s="102" t="s">
        <v>383</v>
      </c>
      <c r="P56" s="103">
        <v>1</v>
      </c>
      <c r="Q56" s="105">
        <v>250834000</v>
      </c>
      <c r="R56" s="103">
        <v>48</v>
      </c>
      <c r="S56" s="105">
        <v>5225708.3333333302</v>
      </c>
      <c r="T56" s="105">
        <v>156771250.33333299</v>
      </c>
      <c r="U56" s="105">
        <v>0</v>
      </c>
      <c r="V56" s="105">
        <v>0</v>
      </c>
      <c r="W56" s="105">
        <v>0</v>
      </c>
      <c r="X56" s="105">
        <v>0</v>
      </c>
      <c r="Y56" s="105">
        <v>0</v>
      </c>
      <c r="Z56" s="105">
        <v>0</v>
      </c>
      <c r="AA56" s="105">
        <v>0</v>
      </c>
      <c r="AB56" s="105">
        <v>0</v>
      </c>
      <c r="AC56" s="8">
        <f t="shared" si="0"/>
        <v>156771250.33333299</v>
      </c>
      <c r="AD56" s="8">
        <f t="shared" si="1"/>
        <v>94062749.666667014</v>
      </c>
      <c r="AE56" s="8">
        <f t="shared" si="2"/>
        <v>0</v>
      </c>
      <c r="AF56" s="106">
        <f t="shared" si="3"/>
        <v>0</v>
      </c>
      <c r="AG56" s="8">
        <f t="shared" si="4"/>
        <v>0</v>
      </c>
      <c r="AH56" s="8">
        <f>IF($O56="Aktif",MAX(0,MIN($AE56,$AD56-SUM($AG56:AG56))),0)</f>
        <v>0</v>
      </c>
      <c r="AI56" s="8">
        <f>IF($O56="Aktif",MAX(0,MIN($AE56,$AD56-SUM($AG56:AH56))),0)</f>
        <v>0</v>
      </c>
      <c r="AJ56" s="8">
        <f>IF($O56="Aktif",MAX(0,MIN($AE56,$AD56-SUM($AG56:AI56))),0)</f>
        <v>0</v>
      </c>
      <c r="AK56" s="8">
        <f>IF($O56="Aktif",MAX(0,MIN($AE56,$AD56-SUM($AG56:AJ56))),0)</f>
        <v>0</v>
      </c>
      <c r="AL56" s="8">
        <f>IF($O56="Aktif",MAX(0,MIN($AE56,$AD56-SUM($AG56:AK56))),0)</f>
        <v>0</v>
      </c>
      <c r="AM56" s="8">
        <f>IF($O56="Aktif",MAX(0,MIN($AE56,$AD56-SUM($AG56:AL56))),0)</f>
        <v>0</v>
      </c>
      <c r="AN56" s="8">
        <f>IF($O56="Aktif",MAX(0,MIN($AE56,$AD56-SUM($AG56:AM56))),0)</f>
        <v>0</v>
      </c>
      <c r="AO56" s="8">
        <f>IF($O56="Aktif",MAX(0,MIN($AE56,$AD56-SUM($AG56:AN56))),0)</f>
        <v>0</v>
      </c>
      <c r="AP56" s="8">
        <f>IF($O56="Aktif",MAX(0,MIN($AE56,$AD56-SUM($AG56:AO56))),0)</f>
        <v>0</v>
      </c>
      <c r="AQ56" s="8">
        <f>IF($O56="Aktif",MAX(0,MIN($AE56,$AD56-SUM($AG56:AP56))),0)</f>
        <v>0</v>
      </c>
      <c r="AR56" s="8">
        <f>IF($O56="Aktif",MAX(0,MIN($AE56,$AD56-SUM($AG56:AQ56))),0)</f>
        <v>0</v>
      </c>
      <c r="AS56" s="8">
        <f>IF($O56="Aktif",MAX(0,MIN($AE56,$AD56-SUM($AG56:AR56))),0)</f>
        <v>0</v>
      </c>
      <c r="AT56" s="8">
        <f>IF($O56="Aktif",MAX(0,MIN($AE56,$AD56-SUM($AG56:AS56))),0)</f>
        <v>0</v>
      </c>
      <c r="AU56" s="8">
        <f>IF($O56="Aktif",MAX(0,MIN($AE56,$AD56-SUM($AG56:AT56))),0)</f>
        <v>0</v>
      </c>
      <c r="AV56" s="8">
        <f>IF($O56="Aktif",MAX(0,MIN($AE56,$AD56-SUM($AG56:AU56))),0)</f>
        <v>0</v>
      </c>
      <c r="AW56" s="8">
        <f t="shared" si="5"/>
        <v>0</v>
      </c>
      <c r="AX56" s="8">
        <f t="shared" si="6"/>
        <v>94062749.666667014</v>
      </c>
    </row>
    <row r="57" spans="1:50" ht="15" customHeight="1" x14ac:dyDescent="0.35">
      <c r="A57" s="102">
        <v>51</v>
      </c>
      <c r="B57" s="102" t="s">
        <v>478</v>
      </c>
      <c r="C57" s="103">
        <v>30</v>
      </c>
      <c r="D57" s="102" t="s">
        <v>183</v>
      </c>
      <c r="E57" s="102" t="s">
        <v>0</v>
      </c>
      <c r="F57" s="102" t="s">
        <v>480</v>
      </c>
      <c r="G57" s="102" t="s">
        <v>481</v>
      </c>
      <c r="H57" s="102" t="s">
        <v>482</v>
      </c>
      <c r="I57" s="102" t="s">
        <v>90</v>
      </c>
      <c r="J57" s="102"/>
      <c r="K57" s="102"/>
      <c r="L57" s="104">
        <v>44294</v>
      </c>
      <c r="M57" s="102" t="s">
        <v>537</v>
      </c>
      <c r="N57" s="102" t="s">
        <v>539</v>
      </c>
      <c r="O57" s="102" t="s">
        <v>487</v>
      </c>
      <c r="P57" s="103">
        <v>1</v>
      </c>
      <c r="Q57" s="105">
        <v>-250834000</v>
      </c>
      <c r="R57" s="102"/>
      <c r="S57" s="105">
        <v>0</v>
      </c>
      <c r="T57" s="105">
        <v>-156771250</v>
      </c>
      <c r="U57" s="105">
        <v>0</v>
      </c>
      <c r="V57" s="105">
        <v>0</v>
      </c>
      <c r="W57" s="105">
        <v>0</v>
      </c>
      <c r="X57" s="105">
        <v>0</v>
      </c>
      <c r="Y57" s="105">
        <v>0</v>
      </c>
      <c r="Z57" s="105">
        <v>0</v>
      </c>
      <c r="AA57" s="105">
        <v>0</v>
      </c>
      <c r="AB57" s="105">
        <v>0</v>
      </c>
      <c r="AC57" s="8">
        <f t="shared" si="0"/>
        <v>-156771250</v>
      </c>
      <c r="AD57" s="8">
        <f t="shared" si="1"/>
        <v>-94062750</v>
      </c>
      <c r="AE57" s="8">
        <f t="shared" si="2"/>
        <v>0</v>
      </c>
      <c r="AF57" s="106">
        <f t="shared" si="3"/>
        <v>0</v>
      </c>
      <c r="AG57" s="8">
        <f t="shared" si="4"/>
        <v>0</v>
      </c>
      <c r="AH57" s="8">
        <f>IF($O57="Aktif",MAX(0,MIN($AE57,$AD57-SUM($AG57:AG57))),0)</f>
        <v>0</v>
      </c>
      <c r="AI57" s="8">
        <f>IF($O57="Aktif",MAX(0,MIN($AE57,$AD57-SUM($AG57:AH57))),0)</f>
        <v>0</v>
      </c>
      <c r="AJ57" s="8">
        <f>IF($O57="Aktif",MAX(0,MIN($AE57,$AD57-SUM($AG57:AI57))),0)</f>
        <v>0</v>
      </c>
      <c r="AK57" s="8">
        <f>IF($O57="Aktif",MAX(0,MIN($AE57,$AD57-SUM($AG57:AJ57))),0)</f>
        <v>0</v>
      </c>
      <c r="AL57" s="8">
        <f>IF($O57="Aktif",MAX(0,MIN($AE57,$AD57-SUM($AG57:AK57))),0)</f>
        <v>0</v>
      </c>
      <c r="AM57" s="8">
        <f>IF($O57="Aktif",MAX(0,MIN($AE57,$AD57-SUM($AG57:AL57))),0)</f>
        <v>0</v>
      </c>
      <c r="AN57" s="8">
        <f>IF($O57="Aktif",MAX(0,MIN($AE57,$AD57-SUM($AG57:AM57))),0)</f>
        <v>0</v>
      </c>
      <c r="AO57" s="8">
        <f>IF($O57="Aktif",MAX(0,MIN($AE57,$AD57-SUM($AG57:AN57))),0)</f>
        <v>0</v>
      </c>
      <c r="AP57" s="8">
        <f>IF($O57="Aktif",MAX(0,MIN($AE57,$AD57-SUM($AG57:AO57))),0)</f>
        <v>0</v>
      </c>
      <c r="AQ57" s="8">
        <f>IF($O57="Aktif",MAX(0,MIN($AE57,$AD57-SUM($AG57:AP57))),0)</f>
        <v>0</v>
      </c>
      <c r="AR57" s="8">
        <f>IF($O57="Aktif",MAX(0,MIN($AE57,$AD57-SUM($AG57:AQ57))),0)</f>
        <v>0</v>
      </c>
      <c r="AS57" s="8">
        <f>IF($O57="Aktif",MAX(0,MIN($AE57,$AD57-SUM($AG57:AR57))),0)</f>
        <v>0</v>
      </c>
      <c r="AT57" s="8">
        <f>IF($O57="Aktif",MAX(0,MIN($AE57,$AD57-SUM($AG57:AS57))),0)</f>
        <v>0</v>
      </c>
      <c r="AU57" s="8">
        <f>IF($O57="Aktif",MAX(0,MIN($AE57,$AD57-SUM($AG57:AT57))),0)</f>
        <v>0</v>
      </c>
      <c r="AV57" s="8">
        <f>IF($O57="Aktif",MAX(0,MIN($AE57,$AD57-SUM($AG57:AU57))),0)</f>
        <v>0</v>
      </c>
      <c r="AW57" s="8">
        <f t="shared" si="5"/>
        <v>0</v>
      </c>
      <c r="AX57" s="8">
        <f t="shared" si="6"/>
        <v>-94062750</v>
      </c>
    </row>
    <row r="58" spans="1:50" ht="15" customHeight="1" x14ac:dyDescent="0.35">
      <c r="A58" s="102">
        <v>52</v>
      </c>
      <c r="B58" s="102" t="s">
        <v>478</v>
      </c>
      <c r="C58" s="103">
        <v>31</v>
      </c>
      <c r="D58" s="102" t="s">
        <v>183</v>
      </c>
      <c r="E58" s="102" t="s">
        <v>540</v>
      </c>
      <c r="F58" s="102" t="s">
        <v>480</v>
      </c>
      <c r="G58" s="102" t="s">
        <v>481</v>
      </c>
      <c r="H58" s="102" t="s">
        <v>482</v>
      </c>
      <c r="I58" s="102" t="s">
        <v>90</v>
      </c>
      <c r="J58" s="102"/>
      <c r="K58" s="102" t="s">
        <v>541</v>
      </c>
      <c r="L58" s="102" t="s">
        <v>542</v>
      </c>
      <c r="M58" s="102" t="s">
        <v>543</v>
      </c>
      <c r="N58" s="102" t="s">
        <v>544</v>
      </c>
      <c r="O58" s="102" t="s">
        <v>383</v>
      </c>
      <c r="P58" s="103">
        <v>1</v>
      </c>
      <c r="Q58" s="105">
        <v>128447432</v>
      </c>
      <c r="R58" s="103">
        <v>96</v>
      </c>
      <c r="S58" s="105">
        <v>1337994.08333333</v>
      </c>
      <c r="T58" s="105">
        <v>77603656.833333299</v>
      </c>
      <c r="U58" s="105">
        <v>1337994.08333333</v>
      </c>
      <c r="V58" s="105">
        <v>1337994.08333333</v>
      </c>
      <c r="W58" s="105">
        <v>1337994.08333333</v>
      </c>
      <c r="X58" s="105">
        <v>1337994.08333333</v>
      </c>
      <c r="Y58" s="105">
        <v>1337994.08333333</v>
      </c>
      <c r="Z58" s="105">
        <v>1337994.08333333</v>
      </c>
      <c r="AA58" s="105">
        <v>1337994.08333333</v>
      </c>
      <c r="AB58" s="105">
        <v>1337994.08333333</v>
      </c>
      <c r="AC58" s="8">
        <f t="shared" si="0"/>
        <v>88307609.49999994</v>
      </c>
      <c r="AD58" s="8">
        <f t="shared" si="1"/>
        <v>40139822.50000006</v>
      </c>
      <c r="AE58" s="8">
        <f t="shared" si="2"/>
        <v>1337994.08333333</v>
      </c>
      <c r="AF58" s="106">
        <f t="shared" si="3"/>
        <v>30.000000000000121</v>
      </c>
      <c r="AG58" s="8">
        <f t="shared" si="4"/>
        <v>1337994.08333333</v>
      </c>
      <c r="AH58" s="8">
        <f>IF($O58="Aktif",MAX(0,MIN($AE58,$AD58-SUM($AG58:AG58))),0)</f>
        <v>1337994.08333333</v>
      </c>
      <c r="AI58" s="8">
        <f>IF($O58="Aktif",MAX(0,MIN($AE58,$AD58-SUM($AG58:AH58))),0)</f>
        <v>1337994.08333333</v>
      </c>
      <c r="AJ58" s="8">
        <f>IF($O58="Aktif",MAX(0,MIN($AE58,$AD58-SUM($AG58:AI58))),0)</f>
        <v>1337994.08333333</v>
      </c>
      <c r="AK58" s="8">
        <f>IF($O58="Aktif",MAX(0,MIN($AE58,$AD58-SUM($AG58:AJ58))),0)</f>
        <v>1337994.08333333</v>
      </c>
      <c r="AL58" s="8">
        <f>IF($O58="Aktif",MAX(0,MIN($AE58,$AD58-SUM($AG58:AK58))),0)</f>
        <v>1337994.08333333</v>
      </c>
      <c r="AM58" s="8">
        <f>IF($O58="Aktif",MAX(0,MIN($AE58,$AD58-SUM($AG58:AL58))),0)</f>
        <v>1337994.08333333</v>
      </c>
      <c r="AN58" s="8">
        <f>IF($O58="Aktif",MAX(0,MIN($AE58,$AD58-SUM($AG58:AM58))),0)</f>
        <v>1337994.08333333</v>
      </c>
      <c r="AO58" s="8">
        <f>IF($O58="Aktif",MAX(0,MIN($AE58,$AD58-SUM($AG58:AN58))),0)</f>
        <v>1337994.08333333</v>
      </c>
      <c r="AP58" s="8">
        <f>IF($O58="Aktif",MAX(0,MIN($AE58,$AD58-SUM($AG58:AO58))),0)</f>
        <v>1337994.08333333</v>
      </c>
      <c r="AQ58" s="8">
        <f>IF($O58="Aktif",MAX(0,MIN($AE58,$AD58-SUM($AG58:AP58))),0)</f>
        <v>1337994.08333333</v>
      </c>
      <c r="AR58" s="8">
        <f>IF($O58="Aktif",MAX(0,MIN($AE58,$AD58-SUM($AG58:AQ58))),0)</f>
        <v>1337994.08333333</v>
      </c>
      <c r="AS58" s="8">
        <f>IF($O58="Aktif",MAX(0,MIN($AE58,$AD58-SUM($AG58:AR58))),0)</f>
        <v>1337994.08333333</v>
      </c>
      <c r="AT58" s="8">
        <f>IF($O58="Aktif",MAX(0,MIN($AE58,$AD58-SUM($AG58:AS58))),0)</f>
        <v>1337994.08333333</v>
      </c>
      <c r="AU58" s="8">
        <f>IF($O58="Aktif",MAX(0,MIN($AE58,$AD58-SUM($AG58:AT58))),0)</f>
        <v>1337994.08333333</v>
      </c>
      <c r="AV58" s="8">
        <f>IF($O58="Aktif",MAX(0,MIN($AE58,$AD58-SUM($AG58:AU58))),0)</f>
        <v>1337994.08333333</v>
      </c>
      <c r="AW58" s="8">
        <f t="shared" si="5"/>
        <v>21407905.333333276</v>
      </c>
      <c r="AX58" s="8">
        <f t="shared" si="6"/>
        <v>18731917.166666783</v>
      </c>
    </row>
    <row r="59" spans="1:50" ht="15" customHeight="1" x14ac:dyDescent="0.35">
      <c r="A59" s="102">
        <v>53</v>
      </c>
      <c r="B59" s="102" t="s">
        <v>478</v>
      </c>
      <c r="C59" s="103">
        <v>32</v>
      </c>
      <c r="D59" s="102" t="s">
        <v>183</v>
      </c>
      <c r="E59" s="102" t="s">
        <v>540</v>
      </c>
      <c r="F59" s="102" t="s">
        <v>480</v>
      </c>
      <c r="G59" s="102" t="s">
        <v>481</v>
      </c>
      <c r="H59" s="102" t="s">
        <v>482</v>
      </c>
      <c r="I59" s="102" t="s">
        <v>90</v>
      </c>
      <c r="J59" s="102"/>
      <c r="K59" s="102"/>
      <c r="L59" s="102" t="s">
        <v>542</v>
      </c>
      <c r="M59" s="102" t="s">
        <v>545</v>
      </c>
      <c r="N59" s="102" t="s">
        <v>546</v>
      </c>
      <c r="O59" s="102" t="s">
        <v>383</v>
      </c>
      <c r="P59" s="103">
        <v>1</v>
      </c>
      <c r="Q59" s="105">
        <v>193840386</v>
      </c>
      <c r="R59" s="103">
        <v>96</v>
      </c>
      <c r="S59" s="105">
        <v>2019170.6875</v>
      </c>
      <c r="T59" s="105">
        <v>42402584.4375</v>
      </c>
      <c r="U59" s="105">
        <v>0</v>
      </c>
      <c r="V59" s="105">
        <v>0</v>
      </c>
      <c r="W59" s="105">
        <v>0</v>
      </c>
      <c r="X59" s="105">
        <v>0</v>
      </c>
      <c r="Y59" s="105">
        <v>0</v>
      </c>
      <c r="Z59" s="105">
        <v>0</v>
      </c>
      <c r="AA59" s="105">
        <v>0</v>
      </c>
      <c r="AB59" s="105">
        <v>0</v>
      </c>
      <c r="AC59" s="8">
        <f t="shared" si="0"/>
        <v>42402584.4375</v>
      </c>
      <c r="AD59" s="8">
        <f t="shared" si="1"/>
        <v>151437801.5625</v>
      </c>
      <c r="AE59" s="8">
        <f t="shared" si="2"/>
        <v>0</v>
      </c>
      <c r="AF59" s="106">
        <f t="shared" si="3"/>
        <v>0</v>
      </c>
      <c r="AG59" s="8">
        <f t="shared" si="4"/>
        <v>0</v>
      </c>
      <c r="AH59" s="8">
        <f>IF($O59="Aktif",MAX(0,MIN($AE59,$AD59-SUM($AG59:AG59))),0)</f>
        <v>0</v>
      </c>
      <c r="AI59" s="8">
        <f>IF($O59="Aktif",MAX(0,MIN($AE59,$AD59-SUM($AG59:AH59))),0)</f>
        <v>0</v>
      </c>
      <c r="AJ59" s="8">
        <f>IF($O59="Aktif",MAX(0,MIN($AE59,$AD59-SUM($AG59:AI59))),0)</f>
        <v>0</v>
      </c>
      <c r="AK59" s="8">
        <f>IF($O59="Aktif",MAX(0,MIN($AE59,$AD59-SUM($AG59:AJ59))),0)</f>
        <v>0</v>
      </c>
      <c r="AL59" s="8">
        <f>IF($O59="Aktif",MAX(0,MIN($AE59,$AD59-SUM($AG59:AK59))),0)</f>
        <v>0</v>
      </c>
      <c r="AM59" s="8">
        <f>IF($O59="Aktif",MAX(0,MIN($AE59,$AD59-SUM($AG59:AL59))),0)</f>
        <v>0</v>
      </c>
      <c r="AN59" s="8">
        <f>IF($O59="Aktif",MAX(0,MIN($AE59,$AD59-SUM($AG59:AM59))),0)</f>
        <v>0</v>
      </c>
      <c r="AO59" s="8">
        <f>IF($O59="Aktif",MAX(0,MIN($AE59,$AD59-SUM($AG59:AN59))),0)</f>
        <v>0</v>
      </c>
      <c r="AP59" s="8">
        <f>IF($O59="Aktif",MAX(0,MIN($AE59,$AD59-SUM($AG59:AO59))),0)</f>
        <v>0</v>
      </c>
      <c r="AQ59" s="8">
        <f>IF($O59="Aktif",MAX(0,MIN($AE59,$AD59-SUM($AG59:AP59))),0)</f>
        <v>0</v>
      </c>
      <c r="AR59" s="8">
        <f>IF($O59="Aktif",MAX(0,MIN($AE59,$AD59-SUM($AG59:AQ59))),0)</f>
        <v>0</v>
      </c>
      <c r="AS59" s="8">
        <f>IF($O59="Aktif",MAX(0,MIN($AE59,$AD59-SUM($AG59:AR59))),0)</f>
        <v>0</v>
      </c>
      <c r="AT59" s="8">
        <f>IF($O59="Aktif",MAX(0,MIN($AE59,$AD59-SUM($AG59:AS59))),0)</f>
        <v>0</v>
      </c>
      <c r="AU59" s="8">
        <f>IF($O59="Aktif",MAX(0,MIN($AE59,$AD59-SUM($AG59:AT59))),0)</f>
        <v>0</v>
      </c>
      <c r="AV59" s="8">
        <f>IF($O59="Aktif",MAX(0,MIN($AE59,$AD59-SUM($AG59:AU59))),0)</f>
        <v>0</v>
      </c>
      <c r="AW59" s="8">
        <f t="shared" si="5"/>
        <v>0</v>
      </c>
      <c r="AX59" s="8">
        <f t="shared" si="6"/>
        <v>151437801.5625</v>
      </c>
    </row>
    <row r="60" spans="1:50" ht="15" customHeight="1" x14ac:dyDescent="0.35">
      <c r="A60" s="102">
        <v>54</v>
      </c>
      <c r="B60" s="102" t="s">
        <v>478</v>
      </c>
      <c r="C60" s="103">
        <v>33</v>
      </c>
      <c r="D60" s="102" t="s">
        <v>183</v>
      </c>
      <c r="E60" s="102" t="s">
        <v>0</v>
      </c>
      <c r="F60" s="102" t="s">
        <v>480</v>
      </c>
      <c r="G60" s="102" t="s">
        <v>481</v>
      </c>
      <c r="H60" s="102" t="s">
        <v>482</v>
      </c>
      <c r="I60" s="102" t="s">
        <v>90</v>
      </c>
      <c r="J60" s="102"/>
      <c r="K60" s="102"/>
      <c r="L60" s="104">
        <v>44896</v>
      </c>
      <c r="M60" s="102" t="s">
        <v>547</v>
      </c>
      <c r="N60" s="102" t="s">
        <v>548</v>
      </c>
      <c r="O60" s="102" t="s">
        <v>487</v>
      </c>
      <c r="P60" s="103">
        <v>1</v>
      </c>
      <c r="Q60" s="105">
        <v>-193840386</v>
      </c>
      <c r="R60" s="102"/>
      <c r="S60" s="105">
        <v>0</v>
      </c>
      <c r="T60" s="105">
        <v>-42402584.439999998</v>
      </c>
      <c r="U60" s="105">
        <v>0</v>
      </c>
      <c r="V60" s="105">
        <v>0</v>
      </c>
      <c r="W60" s="105">
        <v>0</v>
      </c>
      <c r="X60" s="105">
        <v>0</v>
      </c>
      <c r="Y60" s="105">
        <v>0</v>
      </c>
      <c r="Z60" s="105">
        <v>0</v>
      </c>
      <c r="AA60" s="105">
        <v>0</v>
      </c>
      <c r="AB60" s="105">
        <v>0</v>
      </c>
      <c r="AC60" s="8">
        <f t="shared" si="0"/>
        <v>-42402584.439999998</v>
      </c>
      <c r="AD60" s="8">
        <f t="shared" si="1"/>
        <v>-151437801.56</v>
      </c>
      <c r="AE60" s="8">
        <f t="shared" si="2"/>
        <v>0</v>
      </c>
      <c r="AF60" s="106">
        <f t="shared" si="3"/>
        <v>0</v>
      </c>
      <c r="AG60" s="8">
        <f t="shared" si="4"/>
        <v>0</v>
      </c>
      <c r="AH60" s="8">
        <f>IF($O60="Aktif",MAX(0,MIN($AE60,$AD60-SUM($AG60:AG60))),0)</f>
        <v>0</v>
      </c>
      <c r="AI60" s="8">
        <f>IF($O60="Aktif",MAX(0,MIN($AE60,$AD60-SUM($AG60:AH60))),0)</f>
        <v>0</v>
      </c>
      <c r="AJ60" s="8">
        <f>IF($O60="Aktif",MAX(0,MIN($AE60,$AD60-SUM($AG60:AI60))),0)</f>
        <v>0</v>
      </c>
      <c r="AK60" s="8">
        <f>IF($O60="Aktif",MAX(0,MIN($AE60,$AD60-SUM($AG60:AJ60))),0)</f>
        <v>0</v>
      </c>
      <c r="AL60" s="8">
        <f>IF($O60="Aktif",MAX(0,MIN($AE60,$AD60-SUM($AG60:AK60))),0)</f>
        <v>0</v>
      </c>
      <c r="AM60" s="8">
        <f>IF($O60="Aktif",MAX(0,MIN($AE60,$AD60-SUM($AG60:AL60))),0)</f>
        <v>0</v>
      </c>
      <c r="AN60" s="8">
        <f>IF($O60="Aktif",MAX(0,MIN($AE60,$AD60-SUM($AG60:AM60))),0)</f>
        <v>0</v>
      </c>
      <c r="AO60" s="8">
        <f>IF($O60="Aktif",MAX(0,MIN($AE60,$AD60-SUM($AG60:AN60))),0)</f>
        <v>0</v>
      </c>
      <c r="AP60" s="8">
        <f>IF($O60="Aktif",MAX(0,MIN($AE60,$AD60-SUM($AG60:AO60))),0)</f>
        <v>0</v>
      </c>
      <c r="AQ60" s="8">
        <f>IF($O60="Aktif",MAX(0,MIN($AE60,$AD60-SUM($AG60:AP60))),0)</f>
        <v>0</v>
      </c>
      <c r="AR60" s="8">
        <f>IF($O60="Aktif",MAX(0,MIN($AE60,$AD60-SUM($AG60:AQ60))),0)</f>
        <v>0</v>
      </c>
      <c r="AS60" s="8">
        <f>IF($O60="Aktif",MAX(0,MIN($AE60,$AD60-SUM($AG60:AR60))),0)</f>
        <v>0</v>
      </c>
      <c r="AT60" s="8">
        <f>IF($O60="Aktif",MAX(0,MIN($AE60,$AD60-SUM($AG60:AS60))),0)</f>
        <v>0</v>
      </c>
      <c r="AU60" s="8">
        <f>IF($O60="Aktif",MAX(0,MIN($AE60,$AD60-SUM($AG60:AT60))),0)</f>
        <v>0</v>
      </c>
      <c r="AV60" s="8">
        <f>IF($O60="Aktif",MAX(0,MIN($AE60,$AD60-SUM($AG60:AU60))),0)</f>
        <v>0</v>
      </c>
      <c r="AW60" s="8">
        <f t="shared" si="5"/>
        <v>0</v>
      </c>
      <c r="AX60" s="8">
        <f t="shared" si="6"/>
        <v>-151437801.56</v>
      </c>
    </row>
    <row r="61" spans="1:50" ht="15" customHeight="1" x14ac:dyDescent="0.35">
      <c r="A61" s="102">
        <v>55</v>
      </c>
      <c r="B61" s="102" t="s">
        <v>478</v>
      </c>
      <c r="C61" s="103">
        <v>34</v>
      </c>
      <c r="D61" s="102" t="s">
        <v>183</v>
      </c>
      <c r="E61" s="102" t="s">
        <v>540</v>
      </c>
      <c r="F61" s="102" t="s">
        <v>480</v>
      </c>
      <c r="G61" s="102" t="s">
        <v>481</v>
      </c>
      <c r="H61" s="102" t="s">
        <v>482</v>
      </c>
      <c r="I61" s="102" t="s">
        <v>90</v>
      </c>
      <c r="J61" s="102"/>
      <c r="K61" s="102" t="s">
        <v>549</v>
      </c>
      <c r="L61" s="102" t="s">
        <v>542</v>
      </c>
      <c r="M61" s="102" t="s">
        <v>550</v>
      </c>
      <c r="N61" s="102" t="s">
        <v>551</v>
      </c>
      <c r="O61" s="102" t="s">
        <v>383</v>
      </c>
      <c r="P61" s="103">
        <v>1</v>
      </c>
      <c r="Q61" s="105">
        <v>193840386</v>
      </c>
      <c r="R61" s="103">
        <v>96</v>
      </c>
      <c r="S61" s="105">
        <v>2019170.6875</v>
      </c>
      <c r="T61" s="105">
        <v>92881851.625</v>
      </c>
      <c r="U61" s="105">
        <v>0</v>
      </c>
      <c r="V61" s="105">
        <v>0</v>
      </c>
      <c r="W61" s="105">
        <v>0</v>
      </c>
      <c r="X61" s="105">
        <v>0</v>
      </c>
      <c r="Y61" s="105">
        <v>0</v>
      </c>
      <c r="Z61" s="105">
        <v>0</v>
      </c>
      <c r="AA61" s="105">
        <v>0</v>
      </c>
      <c r="AB61" s="105">
        <v>0</v>
      </c>
      <c r="AC61" s="8">
        <f t="shared" si="0"/>
        <v>92881851.625</v>
      </c>
      <c r="AD61" s="8">
        <f t="shared" si="1"/>
        <v>100958534.375</v>
      </c>
      <c r="AE61" s="8">
        <f t="shared" si="2"/>
        <v>0</v>
      </c>
      <c r="AF61" s="106">
        <f t="shared" si="3"/>
        <v>0</v>
      </c>
      <c r="AG61" s="8">
        <f t="shared" si="4"/>
        <v>0</v>
      </c>
      <c r="AH61" s="8">
        <f>IF($O61="Aktif",MAX(0,MIN($AE61,$AD61-SUM($AG61:AG61))),0)</f>
        <v>0</v>
      </c>
      <c r="AI61" s="8">
        <f>IF($O61="Aktif",MAX(0,MIN($AE61,$AD61-SUM($AG61:AH61))),0)</f>
        <v>0</v>
      </c>
      <c r="AJ61" s="8">
        <f>IF($O61="Aktif",MAX(0,MIN($AE61,$AD61-SUM($AG61:AI61))),0)</f>
        <v>0</v>
      </c>
      <c r="AK61" s="8">
        <f>IF($O61="Aktif",MAX(0,MIN($AE61,$AD61-SUM($AG61:AJ61))),0)</f>
        <v>0</v>
      </c>
      <c r="AL61" s="8">
        <f>IF($O61="Aktif",MAX(0,MIN($AE61,$AD61-SUM($AG61:AK61))),0)</f>
        <v>0</v>
      </c>
      <c r="AM61" s="8">
        <f>IF($O61="Aktif",MAX(0,MIN($AE61,$AD61-SUM($AG61:AL61))),0)</f>
        <v>0</v>
      </c>
      <c r="AN61" s="8">
        <f>IF($O61="Aktif",MAX(0,MIN($AE61,$AD61-SUM($AG61:AM61))),0)</f>
        <v>0</v>
      </c>
      <c r="AO61" s="8">
        <f>IF($O61="Aktif",MAX(0,MIN($AE61,$AD61-SUM($AG61:AN61))),0)</f>
        <v>0</v>
      </c>
      <c r="AP61" s="8">
        <f>IF($O61="Aktif",MAX(0,MIN($AE61,$AD61-SUM($AG61:AO61))),0)</f>
        <v>0</v>
      </c>
      <c r="AQ61" s="8">
        <f>IF($O61="Aktif",MAX(0,MIN($AE61,$AD61-SUM($AG61:AP61))),0)</f>
        <v>0</v>
      </c>
      <c r="AR61" s="8">
        <f>IF($O61="Aktif",MAX(0,MIN($AE61,$AD61-SUM($AG61:AQ61))),0)</f>
        <v>0</v>
      </c>
      <c r="AS61" s="8">
        <f>IF($O61="Aktif",MAX(0,MIN($AE61,$AD61-SUM($AG61:AR61))),0)</f>
        <v>0</v>
      </c>
      <c r="AT61" s="8">
        <f>IF($O61="Aktif",MAX(0,MIN($AE61,$AD61-SUM($AG61:AS61))),0)</f>
        <v>0</v>
      </c>
      <c r="AU61" s="8">
        <f>IF($O61="Aktif",MAX(0,MIN($AE61,$AD61-SUM($AG61:AT61))),0)</f>
        <v>0</v>
      </c>
      <c r="AV61" s="8">
        <f>IF($O61="Aktif",MAX(0,MIN($AE61,$AD61-SUM($AG61:AU61))),0)</f>
        <v>0</v>
      </c>
      <c r="AW61" s="8">
        <f t="shared" si="5"/>
        <v>0</v>
      </c>
      <c r="AX61" s="8">
        <f t="shared" si="6"/>
        <v>100958534.375</v>
      </c>
    </row>
    <row r="62" spans="1:50" ht="15" customHeight="1" x14ac:dyDescent="0.35">
      <c r="A62" s="102">
        <v>56</v>
      </c>
      <c r="B62" s="102" t="s">
        <v>478</v>
      </c>
      <c r="C62" s="103">
        <v>35</v>
      </c>
      <c r="D62" s="102" t="s">
        <v>183</v>
      </c>
      <c r="E62" s="102" t="s">
        <v>0</v>
      </c>
      <c r="F62" s="102" t="s">
        <v>480</v>
      </c>
      <c r="G62" s="102" t="s">
        <v>481</v>
      </c>
      <c r="H62" s="102" t="s">
        <v>482</v>
      </c>
      <c r="I62" s="102" t="s">
        <v>90</v>
      </c>
      <c r="J62" s="102"/>
      <c r="K62" s="102"/>
      <c r="L62" s="102" t="s">
        <v>552</v>
      </c>
      <c r="M62" s="102" t="s">
        <v>550</v>
      </c>
      <c r="N62" s="102" t="s">
        <v>551</v>
      </c>
      <c r="O62" s="102" t="s">
        <v>487</v>
      </c>
      <c r="P62" s="103">
        <v>1</v>
      </c>
      <c r="Q62" s="105">
        <v>-193840386</v>
      </c>
      <c r="R62" s="102"/>
      <c r="S62" s="105">
        <v>0</v>
      </c>
      <c r="T62" s="105">
        <v>-92881851.629999995</v>
      </c>
      <c r="U62" s="105">
        <v>0</v>
      </c>
      <c r="V62" s="105">
        <v>0</v>
      </c>
      <c r="W62" s="105">
        <v>0</v>
      </c>
      <c r="X62" s="105">
        <v>0</v>
      </c>
      <c r="Y62" s="105">
        <v>0</v>
      </c>
      <c r="Z62" s="105">
        <v>0</v>
      </c>
      <c r="AA62" s="105">
        <v>0</v>
      </c>
      <c r="AB62" s="105">
        <v>0</v>
      </c>
      <c r="AC62" s="8">
        <f t="shared" si="0"/>
        <v>-92881851.629999995</v>
      </c>
      <c r="AD62" s="8">
        <f t="shared" si="1"/>
        <v>-100958534.37</v>
      </c>
      <c r="AE62" s="8">
        <f t="shared" si="2"/>
        <v>0</v>
      </c>
      <c r="AF62" s="106">
        <f t="shared" si="3"/>
        <v>0</v>
      </c>
      <c r="AG62" s="8">
        <f t="shared" si="4"/>
        <v>0</v>
      </c>
      <c r="AH62" s="8">
        <f>IF($O62="Aktif",MAX(0,MIN($AE62,$AD62-SUM($AG62:AG62))),0)</f>
        <v>0</v>
      </c>
      <c r="AI62" s="8">
        <f>IF($O62="Aktif",MAX(0,MIN($AE62,$AD62-SUM($AG62:AH62))),0)</f>
        <v>0</v>
      </c>
      <c r="AJ62" s="8">
        <f>IF($O62="Aktif",MAX(0,MIN($AE62,$AD62-SUM($AG62:AI62))),0)</f>
        <v>0</v>
      </c>
      <c r="AK62" s="8">
        <f>IF($O62="Aktif",MAX(0,MIN($AE62,$AD62-SUM($AG62:AJ62))),0)</f>
        <v>0</v>
      </c>
      <c r="AL62" s="8">
        <f>IF($O62="Aktif",MAX(0,MIN($AE62,$AD62-SUM($AG62:AK62))),0)</f>
        <v>0</v>
      </c>
      <c r="AM62" s="8">
        <f>IF($O62="Aktif",MAX(0,MIN($AE62,$AD62-SUM($AG62:AL62))),0)</f>
        <v>0</v>
      </c>
      <c r="AN62" s="8">
        <f>IF($O62="Aktif",MAX(0,MIN($AE62,$AD62-SUM($AG62:AM62))),0)</f>
        <v>0</v>
      </c>
      <c r="AO62" s="8">
        <f>IF($O62="Aktif",MAX(0,MIN($AE62,$AD62-SUM($AG62:AN62))),0)</f>
        <v>0</v>
      </c>
      <c r="AP62" s="8">
        <f>IF($O62="Aktif",MAX(0,MIN($AE62,$AD62-SUM($AG62:AO62))),0)</f>
        <v>0</v>
      </c>
      <c r="AQ62" s="8">
        <f>IF($O62="Aktif",MAX(0,MIN($AE62,$AD62-SUM($AG62:AP62))),0)</f>
        <v>0</v>
      </c>
      <c r="AR62" s="8">
        <f>IF($O62="Aktif",MAX(0,MIN($AE62,$AD62-SUM($AG62:AQ62))),0)</f>
        <v>0</v>
      </c>
      <c r="AS62" s="8">
        <f>IF($O62="Aktif",MAX(0,MIN($AE62,$AD62-SUM($AG62:AR62))),0)</f>
        <v>0</v>
      </c>
      <c r="AT62" s="8">
        <f>IF($O62="Aktif",MAX(0,MIN($AE62,$AD62-SUM($AG62:AS62))),0)</f>
        <v>0</v>
      </c>
      <c r="AU62" s="8">
        <f>IF($O62="Aktif",MAX(0,MIN($AE62,$AD62-SUM($AG62:AT62))),0)</f>
        <v>0</v>
      </c>
      <c r="AV62" s="8">
        <f>IF($O62="Aktif",MAX(0,MIN($AE62,$AD62-SUM($AG62:AU62))),0)</f>
        <v>0</v>
      </c>
      <c r="AW62" s="8">
        <f t="shared" si="5"/>
        <v>0</v>
      </c>
      <c r="AX62" s="8">
        <f t="shared" si="6"/>
        <v>-100958534.37</v>
      </c>
    </row>
    <row r="63" spans="1:50" ht="15" customHeight="1" x14ac:dyDescent="0.35">
      <c r="A63" s="102">
        <v>57</v>
      </c>
      <c r="B63" s="102" t="s">
        <v>478</v>
      </c>
      <c r="C63" s="103">
        <v>36</v>
      </c>
      <c r="D63" s="102" t="s">
        <v>183</v>
      </c>
      <c r="E63" s="102" t="s">
        <v>540</v>
      </c>
      <c r="F63" s="102" t="s">
        <v>480</v>
      </c>
      <c r="G63" s="102" t="s">
        <v>481</v>
      </c>
      <c r="H63" s="102" t="s">
        <v>482</v>
      </c>
      <c r="I63" s="102" t="s">
        <v>90</v>
      </c>
      <c r="J63" s="102"/>
      <c r="K63" s="102" t="s">
        <v>553</v>
      </c>
      <c r="L63" s="102" t="s">
        <v>554</v>
      </c>
      <c r="M63" s="102" t="s">
        <v>555</v>
      </c>
      <c r="N63" s="102" t="s">
        <v>556</v>
      </c>
      <c r="O63" s="102" t="s">
        <v>383</v>
      </c>
      <c r="P63" s="103">
        <v>1</v>
      </c>
      <c r="Q63" s="105">
        <v>338157091</v>
      </c>
      <c r="R63" s="103">
        <v>96</v>
      </c>
      <c r="S63" s="105">
        <v>3522469.6979166698</v>
      </c>
      <c r="T63" s="105">
        <v>193735833.38541701</v>
      </c>
      <c r="U63" s="105">
        <v>3522469.6979166698</v>
      </c>
      <c r="V63" s="105">
        <v>3522469.6979166698</v>
      </c>
      <c r="W63" s="105">
        <v>3522469.6979166698</v>
      </c>
      <c r="X63" s="105">
        <v>3522469.6979166698</v>
      </c>
      <c r="Y63" s="105">
        <v>3522469.6979166698</v>
      </c>
      <c r="Z63" s="105">
        <v>3522469.6979166698</v>
      </c>
      <c r="AA63" s="105">
        <v>3522469.6979166698</v>
      </c>
      <c r="AB63" s="105">
        <v>3522469.6979166698</v>
      </c>
      <c r="AC63" s="8">
        <f t="shared" si="0"/>
        <v>221915590.96875039</v>
      </c>
      <c r="AD63" s="8">
        <f t="shared" si="1"/>
        <v>116241500.03124961</v>
      </c>
      <c r="AE63" s="8">
        <f t="shared" si="2"/>
        <v>3522469.6979166698</v>
      </c>
      <c r="AF63" s="106">
        <f t="shared" si="3"/>
        <v>32.999999999999858</v>
      </c>
      <c r="AG63" s="8">
        <f t="shared" si="4"/>
        <v>3522469.6979166698</v>
      </c>
      <c r="AH63" s="8">
        <f>IF($O63="Aktif",MAX(0,MIN($AE63,$AD63-SUM($AG63:AG63))),0)</f>
        <v>3522469.6979166698</v>
      </c>
      <c r="AI63" s="8">
        <f>IF($O63="Aktif",MAX(0,MIN($AE63,$AD63-SUM($AG63:AH63))),0)</f>
        <v>3522469.6979166698</v>
      </c>
      <c r="AJ63" s="8">
        <f>IF($O63="Aktif",MAX(0,MIN($AE63,$AD63-SUM($AG63:AI63))),0)</f>
        <v>3522469.6979166698</v>
      </c>
      <c r="AK63" s="8">
        <f>IF($O63="Aktif",MAX(0,MIN($AE63,$AD63-SUM($AG63:AJ63))),0)</f>
        <v>3522469.6979166698</v>
      </c>
      <c r="AL63" s="8">
        <f>IF($O63="Aktif",MAX(0,MIN($AE63,$AD63-SUM($AG63:AK63))),0)</f>
        <v>3522469.6979166698</v>
      </c>
      <c r="AM63" s="8">
        <f>IF($O63="Aktif",MAX(0,MIN($AE63,$AD63-SUM($AG63:AL63))),0)</f>
        <v>3522469.6979166698</v>
      </c>
      <c r="AN63" s="8">
        <f>IF($O63="Aktif",MAX(0,MIN($AE63,$AD63-SUM($AG63:AM63))),0)</f>
        <v>3522469.6979166698</v>
      </c>
      <c r="AO63" s="8">
        <f>IF($O63="Aktif",MAX(0,MIN($AE63,$AD63-SUM($AG63:AN63))),0)</f>
        <v>3522469.6979166698</v>
      </c>
      <c r="AP63" s="8">
        <f>IF($O63="Aktif",MAX(0,MIN($AE63,$AD63-SUM($AG63:AO63))),0)</f>
        <v>3522469.6979166698</v>
      </c>
      <c r="AQ63" s="8">
        <f>IF($O63="Aktif",MAX(0,MIN($AE63,$AD63-SUM($AG63:AP63))),0)</f>
        <v>3522469.6979166698</v>
      </c>
      <c r="AR63" s="8">
        <f>IF($O63="Aktif",MAX(0,MIN($AE63,$AD63-SUM($AG63:AQ63))),0)</f>
        <v>3522469.6979166698</v>
      </c>
      <c r="AS63" s="8">
        <f>IF($O63="Aktif",MAX(0,MIN($AE63,$AD63-SUM($AG63:AR63))),0)</f>
        <v>3522469.6979166698</v>
      </c>
      <c r="AT63" s="8">
        <f>IF($O63="Aktif",MAX(0,MIN($AE63,$AD63-SUM($AG63:AS63))),0)</f>
        <v>3522469.6979166698</v>
      </c>
      <c r="AU63" s="8">
        <f>IF($O63="Aktif",MAX(0,MIN($AE63,$AD63-SUM($AG63:AT63))),0)</f>
        <v>3522469.6979166698</v>
      </c>
      <c r="AV63" s="8">
        <f>IF($O63="Aktif",MAX(0,MIN($AE63,$AD63-SUM($AG63:AU63))),0)</f>
        <v>3522469.6979166698</v>
      </c>
      <c r="AW63" s="8">
        <f t="shared" si="5"/>
        <v>56359515.166666739</v>
      </c>
      <c r="AX63" s="8">
        <f t="shared" si="6"/>
        <v>59881984.864582874</v>
      </c>
    </row>
    <row r="64" spans="1:50" ht="15" customHeight="1" x14ac:dyDescent="0.35">
      <c r="A64" s="102">
        <v>58</v>
      </c>
      <c r="B64" s="102" t="s">
        <v>478</v>
      </c>
      <c r="C64" s="103">
        <v>37</v>
      </c>
      <c r="D64" s="102" t="s">
        <v>183</v>
      </c>
      <c r="E64" s="102" t="s">
        <v>479</v>
      </c>
      <c r="F64" s="102" t="s">
        <v>480</v>
      </c>
      <c r="G64" s="102" t="s">
        <v>481</v>
      </c>
      <c r="H64" s="102" t="s">
        <v>482</v>
      </c>
      <c r="I64" s="102" t="s">
        <v>90</v>
      </c>
      <c r="J64" s="102"/>
      <c r="K64" s="102" t="s">
        <v>557</v>
      </c>
      <c r="L64" s="104">
        <v>44494</v>
      </c>
      <c r="M64" s="102" t="s">
        <v>558</v>
      </c>
      <c r="N64" s="102" t="s">
        <v>559</v>
      </c>
      <c r="O64" s="102" t="s">
        <v>383</v>
      </c>
      <c r="P64" s="103">
        <v>1</v>
      </c>
      <c r="Q64" s="105">
        <v>15448091</v>
      </c>
      <c r="R64" s="103">
        <v>48</v>
      </c>
      <c r="S64" s="105">
        <v>321835.22916666698</v>
      </c>
      <c r="T64" s="105">
        <v>15448091</v>
      </c>
      <c r="U64" s="105">
        <v>0</v>
      </c>
      <c r="V64" s="105">
        <v>0</v>
      </c>
      <c r="W64" s="105">
        <v>0</v>
      </c>
      <c r="X64" s="105">
        <v>0</v>
      </c>
      <c r="Y64" s="105">
        <v>0</v>
      </c>
      <c r="Z64" s="105">
        <v>0</v>
      </c>
      <c r="AA64" s="105">
        <v>0</v>
      </c>
      <c r="AB64" s="105">
        <v>0</v>
      </c>
      <c r="AC64" s="8">
        <f t="shared" si="0"/>
        <v>15448091</v>
      </c>
      <c r="AD64" s="8">
        <f t="shared" si="1"/>
        <v>0</v>
      </c>
      <c r="AE64" s="8">
        <f t="shared" si="2"/>
        <v>0</v>
      </c>
      <c r="AF64" s="106">
        <f t="shared" si="3"/>
        <v>0</v>
      </c>
      <c r="AG64" s="8">
        <f t="shared" si="4"/>
        <v>0</v>
      </c>
      <c r="AH64" s="8">
        <f>IF($O64="Aktif",MAX(0,MIN($AE64,$AD64-SUM($AG64:AG64))),0)</f>
        <v>0</v>
      </c>
      <c r="AI64" s="8">
        <f>IF($O64="Aktif",MAX(0,MIN($AE64,$AD64-SUM($AG64:AH64))),0)</f>
        <v>0</v>
      </c>
      <c r="AJ64" s="8">
        <f>IF($O64="Aktif",MAX(0,MIN($AE64,$AD64-SUM($AG64:AI64))),0)</f>
        <v>0</v>
      </c>
      <c r="AK64" s="8">
        <f>IF($O64="Aktif",MAX(0,MIN($AE64,$AD64-SUM($AG64:AJ64))),0)</f>
        <v>0</v>
      </c>
      <c r="AL64" s="8">
        <f>IF($O64="Aktif",MAX(0,MIN($AE64,$AD64-SUM($AG64:AK64))),0)</f>
        <v>0</v>
      </c>
      <c r="AM64" s="8">
        <f>IF($O64="Aktif",MAX(0,MIN($AE64,$AD64-SUM($AG64:AL64))),0)</f>
        <v>0</v>
      </c>
      <c r="AN64" s="8">
        <f>IF($O64="Aktif",MAX(0,MIN($AE64,$AD64-SUM($AG64:AM64))),0)</f>
        <v>0</v>
      </c>
      <c r="AO64" s="8">
        <f>IF($O64="Aktif",MAX(0,MIN($AE64,$AD64-SUM($AG64:AN64))),0)</f>
        <v>0</v>
      </c>
      <c r="AP64" s="8">
        <f>IF($O64="Aktif",MAX(0,MIN($AE64,$AD64-SUM($AG64:AO64))),0)</f>
        <v>0</v>
      </c>
      <c r="AQ64" s="8">
        <f>IF($O64="Aktif",MAX(0,MIN($AE64,$AD64-SUM($AG64:AP64))),0)</f>
        <v>0</v>
      </c>
      <c r="AR64" s="8">
        <f>IF($O64="Aktif",MAX(0,MIN($AE64,$AD64-SUM($AG64:AQ64))),0)</f>
        <v>0</v>
      </c>
      <c r="AS64" s="8">
        <f>IF($O64="Aktif",MAX(0,MIN($AE64,$AD64-SUM($AG64:AR64))),0)</f>
        <v>0</v>
      </c>
      <c r="AT64" s="8">
        <f>IF($O64="Aktif",MAX(0,MIN($AE64,$AD64-SUM($AG64:AS64))),0)</f>
        <v>0</v>
      </c>
      <c r="AU64" s="8">
        <f>IF($O64="Aktif",MAX(0,MIN($AE64,$AD64-SUM($AG64:AT64))),0)</f>
        <v>0</v>
      </c>
      <c r="AV64" s="8">
        <f>IF($O64="Aktif",MAX(0,MIN($AE64,$AD64-SUM($AG64:AU64))),0)</f>
        <v>0</v>
      </c>
      <c r="AW64" s="8">
        <f t="shared" si="5"/>
        <v>0</v>
      </c>
      <c r="AX64" s="8">
        <f t="shared" si="6"/>
        <v>0</v>
      </c>
    </row>
    <row r="65" spans="1:50" ht="15" customHeight="1" x14ac:dyDescent="0.35">
      <c r="A65" s="102">
        <v>59</v>
      </c>
      <c r="B65" s="102" t="s">
        <v>478</v>
      </c>
      <c r="C65" s="103">
        <v>38</v>
      </c>
      <c r="D65" s="102" t="s">
        <v>183</v>
      </c>
      <c r="E65" s="102" t="s">
        <v>540</v>
      </c>
      <c r="F65" s="102" t="s">
        <v>480</v>
      </c>
      <c r="G65" s="102" t="s">
        <v>481</v>
      </c>
      <c r="H65" s="102" t="s">
        <v>482</v>
      </c>
      <c r="I65" s="102" t="s">
        <v>90</v>
      </c>
      <c r="J65" s="102"/>
      <c r="K65" s="102"/>
      <c r="L65" s="104">
        <v>44621</v>
      </c>
      <c r="M65" s="102" t="s">
        <v>560</v>
      </c>
      <c r="N65" s="102" t="s">
        <v>561</v>
      </c>
      <c r="O65" s="102" t="s">
        <v>383</v>
      </c>
      <c r="P65" s="103">
        <v>1</v>
      </c>
      <c r="Q65" s="105">
        <v>1575340909</v>
      </c>
      <c r="R65" s="103">
        <v>96</v>
      </c>
      <c r="S65" s="105">
        <v>16409801.1354167</v>
      </c>
      <c r="T65" s="105">
        <v>16409801.1354167</v>
      </c>
      <c r="U65" s="105">
        <v>0</v>
      </c>
      <c r="V65" s="105">
        <v>0</v>
      </c>
      <c r="W65" s="105">
        <v>0</v>
      </c>
      <c r="X65" s="105">
        <v>0</v>
      </c>
      <c r="Y65" s="105">
        <v>0</v>
      </c>
      <c r="Z65" s="105">
        <v>0</v>
      </c>
      <c r="AA65" s="105">
        <v>0</v>
      </c>
      <c r="AB65" s="105">
        <v>0</v>
      </c>
      <c r="AC65" s="8">
        <f t="shared" si="0"/>
        <v>16409801.1354167</v>
      </c>
      <c r="AD65" s="8">
        <f t="shared" si="1"/>
        <v>1558931107.8645833</v>
      </c>
      <c r="AE65" s="8">
        <f t="shared" si="2"/>
        <v>0</v>
      </c>
      <c r="AF65" s="106">
        <f t="shared" si="3"/>
        <v>0</v>
      </c>
      <c r="AG65" s="8">
        <f t="shared" si="4"/>
        <v>0</v>
      </c>
      <c r="AH65" s="8">
        <f>IF($O65="Aktif",MAX(0,MIN($AE65,$AD65-SUM($AG65:AG65))),0)</f>
        <v>0</v>
      </c>
      <c r="AI65" s="8">
        <f>IF($O65="Aktif",MAX(0,MIN($AE65,$AD65-SUM($AG65:AH65))),0)</f>
        <v>0</v>
      </c>
      <c r="AJ65" s="8">
        <f>IF($O65="Aktif",MAX(0,MIN($AE65,$AD65-SUM($AG65:AI65))),0)</f>
        <v>0</v>
      </c>
      <c r="AK65" s="8">
        <f>IF($O65="Aktif",MAX(0,MIN($AE65,$AD65-SUM($AG65:AJ65))),0)</f>
        <v>0</v>
      </c>
      <c r="AL65" s="8">
        <f>IF($O65="Aktif",MAX(0,MIN($AE65,$AD65-SUM($AG65:AK65))),0)</f>
        <v>0</v>
      </c>
      <c r="AM65" s="8">
        <f>IF($O65="Aktif",MAX(0,MIN($AE65,$AD65-SUM($AG65:AL65))),0)</f>
        <v>0</v>
      </c>
      <c r="AN65" s="8">
        <f>IF($O65="Aktif",MAX(0,MIN($AE65,$AD65-SUM($AG65:AM65))),0)</f>
        <v>0</v>
      </c>
      <c r="AO65" s="8">
        <f>IF($O65="Aktif",MAX(0,MIN($AE65,$AD65-SUM($AG65:AN65))),0)</f>
        <v>0</v>
      </c>
      <c r="AP65" s="8">
        <f>IF($O65="Aktif",MAX(0,MIN($AE65,$AD65-SUM($AG65:AO65))),0)</f>
        <v>0</v>
      </c>
      <c r="AQ65" s="8">
        <f>IF($O65="Aktif",MAX(0,MIN($AE65,$AD65-SUM($AG65:AP65))),0)</f>
        <v>0</v>
      </c>
      <c r="AR65" s="8">
        <f>IF($O65="Aktif",MAX(0,MIN($AE65,$AD65-SUM($AG65:AQ65))),0)</f>
        <v>0</v>
      </c>
      <c r="AS65" s="8">
        <f>IF($O65="Aktif",MAX(0,MIN($AE65,$AD65-SUM($AG65:AR65))),0)</f>
        <v>0</v>
      </c>
      <c r="AT65" s="8">
        <f>IF($O65="Aktif",MAX(0,MIN($AE65,$AD65-SUM($AG65:AS65))),0)</f>
        <v>0</v>
      </c>
      <c r="AU65" s="8">
        <f>IF($O65="Aktif",MAX(0,MIN($AE65,$AD65-SUM($AG65:AT65))),0)</f>
        <v>0</v>
      </c>
      <c r="AV65" s="8">
        <f>IF($O65="Aktif",MAX(0,MIN($AE65,$AD65-SUM($AG65:AU65))),0)</f>
        <v>0</v>
      </c>
      <c r="AW65" s="8">
        <f t="shared" si="5"/>
        <v>0</v>
      </c>
      <c r="AX65" s="8">
        <f t="shared" si="6"/>
        <v>1558931107.8645833</v>
      </c>
    </row>
    <row r="66" spans="1:50" ht="15" customHeight="1" x14ac:dyDescent="0.35">
      <c r="A66" s="102">
        <v>60</v>
      </c>
      <c r="B66" s="102" t="s">
        <v>478</v>
      </c>
      <c r="C66" s="103">
        <v>39</v>
      </c>
      <c r="D66" s="102" t="s">
        <v>183</v>
      </c>
      <c r="E66" s="102" t="s">
        <v>0</v>
      </c>
      <c r="F66" s="102" t="s">
        <v>480</v>
      </c>
      <c r="G66" s="102" t="s">
        <v>481</v>
      </c>
      <c r="H66" s="102" t="s">
        <v>482</v>
      </c>
      <c r="I66" s="102" t="s">
        <v>90</v>
      </c>
      <c r="J66" s="102"/>
      <c r="K66" s="102"/>
      <c r="L66" s="104">
        <v>44674</v>
      </c>
      <c r="M66" s="102" t="s">
        <v>560</v>
      </c>
      <c r="N66" s="102" t="s">
        <v>562</v>
      </c>
      <c r="O66" s="102" t="s">
        <v>487</v>
      </c>
      <c r="P66" s="103">
        <v>1</v>
      </c>
      <c r="Q66" s="105">
        <v>-1575340909</v>
      </c>
      <c r="R66" s="102"/>
      <c r="S66" s="105">
        <v>0</v>
      </c>
      <c r="T66" s="105">
        <v>-16409801.1354167</v>
      </c>
      <c r="U66" s="105">
        <v>0</v>
      </c>
      <c r="V66" s="105">
        <v>0</v>
      </c>
      <c r="W66" s="105">
        <v>0</v>
      </c>
      <c r="X66" s="105">
        <v>0</v>
      </c>
      <c r="Y66" s="105">
        <v>0</v>
      </c>
      <c r="Z66" s="105">
        <v>0</v>
      </c>
      <c r="AA66" s="105">
        <v>0</v>
      </c>
      <c r="AB66" s="105">
        <v>0</v>
      </c>
      <c r="AC66" s="8">
        <f t="shared" si="0"/>
        <v>-16409801.1354167</v>
      </c>
      <c r="AD66" s="8">
        <f t="shared" si="1"/>
        <v>-1558931107.8645833</v>
      </c>
      <c r="AE66" s="8">
        <f t="shared" si="2"/>
        <v>0</v>
      </c>
      <c r="AF66" s="106">
        <f t="shared" si="3"/>
        <v>0</v>
      </c>
      <c r="AG66" s="8">
        <f t="shared" si="4"/>
        <v>0</v>
      </c>
      <c r="AH66" s="8">
        <f>IF($O66="Aktif",MAX(0,MIN($AE66,$AD66-SUM($AG66:AG66))),0)</f>
        <v>0</v>
      </c>
      <c r="AI66" s="8">
        <f>IF($O66="Aktif",MAX(0,MIN($AE66,$AD66-SUM($AG66:AH66))),0)</f>
        <v>0</v>
      </c>
      <c r="AJ66" s="8">
        <f>IF($O66="Aktif",MAX(0,MIN($AE66,$AD66-SUM($AG66:AI66))),0)</f>
        <v>0</v>
      </c>
      <c r="AK66" s="8">
        <f>IF($O66="Aktif",MAX(0,MIN($AE66,$AD66-SUM($AG66:AJ66))),0)</f>
        <v>0</v>
      </c>
      <c r="AL66" s="8">
        <f>IF($O66="Aktif",MAX(0,MIN($AE66,$AD66-SUM($AG66:AK66))),0)</f>
        <v>0</v>
      </c>
      <c r="AM66" s="8">
        <f>IF($O66="Aktif",MAX(0,MIN($AE66,$AD66-SUM($AG66:AL66))),0)</f>
        <v>0</v>
      </c>
      <c r="AN66" s="8">
        <f>IF($O66="Aktif",MAX(0,MIN($AE66,$AD66-SUM($AG66:AM66))),0)</f>
        <v>0</v>
      </c>
      <c r="AO66" s="8">
        <f>IF($O66="Aktif",MAX(0,MIN($AE66,$AD66-SUM($AG66:AN66))),0)</f>
        <v>0</v>
      </c>
      <c r="AP66" s="8">
        <f>IF($O66="Aktif",MAX(0,MIN($AE66,$AD66-SUM($AG66:AO66))),0)</f>
        <v>0</v>
      </c>
      <c r="AQ66" s="8">
        <f>IF($O66="Aktif",MAX(0,MIN($AE66,$AD66-SUM($AG66:AP66))),0)</f>
        <v>0</v>
      </c>
      <c r="AR66" s="8">
        <f>IF($O66="Aktif",MAX(0,MIN($AE66,$AD66-SUM($AG66:AQ66))),0)</f>
        <v>0</v>
      </c>
      <c r="AS66" s="8">
        <f>IF($O66="Aktif",MAX(0,MIN($AE66,$AD66-SUM($AG66:AR66))),0)</f>
        <v>0</v>
      </c>
      <c r="AT66" s="8">
        <f>IF($O66="Aktif",MAX(0,MIN($AE66,$AD66-SUM($AG66:AS66))),0)</f>
        <v>0</v>
      </c>
      <c r="AU66" s="8">
        <f>IF($O66="Aktif",MAX(0,MIN($AE66,$AD66-SUM($AG66:AT66))),0)</f>
        <v>0</v>
      </c>
      <c r="AV66" s="8">
        <f>IF($O66="Aktif",MAX(0,MIN($AE66,$AD66-SUM($AG66:AU66))),0)</f>
        <v>0</v>
      </c>
      <c r="AW66" s="8">
        <f t="shared" si="5"/>
        <v>0</v>
      </c>
      <c r="AX66" s="8">
        <f t="shared" si="6"/>
        <v>-1558931107.8645833</v>
      </c>
    </row>
    <row r="67" spans="1:50" ht="15" customHeight="1" x14ac:dyDescent="0.35">
      <c r="A67" s="102">
        <v>61</v>
      </c>
      <c r="B67" s="102" t="s">
        <v>478</v>
      </c>
      <c r="C67" s="103">
        <v>40</v>
      </c>
      <c r="D67" s="102" t="s">
        <v>183</v>
      </c>
      <c r="E67" s="102" t="s">
        <v>540</v>
      </c>
      <c r="F67" s="102" t="s">
        <v>480</v>
      </c>
      <c r="G67" s="102" t="s">
        <v>481</v>
      </c>
      <c r="H67" s="102" t="s">
        <v>482</v>
      </c>
      <c r="I67" s="102" t="s">
        <v>90</v>
      </c>
      <c r="J67" s="102"/>
      <c r="K67" s="102" t="s">
        <v>563</v>
      </c>
      <c r="L67" s="102" t="s">
        <v>564</v>
      </c>
      <c r="M67" s="102" t="s">
        <v>565</v>
      </c>
      <c r="N67" s="102" t="s">
        <v>566</v>
      </c>
      <c r="O67" s="102" t="s">
        <v>383</v>
      </c>
      <c r="P67" s="103">
        <v>1</v>
      </c>
      <c r="Q67" s="105">
        <v>990910811</v>
      </c>
      <c r="R67" s="103">
        <v>96</v>
      </c>
      <c r="S67" s="105">
        <v>10321987.6145833</v>
      </c>
      <c r="T67" s="105">
        <v>423201492.19999999</v>
      </c>
      <c r="U67" s="105">
        <v>10321987.6145833</v>
      </c>
      <c r="V67" s="105">
        <v>10321987.6145833</v>
      </c>
      <c r="W67" s="105">
        <v>10321987.6145833</v>
      </c>
      <c r="X67" s="105">
        <v>10321987.6145833</v>
      </c>
      <c r="Y67" s="105">
        <v>10321987.6145833</v>
      </c>
      <c r="Z67" s="105">
        <v>10321987.6145833</v>
      </c>
      <c r="AA67" s="105">
        <v>10321987.6145833</v>
      </c>
      <c r="AB67" s="105">
        <v>10321987.6145833</v>
      </c>
      <c r="AC67" s="8">
        <f t="shared" si="0"/>
        <v>505777393.11666638</v>
      </c>
      <c r="AD67" s="8">
        <f t="shared" si="1"/>
        <v>485133417.88333362</v>
      </c>
      <c r="AE67" s="8">
        <f t="shared" si="2"/>
        <v>10321987.6145833</v>
      </c>
      <c r="AF67" s="106">
        <f t="shared" si="3"/>
        <v>46.999999999798341</v>
      </c>
      <c r="AG67" s="8">
        <f t="shared" si="4"/>
        <v>10321987.6145833</v>
      </c>
      <c r="AH67" s="8">
        <f>IF($O67="Aktif",MAX(0,MIN($AE67,$AD67-SUM($AG67:AG67))),0)</f>
        <v>10321987.6145833</v>
      </c>
      <c r="AI67" s="8">
        <f>IF($O67="Aktif",MAX(0,MIN($AE67,$AD67-SUM($AG67:AH67))),0)</f>
        <v>10321987.6145833</v>
      </c>
      <c r="AJ67" s="8">
        <f>IF($O67="Aktif",MAX(0,MIN($AE67,$AD67-SUM($AG67:AI67))),0)</f>
        <v>10321987.6145833</v>
      </c>
      <c r="AK67" s="8">
        <f>IF($O67="Aktif",MAX(0,MIN($AE67,$AD67-SUM($AG67:AJ67))),0)</f>
        <v>10321987.6145833</v>
      </c>
      <c r="AL67" s="8">
        <f>IF($O67="Aktif",MAX(0,MIN($AE67,$AD67-SUM($AG67:AK67))),0)</f>
        <v>10321987.6145833</v>
      </c>
      <c r="AM67" s="8">
        <f>IF($O67="Aktif",MAX(0,MIN($AE67,$AD67-SUM($AG67:AL67))),0)</f>
        <v>10321987.6145833</v>
      </c>
      <c r="AN67" s="8">
        <f>IF($O67="Aktif",MAX(0,MIN($AE67,$AD67-SUM($AG67:AM67))),0)</f>
        <v>10321987.6145833</v>
      </c>
      <c r="AO67" s="8">
        <f>IF($O67="Aktif",MAX(0,MIN($AE67,$AD67-SUM($AG67:AN67))),0)</f>
        <v>10321987.6145833</v>
      </c>
      <c r="AP67" s="8">
        <f>IF($O67="Aktif",MAX(0,MIN($AE67,$AD67-SUM($AG67:AO67))),0)</f>
        <v>10321987.6145833</v>
      </c>
      <c r="AQ67" s="8">
        <f>IF($O67="Aktif",MAX(0,MIN($AE67,$AD67-SUM($AG67:AP67))),0)</f>
        <v>10321987.6145833</v>
      </c>
      <c r="AR67" s="8">
        <f>IF($O67="Aktif",MAX(0,MIN($AE67,$AD67-SUM($AG67:AQ67))),0)</f>
        <v>10321987.6145833</v>
      </c>
      <c r="AS67" s="8">
        <f>IF($O67="Aktif",MAX(0,MIN($AE67,$AD67-SUM($AG67:AR67))),0)</f>
        <v>10321987.6145833</v>
      </c>
      <c r="AT67" s="8">
        <f>IF($O67="Aktif",MAX(0,MIN($AE67,$AD67-SUM($AG67:AS67))),0)</f>
        <v>10321987.6145833</v>
      </c>
      <c r="AU67" s="8">
        <f>IF($O67="Aktif",MAX(0,MIN($AE67,$AD67-SUM($AG67:AT67))),0)</f>
        <v>10321987.6145833</v>
      </c>
      <c r="AV67" s="8">
        <f>IF($O67="Aktif",MAX(0,MIN($AE67,$AD67-SUM($AG67:AU67))),0)</f>
        <v>10321987.6145833</v>
      </c>
      <c r="AW67" s="8">
        <f t="shared" si="5"/>
        <v>165151801.83333284</v>
      </c>
      <c r="AX67" s="8">
        <f t="shared" si="6"/>
        <v>319981616.05000079</v>
      </c>
    </row>
    <row r="68" spans="1:50" ht="15" customHeight="1" x14ac:dyDescent="0.35">
      <c r="A68" s="102">
        <v>62</v>
      </c>
      <c r="B68" s="102" t="s">
        <v>478</v>
      </c>
      <c r="C68" s="103">
        <v>41</v>
      </c>
      <c r="D68" s="102" t="s">
        <v>183</v>
      </c>
      <c r="E68" s="102" t="s">
        <v>540</v>
      </c>
      <c r="F68" s="102" t="s">
        <v>480</v>
      </c>
      <c r="G68" s="102" t="s">
        <v>481</v>
      </c>
      <c r="H68" s="102" t="s">
        <v>482</v>
      </c>
      <c r="I68" s="102" t="s">
        <v>90</v>
      </c>
      <c r="J68" s="102"/>
      <c r="K68" s="102"/>
      <c r="L68" s="104">
        <v>44917</v>
      </c>
      <c r="M68" s="102" t="s">
        <v>567</v>
      </c>
      <c r="N68" s="102" t="s">
        <v>568</v>
      </c>
      <c r="O68" s="102" t="s">
        <v>383</v>
      </c>
      <c r="P68" s="103">
        <v>1</v>
      </c>
      <c r="Q68" s="105">
        <v>1825000000</v>
      </c>
      <c r="R68" s="103">
        <v>96</v>
      </c>
      <c r="S68" s="105">
        <v>19010416.666666701</v>
      </c>
      <c r="T68" s="105">
        <v>152083333.33333299</v>
      </c>
      <c r="U68" s="105">
        <v>0</v>
      </c>
      <c r="V68" s="105">
        <v>0</v>
      </c>
      <c r="W68" s="105">
        <v>0</v>
      </c>
      <c r="X68" s="105">
        <v>0</v>
      </c>
      <c r="Y68" s="105">
        <v>0</v>
      </c>
      <c r="Z68" s="105">
        <v>0</v>
      </c>
      <c r="AA68" s="105">
        <v>0</v>
      </c>
      <c r="AB68" s="105">
        <v>0</v>
      </c>
      <c r="AC68" s="8">
        <f t="shared" si="0"/>
        <v>152083333.33333299</v>
      </c>
      <c r="AD68" s="8">
        <f t="shared" si="1"/>
        <v>1672916666.666667</v>
      </c>
      <c r="AE68" s="8">
        <f t="shared" si="2"/>
        <v>0</v>
      </c>
      <c r="AF68" s="106">
        <f t="shared" si="3"/>
        <v>0</v>
      </c>
      <c r="AG68" s="8">
        <f t="shared" si="4"/>
        <v>0</v>
      </c>
      <c r="AH68" s="8">
        <f>IF($O68="Aktif",MAX(0,MIN($AE68,$AD68-SUM($AG68:AG68))),0)</f>
        <v>0</v>
      </c>
      <c r="AI68" s="8">
        <f>IF($O68="Aktif",MAX(0,MIN($AE68,$AD68-SUM($AG68:AH68))),0)</f>
        <v>0</v>
      </c>
      <c r="AJ68" s="8">
        <f>IF($O68="Aktif",MAX(0,MIN($AE68,$AD68-SUM($AG68:AI68))),0)</f>
        <v>0</v>
      </c>
      <c r="AK68" s="8">
        <f>IF($O68="Aktif",MAX(0,MIN($AE68,$AD68-SUM($AG68:AJ68))),0)</f>
        <v>0</v>
      </c>
      <c r="AL68" s="8">
        <f>IF($O68="Aktif",MAX(0,MIN($AE68,$AD68-SUM($AG68:AK68))),0)</f>
        <v>0</v>
      </c>
      <c r="AM68" s="8">
        <f>IF($O68="Aktif",MAX(0,MIN($AE68,$AD68-SUM($AG68:AL68))),0)</f>
        <v>0</v>
      </c>
      <c r="AN68" s="8">
        <f>IF($O68="Aktif",MAX(0,MIN($AE68,$AD68-SUM($AG68:AM68))),0)</f>
        <v>0</v>
      </c>
      <c r="AO68" s="8">
        <f>IF($O68="Aktif",MAX(0,MIN($AE68,$AD68-SUM($AG68:AN68))),0)</f>
        <v>0</v>
      </c>
      <c r="AP68" s="8">
        <f>IF($O68="Aktif",MAX(0,MIN($AE68,$AD68-SUM($AG68:AO68))),0)</f>
        <v>0</v>
      </c>
      <c r="AQ68" s="8">
        <f>IF($O68="Aktif",MAX(0,MIN($AE68,$AD68-SUM($AG68:AP68))),0)</f>
        <v>0</v>
      </c>
      <c r="AR68" s="8">
        <f>IF($O68="Aktif",MAX(0,MIN($AE68,$AD68-SUM($AG68:AQ68))),0)</f>
        <v>0</v>
      </c>
      <c r="AS68" s="8">
        <f>IF($O68="Aktif",MAX(0,MIN($AE68,$AD68-SUM($AG68:AR68))),0)</f>
        <v>0</v>
      </c>
      <c r="AT68" s="8">
        <f>IF($O68="Aktif",MAX(0,MIN($AE68,$AD68-SUM($AG68:AS68))),0)</f>
        <v>0</v>
      </c>
      <c r="AU68" s="8">
        <f>IF($O68="Aktif",MAX(0,MIN($AE68,$AD68-SUM($AG68:AT68))),0)</f>
        <v>0</v>
      </c>
      <c r="AV68" s="8">
        <f>IF($O68="Aktif",MAX(0,MIN($AE68,$AD68-SUM($AG68:AU68))),0)</f>
        <v>0</v>
      </c>
      <c r="AW68" s="8">
        <f t="shared" si="5"/>
        <v>0</v>
      </c>
      <c r="AX68" s="8">
        <f t="shared" si="6"/>
        <v>1672916666.666667</v>
      </c>
    </row>
    <row r="69" spans="1:50" ht="15" customHeight="1" x14ac:dyDescent="0.35">
      <c r="A69" s="102">
        <v>63</v>
      </c>
      <c r="B69" s="102" t="s">
        <v>478</v>
      </c>
      <c r="C69" s="103">
        <v>42</v>
      </c>
      <c r="D69" s="102" t="s">
        <v>183</v>
      </c>
      <c r="E69" s="102" t="s">
        <v>0</v>
      </c>
      <c r="F69" s="102" t="s">
        <v>480</v>
      </c>
      <c r="G69" s="102" t="s">
        <v>481</v>
      </c>
      <c r="H69" s="102" t="s">
        <v>482</v>
      </c>
      <c r="I69" s="102" t="s">
        <v>90</v>
      </c>
      <c r="J69" s="102"/>
      <c r="K69" s="102"/>
      <c r="L69" s="104">
        <v>45124</v>
      </c>
      <c r="M69" s="102" t="s">
        <v>569</v>
      </c>
      <c r="N69" s="102" t="s">
        <v>569</v>
      </c>
      <c r="O69" s="102" t="s">
        <v>570</v>
      </c>
      <c r="P69" s="103">
        <v>1</v>
      </c>
      <c r="Q69" s="105">
        <v>-1825000000</v>
      </c>
      <c r="R69" s="102"/>
      <c r="S69" s="105">
        <v>0</v>
      </c>
      <c r="T69" s="105">
        <v>-152083333.33000001</v>
      </c>
      <c r="U69" s="105">
        <v>0</v>
      </c>
      <c r="V69" s="105">
        <v>0</v>
      </c>
      <c r="W69" s="105">
        <v>0</v>
      </c>
      <c r="X69" s="105">
        <v>0</v>
      </c>
      <c r="Y69" s="105">
        <v>0</v>
      </c>
      <c r="Z69" s="105">
        <v>0</v>
      </c>
      <c r="AA69" s="105">
        <v>0</v>
      </c>
      <c r="AB69" s="105">
        <v>0</v>
      </c>
      <c r="AC69" s="8">
        <f t="shared" si="0"/>
        <v>-152083333.33000001</v>
      </c>
      <c r="AD69" s="8">
        <f t="shared" si="1"/>
        <v>-1672916666.6700001</v>
      </c>
      <c r="AE69" s="8">
        <f t="shared" si="2"/>
        <v>0</v>
      </c>
      <c r="AF69" s="106">
        <f t="shared" si="3"/>
        <v>0</v>
      </c>
      <c r="AG69" s="8">
        <f t="shared" si="4"/>
        <v>0</v>
      </c>
      <c r="AH69" s="8">
        <f>IF($O69="Aktif",MAX(0,MIN($AE69,$AD69-SUM($AG69:AG69))),0)</f>
        <v>0</v>
      </c>
      <c r="AI69" s="8">
        <f>IF($O69="Aktif",MAX(0,MIN($AE69,$AD69-SUM($AG69:AH69))),0)</f>
        <v>0</v>
      </c>
      <c r="AJ69" s="8">
        <f>IF($O69="Aktif",MAX(0,MIN($AE69,$AD69-SUM($AG69:AI69))),0)</f>
        <v>0</v>
      </c>
      <c r="AK69" s="8">
        <f>IF($O69="Aktif",MAX(0,MIN($AE69,$AD69-SUM($AG69:AJ69))),0)</f>
        <v>0</v>
      </c>
      <c r="AL69" s="8">
        <f>IF($O69="Aktif",MAX(0,MIN($AE69,$AD69-SUM($AG69:AK69))),0)</f>
        <v>0</v>
      </c>
      <c r="AM69" s="8">
        <f>IF($O69="Aktif",MAX(0,MIN($AE69,$AD69-SUM($AG69:AL69))),0)</f>
        <v>0</v>
      </c>
      <c r="AN69" s="8">
        <f>IF($O69="Aktif",MAX(0,MIN($AE69,$AD69-SUM($AG69:AM69))),0)</f>
        <v>0</v>
      </c>
      <c r="AO69" s="8">
        <f>IF($O69="Aktif",MAX(0,MIN($AE69,$AD69-SUM($AG69:AN69))),0)</f>
        <v>0</v>
      </c>
      <c r="AP69" s="8">
        <f>IF($O69="Aktif",MAX(0,MIN($AE69,$AD69-SUM($AG69:AO69))),0)</f>
        <v>0</v>
      </c>
      <c r="AQ69" s="8">
        <f>IF($O69="Aktif",MAX(0,MIN($AE69,$AD69-SUM($AG69:AP69))),0)</f>
        <v>0</v>
      </c>
      <c r="AR69" s="8">
        <f>IF($O69="Aktif",MAX(0,MIN($AE69,$AD69-SUM($AG69:AQ69))),0)</f>
        <v>0</v>
      </c>
      <c r="AS69" s="8">
        <f>IF($O69="Aktif",MAX(0,MIN($AE69,$AD69-SUM($AG69:AR69))),0)</f>
        <v>0</v>
      </c>
      <c r="AT69" s="8">
        <f>IF($O69="Aktif",MAX(0,MIN($AE69,$AD69-SUM($AG69:AS69))),0)</f>
        <v>0</v>
      </c>
      <c r="AU69" s="8">
        <f>IF($O69="Aktif",MAX(0,MIN($AE69,$AD69-SUM($AG69:AT69))),0)</f>
        <v>0</v>
      </c>
      <c r="AV69" s="8">
        <f>IF($O69="Aktif",MAX(0,MIN($AE69,$AD69-SUM($AG69:AU69))),0)</f>
        <v>0</v>
      </c>
      <c r="AW69" s="8">
        <f t="shared" si="5"/>
        <v>0</v>
      </c>
      <c r="AX69" s="8">
        <f t="shared" si="6"/>
        <v>-1672916666.6700001</v>
      </c>
    </row>
    <row r="70" spans="1:50" ht="15" customHeight="1" x14ac:dyDescent="0.35">
      <c r="A70" s="102">
        <v>64</v>
      </c>
      <c r="B70" s="102" t="s">
        <v>478</v>
      </c>
      <c r="C70" s="103">
        <v>43</v>
      </c>
      <c r="D70" s="102" t="s">
        <v>183</v>
      </c>
      <c r="E70" s="102" t="s">
        <v>540</v>
      </c>
      <c r="F70" s="102" t="s">
        <v>480</v>
      </c>
      <c r="G70" s="102" t="s">
        <v>481</v>
      </c>
      <c r="H70" s="102" t="s">
        <v>482</v>
      </c>
      <c r="I70" s="102" t="s">
        <v>90</v>
      </c>
      <c r="J70" s="102"/>
      <c r="K70" s="102" t="s">
        <v>563</v>
      </c>
      <c r="L70" s="104">
        <v>44977</v>
      </c>
      <c r="M70" s="102" t="s">
        <v>571</v>
      </c>
      <c r="N70" s="102" t="s">
        <v>572</v>
      </c>
      <c r="O70" s="102" t="s">
        <v>383</v>
      </c>
      <c r="P70" s="103">
        <v>1</v>
      </c>
      <c r="Q70" s="105">
        <v>32441441</v>
      </c>
      <c r="R70" s="103">
        <v>96</v>
      </c>
      <c r="S70" s="105">
        <v>337931.67708333302</v>
      </c>
      <c r="T70" s="105">
        <v>11827608.6979167</v>
      </c>
      <c r="U70" s="105">
        <v>337931.67708333302</v>
      </c>
      <c r="V70" s="105">
        <v>337931.67708333302</v>
      </c>
      <c r="W70" s="105">
        <v>337931.67708333302</v>
      </c>
      <c r="X70" s="105">
        <v>337931.67708333302</v>
      </c>
      <c r="Y70" s="105">
        <v>337931.67708333302</v>
      </c>
      <c r="Z70" s="105">
        <v>337931.67708333302</v>
      </c>
      <c r="AA70" s="105">
        <v>337931.67708333302</v>
      </c>
      <c r="AB70" s="105">
        <v>337931.67708333302</v>
      </c>
      <c r="AC70" s="8">
        <f t="shared" si="0"/>
        <v>14531062.114583364</v>
      </c>
      <c r="AD70" s="8">
        <f t="shared" si="1"/>
        <v>17910378.885416634</v>
      </c>
      <c r="AE70" s="8">
        <f t="shared" si="2"/>
        <v>337931.67708333302</v>
      </c>
      <c r="AF70" s="106">
        <f t="shared" si="3"/>
        <v>52.99999999999995</v>
      </c>
      <c r="AG70" s="8">
        <f t="shared" si="4"/>
        <v>337931.67708333302</v>
      </c>
      <c r="AH70" s="8">
        <f>IF($O70="Aktif",MAX(0,MIN($AE70,$AD70-SUM($AG70:AG70))),0)</f>
        <v>337931.67708333302</v>
      </c>
      <c r="AI70" s="8">
        <f>IF($O70="Aktif",MAX(0,MIN($AE70,$AD70-SUM($AG70:AH70))),0)</f>
        <v>337931.67708333302</v>
      </c>
      <c r="AJ70" s="8">
        <f>IF($O70="Aktif",MAX(0,MIN($AE70,$AD70-SUM($AG70:AI70))),0)</f>
        <v>337931.67708333302</v>
      </c>
      <c r="AK70" s="8">
        <f>IF($O70="Aktif",MAX(0,MIN($AE70,$AD70-SUM($AG70:AJ70))),0)</f>
        <v>337931.67708333302</v>
      </c>
      <c r="AL70" s="8">
        <f>IF($O70="Aktif",MAX(0,MIN($AE70,$AD70-SUM($AG70:AK70))),0)</f>
        <v>337931.67708333302</v>
      </c>
      <c r="AM70" s="8">
        <f>IF($O70="Aktif",MAX(0,MIN($AE70,$AD70-SUM($AG70:AL70))),0)</f>
        <v>337931.67708333302</v>
      </c>
      <c r="AN70" s="8">
        <f>IF($O70="Aktif",MAX(0,MIN($AE70,$AD70-SUM($AG70:AM70))),0)</f>
        <v>337931.67708333302</v>
      </c>
      <c r="AO70" s="8">
        <f>IF($O70="Aktif",MAX(0,MIN($AE70,$AD70-SUM($AG70:AN70))),0)</f>
        <v>337931.67708333302</v>
      </c>
      <c r="AP70" s="8">
        <f>IF($O70="Aktif",MAX(0,MIN($AE70,$AD70-SUM($AG70:AO70))),0)</f>
        <v>337931.67708333302</v>
      </c>
      <c r="AQ70" s="8">
        <f>IF($O70="Aktif",MAX(0,MIN($AE70,$AD70-SUM($AG70:AP70))),0)</f>
        <v>337931.67708333302</v>
      </c>
      <c r="AR70" s="8">
        <f>IF($O70="Aktif",MAX(0,MIN($AE70,$AD70-SUM($AG70:AQ70))),0)</f>
        <v>337931.67708333302</v>
      </c>
      <c r="AS70" s="8">
        <f>IF($O70="Aktif",MAX(0,MIN($AE70,$AD70-SUM($AG70:AR70))),0)</f>
        <v>337931.67708333302</v>
      </c>
      <c r="AT70" s="8">
        <f>IF($O70="Aktif",MAX(0,MIN($AE70,$AD70-SUM($AG70:AS70))),0)</f>
        <v>337931.67708333302</v>
      </c>
      <c r="AU70" s="8">
        <f>IF($O70="Aktif",MAX(0,MIN($AE70,$AD70-SUM($AG70:AT70))),0)</f>
        <v>337931.67708333302</v>
      </c>
      <c r="AV70" s="8">
        <f>IF($O70="Aktif",MAX(0,MIN($AE70,$AD70-SUM($AG70:AU70))),0)</f>
        <v>337931.67708333302</v>
      </c>
      <c r="AW70" s="8">
        <f t="shared" si="5"/>
        <v>5406906.8333333284</v>
      </c>
      <c r="AX70" s="8">
        <f t="shared" si="6"/>
        <v>12503472.052083306</v>
      </c>
    </row>
    <row r="71" spans="1:50" ht="15" customHeight="1" x14ac:dyDescent="0.35">
      <c r="A71" s="102">
        <v>65</v>
      </c>
      <c r="B71" s="102" t="s">
        <v>478</v>
      </c>
      <c r="C71" s="103">
        <v>44</v>
      </c>
      <c r="D71" s="102" t="s">
        <v>183</v>
      </c>
      <c r="E71" s="102" t="s">
        <v>479</v>
      </c>
      <c r="F71" s="102" t="s">
        <v>480</v>
      </c>
      <c r="G71" s="102" t="s">
        <v>481</v>
      </c>
      <c r="H71" s="102" t="s">
        <v>482</v>
      </c>
      <c r="I71" s="102" t="s">
        <v>90</v>
      </c>
      <c r="J71" s="102"/>
      <c r="K71" s="102" t="s">
        <v>573</v>
      </c>
      <c r="L71" s="104">
        <v>45550</v>
      </c>
      <c r="M71" s="102" t="s">
        <v>574</v>
      </c>
      <c r="N71" s="102"/>
      <c r="O71" s="102" t="s">
        <v>383</v>
      </c>
      <c r="P71" s="103">
        <v>1</v>
      </c>
      <c r="Q71" s="105">
        <v>170000000</v>
      </c>
      <c r="R71" s="103">
        <v>96</v>
      </c>
      <c r="S71" s="105">
        <v>1770833.33333333</v>
      </c>
      <c r="T71" s="105">
        <v>28333333.333333299</v>
      </c>
      <c r="U71" s="105">
        <v>1770833.33333333</v>
      </c>
      <c r="V71" s="105">
        <v>1770833.33333333</v>
      </c>
      <c r="W71" s="105">
        <v>1770833.33333333</v>
      </c>
      <c r="X71" s="105">
        <v>1770833.33333333</v>
      </c>
      <c r="Y71" s="105">
        <v>1770833.33333333</v>
      </c>
      <c r="Z71" s="105">
        <v>1770833.33333333</v>
      </c>
      <c r="AA71" s="105">
        <v>1770833.33333333</v>
      </c>
      <c r="AB71" s="105">
        <v>1770833.33333333</v>
      </c>
      <c r="AC71" s="8">
        <f t="shared" ref="AC71:AC134" si="7">T71+SUM(U71:AB71)</f>
        <v>42499999.99999994</v>
      </c>
      <c r="AD71" s="8">
        <f t="shared" ref="AD71:AD134" si="8">Q71-AC71</f>
        <v>127500000.00000006</v>
      </c>
      <c r="AE71" s="8">
        <f t="shared" ref="AE71:AE134" si="9">IF(O71="Aktif",AB71,0)</f>
        <v>1770833.33333333</v>
      </c>
      <c r="AF71" s="106">
        <f t="shared" ref="AF71:AF134" si="10">IF(AE71&gt;0,MAX(0,AD71)/AE71,0)</f>
        <v>72.000000000000171</v>
      </c>
      <c r="AG71" s="8">
        <f t="shared" ref="AG71:AG134" si="11">IF($O71="Aktif",MAX(0,MIN($AE71,$AD71-0)),0)</f>
        <v>1770833.33333333</v>
      </c>
      <c r="AH71" s="8">
        <f>IF($O71="Aktif",MAX(0,MIN($AE71,$AD71-SUM($AG71:AG71))),0)</f>
        <v>1770833.33333333</v>
      </c>
      <c r="AI71" s="8">
        <f>IF($O71="Aktif",MAX(0,MIN($AE71,$AD71-SUM($AG71:AH71))),0)</f>
        <v>1770833.33333333</v>
      </c>
      <c r="AJ71" s="8">
        <f>IF($O71="Aktif",MAX(0,MIN($AE71,$AD71-SUM($AG71:AI71))),0)</f>
        <v>1770833.33333333</v>
      </c>
      <c r="AK71" s="8">
        <f>IF($O71="Aktif",MAX(0,MIN($AE71,$AD71-SUM($AG71:AJ71))),0)</f>
        <v>1770833.33333333</v>
      </c>
      <c r="AL71" s="8">
        <f>IF($O71="Aktif",MAX(0,MIN($AE71,$AD71-SUM($AG71:AK71))),0)</f>
        <v>1770833.33333333</v>
      </c>
      <c r="AM71" s="8">
        <f>IF($O71="Aktif",MAX(0,MIN($AE71,$AD71-SUM($AG71:AL71))),0)</f>
        <v>1770833.33333333</v>
      </c>
      <c r="AN71" s="8">
        <f>IF($O71="Aktif",MAX(0,MIN($AE71,$AD71-SUM($AG71:AM71))),0)</f>
        <v>1770833.33333333</v>
      </c>
      <c r="AO71" s="8">
        <f>IF($O71="Aktif",MAX(0,MIN($AE71,$AD71-SUM($AG71:AN71))),0)</f>
        <v>1770833.33333333</v>
      </c>
      <c r="AP71" s="8">
        <f>IF($O71="Aktif",MAX(0,MIN($AE71,$AD71-SUM($AG71:AO71))),0)</f>
        <v>1770833.33333333</v>
      </c>
      <c r="AQ71" s="8">
        <f>IF($O71="Aktif",MAX(0,MIN($AE71,$AD71-SUM($AG71:AP71))),0)</f>
        <v>1770833.33333333</v>
      </c>
      <c r="AR71" s="8">
        <f>IF($O71="Aktif",MAX(0,MIN($AE71,$AD71-SUM($AG71:AQ71))),0)</f>
        <v>1770833.33333333</v>
      </c>
      <c r="AS71" s="8">
        <f>IF($O71="Aktif",MAX(0,MIN($AE71,$AD71-SUM($AG71:AR71))),0)</f>
        <v>1770833.33333333</v>
      </c>
      <c r="AT71" s="8">
        <f>IF($O71="Aktif",MAX(0,MIN($AE71,$AD71-SUM($AG71:AS71))),0)</f>
        <v>1770833.33333333</v>
      </c>
      <c r="AU71" s="8">
        <f>IF($O71="Aktif",MAX(0,MIN($AE71,$AD71-SUM($AG71:AT71))),0)</f>
        <v>1770833.33333333</v>
      </c>
      <c r="AV71" s="8">
        <f>IF($O71="Aktif",MAX(0,MIN($AE71,$AD71-SUM($AG71:AU71))),0)</f>
        <v>1770833.33333333</v>
      </c>
      <c r="AW71" s="8">
        <f t="shared" ref="AW71:AW134" si="12">SUM(AG71:AV71)</f>
        <v>28333333.333333269</v>
      </c>
      <c r="AX71" s="8">
        <f t="shared" ref="AX71:AX134" si="13">AD71-AW71</f>
        <v>99166666.666666791</v>
      </c>
    </row>
    <row r="72" spans="1:50" ht="15" customHeight="1" x14ac:dyDescent="0.35">
      <c r="A72" s="102">
        <v>66</v>
      </c>
      <c r="B72" s="102" t="s">
        <v>478</v>
      </c>
      <c r="C72" s="103">
        <v>45</v>
      </c>
      <c r="D72" s="102" t="s">
        <v>183</v>
      </c>
      <c r="E72" s="102" t="s">
        <v>540</v>
      </c>
      <c r="F72" s="102" t="s">
        <v>480</v>
      </c>
      <c r="G72" s="102" t="s">
        <v>481</v>
      </c>
      <c r="H72" s="102" t="s">
        <v>482</v>
      </c>
      <c r="I72" s="102" t="s">
        <v>90</v>
      </c>
      <c r="J72" s="102"/>
      <c r="K72" s="102" t="s">
        <v>575</v>
      </c>
      <c r="L72" s="104">
        <v>45884</v>
      </c>
      <c r="M72" s="102" t="s">
        <v>576</v>
      </c>
      <c r="N72" s="102"/>
      <c r="O72" s="102" t="s">
        <v>383</v>
      </c>
      <c r="P72" s="103">
        <v>1</v>
      </c>
      <c r="Q72" s="105">
        <v>236329821</v>
      </c>
      <c r="R72" s="103">
        <v>96</v>
      </c>
      <c r="S72" s="105">
        <v>2461768.96875</v>
      </c>
      <c r="T72" s="105">
        <v>12308844.84375</v>
      </c>
      <c r="U72" s="105">
        <v>2461768.96875</v>
      </c>
      <c r="V72" s="105">
        <v>2461768.96875</v>
      </c>
      <c r="W72" s="105">
        <v>2461768.96875</v>
      </c>
      <c r="X72" s="105">
        <v>2461768.96875</v>
      </c>
      <c r="Y72" s="105">
        <v>2461768.96875</v>
      </c>
      <c r="Z72" s="105">
        <v>2461768.96875</v>
      </c>
      <c r="AA72" s="105">
        <v>2461768.96875</v>
      </c>
      <c r="AB72" s="105">
        <v>2461768.96875</v>
      </c>
      <c r="AC72" s="8">
        <f t="shared" si="7"/>
        <v>32002996.59375</v>
      </c>
      <c r="AD72" s="8">
        <f t="shared" si="8"/>
        <v>204326824.40625</v>
      </c>
      <c r="AE72" s="8">
        <f t="shared" si="9"/>
        <v>2461768.96875</v>
      </c>
      <c r="AF72" s="106">
        <f t="shared" si="10"/>
        <v>83</v>
      </c>
      <c r="AG72" s="8">
        <f t="shared" si="11"/>
        <v>2461768.96875</v>
      </c>
      <c r="AH72" s="8">
        <f>IF($O72="Aktif",MAX(0,MIN($AE72,$AD72-SUM($AG72:AG72))),0)</f>
        <v>2461768.96875</v>
      </c>
      <c r="AI72" s="8">
        <f>IF($O72="Aktif",MAX(0,MIN($AE72,$AD72-SUM($AG72:AH72))),0)</f>
        <v>2461768.96875</v>
      </c>
      <c r="AJ72" s="8">
        <f>IF($O72="Aktif",MAX(0,MIN($AE72,$AD72-SUM($AG72:AI72))),0)</f>
        <v>2461768.96875</v>
      </c>
      <c r="AK72" s="8">
        <f>IF($O72="Aktif",MAX(0,MIN($AE72,$AD72-SUM($AG72:AJ72))),0)</f>
        <v>2461768.96875</v>
      </c>
      <c r="AL72" s="8">
        <f>IF($O72="Aktif",MAX(0,MIN($AE72,$AD72-SUM($AG72:AK72))),0)</f>
        <v>2461768.96875</v>
      </c>
      <c r="AM72" s="8">
        <f>IF($O72="Aktif",MAX(0,MIN($AE72,$AD72-SUM($AG72:AL72))),0)</f>
        <v>2461768.96875</v>
      </c>
      <c r="AN72" s="8">
        <f>IF($O72="Aktif",MAX(0,MIN($AE72,$AD72-SUM($AG72:AM72))),0)</f>
        <v>2461768.96875</v>
      </c>
      <c r="AO72" s="8">
        <f>IF($O72="Aktif",MAX(0,MIN($AE72,$AD72-SUM($AG72:AN72))),0)</f>
        <v>2461768.96875</v>
      </c>
      <c r="AP72" s="8">
        <f>IF($O72="Aktif",MAX(0,MIN($AE72,$AD72-SUM($AG72:AO72))),0)</f>
        <v>2461768.96875</v>
      </c>
      <c r="AQ72" s="8">
        <f>IF($O72="Aktif",MAX(0,MIN($AE72,$AD72-SUM($AG72:AP72))),0)</f>
        <v>2461768.96875</v>
      </c>
      <c r="AR72" s="8">
        <f>IF($O72="Aktif",MAX(0,MIN($AE72,$AD72-SUM($AG72:AQ72))),0)</f>
        <v>2461768.96875</v>
      </c>
      <c r="AS72" s="8">
        <f>IF($O72="Aktif",MAX(0,MIN($AE72,$AD72-SUM($AG72:AR72))),0)</f>
        <v>2461768.96875</v>
      </c>
      <c r="AT72" s="8">
        <f>IF($O72="Aktif",MAX(0,MIN($AE72,$AD72-SUM($AG72:AS72))),0)</f>
        <v>2461768.96875</v>
      </c>
      <c r="AU72" s="8">
        <f>IF($O72="Aktif",MAX(0,MIN($AE72,$AD72-SUM($AG72:AT72))),0)</f>
        <v>2461768.96875</v>
      </c>
      <c r="AV72" s="8">
        <f>IF($O72="Aktif",MAX(0,MIN($AE72,$AD72-SUM($AG72:AU72))),0)</f>
        <v>2461768.96875</v>
      </c>
      <c r="AW72" s="8">
        <f t="shared" si="12"/>
        <v>39388303.5</v>
      </c>
      <c r="AX72" s="8">
        <f t="shared" si="13"/>
        <v>164938520.90625</v>
      </c>
    </row>
    <row r="73" spans="1:50" ht="15" customHeight="1" x14ac:dyDescent="0.35">
      <c r="A73" s="102">
        <v>67</v>
      </c>
      <c r="B73" s="102" t="s">
        <v>478</v>
      </c>
      <c r="C73" s="103">
        <v>46</v>
      </c>
      <c r="D73" s="102" t="s">
        <v>183</v>
      </c>
      <c r="E73" s="102" t="s">
        <v>540</v>
      </c>
      <c r="F73" s="102" t="s">
        <v>480</v>
      </c>
      <c r="G73" s="102" t="s">
        <v>481</v>
      </c>
      <c r="H73" s="102" t="s">
        <v>482</v>
      </c>
      <c r="I73" s="102" t="s">
        <v>90</v>
      </c>
      <c r="J73" s="102"/>
      <c r="K73" s="102" t="s">
        <v>577</v>
      </c>
      <c r="L73" s="104">
        <v>45976</v>
      </c>
      <c r="M73" s="102" t="s">
        <v>578</v>
      </c>
      <c r="N73" s="102" t="s">
        <v>578</v>
      </c>
      <c r="O73" s="102" t="s">
        <v>383</v>
      </c>
      <c r="P73" s="103">
        <v>1</v>
      </c>
      <c r="Q73" s="105">
        <v>246578010</v>
      </c>
      <c r="R73" s="103">
        <v>96</v>
      </c>
      <c r="S73" s="105">
        <v>2568520.9375</v>
      </c>
      <c r="T73" s="105">
        <v>5137041.875</v>
      </c>
      <c r="U73" s="105">
        <v>2568520.9375</v>
      </c>
      <c r="V73" s="105">
        <v>2568520.9375</v>
      </c>
      <c r="W73" s="105">
        <v>2568520.9375</v>
      </c>
      <c r="X73" s="105">
        <v>2568520.9375</v>
      </c>
      <c r="Y73" s="105">
        <v>2568520.9375</v>
      </c>
      <c r="Z73" s="105">
        <v>2568520.9375</v>
      </c>
      <c r="AA73" s="105">
        <v>2568520.9375</v>
      </c>
      <c r="AB73" s="105">
        <v>2568520.9375</v>
      </c>
      <c r="AC73" s="8">
        <f t="shared" si="7"/>
        <v>25685209.375</v>
      </c>
      <c r="AD73" s="8">
        <f t="shared" si="8"/>
        <v>220892800.625</v>
      </c>
      <c r="AE73" s="8">
        <f t="shared" si="9"/>
        <v>2568520.9375</v>
      </c>
      <c r="AF73" s="106">
        <f t="shared" si="10"/>
        <v>86</v>
      </c>
      <c r="AG73" s="8">
        <f t="shared" si="11"/>
        <v>2568520.9375</v>
      </c>
      <c r="AH73" s="8">
        <f>IF($O73="Aktif",MAX(0,MIN($AE73,$AD73-SUM($AG73:AG73))),0)</f>
        <v>2568520.9375</v>
      </c>
      <c r="AI73" s="8">
        <f>IF($O73="Aktif",MAX(0,MIN($AE73,$AD73-SUM($AG73:AH73))),0)</f>
        <v>2568520.9375</v>
      </c>
      <c r="AJ73" s="8">
        <f>IF($O73="Aktif",MAX(0,MIN($AE73,$AD73-SUM($AG73:AI73))),0)</f>
        <v>2568520.9375</v>
      </c>
      <c r="AK73" s="8">
        <f>IF($O73="Aktif",MAX(0,MIN($AE73,$AD73-SUM($AG73:AJ73))),0)</f>
        <v>2568520.9375</v>
      </c>
      <c r="AL73" s="8">
        <f>IF($O73="Aktif",MAX(0,MIN($AE73,$AD73-SUM($AG73:AK73))),0)</f>
        <v>2568520.9375</v>
      </c>
      <c r="AM73" s="8">
        <f>IF($O73="Aktif",MAX(0,MIN($AE73,$AD73-SUM($AG73:AL73))),0)</f>
        <v>2568520.9375</v>
      </c>
      <c r="AN73" s="8">
        <f>IF($O73="Aktif",MAX(0,MIN($AE73,$AD73-SUM($AG73:AM73))),0)</f>
        <v>2568520.9375</v>
      </c>
      <c r="AO73" s="8">
        <f>IF($O73="Aktif",MAX(0,MIN($AE73,$AD73-SUM($AG73:AN73))),0)</f>
        <v>2568520.9375</v>
      </c>
      <c r="AP73" s="8">
        <f>IF($O73="Aktif",MAX(0,MIN($AE73,$AD73-SUM($AG73:AO73))),0)</f>
        <v>2568520.9375</v>
      </c>
      <c r="AQ73" s="8">
        <f>IF($O73="Aktif",MAX(0,MIN($AE73,$AD73-SUM($AG73:AP73))),0)</f>
        <v>2568520.9375</v>
      </c>
      <c r="AR73" s="8">
        <f>IF($O73="Aktif",MAX(0,MIN($AE73,$AD73-SUM($AG73:AQ73))),0)</f>
        <v>2568520.9375</v>
      </c>
      <c r="AS73" s="8">
        <f>IF($O73="Aktif",MAX(0,MIN($AE73,$AD73-SUM($AG73:AR73))),0)</f>
        <v>2568520.9375</v>
      </c>
      <c r="AT73" s="8">
        <f>IF($O73="Aktif",MAX(0,MIN($AE73,$AD73-SUM($AG73:AS73))),0)</f>
        <v>2568520.9375</v>
      </c>
      <c r="AU73" s="8">
        <f>IF($O73="Aktif",MAX(0,MIN($AE73,$AD73-SUM($AG73:AT73))),0)</f>
        <v>2568520.9375</v>
      </c>
      <c r="AV73" s="8">
        <f>IF($O73="Aktif",MAX(0,MIN($AE73,$AD73-SUM($AG73:AU73))),0)</f>
        <v>2568520.9375</v>
      </c>
      <c r="AW73" s="8">
        <f t="shared" si="12"/>
        <v>41096335</v>
      </c>
      <c r="AX73" s="8">
        <f t="shared" si="13"/>
        <v>179796465.625</v>
      </c>
    </row>
    <row r="74" spans="1:50" ht="15" customHeight="1" x14ac:dyDescent="0.35">
      <c r="A74" s="102">
        <v>68</v>
      </c>
      <c r="B74" s="102" t="s">
        <v>478</v>
      </c>
      <c r="C74" s="103">
        <v>47</v>
      </c>
      <c r="D74" s="102" t="s">
        <v>183</v>
      </c>
      <c r="E74" s="102" t="s">
        <v>540</v>
      </c>
      <c r="F74" s="102" t="s">
        <v>480</v>
      </c>
      <c r="G74" s="102" t="s">
        <v>481</v>
      </c>
      <c r="H74" s="102" t="s">
        <v>482</v>
      </c>
      <c r="I74" s="102" t="s">
        <v>90</v>
      </c>
      <c r="J74" s="102"/>
      <c r="K74" s="102" t="s">
        <v>579</v>
      </c>
      <c r="L74" s="104">
        <v>45995</v>
      </c>
      <c r="M74" s="102" t="s">
        <v>580</v>
      </c>
      <c r="N74" s="102" t="s">
        <v>581</v>
      </c>
      <c r="O74" s="102" t="s">
        <v>383</v>
      </c>
      <c r="P74" s="103">
        <v>1</v>
      </c>
      <c r="Q74" s="105">
        <v>143422719</v>
      </c>
      <c r="R74" s="103">
        <v>96</v>
      </c>
      <c r="S74" s="105">
        <v>1493986.65625</v>
      </c>
      <c r="T74" s="105">
        <v>1493986.65625</v>
      </c>
      <c r="U74" s="105">
        <v>1493986.65625</v>
      </c>
      <c r="V74" s="105">
        <v>1493986.65625</v>
      </c>
      <c r="W74" s="105">
        <v>1493986.65625</v>
      </c>
      <c r="X74" s="105">
        <v>1493986.65625</v>
      </c>
      <c r="Y74" s="105">
        <v>1493986.65625</v>
      </c>
      <c r="Z74" s="105">
        <v>1493986.65625</v>
      </c>
      <c r="AA74" s="105">
        <v>1493986.65625</v>
      </c>
      <c r="AB74" s="105">
        <v>1493986.65625</v>
      </c>
      <c r="AC74" s="8">
        <f t="shared" si="7"/>
        <v>13445879.90625</v>
      </c>
      <c r="AD74" s="8">
        <f t="shared" si="8"/>
        <v>129976839.09375</v>
      </c>
      <c r="AE74" s="8">
        <f t="shared" si="9"/>
        <v>1493986.65625</v>
      </c>
      <c r="AF74" s="106">
        <f t="shared" si="10"/>
        <v>87</v>
      </c>
      <c r="AG74" s="8">
        <f t="shared" si="11"/>
        <v>1493986.65625</v>
      </c>
      <c r="AH74" s="8">
        <f>IF($O74="Aktif",MAX(0,MIN($AE74,$AD74-SUM($AG74:AG74))),0)</f>
        <v>1493986.65625</v>
      </c>
      <c r="AI74" s="8">
        <f>IF($O74="Aktif",MAX(0,MIN($AE74,$AD74-SUM($AG74:AH74))),0)</f>
        <v>1493986.65625</v>
      </c>
      <c r="AJ74" s="8">
        <f>IF($O74="Aktif",MAX(0,MIN($AE74,$AD74-SUM($AG74:AI74))),0)</f>
        <v>1493986.65625</v>
      </c>
      <c r="AK74" s="8">
        <f>IF($O74="Aktif",MAX(0,MIN($AE74,$AD74-SUM($AG74:AJ74))),0)</f>
        <v>1493986.65625</v>
      </c>
      <c r="AL74" s="8">
        <f>IF($O74="Aktif",MAX(0,MIN($AE74,$AD74-SUM($AG74:AK74))),0)</f>
        <v>1493986.65625</v>
      </c>
      <c r="AM74" s="8">
        <f>IF($O74="Aktif",MAX(0,MIN($AE74,$AD74-SUM($AG74:AL74))),0)</f>
        <v>1493986.65625</v>
      </c>
      <c r="AN74" s="8">
        <f>IF($O74="Aktif",MAX(0,MIN($AE74,$AD74-SUM($AG74:AM74))),0)</f>
        <v>1493986.65625</v>
      </c>
      <c r="AO74" s="8">
        <f>IF($O74="Aktif",MAX(0,MIN($AE74,$AD74-SUM($AG74:AN74))),0)</f>
        <v>1493986.65625</v>
      </c>
      <c r="AP74" s="8">
        <f>IF($O74="Aktif",MAX(0,MIN($AE74,$AD74-SUM($AG74:AO74))),0)</f>
        <v>1493986.65625</v>
      </c>
      <c r="AQ74" s="8">
        <f>IF($O74="Aktif",MAX(0,MIN($AE74,$AD74-SUM($AG74:AP74))),0)</f>
        <v>1493986.65625</v>
      </c>
      <c r="AR74" s="8">
        <f>IF($O74="Aktif",MAX(0,MIN($AE74,$AD74-SUM($AG74:AQ74))),0)</f>
        <v>1493986.65625</v>
      </c>
      <c r="AS74" s="8">
        <f>IF($O74="Aktif",MAX(0,MIN($AE74,$AD74-SUM($AG74:AR74))),0)</f>
        <v>1493986.65625</v>
      </c>
      <c r="AT74" s="8">
        <f>IF($O74="Aktif",MAX(0,MIN($AE74,$AD74-SUM($AG74:AS74))),0)</f>
        <v>1493986.65625</v>
      </c>
      <c r="AU74" s="8">
        <f>IF($O74="Aktif",MAX(0,MIN($AE74,$AD74-SUM($AG74:AT74))),0)</f>
        <v>1493986.65625</v>
      </c>
      <c r="AV74" s="8">
        <f>IF($O74="Aktif",MAX(0,MIN($AE74,$AD74-SUM($AG74:AU74))),0)</f>
        <v>1493986.65625</v>
      </c>
      <c r="AW74" s="8">
        <f t="shared" si="12"/>
        <v>23903786.5</v>
      </c>
      <c r="AX74" s="8">
        <f t="shared" si="13"/>
        <v>106073052.59375</v>
      </c>
    </row>
    <row r="75" spans="1:50" ht="15" customHeight="1" x14ac:dyDescent="0.35">
      <c r="A75" s="102">
        <v>69</v>
      </c>
      <c r="B75" s="102" t="s">
        <v>478</v>
      </c>
      <c r="C75" s="103">
        <v>48</v>
      </c>
      <c r="D75" s="102" t="s">
        <v>183</v>
      </c>
      <c r="E75" s="102" t="s">
        <v>540</v>
      </c>
      <c r="F75" s="102" t="s">
        <v>480</v>
      </c>
      <c r="G75" s="102" t="s">
        <v>481</v>
      </c>
      <c r="H75" s="102" t="s">
        <v>482</v>
      </c>
      <c r="I75" s="102" t="s">
        <v>90</v>
      </c>
      <c r="J75" s="102"/>
      <c r="K75" s="102" t="s">
        <v>582</v>
      </c>
      <c r="L75" s="104">
        <v>46006</v>
      </c>
      <c r="M75" s="102" t="s">
        <v>583</v>
      </c>
      <c r="N75" s="102" t="s">
        <v>583</v>
      </c>
      <c r="O75" s="102" t="s">
        <v>383</v>
      </c>
      <c r="P75" s="103">
        <v>1</v>
      </c>
      <c r="Q75" s="105">
        <v>32546847</v>
      </c>
      <c r="R75" s="103">
        <v>96</v>
      </c>
      <c r="S75" s="105">
        <v>339029.65625</v>
      </c>
      <c r="T75" s="105">
        <v>339029.65625</v>
      </c>
      <c r="U75" s="105">
        <v>339029.65625</v>
      </c>
      <c r="V75" s="105">
        <v>339029.65625</v>
      </c>
      <c r="W75" s="105">
        <v>339029.65625</v>
      </c>
      <c r="X75" s="105">
        <v>339029.65625</v>
      </c>
      <c r="Y75" s="105">
        <v>339029.65625</v>
      </c>
      <c r="Z75" s="105">
        <v>339029.65625</v>
      </c>
      <c r="AA75" s="105">
        <v>339029.65625</v>
      </c>
      <c r="AB75" s="105">
        <v>339029.65625</v>
      </c>
      <c r="AC75" s="8">
        <f t="shared" si="7"/>
        <v>3051266.90625</v>
      </c>
      <c r="AD75" s="8">
        <f t="shared" si="8"/>
        <v>29495580.09375</v>
      </c>
      <c r="AE75" s="8">
        <f t="shared" si="9"/>
        <v>339029.65625</v>
      </c>
      <c r="AF75" s="106">
        <f t="shared" si="10"/>
        <v>87</v>
      </c>
      <c r="AG75" s="8">
        <f t="shared" si="11"/>
        <v>339029.65625</v>
      </c>
      <c r="AH75" s="8">
        <f>IF($O75="Aktif",MAX(0,MIN($AE75,$AD75-SUM($AG75:AG75))),0)</f>
        <v>339029.65625</v>
      </c>
      <c r="AI75" s="8">
        <f>IF($O75="Aktif",MAX(0,MIN($AE75,$AD75-SUM($AG75:AH75))),0)</f>
        <v>339029.65625</v>
      </c>
      <c r="AJ75" s="8">
        <f>IF($O75="Aktif",MAX(0,MIN($AE75,$AD75-SUM($AG75:AI75))),0)</f>
        <v>339029.65625</v>
      </c>
      <c r="AK75" s="8">
        <f>IF($O75="Aktif",MAX(0,MIN($AE75,$AD75-SUM($AG75:AJ75))),0)</f>
        <v>339029.65625</v>
      </c>
      <c r="AL75" s="8">
        <f>IF($O75="Aktif",MAX(0,MIN($AE75,$AD75-SUM($AG75:AK75))),0)</f>
        <v>339029.65625</v>
      </c>
      <c r="AM75" s="8">
        <f>IF($O75="Aktif",MAX(0,MIN($AE75,$AD75-SUM($AG75:AL75))),0)</f>
        <v>339029.65625</v>
      </c>
      <c r="AN75" s="8">
        <f>IF($O75="Aktif",MAX(0,MIN($AE75,$AD75-SUM($AG75:AM75))),0)</f>
        <v>339029.65625</v>
      </c>
      <c r="AO75" s="8">
        <f>IF($O75="Aktif",MAX(0,MIN($AE75,$AD75-SUM($AG75:AN75))),0)</f>
        <v>339029.65625</v>
      </c>
      <c r="AP75" s="8">
        <f>IF($O75="Aktif",MAX(0,MIN($AE75,$AD75-SUM($AG75:AO75))),0)</f>
        <v>339029.65625</v>
      </c>
      <c r="AQ75" s="8">
        <f>IF($O75="Aktif",MAX(0,MIN($AE75,$AD75-SUM($AG75:AP75))),0)</f>
        <v>339029.65625</v>
      </c>
      <c r="AR75" s="8">
        <f>IF($O75="Aktif",MAX(0,MIN($AE75,$AD75-SUM($AG75:AQ75))),0)</f>
        <v>339029.65625</v>
      </c>
      <c r="AS75" s="8">
        <f>IF($O75="Aktif",MAX(0,MIN($AE75,$AD75-SUM($AG75:AR75))),0)</f>
        <v>339029.65625</v>
      </c>
      <c r="AT75" s="8">
        <f>IF($O75="Aktif",MAX(0,MIN($AE75,$AD75-SUM($AG75:AS75))),0)</f>
        <v>339029.65625</v>
      </c>
      <c r="AU75" s="8">
        <f>IF($O75="Aktif",MAX(0,MIN($AE75,$AD75-SUM($AG75:AT75))),0)</f>
        <v>339029.65625</v>
      </c>
      <c r="AV75" s="8">
        <f>IF($O75="Aktif",MAX(0,MIN($AE75,$AD75-SUM($AG75:AU75))),0)</f>
        <v>339029.65625</v>
      </c>
      <c r="AW75" s="8">
        <f t="shared" si="12"/>
        <v>5424474.5</v>
      </c>
      <c r="AX75" s="8">
        <f t="shared" si="13"/>
        <v>24071105.59375</v>
      </c>
    </row>
    <row r="76" spans="1:50" ht="15" customHeight="1" x14ac:dyDescent="0.35">
      <c r="A76" s="102">
        <v>70</v>
      </c>
      <c r="B76" s="102" t="s">
        <v>478</v>
      </c>
      <c r="C76" s="103">
        <v>49</v>
      </c>
      <c r="D76" s="102" t="s">
        <v>183</v>
      </c>
      <c r="E76" s="102" t="s">
        <v>540</v>
      </c>
      <c r="F76" s="102" t="s">
        <v>480</v>
      </c>
      <c r="G76" s="102" t="s">
        <v>481</v>
      </c>
      <c r="H76" s="102" t="s">
        <v>482</v>
      </c>
      <c r="I76" s="102" t="s">
        <v>90</v>
      </c>
      <c r="J76" s="102"/>
      <c r="K76" s="102" t="s">
        <v>584</v>
      </c>
      <c r="L76" s="104">
        <v>46143</v>
      </c>
      <c r="M76" s="102" t="s">
        <v>585</v>
      </c>
      <c r="N76" s="102" t="s">
        <v>585</v>
      </c>
      <c r="O76" s="102" t="s">
        <v>383</v>
      </c>
      <c r="P76" s="103">
        <v>1</v>
      </c>
      <c r="Q76" s="105">
        <v>600000000</v>
      </c>
      <c r="R76" s="103">
        <v>96</v>
      </c>
      <c r="S76" s="105">
        <v>6250000</v>
      </c>
      <c r="T76" s="105">
        <v>0</v>
      </c>
      <c r="U76" s="105">
        <v>0</v>
      </c>
      <c r="V76" s="105">
        <v>0</v>
      </c>
      <c r="W76" s="105">
        <v>0</v>
      </c>
      <c r="X76" s="105">
        <v>0</v>
      </c>
      <c r="Y76" s="105">
        <v>6250000</v>
      </c>
      <c r="Z76" s="105">
        <v>6250000</v>
      </c>
      <c r="AA76" s="105">
        <v>6250000</v>
      </c>
      <c r="AB76" s="105">
        <v>6250000</v>
      </c>
      <c r="AC76" s="8">
        <f t="shared" si="7"/>
        <v>25000000</v>
      </c>
      <c r="AD76" s="8">
        <f t="shared" si="8"/>
        <v>575000000</v>
      </c>
      <c r="AE76" s="8">
        <f t="shared" si="9"/>
        <v>6250000</v>
      </c>
      <c r="AF76" s="106">
        <f t="shared" si="10"/>
        <v>92</v>
      </c>
      <c r="AG76" s="8">
        <f t="shared" si="11"/>
        <v>6250000</v>
      </c>
      <c r="AH76" s="8">
        <f>IF($O76="Aktif",MAX(0,MIN($AE76,$AD76-SUM($AG76:AG76))),0)</f>
        <v>6250000</v>
      </c>
      <c r="AI76" s="8">
        <f>IF($O76="Aktif",MAX(0,MIN($AE76,$AD76-SUM($AG76:AH76))),0)</f>
        <v>6250000</v>
      </c>
      <c r="AJ76" s="8">
        <f>IF($O76="Aktif",MAX(0,MIN($AE76,$AD76-SUM($AG76:AI76))),0)</f>
        <v>6250000</v>
      </c>
      <c r="AK76" s="8">
        <f>IF($O76="Aktif",MAX(0,MIN($AE76,$AD76-SUM($AG76:AJ76))),0)</f>
        <v>6250000</v>
      </c>
      <c r="AL76" s="8">
        <f>IF($O76="Aktif",MAX(0,MIN($AE76,$AD76-SUM($AG76:AK76))),0)</f>
        <v>6250000</v>
      </c>
      <c r="AM76" s="8">
        <f>IF($O76="Aktif",MAX(0,MIN($AE76,$AD76-SUM($AG76:AL76))),0)</f>
        <v>6250000</v>
      </c>
      <c r="AN76" s="8">
        <f>IF($O76="Aktif",MAX(0,MIN($AE76,$AD76-SUM($AG76:AM76))),0)</f>
        <v>6250000</v>
      </c>
      <c r="AO76" s="8">
        <f>IF($O76="Aktif",MAX(0,MIN($AE76,$AD76-SUM($AG76:AN76))),0)</f>
        <v>6250000</v>
      </c>
      <c r="AP76" s="8">
        <f>IF($O76="Aktif",MAX(0,MIN($AE76,$AD76-SUM($AG76:AO76))),0)</f>
        <v>6250000</v>
      </c>
      <c r="AQ76" s="8">
        <f>IF($O76="Aktif",MAX(0,MIN($AE76,$AD76-SUM($AG76:AP76))),0)</f>
        <v>6250000</v>
      </c>
      <c r="AR76" s="8">
        <f>IF($O76="Aktif",MAX(0,MIN($AE76,$AD76-SUM($AG76:AQ76))),0)</f>
        <v>6250000</v>
      </c>
      <c r="AS76" s="8">
        <f>IF($O76="Aktif",MAX(0,MIN($AE76,$AD76-SUM($AG76:AR76))),0)</f>
        <v>6250000</v>
      </c>
      <c r="AT76" s="8">
        <f>IF($O76="Aktif",MAX(0,MIN($AE76,$AD76-SUM($AG76:AS76))),0)</f>
        <v>6250000</v>
      </c>
      <c r="AU76" s="8">
        <f>IF($O76="Aktif",MAX(0,MIN($AE76,$AD76-SUM($AG76:AT76))),0)</f>
        <v>6250000</v>
      </c>
      <c r="AV76" s="8">
        <f>IF($O76="Aktif",MAX(0,MIN($AE76,$AD76-SUM($AG76:AU76))),0)</f>
        <v>6250000</v>
      </c>
      <c r="AW76" s="8">
        <f t="shared" si="12"/>
        <v>100000000</v>
      </c>
      <c r="AX76" s="8">
        <f t="shared" si="13"/>
        <v>475000000</v>
      </c>
    </row>
    <row r="77" spans="1:50" ht="15" customHeight="1" x14ac:dyDescent="0.35">
      <c r="A77" s="102">
        <v>71</v>
      </c>
      <c r="B77" s="102" t="s">
        <v>586</v>
      </c>
      <c r="C77" s="103">
        <v>9</v>
      </c>
      <c r="D77" s="102" t="s">
        <v>184</v>
      </c>
      <c r="E77" s="102" t="s">
        <v>587</v>
      </c>
      <c r="F77" s="102" t="s">
        <v>588</v>
      </c>
      <c r="G77" s="102" t="s">
        <v>589</v>
      </c>
      <c r="H77" s="102" t="s">
        <v>590</v>
      </c>
      <c r="I77" s="102" t="s">
        <v>90</v>
      </c>
      <c r="J77" s="102"/>
      <c r="K77" s="102" t="s">
        <v>591</v>
      </c>
      <c r="L77" s="102" t="s">
        <v>592</v>
      </c>
      <c r="M77" s="102" t="s">
        <v>593</v>
      </c>
      <c r="N77" s="102" t="s">
        <v>594</v>
      </c>
      <c r="O77" s="102" t="s">
        <v>383</v>
      </c>
      <c r="P77" s="103">
        <v>1</v>
      </c>
      <c r="Q77" s="105">
        <v>11200000</v>
      </c>
      <c r="R77" s="103">
        <v>48</v>
      </c>
      <c r="S77" s="105">
        <v>0</v>
      </c>
      <c r="T77" s="105">
        <v>11200000</v>
      </c>
      <c r="U77" s="105">
        <v>0</v>
      </c>
      <c r="V77" s="105">
        <v>0</v>
      </c>
      <c r="W77" s="105">
        <v>0</v>
      </c>
      <c r="X77" s="105">
        <v>0</v>
      </c>
      <c r="Y77" s="105">
        <v>0</v>
      </c>
      <c r="Z77" s="105">
        <v>0</v>
      </c>
      <c r="AA77" s="105">
        <v>0</v>
      </c>
      <c r="AB77" s="105">
        <v>0</v>
      </c>
      <c r="AC77" s="8">
        <f t="shared" si="7"/>
        <v>11200000</v>
      </c>
      <c r="AD77" s="8">
        <f t="shared" si="8"/>
        <v>0</v>
      </c>
      <c r="AE77" s="8">
        <f t="shared" si="9"/>
        <v>0</v>
      </c>
      <c r="AF77" s="106">
        <f t="shared" si="10"/>
        <v>0</v>
      </c>
      <c r="AG77" s="8">
        <f t="shared" si="11"/>
        <v>0</v>
      </c>
      <c r="AH77" s="8">
        <f>IF($O77="Aktif",MAX(0,MIN($AE77,$AD77-SUM($AG77:AG77))),0)</f>
        <v>0</v>
      </c>
      <c r="AI77" s="8">
        <f>IF($O77="Aktif",MAX(0,MIN($AE77,$AD77-SUM($AG77:AH77))),0)</f>
        <v>0</v>
      </c>
      <c r="AJ77" s="8">
        <f>IF($O77="Aktif",MAX(0,MIN($AE77,$AD77-SUM($AG77:AI77))),0)</f>
        <v>0</v>
      </c>
      <c r="AK77" s="8">
        <f>IF($O77="Aktif",MAX(0,MIN($AE77,$AD77-SUM($AG77:AJ77))),0)</f>
        <v>0</v>
      </c>
      <c r="AL77" s="8">
        <f>IF($O77="Aktif",MAX(0,MIN($AE77,$AD77-SUM($AG77:AK77))),0)</f>
        <v>0</v>
      </c>
      <c r="AM77" s="8">
        <f>IF($O77="Aktif",MAX(0,MIN($AE77,$AD77-SUM($AG77:AL77))),0)</f>
        <v>0</v>
      </c>
      <c r="AN77" s="8">
        <f>IF($O77="Aktif",MAX(0,MIN($AE77,$AD77-SUM($AG77:AM77))),0)</f>
        <v>0</v>
      </c>
      <c r="AO77" s="8">
        <f>IF($O77="Aktif",MAX(0,MIN($AE77,$AD77-SUM($AG77:AN77))),0)</f>
        <v>0</v>
      </c>
      <c r="AP77" s="8">
        <f>IF($O77="Aktif",MAX(0,MIN($AE77,$AD77-SUM($AG77:AO77))),0)</f>
        <v>0</v>
      </c>
      <c r="AQ77" s="8">
        <f>IF($O77="Aktif",MAX(0,MIN($AE77,$AD77-SUM($AG77:AP77))),0)</f>
        <v>0</v>
      </c>
      <c r="AR77" s="8">
        <f>IF($O77="Aktif",MAX(0,MIN($AE77,$AD77-SUM($AG77:AQ77))),0)</f>
        <v>0</v>
      </c>
      <c r="AS77" s="8">
        <f>IF($O77="Aktif",MAX(0,MIN($AE77,$AD77-SUM($AG77:AR77))),0)</f>
        <v>0</v>
      </c>
      <c r="AT77" s="8">
        <f>IF($O77="Aktif",MAX(0,MIN($AE77,$AD77-SUM($AG77:AS77))),0)</f>
        <v>0</v>
      </c>
      <c r="AU77" s="8">
        <f>IF($O77="Aktif",MAX(0,MIN($AE77,$AD77-SUM($AG77:AT77))),0)</f>
        <v>0</v>
      </c>
      <c r="AV77" s="8">
        <f>IF($O77="Aktif",MAX(0,MIN($AE77,$AD77-SUM($AG77:AU77))),0)</f>
        <v>0</v>
      </c>
      <c r="AW77" s="8">
        <f t="shared" si="12"/>
        <v>0</v>
      </c>
      <c r="AX77" s="8">
        <f t="shared" si="13"/>
        <v>0</v>
      </c>
    </row>
    <row r="78" spans="1:50" ht="15" customHeight="1" x14ac:dyDescent="0.35">
      <c r="A78" s="102">
        <v>72</v>
      </c>
      <c r="B78" s="102" t="s">
        <v>586</v>
      </c>
      <c r="C78" s="103">
        <v>10</v>
      </c>
      <c r="D78" s="102" t="s">
        <v>184</v>
      </c>
      <c r="E78" s="102" t="s">
        <v>587</v>
      </c>
      <c r="F78" s="102" t="s">
        <v>588</v>
      </c>
      <c r="G78" s="102" t="s">
        <v>589</v>
      </c>
      <c r="H78" s="102" t="s">
        <v>590</v>
      </c>
      <c r="I78" s="102" t="s">
        <v>90</v>
      </c>
      <c r="J78" s="102"/>
      <c r="K78" s="102" t="s">
        <v>591</v>
      </c>
      <c r="L78" s="102" t="s">
        <v>595</v>
      </c>
      <c r="M78" s="102" t="s">
        <v>596</v>
      </c>
      <c r="N78" s="102" t="s">
        <v>597</v>
      </c>
      <c r="O78" s="102" t="s">
        <v>383</v>
      </c>
      <c r="P78" s="103">
        <v>1</v>
      </c>
      <c r="Q78" s="105">
        <v>1545000</v>
      </c>
      <c r="R78" s="103">
        <v>48</v>
      </c>
      <c r="S78" s="105">
        <v>0</v>
      </c>
      <c r="T78" s="105">
        <v>1545000</v>
      </c>
      <c r="U78" s="105">
        <v>0</v>
      </c>
      <c r="V78" s="105">
        <v>0</v>
      </c>
      <c r="W78" s="105">
        <v>0</v>
      </c>
      <c r="X78" s="105">
        <v>0</v>
      </c>
      <c r="Y78" s="105">
        <v>0</v>
      </c>
      <c r="Z78" s="105">
        <v>0</v>
      </c>
      <c r="AA78" s="105">
        <v>0</v>
      </c>
      <c r="AB78" s="105">
        <v>0</v>
      </c>
      <c r="AC78" s="8">
        <f t="shared" si="7"/>
        <v>1545000</v>
      </c>
      <c r="AD78" s="8">
        <f t="shared" si="8"/>
        <v>0</v>
      </c>
      <c r="AE78" s="8">
        <f t="shared" si="9"/>
        <v>0</v>
      </c>
      <c r="AF78" s="106">
        <f t="shared" si="10"/>
        <v>0</v>
      </c>
      <c r="AG78" s="8">
        <f t="shared" si="11"/>
        <v>0</v>
      </c>
      <c r="AH78" s="8">
        <f>IF($O78="Aktif",MAX(0,MIN($AE78,$AD78-SUM($AG78:AG78))),0)</f>
        <v>0</v>
      </c>
      <c r="AI78" s="8">
        <f>IF($O78="Aktif",MAX(0,MIN($AE78,$AD78-SUM($AG78:AH78))),0)</f>
        <v>0</v>
      </c>
      <c r="AJ78" s="8">
        <f>IF($O78="Aktif",MAX(0,MIN($AE78,$AD78-SUM($AG78:AI78))),0)</f>
        <v>0</v>
      </c>
      <c r="AK78" s="8">
        <f>IF($O78="Aktif",MAX(0,MIN($AE78,$AD78-SUM($AG78:AJ78))),0)</f>
        <v>0</v>
      </c>
      <c r="AL78" s="8">
        <f>IF($O78="Aktif",MAX(0,MIN($AE78,$AD78-SUM($AG78:AK78))),0)</f>
        <v>0</v>
      </c>
      <c r="AM78" s="8">
        <f>IF($O78="Aktif",MAX(0,MIN($AE78,$AD78-SUM($AG78:AL78))),0)</f>
        <v>0</v>
      </c>
      <c r="AN78" s="8">
        <f>IF($O78="Aktif",MAX(0,MIN($AE78,$AD78-SUM($AG78:AM78))),0)</f>
        <v>0</v>
      </c>
      <c r="AO78" s="8">
        <f>IF($O78="Aktif",MAX(0,MIN($AE78,$AD78-SUM($AG78:AN78))),0)</f>
        <v>0</v>
      </c>
      <c r="AP78" s="8">
        <f>IF($O78="Aktif",MAX(0,MIN($AE78,$AD78-SUM($AG78:AO78))),0)</f>
        <v>0</v>
      </c>
      <c r="AQ78" s="8">
        <f>IF($O78="Aktif",MAX(0,MIN($AE78,$AD78-SUM($AG78:AP78))),0)</f>
        <v>0</v>
      </c>
      <c r="AR78" s="8">
        <f>IF($O78="Aktif",MAX(0,MIN($AE78,$AD78-SUM($AG78:AQ78))),0)</f>
        <v>0</v>
      </c>
      <c r="AS78" s="8">
        <f>IF($O78="Aktif",MAX(0,MIN($AE78,$AD78-SUM($AG78:AR78))),0)</f>
        <v>0</v>
      </c>
      <c r="AT78" s="8">
        <f>IF($O78="Aktif",MAX(0,MIN($AE78,$AD78-SUM($AG78:AS78))),0)</f>
        <v>0</v>
      </c>
      <c r="AU78" s="8">
        <f>IF($O78="Aktif",MAX(0,MIN($AE78,$AD78-SUM($AG78:AT78))),0)</f>
        <v>0</v>
      </c>
      <c r="AV78" s="8">
        <f>IF($O78="Aktif",MAX(0,MIN($AE78,$AD78-SUM($AG78:AU78))),0)</f>
        <v>0</v>
      </c>
      <c r="AW78" s="8">
        <f t="shared" si="12"/>
        <v>0</v>
      </c>
      <c r="AX78" s="8">
        <f t="shared" si="13"/>
        <v>0</v>
      </c>
    </row>
    <row r="79" spans="1:50" ht="15" customHeight="1" x14ac:dyDescent="0.35">
      <c r="A79" s="102">
        <v>73</v>
      </c>
      <c r="B79" s="102" t="s">
        <v>586</v>
      </c>
      <c r="C79" s="103">
        <v>11</v>
      </c>
      <c r="D79" s="102" t="s">
        <v>184</v>
      </c>
      <c r="E79" s="102" t="s">
        <v>587</v>
      </c>
      <c r="F79" s="102" t="s">
        <v>588</v>
      </c>
      <c r="G79" s="102" t="s">
        <v>589</v>
      </c>
      <c r="H79" s="102" t="s">
        <v>590</v>
      </c>
      <c r="I79" s="102" t="s">
        <v>90</v>
      </c>
      <c r="J79" s="102"/>
      <c r="K79" s="102" t="s">
        <v>591</v>
      </c>
      <c r="L79" s="102" t="s">
        <v>598</v>
      </c>
      <c r="M79" s="102" t="s">
        <v>599</v>
      </c>
      <c r="N79" s="102" t="s">
        <v>600</v>
      </c>
      <c r="O79" s="102" t="s">
        <v>383</v>
      </c>
      <c r="P79" s="103">
        <v>1</v>
      </c>
      <c r="Q79" s="105">
        <v>12425000</v>
      </c>
      <c r="R79" s="103">
        <v>48</v>
      </c>
      <c r="S79" s="105">
        <v>0</v>
      </c>
      <c r="T79" s="105">
        <v>12425000</v>
      </c>
      <c r="U79" s="105">
        <v>0</v>
      </c>
      <c r="V79" s="105">
        <v>0</v>
      </c>
      <c r="W79" s="105">
        <v>0</v>
      </c>
      <c r="X79" s="105">
        <v>0</v>
      </c>
      <c r="Y79" s="105">
        <v>0</v>
      </c>
      <c r="Z79" s="105">
        <v>0</v>
      </c>
      <c r="AA79" s="105">
        <v>0</v>
      </c>
      <c r="AB79" s="105">
        <v>0</v>
      </c>
      <c r="AC79" s="8">
        <f t="shared" si="7"/>
        <v>12425000</v>
      </c>
      <c r="AD79" s="8">
        <f t="shared" si="8"/>
        <v>0</v>
      </c>
      <c r="AE79" s="8">
        <f t="shared" si="9"/>
        <v>0</v>
      </c>
      <c r="AF79" s="106">
        <f t="shared" si="10"/>
        <v>0</v>
      </c>
      <c r="AG79" s="8">
        <f t="shared" si="11"/>
        <v>0</v>
      </c>
      <c r="AH79" s="8">
        <f>IF($O79="Aktif",MAX(0,MIN($AE79,$AD79-SUM($AG79:AG79))),0)</f>
        <v>0</v>
      </c>
      <c r="AI79" s="8">
        <f>IF($O79="Aktif",MAX(0,MIN($AE79,$AD79-SUM($AG79:AH79))),0)</f>
        <v>0</v>
      </c>
      <c r="AJ79" s="8">
        <f>IF($O79="Aktif",MAX(0,MIN($AE79,$AD79-SUM($AG79:AI79))),0)</f>
        <v>0</v>
      </c>
      <c r="AK79" s="8">
        <f>IF($O79="Aktif",MAX(0,MIN($AE79,$AD79-SUM($AG79:AJ79))),0)</f>
        <v>0</v>
      </c>
      <c r="AL79" s="8">
        <f>IF($O79="Aktif",MAX(0,MIN($AE79,$AD79-SUM($AG79:AK79))),0)</f>
        <v>0</v>
      </c>
      <c r="AM79" s="8">
        <f>IF($O79="Aktif",MAX(0,MIN($AE79,$AD79-SUM($AG79:AL79))),0)</f>
        <v>0</v>
      </c>
      <c r="AN79" s="8">
        <f>IF($O79="Aktif",MAX(0,MIN($AE79,$AD79-SUM($AG79:AM79))),0)</f>
        <v>0</v>
      </c>
      <c r="AO79" s="8">
        <f>IF($O79="Aktif",MAX(0,MIN($AE79,$AD79-SUM($AG79:AN79))),0)</f>
        <v>0</v>
      </c>
      <c r="AP79" s="8">
        <f>IF($O79="Aktif",MAX(0,MIN($AE79,$AD79-SUM($AG79:AO79))),0)</f>
        <v>0</v>
      </c>
      <c r="AQ79" s="8">
        <f>IF($O79="Aktif",MAX(0,MIN($AE79,$AD79-SUM($AG79:AP79))),0)</f>
        <v>0</v>
      </c>
      <c r="AR79" s="8">
        <f>IF($O79="Aktif",MAX(0,MIN($AE79,$AD79-SUM($AG79:AQ79))),0)</f>
        <v>0</v>
      </c>
      <c r="AS79" s="8">
        <f>IF($O79="Aktif",MAX(0,MIN($AE79,$AD79-SUM($AG79:AR79))),0)</f>
        <v>0</v>
      </c>
      <c r="AT79" s="8">
        <f>IF($O79="Aktif",MAX(0,MIN($AE79,$AD79-SUM($AG79:AS79))),0)</f>
        <v>0</v>
      </c>
      <c r="AU79" s="8">
        <f>IF($O79="Aktif",MAX(0,MIN($AE79,$AD79-SUM($AG79:AT79))),0)</f>
        <v>0</v>
      </c>
      <c r="AV79" s="8">
        <f>IF($O79="Aktif",MAX(0,MIN($AE79,$AD79-SUM($AG79:AU79))),0)</f>
        <v>0</v>
      </c>
      <c r="AW79" s="8">
        <f t="shared" si="12"/>
        <v>0</v>
      </c>
      <c r="AX79" s="8">
        <f t="shared" si="13"/>
        <v>0</v>
      </c>
    </row>
    <row r="80" spans="1:50" ht="15" customHeight="1" x14ac:dyDescent="0.35">
      <c r="A80" s="102">
        <v>74</v>
      </c>
      <c r="B80" s="102" t="s">
        <v>586</v>
      </c>
      <c r="C80" s="103">
        <v>12</v>
      </c>
      <c r="D80" s="102" t="s">
        <v>184</v>
      </c>
      <c r="E80" s="102" t="s">
        <v>587</v>
      </c>
      <c r="F80" s="102" t="s">
        <v>588</v>
      </c>
      <c r="G80" s="102" t="s">
        <v>589</v>
      </c>
      <c r="H80" s="102" t="s">
        <v>590</v>
      </c>
      <c r="I80" s="102" t="s">
        <v>90</v>
      </c>
      <c r="J80" s="102"/>
      <c r="K80" s="102" t="s">
        <v>591</v>
      </c>
      <c r="L80" s="102" t="s">
        <v>598</v>
      </c>
      <c r="M80" s="102" t="s">
        <v>601</v>
      </c>
      <c r="N80" s="102" t="s">
        <v>602</v>
      </c>
      <c r="O80" s="102" t="s">
        <v>383</v>
      </c>
      <c r="P80" s="103">
        <v>1</v>
      </c>
      <c r="Q80" s="105">
        <v>9125000</v>
      </c>
      <c r="R80" s="103">
        <v>48</v>
      </c>
      <c r="S80" s="105">
        <v>0</v>
      </c>
      <c r="T80" s="105">
        <v>9125000</v>
      </c>
      <c r="U80" s="105">
        <v>0</v>
      </c>
      <c r="V80" s="105">
        <v>0</v>
      </c>
      <c r="W80" s="105">
        <v>0</v>
      </c>
      <c r="X80" s="105">
        <v>0</v>
      </c>
      <c r="Y80" s="105">
        <v>0</v>
      </c>
      <c r="Z80" s="105">
        <v>0</v>
      </c>
      <c r="AA80" s="105">
        <v>0</v>
      </c>
      <c r="AB80" s="105">
        <v>0</v>
      </c>
      <c r="AC80" s="8">
        <f t="shared" si="7"/>
        <v>9125000</v>
      </c>
      <c r="AD80" s="8">
        <f t="shared" si="8"/>
        <v>0</v>
      </c>
      <c r="AE80" s="8">
        <f t="shared" si="9"/>
        <v>0</v>
      </c>
      <c r="AF80" s="106">
        <f t="shared" si="10"/>
        <v>0</v>
      </c>
      <c r="AG80" s="8">
        <f t="shared" si="11"/>
        <v>0</v>
      </c>
      <c r="AH80" s="8">
        <f>IF($O80="Aktif",MAX(0,MIN($AE80,$AD80-SUM($AG80:AG80))),0)</f>
        <v>0</v>
      </c>
      <c r="AI80" s="8">
        <f>IF($O80="Aktif",MAX(0,MIN($AE80,$AD80-SUM($AG80:AH80))),0)</f>
        <v>0</v>
      </c>
      <c r="AJ80" s="8">
        <f>IF($O80="Aktif",MAX(0,MIN($AE80,$AD80-SUM($AG80:AI80))),0)</f>
        <v>0</v>
      </c>
      <c r="AK80" s="8">
        <f>IF($O80="Aktif",MAX(0,MIN($AE80,$AD80-SUM($AG80:AJ80))),0)</f>
        <v>0</v>
      </c>
      <c r="AL80" s="8">
        <f>IF($O80="Aktif",MAX(0,MIN($AE80,$AD80-SUM($AG80:AK80))),0)</f>
        <v>0</v>
      </c>
      <c r="AM80" s="8">
        <f>IF($O80="Aktif",MAX(0,MIN($AE80,$AD80-SUM($AG80:AL80))),0)</f>
        <v>0</v>
      </c>
      <c r="AN80" s="8">
        <f>IF($O80="Aktif",MAX(0,MIN($AE80,$AD80-SUM($AG80:AM80))),0)</f>
        <v>0</v>
      </c>
      <c r="AO80" s="8">
        <f>IF($O80="Aktif",MAX(0,MIN($AE80,$AD80-SUM($AG80:AN80))),0)</f>
        <v>0</v>
      </c>
      <c r="AP80" s="8">
        <f>IF($O80="Aktif",MAX(0,MIN($AE80,$AD80-SUM($AG80:AO80))),0)</f>
        <v>0</v>
      </c>
      <c r="AQ80" s="8">
        <f>IF($O80="Aktif",MAX(0,MIN($AE80,$AD80-SUM($AG80:AP80))),0)</f>
        <v>0</v>
      </c>
      <c r="AR80" s="8">
        <f>IF($O80="Aktif",MAX(0,MIN($AE80,$AD80-SUM($AG80:AQ80))),0)</f>
        <v>0</v>
      </c>
      <c r="AS80" s="8">
        <f>IF($O80="Aktif",MAX(0,MIN($AE80,$AD80-SUM($AG80:AR80))),0)</f>
        <v>0</v>
      </c>
      <c r="AT80" s="8">
        <f>IF($O80="Aktif",MAX(0,MIN($AE80,$AD80-SUM($AG80:AS80))),0)</f>
        <v>0</v>
      </c>
      <c r="AU80" s="8">
        <f>IF($O80="Aktif",MAX(0,MIN($AE80,$AD80-SUM($AG80:AT80))),0)</f>
        <v>0</v>
      </c>
      <c r="AV80" s="8">
        <f>IF($O80="Aktif",MAX(0,MIN($AE80,$AD80-SUM($AG80:AU80))),0)</f>
        <v>0</v>
      </c>
      <c r="AW80" s="8">
        <f t="shared" si="12"/>
        <v>0</v>
      </c>
      <c r="AX80" s="8">
        <f t="shared" si="13"/>
        <v>0</v>
      </c>
    </row>
    <row r="81" spans="1:50" ht="15" customHeight="1" x14ac:dyDescent="0.35">
      <c r="A81" s="102">
        <v>75</v>
      </c>
      <c r="B81" s="102" t="s">
        <v>586</v>
      </c>
      <c r="C81" s="103">
        <v>13</v>
      </c>
      <c r="D81" s="102" t="s">
        <v>184</v>
      </c>
      <c r="E81" s="102" t="s">
        <v>587</v>
      </c>
      <c r="F81" s="102" t="s">
        <v>588</v>
      </c>
      <c r="G81" s="102" t="s">
        <v>589</v>
      </c>
      <c r="H81" s="102" t="s">
        <v>590</v>
      </c>
      <c r="I81" s="102" t="s">
        <v>90</v>
      </c>
      <c r="J81" s="102"/>
      <c r="K81" s="102" t="s">
        <v>591</v>
      </c>
      <c r="L81" s="102" t="s">
        <v>603</v>
      </c>
      <c r="M81" s="102" t="s">
        <v>604</v>
      </c>
      <c r="N81" s="102" t="s">
        <v>605</v>
      </c>
      <c r="O81" s="102" t="s">
        <v>383</v>
      </c>
      <c r="P81" s="103">
        <v>1</v>
      </c>
      <c r="Q81" s="105">
        <v>980000</v>
      </c>
      <c r="R81" s="103">
        <v>48</v>
      </c>
      <c r="S81" s="105">
        <v>0</v>
      </c>
      <c r="T81" s="105">
        <v>980000</v>
      </c>
      <c r="U81" s="105">
        <v>0</v>
      </c>
      <c r="V81" s="105">
        <v>0</v>
      </c>
      <c r="W81" s="105">
        <v>0</v>
      </c>
      <c r="X81" s="105">
        <v>0</v>
      </c>
      <c r="Y81" s="105">
        <v>0</v>
      </c>
      <c r="Z81" s="105">
        <v>0</v>
      </c>
      <c r="AA81" s="105">
        <v>0</v>
      </c>
      <c r="AB81" s="105">
        <v>0</v>
      </c>
      <c r="AC81" s="8">
        <f t="shared" si="7"/>
        <v>980000</v>
      </c>
      <c r="AD81" s="8">
        <f t="shared" si="8"/>
        <v>0</v>
      </c>
      <c r="AE81" s="8">
        <f t="shared" si="9"/>
        <v>0</v>
      </c>
      <c r="AF81" s="106">
        <f t="shared" si="10"/>
        <v>0</v>
      </c>
      <c r="AG81" s="8">
        <f t="shared" si="11"/>
        <v>0</v>
      </c>
      <c r="AH81" s="8">
        <f>IF($O81="Aktif",MAX(0,MIN($AE81,$AD81-SUM($AG81:AG81))),0)</f>
        <v>0</v>
      </c>
      <c r="AI81" s="8">
        <f>IF($O81="Aktif",MAX(0,MIN($AE81,$AD81-SUM($AG81:AH81))),0)</f>
        <v>0</v>
      </c>
      <c r="AJ81" s="8">
        <f>IF($O81="Aktif",MAX(0,MIN($AE81,$AD81-SUM($AG81:AI81))),0)</f>
        <v>0</v>
      </c>
      <c r="AK81" s="8">
        <f>IF($O81="Aktif",MAX(0,MIN($AE81,$AD81-SUM($AG81:AJ81))),0)</f>
        <v>0</v>
      </c>
      <c r="AL81" s="8">
        <f>IF($O81="Aktif",MAX(0,MIN($AE81,$AD81-SUM($AG81:AK81))),0)</f>
        <v>0</v>
      </c>
      <c r="AM81" s="8">
        <f>IF($O81="Aktif",MAX(0,MIN($AE81,$AD81-SUM($AG81:AL81))),0)</f>
        <v>0</v>
      </c>
      <c r="AN81" s="8">
        <f>IF($O81="Aktif",MAX(0,MIN($AE81,$AD81-SUM($AG81:AM81))),0)</f>
        <v>0</v>
      </c>
      <c r="AO81" s="8">
        <f>IF($O81="Aktif",MAX(0,MIN($AE81,$AD81-SUM($AG81:AN81))),0)</f>
        <v>0</v>
      </c>
      <c r="AP81" s="8">
        <f>IF($O81="Aktif",MAX(0,MIN($AE81,$AD81-SUM($AG81:AO81))),0)</f>
        <v>0</v>
      </c>
      <c r="AQ81" s="8">
        <f>IF($O81="Aktif",MAX(0,MIN($AE81,$AD81-SUM($AG81:AP81))),0)</f>
        <v>0</v>
      </c>
      <c r="AR81" s="8">
        <f>IF($O81="Aktif",MAX(0,MIN($AE81,$AD81-SUM($AG81:AQ81))),0)</f>
        <v>0</v>
      </c>
      <c r="AS81" s="8">
        <f>IF($O81="Aktif",MAX(0,MIN($AE81,$AD81-SUM($AG81:AR81))),0)</f>
        <v>0</v>
      </c>
      <c r="AT81" s="8">
        <f>IF($O81="Aktif",MAX(0,MIN($AE81,$AD81-SUM($AG81:AS81))),0)</f>
        <v>0</v>
      </c>
      <c r="AU81" s="8">
        <f>IF($O81="Aktif",MAX(0,MIN($AE81,$AD81-SUM($AG81:AT81))),0)</f>
        <v>0</v>
      </c>
      <c r="AV81" s="8">
        <f>IF($O81="Aktif",MAX(0,MIN($AE81,$AD81-SUM($AG81:AU81))),0)</f>
        <v>0</v>
      </c>
      <c r="AW81" s="8">
        <f t="shared" si="12"/>
        <v>0</v>
      </c>
      <c r="AX81" s="8">
        <f t="shared" si="13"/>
        <v>0</v>
      </c>
    </row>
    <row r="82" spans="1:50" ht="15" customHeight="1" x14ac:dyDescent="0.35">
      <c r="A82" s="102">
        <v>76</v>
      </c>
      <c r="B82" s="102" t="s">
        <v>586</v>
      </c>
      <c r="C82" s="103">
        <v>14</v>
      </c>
      <c r="D82" s="102" t="s">
        <v>184</v>
      </c>
      <c r="E82" s="102" t="s">
        <v>587</v>
      </c>
      <c r="F82" s="102" t="s">
        <v>588</v>
      </c>
      <c r="G82" s="102" t="s">
        <v>589</v>
      </c>
      <c r="H82" s="102" t="s">
        <v>590</v>
      </c>
      <c r="I82" s="102" t="s">
        <v>90</v>
      </c>
      <c r="J82" s="102"/>
      <c r="K82" s="102" t="s">
        <v>591</v>
      </c>
      <c r="L82" s="102" t="s">
        <v>606</v>
      </c>
      <c r="M82" s="102" t="s">
        <v>607</v>
      </c>
      <c r="N82" s="102" t="s">
        <v>608</v>
      </c>
      <c r="O82" s="102" t="s">
        <v>383</v>
      </c>
      <c r="P82" s="103">
        <v>1</v>
      </c>
      <c r="Q82" s="105">
        <v>575000</v>
      </c>
      <c r="R82" s="103">
        <v>48</v>
      </c>
      <c r="S82" s="105">
        <v>0</v>
      </c>
      <c r="T82" s="105">
        <v>575000</v>
      </c>
      <c r="U82" s="105">
        <v>0</v>
      </c>
      <c r="V82" s="105">
        <v>0</v>
      </c>
      <c r="W82" s="105">
        <v>0</v>
      </c>
      <c r="X82" s="105">
        <v>0</v>
      </c>
      <c r="Y82" s="105">
        <v>0</v>
      </c>
      <c r="Z82" s="105">
        <v>0</v>
      </c>
      <c r="AA82" s="105">
        <v>0</v>
      </c>
      <c r="AB82" s="105">
        <v>0</v>
      </c>
      <c r="AC82" s="8">
        <f t="shared" si="7"/>
        <v>575000</v>
      </c>
      <c r="AD82" s="8">
        <f t="shared" si="8"/>
        <v>0</v>
      </c>
      <c r="AE82" s="8">
        <f t="shared" si="9"/>
        <v>0</v>
      </c>
      <c r="AF82" s="106">
        <f t="shared" si="10"/>
        <v>0</v>
      </c>
      <c r="AG82" s="8">
        <f t="shared" si="11"/>
        <v>0</v>
      </c>
      <c r="AH82" s="8">
        <f>IF($O82="Aktif",MAX(0,MIN($AE82,$AD82-SUM($AG82:AG82))),0)</f>
        <v>0</v>
      </c>
      <c r="AI82" s="8">
        <f>IF($O82="Aktif",MAX(0,MIN($AE82,$AD82-SUM($AG82:AH82))),0)</f>
        <v>0</v>
      </c>
      <c r="AJ82" s="8">
        <f>IF($O82="Aktif",MAX(0,MIN($AE82,$AD82-SUM($AG82:AI82))),0)</f>
        <v>0</v>
      </c>
      <c r="AK82" s="8">
        <f>IF($O82="Aktif",MAX(0,MIN($AE82,$AD82-SUM($AG82:AJ82))),0)</f>
        <v>0</v>
      </c>
      <c r="AL82" s="8">
        <f>IF($O82="Aktif",MAX(0,MIN($AE82,$AD82-SUM($AG82:AK82))),0)</f>
        <v>0</v>
      </c>
      <c r="AM82" s="8">
        <f>IF($O82="Aktif",MAX(0,MIN($AE82,$AD82-SUM($AG82:AL82))),0)</f>
        <v>0</v>
      </c>
      <c r="AN82" s="8">
        <f>IF($O82="Aktif",MAX(0,MIN($AE82,$AD82-SUM($AG82:AM82))),0)</f>
        <v>0</v>
      </c>
      <c r="AO82" s="8">
        <f>IF($O82="Aktif",MAX(0,MIN($AE82,$AD82-SUM($AG82:AN82))),0)</f>
        <v>0</v>
      </c>
      <c r="AP82" s="8">
        <f>IF($O82="Aktif",MAX(0,MIN($AE82,$AD82-SUM($AG82:AO82))),0)</f>
        <v>0</v>
      </c>
      <c r="AQ82" s="8">
        <f>IF($O82="Aktif",MAX(0,MIN($AE82,$AD82-SUM($AG82:AP82))),0)</f>
        <v>0</v>
      </c>
      <c r="AR82" s="8">
        <f>IF($O82="Aktif",MAX(0,MIN($AE82,$AD82-SUM($AG82:AQ82))),0)</f>
        <v>0</v>
      </c>
      <c r="AS82" s="8">
        <f>IF($O82="Aktif",MAX(0,MIN($AE82,$AD82-SUM($AG82:AR82))),0)</f>
        <v>0</v>
      </c>
      <c r="AT82" s="8">
        <f>IF($O82="Aktif",MAX(0,MIN($AE82,$AD82-SUM($AG82:AS82))),0)</f>
        <v>0</v>
      </c>
      <c r="AU82" s="8">
        <f>IF($O82="Aktif",MAX(0,MIN($AE82,$AD82-SUM($AG82:AT82))),0)</f>
        <v>0</v>
      </c>
      <c r="AV82" s="8">
        <f>IF($O82="Aktif",MAX(0,MIN($AE82,$AD82-SUM($AG82:AU82))),0)</f>
        <v>0</v>
      </c>
      <c r="AW82" s="8">
        <f t="shared" si="12"/>
        <v>0</v>
      </c>
      <c r="AX82" s="8">
        <f t="shared" si="13"/>
        <v>0</v>
      </c>
    </row>
    <row r="83" spans="1:50" ht="15" customHeight="1" x14ac:dyDescent="0.35">
      <c r="A83" s="102">
        <v>77</v>
      </c>
      <c r="B83" s="102" t="s">
        <v>586</v>
      </c>
      <c r="C83" s="103">
        <v>15</v>
      </c>
      <c r="D83" s="102" t="s">
        <v>184</v>
      </c>
      <c r="E83" s="102" t="s">
        <v>587</v>
      </c>
      <c r="F83" s="102" t="s">
        <v>588</v>
      </c>
      <c r="G83" s="102" t="s">
        <v>589</v>
      </c>
      <c r="H83" s="102" t="s">
        <v>590</v>
      </c>
      <c r="I83" s="102" t="s">
        <v>90</v>
      </c>
      <c r="J83" s="102"/>
      <c r="K83" s="102" t="s">
        <v>591</v>
      </c>
      <c r="L83" s="102" t="s">
        <v>609</v>
      </c>
      <c r="M83" s="102" t="s">
        <v>610</v>
      </c>
      <c r="N83" s="102" t="s">
        <v>611</v>
      </c>
      <c r="O83" s="102" t="s">
        <v>383</v>
      </c>
      <c r="P83" s="103">
        <v>1</v>
      </c>
      <c r="Q83" s="105">
        <v>2010000</v>
      </c>
      <c r="R83" s="103">
        <v>48</v>
      </c>
      <c r="S83" s="105">
        <v>0</v>
      </c>
      <c r="T83" s="105">
        <v>2010000</v>
      </c>
      <c r="U83" s="105">
        <v>0</v>
      </c>
      <c r="V83" s="105">
        <v>0</v>
      </c>
      <c r="W83" s="105">
        <v>0</v>
      </c>
      <c r="X83" s="105">
        <v>0</v>
      </c>
      <c r="Y83" s="105">
        <v>0</v>
      </c>
      <c r="Z83" s="105">
        <v>0</v>
      </c>
      <c r="AA83" s="105">
        <v>0</v>
      </c>
      <c r="AB83" s="105">
        <v>0</v>
      </c>
      <c r="AC83" s="8">
        <f t="shared" si="7"/>
        <v>2010000</v>
      </c>
      <c r="AD83" s="8">
        <f t="shared" si="8"/>
        <v>0</v>
      </c>
      <c r="AE83" s="8">
        <f t="shared" si="9"/>
        <v>0</v>
      </c>
      <c r="AF83" s="106">
        <f t="shared" si="10"/>
        <v>0</v>
      </c>
      <c r="AG83" s="8">
        <f t="shared" si="11"/>
        <v>0</v>
      </c>
      <c r="AH83" s="8">
        <f>IF($O83="Aktif",MAX(0,MIN($AE83,$AD83-SUM($AG83:AG83))),0)</f>
        <v>0</v>
      </c>
      <c r="AI83" s="8">
        <f>IF($O83="Aktif",MAX(0,MIN($AE83,$AD83-SUM($AG83:AH83))),0)</f>
        <v>0</v>
      </c>
      <c r="AJ83" s="8">
        <f>IF($O83="Aktif",MAX(0,MIN($AE83,$AD83-SUM($AG83:AI83))),0)</f>
        <v>0</v>
      </c>
      <c r="AK83" s="8">
        <f>IF($O83="Aktif",MAX(0,MIN($AE83,$AD83-SUM($AG83:AJ83))),0)</f>
        <v>0</v>
      </c>
      <c r="AL83" s="8">
        <f>IF($O83="Aktif",MAX(0,MIN($AE83,$AD83-SUM($AG83:AK83))),0)</f>
        <v>0</v>
      </c>
      <c r="AM83" s="8">
        <f>IF($O83="Aktif",MAX(0,MIN($AE83,$AD83-SUM($AG83:AL83))),0)</f>
        <v>0</v>
      </c>
      <c r="AN83" s="8">
        <f>IF($O83="Aktif",MAX(0,MIN($AE83,$AD83-SUM($AG83:AM83))),0)</f>
        <v>0</v>
      </c>
      <c r="AO83" s="8">
        <f>IF($O83="Aktif",MAX(0,MIN($AE83,$AD83-SUM($AG83:AN83))),0)</f>
        <v>0</v>
      </c>
      <c r="AP83" s="8">
        <f>IF($O83="Aktif",MAX(0,MIN($AE83,$AD83-SUM($AG83:AO83))),0)</f>
        <v>0</v>
      </c>
      <c r="AQ83" s="8">
        <f>IF($O83="Aktif",MAX(0,MIN($AE83,$AD83-SUM($AG83:AP83))),0)</f>
        <v>0</v>
      </c>
      <c r="AR83" s="8">
        <f>IF($O83="Aktif",MAX(0,MIN($AE83,$AD83-SUM($AG83:AQ83))),0)</f>
        <v>0</v>
      </c>
      <c r="AS83" s="8">
        <f>IF($O83="Aktif",MAX(0,MIN($AE83,$AD83-SUM($AG83:AR83))),0)</f>
        <v>0</v>
      </c>
      <c r="AT83" s="8">
        <f>IF($O83="Aktif",MAX(0,MIN($AE83,$AD83-SUM($AG83:AS83))),0)</f>
        <v>0</v>
      </c>
      <c r="AU83" s="8">
        <f>IF($O83="Aktif",MAX(0,MIN($AE83,$AD83-SUM($AG83:AT83))),0)</f>
        <v>0</v>
      </c>
      <c r="AV83" s="8">
        <f>IF($O83="Aktif",MAX(0,MIN($AE83,$AD83-SUM($AG83:AU83))),0)</f>
        <v>0</v>
      </c>
      <c r="AW83" s="8">
        <f t="shared" si="12"/>
        <v>0</v>
      </c>
      <c r="AX83" s="8">
        <f t="shared" si="13"/>
        <v>0</v>
      </c>
    </row>
    <row r="84" spans="1:50" ht="15" customHeight="1" x14ac:dyDescent="0.35">
      <c r="A84" s="102">
        <v>78</v>
      </c>
      <c r="B84" s="102" t="s">
        <v>586</v>
      </c>
      <c r="C84" s="103">
        <v>16</v>
      </c>
      <c r="D84" s="102" t="s">
        <v>184</v>
      </c>
      <c r="E84" s="102" t="s">
        <v>587</v>
      </c>
      <c r="F84" s="102" t="s">
        <v>588</v>
      </c>
      <c r="G84" s="102" t="s">
        <v>589</v>
      </c>
      <c r="H84" s="102" t="s">
        <v>590</v>
      </c>
      <c r="I84" s="102" t="s">
        <v>90</v>
      </c>
      <c r="J84" s="102"/>
      <c r="K84" s="102" t="s">
        <v>591</v>
      </c>
      <c r="L84" s="102" t="s">
        <v>612</v>
      </c>
      <c r="M84" s="102" t="s">
        <v>613</v>
      </c>
      <c r="N84" s="102" t="s">
        <v>614</v>
      </c>
      <c r="O84" s="102" t="s">
        <v>383</v>
      </c>
      <c r="P84" s="103">
        <v>1</v>
      </c>
      <c r="Q84" s="105">
        <v>475000</v>
      </c>
      <c r="R84" s="103">
        <v>48</v>
      </c>
      <c r="S84" s="105">
        <v>0</v>
      </c>
      <c r="T84" s="105">
        <v>475000</v>
      </c>
      <c r="U84" s="105">
        <v>0</v>
      </c>
      <c r="V84" s="105">
        <v>0</v>
      </c>
      <c r="W84" s="105">
        <v>0</v>
      </c>
      <c r="X84" s="105">
        <v>0</v>
      </c>
      <c r="Y84" s="105">
        <v>0</v>
      </c>
      <c r="Z84" s="105">
        <v>0</v>
      </c>
      <c r="AA84" s="105">
        <v>0</v>
      </c>
      <c r="AB84" s="105">
        <v>0</v>
      </c>
      <c r="AC84" s="8">
        <f t="shared" si="7"/>
        <v>475000</v>
      </c>
      <c r="AD84" s="8">
        <f t="shared" si="8"/>
        <v>0</v>
      </c>
      <c r="AE84" s="8">
        <f t="shared" si="9"/>
        <v>0</v>
      </c>
      <c r="AF84" s="106">
        <f t="shared" si="10"/>
        <v>0</v>
      </c>
      <c r="AG84" s="8">
        <f t="shared" si="11"/>
        <v>0</v>
      </c>
      <c r="AH84" s="8">
        <f>IF($O84="Aktif",MAX(0,MIN($AE84,$AD84-SUM($AG84:AG84))),0)</f>
        <v>0</v>
      </c>
      <c r="AI84" s="8">
        <f>IF($O84="Aktif",MAX(0,MIN($AE84,$AD84-SUM($AG84:AH84))),0)</f>
        <v>0</v>
      </c>
      <c r="AJ84" s="8">
        <f>IF($O84="Aktif",MAX(0,MIN($AE84,$AD84-SUM($AG84:AI84))),0)</f>
        <v>0</v>
      </c>
      <c r="AK84" s="8">
        <f>IF($O84="Aktif",MAX(0,MIN($AE84,$AD84-SUM($AG84:AJ84))),0)</f>
        <v>0</v>
      </c>
      <c r="AL84" s="8">
        <f>IF($O84="Aktif",MAX(0,MIN($AE84,$AD84-SUM($AG84:AK84))),0)</f>
        <v>0</v>
      </c>
      <c r="AM84" s="8">
        <f>IF($O84="Aktif",MAX(0,MIN($AE84,$AD84-SUM($AG84:AL84))),0)</f>
        <v>0</v>
      </c>
      <c r="AN84" s="8">
        <f>IF($O84="Aktif",MAX(0,MIN($AE84,$AD84-SUM($AG84:AM84))),0)</f>
        <v>0</v>
      </c>
      <c r="AO84" s="8">
        <f>IF($O84="Aktif",MAX(0,MIN($AE84,$AD84-SUM($AG84:AN84))),0)</f>
        <v>0</v>
      </c>
      <c r="AP84" s="8">
        <f>IF($O84="Aktif",MAX(0,MIN($AE84,$AD84-SUM($AG84:AO84))),0)</f>
        <v>0</v>
      </c>
      <c r="AQ84" s="8">
        <f>IF($O84="Aktif",MAX(0,MIN($AE84,$AD84-SUM($AG84:AP84))),0)</f>
        <v>0</v>
      </c>
      <c r="AR84" s="8">
        <f>IF($O84="Aktif",MAX(0,MIN($AE84,$AD84-SUM($AG84:AQ84))),0)</f>
        <v>0</v>
      </c>
      <c r="AS84" s="8">
        <f>IF($O84="Aktif",MAX(0,MIN($AE84,$AD84-SUM($AG84:AR84))),0)</f>
        <v>0</v>
      </c>
      <c r="AT84" s="8">
        <f>IF($O84="Aktif",MAX(0,MIN($AE84,$AD84-SUM($AG84:AS84))),0)</f>
        <v>0</v>
      </c>
      <c r="AU84" s="8">
        <f>IF($O84="Aktif",MAX(0,MIN($AE84,$AD84-SUM($AG84:AT84))),0)</f>
        <v>0</v>
      </c>
      <c r="AV84" s="8">
        <f>IF($O84="Aktif",MAX(0,MIN($AE84,$AD84-SUM($AG84:AU84))),0)</f>
        <v>0</v>
      </c>
      <c r="AW84" s="8">
        <f t="shared" si="12"/>
        <v>0</v>
      </c>
      <c r="AX84" s="8">
        <f t="shared" si="13"/>
        <v>0</v>
      </c>
    </row>
    <row r="85" spans="1:50" ht="15" customHeight="1" x14ac:dyDescent="0.35">
      <c r="A85" s="102">
        <v>79</v>
      </c>
      <c r="B85" s="102" t="s">
        <v>586</v>
      </c>
      <c r="C85" s="103">
        <v>17</v>
      </c>
      <c r="D85" s="102" t="s">
        <v>184</v>
      </c>
      <c r="E85" s="102" t="s">
        <v>587</v>
      </c>
      <c r="F85" s="102" t="s">
        <v>588</v>
      </c>
      <c r="G85" s="102" t="s">
        <v>589</v>
      </c>
      <c r="H85" s="102" t="s">
        <v>590</v>
      </c>
      <c r="I85" s="102" t="s">
        <v>90</v>
      </c>
      <c r="J85" s="102"/>
      <c r="K85" s="102" t="s">
        <v>591</v>
      </c>
      <c r="L85" s="102" t="s">
        <v>615</v>
      </c>
      <c r="M85" s="102" t="s">
        <v>616</v>
      </c>
      <c r="N85" s="102" t="s">
        <v>617</v>
      </c>
      <c r="O85" s="102" t="s">
        <v>383</v>
      </c>
      <c r="P85" s="103">
        <v>1</v>
      </c>
      <c r="Q85" s="105">
        <v>950000</v>
      </c>
      <c r="R85" s="103">
        <v>48</v>
      </c>
      <c r="S85" s="105">
        <v>0</v>
      </c>
      <c r="T85" s="105">
        <v>950000</v>
      </c>
      <c r="U85" s="105">
        <v>0</v>
      </c>
      <c r="V85" s="105">
        <v>0</v>
      </c>
      <c r="W85" s="105">
        <v>0</v>
      </c>
      <c r="X85" s="105">
        <v>0</v>
      </c>
      <c r="Y85" s="105">
        <v>0</v>
      </c>
      <c r="Z85" s="105">
        <v>0</v>
      </c>
      <c r="AA85" s="105">
        <v>0</v>
      </c>
      <c r="AB85" s="105">
        <v>0</v>
      </c>
      <c r="AC85" s="8">
        <f t="shared" si="7"/>
        <v>950000</v>
      </c>
      <c r="AD85" s="8">
        <f t="shared" si="8"/>
        <v>0</v>
      </c>
      <c r="AE85" s="8">
        <f t="shared" si="9"/>
        <v>0</v>
      </c>
      <c r="AF85" s="106">
        <f t="shared" si="10"/>
        <v>0</v>
      </c>
      <c r="AG85" s="8">
        <f t="shared" si="11"/>
        <v>0</v>
      </c>
      <c r="AH85" s="8">
        <f>IF($O85="Aktif",MAX(0,MIN($AE85,$AD85-SUM($AG85:AG85))),0)</f>
        <v>0</v>
      </c>
      <c r="AI85" s="8">
        <f>IF($O85="Aktif",MAX(0,MIN($AE85,$AD85-SUM($AG85:AH85))),0)</f>
        <v>0</v>
      </c>
      <c r="AJ85" s="8">
        <f>IF($O85="Aktif",MAX(0,MIN($AE85,$AD85-SUM($AG85:AI85))),0)</f>
        <v>0</v>
      </c>
      <c r="AK85" s="8">
        <f>IF($O85="Aktif",MAX(0,MIN($AE85,$AD85-SUM($AG85:AJ85))),0)</f>
        <v>0</v>
      </c>
      <c r="AL85" s="8">
        <f>IF($O85="Aktif",MAX(0,MIN($AE85,$AD85-SUM($AG85:AK85))),0)</f>
        <v>0</v>
      </c>
      <c r="AM85" s="8">
        <f>IF($O85="Aktif",MAX(0,MIN($AE85,$AD85-SUM($AG85:AL85))),0)</f>
        <v>0</v>
      </c>
      <c r="AN85" s="8">
        <f>IF($O85="Aktif",MAX(0,MIN($AE85,$AD85-SUM($AG85:AM85))),0)</f>
        <v>0</v>
      </c>
      <c r="AO85" s="8">
        <f>IF($O85="Aktif",MAX(0,MIN($AE85,$AD85-SUM($AG85:AN85))),0)</f>
        <v>0</v>
      </c>
      <c r="AP85" s="8">
        <f>IF($O85="Aktif",MAX(0,MIN($AE85,$AD85-SUM($AG85:AO85))),0)</f>
        <v>0</v>
      </c>
      <c r="AQ85" s="8">
        <f>IF($O85="Aktif",MAX(0,MIN($AE85,$AD85-SUM($AG85:AP85))),0)</f>
        <v>0</v>
      </c>
      <c r="AR85" s="8">
        <f>IF($O85="Aktif",MAX(0,MIN($AE85,$AD85-SUM($AG85:AQ85))),0)</f>
        <v>0</v>
      </c>
      <c r="AS85" s="8">
        <f>IF($O85="Aktif",MAX(0,MIN($AE85,$AD85-SUM($AG85:AR85))),0)</f>
        <v>0</v>
      </c>
      <c r="AT85" s="8">
        <f>IF($O85="Aktif",MAX(0,MIN($AE85,$AD85-SUM($AG85:AS85))),0)</f>
        <v>0</v>
      </c>
      <c r="AU85" s="8">
        <f>IF($O85="Aktif",MAX(0,MIN($AE85,$AD85-SUM($AG85:AT85))),0)</f>
        <v>0</v>
      </c>
      <c r="AV85" s="8">
        <f>IF($O85="Aktif",MAX(0,MIN($AE85,$AD85-SUM($AG85:AU85))),0)</f>
        <v>0</v>
      </c>
      <c r="AW85" s="8">
        <f t="shared" si="12"/>
        <v>0</v>
      </c>
      <c r="AX85" s="8">
        <f t="shared" si="13"/>
        <v>0</v>
      </c>
    </row>
    <row r="86" spans="1:50" ht="15" customHeight="1" x14ac:dyDescent="0.35">
      <c r="A86" s="102">
        <v>80</v>
      </c>
      <c r="B86" s="102" t="s">
        <v>586</v>
      </c>
      <c r="C86" s="103">
        <v>18</v>
      </c>
      <c r="D86" s="102" t="s">
        <v>184</v>
      </c>
      <c r="E86" s="102" t="s">
        <v>587</v>
      </c>
      <c r="F86" s="102" t="s">
        <v>588</v>
      </c>
      <c r="G86" s="102" t="s">
        <v>589</v>
      </c>
      <c r="H86" s="102" t="s">
        <v>590</v>
      </c>
      <c r="I86" s="102" t="s">
        <v>90</v>
      </c>
      <c r="J86" s="102"/>
      <c r="K86" s="102" t="s">
        <v>591</v>
      </c>
      <c r="L86" s="102" t="s">
        <v>618</v>
      </c>
      <c r="M86" s="102" t="s">
        <v>619</v>
      </c>
      <c r="N86" s="102" t="s">
        <v>620</v>
      </c>
      <c r="O86" s="102" t="s">
        <v>383</v>
      </c>
      <c r="P86" s="103">
        <v>1</v>
      </c>
      <c r="Q86" s="105">
        <v>235696452</v>
      </c>
      <c r="R86" s="103">
        <v>48</v>
      </c>
      <c r="S86" s="105">
        <v>0</v>
      </c>
      <c r="T86" s="105">
        <v>235696452</v>
      </c>
      <c r="U86" s="105">
        <v>0</v>
      </c>
      <c r="V86" s="105">
        <v>0</v>
      </c>
      <c r="W86" s="105">
        <v>0</v>
      </c>
      <c r="X86" s="105">
        <v>0</v>
      </c>
      <c r="Y86" s="105">
        <v>0</v>
      </c>
      <c r="Z86" s="105">
        <v>0</v>
      </c>
      <c r="AA86" s="105">
        <v>0</v>
      </c>
      <c r="AB86" s="105">
        <v>0</v>
      </c>
      <c r="AC86" s="8">
        <f t="shared" si="7"/>
        <v>235696452</v>
      </c>
      <c r="AD86" s="8">
        <f t="shared" si="8"/>
        <v>0</v>
      </c>
      <c r="AE86" s="8">
        <f t="shared" si="9"/>
        <v>0</v>
      </c>
      <c r="AF86" s="106">
        <f t="shared" si="10"/>
        <v>0</v>
      </c>
      <c r="AG86" s="8">
        <f t="shared" si="11"/>
        <v>0</v>
      </c>
      <c r="AH86" s="8">
        <f>IF($O86="Aktif",MAX(0,MIN($AE86,$AD86-SUM($AG86:AG86))),0)</f>
        <v>0</v>
      </c>
      <c r="AI86" s="8">
        <f>IF($O86="Aktif",MAX(0,MIN($AE86,$AD86-SUM($AG86:AH86))),0)</f>
        <v>0</v>
      </c>
      <c r="AJ86" s="8">
        <f>IF($O86="Aktif",MAX(0,MIN($AE86,$AD86-SUM($AG86:AI86))),0)</f>
        <v>0</v>
      </c>
      <c r="AK86" s="8">
        <f>IF($O86="Aktif",MAX(0,MIN($AE86,$AD86-SUM($AG86:AJ86))),0)</f>
        <v>0</v>
      </c>
      <c r="AL86" s="8">
        <f>IF($O86="Aktif",MAX(0,MIN($AE86,$AD86-SUM($AG86:AK86))),0)</f>
        <v>0</v>
      </c>
      <c r="AM86" s="8">
        <f>IF($O86="Aktif",MAX(0,MIN($AE86,$AD86-SUM($AG86:AL86))),0)</f>
        <v>0</v>
      </c>
      <c r="AN86" s="8">
        <f>IF($O86="Aktif",MAX(0,MIN($AE86,$AD86-SUM($AG86:AM86))),0)</f>
        <v>0</v>
      </c>
      <c r="AO86" s="8">
        <f>IF($O86="Aktif",MAX(0,MIN($AE86,$AD86-SUM($AG86:AN86))),0)</f>
        <v>0</v>
      </c>
      <c r="AP86" s="8">
        <f>IF($O86="Aktif",MAX(0,MIN($AE86,$AD86-SUM($AG86:AO86))),0)</f>
        <v>0</v>
      </c>
      <c r="AQ86" s="8">
        <f>IF($O86="Aktif",MAX(0,MIN($AE86,$AD86-SUM($AG86:AP86))),0)</f>
        <v>0</v>
      </c>
      <c r="AR86" s="8">
        <f>IF($O86="Aktif",MAX(0,MIN($AE86,$AD86-SUM($AG86:AQ86))),0)</f>
        <v>0</v>
      </c>
      <c r="AS86" s="8">
        <f>IF($O86="Aktif",MAX(0,MIN($AE86,$AD86-SUM($AG86:AR86))),0)</f>
        <v>0</v>
      </c>
      <c r="AT86" s="8">
        <f>IF($O86="Aktif",MAX(0,MIN($AE86,$AD86-SUM($AG86:AS86))),0)</f>
        <v>0</v>
      </c>
      <c r="AU86" s="8">
        <f>IF($O86="Aktif",MAX(0,MIN($AE86,$AD86-SUM($AG86:AT86))),0)</f>
        <v>0</v>
      </c>
      <c r="AV86" s="8">
        <f>IF($O86="Aktif",MAX(0,MIN($AE86,$AD86-SUM($AG86:AU86))),0)</f>
        <v>0</v>
      </c>
      <c r="AW86" s="8">
        <f t="shared" si="12"/>
        <v>0</v>
      </c>
      <c r="AX86" s="8">
        <f t="shared" si="13"/>
        <v>0</v>
      </c>
    </row>
    <row r="87" spans="1:50" ht="15" customHeight="1" x14ac:dyDescent="0.35">
      <c r="A87" s="102">
        <v>81</v>
      </c>
      <c r="B87" s="102" t="s">
        <v>586</v>
      </c>
      <c r="C87" s="103">
        <v>19</v>
      </c>
      <c r="D87" s="102" t="s">
        <v>184</v>
      </c>
      <c r="E87" s="102" t="s">
        <v>587</v>
      </c>
      <c r="F87" s="102" t="s">
        <v>588</v>
      </c>
      <c r="G87" s="102" t="s">
        <v>589</v>
      </c>
      <c r="H87" s="102" t="s">
        <v>590</v>
      </c>
      <c r="I87" s="102" t="s">
        <v>90</v>
      </c>
      <c r="J87" s="102"/>
      <c r="K87" s="102" t="s">
        <v>591</v>
      </c>
      <c r="L87" s="102" t="s">
        <v>621</v>
      </c>
      <c r="M87" s="102" t="s">
        <v>622</v>
      </c>
      <c r="N87" s="102" t="s">
        <v>623</v>
      </c>
      <c r="O87" s="102" t="s">
        <v>383</v>
      </c>
      <c r="P87" s="103">
        <v>1</v>
      </c>
      <c r="Q87" s="105">
        <v>1150000</v>
      </c>
      <c r="R87" s="103">
        <v>48</v>
      </c>
      <c r="S87" s="105">
        <v>0</v>
      </c>
      <c r="T87" s="105">
        <v>1150000</v>
      </c>
      <c r="U87" s="105">
        <v>0</v>
      </c>
      <c r="V87" s="105">
        <v>0</v>
      </c>
      <c r="W87" s="105">
        <v>0</v>
      </c>
      <c r="X87" s="105">
        <v>0</v>
      </c>
      <c r="Y87" s="105">
        <v>0</v>
      </c>
      <c r="Z87" s="105">
        <v>0</v>
      </c>
      <c r="AA87" s="105">
        <v>0</v>
      </c>
      <c r="AB87" s="105">
        <v>0</v>
      </c>
      <c r="AC87" s="8">
        <f t="shared" si="7"/>
        <v>1150000</v>
      </c>
      <c r="AD87" s="8">
        <f t="shared" si="8"/>
        <v>0</v>
      </c>
      <c r="AE87" s="8">
        <f t="shared" si="9"/>
        <v>0</v>
      </c>
      <c r="AF87" s="106">
        <f t="shared" si="10"/>
        <v>0</v>
      </c>
      <c r="AG87" s="8">
        <f t="shared" si="11"/>
        <v>0</v>
      </c>
      <c r="AH87" s="8">
        <f>IF($O87="Aktif",MAX(0,MIN($AE87,$AD87-SUM($AG87:AG87))),0)</f>
        <v>0</v>
      </c>
      <c r="AI87" s="8">
        <f>IF($O87="Aktif",MAX(0,MIN($AE87,$AD87-SUM($AG87:AH87))),0)</f>
        <v>0</v>
      </c>
      <c r="AJ87" s="8">
        <f>IF($O87="Aktif",MAX(0,MIN($AE87,$AD87-SUM($AG87:AI87))),0)</f>
        <v>0</v>
      </c>
      <c r="AK87" s="8">
        <f>IF($O87="Aktif",MAX(0,MIN($AE87,$AD87-SUM($AG87:AJ87))),0)</f>
        <v>0</v>
      </c>
      <c r="AL87" s="8">
        <f>IF($O87="Aktif",MAX(0,MIN($AE87,$AD87-SUM($AG87:AK87))),0)</f>
        <v>0</v>
      </c>
      <c r="AM87" s="8">
        <f>IF($O87="Aktif",MAX(0,MIN($AE87,$AD87-SUM($AG87:AL87))),0)</f>
        <v>0</v>
      </c>
      <c r="AN87" s="8">
        <f>IF($O87="Aktif",MAX(0,MIN($AE87,$AD87-SUM($AG87:AM87))),0)</f>
        <v>0</v>
      </c>
      <c r="AO87" s="8">
        <f>IF($O87="Aktif",MAX(0,MIN($AE87,$AD87-SUM($AG87:AN87))),0)</f>
        <v>0</v>
      </c>
      <c r="AP87" s="8">
        <f>IF($O87="Aktif",MAX(0,MIN($AE87,$AD87-SUM($AG87:AO87))),0)</f>
        <v>0</v>
      </c>
      <c r="AQ87" s="8">
        <f>IF($O87="Aktif",MAX(0,MIN($AE87,$AD87-SUM($AG87:AP87))),0)</f>
        <v>0</v>
      </c>
      <c r="AR87" s="8">
        <f>IF($O87="Aktif",MAX(0,MIN($AE87,$AD87-SUM($AG87:AQ87))),0)</f>
        <v>0</v>
      </c>
      <c r="AS87" s="8">
        <f>IF($O87="Aktif",MAX(0,MIN($AE87,$AD87-SUM($AG87:AR87))),0)</f>
        <v>0</v>
      </c>
      <c r="AT87" s="8">
        <f>IF($O87="Aktif",MAX(0,MIN($AE87,$AD87-SUM($AG87:AS87))),0)</f>
        <v>0</v>
      </c>
      <c r="AU87" s="8">
        <f>IF($O87="Aktif",MAX(0,MIN($AE87,$AD87-SUM($AG87:AT87))),0)</f>
        <v>0</v>
      </c>
      <c r="AV87" s="8">
        <f>IF($O87="Aktif",MAX(0,MIN($AE87,$AD87-SUM($AG87:AU87))),0)</f>
        <v>0</v>
      </c>
      <c r="AW87" s="8">
        <f t="shared" si="12"/>
        <v>0</v>
      </c>
      <c r="AX87" s="8">
        <f t="shared" si="13"/>
        <v>0</v>
      </c>
    </row>
    <row r="88" spans="1:50" ht="15" customHeight="1" x14ac:dyDescent="0.35">
      <c r="A88" s="102">
        <v>82</v>
      </c>
      <c r="B88" s="102" t="s">
        <v>586</v>
      </c>
      <c r="C88" s="103">
        <v>20</v>
      </c>
      <c r="D88" s="102" t="s">
        <v>184</v>
      </c>
      <c r="E88" s="102" t="s">
        <v>587</v>
      </c>
      <c r="F88" s="102" t="s">
        <v>588</v>
      </c>
      <c r="G88" s="102" t="s">
        <v>589</v>
      </c>
      <c r="H88" s="102" t="s">
        <v>590</v>
      </c>
      <c r="I88" s="102" t="s">
        <v>90</v>
      </c>
      <c r="J88" s="102"/>
      <c r="K88" s="102" t="s">
        <v>591</v>
      </c>
      <c r="L88" s="102" t="s">
        <v>621</v>
      </c>
      <c r="M88" s="102" t="s">
        <v>624</v>
      </c>
      <c r="N88" s="102" t="s">
        <v>625</v>
      </c>
      <c r="O88" s="102" t="s">
        <v>383</v>
      </c>
      <c r="P88" s="103">
        <v>1</v>
      </c>
      <c r="Q88" s="105">
        <v>14900000</v>
      </c>
      <c r="R88" s="103">
        <v>48</v>
      </c>
      <c r="S88" s="105">
        <v>0</v>
      </c>
      <c r="T88" s="105">
        <v>14900000</v>
      </c>
      <c r="U88" s="105">
        <v>0</v>
      </c>
      <c r="V88" s="105">
        <v>0</v>
      </c>
      <c r="W88" s="105">
        <v>0</v>
      </c>
      <c r="X88" s="105">
        <v>0</v>
      </c>
      <c r="Y88" s="105">
        <v>0</v>
      </c>
      <c r="Z88" s="105">
        <v>0</v>
      </c>
      <c r="AA88" s="105">
        <v>0</v>
      </c>
      <c r="AB88" s="105">
        <v>0</v>
      </c>
      <c r="AC88" s="8">
        <f t="shared" si="7"/>
        <v>14900000</v>
      </c>
      <c r="AD88" s="8">
        <f t="shared" si="8"/>
        <v>0</v>
      </c>
      <c r="AE88" s="8">
        <f t="shared" si="9"/>
        <v>0</v>
      </c>
      <c r="AF88" s="106">
        <f t="shared" si="10"/>
        <v>0</v>
      </c>
      <c r="AG88" s="8">
        <f t="shared" si="11"/>
        <v>0</v>
      </c>
      <c r="AH88" s="8">
        <f>IF($O88="Aktif",MAX(0,MIN($AE88,$AD88-SUM($AG88:AG88))),0)</f>
        <v>0</v>
      </c>
      <c r="AI88" s="8">
        <f>IF($O88="Aktif",MAX(0,MIN($AE88,$AD88-SUM($AG88:AH88))),0)</f>
        <v>0</v>
      </c>
      <c r="AJ88" s="8">
        <f>IF($O88="Aktif",MAX(0,MIN($AE88,$AD88-SUM($AG88:AI88))),0)</f>
        <v>0</v>
      </c>
      <c r="AK88" s="8">
        <f>IF($O88="Aktif",MAX(0,MIN($AE88,$AD88-SUM($AG88:AJ88))),0)</f>
        <v>0</v>
      </c>
      <c r="AL88" s="8">
        <f>IF($O88="Aktif",MAX(0,MIN($AE88,$AD88-SUM($AG88:AK88))),0)</f>
        <v>0</v>
      </c>
      <c r="AM88" s="8">
        <f>IF($O88="Aktif",MAX(0,MIN($AE88,$AD88-SUM($AG88:AL88))),0)</f>
        <v>0</v>
      </c>
      <c r="AN88" s="8">
        <f>IF($O88="Aktif",MAX(0,MIN($AE88,$AD88-SUM($AG88:AM88))),0)</f>
        <v>0</v>
      </c>
      <c r="AO88" s="8">
        <f>IF($O88="Aktif",MAX(0,MIN($AE88,$AD88-SUM($AG88:AN88))),0)</f>
        <v>0</v>
      </c>
      <c r="AP88" s="8">
        <f>IF($O88="Aktif",MAX(0,MIN($AE88,$AD88-SUM($AG88:AO88))),0)</f>
        <v>0</v>
      </c>
      <c r="AQ88" s="8">
        <f>IF($O88="Aktif",MAX(0,MIN($AE88,$AD88-SUM($AG88:AP88))),0)</f>
        <v>0</v>
      </c>
      <c r="AR88" s="8">
        <f>IF($O88="Aktif",MAX(0,MIN($AE88,$AD88-SUM($AG88:AQ88))),0)</f>
        <v>0</v>
      </c>
      <c r="AS88" s="8">
        <f>IF($O88="Aktif",MAX(0,MIN($AE88,$AD88-SUM($AG88:AR88))),0)</f>
        <v>0</v>
      </c>
      <c r="AT88" s="8">
        <f>IF($O88="Aktif",MAX(0,MIN($AE88,$AD88-SUM($AG88:AS88))),0)</f>
        <v>0</v>
      </c>
      <c r="AU88" s="8">
        <f>IF($O88="Aktif",MAX(0,MIN($AE88,$AD88-SUM($AG88:AT88))),0)</f>
        <v>0</v>
      </c>
      <c r="AV88" s="8">
        <f>IF($O88="Aktif",MAX(0,MIN($AE88,$AD88-SUM($AG88:AU88))),0)</f>
        <v>0</v>
      </c>
      <c r="AW88" s="8">
        <f t="shared" si="12"/>
        <v>0</v>
      </c>
      <c r="AX88" s="8">
        <f t="shared" si="13"/>
        <v>0</v>
      </c>
    </row>
    <row r="89" spans="1:50" ht="15" customHeight="1" x14ac:dyDescent="0.35">
      <c r="A89" s="102">
        <v>83</v>
      </c>
      <c r="B89" s="102" t="s">
        <v>586</v>
      </c>
      <c r="C89" s="103">
        <v>21</v>
      </c>
      <c r="D89" s="102" t="s">
        <v>184</v>
      </c>
      <c r="E89" s="102" t="s">
        <v>587</v>
      </c>
      <c r="F89" s="102" t="s">
        <v>588</v>
      </c>
      <c r="G89" s="102" t="s">
        <v>589</v>
      </c>
      <c r="H89" s="102" t="s">
        <v>590</v>
      </c>
      <c r="I89" s="102" t="s">
        <v>90</v>
      </c>
      <c r="J89" s="102"/>
      <c r="K89" s="102" t="s">
        <v>591</v>
      </c>
      <c r="L89" s="102" t="s">
        <v>488</v>
      </c>
      <c r="M89" s="102" t="s">
        <v>626</v>
      </c>
      <c r="N89" s="102" t="s">
        <v>627</v>
      </c>
      <c r="O89" s="102" t="s">
        <v>383</v>
      </c>
      <c r="P89" s="103">
        <v>1</v>
      </c>
      <c r="Q89" s="105">
        <v>5415000</v>
      </c>
      <c r="R89" s="103">
        <v>48</v>
      </c>
      <c r="S89" s="105">
        <v>0</v>
      </c>
      <c r="T89" s="105">
        <v>5415000</v>
      </c>
      <c r="U89" s="105">
        <v>0</v>
      </c>
      <c r="V89" s="105">
        <v>0</v>
      </c>
      <c r="W89" s="105">
        <v>0</v>
      </c>
      <c r="X89" s="105">
        <v>0</v>
      </c>
      <c r="Y89" s="105">
        <v>0</v>
      </c>
      <c r="Z89" s="105">
        <v>0</v>
      </c>
      <c r="AA89" s="105">
        <v>0</v>
      </c>
      <c r="AB89" s="105">
        <v>0</v>
      </c>
      <c r="AC89" s="8">
        <f t="shared" si="7"/>
        <v>5415000</v>
      </c>
      <c r="AD89" s="8">
        <f t="shared" si="8"/>
        <v>0</v>
      </c>
      <c r="AE89" s="8">
        <f t="shared" si="9"/>
        <v>0</v>
      </c>
      <c r="AF89" s="106">
        <f t="shared" si="10"/>
        <v>0</v>
      </c>
      <c r="AG89" s="8">
        <f t="shared" si="11"/>
        <v>0</v>
      </c>
      <c r="AH89" s="8">
        <f>IF($O89="Aktif",MAX(0,MIN($AE89,$AD89-SUM($AG89:AG89))),0)</f>
        <v>0</v>
      </c>
      <c r="AI89" s="8">
        <f>IF($O89="Aktif",MAX(0,MIN($AE89,$AD89-SUM($AG89:AH89))),0)</f>
        <v>0</v>
      </c>
      <c r="AJ89" s="8">
        <f>IF($O89="Aktif",MAX(0,MIN($AE89,$AD89-SUM($AG89:AI89))),0)</f>
        <v>0</v>
      </c>
      <c r="AK89" s="8">
        <f>IF($O89="Aktif",MAX(0,MIN($AE89,$AD89-SUM($AG89:AJ89))),0)</f>
        <v>0</v>
      </c>
      <c r="AL89" s="8">
        <f>IF($O89="Aktif",MAX(0,MIN($AE89,$AD89-SUM($AG89:AK89))),0)</f>
        <v>0</v>
      </c>
      <c r="AM89" s="8">
        <f>IF($O89="Aktif",MAX(0,MIN($AE89,$AD89-SUM($AG89:AL89))),0)</f>
        <v>0</v>
      </c>
      <c r="AN89" s="8">
        <f>IF($O89="Aktif",MAX(0,MIN($AE89,$AD89-SUM($AG89:AM89))),0)</f>
        <v>0</v>
      </c>
      <c r="AO89" s="8">
        <f>IF($O89="Aktif",MAX(0,MIN($AE89,$AD89-SUM($AG89:AN89))),0)</f>
        <v>0</v>
      </c>
      <c r="AP89" s="8">
        <f>IF($O89="Aktif",MAX(0,MIN($AE89,$AD89-SUM($AG89:AO89))),0)</f>
        <v>0</v>
      </c>
      <c r="AQ89" s="8">
        <f>IF($O89="Aktif",MAX(0,MIN($AE89,$AD89-SUM($AG89:AP89))),0)</f>
        <v>0</v>
      </c>
      <c r="AR89" s="8">
        <f>IF($O89="Aktif",MAX(0,MIN($AE89,$AD89-SUM($AG89:AQ89))),0)</f>
        <v>0</v>
      </c>
      <c r="AS89" s="8">
        <f>IF($O89="Aktif",MAX(0,MIN($AE89,$AD89-SUM($AG89:AR89))),0)</f>
        <v>0</v>
      </c>
      <c r="AT89" s="8">
        <f>IF($O89="Aktif",MAX(0,MIN($AE89,$AD89-SUM($AG89:AS89))),0)</f>
        <v>0</v>
      </c>
      <c r="AU89" s="8">
        <f>IF($O89="Aktif",MAX(0,MIN($AE89,$AD89-SUM($AG89:AT89))),0)</f>
        <v>0</v>
      </c>
      <c r="AV89" s="8">
        <f>IF($O89="Aktif",MAX(0,MIN($AE89,$AD89-SUM($AG89:AU89))),0)</f>
        <v>0</v>
      </c>
      <c r="AW89" s="8">
        <f t="shared" si="12"/>
        <v>0</v>
      </c>
      <c r="AX89" s="8">
        <f t="shared" si="13"/>
        <v>0</v>
      </c>
    </row>
    <row r="90" spans="1:50" ht="15" customHeight="1" x14ac:dyDescent="0.35">
      <c r="A90" s="102">
        <v>84</v>
      </c>
      <c r="B90" s="102" t="s">
        <v>586</v>
      </c>
      <c r="C90" s="103">
        <v>22</v>
      </c>
      <c r="D90" s="102" t="s">
        <v>184</v>
      </c>
      <c r="E90" s="102" t="s">
        <v>587</v>
      </c>
      <c r="F90" s="102" t="s">
        <v>588</v>
      </c>
      <c r="G90" s="102" t="s">
        <v>589</v>
      </c>
      <c r="H90" s="102" t="s">
        <v>590</v>
      </c>
      <c r="I90" s="102" t="s">
        <v>90</v>
      </c>
      <c r="J90" s="102"/>
      <c r="K90" s="102" t="s">
        <v>591</v>
      </c>
      <c r="L90" s="102" t="s">
        <v>628</v>
      </c>
      <c r="M90" s="102" t="s">
        <v>624</v>
      </c>
      <c r="N90" s="102" t="s">
        <v>625</v>
      </c>
      <c r="O90" s="102" t="s">
        <v>383</v>
      </c>
      <c r="P90" s="103">
        <v>1</v>
      </c>
      <c r="Q90" s="105">
        <v>10450000</v>
      </c>
      <c r="R90" s="103">
        <v>48</v>
      </c>
      <c r="S90" s="105">
        <v>0</v>
      </c>
      <c r="T90" s="105">
        <v>10450000</v>
      </c>
      <c r="U90" s="105">
        <v>0</v>
      </c>
      <c r="V90" s="105">
        <v>0</v>
      </c>
      <c r="W90" s="105">
        <v>0</v>
      </c>
      <c r="X90" s="105">
        <v>0</v>
      </c>
      <c r="Y90" s="105">
        <v>0</v>
      </c>
      <c r="Z90" s="105">
        <v>0</v>
      </c>
      <c r="AA90" s="105">
        <v>0</v>
      </c>
      <c r="AB90" s="105">
        <v>0</v>
      </c>
      <c r="AC90" s="8">
        <f t="shared" si="7"/>
        <v>10450000</v>
      </c>
      <c r="AD90" s="8">
        <f t="shared" si="8"/>
        <v>0</v>
      </c>
      <c r="AE90" s="8">
        <f t="shared" si="9"/>
        <v>0</v>
      </c>
      <c r="AF90" s="106">
        <f t="shared" si="10"/>
        <v>0</v>
      </c>
      <c r="AG90" s="8">
        <f t="shared" si="11"/>
        <v>0</v>
      </c>
      <c r="AH90" s="8">
        <f>IF($O90="Aktif",MAX(0,MIN($AE90,$AD90-SUM($AG90:AG90))),0)</f>
        <v>0</v>
      </c>
      <c r="AI90" s="8">
        <f>IF($O90="Aktif",MAX(0,MIN($AE90,$AD90-SUM($AG90:AH90))),0)</f>
        <v>0</v>
      </c>
      <c r="AJ90" s="8">
        <f>IF($O90="Aktif",MAX(0,MIN($AE90,$AD90-SUM($AG90:AI90))),0)</f>
        <v>0</v>
      </c>
      <c r="AK90" s="8">
        <f>IF($O90="Aktif",MAX(0,MIN($AE90,$AD90-SUM($AG90:AJ90))),0)</f>
        <v>0</v>
      </c>
      <c r="AL90" s="8">
        <f>IF($O90="Aktif",MAX(0,MIN($AE90,$AD90-SUM($AG90:AK90))),0)</f>
        <v>0</v>
      </c>
      <c r="AM90" s="8">
        <f>IF($O90="Aktif",MAX(0,MIN($AE90,$AD90-SUM($AG90:AL90))),0)</f>
        <v>0</v>
      </c>
      <c r="AN90" s="8">
        <f>IF($O90="Aktif",MAX(0,MIN($AE90,$AD90-SUM($AG90:AM90))),0)</f>
        <v>0</v>
      </c>
      <c r="AO90" s="8">
        <f>IF($O90="Aktif",MAX(0,MIN($AE90,$AD90-SUM($AG90:AN90))),0)</f>
        <v>0</v>
      </c>
      <c r="AP90" s="8">
        <f>IF($O90="Aktif",MAX(0,MIN($AE90,$AD90-SUM($AG90:AO90))),0)</f>
        <v>0</v>
      </c>
      <c r="AQ90" s="8">
        <f>IF($O90="Aktif",MAX(0,MIN($AE90,$AD90-SUM($AG90:AP90))),0)</f>
        <v>0</v>
      </c>
      <c r="AR90" s="8">
        <f>IF($O90="Aktif",MAX(0,MIN($AE90,$AD90-SUM($AG90:AQ90))),0)</f>
        <v>0</v>
      </c>
      <c r="AS90" s="8">
        <f>IF($O90="Aktif",MAX(0,MIN($AE90,$AD90-SUM($AG90:AR90))),0)</f>
        <v>0</v>
      </c>
      <c r="AT90" s="8">
        <f>IF($O90="Aktif",MAX(0,MIN($AE90,$AD90-SUM($AG90:AS90))),0)</f>
        <v>0</v>
      </c>
      <c r="AU90" s="8">
        <f>IF($O90="Aktif",MAX(0,MIN($AE90,$AD90-SUM($AG90:AT90))),0)</f>
        <v>0</v>
      </c>
      <c r="AV90" s="8">
        <f>IF($O90="Aktif",MAX(0,MIN($AE90,$AD90-SUM($AG90:AU90))),0)</f>
        <v>0</v>
      </c>
      <c r="AW90" s="8">
        <f t="shared" si="12"/>
        <v>0</v>
      </c>
      <c r="AX90" s="8">
        <f t="shared" si="13"/>
        <v>0</v>
      </c>
    </row>
    <row r="91" spans="1:50" ht="15" customHeight="1" x14ac:dyDescent="0.35">
      <c r="A91" s="102">
        <v>85</v>
      </c>
      <c r="B91" s="102" t="s">
        <v>586</v>
      </c>
      <c r="C91" s="103">
        <v>23</v>
      </c>
      <c r="D91" s="102" t="s">
        <v>184</v>
      </c>
      <c r="E91" s="102" t="s">
        <v>587</v>
      </c>
      <c r="F91" s="102" t="s">
        <v>588</v>
      </c>
      <c r="G91" s="102" t="s">
        <v>589</v>
      </c>
      <c r="H91" s="102" t="s">
        <v>590</v>
      </c>
      <c r="I91" s="102" t="s">
        <v>90</v>
      </c>
      <c r="J91" s="102"/>
      <c r="K91" s="102" t="s">
        <v>591</v>
      </c>
      <c r="L91" s="104">
        <v>40557</v>
      </c>
      <c r="M91" s="102" t="s">
        <v>629</v>
      </c>
      <c r="N91" s="102" t="s">
        <v>630</v>
      </c>
      <c r="O91" s="102" t="s">
        <v>383</v>
      </c>
      <c r="P91" s="103">
        <v>1</v>
      </c>
      <c r="Q91" s="105">
        <v>2925000</v>
      </c>
      <c r="R91" s="103">
        <v>48</v>
      </c>
      <c r="S91" s="105">
        <v>0</v>
      </c>
      <c r="T91" s="105">
        <v>2925000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Z91" s="105">
        <v>0</v>
      </c>
      <c r="AA91" s="105">
        <v>0</v>
      </c>
      <c r="AB91" s="105">
        <v>0</v>
      </c>
      <c r="AC91" s="8">
        <f t="shared" si="7"/>
        <v>2925000</v>
      </c>
      <c r="AD91" s="8">
        <f t="shared" si="8"/>
        <v>0</v>
      </c>
      <c r="AE91" s="8">
        <f t="shared" si="9"/>
        <v>0</v>
      </c>
      <c r="AF91" s="106">
        <f t="shared" si="10"/>
        <v>0</v>
      </c>
      <c r="AG91" s="8">
        <f t="shared" si="11"/>
        <v>0</v>
      </c>
      <c r="AH91" s="8">
        <f>IF($O91="Aktif",MAX(0,MIN($AE91,$AD91-SUM($AG91:AG91))),0)</f>
        <v>0</v>
      </c>
      <c r="AI91" s="8">
        <f>IF($O91="Aktif",MAX(0,MIN($AE91,$AD91-SUM($AG91:AH91))),0)</f>
        <v>0</v>
      </c>
      <c r="AJ91" s="8">
        <f>IF($O91="Aktif",MAX(0,MIN($AE91,$AD91-SUM($AG91:AI91))),0)</f>
        <v>0</v>
      </c>
      <c r="AK91" s="8">
        <f>IF($O91="Aktif",MAX(0,MIN($AE91,$AD91-SUM($AG91:AJ91))),0)</f>
        <v>0</v>
      </c>
      <c r="AL91" s="8">
        <f>IF($O91="Aktif",MAX(0,MIN($AE91,$AD91-SUM($AG91:AK91))),0)</f>
        <v>0</v>
      </c>
      <c r="AM91" s="8">
        <f>IF($O91="Aktif",MAX(0,MIN($AE91,$AD91-SUM($AG91:AL91))),0)</f>
        <v>0</v>
      </c>
      <c r="AN91" s="8">
        <f>IF($O91="Aktif",MAX(0,MIN($AE91,$AD91-SUM($AG91:AM91))),0)</f>
        <v>0</v>
      </c>
      <c r="AO91" s="8">
        <f>IF($O91="Aktif",MAX(0,MIN($AE91,$AD91-SUM($AG91:AN91))),0)</f>
        <v>0</v>
      </c>
      <c r="AP91" s="8">
        <f>IF($O91="Aktif",MAX(0,MIN($AE91,$AD91-SUM($AG91:AO91))),0)</f>
        <v>0</v>
      </c>
      <c r="AQ91" s="8">
        <f>IF($O91="Aktif",MAX(0,MIN($AE91,$AD91-SUM($AG91:AP91))),0)</f>
        <v>0</v>
      </c>
      <c r="AR91" s="8">
        <f>IF($O91="Aktif",MAX(0,MIN($AE91,$AD91-SUM($AG91:AQ91))),0)</f>
        <v>0</v>
      </c>
      <c r="AS91" s="8">
        <f>IF($O91="Aktif",MAX(0,MIN($AE91,$AD91-SUM($AG91:AR91))),0)</f>
        <v>0</v>
      </c>
      <c r="AT91" s="8">
        <f>IF($O91="Aktif",MAX(0,MIN($AE91,$AD91-SUM($AG91:AS91))),0)</f>
        <v>0</v>
      </c>
      <c r="AU91" s="8">
        <f>IF($O91="Aktif",MAX(0,MIN($AE91,$AD91-SUM($AG91:AT91))),0)</f>
        <v>0</v>
      </c>
      <c r="AV91" s="8">
        <f>IF($O91="Aktif",MAX(0,MIN($AE91,$AD91-SUM($AG91:AU91))),0)</f>
        <v>0</v>
      </c>
      <c r="AW91" s="8">
        <f t="shared" si="12"/>
        <v>0</v>
      </c>
      <c r="AX91" s="8">
        <f t="shared" si="13"/>
        <v>0</v>
      </c>
    </row>
    <row r="92" spans="1:50" ht="15" customHeight="1" x14ac:dyDescent="0.35">
      <c r="A92" s="102">
        <v>86</v>
      </c>
      <c r="B92" s="102" t="s">
        <v>586</v>
      </c>
      <c r="C92" s="103">
        <v>24</v>
      </c>
      <c r="D92" s="102" t="s">
        <v>184</v>
      </c>
      <c r="E92" s="102" t="s">
        <v>587</v>
      </c>
      <c r="F92" s="102" t="s">
        <v>588</v>
      </c>
      <c r="G92" s="102" t="s">
        <v>589</v>
      </c>
      <c r="H92" s="102" t="s">
        <v>590</v>
      </c>
      <c r="I92" s="102" t="s">
        <v>90</v>
      </c>
      <c r="J92" s="102"/>
      <c r="K92" s="102" t="s">
        <v>591</v>
      </c>
      <c r="L92" s="104">
        <v>40634</v>
      </c>
      <c r="M92" s="102" t="s">
        <v>631</v>
      </c>
      <c r="N92" s="102" t="s">
        <v>632</v>
      </c>
      <c r="O92" s="102" t="s">
        <v>383</v>
      </c>
      <c r="P92" s="103">
        <v>1</v>
      </c>
      <c r="Q92" s="105">
        <v>6528000</v>
      </c>
      <c r="R92" s="103">
        <v>48</v>
      </c>
      <c r="S92" s="105">
        <v>0</v>
      </c>
      <c r="T92" s="105">
        <v>6528000</v>
      </c>
      <c r="U92" s="105">
        <v>0</v>
      </c>
      <c r="V92" s="105">
        <v>0</v>
      </c>
      <c r="W92" s="105">
        <v>0</v>
      </c>
      <c r="X92" s="105">
        <v>0</v>
      </c>
      <c r="Y92" s="105">
        <v>0</v>
      </c>
      <c r="Z92" s="105">
        <v>0</v>
      </c>
      <c r="AA92" s="105">
        <v>0</v>
      </c>
      <c r="AB92" s="105">
        <v>0</v>
      </c>
      <c r="AC92" s="8">
        <f t="shared" si="7"/>
        <v>6528000</v>
      </c>
      <c r="AD92" s="8">
        <f t="shared" si="8"/>
        <v>0</v>
      </c>
      <c r="AE92" s="8">
        <f t="shared" si="9"/>
        <v>0</v>
      </c>
      <c r="AF92" s="106">
        <f t="shared" si="10"/>
        <v>0</v>
      </c>
      <c r="AG92" s="8">
        <f t="shared" si="11"/>
        <v>0</v>
      </c>
      <c r="AH92" s="8">
        <f>IF($O92="Aktif",MAX(0,MIN($AE92,$AD92-SUM($AG92:AG92))),0)</f>
        <v>0</v>
      </c>
      <c r="AI92" s="8">
        <f>IF($O92="Aktif",MAX(0,MIN($AE92,$AD92-SUM($AG92:AH92))),0)</f>
        <v>0</v>
      </c>
      <c r="AJ92" s="8">
        <f>IF($O92="Aktif",MAX(0,MIN($AE92,$AD92-SUM($AG92:AI92))),0)</f>
        <v>0</v>
      </c>
      <c r="AK92" s="8">
        <f>IF($O92="Aktif",MAX(0,MIN($AE92,$AD92-SUM($AG92:AJ92))),0)</f>
        <v>0</v>
      </c>
      <c r="AL92" s="8">
        <f>IF($O92="Aktif",MAX(0,MIN($AE92,$AD92-SUM($AG92:AK92))),0)</f>
        <v>0</v>
      </c>
      <c r="AM92" s="8">
        <f>IF($O92="Aktif",MAX(0,MIN($AE92,$AD92-SUM($AG92:AL92))),0)</f>
        <v>0</v>
      </c>
      <c r="AN92" s="8">
        <f>IF($O92="Aktif",MAX(0,MIN($AE92,$AD92-SUM($AG92:AM92))),0)</f>
        <v>0</v>
      </c>
      <c r="AO92" s="8">
        <f>IF($O92="Aktif",MAX(0,MIN($AE92,$AD92-SUM($AG92:AN92))),0)</f>
        <v>0</v>
      </c>
      <c r="AP92" s="8">
        <f>IF($O92="Aktif",MAX(0,MIN($AE92,$AD92-SUM($AG92:AO92))),0)</f>
        <v>0</v>
      </c>
      <c r="AQ92" s="8">
        <f>IF($O92="Aktif",MAX(0,MIN($AE92,$AD92-SUM($AG92:AP92))),0)</f>
        <v>0</v>
      </c>
      <c r="AR92" s="8">
        <f>IF($O92="Aktif",MAX(0,MIN($AE92,$AD92-SUM($AG92:AQ92))),0)</f>
        <v>0</v>
      </c>
      <c r="AS92" s="8">
        <f>IF($O92="Aktif",MAX(0,MIN($AE92,$AD92-SUM($AG92:AR92))),0)</f>
        <v>0</v>
      </c>
      <c r="AT92" s="8">
        <f>IF($O92="Aktif",MAX(0,MIN($AE92,$AD92-SUM($AG92:AS92))),0)</f>
        <v>0</v>
      </c>
      <c r="AU92" s="8">
        <f>IF($O92="Aktif",MAX(0,MIN($AE92,$AD92-SUM($AG92:AT92))),0)</f>
        <v>0</v>
      </c>
      <c r="AV92" s="8">
        <f>IF($O92="Aktif",MAX(0,MIN($AE92,$AD92-SUM($AG92:AU92))),0)</f>
        <v>0</v>
      </c>
      <c r="AW92" s="8">
        <f t="shared" si="12"/>
        <v>0</v>
      </c>
      <c r="AX92" s="8">
        <f t="shared" si="13"/>
        <v>0</v>
      </c>
    </row>
    <row r="93" spans="1:50" ht="15" customHeight="1" x14ac:dyDescent="0.35">
      <c r="A93" s="102">
        <v>87</v>
      </c>
      <c r="B93" s="102" t="s">
        <v>586</v>
      </c>
      <c r="C93" s="103">
        <v>25</v>
      </c>
      <c r="D93" s="102" t="s">
        <v>184</v>
      </c>
      <c r="E93" s="102" t="s">
        <v>587</v>
      </c>
      <c r="F93" s="102" t="s">
        <v>588</v>
      </c>
      <c r="G93" s="102" t="s">
        <v>589</v>
      </c>
      <c r="H93" s="102" t="s">
        <v>590</v>
      </c>
      <c r="I93" s="102" t="s">
        <v>90</v>
      </c>
      <c r="J93" s="102"/>
      <c r="K93" s="102" t="s">
        <v>591</v>
      </c>
      <c r="L93" s="104">
        <v>40877</v>
      </c>
      <c r="M93" s="102" t="s">
        <v>633</v>
      </c>
      <c r="N93" s="102" t="s">
        <v>634</v>
      </c>
      <c r="O93" s="102" t="s">
        <v>383</v>
      </c>
      <c r="P93" s="103">
        <v>1</v>
      </c>
      <c r="Q93" s="105">
        <v>4480000</v>
      </c>
      <c r="R93" s="103">
        <v>48</v>
      </c>
      <c r="S93" s="105">
        <v>0</v>
      </c>
      <c r="T93" s="105">
        <v>4480000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Z93" s="105">
        <v>0</v>
      </c>
      <c r="AA93" s="105">
        <v>0</v>
      </c>
      <c r="AB93" s="105">
        <v>0</v>
      </c>
      <c r="AC93" s="8">
        <f t="shared" si="7"/>
        <v>4480000</v>
      </c>
      <c r="AD93" s="8">
        <f t="shared" si="8"/>
        <v>0</v>
      </c>
      <c r="AE93" s="8">
        <f t="shared" si="9"/>
        <v>0</v>
      </c>
      <c r="AF93" s="106">
        <f t="shared" si="10"/>
        <v>0</v>
      </c>
      <c r="AG93" s="8">
        <f t="shared" si="11"/>
        <v>0</v>
      </c>
      <c r="AH93" s="8">
        <f>IF($O93="Aktif",MAX(0,MIN($AE93,$AD93-SUM($AG93:AG93))),0)</f>
        <v>0</v>
      </c>
      <c r="AI93" s="8">
        <f>IF($O93="Aktif",MAX(0,MIN($AE93,$AD93-SUM($AG93:AH93))),0)</f>
        <v>0</v>
      </c>
      <c r="AJ93" s="8">
        <f>IF($O93="Aktif",MAX(0,MIN($AE93,$AD93-SUM($AG93:AI93))),0)</f>
        <v>0</v>
      </c>
      <c r="AK93" s="8">
        <f>IF($O93="Aktif",MAX(0,MIN($AE93,$AD93-SUM($AG93:AJ93))),0)</f>
        <v>0</v>
      </c>
      <c r="AL93" s="8">
        <f>IF($O93="Aktif",MAX(0,MIN($AE93,$AD93-SUM($AG93:AK93))),0)</f>
        <v>0</v>
      </c>
      <c r="AM93" s="8">
        <f>IF($O93="Aktif",MAX(0,MIN($AE93,$AD93-SUM($AG93:AL93))),0)</f>
        <v>0</v>
      </c>
      <c r="AN93" s="8">
        <f>IF($O93="Aktif",MAX(0,MIN($AE93,$AD93-SUM($AG93:AM93))),0)</f>
        <v>0</v>
      </c>
      <c r="AO93" s="8">
        <f>IF($O93="Aktif",MAX(0,MIN($AE93,$AD93-SUM($AG93:AN93))),0)</f>
        <v>0</v>
      </c>
      <c r="AP93" s="8">
        <f>IF($O93="Aktif",MAX(0,MIN($AE93,$AD93-SUM($AG93:AO93))),0)</f>
        <v>0</v>
      </c>
      <c r="AQ93" s="8">
        <f>IF($O93="Aktif",MAX(0,MIN($AE93,$AD93-SUM($AG93:AP93))),0)</f>
        <v>0</v>
      </c>
      <c r="AR93" s="8">
        <f>IF($O93="Aktif",MAX(0,MIN($AE93,$AD93-SUM($AG93:AQ93))),0)</f>
        <v>0</v>
      </c>
      <c r="AS93" s="8">
        <f>IF($O93="Aktif",MAX(0,MIN($AE93,$AD93-SUM($AG93:AR93))),0)</f>
        <v>0</v>
      </c>
      <c r="AT93" s="8">
        <f>IF($O93="Aktif",MAX(0,MIN($AE93,$AD93-SUM($AG93:AS93))),0)</f>
        <v>0</v>
      </c>
      <c r="AU93" s="8">
        <f>IF($O93="Aktif",MAX(0,MIN($AE93,$AD93-SUM($AG93:AT93))),0)</f>
        <v>0</v>
      </c>
      <c r="AV93" s="8">
        <f>IF($O93="Aktif",MAX(0,MIN($AE93,$AD93-SUM($AG93:AU93))),0)</f>
        <v>0</v>
      </c>
      <c r="AW93" s="8">
        <f t="shared" si="12"/>
        <v>0</v>
      </c>
      <c r="AX93" s="8">
        <f t="shared" si="13"/>
        <v>0</v>
      </c>
    </row>
    <row r="94" spans="1:50" ht="15" customHeight="1" x14ac:dyDescent="0.35">
      <c r="A94" s="102">
        <v>88</v>
      </c>
      <c r="B94" s="102" t="s">
        <v>586</v>
      </c>
      <c r="C94" s="103">
        <v>26</v>
      </c>
      <c r="D94" s="102" t="s">
        <v>184</v>
      </c>
      <c r="E94" s="102" t="s">
        <v>587</v>
      </c>
      <c r="F94" s="102" t="s">
        <v>588</v>
      </c>
      <c r="G94" s="102" t="s">
        <v>589</v>
      </c>
      <c r="H94" s="102" t="s">
        <v>590</v>
      </c>
      <c r="I94" s="102" t="s">
        <v>90</v>
      </c>
      <c r="J94" s="102"/>
      <c r="K94" s="102" t="s">
        <v>591</v>
      </c>
      <c r="L94" s="104">
        <v>40883</v>
      </c>
      <c r="M94" s="102" t="s">
        <v>635</v>
      </c>
      <c r="N94" s="102" t="s">
        <v>636</v>
      </c>
      <c r="O94" s="102" t="s">
        <v>383</v>
      </c>
      <c r="P94" s="103">
        <v>1</v>
      </c>
      <c r="Q94" s="105">
        <v>300000</v>
      </c>
      <c r="R94" s="103">
        <v>48</v>
      </c>
      <c r="S94" s="105">
        <v>0</v>
      </c>
      <c r="T94" s="105">
        <v>300000</v>
      </c>
      <c r="U94" s="105">
        <v>0</v>
      </c>
      <c r="V94" s="105">
        <v>0</v>
      </c>
      <c r="W94" s="105">
        <v>0</v>
      </c>
      <c r="X94" s="105">
        <v>0</v>
      </c>
      <c r="Y94" s="105">
        <v>0</v>
      </c>
      <c r="Z94" s="105">
        <v>0</v>
      </c>
      <c r="AA94" s="105">
        <v>0</v>
      </c>
      <c r="AB94" s="105">
        <v>0</v>
      </c>
      <c r="AC94" s="8">
        <f t="shared" si="7"/>
        <v>300000</v>
      </c>
      <c r="AD94" s="8">
        <f t="shared" si="8"/>
        <v>0</v>
      </c>
      <c r="AE94" s="8">
        <f t="shared" si="9"/>
        <v>0</v>
      </c>
      <c r="AF94" s="106">
        <f t="shared" si="10"/>
        <v>0</v>
      </c>
      <c r="AG94" s="8">
        <f t="shared" si="11"/>
        <v>0</v>
      </c>
      <c r="AH94" s="8">
        <f>IF($O94="Aktif",MAX(0,MIN($AE94,$AD94-SUM($AG94:AG94))),0)</f>
        <v>0</v>
      </c>
      <c r="AI94" s="8">
        <f>IF($O94="Aktif",MAX(0,MIN($AE94,$AD94-SUM($AG94:AH94))),0)</f>
        <v>0</v>
      </c>
      <c r="AJ94" s="8">
        <f>IF($O94="Aktif",MAX(0,MIN($AE94,$AD94-SUM($AG94:AI94))),0)</f>
        <v>0</v>
      </c>
      <c r="AK94" s="8">
        <f>IF($O94="Aktif",MAX(0,MIN($AE94,$AD94-SUM($AG94:AJ94))),0)</f>
        <v>0</v>
      </c>
      <c r="AL94" s="8">
        <f>IF($O94="Aktif",MAX(0,MIN($AE94,$AD94-SUM($AG94:AK94))),0)</f>
        <v>0</v>
      </c>
      <c r="AM94" s="8">
        <f>IF($O94="Aktif",MAX(0,MIN($AE94,$AD94-SUM($AG94:AL94))),0)</f>
        <v>0</v>
      </c>
      <c r="AN94" s="8">
        <f>IF($O94="Aktif",MAX(0,MIN($AE94,$AD94-SUM($AG94:AM94))),0)</f>
        <v>0</v>
      </c>
      <c r="AO94" s="8">
        <f>IF($O94="Aktif",MAX(0,MIN($AE94,$AD94-SUM($AG94:AN94))),0)</f>
        <v>0</v>
      </c>
      <c r="AP94" s="8">
        <f>IF($O94="Aktif",MAX(0,MIN($AE94,$AD94-SUM($AG94:AO94))),0)</f>
        <v>0</v>
      </c>
      <c r="AQ94" s="8">
        <f>IF($O94="Aktif",MAX(0,MIN($AE94,$AD94-SUM($AG94:AP94))),0)</f>
        <v>0</v>
      </c>
      <c r="AR94" s="8">
        <f>IF($O94="Aktif",MAX(0,MIN($AE94,$AD94-SUM($AG94:AQ94))),0)</f>
        <v>0</v>
      </c>
      <c r="AS94" s="8">
        <f>IF($O94="Aktif",MAX(0,MIN($AE94,$AD94-SUM($AG94:AR94))),0)</f>
        <v>0</v>
      </c>
      <c r="AT94" s="8">
        <f>IF($O94="Aktif",MAX(0,MIN($AE94,$AD94-SUM($AG94:AS94))),0)</f>
        <v>0</v>
      </c>
      <c r="AU94" s="8">
        <f>IF($O94="Aktif",MAX(0,MIN($AE94,$AD94-SUM($AG94:AT94))),0)</f>
        <v>0</v>
      </c>
      <c r="AV94" s="8">
        <f>IF($O94="Aktif",MAX(0,MIN($AE94,$AD94-SUM($AG94:AU94))),0)</f>
        <v>0</v>
      </c>
      <c r="AW94" s="8">
        <f t="shared" si="12"/>
        <v>0</v>
      </c>
      <c r="AX94" s="8">
        <f t="shared" si="13"/>
        <v>0</v>
      </c>
    </row>
    <row r="95" spans="1:50" ht="15" customHeight="1" x14ac:dyDescent="0.35">
      <c r="A95" s="102">
        <v>89</v>
      </c>
      <c r="B95" s="102" t="s">
        <v>586</v>
      </c>
      <c r="C95" s="103">
        <v>27</v>
      </c>
      <c r="D95" s="102" t="s">
        <v>184</v>
      </c>
      <c r="E95" s="102" t="s">
        <v>587</v>
      </c>
      <c r="F95" s="102" t="s">
        <v>588</v>
      </c>
      <c r="G95" s="102" t="s">
        <v>589</v>
      </c>
      <c r="H95" s="102" t="s">
        <v>590</v>
      </c>
      <c r="I95" s="102" t="s">
        <v>90</v>
      </c>
      <c r="J95" s="102"/>
      <c r="K95" s="102" t="s">
        <v>591</v>
      </c>
      <c r="L95" s="104">
        <v>42622</v>
      </c>
      <c r="M95" s="102" t="s">
        <v>637</v>
      </c>
      <c r="N95" s="102" t="s">
        <v>638</v>
      </c>
      <c r="O95" s="102" t="s">
        <v>383</v>
      </c>
      <c r="P95" s="103">
        <v>1</v>
      </c>
      <c r="Q95" s="105">
        <v>0</v>
      </c>
      <c r="R95" s="103">
        <v>48</v>
      </c>
      <c r="S95" s="105">
        <v>0</v>
      </c>
      <c r="T95" s="105">
        <v>0</v>
      </c>
      <c r="U95" s="105">
        <v>0</v>
      </c>
      <c r="V95" s="105">
        <v>0</v>
      </c>
      <c r="W95" s="105">
        <v>0</v>
      </c>
      <c r="X95" s="105">
        <v>0</v>
      </c>
      <c r="Y95" s="105">
        <v>0</v>
      </c>
      <c r="Z95" s="105">
        <v>0</v>
      </c>
      <c r="AA95" s="105">
        <v>0</v>
      </c>
      <c r="AB95" s="105">
        <v>0</v>
      </c>
      <c r="AC95" s="8">
        <f t="shared" si="7"/>
        <v>0</v>
      </c>
      <c r="AD95" s="8">
        <f t="shared" si="8"/>
        <v>0</v>
      </c>
      <c r="AE95" s="8">
        <f t="shared" si="9"/>
        <v>0</v>
      </c>
      <c r="AF95" s="106">
        <f t="shared" si="10"/>
        <v>0</v>
      </c>
      <c r="AG95" s="8">
        <f t="shared" si="11"/>
        <v>0</v>
      </c>
      <c r="AH95" s="8">
        <f>IF($O95="Aktif",MAX(0,MIN($AE95,$AD95-SUM($AG95:AG95))),0)</f>
        <v>0</v>
      </c>
      <c r="AI95" s="8">
        <f>IF($O95="Aktif",MAX(0,MIN($AE95,$AD95-SUM($AG95:AH95))),0)</f>
        <v>0</v>
      </c>
      <c r="AJ95" s="8">
        <f>IF($O95="Aktif",MAX(0,MIN($AE95,$AD95-SUM($AG95:AI95))),0)</f>
        <v>0</v>
      </c>
      <c r="AK95" s="8">
        <f>IF($O95="Aktif",MAX(0,MIN($AE95,$AD95-SUM($AG95:AJ95))),0)</f>
        <v>0</v>
      </c>
      <c r="AL95" s="8">
        <f>IF($O95="Aktif",MAX(0,MIN($AE95,$AD95-SUM($AG95:AK95))),0)</f>
        <v>0</v>
      </c>
      <c r="AM95" s="8">
        <f>IF($O95="Aktif",MAX(0,MIN($AE95,$AD95-SUM($AG95:AL95))),0)</f>
        <v>0</v>
      </c>
      <c r="AN95" s="8">
        <f>IF($O95="Aktif",MAX(0,MIN($AE95,$AD95-SUM($AG95:AM95))),0)</f>
        <v>0</v>
      </c>
      <c r="AO95" s="8">
        <f>IF($O95="Aktif",MAX(0,MIN($AE95,$AD95-SUM($AG95:AN95))),0)</f>
        <v>0</v>
      </c>
      <c r="AP95" s="8">
        <f>IF($O95="Aktif",MAX(0,MIN($AE95,$AD95-SUM($AG95:AO95))),0)</f>
        <v>0</v>
      </c>
      <c r="AQ95" s="8">
        <f>IF($O95="Aktif",MAX(0,MIN($AE95,$AD95-SUM($AG95:AP95))),0)</f>
        <v>0</v>
      </c>
      <c r="AR95" s="8">
        <f>IF($O95="Aktif",MAX(0,MIN($AE95,$AD95-SUM($AG95:AQ95))),0)</f>
        <v>0</v>
      </c>
      <c r="AS95" s="8">
        <f>IF($O95="Aktif",MAX(0,MIN($AE95,$AD95-SUM($AG95:AR95))),0)</f>
        <v>0</v>
      </c>
      <c r="AT95" s="8">
        <f>IF($O95="Aktif",MAX(0,MIN($AE95,$AD95-SUM($AG95:AS95))),0)</f>
        <v>0</v>
      </c>
      <c r="AU95" s="8">
        <f>IF($O95="Aktif",MAX(0,MIN($AE95,$AD95-SUM($AG95:AT95))),0)</f>
        <v>0</v>
      </c>
      <c r="AV95" s="8">
        <f>IF($O95="Aktif",MAX(0,MIN($AE95,$AD95-SUM($AG95:AU95))),0)</f>
        <v>0</v>
      </c>
      <c r="AW95" s="8">
        <f t="shared" si="12"/>
        <v>0</v>
      </c>
      <c r="AX95" s="8">
        <f t="shared" si="13"/>
        <v>0</v>
      </c>
    </row>
    <row r="96" spans="1:50" ht="15" customHeight="1" x14ac:dyDescent="0.35">
      <c r="A96" s="102">
        <v>90</v>
      </c>
      <c r="B96" s="102" t="s">
        <v>586</v>
      </c>
      <c r="C96" s="103">
        <v>28</v>
      </c>
      <c r="D96" s="102" t="s">
        <v>184</v>
      </c>
      <c r="E96" s="102" t="s">
        <v>587</v>
      </c>
      <c r="F96" s="102" t="s">
        <v>588</v>
      </c>
      <c r="G96" s="102" t="s">
        <v>589</v>
      </c>
      <c r="H96" s="102" t="s">
        <v>590</v>
      </c>
      <c r="I96" s="102" t="s">
        <v>90</v>
      </c>
      <c r="J96" s="102"/>
      <c r="K96" s="102" t="s">
        <v>591</v>
      </c>
      <c r="L96" s="104">
        <v>42643</v>
      </c>
      <c r="M96" s="102" t="s">
        <v>639</v>
      </c>
      <c r="N96" s="102" t="s">
        <v>640</v>
      </c>
      <c r="O96" s="102" t="s">
        <v>383</v>
      </c>
      <c r="P96" s="103"/>
      <c r="Q96" s="105">
        <v>0</v>
      </c>
      <c r="R96" s="103">
        <v>48</v>
      </c>
      <c r="S96" s="105">
        <v>0</v>
      </c>
      <c r="T96" s="105">
        <v>0</v>
      </c>
      <c r="U96" s="105">
        <v>0</v>
      </c>
      <c r="V96" s="105">
        <v>0</v>
      </c>
      <c r="W96" s="105">
        <v>0</v>
      </c>
      <c r="X96" s="105">
        <v>0</v>
      </c>
      <c r="Y96" s="105">
        <v>0</v>
      </c>
      <c r="Z96" s="105">
        <v>0</v>
      </c>
      <c r="AA96" s="105">
        <v>0</v>
      </c>
      <c r="AB96" s="105">
        <v>0</v>
      </c>
      <c r="AC96" s="8">
        <f t="shared" si="7"/>
        <v>0</v>
      </c>
      <c r="AD96" s="8">
        <f t="shared" si="8"/>
        <v>0</v>
      </c>
      <c r="AE96" s="8">
        <f t="shared" si="9"/>
        <v>0</v>
      </c>
      <c r="AF96" s="106">
        <f t="shared" si="10"/>
        <v>0</v>
      </c>
      <c r="AG96" s="8">
        <f t="shared" si="11"/>
        <v>0</v>
      </c>
      <c r="AH96" s="8">
        <f>IF($O96="Aktif",MAX(0,MIN($AE96,$AD96-SUM($AG96:AG96))),0)</f>
        <v>0</v>
      </c>
      <c r="AI96" s="8">
        <f>IF($O96="Aktif",MAX(0,MIN($AE96,$AD96-SUM($AG96:AH96))),0)</f>
        <v>0</v>
      </c>
      <c r="AJ96" s="8">
        <f>IF($O96="Aktif",MAX(0,MIN($AE96,$AD96-SUM($AG96:AI96))),0)</f>
        <v>0</v>
      </c>
      <c r="AK96" s="8">
        <f>IF($O96="Aktif",MAX(0,MIN($AE96,$AD96-SUM($AG96:AJ96))),0)</f>
        <v>0</v>
      </c>
      <c r="AL96" s="8">
        <f>IF($O96="Aktif",MAX(0,MIN($AE96,$AD96-SUM($AG96:AK96))),0)</f>
        <v>0</v>
      </c>
      <c r="AM96" s="8">
        <f>IF($O96="Aktif",MAX(0,MIN($AE96,$AD96-SUM($AG96:AL96))),0)</f>
        <v>0</v>
      </c>
      <c r="AN96" s="8">
        <f>IF($O96="Aktif",MAX(0,MIN($AE96,$AD96-SUM($AG96:AM96))),0)</f>
        <v>0</v>
      </c>
      <c r="AO96" s="8">
        <f>IF($O96="Aktif",MAX(0,MIN($AE96,$AD96-SUM($AG96:AN96))),0)</f>
        <v>0</v>
      </c>
      <c r="AP96" s="8">
        <f>IF($O96="Aktif",MAX(0,MIN($AE96,$AD96-SUM($AG96:AO96))),0)</f>
        <v>0</v>
      </c>
      <c r="AQ96" s="8">
        <f>IF($O96="Aktif",MAX(0,MIN($AE96,$AD96-SUM($AG96:AP96))),0)</f>
        <v>0</v>
      </c>
      <c r="AR96" s="8">
        <f>IF($O96="Aktif",MAX(0,MIN($AE96,$AD96-SUM($AG96:AQ96))),0)</f>
        <v>0</v>
      </c>
      <c r="AS96" s="8">
        <f>IF($O96="Aktif",MAX(0,MIN($AE96,$AD96-SUM($AG96:AR96))),0)</f>
        <v>0</v>
      </c>
      <c r="AT96" s="8">
        <f>IF($O96="Aktif",MAX(0,MIN($AE96,$AD96-SUM($AG96:AS96))),0)</f>
        <v>0</v>
      </c>
      <c r="AU96" s="8">
        <f>IF($O96="Aktif",MAX(0,MIN($AE96,$AD96-SUM($AG96:AT96))),0)</f>
        <v>0</v>
      </c>
      <c r="AV96" s="8">
        <f>IF($O96="Aktif",MAX(0,MIN($AE96,$AD96-SUM($AG96:AU96))),0)</f>
        <v>0</v>
      </c>
      <c r="AW96" s="8">
        <f t="shared" si="12"/>
        <v>0</v>
      </c>
      <c r="AX96" s="8">
        <f t="shared" si="13"/>
        <v>0</v>
      </c>
    </row>
    <row r="97" spans="1:50" ht="15" customHeight="1" x14ac:dyDescent="0.35">
      <c r="A97" s="102">
        <v>91</v>
      </c>
      <c r="B97" s="102" t="s">
        <v>586</v>
      </c>
      <c r="C97" s="103">
        <v>29</v>
      </c>
      <c r="D97" s="102" t="s">
        <v>184</v>
      </c>
      <c r="E97" s="102" t="s">
        <v>587</v>
      </c>
      <c r="F97" s="102" t="s">
        <v>588</v>
      </c>
      <c r="G97" s="102" t="s">
        <v>589</v>
      </c>
      <c r="H97" s="102" t="s">
        <v>590</v>
      </c>
      <c r="I97" s="102" t="s">
        <v>90</v>
      </c>
      <c r="J97" s="102"/>
      <c r="K97" s="102" t="s">
        <v>591</v>
      </c>
      <c r="L97" s="104">
        <v>42646</v>
      </c>
      <c r="M97" s="102" t="s">
        <v>641</v>
      </c>
      <c r="N97" s="102" t="s">
        <v>642</v>
      </c>
      <c r="O97" s="102" t="s">
        <v>383</v>
      </c>
      <c r="P97" s="103"/>
      <c r="Q97" s="105">
        <v>0</v>
      </c>
      <c r="R97" s="103">
        <v>48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Z97" s="105">
        <v>0</v>
      </c>
      <c r="AA97" s="105">
        <v>0</v>
      </c>
      <c r="AB97" s="105">
        <v>0</v>
      </c>
      <c r="AC97" s="8">
        <f t="shared" si="7"/>
        <v>0</v>
      </c>
      <c r="AD97" s="8">
        <f t="shared" si="8"/>
        <v>0</v>
      </c>
      <c r="AE97" s="8">
        <f t="shared" si="9"/>
        <v>0</v>
      </c>
      <c r="AF97" s="106">
        <f t="shared" si="10"/>
        <v>0</v>
      </c>
      <c r="AG97" s="8">
        <f t="shared" si="11"/>
        <v>0</v>
      </c>
      <c r="AH97" s="8">
        <f>IF($O97="Aktif",MAX(0,MIN($AE97,$AD97-SUM($AG97:AG97))),0)</f>
        <v>0</v>
      </c>
      <c r="AI97" s="8">
        <f>IF($O97="Aktif",MAX(0,MIN($AE97,$AD97-SUM($AG97:AH97))),0)</f>
        <v>0</v>
      </c>
      <c r="AJ97" s="8">
        <f>IF($O97="Aktif",MAX(0,MIN($AE97,$AD97-SUM($AG97:AI97))),0)</f>
        <v>0</v>
      </c>
      <c r="AK97" s="8">
        <f>IF($O97="Aktif",MAX(0,MIN($AE97,$AD97-SUM($AG97:AJ97))),0)</f>
        <v>0</v>
      </c>
      <c r="AL97" s="8">
        <f>IF($O97="Aktif",MAX(0,MIN($AE97,$AD97-SUM($AG97:AK97))),0)</f>
        <v>0</v>
      </c>
      <c r="AM97" s="8">
        <f>IF($O97="Aktif",MAX(0,MIN($AE97,$AD97-SUM($AG97:AL97))),0)</f>
        <v>0</v>
      </c>
      <c r="AN97" s="8">
        <f>IF($O97="Aktif",MAX(0,MIN($AE97,$AD97-SUM($AG97:AM97))),0)</f>
        <v>0</v>
      </c>
      <c r="AO97" s="8">
        <f>IF($O97="Aktif",MAX(0,MIN($AE97,$AD97-SUM($AG97:AN97))),0)</f>
        <v>0</v>
      </c>
      <c r="AP97" s="8">
        <f>IF($O97="Aktif",MAX(0,MIN($AE97,$AD97-SUM($AG97:AO97))),0)</f>
        <v>0</v>
      </c>
      <c r="AQ97" s="8">
        <f>IF($O97="Aktif",MAX(0,MIN($AE97,$AD97-SUM($AG97:AP97))),0)</f>
        <v>0</v>
      </c>
      <c r="AR97" s="8">
        <f>IF($O97="Aktif",MAX(0,MIN($AE97,$AD97-SUM($AG97:AQ97))),0)</f>
        <v>0</v>
      </c>
      <c r="AS97" s="8">
        <f>IF($O97="Aktif",MAX(0,MIN($AE97,$AD97-SUM($AG97:AR97))),0)</f>
        <v>0</v>
      </c>
      <c r="AT97" s="8">
        <f>IF($O97="Aktif",MAX(0,MIN($AE97,$AD97-SUM($AG97:AS97))),0)</f>
        <v>0</v>
      </c>
      <c r="AU97" s="8">
        <f>IF($O97="Aktif",MAX(0,MIN($AE97,$AD97-SUM($AG97:AT97))),0)</f>
        <v>0</v>
      </c>
      <c r="AV97" s="8">
        <f>IF($O97="Aktif",MAX(0,MIN($AE97,$AD97-SUM($AG97:AU97))),0)</f>
        <v>0</v>
      </c>
      <c r="AW97" s="8">
        <f t="shared" si="12"/>
        <v>0</v>
      </c>
      <c r="AX97" s="8">
        <f t="shared" si="13"/>
        <v>0</v>
      </c>
    </row>
    <row r="98" spans="1:50" ht="15" customHeight="1" x14ac:dyDescent="0.35">
      <c r="A98" s="102">
        <v>92</v>
      </c>
      <c r="B98" s="102" t="s">
        <v>586</v>
      </c>
      <c r="C98" s="103">
        <v>30</v>
      </c>
      <c r="D98" s="102" t="s">
        <v>184</v>
      </c>
      <c r="E98" s="102" t="s">
        <v>587</v>
      </c>
      <c r="F98" s="102" t="s">
        <v>588</v>
      </c>
      <c r="G98" s="102" t="s">
        <v>589</v>
      </c>
      <c r="H98" s="102" t="s">
        <v>590</v>
      </c>
      <c r="I98" s="102" t="s">
        <v>90</v>
      </c>
      <c r="J98" s="102"/>
      <c r="K98" s="102" t="s">
        <v>591</v>
      </c>
      <c r="L98" s="104">
        <v>42668</v>
      </c>
      <c r="M98" s="102" t="s">
        <v>643</v>
      </c>
      <c r="N98" s="102" t="s">
        <v>644</v>
      </c>
      <c r="O98" s="102" t="s">
        <v>383</v>
      </c>
      <c r="P98" s="103"/>
      <c r="Q98" s="105">
        <v>0</v>
      </c>
      <c r="R98" s="103">
        <v>48</v>
      </c>
      <c r="S98" s="105">
        <v>0</v>
      </c>
      <c r="T98" s="105">
        <v>0</v>
      </c>
      <c r="U98" s="105">
        <v>0</v>
      </c>
      <c r="V98" s="105">
        <v>0</v>
      </c>
      <c r="W98" s="105">
        <v>0</v>
      </c>
      <c r="X98" s="105">
        <v>0</v>
      </c>
      <c r="Y98" s="105">
        <v>0</v>
      </c>
      <c r="Z98" s="105">
        <v>0</v>
      </c>
      <c r="AA98" s="105">
        <v>0</v>
      </c>
      <c r="AB98" s="105">
        <v>0</v>
      </c>
      <c r="AC98" s="8">
        <f t="shared" si="7"/>
        <v>0</v>
      </c>
      <c r="AD98" s="8">
        <f t="shared" si="8"/>
        <v>0</v>
      </c>
      <c r="AE98" s="8">
        <f t="shared" si="9"/>
        <v>0</v>
      </c>
      <c r="AF98" s="106">
        <f t="shared" si="10"/>
        <v>0</v>
      </c>
      <c r="AG98" s="8">
        <f t="shared" si="11"/>
        <v>0</v>
      </c>
      <c r="AH98" s="8">
        <f>IF($O98="Aktif",MAX(0,MIN($AE98,$AD98-SUM($AG98:AG98))),0)</f>
        <v>0</v>
      </c>
      <c r="AI98" s="8">
        <f>IF($O98="Aktif",MAX(0,MIN($AE98,$AD98-SUM($AG98:AH98))),0)</f>
        <v>0</v>
      </c>
      <c r="AJ98" s="8">
        <f>IF($O98="Aktif",MAX(0,MIN($AE98,$AD98-SUM($AG98:AI98))),0)</f>
        <v>0</v>
      </c>
      <c r="AK98" s="8">
        <f>IF($O98="Aktif",MAX(0,MIN($AE98,$AD98-SUM($AG98:AJ98))),0)</f>
        <v>0</v>
      </c>
      <c r="AL98" s="8">
        <f>IF($O98="Aktif",MAX(0,MIN($AE98,$AD98-SUM($AG98:AK98))),0)</f>
        <v>0</v>
      </c>
      <c r="AM98" s="8">
        <f>IF($O98="Aktif",MAX(0,MIN($AE98,$AD98-SUM($AG98:AL98))),0)</f>
        <v>0</v>
      </c>
      <c r="AN98" s="8">
        <f>IF($O98="Aktif",MAX(0,MIN($AE98,$AD98-SUM($AG98:AM98))),0)</f>
        <v>0</v>
      </c>
      <c r="AO98" s="8">
        <f>IF($O98="Aktif",MAX(0,MIN($AE98,$AD98-SUM($AG98:AN98))),0)</f>
        <v>0</v>
      </c>
      <c r="AP98" s="8">
        <f>IF($O98="Aktif",MAX(0,MIN($AE98,$AD98-SUM($AG98:AO98))),0)</f>
        <v>0</v>
      </c>
      <c r="AQ98" s="8">
        <f>IF($O98="Aktif",MAX(0,MIN($AE98,$AD98-SUM($AG98:AP98))),0)</f>
        <v>0</v>
      </c>
      <c r="AR98" s="8">
        <f>IF($O98="Aktif",MAX(0,MIN($AE98,$AD98-SUM($AG98:AQ98))),0)</f>
        <v>0</v>
      </c>
      <c r="AS98" s="8">
        <f>IF($O98="Aktif",MAX(0,MIN($AE98,$AD98-SUM($AG98:AR98))),0)</f>
        <v>0</v>
      </c>
      <c r="AT98" s="8">
        <f>IF($O98="Aktif",MAX(0,MIN($AE98,$AD98-SUM($AG98:AS98))),0)</f>
        <v>0</v>
      </c>
      <c r="AU98" s="8">
        <f>IF($O98="Aktif",MAX(0,MIN($AE98,$AD98-SUM($AG98:AT98))),0)</f>
        <v>0</v>
      </c>
      <c r="AV98" s="8">
        <f>IF($O98="Aktif",MAX(0,MIN($AE98,$AD98-SUM($AG98:AU98))),0)</f>
        <v>0</v>
      </c>
      <c r="AW98" s="8">
        <f t="shared" si="12"/>
        <v>0</v>
      </c>
      <c r="AX98" s="8">
        <f t="shared" si="13"/>
        <v>0</v>
      </c>
    </row>
    <row r="99" spans="1:50" ht="15" customHeight="1" x14ac:dyDescent="0.35">
      <c r="A99" s="102">
        <v>93</v>
      </c>
      <c r="B99" s="102" t="s">
        <v>586</v>
      </c>
      <c r="C99" s="103">
        <v>31</v>
      </c>
      <c r="D99" s="102" t="s">
        <v>184</v>
      </c>
      <c r="E99" s="102" t="s">
        <v>587</v>
      </c>
      <c r="F99" s="102" t="s">
        <v>588</v>
      </c>
      <c r="G99" s="102" t="s">
        <v>589</v>
      </c>
      <c r="H99" s="102" t="s">
        <v>590</v>
      </c>
      <c r="I99" s="102" t="s">
        <v>90</v>
      </c>
      <c r="J99" s="102" t="s">
        <v>645</v>
      </c>
      <c r="K99" s="102" t="s">
        <v>591</v>
      </c>
      <c r="L99" s="104">
        <v>40988</v>
      </c>
      <c r="M99" s="102" t="s">
        <v>646</v>
      </c>
      <c r="N99" s="102" t="s">
        <v>647</v>
      </c>
      <c r="O99" s="102" t="s">
        <v>383</v>
      </c>
      <c r="P99" s="103">
        <v>1</v>
      </c>
      <c r="Q99" s="105">
        <v>820000</v>
      </c>
      <c r="R99" s="103">
        <v>48</v>
      </c>
      <c r="S99" s="105">
        <v>0</v>
      </c>
      <c r="T99" s="105">
        <v>820000</v>
      </c>
      <c r="U99" s="105">
        <v>0</v>
      </c>
      <c r="V99" s="105">
        <v>0</v>
      </c>
      <c r="W99" s="105">
        <v>0</v>
      </c>
      <c r="X99" s="105">
        <v>0</v>
      </c>
      <c r="Y99" s="105">
        <v>0</v>
      </c>
      <c r="Z99" s="105">
        <v>0</v>
      </c>
      <c r="AA99" s="105">
        <v>0</v>
      </c>
      <c r="AB99" s="105">
        <v>0</v>
      </c>
      <c r="AC99" s="8">
        <f t="shared" si="7"/>
        <v>820000</v>
      </c>
      <c r="AD99" s="8">
        <f t="shared" si="8"/>
        <v>0</v>
      </c>
      <c r="AE99" s="8">
        <f t="shared" si="9"/>
        <v>0</v>
      </c>
      <c r="AF99" s="106">
        <f t="shared" si="10"/>
        <v>0</v>
      </c>
      <c r="AG99" s="8">
        <f t="shared" si="11"/>
        <v>0</v>
      </c>
      <c r="AH99" s="8">
        <f>IF($O99="Aktif",MAX(0,MIN($AE99,$AD99-SUM($AG99:AG99))),0)</f>
        <v>0</v>
      </c>
      <c r="AI99" s="8">
        <f>IF($O99="Aktif",MAX(0,MIN($AE99,$AD99-SUM($AG99:AH99))),0)</f>
        <v>0</v>
      </c>
      <c r="AJ99" s="8">
        <f>IF($O99="Aktif",MAX(0,MIN($AE99,$AD99-SUM($AG99:AI99))),0)</f>
        <v>0</v>
      </c>
      <c r="AK99" s="8">
        <f>IF($O99="Aktif",MAX(0,MIN($AE99,$AD99-SUM($AG99:AJ99))),0)</f>
        <v>0</v>
      </c>
      <c r="AL99" s="8">
        <f>IF($O99="Aktif",MAX(0,MIN($AE99,$AD99-SUM($AG99:AK99))),0)</f>
        <v>0</v>
      </c>
      <c r="AM99" s="8">
        <f>IF($O99="Aktif",MAX(0,MIN($AE99,$AD99-SUM($AG99:AL99))),0)</f>
        <v>0</v>
      </c>
      <c r="AN99" s="8">
        <f>IF($O99="Aktif",MAX(0,MIN($AE99,$AD99-SUM($AG99:AM99))),0)</f>
        <v>0</v>
      </c>
      <c r="AO99" s="8">
        <f>IF($O99="Aktif",MAX(0,MIN($AE99,$AD99-SUM($AG99:AN99))),0)</f>
        <v>0</v>
      </c>
      <c r="AP99" s="8">
        <f>IF($O99="Aktif",MAX(0,MIN($AE99,$AD99-SUM($AG99:AO99))),0)</f>
        <v>0</v>
      </c>
      <c r="AQ99" s="8">
        <f>IF($O99="Aktif",MAX(0,MIN($AE99,$AD99-SUM($AG99:AP99))),0)</f>
        <v>0</v>
      </c>
      <c r="AR99" s="8">
        <f>IF($O99="Aktif",MAX(0,MIN($AE99,$AD99-SUM($AG99:AQ99))),0)</f>
        <v>0</v>
      </c>
      <c r="AS99" s="8">
        <f>IF($O99="Aktif",MAX(0,MIN($AE99,$AD99-SUM($AG99:AR99))),0)</f>
        <v>0</v>
      </c>
      <c r="AT99" s="8">
        <f>IF($O99="Aktif",MAX(0,MIN($AE99,$AD99-SUM($AG99:AS99))),0)</f>
        <v>0</v>
      </c>
      <c r="AU99" s="8">
        <f>IF($O99="Aktif",MAX(0,MIN($AE99,$AD99-SUM($AG99:AT99))),0)</f>
        <v>0</v>
      </c>
      <c r="AV99" s="8">
        <f>IF($O99="Aktif",MAX(0,MIN($AE99,$AD99-SUM($AG99:AU99))),0)</f>
        <v>0</v>
      </c>
      <c r="AW99" s="8">
        <f t="shared" si="12"/>
        <v>0</v>
      </c>
      <c r="AX99" s="8">
        <f t="shared" si="13"/>
        <v>0</v>
      </c>
    </row>
    <row r="100" spans="1:50" ht="15" customHeight="1" x14ac:dyDescent="0.35">
      <c r="A100" s="102">
        <v>94</v>
      </c>
      <c r="B100" s="102" t="s">
        <v>586</v>
      </c>
      <c r="C100" s="103">
        <v>32</v>
      </c>
      <c r="D100" s="102" t="s">
        <v>184</v>
      </c>
      <c r="E100" s="102" t="s">
        <v>587</v>
      </c>
      <c r="F100" s="102" t="s">
        <v>588</v>
      </c>
      <c r="G100" s="102" t="s">
        <v>589</v>
      </c>
      <c r="H100" s="102" t="s">
        <v>590</v>
      </c>
      <c r="I100" s="102" t="s">
        <v>90</v>
      </c>
      <c r="J100" s="102" t="s">
        <v>648</v>
      </c>
      <c r="K100" s="102" t="s">
        <v>591</v>
      </c>
      <c r="L100" s="104">
        <v>41026</v>
      </c>
      <c r="M100" s="102" t="s">
        <v>649</v>
      </c>
      <c r="N100" s="102" t="s">
        <v>650</v>
      </c>
      <c r="O100" s="102" t="s">
        <v>383</v>
      </c>
      <c r="P100" s="103">
        <v>1</v>
      </c>
      <c r="Q100" s="105">
        <v>4600000</v>
      </c>
      <c r="R100" s="103">
        <v>48</v>
      </c>
      <c r="S100" s="105">
        <v>0</v>
      </c>
      <c r="T100" s="105">
        <v>4600000</v>
      </c>
      <c r="U100" s="105">
        <v>0</v>
      </c>
      <c r="V100" s="105">
        <v>0</v>
      </c>
      <c r="W100" s="105">
        <v>0</v>
      </c>
      <c r="X100" s="105">
        <v>0</v>
      </c>
      <c r="Y100" s="105">
        <v>0</v>
      </c>
      <c r="Z100" s="105">
        <v>0</v>
      </c>
      <c r="AA100" s="105">
        <v>0</v>
      </c>
      <c r="AB100" s="105">
        <v>0</v>
      </c>
      <c r="AC100" s="8">
        <f t="shared" si="7"/>
        <v>4600000</v>
      </c>
      <c r="AD100" s="8">
        <f t="shared" si="8"/>
        <v>0</v>
      </c>
      <c r="AE100" s="8">
        <f t="shared" si="9"/>
        <v>0</v>
      </c>
      <c r="AF100" s="106">
        <f t="shared" si="10"/>
        <v>0</v>
      </c>
      <c r="AG100" s="8">
        <f t="shared" si="11"/>
        <v>0</v>
      </c>
      <c r="AH100" s="8">
        <f>IF($O100="Aktif",MAX(0,MIN($AE100,$AD100-SUM($AG100:AG100))),0)</f>
        <v>0</v>
      </c>
      <c r="AI100" s="8">
        <f>IF($O100="Aktif",MAX(0,MIN($AE100,$AD100-SUM($AG100:AH100))),0)</f>
        <v>0</v>
      </c>
      <c r="AJ100" s="8">
        <f>IF($O100="Aktif",MAX(0,MIN($AE100,$AD100-SUM($AG100:AI100))),0)</f>
        <v>0</v>
      </c>
      <c r="AK100" s="8">
        <f>IF($O100="Aktif",MAX(0,MIN($AE100,$AD100-SUM($AG100:AJ100))),0)</f>
        <v>0</v>
      </c>
      <c r="AL100" s="8">
        <f>IF($O100="Aktif",MAX(0,MIN($AE100,$AD100-SUM($AG100:AK100))),0)</f>
        <v>0</v>
      </c>
      <c r="AM100" s="8">
        <f>IF($O100="Aktif",MAX(0,MIN($AE100,$AD100-SUM($AG100:AL100))),0)</f>
        <v>0</v>
      </c>
      <c r="AN100" s="8">
        <f>IF($O100="Aktif",MAX(0,MIN($AE100,$AD100-SUM($AG100:AM100))),0)</f>
        <v>0</v>
      </c>
      <c r="AO100" s="8">
        <f>IF($O100="Aktif",MAX(0,MIN($AE100,$AD100-SUM($AG100:AN100))),0)</f>
        <v>0</v>
      </c>
      <c r="AP100" s="8">
        <f>IF($O100="Aktif",MAX(0,MIN($AE100,$AD100-SUM($AG100:AO100))),0)</f>
        <v>0</v>
      </c>
      <c r="AQ100" s="8">
        <f>IF($O100="Aktif",MAX(0,MIN($AE100,$AD100-SUM($AG100:AP100))),0)</f>
        <v>0</v>
      </c>
      <c r="AR100" s="8">
        <f>IF($O100="Aktif",MAX(0,MIN($AE100,$AD100-SUM($AG100:AQ100))),0)</f>
        <v>0</v>
      </c>
      <c r="AS100" s="8">
        <f>IF($O100="Aktif",MAX(0,MIN($AE100,$AD100-SUM($AG100:AR100))),0)</f>
        <v>0</v>
      </c>
      <c r="AT100" s="8">
        <f>IF($O100="Aktif",MAX(0,MIN($AE100,$AD100-SUM($AG100:AS100))),0)</f>
        <v>0</v>
      </c>
      <c r="AU100" s="8">
        <f>IF($O100="Aktif",MAX(0,MIN($AE100,$AD100-SUM($AG100:AT100))),0)</f>
        <v>0</v>
      </c>
      <c r="AV100" s="8">
        <f>IF($O100="Aktif",MAX(0,MIN($AE100,$AD100-SUM($AG100:AU100))),0)</f>
        <v>0</v>
      </c>
      <c r="AW100" s="8">
        <f t="shared" si="12"/>
        <v>0</v>
      </c>
      <c r="AX100" s="8">
        <f t="shared" si="13"/>
        <v>0</v>
      </c>
    </row>
    <row r="101" spans="1:50" ht="15" customHeight="1" x14ac:dyDescent="0.35">
      <c r="A101" s="102">
        <v>95</v>
      </c>
      <c r="B101" s="102" t="s">
        <v>586</v>
      </c>
      <c r="C101" s="103">
        <v>33</v>
      </c>
      <c r="D101" s="102" t="s">
        <v>184</v>
      </c>
      <c r="E101" s="102" t="s">
        <v>587</v>
      </c>
      <c r="F101" s="102" t="s">
        <v>588</v>
      </c>
      <c r="G101" s="102" t="s">
        <v>589</v>
      </c>
      <c r="H101" s="102" t="s">
        <v>590</v>
      </c>
      <c r="I101" s="102" t="s">
        <v>90</v>
      </c>
      <c r="J101" s="102" t="s">
        <v>651</v>
      </c>
      <c r="K101" s="102" t="s">
        <v>591</v>
      </c>
      <c r="L101" s="104">
        <v>41040</v>
      </c>
      <c r="M101" s="102" t="s">
        <v>652</v>
      </c>
      <c r="N101" s="102" t="s">
        <v>653</v>
      </c>
      <c r="O101" s="102" t="s">
        <v>383</v>
      </c>
      <c r="P101" s="103">
        <v>1</v>
      </c>
      <c r="Q101" s="105">
        <v>925000</v>
      </c>
      <c r="R101" s="103">
        <v>48</v>
      </c>
      <c r="S101" s="105">
        <v>0</v>
      </c>
      <c r="T101" s="105">
        <v>925000</v>
      </c>
      <c r="U101" s="105">
        <v>0</v>
      </c>
      <c r="V101" s="105">
        <v>0</v>
      </c>
      <c r="W101" s="105">
        <v>0</v>
      </c>
      <c r="X101" s="105">
        <v>0</v>
      </c>
      <c r="Y101" s="105">
        <v>0</v>
      </c>
      <c r="Z101" s="105">
        <v>0</v>
      </c>
      <c r="AA101" s="105">
        <v>0</v>
      </c>
      <c r="AB101" s="105">
        <v>0</v>
      </c>
      <c r="AC101" s="8">
        <f t="shared" si="7"/>
        <v>925000</v>
      </c>
      <c r="AD101" s="8">
        <f t="shared" si="8"/>
        <v>0</v>
      </c>
      <c r="AE101" s="8">
        <f t="shared" si="9"/>
        <v>0</v>
      </c>
      <c r="AF101" s="106">
        <f t="shared" si="10"/>
        <v>0</v>
      </c>
      <c r="AG101" s="8">
        <f t="shared" si="11"/>
        <v>0</v>
      </c>
      <c r="AH101" s="8">
        <f>IF($O101="Aktif",MAX(0,MIN($AE101,$AD101-SUM($AG101:AG101))),0)</f>
        <v>0</v>
      </c>
      <c r="AI101" s="8">
        <f>IF($O101="Aktif",MAX(0,MIN($AE101,$AD101-SUM($AG101:AH101))),0)</f>
        <v>0</v>
      </c>
      <c r="AJ101" s="8">
        <f>IF($O101="Aktif",MAX(0,MIN($AE101,$AD101-SUM($AG101:AI101))),0)</f>
        <v>0</v>
      </c>
      <c r="AK101" s="8">
        <f>IF($O101="Aktif",MAX(0,MIN($AE101,$AD101-SUM($AG101:AJ101))),0)</f>
        <v>0</v>
      </c>
      <c r="AL101" s="8">
        <f>IF($O101="Aktif",MAX(0,MIN($AE101,$AD101-SUM($AG101:AK101))),0)</f>
        <v>0</v>
      </c>
      <c r="AM101" s="8">
        <f>IF($O101="Aktif",MAX(0,MIN($AE101,$AD101-SUM($AG101:AL101))),0)</f>
        <v>0</v>
      </c>
      <c r="AN101" s="8">
        <f>IF($O101="Aktif",MAX(0,MIN($AE101,$AD101-SUM($AG101:AM101))),0)</f>
        <v>0</v>
      </c>
      <c r="AO101" s="8">
        <f>IF($O101="Aktif",MAX(0,MIN($AE101,$AD101-SUM($AG101:AN101))),0)</f>
        <v>0</v>
      </c>
      <c r="AP101" s="8">
        <f>IF($O101="Aktif",MAX(0,MIN($AE101,$AD101-SUM($AG101:AO101))),0)</f>
        <v>0</v>
      </c>
      <c r="AQ101" s="8">
        <f>IF($O101="Aktif",MAX(0,MIN($AE101,$AD101-SUM($AG101:AP101))),0)</f>
        <v>0</v>
      </c>
      <c r="AR101" s="8">
        <f>IF($O101="Aktif",MAX(0,MIN($AE101,$AD101-SUM($AG101:AQ101))),0)</f>
        <v>0</v>
      </c>
      <c r="AS101" s="8">
        <f>IF($O101="Aktif",MAX(0,MIN($AE101,$AD101-SUM($AG101:AR101))),0)</f>
        <v>0</v>
      </c>
      <c r="AT101" s="8">
        <f>IF($O101="Aktif",MAX(0,MIN($AE101,$AD101-SUM($AG101:AS101))),0)</f>
        <v>0</v>
      </c>
      <c r="AU101" s="8">
        <f>IF($O101="Aktif",MAX(0,MIN($AE101,$AD101-SUM($AG101:AT101))),0)</f>
        <v>0</v>
      </c>
      <c r="AV101" s="8">
        <f>IF($O101="Aktif",MAX(0,MIN($AE101,$AD101-SUM($AG101:AU101))),0)</f>
        <v>0</v>
      </c>
      <c r="AW101" s="8">
        <f t="shared" si="12"/>
        <v>0</v>
      </c>
      <c r="AX101" s="8">
        <f t="shared" si="13"/>
        <v>0</v>
      </c>
    </row>
    <row r="102" spans="1:50" ht="15" customHeight="1" x14ac:dyDescent="0.35">
      <c r="A102" s="102">
        <v>96</v>
      </c>
      <c r="B102" s="102" t="s">
        <v>586</v>
      </c>
      <c r="C102" s="103">
        <v>34</v>
      </c>
      <c r="D102" s="102" t="s">
        <v>184</v>
      </c>
      <c r="E102" s="102" t="s">
        <v>587</v>
      </c>
      <c r="F102" s="102" t="s">
        <v>588</v>
      </c>
      <c r="G102" s="102" t="s">
        <v>589</v>
      </c>
      <c r="H102" s="102" t="s">
        <v>590</v>
      </c>
      <c r="I102" s="102" t="s">
        <v>90</v>
      </c>
      <c r="J102" s="102" t="s">
        <v>654</v>
      </c>
      <c r="K102" s="102" t="s">
        <v>591</v>
      </c>
      <c r="L102" s="104">
        <v>41075</v>
      </c>
      <c r="M102" s="102" t="s">
        <v>655</v>
      </c>
      <c r="N102" s="102" t="s">
        <v>656</v>
      </c>
      <c r="O102" s="102" t="s">
        <v>383</v>
      </c>
      <c r="P102" s="103">
        <v>1</v>
      </c>
      <c r="Q102" s="105">
        <v>990000</v>
      </c>
      <c r="R102" s="103">
        <v>48</v>
      </c>
      <c r="S102" s="105">
        <v>0</v>
      </c>
      <c r="T102" s="105">
        <v>990000</v>
      </c>
      <c r="U102" s="105">
        <v>0</v>
      </c>
      <c r="V102" s="105">
        <v>0</v>
      </c>
      <c r="W102" s="105">
        <v>0</v>
      </c>
      <c r="X102" s="105">
        <v>0</v>
      </c>
      <c r="Y102" s="105">
        <v>0</v>
      </c>
      <c r="Z102" s="105">
        <v>0</v>
      </c>
      <c r="AA102" s="105">
        <v>0</v>
      </c>
      <c r="AB102" s="105">
        <v>0</v>
      </c>
      <c r="AC102" s="8">
        <f t="shared" si="7"/>
        <v>990000</v>
      </c>
      <c r="AD102" s="8">
        <f t="shared" si="8"/>
        <v>0</v>
      </c>
      <c r="AE102" s="8">
        <f t="shared" si="9"/>
        <v>0</v>
      </c>
      <c r="AF102" s="106">
        <f t="shared" si="10"/>
        <v>0</v>
      </c>
      <c r="AG102" s="8">
        <f t="shared" si="11"/>
        <v>0</v>
      </c>
      <c r="AH102" s="8">
        <f>IF($O102="Aktif",MAX(0,MIN($AE102,$AD102-SUM($AG102:AG102))),0)</f>
        <v>0</v>
      </c>
      <c r="AI102" s="8">
        <f>IF($O102="Aktif",MAX(0,MIN($AE102,$AD102-SUM($AG102:AH102))),0)</f>
        <v>0</v>
      </c>
      <c r="AJ102" s="8">
        <f>IF($O102="Aktif",MAX(0,MIN($AE102,$AD102-SUM($AG102:AI102))),0)</f>
        <v>0</v>
      </c>
      <c r="AK102" s="8">
        <f>IF($O102="Aktif",MAX(0,MIN($AE102,$AD102-SUM($AG102:AJ102))),0)</f>
        <v>0</v>
      </c>
      <c r="AL102" s="8">
        <f>IF($O102="Aktif",MAX(0,MIN($AE102,$AD102-SUM($AG102:AK102))),0)</f>
        <v>0</v>
      </c>
      <c r="AM102" s="8">
        <f>IF($O102="Aktif",MAX(0,MIN($AE102,$AD102-SUM($AG102:AL102))),0)</f>
        <v>0</v>
      </c>
      <c r="AN102" s="8">
        <f>IF($O102="Aktif",MAX(0,MIN($AE102,$AD102-SUM($AG102:AM102))),0)</f>
        <v>0</v>
      </c>
      <c r="AO102" s="8">
        <f>IF($O102="Aktif",MAX(0,MIN($AE102,$AD102-SUM($AG102:AN102))),0)</f>
        <v>0</v>
      </c>
      <c r="AP102" s="8">
        <f>IF($O102="Aktif",MAX(0,MIN($AE102,$AD102-SUM($AG102:AO102))),0)</f>
        <v>0</v>
      </c>
      <c r="AQ102" s="8">
        <f>IF($O102="Aktif",MAX(0,MIN($AE102,$AD102-SUM($AG102:AP102))),0)</f>
        <v>0</v>
      </c>
      <c r="AR102" s="8">
        <f>IF($O102="Aktif",MAX(0,MIN($AE102,$AD102-SUM($AG102:AQ102))),0)</f>
        <v>0</v>
      </c>
      <c r="AS102" s="8">
        <f>IF($O102="Aktif",MAX(0,MIN($AE102,$AD102-SUM($AG102:AR102))),0)</f>
        <v>0</v>
      </c>
      <c r="AT102" s="8">
        <f>IF($O102="Aktif",MAX(0,MIN($AE102,$AD102-SUM($AG102:AS102))),0)</f>
        <v>0</v>
      </c>
      <c r="AU102" s="8">
        <f>IF($O102="Aktif",MAX(0,MIN($AE102,$AD102-SUM($AG102:AT102))),0)</f>
        <v>0</v>
      </c>
      <c r="AV102" s="8">
        <f>IF($O102="Aktif",MAX(0,MIN($AE102,$AD102-SUM($AG102:AU102))),0)</f>
        <v>0</v>
      </c>
      <c r="AW102" s="8">
        <f t="shared" si="12"/>
        <v>0</v>
      </c>
      <c r="AX102" s="8">
        <f t="shared" si="13"/>
        <v>0</v>
      </c>
    </row>
    <row r="103" spans="1:50" ht="15" customHeight="1" x14ac:dyDescent="0.35">
      <c r="A103" s="102">
        <v>97</v>
      </c>
      <c r="B103" s="102" t="s">
        <v>586</v>
      </c>
      <c r="C103" s="103">
        <v>35</v>
      </c>
      <c r="D103" s="102" t="s">
        <v>184</v>
      </c>
      <c r="E103" s="102" t="s">
        <v>587</v>
      </c>
      <c r="F103" s="102" t="s">
        <v>588</v>
      </c>
      <c r="G103" s="102" t="s">
        <v>589</v>
      </c>
      <c r="H103" s="102" t="s">
        <v>590</v>
      </c>
      <c r="I103" s="102" t="s">
        <v>90</v>
      </c>
      <c r="J103" s="102" t="s">
        <v>657</v>
      </c>
      <c r="K103" s="102" t="s">
        <v>591</v>
      </c>
      <c r="L103" s="104">
        <v>41122</v>
      </c>
      <c r="M103" s="102" t="s">
        <v>658</v>
      </c>
      <c r="N103" s="102" t="s">
        <v>659</v>
      </c>
      <c r="O103" s="102" t="s">
        <v>383</v>
      </c>
      <c r="P103" s="103">
        <v>1</v>
      </c>
      <c r="Q103" s="105">
        <v>16580600</v>
      </c>
      <c r="R103" s="103">
        <v>48</v>
      </c>
      <c r="S103" s="105">
        <v>0</v>
      </c>
      <c r="T103" s="105">
        <v>16580600</v>
      </c>
      <c r="U103" s="105">
        <v>0</v>
      </c>
      <c r="V103" s="105">
        <v>0</v>
      </c>
      <c r="W103" s="105">
        <v>0</v>
      </c>
      <c r="X103" s="105">
        <v>0</v>
      </c>
      <c r="Y103" s="105">
        <v>0</v>
      </c>
      <c r="Z103" s="105">
        <v>0</v>
      </c>
      <c r="AA103" s="105">
        <v>0</v>
      </c>
      <c r="AB103" s="105">
        <v>0</v>
      </c>
      <c r="AC103" s="8">
        <f t="shared" si="7"/>
        <v>16580600</v>
      </c>
      <c r="AD103" s="8">
        <f t="shared" si="8"/>
        <v>0</v>
      </c>
      <c r="AE103" s="8">
        <f t="shared" si="9"/>
        <v>0</v>
      </c>
      <c r="AF103" s="106">
        <f t="shared" si="10"/>
        <v>0</v>
      </c>
      <c r="AG103" s="8">
        <f t="shared" si="11"/>
        <v>0</v>
      </c>
      <c r="AH103" s="8">
        <f>IF($O103="Aktif",MAX(0,MIN($AE103,$AD103-SUM($AG103:AG103))),0)</f>
        <v>0</v>
      </c>
      <c r="AI103" s="8">
        <f>IF($O103="Aktif",MAX(0,MIN($AE103,$AD103-SUM($AG103:AH103))),0)</f>
        <v>0</v>
      </c>
      <c r="AJ103" s="8">
        <f>IF($O103="Aktif",MAX(0,MIN($AE103,$AD103-SUM($AG103:AI103))),0)</f>
        <v>0</v>
      </c>
      <c r="AK103" s="8">
        <f>IF($O103="Aktif",MAX(0,MIN($AE103,$AD103-SUM($AG103:AJ103))),0)</f>
        <v>0</v>
      </c>
      <c r="AL103" s="8">
        <f>IF($O103="Aktif",MAX(0,MIN($AE103,$AD103-SUM($AG103:AK103))),0)</f>
        <v>0</v>
      </c>
      <c r="AM103" s="8">
        <f>IF($O103="Aktif",MAX(0,MIN($AE103,$AD103-SUM($AG103:AL103))),0)</f>
        <v>0</v>
      </c>
      <c r="AN103" s="8">
        <f>IF($O103="Aktif",MAX(0,MIN($AE103,$AD103-SUM($AG103:AM103))),0)</f>
        <v>0</v>
      </c>
      <c r="AO103" s="8">
        <f>IF($O103="Aktif",MAX(0,MIN($AE103,$AD103-SUM($AG103:AN103))),0)</f>
        <v>0</v>
      </c>
      <c r="AP103" s="8">
        <f>IF($O103="Aktif",MAX(0,MIN($AE103,$AD103-SUM($AG103:AO103))),0)</f>
        <v>0</v>
      </c>
      <c r="AQ103" s="8">
        <f>IF($O103="Aktif",MAX(0,MIN($AE103,$AD103-SUM($AG103:AP103))),0)</f>
        <v>0</v>
      </c>
      <c r="AR103" s="8">
        <f>IF($O103="Aktif",MAX(0,MIN($AE103,$AD103-SUM($AG103:AQ103))),0)</f>
        <v>0</v>
      </c>
      <c r="AS103" s="8">
        <f>IF($O103="Aktif",MAX(0,MIN($AE103,$AD103-SUM($AG103:AR103))),0)</f>
        <v>0</v>
      </c>
      <c r="AT103" s="8">
        <f>IF($O103="Aktif",MAX(0,MIN($AE103,$AD103-SUM($AG103:AS103))),0)</f>
        <v>0</v>
      </c>
      <c r="AU103" s="8">
        <f>IF($O103="Aktif",MAX(0,MIN($AE103,$AD103-SUM($AG103:AT103))),0)</f>
        <v>0</v>
      </c>
      <c r="AV103" s="8">
        <f>IF($O103="Aktif",MAX(0,MIN($AE103,$AD103-SUM($AG103:AU103))),0)</f>
        <v>0</v>
      </c>
      <c r="AW103" s="8">
        <f t="shared" si="12"/>
        <v>0</v>
      </c>
      <c r="AX103" s="8">
        <f t="shared" si="13"/>
        <v>0</v>
      </c>
    </row>
    <row r="104" spans="1:50" ht="15" customHeight="1" x14ac:dyDescent="0.35">
      <c r="A104" s="102">
        <v>98</v>
      </c>
      <c r="B104" s="102" t="s">
        <v>586</v>
      </c>
      <c r="C104" s="103">
        <v>36</v>
      </c>
      <c r="D104" s="102" t="s">
        <v>184</v>
      </c>
      <c r="E104" s="102" t="s">
        <v>587</v>
      </c>
      <c r="F104" s="102" t="s">
        <v>588</v>
      </c>
      <c r="G104" s="102" t="s">
        <v>589</v>
      </c>
      <c r="H104" s="102" t="s">
        <v>590</v>
      </c>
      <c r="I104" s="102" t="s">
        <v>90</v>
      </c>
      <c r="J104" s="102" t="s">
        <v>660</v>
      </c>
      <c r="K104" s="102" t="s">
        <v>591</v>
      </c>
      <c r="L104" s="104">
        <v>41122</v>
      </c>
      <c r="M104" s="102" t="s">
        <v>661</v>
      </c>
      <c r="N104" s="102" t="s">
        <v>662</v>
      </c>
      <c r="O104" s="102" t="s">
        <v>383</v>
      </c>
      <c r="P104" s="103">
        <v>1</v>
      </c>
      <c r="Q104" s="105">
        <v>3437000</v>
      </c>
      <c r="R104" s="103">
        <v>48</v>
      </c>
      <c r="S104" s="105">
        <v>0</v>
      </c>
      <c r="T104" s="105">
        <v>3437000</v>
      </c>
      <c r="U104" s="105">
        <v>0</v>
      </c>
      <c r="V104" s="105">
        <v>0</v>
      </c>
      <c r="W104" s="105">
        <v>0</v>
      </c>
      <c r="X104" s="105">
        <v>0</v>
      </c>
      <c r="Y104" s="105">
        <v>0</v>
      </c>
      <c r="Z104" s="105">
        <v>0</v>
      </c>
      <c r="AA104" s="105">
        <v>0</v>
      </c>
      <c r="AB104" s="105">
        <v>0</v>
      </c>
      <c r="AC104" s="8">
        <f t="shared" si="7"/>
        <v>3437000</v>
      </c>
      <c r="AD104" s="8">
        <f t="shared" si="8"/>
        <v>0</v>
      </c>
      <c r="AE104" s="8">
        <f t="shared" si="9"/>
        <v>0</v>
      </c>
      <c r="AF104" s="106">
        <f t="shared" si="10"/>
        <v>0</v>
      </c>
      <c r="AG104" s="8">
        <f t="shared" si="11"/>
        <v>0</v>
      </c>
      <c r="AH104" s="8">
        <f>IF($O104="Aktif",MAX(0,MIN($AE104,$AD104-SUM($AG104:AG104))),0)</f>
        <v>0</v>
      </c>
      <c r="AI104" s="8">
        <f>IF($O104="Aktif",MAX(0,MIN($AE104,$AD104-SUM($AG104:AH104))),0)</f>
        <v>0</v>
      </c>
      <c r="AJ104" s="8">
        <f>IF($O104="Aktif",MAX(0,MIN($AE104,$AD104-SUM($AG104:AI104))),0)</f>
        <v>0</v>
      </c>
      <c r="AK104" s="8">
        <f>IF($O104="Aktif",MAX(0,MIN($AE104,$AD104-SUM($AG104:AJ104))),0)</f>
        <v>0</v>
      </c>
      <c r="AL104" s="8">
        <f>IF($O104="Aktif",MAX(0,MIN($AE104,$AD104-SUM($AG104:AK104))),0)</f>
        <v>0</v>
      </c>
      <c r="AM104" s="8">
        <f>IF($O104="Aktif",MAX(0,MIN($AE104,$AD104-SUM($AG104:AL104))),0)</f>
        <v>0</v>
      </c>
      <c r="AN104" s="8">
        <f>IF($O104="Aktif",MAX(0,MIN($AE104,$AD104-SUM($AG104:AM104))),0)</f>
        <v>0</v>
      </c>
      <c r="AO104" s="8">
        <f>IF($O104="Aktif",MAX(0,MIN($AE104,$AD104-SUM($AG104:AN104))),0)</f>
        <v>0</v>
      </c>
      <c r="AP104" s="8">
        <f>IF($O104="Aktif",MAX(0,MIN($AE104,$AD104-SUM($AG104:AO104))),0)</f>
        <v>0</v>
      </c>
      <c r="AQ104" s="8">
        <f>IF($O104="Aktif",MAX(0,MIN($AE104,$AD104-SUM($AG104:AP104))),0)</f>
        <v>0</v>
      </c>
      <c r="AR104" s="8">
        <f>IF($O104="Aktif",MAX(0,MIN($AE104,$AD104-SUM($AG104:AQ104))),0)</f>
        <v>0</v>
      </c>
      <c r="AS104" s="8">
        <f>IF($O104="Aktif",MAX(0,MIN($AE104,$AD104-SUM($AG104:AR104))),0)</f>
        <v>0</v>
      </c>
      <c r="AT104" s="8">
        <f>IF($O104="Aktif",MAX(0,MIN($AE104,$AD104-SUM($AG104:AS104))),0)</f>
        <v>0</v>
      </c>
      <c r="AU104" s="8">
        <f>IF($O104="Aktif",MAX(0,MIN($AE104,$AD104-SUM($AG104:AT104))),0)</f>
        <v>0</v>
      </c>
      <c r="AV104" s="8">
        <f>IF($O104="Aktif",MAX(0,MIN($AE104,$AD104-SUM($AG104:AU104))),0)</f>
        <v>0</v>
      </c>
      <c r="AW104" s="8">
        <f t="shared" si="12"/>
        <v>0</v>
      </c>
      <c r="AX104" s="8">
        <f t="shared" si="13"/>
        <v>0</v>
      </c>
    </row>
    <row r="105" spans="1:50" ht="15" customHeight="1" x14ac:dyDescent="0.35">
      <c r="A105" s="102">
        <v>99</v>
      </c>
      <c r="B105" s="102" t="s">
        <v>586</v>
      </c>
      <c r="C105" s="103">
        <v>37</v>
      </c>
      <c r="D105" s="102" t="s">
        <v>184</v>
      </c>
      <c r="E105" s="102" t="s">
        <v>587</v>
      </c>
      <c r="F105" s="102" t="s">
        <v>588</v>
      </c>
      <c r="G105" s="102" t="s">
        <v>589</v>
      </c>
      <c r="H105" s="102" t="s">
        <v>590</v>
      </c>
      <c r="I105" s="102" t="s">
        <v>90</v>
      </c>
      <c r="J105" s="102" t="s">
        <v>663</v>
      </c>
      <c r="K105" s="102" t="s">
        <v>591</v>
      </c>
      <c r="L105" s="104">
        <v>41243</v>
      </c>
      <c r="M105" s="102" t="s">
        <v>664</v>
      </c>
      <c r="N105" s="102" t="s">
        <v>665</v>
      </c>
      <c r="O105" s="102" t="s">
        <v>383</v>
      </c>
      <c r="P105" s="103">
        <v>1</v>
      </c>
      <c r="Q105" s="105">
        <v>1450000</v>
      </c>
      <c r="R105" s="103">
        <v>48</v>
      </c>
      <c r="S105" s="105">
        <v>0</v>
      </c>
      <c r="T105" s="105">
        <v>1450000</v>
      </c>
      <c r="U105" s="105">
        <v>0</v>
      </c>
      <c r="V105" s="105">
        <v>0</v>
      </c>
      <c r="W105" s="105">
        <v>0</v>
      </c>
      <c r="X105" s="105">
        <v>0</v>
      </c>
      <c r="Y105" s="105">
        <v>0</v>
      </c>
      <c r="Z105" s="105">
        <v>0</v>
      </c>
      <c r="AA105" s="105">
        <v>0</v>
      </c>
      <c r="AB105" s="105">
        <v>0</v>
      </c>
      <c r="AC105" s="8">
        <f t="shared" si="7"/>
        <v>1450000</v>
      </c>
      <c r="AD105" s="8">
        <f t="shared" si="8"/>
        <v>0</v>
      </c>
      <c r="AE105" s="8">
        <f t="shared" si="9"/>
        <v>0</v>
      </c>
      <c r="AF105" s="106">
        <f t="shared" si="10"/>
        <v>0</v>
      </c>
      <c r="AG105" s="8">
        <f t="shared" si="11"/>
        <v>0</v>
      </c>
      <c r="AH105" s="8">
        <f>IF($O105="Aktif",MAX(0,MIN($AE105,$AD105-SUM($AG105:AG105))),0)</f>
        <v>0</v>
      </c>
      <c r="AI105" s="8">
        <f>IF($O105="Aktif",MAX(0,MIN($AE105,$AD105-SUM($AG105:AH105))),0)</f>
        <v>0</v>
      </c>
      <c r="AJ105" s="8">
        <f>IF($O105="Aktif",MAX(0,MIN($AE105,$AD105-SUM($AG105:AI105))),0)</f>
        <v>0</v>
      </c>
      <c r="AK105" s="8">
        <f>IF($O105="Aktif",MAX(0,MIN($AE105,$AD105-SUM($AG105:AJ105))),0)</f>
        <v>0</v>
      </c>
      <c r="AL105" s="8">
        <f>IF($O105="Aktif",MAX(0,MIN($AE105,$AD105-SUM($AG105:AK105))),0)</f>
        <v>0</v>
      </c>
      <c r="AM105" s="8">
        <f>IF($O105="Aktif",MAX(0,MIN($AE105,$AD105-SUM($AG105:AL105))),0)</f>
        <v>0</v>
      </c>
      <c r="AN105" s="8">
        <f>IF($O105="Aktif",MAX(0,MIN($AE105,$AD105-SUM($AG105:AM105))),0)</f>
        <v>0</v>
      </c>
      <c r="AO105" s="8">
        <f>IF($O105="Aktif",MAX(0,MIN($AE105,$AD105-SUM($AG105:AN105))),0)</f>
        <v>0</v>
      </c>
      <c r="AP105" s="8">
        <f>IF($O105="Aktif",MAX(0,MIN($AE105,$AD105-SUM($AG105:AO105))),0)</f>
        <v>0</v>
      </c>
      <c r="AQ105" s="8">
        <f>IF($O105="Aktif",MAX(0,MIN($AE105,$AD105-SUM($AG105:AP105))),0)</f>
        <v>0</v>
      </c>
      <c r="AR105" s="8">
        <f>IF($O105="Aktif",MAX(0,MIN($AE105,$AD105-SUM($AG105:AQ105))),0)</f>
        <v>0</v>
      </c>
      <c r="AS105" s="8">
        <f>IF($O105="Aktif",MAX(0,MIN($AE105,$AD105-SUM($AG105:AR105))),0)</f>
        <v>0</v>
      </c>
      <c r="AT105" s="8">
        <f>IF($O105="Aktif",MAX(0,MIN($AE105,$AD105-SUM($AG105:AS105))),0)</f>
        <v>0</v>
      </c>
      <c r="AU105" s="8">
        <f>IF($O105="Aktif",MAX(0,MIN($AE105,$AD105-SUM($AG105:AT105))),0)</f>
        <v>0</v>
      </c>
      <c r="AV105" s="8">
        <f>IF($O105="Aktif",MAX(0,MIN($AE105,$AD105-SUM($AG105:AU105))),0)</f>
        <v>0</v>
      </c>
      <c r="AW105" s="8">
        <f t="shared" si="12"/>
        <v>0</v>
      </c>
      <c r="AX105" s="8">
        <f t="shared" si="13"/>
        <v>0</v>
      </c>
    </row>
    <row r="106" spans="1:50" ht="15" customHeight="1" x14ac:dyDescent="0.35">
      <c r="A106" s="102">
        <v>100</v>
      </c>
      <c r="B106" s="102" t="s">
        <v>586</v>
      </c>
      <c r="C106" s="103">
        <v>38</v>
      </c>
      <c r="D106" s="102" t="s">
        <v>184</v>
      </c>
      <c r="E106" s="102" t="s">
        <v>587</v>
      </c>
      <c r="F106" s="102" t="s">
        <v>588</v>
      </c>
      <c r="G106" s="102" t="s">
        <v>589</v>
      </c>
      <c r="H106" s="102" t="s">
        <v>590</v>
      </c>
      <c r="I106" s="102" t="s">
        <v>90</v>
      </c>
      <c r="J106" s="102" t="s">
        <v>666</v>
      </c>
      <c r="K106" s="102" t="s">
        <v>591</v>
      </c>
      <c r="L106" s="104">
        <v>41251</v>
      </c>
      <c r="M106" s="102" t="s">
        <v>667</v>
      </c>
      <c r="N106" s="102" t="s">
        <v>668</v>
      </c>
      <c r="O106" s="102" t="s">
        <v>383</v>
      </c>
      <c r="P106" s="103">
        <v>1</v>
      </c>
      <c r="Q106" s="105">
        <v>1580000</v>
      </c>
      <c r="R106" s="103">
        <v>48</v>
      </c>
      <c r="S106" s="105">
        <v>0</v>
      </c>
      <c r="T106" s="105">
        <v>1580000</v>
      </c>
      <c r="U106" s="105">
        <v>0</v>
      </c>
      <c r="V106" s="105">
        <v>0</v>
      </c>
      <c r="W106" s="105">
        <v>0</v>
      </c>
      <c r="X106" s="105">
        <v>0</v>
      </c>
      <c r="Y106" s="105">
        <v>0</v>
      </c>
      <c r="Z106" s="105">
        <v>0</v>
      </c>
      <c r="AA106" s="105">
        <v>0</v>
      </c>
      <c r="AB106" s="105">
        <v>0</v>
      </c>
      <c r="AC106" s="8">
        <f t="shared" si="7"/>
        <v>1580000</v>
      </c>
      <c r="AD106" s="8">
        <f t="shared" si="8"/>
        <v>0</v>
      </c>
      <c r="AE106" s="8">
        <f t="shared" si="9"/>
        <v>0</v>
      </c>
      <c r="AF106" s="106">
        <f t="shared" si="10"/>
        <v>0</v>
      </c>
      <c r="AG106" s="8">
        <f t="shared" si="11"/>
        <v>0</v>
      </c>
      <c r="AH106" s="8">
        <f>IF($O106="Aktif",MAX(0,MIN($AE106,$AD106-SUM($AG106:AG106))),0)</f>
        <v>0</v>
      </c>
      <c r="AI106" s="8">
        <f>IF($O106="Aktif",MAX(0,MIN($AE106,$AD106-SUM($AG106:AH106))),0)</f>
        <v>0</v>
      </c>
      <c r="AJ106" s="8">
        <f>IF($O106="Aktif",MAX(0,MIN($AE106,$AD106-SUM($AG106:AI106))),0)</f>
        <v>0</v>
      </c>
      <c r="AK106" s="8">
        <f>IF($O106="Aktif",MAX(0,MIN($AE106,$AD106-SUM($AG106:AJ106))),0)</f>
        <v>0</v>
      </c>
      <c r="AL106" s="8">
        <f>IF($O106="Aktif",MAX(0,MIN($AE106,$AD106-SUM($AG106:AK106))),0)</f>
        <v>0</v>
      </c>
      <c r="AM106" s="8">
        <f>IF($O106="Aktif",MAX(0,MIN($AE106,$AD106-SUM($AG106:AL106))),0)</f>
        <v>0</v>
      </c>
      <c r="AN106" s="8">
        <f>IF($O106="Aktif",MAX(0,MIN($AE106,$AD106-SUM($AG106:AM106))),0)</f>
        <v>0</v>
      </c>
      <c r="AO106" s="8">
        <f>IF($O106="Aktif",MAX(0,MIN($AE106,$AD106-SUM($AG106:AN106))),0)</f>
        <v>0</v>
      </c>
      <c r="AP106" s="8">
        <f>IF($O106="Aktif",MAX(0,MIN($AE106,$AD106-SUM($AG106:AO106))),0)</f>
        <v>0</v>
      </c>
      <c r="AQ106" s="8">
        <f>IF($O106="Aktif",MAX(0,MIN($AE106,$AD106-SUM($AG106:AP106))),0)</f>
        <v>0</v>
      </c>
      <c r="AR106" s="8">
        <f>IF($O106="Aktif",MAX(0,MIN($AE106,$AD106-SUM($AG106:AQ106))),0)</f>
        <v>0</v>
      </c>
      <c r="AS106" s="8">
        <f>IF($O106="Aktif",MAX(0,MIN($AE106,$AD106-SUM($AG106:AR106))),0)</f>
        <v>0</v>
      </c>
      <c r="AT106" s="8">
        <f>IF($O106="Aktif",MAX(0,MIN($AE106,$AD106-SUM($AG106:AS106))),0)</f>
        <v>0</v>
      </c>
      <c r="AU106" s="8">
        <f>IF($O106="Aktif",MAX(0,MIN($AE106,$AD106-SUM($AG106:AT106))),0)</f>
        <v>0</v>
      </c>
      <c r="AV106" s="8">
        <f>IF($O106="Aktif",MAX(0,MIN($AE106,$AD106-SUM($AG106:AU106))),0)</f>
        <v>0</v>
      </c>
      <c r="AW106" s="8">
        <f t="shared" si="12"/>
        <v>0</v>
      </c>
      <c r="AX106" s="8">
        <f t="shared" si="13"/>
        <v>0</v>
      </c>
    </row>
    <row r="107" spans="1:50" ht="15" customHeight="1" x14ac:dyDescent="0.35">
      <c r="A107" s="102">
        <v>101</v>
      </c>
      <c r="B107" s="102" t="s">
        <v>586</v>
      </c>
      <c r="C107" s="103">
        <v>39</v>
      </c>
      <c r="D107" s="102" t="s">
        <v>184</v>
      </c>
      <c r="E107" s="102" t="s">
        <v>587</v>
      </c>
      <c r="F107" s="102" t="s">
        <v>588</v>
      </c>
      <c r="G107" s="102" t="s">
        <v>589</v>
      </c>
      <c r="H107" s="102" t="s">
        <v>590</v>
      </c>
      <c r="I107" s="102" t="s">
        <v>90</v>
      </c>
      <c r="J107" s="102" t="s">
        <v>669</v>
      </c>
      <c r="K107" s="102" t="s">
        <v>591</v>
      </c>
      <c r="L107" s="104">
        <v>41510</v>
      </c>
      <c r="M107" s="102" t="s">
        <v>670</v>
      </c>
      <c r="N107" s="102" t="s">
        <v>671</v>
      </c>
      <c r="O107" s="102" t="s">
        <v>383</v>
      </c>
      <c r="P107" s="103">
        <v>1</v>
      </c>
      <c r="Q107" s="105">
        <v>1100000</v>
      </c>
      <c r="R107" s="103">
        <v>48</v>
      </c>
      <c r="S107" s="105">
        <v>0</v>
      </c>
      <c r="T107" s="105">
        <v>1100000</v>
      </c>
      <c r="U107" s="105">
        <v>0</v>
      </c>
      <c r="V107" s="105">
        <v>0</v>
      </c>
      <c r="W107" s="105">
        <v>0</v>
      </c>
      <c r="X107" s="105">
        <v>0</v>
      </c>
      <c r="Y107" s="105">
        <v>0</v>
      </c>
      <c r="Z107" s="105">
        <v>0</v>
      </c>
      <c r="AA107" s="105">
        <v>0</v>
      </c>
      <c r="AB107" s="105">
        <v>0</v>
      </c>
      <c r="AC107" s="8">
        <f t="shared" si="7"/>
        <v>1100000</v>
      </c>
      <c r="AD107" s="8">
        <f t="shared" si="8"/>
        <v>0</v>
      </c>
      <c r="AE107" s="8">
        <f t="shared" si="9"/>
        <v>0</v>
      </c>
      <c r="AF107" s="106">
        <f t="shared" si="10"/>
        <v>0</v>
      </c>
      <c r="AG107" s="8">
        <f t="shared" si="11"/>
        <v>0</v>
      </c>
      <c r="AH107" s="8">
        <f>IF($O107="Aktif",MAX(0,MIN($AE107,$AD107-SUM($AG107:AG107))),0)</f>
        <v>0</v>
      </c>
      <c r="AI107" s="8">
        <f>IF($O107="Aktif",MAX(0,MIN($AE107,$AD107-SUM($AG107:AH107))),0)</f>
        <v>0</v>
      </c>
      <c r="AJ107" s="8">
        <f>IF($O107="Aktif",MAX(0,MIN($AE107,$AD107-SUM($AG107:AI107))),0)</f>
        <v>0</v>
      </c>
      <c r="AK107" s="8">
        <f>IF($O107="Aktif",MAX(0,MIN($AE107,$AD107-SUM($AG107:AJ107))),0)</f>
        <v>0</v>
      </c>
      <c r="AL107" s="8">
        <f>IF($O107="Aktif",MAX(0,MIN($AE107,$AD107-SUM($AG107:AK107))),0)</f>
        <v>0</v>
      </c>
      <c r="AM107" s="8">
        <f>IF($O107="Aktif",MAX(0,MIN($AE107,$AD107-SUM($AG107:AL107))),0)</f>
        <v>0</v>
      </c>
      <c r="AN107" s="8">
        <f>IF($O107="Aktif",MAX(0,MIN($AE107,$AD107-SUM($AG107:AM107))),0)</f>
        <v>0</v>
      </c>
      <c r="AO107" s="8">
        <f>IF($O107="Aktif",MAX(0,MIN($AE107,$AD107-SUM($AG107:AN107))),0)</f>
        <v>0</v>
      </c>
      <c r="AP107" s="8">
        <f>IF($O107="Aktif",MAX(0,MIN($AE107,$AD107-SUM($AG107:AO107))),0)</f>
        <v>0</v>
      </c>
      <c r="AQ107" s="8">
        <f>IF($O107="Aktif",MAX(0,MIN($AE107,$AD107-SUM($AG107:AP107))),0)</f>
        <v>0</v>
      </c>
      <c r="AR107" s="8">
        <f>IF($O107="Aktif",MAX(0,MIN($AE107,$AD107-SUM($AG107:AQ107))),0)</f>
        <v>0</v>
      </c>
      <c r="AS107" s="8">
        <f>IF($O107="Aktif",MAX(0,MIN($AE107,$AD107-SUM($AG107:AR107))),0)</f>
        <v>0</v>
      </c>
      <c r="AT107" s="8">
        <f>IF($O107="Aktif",MAX(0,MIN($AE107,$AD107-SUM($AG107:AS107))),0)</f>
        <v>0</v>
      </c>
      <c r="AU107" s="8">
        <f>IF($O107="Aktif",MAX(0,MIN($AE107,$AD107-SUM($AG107:AT107))),0)</f>
        <v>0</v>
      </c>
      <c r="AV107" s="8">
        <f>IF($O107="Aktif",MAX(0,MIN($AE107,$AD107-SUM($AG107:AU107))),0)</f>
        <v>0</v>
      </c>
      <c r="AW107" s="8">
        <f t="shared" si="12"/>
        <v>0</v>
      </c>
      <c r="AX107" s="8">
        <f t="shared" si="13"/>
        <v>0</v>
      </c>
    </row>
    <row r="108" spans="1:50" ht="15" customHeight="1" x14ac:dyDescent="0.35">
      <c r="A108" s="102">
        <v>102</v>
      </c>
      <c r="B108" s="102" t="s">
        <v>586</v>
      </c>
      <c r="C108" s="103">
        <v>40</v>
      </c>
      <c r="D108" s="102" t="s">
        <v>184</v>
      </c>
      <c r="E108" s="102" t="s">
        <v>587</v>
      </c>
      <c r="F108" s="102" t="s">
        <v>588</v>
      </c>
      <c r="G108" s="102" t="s">
        <v>589</v>
      </c>
      <c r="H108" s="102" t="s">
        <v>590</v>
      </c>
      <c r="I108" s="102" t="s">
        <v>90</v>
      </c>
      <c r="J108" s="102" t="s">
        <v>672</v>
      </c>
      <c r="K108" s="102" t="s">
        <v>591</v>
      </c>
      <c r="L108" s="104">
        <v>41590</v>
      </c>
      <c r="M108" s="102" t="s">
        <v>673</v>
      </c>
      <c r="N108" s="102" t="s">
        <v>674</v>
      </c>
      <c r="O108" s="102" t="s">
        <v>383</v>
      </c>
      <c r="P108" s="103">
        <v>1</v>
      </c>
      <c r="Q108" s="105">
        <v>9805000</v>
      </c>
      <c r="R108" s="103">
        <v>48</v>
      </c>
      <c r="S108" s="105">
        <v>0</v>
      </c>
      <c r="T108" s="105">
        <v>9805000</v>
      </c>
      <c r="U108" s="105">
        <v>0</v>
      </c>
      <c r="V108" s="105">
        <v>0</v>
      </c>
      <c r="W108" s="105">
        <v>0</v>
      </c>
      <c r="X108" s="105">
        <v>0</v>
      </c>
      <c r="Y108" s="105">
        <v>0</v>
      </c>
      <c r="Z108" s="105">
        <v>0</v>
      </c>
      <c r="AA108" s="105">
        <v>0</v>
      </c>
      <c r="AB108" s="105">
        <v>0</v>
      </c>
      <c r="AC108" s="8">
        <f t="shared" si="7"/>
        <v>9805000</v>
      </c>
      <c r="AD108" s="8">
        <f t="shared" si="8"/>
        <v>0</v>
      </c>
      <c r="AE108" s="8">
        <f t="shared" si="9"/>
        <v>0</v>
      </c>
      <c r="AF108" s="106">
        <f t="shared" si="10"/>
        <v>0</v>
      </c>
      <c r="AG108" s="8">
        <f t="shared" si="11"/>
        <v>0</v>
      </c>
      <c r="AH108" s="8">
        <f>IF($O108="Aktif",MAX(0,MIN($AE108,$AD108-SUM($AG108:AG108))),0)</f>
        <v>0</v>
      </c>
      <c r="AI108" s="8">
        <f>IF($O108="Aktif",MAX(0,MIN($AE108,$AD108-SUM($AG108:AH108))),0)</f>
        <v>0</v>
      </c>
      <c r="AJ108" s="8">
        <f>IF($O108="Aktif",MAX(0,MIN($AE108,$AD108-SUM($AG108:AI108))),0)</f>
        <v>0</v>
      </c>
      <c r="AK108" s="8">
        <f>IF($O108="Aktif",MAX(0,MIN($AE108,$AD108-SUM($AG108:AJ108))),0)</f>
        <v>0</v>
      </c>
      <c r="AL108" s="8">
        <f>IF($O108="Aktif",MAX(0,MIN($AE108,$AD108-SUM($AG108:AK108))),0)</f>
        <v>0</v>
      </c>
      <c r="AM108" s="8">
        <f>IF($O108="Aktif",MAX(0,MIN($AE108,$AD108-SUM($AG108:AL108))),0)</f>
        <v>0</v>
      </c>
      <c r="AN108" s="8">
        <f>IF($O108="Aktif",MAX(0,MIN($AE108,$AD108-SUM($AG108:AM108))),0)</f>
        <v>0</v>
      </c>
      <c r="AO108" s="8">
        <f>IF($O108="Aktif",MAX(0,MIN($AE108,$AD108-SUM($AG108:AN108))),0)</f>
        <v>0</v>
      </c>
      <c r="AP108" s="8">
        <f>IF($O108="Aktif",MAX(0,MIN($AE108,$AD108-SUM($AG108:AO108))),0)</f>
        <v>0</v>
      </c>
      <c r="AQ108" s="8">
        <f>IF($O108="Aktif",MAX(0,MIN($AE108,$AD108-SUM($AG108:AP108))),0)</f>
        <v>0</v>
      </c>
      <c r="AR108" s="8">
        <f>IF($O108="Aktif",MAX(0,MIN($AE108,$AD108-SUM($AG108:AQ108))),0)</f>
        <v>0</v>
      </c>
      <c r="AS108" s="8">
        <f>IF($O108="Aktif",MAX(0,MIN($AE108,$AD108-SUM($AG108:AR108))),0)</f>
        <v>0</v>
      </c>
      <c r="AT108" s="8">
        <f>IF($O108="Aktif",MAX(0,MIN($AE108,$AD108-SUM($AG108:AS108))),0)</f>
        <v>0</v>
      </c>
      <c r="AU108" s="8">
        <f>IF($O108="Aktif",MAX(0,MIN($AE108,$AD108-SUM($AG108:AT108))),0)</f>
        <v>0</v>
      </c>
      <c r="AV108" s="8">
        <f>IF($O108="Aktif",MAX(0,MIN($AE108,$AD108-SUM($AG108:AU108))),0)</f>
        <v>0</v>
      </c>
      <c r="AW108" s="8">
        <f t="shared" si="12"/>
        <v>0</v>
      </c>
      <c r="AX108" s="8">
        <f t="shared" si="13"/>
        <v>0</v>
      </c>
    </row>
    <row r="109" spans="1:50" ht="15" customHeight="1" x14ac:dyDescent="0.35">
      <c r="A109" s="102">
        <v>103</v>
      </c>
      <c r="B109" s="102" t="s">
        <v>586</v>
      </c>
      <c r="C109" s="103">
        <v>41</v>
      </c>
      <c r="D109" s="102" t="s">
        <v>184</v>
      </c>
      <c r="E109" s="102" t="s">
        <v>587</v>
      </c>
      <c r="F109" s="102" t="s">
        <v>588</v>
      </c>
      <c r="G109" s="102" t="s">
        <v>589</v>
      </c>
      <c r="H109" s="102" t="s">
        <v>590</v>
      </c>
      <c r="I109" s="102" t="s">
        <v>90</v>
      </c>
      <c r="J109" s="102" t="s">
        <v>675</v>
      </c>
      <c r="K109" s="102" t="s">
        <v>591</v>
      </c>
      <c r="L109" s="104">
        <v>41590</v>
      </c>
      <c r="M109" s="102" t="s">
        <v>676</v>
      </c>
      <c r="N109" s="102" t="s">
        <v>677</v>
      </c>
      <c r="O109" s="102" t="s">
        <v>383</v>
      </c>
      <c r="P109" s="103">
        <v>1</v>
      </c>
      <c r="Q109" s="105">
        <v>6799000</v>
      </c>
      <c r="R109" s="103">
        <v>48</v>
      </c>
      <c r="S109" s="105">
        <v>0</v>
      </c>
      <c r="T109" s="105">
        <v>6799000</v>
      </c>
      <c r="U109" s="105">
        <v>0</v>
      </c>
      <c r="V109" s="105">
        <v>0</v>
      </c>
      <c r="W109" s="105">
        <v>0</v>
      </c>
      <c r="X109" s="105">
        <v>0</v>
      </c>
      <c r="Y109" s="105">
        <v>0</v>
      </c>
      <c r="Z109" s="105">
        <v>0</v>
      </c>
      <c r="AA109" s="105">
        <v>0</v>
      </c>
      <c r="AB109" s="105">
        <v>0</v>
      </c>
      <c r="AC109" s="8">
        <f t="shared" si="7"/>
        <v>6799000</v>
      </c>
      <c r="AD109" s="8">
        <f t="shared" si="8"/>
        <v>0</v>
      </c>
      <c r="AE109" s="8">
        <f t="shared" si="9"/>
        <v>0</v>
      </c>
      <c r="AF109" s="106">
        <f t="shared" si="10"/>
        <v>0</v>
      </c>
      <c r="AG109" s="8">
        <f t="shared" si="11"/>
        <v>0</v>
      </c>
      <c r="AH109" s="8">
        <f>IF($O109="Aktif",MAX(0,MIN($AE109,$AD109-SUM($AG109:AG109))),0)</f>
        <v>0</v>
      </c>
      <c r="AI109" s="8">
        <f>IF($O109="Aktif",MAX(0,MIN($AE109,$AD109-SUM($AG109:AH109))),0)</f>
        <v>0</v>
      </c>
      <c r="AJ109" s="8">
        <f>IF($O109="Aktif",MAX(0,MIN($AE109,$AD109-SUM($AG109:AI109))),0)</f>
        <v>0</v>
      </c>
      <c r="AK109" s="8">
        <f>IF($O109="Aktif",MAX(0,MIN($AE109,$AD109-SUM($AG109:AJ109))),0)</f>
        <v>0</v>
      </c>
      <c r="AL109" s="8">
        <f>IF($O109="Aktif",MAX(0,MIN($AE109,$AD109-SUM($AG109:AK109))),0)</f>
        <v>0</v>
      </c>
      <c r="AM109" s="8">
        <f>IF($O109="Aktif",MAX(0,MIN($AE109,$AD109-SUM($AG109:AL109))),0)</f>
        <v>0</v>
      </c>
      <c r="AN109" s="8">
        <f>IF($O109="Aktif",MAX(0,MIN($AE109,$AD109-SUM($AG109:AM109))),0)</f>
        <v>0</v>
      </c>
      <c r="AO109" s="8">
        <f>IF($O109="Aktif",MAX(0,MIN($AE109,$AD109-SUM($AG109:AN109))),0)</f>
        <v>0</v>
      </c>
      <c r="AP109" s="8">
        <f>IF($O109="Aktif",MAX(0,MIN($AE109,$AD109-SUM($AG109:AO109))),0)</f>
        <v>0</v>
      </c>
      <c r="AQ109" s="8">
        <f>IF($O109="Aktif",MAX(0,MIN($AE109,$AD109-SUM($AG109:AP109))),0)</f>
        <v>0</v>
      </c>
      <c r="AR109" s="8">
        <f>IF($O109="Aktif",MAX(0,MIN($AE109,$AD109-SUM($AG109:AQ109))),0)</f>
        <v>0</v>
      </c>
      <c r="AS109" s="8">
        <f>IF($O109="Aktif",MAX(0,MIN($AE109,$AD109-SUM($AG109:AR109))),0)</f>
        <v>0</v>
      </c>
      <c r="AT109" s="8">
        <f>IF($O109="Aktif",MAX(0,MIN($AE109,$AD109-SUM($AG109:AS109))),0)</f>
        <v>0</v>
      </c>
      <c r="AU109" s="8">
        <f>IF($O109="Aktif",MAX(0,MIN($AE109,$AD109-SUM($AG109:AT109))),0)</f>
        <v>0</v>
      </c>
      <c r="AV109" s="8">
        <f>IF($O109="Aktif",MAX(0,MIN($AE109,$AD109-SUM($AG109:AU109))),0)</f>
        <v>0</v>
      </c>
      <c r="AW109" s="8">
        <f t="shared" si="12"/>
        <v>0</v>
      </c>
      <c r="AX109" s="8">
        <f t="shared" si="13"/>
        <v>0</v>
      </c>
    </row>
    <row r="110" spans="1:50" ht="15" customHeight="1" x14ac:dyDescent="0.35">
      <c r="A110" s="102">
        <v>104</v>
      </c>
      <c r="B110" s="102" t="s">
        <v>586</v>
      </c>
      <c r="C110" s="103">
        <v>42</v>
      </c>
      <c r="D110" s="102" t="s">
        <v>184</v>
      </c>
      <c r="E110" s="102" t="s">
        <v>587</v>
      </c>
      <c r="F110" s="102" t="s">
        <v>588</v>
      </c>
      <c r="G110" s="102" t="s">
        <v>589</v>
      </c>
      <c r="H110" s="102" t="s">
        <v>590</v>
      </c>
      <c r="I110" s="102" t="s">
        <v>90</v>
      </c>
      <c r="J110" s="102" t="s">
        <v>678</v>
      </c>
      <c r="K110" s="102" t="s">
        <v>591</v>
      </c>
      <c r="L110" s="104">
        <v>41597</v>
      </c>
      <c r="M110" s="102" t="s">
        <v>679</v>
      </c>
      <c r="N110" s="102" t="s">
        <v>680</v>
      </c>
      <c r="O110" s="102" t="s">
        <v>383</v>
      </c>
      <c r="P110" s="103">
        <v>1</v>
      </c>
      <c r="Q110" s="105">
        <v>3830000</v>
      </c>
      <c r="R110" s="103">
        <v>48</v>
      </c>
      <c r="S110" s="105">
        <v>0</v>
      </c>
      <c r="T110" s="105">
        <v>3830000</v>
      </c>
      <c r="U110" s="105">
        <v>0</v>
      </c>
      <c r="V110" s="105">
        <v>0</v>
      </c>
      <c r="W110" s="105">
        <v>0</v>
      </c>
      <c r="X110" s="105">
        <v>0</v>
      </c>
      <c r="Y110" s="105">
        <v>0</v>
      </c>
      <c r="Z110" s="105">
        <v>0</v>
      </c>
      <c r="AA110" s="105">
        <v>0</v>
      </c>
      <c r="AB110" s="105">
        <v>0</v>
      </c>
      <c r="AC110" s="8">
        <f t="shared" si="7"/>
        <v>3830000</v>
      </c>
      <c r="AD110" s="8">
        <f t="shared" si="8"/>
        <v>0</v>
      </c>
      <c r="AE110" s="8">
        <f t="shared" si="9"/>
        <v>0</v>
      </c>
      <c r="AF110" s="106">
        <f t="shared" si="10"/>
        <v>0</v>
      </c>
      <c r="AG110" s="8">
        <f t="shared" si="11"/>
        <v>0</v>
      </c>
      <c r="AH110" s="8">
        <f>IF($O110="Aktif",MAX(0,MIN($AE110,$AD110-SUM($AG110:AG110))),0)</f>
        <v>0</v>
      </c>
      <c r="AI110" s="8">
        <f>IF($O110="Aktif",MAX(0,MIN($AE110,$AD110-SUM($AG110:AH110))),0)</f>
        <v>0</v>
      </c>
      <c r="AJ110" s="8">
        <f>IF($O110="Aktif",MAX(0,MIN($AE110,$AD110-SUM($AG110:AI110))),0)</f>
        <v>0</v>
      </c>
      <c r="AK110" s="8">
        <f>IF($O110="Aktif",MAX(0,MIN($AE110,$AD110-SUM($AG110:AJ110))),0)</f>
        <v>0</v>
      </c>
      <c r="AL110" s="8">
        <f>IF($O110="Aktif",MAX(0,MIN($AE110,$AD110-SUM($AG110:AK110))),0)</f>
        <v>0</v>
      </c>
      <c r="AM110" s="8">
        <f>IF($O110="Aktif",MAX(0,MIN($AE110,$AD110-SUM($AG110:AL110))),0)</f>
        <v>0</v>
      </c>
      <c r="AN110" s="8">
        <f>IF($O110="Aktif",MAX(0,MIN($AE110,$AD110-SUM($AG110:AM110))),0)</f>
        <v>0</v>
      </c>
      <c r="AO110" s="8">
        <f>IF($O110="Aktif",MAX(0,MIN($AE110,$AD110-SUM($AG110:AN110))),0)</f>
        <v>0</v>
      </c>
      <c r="AP110" s="8">
        <f>IF($O110="Aktif",MAX(0,MIN($AE110,$AD110-SUM($AG110:AO110))),0)</f>
        <v>0</v>
      </c>
      <c r="AQ110" s="8">
        <f>IF($O110="Aktif",MAX(0,MIN($AE110,$AD110-SUM($AG110:AP110))),0)</f>
        <v>0</v>
      </c>
      <c r="AR110" s="8">
        <f>IF($O110="Aktif",MAX(0,MIN($AE110,$AD110-SUM($AG110:AQ110))),0)</f>
        <v>0</v>
      </c>
      <c r="AS110" s="8">
        <f>IF($O110="Aktif",MAX(0,MIN($AE110,$AD110-SUM($AG110:AR110))),0)</f>
        <v>0</v>
      </c>
      <c r="AT110" s="8">
        <f>IF($O110="Aktif",MAX(0,MIN($AE110,$AD110-SUM($AG110:AS110))),0)</f>
        <v>0</v>
      </c>
      <c r="AU110" s="8">
        <f>IF($O110="Aktif",MAX(0,MIN($AE110,$AD110-SUM($AG110:AT110))),0)</f>
        <v>0</v>
      </c>
      <c r="AV110" s="8">
        <f>IF($O110="Aktif",MAX(0,MIN($AE110,$AD110-SUM($AG110:AU110))),0)</f>
        <v>0</v>
      </c>
      <c r="AW110" s="8">
        <f t="shared" si="12"/>
        <v>0</v>
      </c>
      <c r="AX110" s="8">
        <f t="shared" si="13"/>
        <v>0</v>
      </c>
    </row>
    <row r="111" spans="1:50" ht="15" customHeight="1" x14ac:dyDescent="0.35">
      <c r="A111" s="102">
        <v>105</v>
      </c>
      <c r="B111" s="102" t="s">
        <v>586</v>
      </c>
      <c r="C111" s="103">
        <v>43</v>
      </c>
      <c r="D111" s="102" t="s">
        <v>184</v>
      </c>
      <c r="E111" s="102" t="s">
        <v>587</v>
      </c>
      <c r="F111" s="102" t="s">
        <v>588</v>
      </c>
      <c r="G111" s="102" t="s">
        <v>589</v>
      </c>
      <c r="H111" s="102" t="s">
        <v>590</v>
      </c>
      <c r="I111" s="102" t="s">
        <v>90</v>
      </c>
      <c r="J111" s="102" t="s">
        <v>681</v>
      </c>
      <c r="K111" s="102" t="s">
        <v>591</v>
      </c>
      <c r="L111" s="104">
        <v>41657</v>
      </c>
      <c r="M111" s="102" t="s">
        <v>682</v>
      </c>
      <c r="N111" s="102" t="s">
        <v>683</v>
      </c>
      <c r="O111" s="102" t="s">
        <v>383</v>
      </c>
      <c r="P111" s="103">
        <v>1</v>
      </c>
      <c r="Q111" s="105">
        <v>875000</v>
      </c>
      <c r="R111" s="103">
        <v>48</v>
      </c>
      <c r="S111" s="105">
        <v>0</v>
      </c>
      <c r="T111" s="105">
        <v>875000</v>
      </c>
      <c r="U111" s="105">
        <v>0</v>
      </c>
      <c r="V111" s="105">
        <v>0</v>
      </c>
      <c r="W111" s="105">
        <v>0</v>
      </c>
      <c r="X111" s="105">
        <v>0</v>
      </c>
      <c r="Y111" s="105">
        <v>0</v>
      </c>
      <c r="Z111" s="105">
        <v>0</v>
      </c>
      <c r="AA111" s="105">
        <v>0</v>
      </c>
      <c r="AB111" s="105">
        <v>0</v>
      </c>
      <c r="AC111" s="8">
        <f t="shared" si="7"/>
        <v>875000</v>
      </c>
      <c r="AD111" s="8">
        <f t="shared" si="8"/>
        <v>0</v>
      </c>
      <c r="AE111" s="8">
        <f t="shared" si="9"/>
        <v>0</v>
      </c>
      <c r="AF111" s="106">
        <f t="shared" si="10"/>
        <v>0</v>
      </c>
      <c r="AG111" s="8">
        <f t="shared" si="11"/>
        <v>0</v>
      </c>
      <c r="AH111" s="8">
        <f>IF($O111="Aktif",MAX(0,MIN($AE111,$AD111-SUM($AG111:AG111))),0)</f>
        <v>0</v>
      </c>
      <c r="AI111" s="8">
        <f>IF($O111="Aktif",MAX(0,MIN($AE111,$AD111-SUM($AG111:AH111))),0)</f>
        <v>0</v>
      </c>
      <c r="AJ111" s="8">
        <f>IF($O111="Aktif",MAX(0,MIN($AE111,$AD111-SUM($AG111:AI111))),0)</f>
        <v>0</v>
      </c>
      <c r="AK111" s="8">
        <f>IF($O111="Aktif",MAX(0,MIN($AE111,$AD111-SUM($AG111:AJ111))),0)</f>
        <v>0</v>
      </c>
      <c r="AL111" s="8">
        <f>IF($O111="Aktif",MAX(0,MIN($AE111,$AD111-SUM($AG111:AK111))),0)</f>
        <v>0</v>
      </c>
      <c r="AM111" s="8">
        <f>IF($O111="Aktif",MAX(0,MIN($AE111,$AD111-SUM($AG111:AL111))),0)</f>
        <v>0</v>
      </c>
      <c r="AN111" s="8">
        <f>IF($O111="Aktif",MAX(0,MIN($AE111,$AD111-SUM($AG111:AM111))),0)</f>
        <v>0</v>
      </c>
      <c r="AO111" s="8">
        <f>IF($O111="Aktif",MAX(0,MIN($AE111,$AD111-SUM($AG111:AN111))),0)</f>
        <v>0</v>
      </c>
      <c r="AP111" s="8">
        <f>IF($O111="Aktif",MAX(0,MIN($AE111,$AD111-SUM($AG111:AO111))),0)</f>
        <v>0</v>
      </c>
      <c r="AQ111" s="8">
        <f>IF($O111="Aktif",MAX(0,MIN($AE111,$AD111-SUM($AG111:AP111))),0)</f>
        <v>0</v>
      </c>
      <c r="AR111" s="8">
        <f>IF($O111="Aktif",MAX(0,MIN($AE111,$AD111-SUM($AG111:AQ111))),0)</f>
        <v>0</v>
      </c>
      <c r="AS111" s="8">
        <f>IF($O111="Aktif",MAX(0,MIN($AE111,$AD111-SUM($AG111:AR111))),0)</f>
        <v>0</v>
      </c>
      <c r="AT111" s="8">
        <f>IF($O111="Aktif",MAX(0,MIN($AE111,$AD111-SUM($AG111:AS111))),0)</f>
        <v>0</v>
      </c>
      <c r="AU111" s="8">
        <f>IF($O111="Aktif",MAX(0,MIN($AE111,$AD111-SUM($AG111:AT111))),0)</f>
        <v>0</v>
      </c>
      <c r="AV111" s="8">
        <f>IF($O111="Aktif",MAX(0,MIN($AE111,$AD111-SUM($AG111:AU111))),0)</f>
        <v>0</v>
      </c>
      <c r="AW111" s="8">
        <f t="shared" si="12"/>
        <v>0</v>
      </c>
      <c r="AX111" s="8">
        <f t="shared" si="13"/>
        <v>0</v>
      </c>
    </row>
    <row r="112" spans="1:50" ht="15" customHeight="1" x14ac:dyDescent="0.35">
      <c r="A112" s="102">
        <v>106</v>
      </c>
      <c r="B112" s="102" t="s">
        <v>586</v>
      </c>
      <c r="C112" s="103">
        <v>44</v>
      </c>
      <c r="D112" s="102" t="s">
        <v>184</v>
      </c>
      <c r="E112" s="102" t="s">
        <v>587</v>
      </c>
      <c r="F112" s="102" t="s">
        <v>588</v>
      </c>
      <c r="G112" s="102" t="s">
        <v>589</v>
      </c>
      <c r="H112" s="102" t="s">
        <v>590</v>
      </c>
      <c r="I112" s="102" t="s">
        <v>90</v>
      </c>
      <c r="J112" s="102" t="s">
        <v>684</v>
      </c>
      <c r="K112" s="102" t="s">
        <v>591</v>
      </c>
      <c r="L112" s="104">
        <v>41759</v>
      </c>
      <c r="M112" s="102" t="s">
        <v>685</v>
      </c>
      <c r="N112" s="102" t="s">
        <v>686</v>
      </c>
      <c r="O112" s="102" t="s">
        <v>383</v>
      </c>
      <c r="P112" s="103">
        <v>1</v>
      </c>
      <c r="Q112" s="105">
        <v>5060000</v>
      </c>
      <c r="R112" s="103">
        <v>48</v>
      </c>
      <c r="S112" s="105">
        <v>0</v>
      </c>
      <c r="T112" s="105">
        <v>5060000</v>
      </c>
      <c r="U112" s="105">
        <v>0</v>
      </c>
      <c r="V112" s="105">
        <v>0</v>
      </c>
      <c r="W112" s="105">
        <v>0</v>
      </c>
      <c r="X112" s="105">
        <v>0</v>
      </c>
      <c r="Y112" s="105">
        <v>0</v>
      </c>
      <c r="Z112" s="105">
        <v>0</v>
      </c>
      <c r="AA112" s="105">
        <v>0</v>
      </c>
      <c r="AB112" s="105">
        <v>0</v>
      </c>
      <c r="AC112" s="8">
        <f t="shared" si="7"/>
        <v>5060000</v>
      </c>
      <c r="AD112" s="8">
        <f t="shared" si="8"/>
        <v>0</v>
      </c>
      <c r="AE112" s="8">
        <f t="shared" si="9"/>
        <v>0</v>
      </c>
      <c r="AF112" s="106">
        <f t="shared" si="10"/>
        <v>0</v>
      </c>
      <c r="AG112" s="8">
        <f t="shared" si="11"/>
        <v>0</v>
      </c>
      <c r="AH112" s="8">
        <f>IF($O112="Aktif",MAX(0,MIN($AE112,$AD112-SUM($AG112:AG112))),0)</f>
        <v>0</v>
      </c>
      <c r="AI112" s="8">
        <f>IF($O112="Aktif",MAX(0,MIN($AE112,$AD112-SUM($AG112:AH112))),0)</f>
        <v>0</v>
      </c>
      <c r="AJ112" s="8">
        <f>IF($O112="Aktif",MAX(0,MIN($AE112,$AD112-SUM($AG112:AI112))),0)</f>
        <v>0</v>
      </c>
      <c r="AK112" s="8">
        <f>IF($O112="Aktif",MAX(0,MIN($AE112,$AD112-SUM($AG112:AJ112))),0)</f>
        <v>0</v>
      </c>
      <c r="AL112" s="8">
        <f>IF($O112="Aktif",MAX(0,MIN($AE112,$AD112-SUM($AG112:AK112))),0)</f>
        <v>0</v>
      </c>
      <c r="AM112" s="8">
        <f>IF($O112="Aktif",MAX(0,MIN($AE112,$AD112-SUM($AG112:AL112))),0)</f>
        <v>0</v>
      </c>
      <c r="AN112" s="8">
        <f>IF($O112="Aktif",MAX(0,MIN($AE112,$AD112-SUM($AG112:AM112))),0)</f>
        <v>0</v>
      </c>
      <c r="AO112" s="8">
        <f>IF($O112="Aktif",MAX(0,MIN($AE112,$AD112-SUM($AG112:AN112))),0)</f>
        <v>0</v>
      </c>
      <c r="AP112" s="8">
        <f>IF($O112="Aktif",MAX(0,MIN($AE112,$AD112-SUM($AG112:AO112))),0)</f>
        <v>0</v>
      </c>
      <c r="AQ112" s="8">
        <f>IF($O112="Aktif",MAX(0,MIN($AE112,$AD112-SUM($AG112:AP112))),0)</f>
        <v>0</v>
      </c>
      <c r="AR112" s="8">
        <f>IF($O112="Aktif",MAX(0,MIN($AE112,$AD112-SUM($AG112:AQ112))),0)</f>
        <v>0</v>
      </c>
      <c r="AS112" s="8">
        <f>IF($O112="Aktif",MAX(0,MIN($AE112,$AD112-SUM($AG112:AR112))),0)</f>
        <v>0</v>
      </c>
      <c r="AT112" s="8">
        <f>IF($O112="Aktif",MAX(0,MIN($AE112,$AD112-SUM($AG112:AS112))),0)</f>
        <v>0</v>
      </c>
      <c r="AU112" s="8">
        <f>IF($O112="Aktif",MAX(0,MIN($AE112,$AD112-SUM($AG112:AT112))),0)</f>
        <v>0</v>
      </c>
      <c r="AV112" s="8">
        <f>IF($O112="Aktif",MAX(0,MIN($AE112,$AD112-SUM($AG112:AU112))),0)</f>
        <v>0</v>
      </c>
      <c r="AW112" s="8">
        <f t="shared" si="12"/>
        <v>0</v>
      </c>
      <c r="AX112" s="8">
        <f t="shared" si="13"/>
        <v>0</v>
      </c>
    </row>
    <row r="113" spans="1:50" ht="15" customHeight="1" x14ac:dyDescent="0.35">
      <c r="A113" s="102">
        <v>107</v>
      </c>
      <c r="B113" s="102" t="s">
        <v>586</v>
      </c>
      <c r="C113" s="103">
        <v>45</v>
      </c>
      <c r="D113" s="102" t="s">
        <v>184</v>
      </c>
      <c r="E113" s="102" t="s">
        <v>587</v>
      </c>
      <c r="F113" s="102" t="s">
        <v>588</v>
      </c>
      <c r="G113" s="102" t="s">
        <v>589</v>
      </c>
      <c r="H113" s="102" t="s">
        <v>590</v>
      </c>
      <c r="I113" s="102" t="s">
        <v>90</v>
      </c>
      <c r="J113" s="102" t="s">
        <v>687</v>
      </c>
      <c r="K113" s="102" t="s">
        <v>591</v>
      </c>
      <c r="L113" s="104">
        <v>41807</v>
      </c>
      <c r="M113" s="102" t="s">
        <v>688</v>
      </c>
      <c r="N113" s="102" t="s">
        <v>689</v>
      </c>
      <c r="O113" s="102" t="s">
        <v>383</v>
      </c>
      <c r="P113" s="103">
        <v>1</v>
      </c>
      <c r="Q113" s="105">
        <v>27189800</v>
      </c>
      <c r="R113" s="103">
        <v>48</v>
      </c>
      <c r="S113" s="105">
        <v>0</v>
      </c>
      <c r="T113" s="105">
        <v>27189800</v>
      </c>
      <c r="U113" s="105">
        <v>0</v>
      </c>
      <c r="V113" s="105">
        <v>0</v>
      </c>
      <c r="W113" s="105">
        <v>0</v>
      </c>
      <c r="X113" s="105">
        <v>0</v>
      </c>
      <c r="Y113" s="105">
        <v>0</v>
      </c>
      <c r="Z113" s="105">
        <v>0</v>
      </c>
      <c r="AA113" s="105">
        <v>0</v>
      </c>
      <c r="AB113" s="105">
        <v>0</v>
      </c>
      <c r="AC113" s="8">
        <f t="shared" si="7"/>
        <v>27189800</v>
      </c>
      <c r="AD113" s="8">
        <f t="shared" si="8"/>
        <v>0</v>
      </c>
      <c r="AE113" s="8">
        <f t="shared" si="9"/>
        <v>0</v>
      </c>
      <c r="AF113" s="106">
        <f t="shared" si="10"/>
        <v>0</v>
      </c>
      <c r="AG113" s="8">
        <f t="shared" si="11"/>
        <v>0</v>
      </c>
      <c r="AH113" s="8">
        <f>IF($O113="Aktif",MAX(0,MIN($AE113,$AD113-SUM($AG113:AG113))),0)</f>
        <v>0</v>
      </c>
      <c r="AI113" s="8">
        <f>IF($O113="Aktif",MAX(0,MIN($AE113,$AD113-SUM($AG113:AH113))),0)</f>
        <v>0</v>
      </c>
      <c r="AJ113" s="8">
        <f>IF($O113="Aktif",MAX(0,MIN($AE113,$AD113-SUM($AG113:AI113))),0)</f>
        <v>0</v>
      </c>
      <c r="AK113" s="8">
        <f>IF($O113="Aktif",MAX(0,MIN($AE113,$AD113-SUM($AG113:AJ113))),0)</f>
        <v>0</v>
      </c>
      <c r="AL113" s="8">
        <f>IF($O113="Aktif",MAX(0,MIN($AE113,$AD113-SUM($AG113:AK113))),0)</f>
        <v>0</v>
      </c>
      <c r="AM113" s="8">
        <f>IF($O113="Aktif",MAX(0,MIN($AE113,$AD113-SUM($AG113:AL113))),0)</f>
        <v>0</v>
      </c>
      <c r="AN113" s="8">
        <f>IF($O113="Aktif",MAX(0,MIN($AE113,$AD113-SUM($AG113:AM113))),0)</f>
        <v>0</v>
      </c>
      <c r="AO113" s="8">
        <f>IF($O113="Aktif",MAX(0,MIN($AE113,$AD113-SUM($AG113:AN113))),0)</f>
        <v>0</v>
      </c>
      <c r="AP113" s="8">
        <f>IF($O113="Aktif",MAX(0,MIN($AE113,$AD113-SUM($AG113:AO113))),0)</f>
        <v>0</v>
      </c>
      <c r="AQ113" s="8">
        <f>IF($O113="Aktif",MAX(0,MIN($AE113,$AD113-SUM($AG113:AP113))),0)</f>
        <v>0</v>
      </c>
      <c r="AR113" s="8">
        <f>IF($O113="Aktif",MAX(0,MIN($AE113,$AD113-SUM($AG113:AQ113))),0)</f>
        <v>0</v>
      </c>
      <c r="AS113" s="8">
        <f>IF($O113="Aktif",MAX(0,MIN($AE113,$AD113-SUM($AG113:AR113))),0)</f>
        <v>0</v>
      </c>
      <c r="AT113" s="8">
        <f>IF($O113="Aktif",MAX(0,MIN($AE113,$AD113-SUM($AG113:AS113))),0)</f>
        <v>0</v>
      </c>
      <c r="AU113" s="8">
        <f>IF($O113="Aktif",MAX(0,MIN($AE113,$AD113-SUM($AG113:AT113))),0)</f>
        <v>0</v>
      </c>
      <c r="AV113" s="8">
        <f>IF($O113="Aktif",MAX(0,MIN($AE113,$AD113-SUM($AG113:AU113))),0)</f>
        <v>0</v>
      </c>
      <c r="AW113" s="8">
        <f t="shared" si="12"/>
        <v>0</v>
      </c>
      <c r="AX113" s="8">
        <f t="shared" si="13"/>
        <v>0</v>
      </c>
    </row>
    <row r="114" spans="1:50" ht="15" customHeight="1" x14ac:dyDescent="0.35">
      <c r="A114" s="102">
        <v>108</v>
      </c>
      <c r="B114" s="102" t="s">
        <v>586</v>
      </c>
      <c r="C114" s="103">
        <v>46</v>
      </c>
      <c r="D114" s="102" t="s">
        <v>184</v>
      </c>
      <c r="E114" s="102" t="s">
        <v>587</v>
      </c>
      <c r="F114" s="102" t="s">
        <v>588</v>
      </c>
      <c r="G114" s="102" t="s">
        <v>589</v>
      </c>
      <c r="H114" s="102" t="s">
        <v>590</v>
      </c>
      <c r="I114" s="102" t="s">
        <v>90</v>
      </c>
      <c r="J114" s="102" t="s">
        <v>690</v>
      </c>
      <c r="K114" s="102" t="s">
        <v>591</v>
      </c>
      <c r="L114" s="104">
        <v>41817</v>
      </c>
      <c r="M114" s="102" t="s">
        <v>691</v>
      </c>
      <c r="N114" s="102" t="s">
        <v>692</v>
      </c>
      <c r="O114" s="102" t="s">
        <v>383</v>
      </c>
      <c r="P114" s="103">
        <v>1</v>
      </c>
      <c r="Q114" s="105">
        <v>20275000</v>
      </c>
      <c r="R114" s="103">
        <v>48</v>
      </c>
      <c r="S114" s="105">
        <v>0</v>
      </c>
      <c r="T114" s="105">
        <v>20275000</v>
      </c>
      <c r="U114" s="105">
        <v>0</v>
      </c>
      <c r="V114" s="105">
        <v>0</v>
      </c>
      <c r="W114" s="105">
        <v>0</v>
      </c>
      <c r="X114" s="105">
        <v>0</v>
      </c>
      <c r="Y114" s="105">
        <v>0</v>
      </c>
      <c r="Z114" s="105">
        <v>0</v>
      </c>
      <c r="AA114" s="105">
        <v>0</v>
      </c>
      <c r="AB114" s="105">
        <v>0</v>
      </c>
      <c r="AC114" s="8">
        <f t="shared" si="7"/>
        <v>20275000</v>
      </c>
      <c r="AD114" s="8">
        <f t="shared" si="8"/>
        <v>0</v>
      </c>
      <c r="AE114" s="8">
        <f t="shared" si="9"/>
        <v>0</v>
      </c>
      <c r="AF114" s="106">
        <f t="shared" si="10"/>
        <v>0</v>
      </c>
      <c r="AG114" s="8">
        <f t="shared" si="11"/>
        <v>0</v>
      </c>
      <c r="AH114" s="8">
        <f>IF($O114="Aktif",MAX(0,MIN($AE114,$AD114-SUM($AG114:AG114))),0)</f>
        <v>0</v>
      </c>
      <c r="AI114" s="8">
        <f>IF($O114="Aktif",MAX(0,MIN($AE114,$AD114-SUM($AG114:AH114))),0)</f>
        <v>0</v>
      </c>
      <c r="AJ114" s="8">
        <f>IF($O114="Aktif",MAX(0,MIN($AE114,$AD114-SUM($AG114:AI114))),0)</f>
        <v>0</v>
      </c>
      <c r="AK114" s="8">
        <f>IF($O114="Aktif",MAX(0,MIN($AE114,$AD114-SUM($AG114:AJ114))),0)</f>
        <v>0</v>
      </c>
      <c r="AL114" s="8">
        <f>IF($O114="Aktif",MAX(0,MIN($AE114,$AD114-SUM($AG114:AK114))),0)</f>
        <v>0</v>
      </c>
      <c r="AM114" s="8">
        <f>IF($O114="Aktif",MAX(0,MIN($AE114,$AD114-SUM($AG114:AL114))),0)</f>
        <v>0</v>
      </c>
      <c r="AN114" s="8">
        <f>IF($O114="Aktif",MAX(0,MIN($AE114,$AD114-SUM($AG114:AM114))),0)</f>
        <v>0</v>
      </c>
      <c r="AO114" s="8">
        <f>IF($O114="Aktif",MAX(0,MIN($AE114,$AD114-SUM($AG114:AN114))),0)</f>
        <v>0</v>
      </c>
      <c r="AP114" s="8">
        <f>IF($O114="Aktif",MAX(0,MIN($AE114,$AD114-SUM($AG114:AO114))),0)</f>
        <v>0</v>
      </c>
      <c r="AQ114" s="8">
        <f>IF($O114="Aktif",MAX(0,MIN($AE114,$AD114-SUM($AG114:AP114))),0)</f>
        <v>0</v>
      </c>
      <c r="AR114" s="8">
        <f>IF($O114="Aktif",MAX(0,MIN($AE114,$AD114-SUM($AG114:AQ114))),0)</f>
        <v>0</v>
      </c>
      <c r="AS114" s="8">
        <f>IF($O114="Aktif",MAX(0,MIN($AE114,$AD114-SUM($AG114:AR114))),0)</f>
        <v>0</v>
      </c>
      <c r="AT114" s="8">
        <f>IF($O114="Aktif",MAX(0,MIN($AE114,$AD114-SUM($AG114:AS114))),0)</f>
        <v>0</v>
      </c>
      <c r="AU114" s="8">
        <f>IF($O114="Aktif",MAX(0,MIN($AE114,$AD114-SUM($AG114:AT114))),0)</f>
        <v>0</v>
      </c>
      <c r="AV114" s="8">
        <f>IF($O114="Aktif",MAX(0,MIN($AE114,$AD114-SUM($AG114:AU114))),0)</f>
        <v>0</v>
      </c>
      <c r="AW114" s="8">
        <f t="shared" si="12"/>
        <v>0</v>
      </c>
      <c r="AX114" s="8">
        <f t="shared" si="13"/>
        <v>0</v>
      </c>
    </row>
    <row r="115" spans="1:50" ht="15" customHeight="1" x14ac:dyDescent="0.35">
      <c r="A115" s="102">
        <v>109</v>
      </c>
      <c r="B115" s="102" t="s">
        <v>586</v>
      </c>
      <c r="C115" s="103">
        <v>47</v>
      </c>
      <c r="D115" s="102" t="s">
        <v>184</v>
      </c>
      <c r="E115" s="102" t="s">
        <v>587</v>
      </c>
      <c r="F115" s="102" t="s">
        <v>588</v>
      </c>
      <c r="G115" s="102" t="s">
        <v>589</v>
      </c>
      <c r="H115" s="102" t="s">
        <v>590</v>
      </c>
      <c r="I115" s="102" t="s">
        <v>90</v>
      </c>
      <c r="J115" s="102" t="s">
        <v>693</v>
      </c>
      <c r="K115" s="102" t="s">
        <v>591</v>
      </c>
      <c r="L115" s="104">
        <v>41817</v>
      </c>
      <c r="M115" s="102" t="s">
        <v>694</v>
      </c>
      <c r="N115" s="102" t="s">
        <v>695</v>
      </c>
      <c r="O115" s="102" t="s">
        <v>383</v>
      </c>
      <c r="P115" s="103">
        <v>1</v>
      </c>
      <c r="Q115" s="105">
        <v>5047000</v>
      </c>
      <c r="R115" s="103">
        <v>48</v>
      </c>
      <c r="S115" s="105">
        <v>0</v>
      </c>
      <c r="T115" s="105">
        <v>5047000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Z115" s="105">
        <v>0</v>
      </c>
      <c r="AA115" s="105">
        <v>0</v>
      </c>
      <c r="AB115" s="105">
        <v>0</v>
      </c>
      <c r="AC115" s="8">
        <f t="shared" si="7"/>
        <v>5047000</v>
      </c>
      <c r="AD115" s="8">
        <f t="shared" si="8"/>
        <v>0</v>
      </c>
      <c r="AE115" s="8">
        <f t="shared" si="9"/>
        <v>0</v>
      </c>
      <c r="AF115" s="106">
        <f t="shared" si="10"/>
        <v>0</v>
      </c>
      <c r="AG115" s="8">
        <f t="shared" si="11"/>
        <v>0</v>
      </c>
      <c r="AH115" s="8">
        <f>IF($O115="Aktif",MAX(0,MIN($AE115,$AD115-SUM($AG115:AG115))),0)</f>
        <v>0</v>
      </c>
      <c r="AI115" s="8">
        <f>IF($O115="Aktif",MAX(0,MIN($AE115,$AD115-SUM($AG115:AH115))),0)</f>
        <v>0</v>
      </c>
      <c r="AJ115" s="8">
        <f>IF($O115="Aktif",MAX(0,MIN($AE115,$AD115-SUM($AG115:AI115))),0)</f>
        <v>0</v>
      </c>
      <c r="AK115" s="8">
        <f>IF($O115="Aktif",MAX(0,MIN($AE115,$AD115-SUM($AG115:AJ115))),0)</f>
        <v>0</v>
      </c>
      <c r="AL115" s="8">
        <f>IF($O115="Aktif",MAX(0,MIN($AE115,$AD115-SUM($AG115:AK115))),0)</f>
        <v>0</v>
      </c>
      <c r="AM115" s="8">
        <f>IF($O115="Aktif",MAX(0,MIN($AE115,$AD115-SUM($AG115:AL115))),0)</f>
        <v>0</v>
      </c>
      <c r="AN115" s="8">
        <f>IF($O115="Aktif",MAX(0,MIN($AE115,$AD115-SUM($AG115:AM115))),0)</f>
        <v>0</v>
      </c>
      <c r="AO115" s="8">
        <f>IF($O115="Aktif",MAX(0,MIN($AE115,$AD115-SUM($AG115:AN115))),0)</f>
        <v>0</v>
      </c>
      <c r="AP115" s="8">
        <f>IF($O115="Aktif",MAX(0,MIN($AE115,$AD115-SUM($AG115:AO115))),0)</f>
        <v>0</v>
      </c>
      <c r="AQ115" s="8">
        <f>IF($O115="Aktif",MAX(0,MIN($AE115,$AD115-SUM($AG115:AP115))),0)</f>
        <v>0</v>
      </c>
      <c r="AR115" s="8">
        <f>IF($O115="Aktif",MAX(0,MIN($AE115,$AD115-SUM($AG115:AQ115))),0)</f>
        <v>0</v>
      </c>
      <c r="AS115" s="8">
        <f>IF($O115="Aktif",MAX(0,MIN($AE115,$AD115-SUM($AG115:AR115))),0)</f>
        <v>0</v>
      </c>
      <c r="AT115" s="8">
        <f>IF($O115="Aktif",MAX(0,MIN($AE115,$AD115-SUM($AG115:AS115))),0)</f>
        <v>0</v>
      </c>
      <c r="AU115" s="8">
        <f>IF($O115="Aktif",MAX(0,MIN($AE115,$AD115-SUM($AG115:AT115))),0)</f>
        <v>0</v>
      </c>
      <c r="AV115" s="8">
        <f>IF($O115="Aktif",MAX(0,MIN($AE115,$AD115-SUM($AG115:AU115))),0)</f>
        <v>0</v>
      </c>
      <c r="AW115" s="8">
        <f t="shared" si="12"/>
        <v>0</v>
      </c>
      <c r="AX115" s="8">
        <f t="shared" si="13"/>
        <v>0</v>
      </c>
    </row>
    <row r="116" spans="1:50" ht="15" customHeight="1" x14ac:dyDescent="0.35">
      <c r="A116" s="102">
        <v>110</v>
      </c>
      <c r="B116" s="102" t="s">
        <v>586</v>
      </c>
      <c r="C116" s="103">
        <v>48</v>
      </c>
      <c r="D116" s="102" t="s">
        <v>184</v>
      </c>
      <c r="E116" s="102" t="s">
        <v>587</v>
      </c>
      <c r="F116" s="102" t="s">
        <v>588</v>
      </c>
      <c r="G116" s="102" t="s">
        <v>589</v>
      </c>
      <c r="H116" s="102" t="s">
        <v>590</v>
      </c>
      <c r="I116" s="102" t="s">
        <v>90</v>
      </c>
      <c r="J116" s="102" t="s">
        <v>696</v>
      </c>
      <c r="K116" s="102" t="s">
        <v>591</v>
      </c>
      <c r="L116" s="104">
        <v>41835</v>
      </c>
      <c r="M116" s="102" t="s">
        <v>697</v>
      </c>
      <c r="N116" s="102" t="s">
        <v>698</v>
      </c>
      <c r="O116" s="102" t="s">
        <v>383</v>
      </c>
      <c r="P116" s="103">
        <v>1</v>
      </c>
      <c r="Q116" s="105">
        <v>6000000</v>
      </c>
      <c r="R116" s="103">
        <v>48</v>
      </c>
      <c r="S116" s="105">
        <v>0</v>
      </c>
      <c r="T116" s="105">
        <v>6000000</v>
      </c>
      <c r="U116" s="105">
        <v>0</v>
      </c>
      <c r="V116" s="105">
        <v>0</v>
      </c>
      <c r="W116" s="105">
        <v>0</v>
      </c>
      <c r="X116" s="105">
        <v>0</v>
      </c>
      <c r="Y116" s="105">
        <v>0</v>
      </c>
      <c r="Z116" s="105">
        <v>0</v>
      </c>
      <c r="AA116" s="105">
        <v>0</v>
      </c>
      <c r="AB116" s="105">
        <v>0</v>
      </c>
      <c r="AC116" s="8">
        <f t="shared" si="7"/>
        <v>6000000</v>
      </c>
      <c r="AD116" s="8">
        <f t="shared" si="8"/>
        <v>0</v>
      </c>
      <c r="AE116" s="8">
        <f t="shared" si="9"/>
        <v>0</v>
      </c>
      <c r="AF116" s="106">
        <f t="shared" si="10"/>
        <v>0</v>
      </c>
      <c r="AG116" s="8">
        <f t="shared" si="11"/>
        <v>0</v>
      </c>
      <c r="AH116" s="8">
        <f>IF($O116="Aktif",MAX(0,MIN($AE116,$AD116-SUM($AG116:AG116))),0)</f>
        <v>0</v>
      </c>
      <c r="AI116" s="8">
        <f>IF($O116="Aktif",MAX(0,MIN($AE116,$AD116-SUM($AG116:AH116))),0)</f>
        <v>0</v>
      </c>
      <c r="AJ116" s="8">
        <f>IF($O116="Aktif",MAX(0,MIN($AE116,$AD116-SUM($AG116:AI116))),0)</f>
        <v>0</v>
      </c>
      <c r="AK116" s="8">
        <f>IF($O116="Aktif",MAX(0,MIN($AE116,$AD116-SUM($AG116:AJ116))),0)</f>
        <v>0</v>
      </c>
      <c r="AL116" s="8">
        <f>IF($O116="Aktif",MAX(0,MIN($AE116,$AD116-SUM($AG116:AK116))),0)</f>
        <v>0</v>
      </c>
      <c r="AM116" s="8">
        <f>IF($O116="Aktif",MAX(0,MIN($AE116,$AD116-SUM($AG116:AL116))),0)</f>
        <v>0</v>
      </c>
      <c r="AN116" s="8">
        <f>IF($O116="Aktif",MAX(0,MIN($AE116,$AD116-SUM($AG116:AM116))),0)</f>
        <v>0</v>
      </c>
      <c r="AO116" s="8">
        <f>IF($O116="Aktif",MAX(0,MIN($AE116,$AD116-SUM($AG116:AN116))),0)</f>
        <v>0</v>
      </c>
      <c r="AP116" s="8">
        <f>IF($O116="Aktif",MAX(0,MIN($AE116,$AD116-SUM($AG116:AO116))),0)</f>
        <v>0</v>
      </c>
      <c r="AQ116" s="8">
        <f>IF($O116="Aktif",MAX(0,MIN($AE116,$AD116-SUM($AG116:AP116))),0)</f>
        <v>0</v>
      </c>
      <c r="AR116" s="8">
        <f>IF($O116="Aktif",MAX(0,MIN($AE116,$AD116-SUM($AG116:AQ116))),0)</f>
        <v>0</v>
      </c>
      <c r="AS116" s="8">
        <f>IF($O116="Aktif",MAX(0,MIN($AE116,$AD116-SUM($AG116:AR116))),0)</f>
        <v>0</v>
      </c>
      <c r="AT116" s="8">
        <f>IF($O116="Aktif",MAX(0,MIN($AE116,$AD116-SUM($AG116:AS116))),0)</f>
        <v>0</v>
      </c>
      <c r="AU116" s="8">
        <f>IF($O116="Aktif",MAX(0,MIN($AE116,$AD116-SUM($AG116:AT116))),0)</f>
        <v>0</v>
      </c>
      <c r="AV116" s="8">
        <f>IF($O116="Aktif",MAX(0,MIN($AE116,$AD116-SUM($AG116:AU116))),0)</f>
        <v>0</v>
      </c>
      <c r="AW116" s="8">
        <f t="shared" si="12"/>
        <v>0</v>
      </c>
      <c r="AX116" s="8">
        <f t="shared" si="13"/>
        <v>0</v>
      </c>
    </row>
    <row r="117" spans="1:50" ht="15" customHeight="1" x14ac:dyDescent="0.35">
      <c r="A117" s="102">
        <v>111</v>
      </c>
      <c r="B117" s="102" t="s">
        <v>586</v>
      </c>
      <c r="C117" s="103">
        <v>49</v>
      </c>
      <c r="D117" s="102" t="s">
        <v>184</v>
      </c>
      <c r="E117" s="102" t="s">
        <v>587</v>
      </c>
      <c r="F117" s="102" t="s">
        <v>588</v>
      </c>
      <c r="G117" s="102" t="s">
        <v>589</v>
      </c>
      <c r="H117" s="102" t="s">
        <v>590</v>
      </c>
      <c r="I117" s="102" t="s">
        <v>90</v>
      </c>
      <c r="J117" s="102" t="s">
        <v>699</v>
      </c>
      <c r="K117" s="102" t="s">
        <v>591</v>
      </c>
      <c r="L117" s="104">
        <v>41975</v>
      </c>
      <c r="M117" s="102" t="s">
        <v>700</v>
      </c>
      <c r="N117" s="102" t="s">
        <v>701</v>
      </c>
      <c r="O117" s="102" t="s">
        <v>383</v>
      </c>
      <c r="P117" s="103">
        <v>1</v>
      </c>
      <c r="Q117" s="105">
        <v>919000</v>
      </c>
      <c r="R117" s="103">
        <v>48</v>
      </c>
      <c r="S117" s="105">
        <v>0</v>
      </c>
      <c r="T117" s="105">
        <v>919000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Z117" s="105">
        <v>0</v>
      </c>
      <c r="AA117" s="105">
        <v>0</v>
      </c>
      <c r="AB117" s="105">
        <v>0</v>
      </c>
      <c r="AC117" s="8">
        <f t="shared" si="7"/>
        <v>919000</v>
      </c>
      <c r="AD117" s="8">
        <f t="shared" si="8"/>
        <v>0</v>
      </c>
      <c r="AE117" s="8">
        <f t="shared" si="9"/>
        <v>0</v>
      </c>
      <c r="AF117" s="106">
        <f t="shared" si="10"/>
        <v>0</v>
      </c>
      <c r="AG117" s="8">
        <f t="shared" si="11"/>
        <v>0</v>
      </c>
      <c r="AH117" s="8">
        <f>IF($O117="Aktif",MAX(0,MIN($AE117,$AD117-SUM($AG117:AG117))),0)</f>
        <v>0</v>
      </c>
      <c r="AI117" s="8">
        <f>IF($O117="Aktif",MAX(0,MIN($AE117,$AD117-SUM($AG117:AH117))),0)</f>
        <v>0</v>
      </c>
      <c r="AJ117" s="8">
        <f>IF($O117="Aktif",MAX(0,MIN($AE117,$AD117-SUM($AG117:AI117))),0)</f>
        <v>0</v>
      </c>
      <c r="AK117" s="8">
        <f>IF($O117="Aktif",MAX(0,MIN($AE117,$AD117-SUM($AG117:AJ117))),0)</f>
        <v>0</v>
      </c>
      <c r="AL117" s="8">
        <f>IF($O117="Aktif",MAX(0,MIN($AE117,$AD117-SUM($AG117:AK117))),0)</f>
        <v>0</v>
      </c>
      <c r="AM117" s="8">
        <f>IF($O117="Aktif",MAX(0,MIN($AE117,$AD117-SUM($AG117:AL117))),0)</f>
        <v>0</v>
      </c>
      <c r="AN117" s="8">
        <f>IF($O117="Aktif",MAX(0,MIN($AE117,$AD117-SUM($AG117:AM117))),0)</f>
        <v>0</v>
      </c>
      <c r="AO117" s="8">
        <f>IF($O117="Aktif",MAX(0,MIN($AE117,$AD117-SUM($AG117:AN117))),0)</f>
        <v>0</v>
      </c>
      <c r="AP117" s="8">
        <f>IF($O117="Aktif",MAX(0,MIN($AE117,$AD117-SUM($AG117:AO117))),0)</f>
        <v>0</v>
      </c>
      <c r="AQ117" s="8">
        <f>IF($O117="Aktif",MAX(0,MIN($AE117,$AD117-SUM($AG117:AP117))),0)</f>
        <v>0</v>
      </c>
      <c r="AR117" s="8">
        <f>IF($O117="Aktif",MAX(0,MIN($AE117,$AD117-SUM($AG117:AQ117))),0)</f>
        <v>0</v>
      </c>
      <c r="AS117" s="8">
        <f>IF($O117="Aktif",MAX(0,MIN($AE117,$AD117-SUM($AG117:AR117))),0)</f>
        <v>0</v>
      </c>
      <c r="AT117" s="8">
        <f>IF($O117="Aktif",MAX(0,MIN($AE117,$AD117-SUM($AG117:AS117))),0)</f>
        <v>0</v>
      </c>
      <c r="AU117" s="8">
        <f>IF($O117="Aktif",MAX(0,MIN($AE117,$AD117-SUM($AG117:AT117))),0)</f>
        <v>0</v>
      </c>
      <c r="AV117" s="8">
        <f>IF($O117="Aktif",MAX(0,MIN($AE117,$AD117-SUM($AG117:AU117))),0)</f>
        <v>0</v>
      </c>
      <c r="AW117" s="8">
        <f t="shared" si="12"/>
        <v>0</v>
      </c>
      <c r="AX117" s="8">
        <f t="shared" si="13"/>
        <v>0</v>
      </c>
    </row>
    <row r="118" spans="1:50" ht="15" customHeight="1" x14ac:dyDescent="0.35">
      <c r="A118" s="102">
        <v>112</v>
      </c>
      <c r="B118" s="102" t="s">
        <v>586</v>
      </c>
      <c r="C118" s="103">
        <v>50</v>
      </c>
      <c r="D118" s="102" t="s">
        <v>184</v>
      </c>
      <c r="E118" s="102" t="s">
        <v>587</v>
      </c>
      <c r="F118" s="102" t="s">
        <v>588</v>
      </c>
      <c r="G118" s="102" t="s">
        <v>589</v>
      </c>
      <c r="H118" s="102" t="s">
        <v>590</v>
      </c>
      <c r="I118" s="102" t="s">
        <v>90</v>
      </c>
      <c r="J118" s="102" t="s">
        <v>702</v>
      </c>
      <c r="K118" s="102" t="s">
        <v>591</v>
      </c>
      <c r="L118" s="104">
        <v>42020</v>
      </c>
      <c r="M118" s="102" t="s">
        <v>703</v>
      </c>
      <c r="N118" s="102" t="s">
        <v>704</v>
      </c>
      <c r="O118" s="102" t="s">
        <v>383</v>
      </c>
      <c r="P118" s="103">
        <v>1</v>
      </c>
      <c r="Q118" s="105">
        <v>5150000</v>
      </c>
      <c r="R118" s="103">
        <v>48</v>
      </c>
      <c r="S118" s="105">
        <v>0</v>
      </c>
      <c r="T118" s="105">
        <v>5150000</v>
      </c>
      <c r="U118" s="105">
        <v>0</v>
      </c>
      <c r="V118" s="105">
        <v>0</v>
      </c>
      <c r="W118" s="105">
        <v>0</v>
      </c>
      <c r="X118" s="105">
        <v>0</v>
      </c>
      <c r="Y118" s="105">
        <v>0</v>
      </c>
      <c r="Z118" s="105">
        <v>0</v>
      </c>
      <c r="AA118" s="105">
        <v>0</v>
      </c>
      <c r="AB118" s="105">
        <v>0</v>
      </c>
      <c r="AC118" s="8">
        <f t="shared" si="7"/>
        <v>5150000</v>
      </c>
      <c r="AD118" s="8">
        <f t="shared" si="8"/>
        <v>0</v>
      </c>
      <c r="AE118" s="8">
        <f t="shared" si="9"/>
        <v>0</v>
      </c>
      <c r="AF118" s="106">
        <f t="shared" si="10"/>
        <v>0</v>
      </c>
      <c r="AG118" s="8">
        <f t="shared" si="11"/>
        <v>0</v>
      </c>
      <c r="AH118" s="8">
        <f>IF($O118="Aktif",MAX(0,MIN($AE118,$AD118-SUM($AG118:AG118))),0)</f>
        <v>0</v>
      </c>
      <c r="AI118" s="8">
        <f>IF($O118="Aktif",MAX(0,MIN($AE118,$AD118-SUM($AG118:AH118))),0)</f>
        <v>0</v>
      </c>
      <c r="AJ118" s="8">
        <f>IF($O118="Aktif",MAX(0,MIN($AE118,$AD118-SUM($AG118:AI118))),0)</f>
        <v>0</v>
      </c>
      <c r="AK118" s="8">
        <f>IF($O118="Aktif",MAX(0,MIN($AE118,$AD118-SUM($AG118:AJ118))),0)</f>
        <v>0</v>
      </c>
      <c r="AL118" s="8">
        <f>IF($O118="Aktif",MAX(0,MIN($AE118,$AD118-SUM($AG118:AK118))),0)</f>
        <v>0</v>
      </c>
      <c r="AM118" s="8">
        <f>IF($O118="Aktif",MAX(0,MIN($AE118,$AD118-SUM($AG118:AL118))),0)</f>
        <v>0</v>
      </c>
      <c r="AN118" s="8">
        <f>IF($O118="Aktif",MAX(0,MIN($AE118,$AD118-SUM($AG118:AM118))),0)</f>
        <v>0</v>
      </c>
      <c r="AO118" s="8">
        <f>IF($O118="Aktif",MAX(0,MIN($AE118,$AD118-SUM($AG118:AN118))),0)</f>
        <v>0</v>
      </c>
      <c r="AP118" s="8">
        <f>IF($O118="Aktif",MAX(0,MIN($AE118,$AD118-SUM($AG118:AO118))),0)</f>
        <v>0</v>
      </c>
      <c r="AQ118" s="8">
        <f>IF($O118="Aktif",MAX(0,MIN($AE118,$AD118-SUM($AG118:AP118))),0)</f>
        <v>0</v>
      </c>
      <c r="AR118" s="8">
        <f>IF($O118="Aktif",MAX(0,MIN($AE118,$AD118-SUM($AG118:AQ118))),0)</f>
        <v>0</v>
      </c>
      <c r="AS118" s="8">
        <f>IF($O118="Aktif",MAX(0,MIN($AE118,$AD118-SUM($AG118:AR118))),0)</f>
        <v>0</v>
      </c>
      <c r="AT118" s="8">
        <f>IF($O118="Aktif",MAX(0,MIN($AE118,$AD118-SUM($AG118:AS118))),0)</f>
        <v>0</v>
      </c>
      <c r="AU118" s="8">
        <f>IF($O118="Aktif",MAX(0,MIN($AE118,$AD118-SUM($AG118:AT118))),0)</f>
        <v>0</v>
      </c>
      <c r="AV118" s="8">
        <f>IF($O118="Aktif",MAX(0,MIN($AE118,$AD118-SUM($AG118:AU118))),0)</f>
        <v>0</v>
      </c>
      <c r="AW118" s="8">
        <f t="shared" si="12"/>
        <v>0</v>
      </c>
      <c r="AX118" s="8">
        <f t="shared" si="13"/>
        <v>0</v>
      </c>
    </row>
    <row r="119" spans="1:50" ht="15" customHeight="1" x14ac:dyDescent="0.35">
      <c r="A119" s="102">
        <v>113</v>
      </c>
      <c r="B119" s="102" t="s">
        <v>586</v>
      </c>
      <c r="C119" s="103">
        <v>51</v>
      </c>
      <c r="D119" s="102" t="s">
        <v>184</v>
      </c>
      <c r="E119" s="102" t="s">
        <v>587</v>
      </c>
      <c r="F119" s="102" t="s">
        <v>588</v>
      </c>
      <c r="G119" s="102" t="s">
        <v>589</v>
      </c>
      <c r="H119" s="102" t="s">
        <v>590</v>
      </c>
      <c r="I119" s="102" t="s">
        <v>90</v>
      </c>
      <c r="J119" s="102" t="s">
        <v>705</v>
      </c>
      <c r="K119" s="102" t="s">
        <v>591</v>
      </c>
      <c r="L119" s="104">
        <v>42216</v>
      </c>
      <c r="M119" s="102" t="s">
        <v>706</v>
      </c>
      <c r="N119" s="102" t="s">
        <v>707</v>
      </c>
      <c r="O119" s="102" t="s">
        <v>383</v>
      </c>
      <c r="P119" s="103">
        <v>1</v>
      </c>
      <c r="Q119" s="105">
        <v>1200000</v>
      </c>
      <c r="R119" s="103">
        <v>48</v>
      </c>
      <c r="S119" s="105">
        <v>0</v>
      </c>
      <c r="T119" s="105">
        <v>1200000</v>
      </c>
      <c r="U119" s="105">
        <v>0</v>
      </c>
      <c r="V119" s="105">
        <v>0</v>
      </c>
      <c r="W119" s="105">
        <v>0</v>
      </c>
      <c r="X119" s="105">
        <v>0</v>
      </c>
      <c r="Y119" s="105">
        <v>0</v>
      </c>
      <c r="Z119" s="105">
        <v>0</v>
      </c>
      <c r="AA119" s="105">
        <v>0</v>
      </c>
      <c r="AB119" s="105">
        <v>0</v>
      </c>
      <c r="AC119" s="8">
        <f t="shared" si="7"/>
        <v>1200000</v>
      </c>
      <c r="AD119" s="8">
        <f t="shared" si="8"/>
        <v>0</v>
      </c>
      <c r="AE119" s="8">
        <f t="shared" si="9"/>
        <v>0</v>
      </c>
      <c r="AF119" s="106">
        <f t="shared" si="10"/>
        <v>0</v>
      </c>
      <c r="AG119" s="8">
        <f t="shared" si="11"/>
        <v>0</v>
      </c>
      <c r="AH119" s="8">
        <f>IF($O119="Aktif",MAX(0,MIN($AE119,$AD119-SUM($AG119:AG119))),0)</f>
        <v>0</v>
      </c>
      <c r="AI119" s="8">
        <f>IF($O119="Aktif",MAX(0,MIN($AE119,$AD119-SUM($AG119:AH119))),0)</f>
        <v>0</v>
      </c>
      <c r="AJ119" s="8">
        <f>IF($O119="Aktif",MAX(0,MIN($AE119,$AD119-SUM($AG119:AI119))),0)</f>
        <v>0</v>
      </c>
      <c r="AK119" s="8">
        <f>IF($O119="Aktif",MAX(0,MIN($AE119,$AD119-SUM($AG119:AJ119))),0)</f>
        <v>0</v>
      </c>
      <c r="AL119" s="8">
        <f>IF($O119="Aktif",MAX(0,MIN($AE119,$AD119-SUM($AG119:AK119))),0)</f>
        <v>0</v>
      </c>
      <c r="AM119" s="8">
        <f>IF($O119="Aktif",MAX(0,MIN($AE119,$AD119-SUM($AG119:AL119))),0)</f>
        <v>0</v>
      </c>
      <c r="AN119" s="8">
        <f>IF($O119="Aktif",MAX(0,MIN($AE119,$AD119-SUM($AG119:AM119))),0)</f>
        <v>0</v>
      </c>
      <c r="AO119" s="8">
        <f>IF($O119="Aktif",MAX(0,MIN($AE119,$AD119-SUM($AG119:AN119))),0)</f>
        <v>0</v>
      </c>
      <c r="AP119" s="8">
        <f>IF($O119="Aktif",MAX(0,MIN($AE119,$AD119-SUM($AG119:AO119))),0)</f>
        <v>0</v>
      </c>
      <c r="AQ119" s="8">
        <f>IF($O119="Aktif",MAX(0,MIN($AE119,$AD119-SUM($AG119:AP119))),0)</f>
        <v>0</v>
      </c>
      <c r="AR119" s="8">
        <f>IF($O119="Aktif",MAX(0,MIN($AE119,$AD119-SUM($AG119:AQ119))),0)</f>
        <v>0</v>
      </c>
      <c r="AS119" s="8">
        <f>IF($O119="Aktif",MAX(0,MIN($AE119,$AD119-SUM($AG119:AR119))),0)</f>
        <v>0</v>
      </c>
      <c r="AT119" s="8">
        <f>IF($O119="Aktif",MAX(0,MIN($AE119,$AD119-SUM($AG119:AS119))),0)</f>
        <v>0</v>
      </c>
      <c r="AU119" s="8">
        <f>IF($O119="Aktif",MAX(0,MIN($AE119,$AD119-SUM($AG119:AT119))),0)</f>
        <v>0</v>
      </c>
      <c r="AV119" s="8">
        <f>IF($O119="Aktif",MAX(0,MIN($AE119,$AD119-SUM($AG119:AU119))),0)</f>
        <v>0</v>
      </c>
      <c r="AW119" s="8">
        <f t="shared" si="12"/>
        <v>0</v>
      </c>
      <c r="AX119" s="8">
        <f t="shared" si="13"/>
        <v>0</v>
      </c>
    </row>
    <row r="120" spans="1:50" ht="15" customHeight="1" x14ac:dyDescent="0.35">
      <c r="A120" s="102">
        <v>114</v>
      </c>
      <c r="B120" s="102" t="s">
        <v>586</v>
      </c>
      <c r="C120" s="103">
        <v>52</v>
      </c>
      <c r="D120" s="102" t="s">
        <v>184</v>
      </c>
      <c r="E120" s="102" t="s">
        <v>587</v>
      </c>
      <c r="F120" s="102" t="s">
        <v>588</v>
      </c>
      <c r="G120" s="102" t="s">
        <v>589</v>
      </c>
      <c r="H120" s="102" t="s">
        <v>590</v>
      </c>
      <c r="I120" s="102" t="s">
        <v>90</v>
      </c>
      <c r="J120" s="102" t="s">
        <v>708</v>
      </c>
      <c r="K120" s="102" t="s">
        <v>591</v>
      </c>
      <c r="L120" s="104">
        <v>42251</v>
      </c>
      <c r="M120" s="102" t="s">
        <v>709</v>
      </c>
      <c r="N120" s="102" t="s">
        <v>710</v>
      </c>
      <c r="O120" s="102" t="s">
        <v>383</v>
      </c>
      <c r="P120" s="103">
        <v>1</v>
      </c>
      <c r="Q120" s="105">
        <v>4900000</v>
      </c>
      <c r="R120" s="103">
        <v>48</v>
      </c>
      <c r="S120" s="105">
        <v>0</v>
      </c>
      <c r="T120" s="105">
        <v>4899999.9966666698</v>
      </c>
      <c r="U120" s="105">
        <v>0</v>
      </c>
      <c r="V120" s="105">
        <v>0</v>
      </c>
      <c r="W120" s="105">
        <v>0</v>
      </c>
      <c r="X120" s="105">
        <v>0</v>
      </c>
      <c r="Y120" s="105">
        <v>0</v>
      </c>
      <c r="Z120" s="105">
        <v>0</v>
      </c>
      <c r="AA120" s="105">
        <v>0</v>
      </c>
      <c r="AB120" s="105">
        <v>0</v>
      </c>
      <c r="AC120" s="8">
        <f t="shared" si="7"/>
        <v>4899999.9966666698</v>
      </c>
      <c r="AD120" s="8">
        <f t="shared" si="8"/>
        <v>3.3333301544189453E-3</v>
      </c>
      <c r="AE120" s="8">
        <f t="shared" si="9"/>
        <v>0</v>
      </c>
      <c r="AF120" s="106">
        <f t="shared" si="10"/>
        <v>0</v>
      </c>
      <c r="AG120" s="8">
        <f t="shared" si="11"/>
        <v>0</v>
      </c>
      <c r="AH120" s="8">
        <f>IF($O120="Aktif",MAX(0,MIN($AE120,$AD120-SUM($AG120:AG120))),0)</f>
        <v>0</v>
      </c>
      <c r="AI120" s="8">
        <f>IF($O120="Aktif",MAX(0,MIN($AE120,$AD120-SUM($AG120:AH120))),0)</f>
        <v>0</v>
      </c>
      <c r="AJ120" s="8">
        <f>IF($O120="Aktif",MAX(0,MIN($AE120,$AD120-SUM($AG120:AI120))),0)</f>
        <v>0</v>
      </c>
      <c r="AK120" s="8">
        <f>IF($O120="Aktif",MAX(0,MIN($AE120,$AD120-SUM($AG120:AJ120))),0)</f>
        <v>0</v>
      </c>
      <c r="AL120" s="8">
        <f>IF($O120="Aktif",MAX(0,MIN($AE120,$AD120-SUM($AG120:AK120))),0)</f>
        <v>0</v>
      </c>
      <c r="AM120" s="8">
        <f>IF($O120="Aktif",MAX(0,MIN($AE120,$AD120-SUM($AG120:AL120))),0)</f>
        <v>0</v>
      </c>
      <c r="AN120" s="8">
        <f>IF($O120="Aktif",MAX(0,MIN($AE120,$AD120-SUM($AG120:AM120))),0)</f>
        <v>0</v>
      </c>
      <c r="AO120" s="8">
        <f>IF($O120="Aktif",MAX(0,MIN($AE120,$AD120-SUM($AG120:AN120))),0)</f>
        <v>0</v>
      </c>
      <c r="AP120" s="8">
        <f>IF($O120="Aktif",MAX(0,MIN($AE120,$AD120-SUM($AG120:AO120))),0)</f>
        <v>0</v>
      </c>
      <c r="AQ120" s="8">
        <f>IF($O120="Aktif",MAX(0,MIN($AE120,$AD120-SUM($AG120:AP120))),0)</f>
        <v>0</v>
      </c>
      <c r="AR120" s="8">
        <f>IF($O120="Aktif",MAX(0,MIN($AE120,$AD120-SUM($AG120:AQ120))),0)</f>
        <v>0</v>
      </c>
      <c r="AS120" s="8">
        <f>IF($O120="Aktif",MAX(0,MIN($AE120,$AD120-SUM($AG120:AR120))),0)</f>
        <v>0</v>
      </c>
      <c r="AT120" s="8">
        <f>IF($O120="Aktif",MAX(0,MIN($AE120,$AD120-SUM($AG120:AS120))),0)</f>
        <v>0</v>
      </c>
      <c r="AU120" s="8">
        <f>IF($O120="Aktif",MAX(0,MIN($AE120,$AD120-SUM($AG120:AT120))),0)</f>
        <v>0</v>
      </c>
      <c r="AV120" s="8">
        <f>IF($O120="Aktif",MAX(0,MIN($AE120,$AD120-SUM($AG120:AU120))),0)</f>
        <v>0</v>
      </c>
      <c r="AW120" s="8">
        <f t="shared" si="12"/>
        <v>0</v>
      </c>
      <c r="AX120" s="8">
        <f t="shared" si="13"/>
        <v>3.3333301544189453E-3</v>
      </c>
    </row>
    <row r="121" spans="1:50" ht="15" customHeight="1" x14ac:dyDescent="0.35">
      <c r="A121" s="102">
        <v>115</v>
      </c>
      <c r="B121" s="102" t="s">
        <v>586</v>
      </c>
      <c r="C121" s="103">
        <v>53</v>
      </c>
      <c r="D121" s="102" t="s">
        <v>184</v>
      </c>
      <c r="E121" s="102" t="s">
        <v>587</v>
      </c>
      <c r="F121" s="102" t="s">
        <v>588</v>
      </c>
      <c r="G121" s="102" t="s">
        <v>589</v>
      </c>
      <c r="H121" s="102" t="s">
        <v>590</v>
      </c>
      <c r="I121" s="102" t="s">
        <v>90</v>
      </c>
      <c r="J121" s="102" t="s">
        <v>711</v>
      </c>
      <c r="K121" s="102" t="s">
        <v>591</v>
      </c>
      <c r="L121" s="104">
        <v>42277</v>
      </c>
      <c r="M121" s="102" t="s">
        <v>712</v>
      </c>
      <c r="N121" s="102" t="s">
        <v>713</v>
      </c>
      <c r="O121" s="102" t="s">
        <v>383</v>
      </c>
      <c r="P121" s="103">
        <v>1</v>
      </c>
      <c r="Q121" s="105">
        <v>3100000</v>
      </c>
      <c r="R121" s="103">
        <v>48</v>
      </c>
      <c r="S121" s="105">
        <v>0</v>
      </c>
      <c r="T121" s="105">
        <v>3099999.9966666698</v>
      </c>
      <c r="U121" s="105">
        <v>0</v>
      </c>
      <c r="V121" s="105">
        <v>0</v>
      </c>
      <c r="W121" s="105">
        <v>0</v>
      </c>
      <c r="X121" s="105">
        <v>0</v>
      </c>
      <c r="Y121" s="105">
        <v>0</v>
      </c>
      <c r="Z121" s="105">
        <v>0</v>
      </c>
      <c r="AA121" s="105">
        <v>0</v>
      </c>
      <c r="AB121" s="105">
        <v>0</v>
      </c>
      <c r="AC121" s="8">
        <f t="shared" si="7"/>
        <v>3099999.9966666698</v>
      </c>
      <c r="AD121" s="8">
        <f t="shared" si="8"/>
        <v>3.3333301544189453E-3</v>
      </c>
      <c r="AE121" s="8">
        <f t="shared" si="9"/>
        <v>0</v>
      </c>
      <c r="AF121" s="106">
        <f t="shared" si="10"/>
        <v>0</v>
      </c>
      <c r="AG121" s="8">
        <f t="shared" si="11"/>
        <v>0</v>
      </c>
      <c r="AH121" s="8">
        <f>IF($O121="Aktif",MAX(0,MIN($AE121,$AD121-SUM($AG121:AG121))),0)</f>
        <v>0</v>
      </c>
      <c r="AI121" s="8">
        <f>IF($O121="Aktif",MAX(0,MIN($AE121,$AD121-SUM($AG121:AH121))),0)</f>
        <v>0</v>
      </c>
      <c r="AJ121" s="8">
        <f>IF($O121="Aktif",MAX(0,MIN($AE121,$AD121-SUM($AG121:AI121))),0)</f>
        <v>0</v>
      </c>
      <c r="AK121" s="8">
        <f>IF($O121="Aktif",MAX(0,MIN($AE121,$AD121-SUM($AG121:AJ121))),0)</f>
        <v>0</v>
      </c>
      <c r="AL121" s="8">
        <f>IF($O121="Aktif",MAX(0,MIN($AE121,$AD121-SUM($AG121:AK121))),0)</f>
        <v>0</v>
      </c>
      <c r="AM121" s="8">
        <f>IF($O121="Aktif",MAX(0,MIN($AE121,$AD121-SUM($AG121:AL121))),0)</f>
        <v>0</v>
      </c>
      <c r="AN121" s="8">
        <f>IF($O121="Aktif",MAX(0,MIN($AE121,$AD121-SUM($AG121:AM121))),0)</f>
        <v>0</v>
      </c>
      <c r="AO121" s="8">
        <f>IF($O121="Aktif",MAX(0,MIN($AE121,$AD121-SUM($AG121:AN121))),0)</f>
        <v>0</v>
      </c>
      <c r="AP121" s="8">
        <f>IF($O121="Aktif",MAX(0,MIN($AE121,$AD121-SUM($AG121:AO121))),0)</f>
        <v>0</v>
      </c>
      <c r="AQ121" s="8">
        <f>IF($O121="Aktif",MAX(0,MIN($AE121,$AD121-SUM($AG121:AP121))),0)</f>
        <v>0</v>
      </c>
      <c r="AR121" s="8">
        <f>IF($O121="Aktif",MAX(0,MIN($AE121,$AD121-SUM($AG121:AQ121))),0)</f>
        <v>0</v>
      </c>
      <c r="AS121" s="8">
        <f>IF($O121="Aktif",MAX(0,MIN($AE121,$AD121-SUM($AG121:AR121))),0)</f>
        <v>0</v>
      </c>
      <c r="AT121" s="8">
        <f>IF($O121="Aktif",MAX(0,MIN($AE121,$AD121-SUM($AG121:AS121))),0)</f>
        <v>0</v>
      </c>
      <c r="AU121" s="8">
        <f>IF($O121="Aktif",MAX(0,MIN($AE121,$AD121-SUM($AG121:AT121))),0)</f>
        <v>0</v>
      </c>
      <c r="AV121" s="8">
        <f>IF($O121="Aktif",MAX(0,MIN($AE121,$AD121-SUM($AG121:AU121))),0)</f>
        <v>0</v>
      </c>
      <c r="AW121" s="8">
        <f t="shared" si="12"/>
        <v>0</v>
      </c>
      <c r="AX121" s="8">
        <f t="shared" si="13"/>
        <v>3.3333301544189453E-3</v>
      </c>
    </row>
    <row r="122" spans="1:50" ht="15" customHeight="1" x14ac:dyDescent="0.35">
      <c r="A122" s="102">
        <v>116</v>
      </c>
      <c r="B122" s="102" t="s">
        <v>586</v>
      </c>
      <c r="C122" s="103">
        <v>54</v>
      </c>
      <c r="D122" s="102" t="s">
        <v>184</v>
      </c>
      <c r="E122" s="102" t="s">
        <v>587</v>
      </c>
      <c r="F122" s="102" t="s">
        <v>588</v>
      </c>
      <c r="G122" s="102" t="s">
        <v>589</v>
      </c>
      <c r="H122" s="102" t="s">
        <v>590</v>
      </c>
      <c r="I122" s="102" t="s">
        <v>90</v>
      </c>
      <c r="J122" s="102" t="s">
        <v>714</v>
      </c>
      <c r="K122" s="102" t="s">
        <v>591</v>
      </c>
      <c r="L122" s="104">
        <v>42318</v>
      </c>
      <c r="M122" s="102" t="s">
        <v>715</v>
      </c>
      <c r="N122" s="102" t="s">
        <v>716</v>
      </c>
      <c r="O122" s="102" t="s">
        <v>383</v>
      </c>
      <c r="P122" s="103">
        <v>1</v>
      </c>
      <c r="Q122" s="105">
        <v>7100000</v>
      </c>
      <c r="R122" s="103">
        <v>48</v>
      </c>
      <c r="S122" s="105">
        <v>0</v>
      </c>
      <c r="T122" s="105">
        <v>7099999.9966666698</v>
      </c>
      <c r="U122" s="105">
        <v>0</v>
      </c>
      <c r="V122" s="105">
        <v>0</v>
      </c>
      <c r="W122" s="105">
        <v>0</v>
      </c>
      <c r="X122" s="105">
        <v>0</v>
      </c>
      <c r="Y122" s="105">
        <v>0</v>
      </c>
      <c r="Z122" s="105">
        <v>0</v>
      </c>
      <c r="AA122" s="105">
        <v>0</v>
      </c>
      <c r="AB122" s="105">
        <v>0</v>
      </c>
      <c r="AC122" s="8">
        <f t="shared" si="7"/>
        <v>7099999.9966666698</v>
      </c>
      <c r="AD122" s="8">
        <f t="shared" si="8"/>
        <v>3.3333301544189453E-3</v>
      </c>
      <c r="AE122" s="8">
        <f t="shared" si="9"/>
        <v>0</v>
      </c>
      <c r="AF122" s="106">
        <f t="shared" si="10"/>
        <v>0</v>
      </c>
      <c r="AG122" s="8">
        <f t="shared" si="11"/>
        <v>0</v>
      </c>
      <c r="AH122" s="8">
        <f>IF($O122="Aktif",MAX(0,MIN($AE122,$AD122-SUM($AG122:AG122))),0)</f>
        <v>0</v>
      </c>
      <c r="AI122" s="8">
        <f>IF($O122="Aktif",MAX(0,MIN($AE122,$AD122-SUM($AG122:AH122))),0)</f>
        <v>0</v>
      </c>
      <c r="AJ122" s="8">
        <f>IF($O122="Aktif",MAX(0,MIN($AE122,$AD122-SUM($AG122:AI122))),0)</f>
        <v>0</v>
      </c>
      <c r="AK122" s="8">
        <f>IF($O122="Aktif",MAX(0,MIN($AE122,$AD122-SUM($AG122:AJ122))),0)</f>
        <v>0</v>
      </c>
      <c r="AL122" s="8">
        <f>IF($O122="Aktif",MAX(0,MIN($AE122,$AD122-SUM($AG122:AK122))),0)</f>
        <v>0</v>
      </c>
      <c r="AM122" s="8">
        <f>IF($O122="Aktif",MAX(0,MIN($AE122,$AD122-SUM($AG122:AL122))),0)</f>
        <v>0</v>
      </c>
      <c r="AN122" s="8">
        <f>IF($O122="Aktif",MAX(0,MIN($AE122,$AD122-SUM($AG122:AM122))),0)</f>
        <v>0</v>
      </c>
      <c r="AO122" s="8">
        <f>IF($O122="Aktif",MAX(0,MIN($AE122,$AD122-SUM($AG122:AN122))),0)</f>
        <v>0</v>
      </c>
      <c r="AP122" s="8">
        <f>IF($O122="Aktif",MAX(0,MIN($AE122,$AD122-SUM($AG122:AO122))),0)</f>
        <v>0</v>
      </c>
      <c r="AQ122" s="8">
        <f>IF($O122="Aktif",MAX(0,MIN($AE122,$AD122-SUM($AG122:AP122))),0)</f>
        <v>0</v>
      </c>
      <c r="AR122" s="8">
        <f>IF($O122="Aktif",MAX(0,MIN($AE122,$AD122-SUM($AG122:AQ122))),0)</f>
        <v>0</v>
      </c>
      <c r="AS122" s="8">
        <f>IF($O122="Aktif",MAX(0,MIN($AE122,$AD122-SUM($AG122:AR122))),0)</f>
        <v>0</v>
      </c>
      <c r="AT122" s="8">
        <f>IF($O122="Aktif",MAX(0,MIN($AE122,$AD122-SUM($AG122:AS122))),0)</f>
        <v>0</v>
      </c>
      <c r="AU122" s="8">
        <f>IF($O122="Aktif",MAX(0,MIN($AE122,$AD122-SUM($AG122:AT122))),0)</f>
        <v>0</v>
      </c>
      <c r="AV122" s="8">
        <f>IF($O122="Aktif",MAX(0,MIN($AE122,$AD122-SUM($AG122:AU122))),0)</f>
        <v>0</v>
      </c>
      <c r="AW122" s="8">
        <f t="shared" si="12"/>
        <v>0</v>
      </c>
      <c r="AX122" s="8">
        <f t="shared" si="13"/>
        <v>3.3333301544189453E-3</v>
      </c>
    </row>
    <row r="123" spans="1:50" ht="15" customHeight="1" x14ac:dyDescent="0.35">
      <c r="A123" s="102">
        <v>117</v>
      </c>
      <c r="B123" s="102" t="s">
        <v>586</v>
      </c>
      <c r="C123" s="103">
        <v>55</v>
      </c>
      <c r="D123" s="102" t="s">
        <v>184</v>
      </c>
      <c r="E123" s="102" t="s">
        <v>587</v>
      </c>
      <c r="F123" s="102" t="s">
        <v>588</v>
      </c>
      <c r="G123" s="102" t="s">
        <v>589</v>
      </c>
      <c r="H123" s="102" t="s">
        <v>590</v>
      </c>
      <c r="I123" s="102" t="s">
        <v>90</v>
      </c>
      <c r="J123" s="102"/>
      <c r="K123" s="102" t="s">
        <v>591</v>
      </c>
      <c r="L123" s="104">
        <v>39299</v>
      </c>
      <c r="M123" s="102" t="s">
        <v>717</v>
      </c>
      <c r="N123" s="102" t="s">
        <v>718</v>
      </c>
      <c r="O123" s="102" t="s">
        <v>383</v>
      </c>
      <c r="P123" s="103"/>
      <c r="Q123" s="105">
        <v>927200</v>
      </c>
      <c r="R123" s="102"/>
      <c r="S123" s="105">
        <v>0</v>
      </c>
      <c r="T123" s="105">
        <v>927200</v>
      </c>
      <c r="U123" s="105">
        <v>0</v>
      </c>
      <c r="V123" s="105">
        <v>0</v>
      </c>
      <c r="W123" s="105">
        <v>0</v>
      </c>
      <c r="X123" s="105">
        <v>0</v>
      </c>
      <c r="Y123" s="105">
        <v>0</v>
      </c>
      <c r="Z123" s="105">
        <v>0</v>
      </c>
      <c r="AA123" s="105">
        <v>0</v>
      </c>
      <c r="AB123" s="105">
        <v>0</v>
      </c>
      <c r="AC123" s="8">
        <f t="shared" si="7"/>
        <v>927200</v>
      </c>
      <c r="AD123" s="8">
        <f t="shared" si="8"/>
        <v>0</v>
      </c>
      <c r="AE123" s="8">
        <f t="shared" si="9"/>
        <v>0</v>
      </c>
      <c r="AF123" s="106">
        <f t="shared" si="10"/>
        <v>0</v>
      </c>
      <c r="AG123" s="8">
        <f t="shared" si="11"/>
        <v>0</v>
      </c>
      <c r="AH123" s="8">
        <f>IF($O123="Aktif",MAX(0,MIN($AE123,$AD123-SUM($AG123:AG123))),0)</f>
        <v>0</v>
      </c>
      <c r="AI123" s="8">
        <f>IF($O123="Aktif",MAX(0,MIN($AE123,$AD123-SUM($AG123:AH123))),0)</f>
        <v>0</v>
      </c>
      <c r="AJ123" s="8">
        <f>IF($O123="Aktif",MAX(0,MIN($AE123,$AD123-SUM($AG123:AI123))),0)</f>
        <v>0</v>
      </c>
      <c r="AK123" s="8">
        <f>IF($O123="Aktif",MAX(0,MIN($AE123,$AD123-SUM($AG123:AJ123))),0)</f>
        <v>0</v>
      </c>
      <c r="AL123" s="8">
        <f>IF($O123="Aktif",MAX(0,MIN($AE123,$AD123-SUM($AG123:AK123))),0)</f>
        <v>0</v>
      </c>
      <c r="AM123" s="8">
        <f>IF($O123="Aktif",MAX(0,MIN($AE123,$AD123-SUM($AG123:AL123))),0)</f>
        <v>0</v>
      </c>
      <c r="AN123" s="8">
        <f>IF($O123="Aktif",MAX(0,MIN($AE123,$AD123-SUM($AG123:AM123))),0)</f>
        <v>0</v>
      </c>
      <c r="AO123" s="8">
        <f>IF($O123="Aktif",MAX(0,MIN($AE123,$AD123-SUM($AG123:AN123))),0)</f>
        <v>0</v>
      </c>
      <c r="AP123" s="8">
        <f>IF($O123="Aktif",MAX(0,MIN($AE123,$AD123-SUM($AG123:AO123))),0)</f>
        <v>0</v>
      </c>
      <c r="AQ123" s="8">
        <f>IF($O123="Aktif",MAX(0,MIN($AE123,$AD123-SUM($AG123:AP123))),0)</f>
        <v>0</v>
      </c>
      <c r="AR123" s="8">
        <f>IF($O123="Aktif",MAX(0,MIN($AE123,$AD123-SUM($AG123:AQ123))),0)</f>
        <v>0</v>
      </c>
      <c r="AS123" s="8">
        <f>IF($O123="Aktif",MAX(0,MIN($AE123,$AD123-SUM($AG123:AR123))),0)</f>
        <v>0</v>
      </c>
      <c r="AT123" s="8">
        <f>IF($O123="Aktif",MAX(0,MIN($AE123,$AD123-SUM($AG123:AS123))),0)</f>
        <v>0</v>
      </c>
      <c r="AU123" s="8">
        <f>IF($O123="Aktif",MAX(0,MIN($AE123,$AD123-SUM($AG123:AT123))),0)</f>
        <v>0</v>
      </c>
      <c r="AV123" s="8">
        <f>IF($O123="Aktif",MAX(0,MIN($AE123,$AD123-SUM($AG123:AU123))),0)</f>
        <v>0</v>
      </c>
      <c r="AW123" s="8">
        <f t="shared" si="12"/>
        <v>0</v>
      </c>
      <c r="AX123" s="8">
        <f t="shared" si="13"/>
        <v>0</v>
      </c>
    </row>
    <row r="124" spans="1:50" ht="15" customHeight="1" x14ac:dyDescent="0.35">
      <c r="A124" s="102">
        <v>118</v>
      </c>
      <c r="B124" s="102" t="s">
        <v>586</v>
      </c>
      <c r="C124" s="103">
        <v>56</v>
      </c>
      <c r="D124" s="102" t="s">
        <v>184</v>
      </c>
      <c r="E124" s="102" t="s">
        <v>587</v>
      </c>
      <c r="F124" s="102" t="s">
        <v>588</v>
      </c>
      <c r="G124" s="102" t="s">
        <v>589</v>
      </c>
      <c r="H124" s="102" t="s">
        <v>590</v>
      </c>
      <c r="I124" s="102" t="s">
        <v>90</v>
      </c>
      <c r="J124" s="102"/>
      <c r="K124" s="102" t="s">
        <v>591</v>
      </c>
      <c r="L124" s="104">
        <v>39307</v>
      </c>
      <c r="M124" s="102" t="s">
        <v>719</v>
      </c>
      <c r="N124" s="102" t="s">
        <v>719</v>
      </c>
      <c r="O124" s="102" t="s">
        <v>383</v>
      </c>
      <c r="P124" s="103"/>
      <c r="Q124" s="105">
        <v>600000</v>
      </c>
      <c r="R124" s="102"/>
      <c r="S124" s="105">
        <v>0</v>
      </c>
      <c r="T124" s="105">
        <v>600000</v>
      </c>
      <c r="U124" s="105">
        <v>0</v>
      </c>
      <c r="V124" s="105">
        <v>0</v>
      </c>
      <c r="W124" s="105">
        <v>0</v>
      </c>
      <c r="X124" s="105">
        <v>0</v>
      </c>
      <c r="Y124" s="105">
        <v>0</v>
      </c>
      <c r="Z124" s="105">
        <v>0</v>
      </c>
      <c r="AA124" s="105">
        <v>0</v>
      </c>
      <c r="AB124" s="105">
        <v>0</v>
      </c>
      <c r="AC124" s="8">
        <f t="shared" si="7"/>
        <v>600000</v>
      </c>
      <c r="AD124" s="8">
        <f t="shared" si="8"/>
        <v>0</v>
      </c>
      <c r="AE124" s="8">
        <f t="shared" si="9"/>
        <v>0</v>
      </c>
      <c r="AF124" s="106">
        <f t="shared" si="10"/>
        <v>0</v>
      </c>
      <c r="AG124" s="8">
        <f t="shared" si="11"/>
        <v>0</v>
      </c>
      <c r="AH124" s="8">
        <f>IF($O124="Aktif",MAX(0,MIN($AE124,$AD124-SUM($AG124:AG124))),0)</f>
        <v>0</v>
      </c>
      <c r="AI124" s="8">
        <f>IF($O124="Aktif",MAX(0,MIN($AE124,$AD124-SUM($AG124:AH124))),0)</f>
        <v>0</v>
      </c>
      <c r="AJ124" s="8">
        <f>IF($O124="Aktif",MAX(0,MIN($AE124,$AD124-SUM($AG124:AI124))),0)</f>
        <v>0</v>
      </c>
      <c r="AK124" s="8">
        <f>IF($O124="Aktif",MAX(0,MIN($AE124,$AD124-SUM($AG124:AJ124))),0)</f>
        <v>0</v>
      </c>
      <c r="AL124" s="8">
        <f>IF($O124="Aktif",MAX(0,MIN($AE124,$AD124-SUM($AG124:AK124))),0)</f>
        <v>0</v>
      </c>
      <c r="AM124" s="8">
        <f>IF($O124="Aktif",MAX(0,MIN($AE124,$AD124-SUM($AG124:AL124))),0)</f>
        <v>0</v>
      </c>
      <c r="AN124" s="8">
        <f>IF($O124="Aktif",MAX(0,MIN($AE124,$AD124-SUM($AG124:AM124))),0)</f>
        <v>0</v>
      </c>
      <c r="AO124" s="8">
        <f>IF($O124="Aktif",MAX(0,MIN($AE124,$AD124-SUM($AG124:AN124))),0)</f>
        <v>0</v>
      </c>
      <c r="AP124" s="8">
        <f>IF($O124="Aktif",MAX(0,MIN($AE124,$AD124-SUM($AG124:AO124))),0)</f>
        <v>0</v>
      </c>
      <c r="AQ124" s="8">
        <f>IF($O124="Aktif",MAX(0,MIN($AE124,$AD124-SUM($AG124:AP124))),0)</f>
        <v>0</v>
      </c>
      <c r="AR124" s="8">
        <f>IF($O124="Aktif",MAX(0,MIN($AE124,$AD124-SUM($AG124:AQ124))),0)</f>
        <v>0</v>
      </c>
      <c r="AS124" s="8">
        <f>IF($O124="Aktif",MAX(0,MIN($AE124,$AD124-SUM($AG124:AR124))),0)</f>
        <v>0</v>
      </c>
      <c r="AT124" s="8">
        <f>IF($O124="Aktif",MAX(0,MIN($AE124,$AD124-SUM($AG124:AS124))),0)</f>
        <v>0</v>
      </c>
      <c r="AU124" s="8">
        <f>IF($O124="Aktif",MAX(0,MIN($AE124,$AD124-SUM($AG124:AT124))),0)</f>
        <v>0</v>
      </c>
      <c r="AV124" s="8">
        <f>IF($O124="Aktif",MAX(0,MIN($AE124,$AD124-SUM($AG124:AU124))),0)</f>
        <v>0</v>
      </c>
      <c r="AW124" s="8">
        <f t="shared" si="12"/>
        <v>0</v>
      </c>
      <c r="AX124" s="8">
        <f t="shared" si="13"/>
        <v>0</v>
      </c>
    </row>
    <row r="125" spans="1:50" ht="15" customHeight="1" x14ac:dyDescent="0.35">
      <c r="A125" s="102">
        <v>119</v>
      </c>
      <c r="B125" s="102" t="s">
        <v>586</v>
      </c>
      <c r="C125" s="103">
        <v>57</v>
      </c>
      <c r="D125" s="102" t="s">
        <v>184</v>
      </c>
      <c r="E125" s="102" t="s">
        <v>587</v>
      </c>
      <c r="F125" s="102" t="s">
        <v>588</v>
      </c>
      <c r="G125" s="102" t="s">
        <v>589</v>
      </c>
      <c r="H125" s="102" t="s">
        <v>590</v>
      </c>
      <c r="I125" s="102" t="s">
        <v>90</v>
      </c>
      <c r="J125" s="102"/>
      <c r="K125" s="102" t="s">
        <v>591</v>
      </c>
      <c r="L125" s="104">
        <v>39356</v>
      </c>
      <c r="M125" s="102" t="s">
        <v>720</v>
      </c>
      <c r="N125" s="102" t="s">
        <v>721</v>
      </c>
      <c r="O125" s="102" t="s">
        <v>383</v>
      </c>
      <c r="P125" s="103"/>
      <c r="Q125" s="105">
        <v>10000000</v>
      </c>
      <c r="R125" s="102"/>
      <c r="S125" s="105">
        <v>0</v>
      </c>
      <c r="T125" s="105">
        <v>10000000</v>
      </c>
      <c r="U125" s="105">
        <v>0</v>
      </c>
      <c r="V125" s="105">
        <v>0</v>
      </c>
      <c r="W125" s="105">
        <v>0</v>
      </c>
      <c r="X125" s="105">
        <v>0</v>
      </c>
      <c r="Y125" s="105">
        <v>0</v>
      </c>
      <c r="Z125" s="105">
        <v>0</v>
      </c>
      <c r="AA125" s="105">
        <v>0</v>
      </c>
      <c r="AB125" s="105">
        <v>0</v>
      </c>
      <c r="AC125" s="8">
        <f t="shared" si="7"/>
        <v>10000000</v>
      </c>
      <c r="AD125" s="8">
        <f t="shared" si="8"/>
        <v>0</v>
      </c>
      <c r="AE125" s="8">
        <f t="shared" si="9"/>
        <v>0</v>
      </c>
      <c r="AF125" s="106">
        <f t="shared" si="10"/>
        <v>0</v>
      </c>
      <c r="AG125" s="8">
        <f t="shared" si="11"/>
        <v>0</v>
      </c>
      <c r="AH125" s="8">
        <f>IF($O125="Aktif",MAX(0,MIN($AE125,$AD125-SUM($AG125:AG125))),0)</f>
        <v>0</v>
      </c>
      <c r="AI125" s="8">
        <f>IF($O125="Aktif",MAX(0,MIN($AE125,$AD125-SUM($AG125:AH125))),0)</f>
        <v>0</v>
      </c>
      <c r="AJ125" s="8">
        <f>IF($O125="Aktif",MAX(0,MIN($AE125,$AD125-SUM($AG125:AI125))),0)</f>
        <v>0</v>
      </c>
      <c r="AK125" s="8">
        <f>IF($O125="Aktif",MAX(0,MIN($AE125,$AD125-SUM($AG125:AJ125))),0)</f>
        <v>0</v>
      </c>
      <c r="AL125" s="8">
        <f>IF($O125="Aktif",MAX(0,MIN($AE125,$AD125-SUM($AG125:AK125))),0)</f>
        <v>0</v>
      </c>
      <c r="AM125" s="8">
        <f>IF($O125="Aktif",MAX(0,MIN($AE125,$AD125-SUM($AG125:AL125))),0)</f>
        <v>0</v>
      </c>
      <c r="AN125" s="8">
        <f>IF($O125="Aktif",MAX(0,MIN($AE125,$AD125-SUM($AG125:AM125))),0)</f>
        <v>0</v>
      </c>
      <c r="AO125" s="8">
        <f>IF($O125="Aktif",MAX(0,MIN($AE125,$AD125-SUM($AG125:AN125))),0)</f>
        <v>0</v>
      </c>
      <c r="AP125" s="8">
        <f>IF($O125="Aktif",MAX(0,MIN($AE125,$AD125-SUM($AG125:AO125))),0)</f>
        <v>0</v>
      </c>
      <c r="AQ125" s="8">
        <f>IF($O125="Aktif",MAX(0,MIN($AE125,$AD125-SUM($AG125:AP125))),0)</f>
        <v>0</v>
      </c>
      <c r="AR125" s="8">
        <f>IF($O125="Aktif",MAX(0,MIN($AE125,$AD125-SUM($AG125:AQ125))),0)</f>
        <v>0</v>
      </c>
      <c r="AS125" s="8">
        <f>IF($O125="Aktif",MAX(0,MIN($AE125,$AD125-SUM($AG125:AR125))),0)</f>
        <v>0</v>
      </c>
      <c r="AT125" s="8">
        <f>IF($O125="Aktif",MAX(0,MIN($AE125,$AD125-SUM($AG125:AS125))),0)</f>
        <v>0</v>
      </c>
      <c r="AU125" s="8">
        <f>IF($O125="Aktif",MAX(0,MIN($AE125,$AD125-SUM($AG125:AT125))),0)</f>
        <v>0</v>
      </c>
      <c r="AV125" s="8">
        <f>IF($O125="Aktif",MAX(0,MIN($AE125,$AD125-SUM($AG125:AU125))),0)</f>
        <v>0</v>
      </c>
      <c r="AW125" s="8">
        <f t="shared" si="12"/>
        <v>0</v>
      </c>
      <c r="AX125" s="8">
        <f t="shared" si="13"/>
        <v>0</v>
      </c>
    </row>
    <row r="126" spans="1:50" ht="15" customHeight="1" x14ac:dyDescent="0.35">
      <c r="A126" s="102">
        <v>120</v>
      </c>
      <c r="B126" s="102" t="s">
        <v>586</v>
      </c>
      <c r="C126" s="103">
        <v>58</v>
      </c>
      <c r="D126" s="102" t="s">
        <v>184</v>
      </c>
      <c r="E126" s="102" t="s">
        <v>587</v>
      </c>
      <c r="F126" s="102" t="s">
        <v>588</v>
      </c>
      <c r="G126" s="102" t="s">
        <v>589</v>
      </c>
      <c r="H126" s="102" t="s">
        <v>590</v>
      </c>
      <c r="I126" s="102" t="s">
        <v>90</v>
      </c>
      <c r="J126" s="102"/>
      <c r="K126" s="102" t="s">
        <v>591</v>
      </c>
      <c r="L126" s="104">
        <v>39387</v>
      </c>
      <c r="M126" s="102" t="s">
        <v>722</v>
      </c>
      <c r="N126" s="102" t="s">
        <v>723</v>
      </c>
      <c r="O126" s="102" t="s">
        <v>383</v>
      </c>
      <c r="P126" s="103"/>
      <c r="Q126" s="105">
        <v>85000</v>
      </c>
      <c r="R126" s="102"/>
      <c r="S126" s="105">
        <v>0</v>
      </c>
      <c r="T126" s="105">
        <v>85000</v>
      </c>
      <c r="U126" s="105">
        <v>0</v>
      </c>
      <c r="V126" s="105">
        <v>0</v>
      </c>
      <c r="W126" s="105">
        <v>0</v>
      </c>
      <c r="X126" s="105">
        <v>0</v>
      </c>
      <c r="Y126" s="105">
        <v>0</v>
      </c>
      <c r="Z126" s="105">
        <v>0</v>
      </c>
      <c r="AA126" s="105">
        <v>0</v>
      </c>
      <c r="AB126" s="105">
        <v>0</v>
      </c>
      <c r="AC126" s="8">
        <f t="shared" si="7"/>
        <v>85000</v>
      </c>
      <c r="AD126" s="8">
        <f t="shared" si="8"/>
        <v>0</v>
      </c>
      <c r="AE126" s="8">
        <f t="shared" si="9"/>
        <v>0</v>
      </c>
      <c r="AF126" s="106">
        <f t="shared" si="10"/>
        <v>0</v>
      </c>
      <c r="AG126" s="8">
        <f t="shared" si="11"/>
        <v>0</v>
      </c>
      <c r="AH126" s="8">
        <f>IF($O126="Aktif",MAX(0,MIN($AE126,$AD126-SUM($AG126:AG126))),0)</f>
        <v>0</v>
      </c>
      <c r="AI126" s="8">
        <f>IF($O126="Aktif",MAX(0,MIN($AE126,$AD126-SUM($AG126:AH126))),0)</f>
        <v>0</v>
      </c>
      <c r="AJ126" s="8">
        <f>IF($O126="Aktif",MAX(0,MIN($AE126,$AD126-SUM($AG126:AI126))),0)</f>
        <v>0</v>
      </c>
      <c r="AK126" s="8">
        <f>IF($O126="Aktif",MAX(0,MIN($AE126,$AD126-SUM($AG126:AJ126))),0)</f>
        <v>0</v>
      </c>
      <c r="AL126" s="8">
        <f>IF($O126="Aktif",MAX(0,MIN($AE126,$AD126-SUM($AG126:AK126))),0)</f>
        <v>0</v>
      </c>
      <c r="AM126" s="8">
        <f>IF($O126="Aktif",MAX(0,MIN($AE126,$AD126-SUM($AG126:AL126))),0)</f>
        <v>0</v>
      </c>
      <c r="AN126" s="8">
        <f>IF($O126="Aktif",MAX(0,MIN($AE126,$AD126-SUM($AG126:AM126))),0)</f>
        <v>0</v>
      </c>
      <c r="AO126" s="8">
        <f>IF($O126="Aktif",MAX(0,MIN($AE126,$AD126-SUM($AG126:AN126))),0)</f>
        <v>0</v>
      </c>
      <c r="AP126" s="8">
        <f>IF($O126="Aktif",MAX(0,MIN($AE126,$AD126-SUM($AG126:AO126))),0)</f>
        <v>0</v>
      </c>
      <c r="AQ126" s="8">
        <f>IF($O126="Aktif",MAX(0,MIN($AE126,$AD126-SUM($AG126:AP126))),0)</f>
        <v>0</v>
      </c>
      <c r="AR126" s="8">
        <f>IF($O126="Aktif",MAX(0,MIN($AE126,$AD126-SUM($AG126:AQ126))),0)</f>
        <v>0</v>
      </c>
      <c r="AS126" s="8">
        <f>IF($O126="Aktif",MAX(0,MIN($AE126,$AD126-SUM($AG126:AR126))),0)</f>
        <v>0</v>
      </c>
      <c r="AT126" s="8">
        <f>IF($O126="Aktif",MAX(0,MIN($AE126,$AD126-SUM($AG126:AS126))),0)</f>
        <v>0</v>
      </c>
      <c r="AU126" s="8">
        <f>IF($O126="Aktif",MAX(0,MIN($AE126,$AD126-SUM($AG126:AT126))),0)</f>
        <v>0</v>
      </c>
      <c r="AV126" s="8">
        <f>IF($O126="Aktif",MAX(0,MIN($AE126,$AD126-SUM($AG126:AU126))),0)</f>
        <v>0</v>
      </c>
      <c r="AW126" s="8">
        <f t="shared" si="12"/>
        <v>0</v>
      </c>
      <c r="AX126" s="8">
        <f t="shared" si="13"/>
        <v>0</v>
      </c>
    </row>
    <row r="127" spans="1:50" ht="15" customHeight="1" x14ac:dyDescent="0.35">
      <c r="A127" s="102">
        <v>121</v>
      </c>
      <c r="B127" s="102" t="s">
        <v>586</v>
      </c>
      <c r="C127" s="103">
        <v>59</v>
      </c>
      <c r="D127" s="102" t="s">
        <v>184</v>
      </c>
      <c r="E127" s="102" t="s">
        <v>587</v>
      </c>
      <c r="F127" s="102" t="s">
        <v>588</v>
      </c>
      <c r="G127" s="102" t="s">
        <v>589</v>
      </c>
      <c r="H127" s="102" t="s">
        <v>590</v>
      </c>
      <c r="I127" s="102" t="s">
        <v>90</v>
      </c>
      <c r="J127" s="102"/>
      <c r="K127" s="102" t="s">
        <v>591</v>
      </c>
      <c r="L127" s="104">
        <v>39422</v>
      </c>
      <c r="M127" s="102" t="s">
        <v>724</v>
      </c>
      <c r="N127" s="102" t="s">
        <v>725</v>
      </c>
      <c r="O127" s="102" t="s">
        <v>383</v>
      </c>
      <c r="P127" s="103"/>
      <c r="Q127" s="105">
        <v>388000</v>
      </c>
      <c r="R127" s="102"/>
      <c r="S127" s="105">
        <v>0</v>
      </c>
      <c r="T127" s="105">
        <v>388000</v>
      </c>
      <c r="U127" s="105">
        <v>0</v>
      </c>
      <c r="V127" s="105">
        <v>0</v>
      </c>
      <c r="W127" s="105">
        <v>0</v>
      </c>
      <c r="X127" s="105">
        <v>0</v>
      </c>
      <c r="Y127" s="105">
        <v>0</v>
      </c>
      <c r="Z127" s="105">
        <v>0</v>
      </c>
      <c r="AA127" s="105">
        <v>0</v>
      </c>
      <c r="AB127" s="105">
        <v>0</v>
      </c>
      <c r="AC127" s="8">
        <f t="shared" si="7"/>
        <v>388000</v>
      </c>
      <c r="AD127" s="8">
        <f t="shared" si="8"/>
        <v>0</v>
      </c>
      <c r="AE127" s="8">
        <f t="shared" si="9"/>
        <v>0</v>
      </c>
      <c r="AF127" s="106">
        <f t="shared" si="10"/>
        <v>0</v>
      </c>
      <c r="AG127" s="8">
        <f t="shared" si="11"/>
        <v>0</v>
      </c>
      <c r="AH127" s="8">
        <f>IF($O127="Aktif",MAX(0,MIN($AE127,$AD127-SUM($AG127:AG127))),0)</f>
        <v>0</v>
      </c>
      <c r="AI127" s="8">
        <f>IF($O127="Aktif",MAX(0,MIN($AE127,$AD127-SUM($AG127:AH127))),0)</f>
        <v>0</v>
      </c>
      <c r="AJ127" s="8">
        <f>IF($O127="Aktif",MAX(0,MIN($AE127,$AD127-SUM($AG127:AI127))),0)</f>
        <v>0</v>
      </c>
      <c r="AK127" s="8">
        <f>IF($O127="Aktif",MAX(0,MIN($AE127,$AD127-SUM($AG127:AJ127))),0)</f>
        <v>0</v>
      </c>
      <c r="AL127" s="8">
        <f>IF($O127="Aktif",MAX(0,MIN($AE127,$AD127-SUM($AG127:AK127))),0)</f>
        <v>0</v>
      </c>
      <c r="AM127" s="8">
        <f>IF($O127="Aktif",MAX(0,MIN($AE127,$AD127-SUM($AG127:AL127))),0)</f>
        <v>0</v>
      </c>
      <c r="AN127" s="8">
        <f>IF($O127="Aktif",MAX(0,MIN($AE127,$AD127-SUM($AG127:AM127))),0)</f>
        <v>0</v>
      </c>
      <c r="AO127" s="8">
        <f>IF($O127="Aktif",MAX(0,MIN($AE127,$AD127-SUM($AG127:AN127))),0)</f>
        <v>0</v>
      </c>
      <c r="AP127" s="8">
        <f>IF($O127="Aktif",MAX(0,MIN($AE127,$AD127-SUM($AG127:AO127))),0)</f>
        <v>0</v>
      </c>
      <c r="AQ127" s="8">
        <f>IF($O127="Aktif",MAX(0,MIN($AE127,$AD127-SUM($AG127:AP127))),0)</f>
        <v>0</v>
      </c>
      <c r="AR127" s="8">
        <f>IF($O127="Aktif",MAX(0,MIN($AE127,$AD127-SUM($AG127:AQ127))),0)</f>
        <v>0</v>
      </c>
      <c r="AS127" s="8">
        <f>IF($O127="Aktif",MAX(0,MIN($AE127,$AD127-SUM($AG127:AR127))),0)</f>
        <v>0</v>
      </c>
      <c r="AT127" s="8">
        <f>IF($O127="Aktif",MAX(0,MIN($AE127,$AD127-SUM($AG127:AS127))),0)</f>
        <v>0</v>
      </c>
      <c r="AU127" s="8">
        <f>IF($O127="Aktif",MAX(0,MIN($AE127,$AD127-SUM($AG127:AT127))),0)</f>
        <v>0</v>
      </c>
      <c r="AV127" s="8">
        <f>IF($O127="Aktif",MAX(0,MIN($AE127,$AD127-SUM($AG127:AU127))),0)</f>
        <v>0</v>
      </c>
      <c r="AW127" s="8">
        <f t="shared" si="12"/>
        <v>0</v>
      </c>
      <c r="AX127" s="8">
        <f t="shared" si="13"/>
        <v>0</v>
      </c>
    </row>
    <row r="128" spans="1:50" ht="15" customHeight="1" x14ac:dyDescent="0.35">
      <c r="A128" s="102">
        <v>122</v>
      </c>
      <c r="B128" s="102" t="s">
        <v>586</v>
      </c>
      <c r="C128" s="103">
        <v>60</v>
      </c>
      <c r="D128" s="102" t="s">
        <v>184</v>
      </c>
      <c r="E128" s="102" t="s">
        <v>587</v>
      </c>
      <c r="F128" s="102" t="s">
        <v>588</v>
      </c>
      <c r="G128" s="102" t="s">
        <v>589</v>
      </c>
      <c r="H128" s="102" t="s">
        <v>590</v>
      </c>
      <c r="I128" s="102" t="s">
        <v>90</v>
      </c>
      <c r="J128" s="102"/>
      <c r="K128" s="102" t="s">
        <v>591</v>
      </c>
      <c r="L128" s="104">
        <v>39455</v>
      </c>
      <c r="M128" s="102" t="s">
        <v>726</v>
      </c>
      <c r="N128" s="102" t="s">
        <v>727</v>
      </c>
      <c r="O128" s="102" t="s">
        <v>383</v>
      </c>
      <c r="P128" s="103"/>
      <c r="Q128" s="105">
        <v>1350000</v>
      </c>
      <c r="R128" s="102"/>
      <c r="S128" s="105">
        <v>0</v>
      </c>
      <c r="T128" s="105">
        <v>1350000</v>
      </c>
      <c r="U128" s="105">
        <v>0</v>
      </c>
      <c r="V128" s="105">
        <v>0</v>
      </c>
      <c r="W128" s="105">
        <v>0</v>
      </c>
      <c r="X128" s="105">
        <v>0</v>
      </c>
      <c r="Y128" s="105">
        <v>0</v>
      </c>
      <c r="Z128" s="105">
        <v>0</v>
      </c>
      <c r="AA128" s="105">
        <v>0</v>
      </c>
      <c r="AB128" s="105">
        <v>0</v>
      </c>
      <c r="AC128" s="8">
        <f t="shared" si="7"/>
        <v>1350000</v>
      </c>
      <c r="AD128" s="8">
        <f t="shared" si="8"/>
        <v>0</v>
      </c>
      <c r="AE128" s="8">
        <f t="shared" si="9"/>
        <v>0</v>
      </c>
      <c r="AF128" s="106">
        <f t="shared" si="10"/>
        <v>0</v>
      </c>
      <c r="AG128" s="8">
        <f t="shared" si="11"/>
        <v>0</v>
      </c>
      <c r="AH128" s="8">
        <f>IF($O128="Aktif",MAX(0,MIN($AE128,$AD128-SUM($AG128:AG128))),0)</f>
        <v>0</v>
      </c>
      <c r="AI128" s="8">
        <f>IF($O128="Aktif",MAX(0,MIN($AE128,$AD128-SUM($AG128:AH128))),0)</f>
        <v>0</v>
      </c>
      <c r="AJ128" s="8">
        <f>IF($O128="Aktif",MAX(0,MIN($AE128,$AD128-SUM($AG128:AI128))),0)</f>
        <v>0</v>
      </c>
      <c r="AK128" s="8">
        <f>IF($O128="Aktif",MAX(0,MIN($AE128,$AD128-SUM($AG128:AJ128))),0)</f>
        <v>0</v>
      </c>
      <c r="AL128" s="8">
        <f>IF($O128="Aktif",MAX(0,MIN($AE128,$AD128-SUM($AG128:AK128))),0)</f>
        <v>0</v>
      </c>
      <c r="AM128" s="8">
        <f>IF($O128="Aktif",MAX(0,MIN($AE128,$AD128-SUM($AG128:AL128))),0)</f>
        <v>0</v>
      </c>
      <c r="AN128" s="8">
        <f>IF($O128="Aktif",MAX(0,MIN($AE128,$AD128-SUM($AG128:AM128))),0)</f>
        <v>0</v>
      </c>
      <c r="AO128" s="8">
        <f>IF($O128="Aktif",MAX(0,MIN($AE128,$AD128-SUM($AG128:AN128))),0)</f>
        <v>0</v>
      </c>
      <c r="AP128" s="8">
        <f>IF($O128="Aktif",MAX(0,MIN($AE128,$AD128-SUM($AG128:AO128))),0)</f>
        <v>0</v>
      </c>
      <c r="AQ128" s="8">
        <f>IF($O128="Aktif",MAX(0,MIN($AE128,$AD128-SUM($AG128:AP128))),0)</f>
        <v>0</v>
      </c>
      <c r="AR128" s="8">
        <f>IF($O128="Aktif",MAX(0,MIN($AE128,$AD128-SUM($AG128:AQ128))),0)</f>
        <v>0</v>
      </c>
      <c r="AS128" s="8">
        <f>IF($O128="Aktif",MAX(0,MIN($AE128,$AD128-SUM($AG128:AR128))),0)</f>
        <v>0</v>
      </c>
      <c r="AT128" s="8">
        <f>IF($O128="Aktif",MAX(0,MIN($AE128,$AD128-SUM($AG128:AS128))),0)</f>
        <v>0</v>
      </c>
      <c r="AU128" s="8">
        <f>IF($O128="Aktif",MAX(0,MIN($AE128,$AD128-SUM($AG128:AT128))),0)</f>
        <v>0</v>
      </c>
      <c r="AV128" s="8">
        <f>IF($O128="Aktif",MAX(0,MIN($AE128,$AD128-SUM($AG128:AU128))),0)</f>
        <v>0</v>
      </c>
      <c r="AW128" s="8">
        <f t="shared" si="12"/>
        <v>0</v>
      </c>
      <c r="AX128" s="8">
        <f t="shared" si="13"/>
        <v>0</v>
      </c>
    </row>
    <row r="129" spans="1:50" ht="15" customHeight="1" x14ac:dyDescent="0.35">
      <c r="A129" s="102">
        <v>123</v>
      </c>
      <c r="B129" s="102" t="s">
        <v>586</v>
      </c>
      <c r="C129" s="103">
        <v>61</v>
      </c>
      <c r="D129" s="102" t="s">
        <v>184</v>
      </c>
      <c r="E129" s="102" t="s">
        <v>587</v>
      </c>
      <c r="F129" s="102" t="s">
        <v>588</v>
      </c>
      <c r="G129" s="102" t="s">
        <v>589</v>
      </c>
      <c r="H129" s="102" t="s">
        <v>590</v>
      </c>
      <c r="I129" s="102" t="s">
        <v>90</v>
      </c>
      <c r="J129" s="102"/>
      <c r="K129" s="102" t="s">
        <v>591</v>
      </c>
      <c r="L129" s="104">
        <v>39666</v>
      </c>
      <c r="M129" s="102" t="s">
        <v>728</v>
      </c>
      <c r="N129" s="102" t="s">
        <v>729</v>
      </c>
      <c r="O129" s="102" t="s">
        <v>383</v>
      </c>
      <c r="P129" s="103"/>
      <c r="Q129" s="105">
        <v>465000</v>
      </c>
      <c r="R129" s="102"/>
      <c r="S129" s="105">
        <v>0</v>
      </c>
      <c r="T129" s="105">
        <v>465000</v>
      </c>
      <c r="U129" s="105">
        <v>0</v>
      </c>
      <c r="V129" s="105">
        <v>0</v>
      </c>
      <c r="W129" s="105">
        <v>0</v>
      </c>
      <c r="X129" s="105">
        <v>0</v>
      </c>
      <c r="Y129" s="105">
        <v>0</v>
      </c>
      <c r="Z129" s="105">
        <v>0</v>
      </c>
      <c r="AA129" s="105">
        <v>0</v>
      </c>
      <c r="AB129" s="105">
        <v>0</v>
      </c>
      <c r="AC129" s="8">
        <f t="shared" si="7"/>
        <v>465000</v>
      </c>
      <c r="AD129" s="8">
        <f t="shared" si="8"/>
        <v>0</v>
      </c>
      <c r="AE129" s="8">
        <f t="shared" si="9"/>
        <v>0</v>
      </c>
      <c r="AF129" s="106">
        <f t="shared" si="10"/>
        <v>0</v>
      </c>
      <c r="AG129" s="8">
        <f t="shared" si="11"/>
        <v>0</v>
      </c>
      <c r="AH129" s="8">
        <f>IF($O129="Aktif",MAX(0,MIN($AE129,$AD129-SUM($AG129:AG129))),0)</f>
        <v>0</v>
      </c>
      <c r="AI129" s="8">
        <f>IF($O129="Aktif",MAX(0,MIN($AE129,$AD129-SUM($AG129:AH129))),0)</f>
        <v>0</v>
      </c>
      <c r="AJ129" s="8">
        <f>IF($O129="Aktif",MAX(0,MIN($AE129,$AD129-SUM($AG129:AI129))),0)</f>
        <v>0</v>
      </c>
      <c r="AK129" s="8">
        <f>IF($O129="Aktif",MAX(0,MIN($AE129,$AD129-SUM($AG129:AJ129))),0)</f>
        <v>0</v>
      </c>
      <c r="AL129" s="8">
        <f>IF($O129="Aktif",MAX(0,MIN($AE129,$AD129-SUM($AG129:AK129))),0)</f>
        <v>0</v>
      </c>
      <c r="AM129" s="8">
        <f>IF($O129="Aktif",MAX(0,MIN($AE129,$AD129-SUM($AG129:AL129))),0)</f>
        <v>0</v>
      </c>
      <c r="AN129" s="8">
        <f>IF($O129="Aktif",MAX(0,MIN($AE129,$AD129-SUM($AG129:AM129))),0)</f>
        <v>0</v>
      </c>
      <c r="AO129" s="8">
        <f>IF($O129="Aktif",MAX(0,MIN($AE129,$AD129-SUM($AG129:AN129))),0)</f>
        <v>0</v>
      </c>
      <c r="AP129" s="8">
        <f>IF($O129="Aktif",MAX(0,MIN($AE129,$AD129-SUM($AG129:AO129))),0)</f>
        <v>0</v>
      </c>
      <c r="AQ129" s="8">
        <f>IF($O129="Aktif",MAX(0,MIN($AE129,$AD129-SUM($AG129:AP129))),0)</f>
        <v>0</v>
      </c>
      <c r="AR129" s="8">
        <f>IF($O129="Aktif",MAX(0,MIN($AE129,$AD129-SUM($AG129:AQ129))),0)</f>
        <v>0</v>
      </c>
      <c r="AS129" s="8">
        <f>IF($O129="Aktif",MAX(0,MIN($AE129,$AD129-SUM($AG129:AR129))),0)</f>
        <v>0</v>
      </c>
      <c r="AT129" s="8">
        <f>IF($O129="Aktif",MAX(0,MIN($AE129,$AD129-SUM($AG129:AS129))),0)</f>
        <v>0</v>
      </c>
      <c r="AU129" s="8">
        <f>IF($O129="Aktif",MAX(0,MIN($AE129,$AD129-SUM($AG129:AT129))),0)</f>
        <v>0</v>
      </c>
      <c r="AV129" s="8">
        <f>IF($O129="Aktif",MAX(0,MIN($AE129,$AD129-SUM($AG129:AU129))),0)</f>
        <v>0</v>
      </c>
      <c r="AW129" s="8">
        <f t="shared" si="12"/>
        <v>0</v>
      </c>
      <c r="AX129" s="8">
        <f t="shared" si="13"/>
        <v>0</v>
      </c>
    </row>
    <row r="130" spans="1:50" ht="15" customHeight="1" x14ac:dyDescent="0.35">
      <c r="A130" s="102">
        <v>124</v>
      </c>
      <c r="B130" s="102" t="s">
        <v>586</v>
      </c>
      <c r="C130" s="103">
        <v>62</v>
      </c>
      <c r="D130" s="102" t="s">
        <v>184</v>
      </c>
      <c r="E130" s="102" t="s">
        <v>587</v>
      </c>
      <c r="F130" s="102" t="s">
        <v>588</v>
      </c>
      <c r="G130" s="102" t="s">
        <v>589</v>
      </c>
      <c r="H130" s="102" t="s">
        <v>590</v>
      </c>
      <c r="I130" s="102" t="s">
        <v>90</v>
      </c>
      <c r="J130" s="102"/>
      <c r="K130" s="102" t="s">
        <v>591</v>
      </c>
      <c r="L130" s="104">
        <v>39792</v>
      </c>
      <c r="M130" s="102" t="s">
        <v>730</v>
      </c>
      <c r="N130" s="102" t="s">
        <v>731</v>
      </c>
      <c r="O130" s="102" t="s">
        <v>383</v>
      </c>
      <c r="P130" s="103"/>
      <c r="Q130" s="105">
        <v>1100000</v>
      </c>
      <c r="R130" s="102"/>
      <c r="S130" s="105">
        <v>0</v>
      </c>
      <c r="T130" s="105">
        <v>1100000</v>
      </c>
      <c r="U130" s="105">
        <v>0</v>
      </c>
      <c r="V130" s="105">
        <v>0</v>
      </c>
      <c r="W130" s="105">
        <v>0</v>
      </c>
      <c r="X130" s="105">
        <v>0</v>
      </c>
      <c r="Y130" s="105">
        <v>0</v>
      </c>
      <c r="Z130" s="105">
        <v>0</v>
      </c>
      <c r="AA130" s="105">
        <v>0</v>
      </c>
      <c r="AB130" s="105">
        <v>0</v>
      </c>
      <c r="AC130" s="8">
        <f t="shared" si="7"/>
        <v>1100000</v>
      </c>
      <c r="AD130" s="8">
        <f t="shared" si="8"/>
        <v>0</v>
      </c>
      <c r="AE130" s="8">
        <f t="shared" si="9"/>
        <v>0</v>
      </c>
      <c r="AF130" s="106">
        <f t="shared" si="10"/>
        <v>0</v>
      </c>
      <c r="AG130" s="8">
        <f t="shared" si="11"/>
        <v>0</v>
      </c>
      <c r="AH130" s="8">
        <f>IF($O130="Aktif",MAX(0,MIN($AE130,$AD130-SUM($AG130:AG130))),0)</f>
        <v>0</v>
      </c>
      <c r="AI130" s="8">
        <f>IF($O130="Aktif",MAX(0,MIN($AE130,$AD130-SUM($AG130:AH130))),0)</f>
        <v>0</v>
      </c>
      <c r="AJ130" s="8">
        <f>IF($O130="Aktif",MAX(0,MIN($AE130,$AD130-SUM($AG130:AI130))),0)</f>
        <v>0</v>
      </c>
      <c r="AK130" s="8">
        <f>IF($O130="Aktif",MAX(0,MIN($AE130,$AD130-SUM($AG130:AJ130))),0)</f>
        <v>0</v>
      </c>
      <c r="AL130" s="8">
        <f>IF($O130="Aktif",MAX(0,MIN($AE130,$AD130-SUM($AG130:AK130))),0)</f>
        <v>0</v>
      </c>
      <c r="AM130" s="8">
        <f>IF($O130="Aktif",MAX(0,MIN($AE130,$AD130-SUM($AG130:AL130))),0)</f>
        <v>0</v>
      </c>
      <c r="AN130" s="8">
        <f>IF($O130="Aktif",MAX(0,MIN($AE130,$AD130-SUM($AG130:AM130))),0)</f>
        <v>0</v>
      </c>
      <c r="AO130" s="8">
        <f>IF($O130="Aktif",MAX(0,MIN($AE130,$AD130-SUM($AG130:AN130))),0)</f>
        <v>0</v>
      </c>
      <c r="AP130" s="8">
        <f>IF($O130="Aktif",MAX(0,MIN($AE130,$AD130-SUM($AG130:AO130))),0)</f>
        <v>0</v>
      </c>
      <c r="AQ130" s="8">
        <f>IF($O130="Aktif",MAX(0,MIN($AE130,$AD130-SUM($AG130:AP130))),0)</f>
        <v>0</v>
      </c>
      <c r="AR130" s="8">
        <f>IF($O130="Aktif",MAX(0,MIN($AE130,$AD130-SUM($AG130:AQ130))),0)</f>
        <v>0</v>
      </c>
      <c r="AS130" s="8">
        <f>IF($O130="Aktif",MAX(0,MIN($AE130,$AD130-SUM($AG130:AR130))),0)</f>
        <v>0</v>
      </c>
      <c r="AT130" s="8">
        <f>IF($O130="Aktif",MAX(0,MIN($AE130,$AD130-SUM($AG130:AS130))),0)</f>
        <v>0</v>
      </c>
      <c r="AU130" s="8">
        <f>IF($O130="Aktif",MAX(0,MIN($AE130,$AD130-SUM($AG130:AT130))),0)</f>
        <v>0</v>
      </c>
      <c r="AV130" s="8">
        <f>IF($O130="Aktif",MAX(0,MIN($AE130,$AD130-SUM($AG130:AU130))),0)</f>
        <v>0</v>
      </c>
      <c r="AW130" s="8">
        <f t="shared" si="12"/>
        <v>0</v>
      </c>
      <c r="AX130" s="8">
        <f t="shared" si="13"/>
        <v>0</v>
      </c>
    </row>
    <row r="131" spans="1:50" ht="15" customHeight="1" x14ac:dyDescent="0.35">
      <c r="A131" s="102">
        <v>125</v>
      </c>
      <c r="B131" s="102" t="s">
        <v>586</v>
      </c>
      <c r="C131" s="103">
        <v>63</v>
      </c>
      <c r="D131" s="102" t="s">
        <v>184</v>
      </c>
      <c r="E131" s="102" t="s">
        <v>587</v>
      </c>
      <c r="F131" s="102" t="s">
        <v>588</v>
      </c>
      <c r="G131" s="102" t="s">
        <v>589</v>
      </c>
      <c r="H131" s="102" t="s">
        <v>590</v>
      </c>
      <c r="I131" s="102" t="s">
        <v>90</v>
      </c>
      <c r="J131" s="102"/>
      <c r="K131" s="102" t="s">
        <v>591</v>
      </c>
      <c r="L131" s="104">
        <v>39854</v>
      </c>
      <c r="M131" s="102" t="s">
        <v>732</v>
      </c>
      <c r="N131" s="102" t="s">
        <v>733</v>
      </c>
      <c r="O131" s="102" t="s">
        <v>383</v>
      </c>
      <c r="P131" s="103"/>
      <c r="Q131" s="105">
        <v>6925000</v>
      </c>
      <c r="R131" s="102"/>
      <c r="S131" s="105">
        <v>0</v>
      </c>
      <c r="T131" s="105">
        <v>6925000</v>
      </c>
      <c r="U131" s="105">
        <v>0</v>
      </c>
      <c r="V131" s="105">
        <v>0</v>
      </c>
      <c r="W131" s="105">
        <v>0</v>
      </c>
      <c r="X131" s="105">
        <v>0</v>
      </c>
      <c r="Y131" s="105">
        <v>0</v>
      </c>
      <c r="Z131" s="105">
        <v>0</v>
      </c>
      <c r="AA131" s="105">
        <v>0</v>
      </c>
      <c r="AB131" s="105">
        <v>0</v>
      </c>
      <c r="AC131" s="8">
        <f t="shared" si="7"/>
        <v>6925000</v>
      </c>
      <c r="AD131" s="8">
        <f t="shared" si="8"/>
        <v>0</v>
      </c>
      <c r="AE131" s="8">
        <f t="shared" si="9"/>
        <v>0</v>
      </c>
      <c r="AF131" s="106">
        <f t="shared" si="10"/>
        <v>0</v>
      </c>
      <c r="AG131" s="8">
        <f t="shared" si="11"/>
        <v>0</v>
      </c>
      <c r="AH131" s="8">
        <f>IF($O131="Aktif",MAX(0,MIN($AE131,$AD131-SUM($AG131:AG131))),0)</f>
        <v>0</v>
      </c>
      <c r="AI131" s="8">
        <f>IF($O131="Aktif",MAX(0,MIN($AE131,$AD131-SUM($AG131:AH131))),0)</f>
        <v>0</v>
      </c>
      <c r="AJ131" s="8">
        <f>IF($O131="Aktif",MAX(0,MIN($AE131,$AD131-SUM($AG131:AI131))),0)</f>
        <v>0</v>
      </c>
      <c r="AK131" s="8">
        <f>IF($O131="Aktif",MAX(0,MIN($AE131,$AD131-SUM($AG131:AJ131))),0)</f>
        <v>0</v>
      </c>
      <c r="AL131" s="8">
        <f>IF($O131="Aktif",MAX(0,MIN($AE131,$AD131-SUM($AG131:AK131))),0)</f>
        <v>0</v>
      </c>
      <c r="AM131" s="8">
        <f>IF($O131="Aktif",MAX(0,MIN($AE131,$AD131-SUM($AG131:AL131))),0)</f>
        <v>0</v>
      </c>
      <c r="AN131" s="8">
        <f>IF($O131="Aktif",MAX(0,MIN($AE131,$AD131-SUM($AG131:AM131))),0)</f>
        <v>0</v>
      </c>
      <c r="AO131" s="8">
        <f>IF($O131="Aktif",MAX(0,MIN($AE131,$AD131-SUM($AG131:AN131))),0)</f>
        <v>0</v>
      </c>
      <c r="AP131" s="8">
        <f>IF($O131="Aktif",MAX(0,MIN($AE131,$AD131-SUM($AG131:AO131))),0)</f>
        <v>0</v>
      </c>
      <c r="AQ131" s="8">
        <f>IF($O131="Aktif",MAX(0,MIN($AE131,$AD131-SUM($AG131:AP131))),0)</f>
        <v>0</v>
      </c>
      <c r="AR131" s="8">
        <f>IF($O131="Aktif",MAX(0,MIN($AE131,$AD131-SUM($AG131:AQ131))),0)</f>
        <v>0</v>
      </c>
      <c r="AS131" s="8">
        <f>IF($O131="Aktif",MAX(0,MIN($AE131,$AD131-SUM($AG131:AR131))),0)</f>
        <v>0</v>
      </c>
      <c r="AT131" s="8">
        <f>IF($O131="Aktif",MAX(0,MIN($AE131,$AD131-SUM($AG131:AS131))),0)</f>
        <v>0</v>
      </c>
      <c r="AU131" s="8">
        <f>IF($O131="Aktif",MAX(0,MIN($AE131,$AD131-SUM($AG131:AT131))),0)</f>
        <v>0</v>
      </c>
      <c r="AV131" s="8">
        <f>IF($O131="Aktif",MAX(0,MIN($AE131,$AD131-SUM($AG131:AU131))),0)</f>
        <v>0</v>
      </c>
      <c r="AW131" s="8">
        <f t="shared" si="12"/>
        <v>0</v>
      </c>
      <c r="AX131" s="8">
        <f t="shared" si="13"/>
        <v>0</v>
      </c>
    </row>
    <row r="132" spans="1:50" ht="15" customHeight="1" x14ac:dyDescent="0.35">
      <c r="A132" s="102">
        <v>126</v>
      </c>
      <c r="B132" s="102" t="s">
        <v>586</v>
      </c>
      <c r="C132" s="103">
        <v>64</v>
      </c>
      <c r="D132" s="102" t="s">
        <v>184</v>
      </c>
      <c r="E132" s="102" t="s">
        <v>587</v>
      </c>
      <c r="F132" s="102" t="s">
        <v>588</v>
      </c>
      <c r="G132" s="102" t="s">
        <v>589</v>
      </c>
      <c r="H132" s="102" t="s">
        <v>590</v>
      </c>
      <c r="I132" s="102" t="s">
        <v>90</v>
      </c>
      <c r="J132" s="102"/>
      <c r="K132" s="102" t="s">
        <v>591</v>
      </c>
      <c r="L132" s="104">
        <v>39854</v>
      </c>
      <c r="M132" s="102" t="s">
        <v>734</v>
      </c>
      <c r="N132" s="102" t="s">
        <v>735</v>
      </c>
      <c r="O132" s="102" t="s">
        <v>383</v>
      </c>
      <c r="P132" s="103"/>
      <c r="Q132" s="105">
        <v>7200000</v>
      </c>
      <c r="R132" s="102"/>
      <c r="S132" s="105">
        <v>0</v>
      </c>
      <c r="T132" s="105">
        <v>7200000</v>
      </c>
      <c r="U132" s="105">
        <v>0</v>
      </c>
      <c r="V132" s="105">
        <v>0</v>
      </c>
      <c r="W132" s="105">
        <v>0</v>
      </c>
      <c r="X132" s="105">
        <v>0</v>
      </c>
      <c r="Y132" s="105">
        <v>0</v>
      </c>
      <c r="Z132" s="105">
        <v>0</v>
      </c>
      <c r="AA132" s="105">
        <v>0</v>
      </c>
      <c r="AB132" s="105">
        <v>0</v>
      </c>
      <c r="AC132" s="8">
        <f t="shared" si="7"/>
        <v>7200000</v>
      </c>
      <c r="AD132" s="8">
        <f t="shared" si="8"/>
        <v>0</v>
      </c>
      <c r="AE132" s="8">
        <f t="shared" si="9"/>
        <v>0</v>
      </c>
      <c r="AF132" s="106">
        <f t="shared" si="10"/>
        <v>0</v>
      </c>
      <c r="AG132" s="8">
        <f t="shared" si="11"/>
        <v>0</v>
      </c>
      <c r="AH132" s="8">
        <f>IF($O132="Aktif",MAX(0,MIN($AE132,$AD132-SUM($AG132:AG132))),0)</f>
        <v>0</v>
      </c>
      <c r="AI132" s="8">
        <f>IF($O132="Aktif",MAX(0,MIN($AE132,$AD132-SUM($AG132:AH132))),0)</f>
        <v>0</v>
      </c>
      <c r="AJ132" s="8">
        <f>IF($O132="Aktif",MAX(0,MIN($AE132,$AD132-SUM($AG132:AI132))),0)</f>
        <v>0</v>
      </c>
      <c r="AK132" s="8">
        <f>IF($O132="Aktif",MAX(0,MIN($AE132,$AD132-SUM($AG132:AJ132))),0)</f>
        <v>0</v>
      </c>
      <c r="AL132" s="8">
        <f>IF($O132="Aktif",MAX(0,MIN($AE132,$AD132-SUM($AG132:AK132))),0)</f>
        <v>0</v>
      </c>
      <c r="AM132" s="8">
        <f>IF($O132="Aktif",MAX(0,MIN($AE132,$AD132-SUM($AG132:AL132))),0)</f>
        <v>0</v>
      </c>
      <c r="AN132" s="8">
        <f>IF($O132="Aktif",MAX(0,MIN($AE132,$AD132-SUM($AG132:AM132))),0)</f>
        <v>0</v>
      </c>
      <c r="AO132" s="8">
        <f>IF($O132="Aktif",MAX(0,MIN($AE132,$AD132-SUM($AG132:AN132))),0)</f>
        <v>0</v>
      </c>
      <c r="AP132" s="8">
        <f>IF($O132="Aktif",MAX(0,MIN($AE132,$AD132-SUM($AG132:AO132))),0)</f>
        <v>0</v>
      </c>
      <c r="AQ132" s="8">
        <f>IF($O132="Aktif",MAX(0,MIN($AE132,$AD132-SUM($AG132:AP132))),0)</f>
        <v>0</v>
      </c>
      <c r="AR132" s="8">
        <f>IF($O132="Aktif",MAX(0,MIN($AE132,$AD132-SUM($AG132:AQ132))),0)</f>
        <v>0</v>
      </c>
      <c r="AS132" s="8">
        <f>IF($O132="Aktif",MAX(0,MIN($AE132,$AD132-SUM($AG132:AR132))),0)</f>
        <v>0</v>
      </c>
      <c r="AT132" s="8">
        <f>IF($O132="Aktif",MAX(0,MIN($AE132,$AD132-SUM($AG132:AS132))),0)</f>
        <v>0</v>
      </c>
      <c r="AU132" s="8">
        <f>IF($O132="Aktif",MAX(0,MIN($AE132,$AD132-SUM($AG132:AT132))),0)</f>
        <v>0</v>
      </c>
      <c r="AV132" s="8">
        <f>IF($O132="Aktif",MAX(0,MIN($AE132,$AD132-SUM($AG132:AU132))),0)</f>
        <v>0</v>
      </c>
      <c r="AW132" s="8">
        <f t="shared" si="12"/>
        <v>0</v>
      </c>
      <c r="AX132" s="8">
        <f t="shared" si="13"/>
        <v>0</v>
      </c>
    </row>
    <row r="133" spans="1:50" ht="15" customHeight="1" x14ac:dyDescent="0.35">
      <c r="A133" s="102">
        <v>127</v>
      </c>
      <c r="B133" s="102" t="s">
        <v>586</v>
      </c>
      <c r="C133" s="103">
        <v>65</v>
      </c>
      <c r="D133" s="102" t="s">
        <v>184</v>
      </c>
      <c r="E133" s="102" t="s">
        <v>587</v>
      </c>
      <c r="F133" s="102" t="s">
        <v>588</v>
      </c>
      <c r="G133" s="102" t="s">
        <v>589</v>
      </c>
      <c r="H133" s="102" t="s">
        <v>590</v>
      </c>
      <c r="I133" s="102" t="s">
        <v>90</v>
      </c>
      <c r="J133" s="102"/>
      <c r="K133" s="102" t="s">
        <v>591</v>
      </c>
      <c r="L133" s="104">
        <v>39909</v>
      </c>
      <c r="M133" s="102" t="s">
        <v>736</v>
      </c>
      <c r="N133" s="102" t="s">
        <v>737</v>
      </c>
      <c r="O133" s="102" t="s">
        <v>383</v>
      </c>
      <c r="P133" s="103"/>
      <c r="Q133" s="105">
        <v>6750000</v>
      </c>
      <c r="R133" s="102"/>
      <c r="S133" s="105">
        <v>0</v>
      </c>
      <c r="T133" s="105">
        <v>6750000</v>
      </c>
      <c r="U133" s="105">
        <v>0</v>
      </c>
      <c r="V133" s="105">
        <v>0</v>
      </c>
      <c r="W133" s="105">
        <v>0</v>
      </c>
      <c r="X133" s="105">
        <v>0</v>
      </c>
      <c r="Y133" s="105">
        <v>0</v>
      </c>
      <c r="Z133" s="105">
        <v>0</v>
      </c>
      <c r="AA133" s="105">
        <v>0</v>
      </c>
      <c r="AB133" s="105">
        <v>0</v>
      </c>
      <c r="AC133" s="8">
        <f t="shared" si="7"/>
        <v>6750000</v>
      </c>
      <c r="AD133" s="8">
        <f t="shared" si="8"/>
        <v>0</v>
      </c>
      <c r="AE133" s="8">
        <f t="shared" si="9"/>
        <v>0</v>
      </c>
      <c r="AF133" s="106">
        <f t="shared" si="10"/>
        <v>0</v>
      </c>
      <c r="AG133" s="8">
        <f t="shared" si="11"/>
        <v>0</v>
      </c>
      <c r="AH133" s="8">
        <f>IF($O133="Aktif",MAX(0,MIN($AE133,$AD133-SUM($AG133:AG133))),0)</f>
        <v>0</v>
      </c>
      <c r="AI133" s="8">
        <f>IF($O133="Aktif",MAX(0,MIN($AE133,$AD133-SUM($AG133:AH133))),0)</f>
        <v>0</v>
      </c>
      <c r="AJ133" s="8">
        <f>IF($O133="Aktif",MAX(0,MIN($AE133,$AD133-SUM($AG133:AI133))),0)</f>
        <v>0</v>
      </c>
      <c r="AK133" s="8">
        <f>IF($O133="Aktif",MAX(0,MIN($AE133,$AD133-SUM($AG133:AJ133))),0)</f>
        <v>0</v>
      </c>
      <c r="AL133" s="8">
        <f>IF($O133="Aktif",MAX(0,MIN($AE133,$AD133-SUM($AG133:AK133))),0)</f>
        <v>0</v>
      </c>
      <c r="AM133" s="8">
        <f>IF($O133="Aktif",MAX(0,MIN($AE133,$AD133-SUM($AG133:AL133))),0)</f>
        <v>0</v>
      </c>
      <c r="AN133" s="8">
        <f>IF($O133="Aktif",MAX(0,MIN($AE133,$AD133-SUM($AG133:AM133))),0)</f>
        <v>0</v>
      </c>
      <c r="AO133" s="8">
        <f>IF($O133="Aktif",MAX(0,MIN($AE133,$AD133-SUM($AG133:AN133))),0)</f>
        <v>0</v>
      </c>
      <c r="AP133" s="8">
        <f>IF($O133="Aktif",MAX(0,MIN($AE133,$AD133-SUM($AG133:AO133))),0)</f>
        <v>0</v>
      </c>
      <c r="AQ133" s="8">
        <f>IF($O133="Aktif",MAX(0,MIN($AE133,$AD133-SUM($AG133:AP133))),0)</f>
        <v>0</v>
      </c>
      <c r="AR133" s="8">
        <f>IF($O133="Aktif",MAX(0,MIN($AE133,$AD133-SUM($AG133:AQ133))),0)</f>
        <v>0</v>
      </c>
      <c r="AS133" s="8">
        <f>IF($O133="Aktif",MAX(0,MIN($AE133,$AD133-SUM($AG133:AR133))),0)</f>
        <v>0</v>
      </c>
      <c r="AT133" s="8">
        <f>IF($O133="Aktif",MAX(0,MIN($AE133,$AD133-SUM($AG133:AS133))),0)</f>
        <v>0</v>
      </c>
      <c r="AU133" s="8">
        <f>IF($O133="Aktif",MAX(0,MIN($AE133,$AD133-SUM($AG133:AT133))),0)</f>
        <v>0</v>
      </c>
      <c r="AV133" s="8">
        <f>IF($O133="Aktif",MAX(0,MIN($AE133,$AD133-SUM($AG133:AU133))),0)</f>
        <v>0</v>
      </c>
      <c r="AW133" s="8">
        <f t="shared" si="12"/>
        <v>0</v>
      </c>
      <c r="AX133" s="8">
        <f t="shared" si="13"/>
        <v>0</v>
      </c>
    </row>
    <row r="134" spans="1:50" ht="15" customHeight="1" x14ac:dyDescent="0.35">
      <c r="A134" s="102">
        <v>128</v>
      </c>
      <c r="B134" s="102" t="s">
        <v>586</v>
      </c>
      <c r="C134" s="103">
        <v>66</v>
      </c>
      <c r="D134" s="102" t="s">
        <v>184</v>
      </c>
      <c r="E134" s="102" t="s">
        <v>587</v>
      </c>
      <c r="F134" s="102" t="s">
        <v>588</v>
      </c>
      <c r="G134" s="102" t="s">
        <v>589</v>
      </c>
      <c r="H134" s="102" t="s">
        <v>590</v>
      </c>
      <c r="I134" s="102" t="s">
        <v>90</v>
      </c>
      <c r="J134" s="102"/>
      <c r="K134" s="102" t="s">
        <v>591</v>
      </c>
      <c r="L134" s="104">
        <v>39930</v>
      </c>
      <c r="M134" s="102" t="s">
        <v>732</v>
      </c>
      <c r="N134" s="102" t="s">
        <v>733</v>
      </c>
      <c r="O134" s="102" t="s">
        <v>383</v>
      </c>
      <c r="P134" s="103"/>
      <c r="Q134" s="105">
        <v>7300000</v>
      </c>
      <c r="R134" s="102"/>
      <c r="S134" s="105">
        <v>0</v>
      </c>
      <c r="T134" s="105">
        <v>7300000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Z134" s="105">
        <v>0</v>
      </c>
      <c r="AA134" s="105">
        <v>0</v>
      </c>
      <c r="AB134" s="105">
        <v>0</v>
      </c>
      <c r="AC134" s="8">
        <f t="shared" si="7"/>
        <v>7300000</v>
      </c>
      <c r="AD134" s="8">
        <f t="shared" si="8"/>
        <v>0</v>
      </c>
      <c r="AE134" s="8">
        <f t="shared" si="9"/>
        <v>0</v>
      </c>
      <c r="AF134" s="106">
        <f t="shared" si="10"/>
        <v>0</v>
      </c>
      <c r="AG134" s="8">
        <f t="shared" si="11"/>
        <v>0</v>
      </c>
      <c r="AH134" s="8">
        <f>IF($O134="Aktif",MAX(0,MIN($AE134,$AD134-SUM($AG134:AG134))),0)</f>
        <v>0</v>
      </c>
      <c r="AI134" s="8">
        <f>IF($O134="Aktif",MAX(0,MIN($AE134,$AD134-SUM($AG134:AH134))),0)</f>
        <v>0</v>
      </c>
      <c r="AJ134" s="8">
        <f>IF($O134="Aktif",MAX(0,MIN($AE134,$AD134-SUM($AG134:AI134))),0)</f>
        <v>0</v>
      </c>
      <c r="AK134" s="8">
        <f>IF($O134="Aktif",MAX(0,MIN($AE134,$AD134-SUM($AG134:AJ134))),0)</f>
        <v>0</v>
      </c>
      <c r="AL134" s="8">
        <f>IF($O134="Aktif",MAX(0,MIN($AE134,$AD134-SUM($AG134:AK134))),0)</f>
        <v>0</v>
      </c>
      <c r="AM134" s="8">
        <f>IF($O134="Aktif",MAX(0,MIN($AE134,$AD134-SUM($AG134:AL134))),0)</f>
        <v>0</v>
      </c>
      <c r="AN134" s="8">
        <f>IF($O134="Aktif",MAX(0,MIN($AE134,$AD134-SUM($AG134:AM134))),0)</f>
        <v>0</v>
      </c>
      <c r="AO134" s="8">
        <f>IF($O134="Aktif",MAX(0,MIN($AE134,$AD134-SUM($AG134:AN134))),0)</f>
        <v>0</v>
      </c>
      <c r="AP134" s="8">
        <f>IF($O134="Aktif",MAX(0,MIN($AE134,$AD134-SUM($AG134:AO134))),0)</f>
        <v>0</v>
      </c>
      <c r="AQ134" s="8">
        <f>IF($O134="Aktif",MAX(0,MIN($AE134,$AD134-SUM($AG134:AP134))),0)</f>
        <v>0</v>
      </c>
      <c r="AR134" s="8">
        <f>IF($O134="Aktif",MAX(0,MIN($AE134,$AD134-SUM($AG134:AQ134))),0)</f>
        <v>0</v>
      </c>
      <c r="AS134" s="8">
        <f>IF($O134="Aktif",MAX(0,MIN($AE134,$AD134-SUM($AG134:AR134))),0)</f>
        <v>0</v>
      </c>
      <c r="AT134" s="8">
        <f>IF($O134="Aktif",MAX(0,MIN($AE134,$AD134-SUM($AG134:AS134))),0)</f>
        <v>0</v>
      </c>
      <c r="AU134" s="8">
        <f>IF($O134="Aktif",MAX(0,MIN($AE134,$AD134-SUM($AG134:AT134))),0)</f>
        <v>0</v>
      </c>
      <c r="AV134" s="8">
        <f>IF($O134="Aktif",MAX(0,MIN($AE134,$AD134-SUM($AG134:AU134))),0)</f>
        <v>0</v>
      </c>
      <c r="AW134" s="8">
        <f t="shared" si="12"/>
        <v>0</v>
      </c>
      <c r="AX134" s="8">
        <f t="shared" si="13"/>
        <v>0</v>
      </c>
    </row>
    <row r="135" spans="1:50" ht="15" customHeight="1" x14ac:dyDescent="0.35">
      <c r="A135" s="102">
        <v>129</v>
      </c>
      <c r="B135" s="102" t="s">
        <v>586</v>
      </c>
      <c r="C135" s="103">
        <v>67</v>
      </c>
      <c r="D135" s="102" t="s">
        <v>184</v>
      </c>
      <c r="E135" s="102" t="s">
        <v>587</v>
      </c>
      <c r="F135" s="102" t="s">
        <v>588</v>
      </c>
      <c r="G135" s="102" t="s">
        <v>589</v>
      </c>
      <c r="H135" s="102" t="s">
        <v>590</v>
      </c>
      <c r="I135" s="102" t="s">
        <v>90</v>
      </c>
      <c r="J135" s="102"/>
      <c r="K135" s="102" t="s">
        <v>591</v>
      </c>
      <c r="L135" s="104">
        <v>39930</v>
      </c>
      <c r="M135" s="102" t="s">
        <v>738</v>
      </c>
      <c r="N135" s="102" t="s">
        <v>739</v>
      </c>
      <c r="O135" s="102" t="s">
        <v>383</v>
      </c>
      <c r="P135" s="103"/>
      <c r="Q135" s="105">
        <v>575000</v>
      </c>
      <c r="R135" s="102"/>
      <c r="S135" s="105">
        <v>0</v>
      </c>
      <c r="T135" s="105">
        <v>575000</v>
      </c>
      <c r="U135" s="105">
        <v>0</v>
      </c>
      <c r="V135" s="105">
        <v>0</v>
      </c>
      <c r="W135" s="105">
        <v>0</v>
      </c>
      <c r="X135" s="105">
        <v>0</v>
      </c>
      <c r="Y135" s="105">
        <v>0</v>
      </c>
      <c r="Z135" s="105">
        <v>0</v>
      </c>
      <c r="AA135" s="105">
        <v>0</v>
      </c>
      <c r="AB135" s="105">
        <v>0</v>
      </c>
      <c r="AC135" s="8">
        <f t="shared" ref="AC135:AC198" si="14">T135+SUM(U135:AB135)</f>
        <v>575000</v>
      </c>
      <c r="AD135" s="8">
        <f t="shared" ref="AD135:AD198" si="15">Q135-AC135</f>
        <v>0</v>
      </c>
      <c r="AE135" s="8">
        <f t="shared" ref="AE135:AE198" si="16">IF(O135="Aktif",AB135,0)</f>
        <v>0</v>
      </c>
      <c r="AF135" s="106">
        <f t="shared" ref="AF135:AF198" si="17">IF(AE135&gt;0,MAX(0,AD135)/AE135,0)</f>
        <v>0</v>
      </c>
      <c r="AG135" s="8">
        <f t="shared" ref="AG135:AG198" si="18">IF($O135="Aktif",MAX(0,MIN($AE135,$AD135-0)),0)</f>
        <v>0</v>
      </c>
      <c r="AH135" s="8">
        <f>IF($O135="Aktif",MAX(0,MIN($AE135,$AD135-SUM($AG135:AG135))),0)</f>
        <v>0</v>
      </c>
      <c r="AI135" s="8">
        <f>IF($O135="Aktif",MAX(0,MIN($AE135,$AD135-SUM($AG135:AH135))),0)</f>
        <v>0</v>
      </c>
      <c r="AJ135" s="8">
        <f>IF($O135="Aktif",MAX(0,MIN($AE135,$AD135-SUM($AG135:AI135))),0)</f>
        <v>0</v>
      </c>
      <c r="AK135" s="8">
        <f>IF($O135="Aktif",MAX(0,MIN($AE135,$AD135-SUM($AG135:AJ135))),0)</f>
        <v>0</v>
      </c>
      <c r="AL135" s="8">
        <f>IF($O135="Aktif",MAX(0,MIN($AE135,$AD135-SUM($AG135:AK135))),0)</f>
        <v>0</v>
      </c>
      <c r="AM135" s="8">
        <f>IF($O135="Aktif",MAX(0,MIN($AE135,$AD135-SUM($AG135:AL135))),0)</f>
        <v>0</v>
      </c>
      <c r="AN135" s="8">
        <f>IF($O135="Aktif",MAX(0,MIN($AE135,$AD135-SUM($AG135:AM135))),0)</f>
        <v>0</v>
      </c>
      <c r="AO135" s="8">
        <f>IF($O135="Aktif",MAX(0,MIN($AE135,$AD135-SUM($AG135:AN135))),0)</f>
        <v>0</v>
      </c>
      <c r="AP135" s="8">
        <f>IF($O135="Aktif",MAX(0,MIN($AE135,$AD135-SUM($AG135:AO135))),0)</f>
        <v>0</v>
      </c>
      <c r="AQ135" s="8">
        <f>IF($O135="Aktif",MAX(0,MIN($AE135,$AD135-SUM($AG135:AP135))),0)</f>
        <v>0</v>
      </c>
      <c r="AR135" s="8">
        <f>IF($O135="Aktif",MAX(0,MIN($AE135,$AD135-SUM($AG135:AQ135))),0)</f>
        <v>0</v>
      </c>
      <c r="AS135" s="8">
        <f>IF($O135="Aktif",MAX(0,MIN($AE135,$AD135-SUM($AG135:AR135))),0)</f>
        <v>0</v>
      </c>
      <c r="AT135" s="8">
        <f>IF($O135="Aktif",MAX(0,MIN($AE135,$AD135-SUM($AG135:AS135))),0)</f>
        <v>0</v>
      </c>
      <c r="AU135" s="8">
        <f>IF($O135="Aktif",MAX(0,MIN($AE135,$AD135-SUM($AG135:AT135))),0)</f>
        <v>0</v>
      </c>
      <c r="AV135" s="8">
        <f>IF($O135="Aktif",MAX(0,MIN($AE135,$AD135-SUM($AG135:AU135))),0)</f>
        <v>0</v>
      </c>
      <c r="AW135" s="8">
        <f t="shared" ref="AW135:AW198" si="19">SUM(AG135:AV135)</f>
        <v>0</v>
      </c>
      <c r="AX135" s="8">
        <f t="shared" ref="AX135:AX198" si="20">AD135-AW135</f>
        <v>0</v>
      </c>
    </row>
    <row r="136" spans="1:50" ht="15" customHeight="1" x14ac:dyDescent="0.35">
      <c r="A136" s="102">
        <v>130</v>
      </c>
      <c r="B136" s="102" t="s">
        <v>586</v>
      </c>
      <c r="C136" s="103">
        <v>68</v>
      </c>
      <c r="D136" s="102" t="s">
        <v>184</v>
      </c>
      <c r="E136" s="102" t="s">
        <v>587</v>
      </c>
      <c r="F136" s="102" t="s">
        <v>588</v>
      </c>
      <c r="G136" s="102" t="s">
        <v>589</v>
      </c>
      <c r="H136" s="102" t="s">
        <v>590</v>
      </c>
      <c r="I136" s="102" t="s">
        <v>90</v>
      </c>
      <c r="J136" s="102"/>
      <c r="K136" s="102" t="s">
        <v>591</v>
      </c>
      <c r="L136" s="104">
        <v>40044</v>
      </c>
      <c r="M136" s="102" t="s">
        <v>740</v>
      </c>
      <c r="N136" s="102" t="s">
        <v>741</v>
      </c>
      <c r="O136" s="102" t="s">
        <v>383</v>
      </c>
      <c r="P136" s="103"/>
      <c r="Q136" s="105">
        <v>775000</v>
      </c>
      <c r="R136" s="102"/>
      <c r="S136" s="105">
        <v>0</v>
      </c>
      <c r="T136" s="105">
        <v>775000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Z136" s="105">
        <v>0</v>
      </c>
      <c r="AA136" s="105">
        <v>0</v>
      </c>
      <c r="AB136" s="105">
        <v>0</v>
      </c>
      <c r="AC136" s="8">
        <f t="shared" si="14"/>
        <v>775000</v>
      </c>
      <c r="AD136" s="8">
        <f t="shared" si="15"/>
        <v>0</v>
      </c>
      <c r="AE136" s="8">
        <f t="shared" si="16"/>
        <v>0</v>
      </c>
      <c r="AF136" s="106">
        <f t="shared" si="17"/>
        <v>0</v>
      </c>
      <c r="AG136" s="8">
        <f t="shared" si="18"/>
        <v>0</v>
      </c>
      <c r="AH136" s="8">
        <f>IF($O136="Aktif",MAX(0,MIN($AE136,$AD136-SUM($AG136:AG136))),0)</f>
        <v>0</v>
      </c>
      <c r="AI136" s="8">
        <f>IF($O136="Aktif",MAX(0,MIN($AE136,$AD136-SUM($AG136:AH136))),0)</f>
        <v>0</v>
      </c>
      <c r="AJ136" s="8">
        <f>IF($O136="Aktif",MAX(0,MIN($AE136,$AD136-SUM($AG136:AI136))),0)</f>
        <v>0</v>
      </c>
      <c r="AK136" s="8">
        <f>IF($O136="Aktif",MAX(0,MIN($AE136,$AD136-SUM($AG136:AJ136))),0)</f>
        <v>0</v>
      </c>
      <c r="AL136" s="8">
        <f>IF($O136="Aktif",MAX(0,MIN($AE136,$AD136-SUM($AG136:AK136))),0)</f>
        <v>0</v>
      </c>
      <c r="AM136" s="8">
        <f>IF($O136="Aktif",MAX(0,MIN($AE136,$AD136-SUM($AG136:AL136))),0)</f>
        <v>0</v>
      </c>
      <c r="AN136" s="8">
        <f>IF($O136="Aktif",MAX(0,MIN($AE136,$AD136-SUM($AG136:AM136))),0)</f>
        <v>0</v>
      </c>
      <c r="AO136" s="8">
        <f>IF($O136="Aktif",MAX(0,MIN($AE136,$AD136-SUM($AG136:AN136))),0)</f>
        <v>0</v>
      </c>
      <c r="AP136" s="8">
        <f>IF($O136="Aktif",MAX(0,MIN($AE136,$AD136-SUM($AG136:AO136))),0)</f>
        <v>0</v>
      </c>
      <c r="AQ136" s="8">
        <f>IF($O136="Aktif",MAX(0,MIN($AE136,$AD136-SUM($AG136:AP136))),0)</f>
        <v>0</v>
      </c>
      <c r="AR136" s="8">
        <f>IF($O136="Aktif",MAX(0,MIN($AE136,$AD136-SUM($AG136:AQ136))),0)</f>
        <v>0</v>
      </c>
      <c r="AS136" s="8">
        <f>IF($O136="Aktif",MAX(0,MIN($AE136,$AD136-SUM($AG136:AR136))),0)</f>
        <v>0</v>
      </c>
      <c r="AT136" s="8">
        <f>IF($O136="Aktif",MAX(0,MIN($AE136,$AD136-SUM($AG136:AS136))),0)</f>
        <v>0</v>
      </c>
      <c r="AU136" s="8">
        <f>IF($O136="Aktif",MAX(0,MIN($AE136,$AD136-SUM($AG136:AT136))),0)</f>
        <v>0</v>
      </c>
      <c r="AV136" s="8">
        <f>IF($O136="Aktif",MAX(0,MIN($AE136,$AD136-SUM($AG136:AU136))),0)</f>
        <v>0</v>
      </c>
      <c r="AW136" s="8">
        <f t="shared" si="19"/>
        <v>0</v>
      </c>
      <c r="AX136" s="8">
        <f t="shared" si="20"/>
        <v>0</v>
      </c>
    </row>
    <row r="137" spans="1:50" ht="15" customHeight="1" x14ac:dyDescent="0.35">
      <c r="A137" s="102">
        <v>131</v>
      </c>
      <c r="B137" s="102" t="s">
        <v>586</v>
      </c>
      <c r="C137" s="103">
        <v>69</v>
      </c>
      <c r="D137" s="102" t="s">
        <v>184</v>
      </c>
      <c r="E137" s="102" t="s">
        <v>587</v>
      </c>
      <c r="F137" s="102" t="s">
        <v>588</v>
      </c>
      <c r="G137" s="102" t="s">
        <v>589</v>
      </c>
      <c r="H137" s="102" t="s">
        <v>590</v>
      </c>
      <c r="I137" s="102" t="s">
        <v>90</v>
      </c>
      <c r="J137" s="102"/>
      <c r="K137" s="102" t="s">
        <v>591</v>
      </c>
      <c r="L137" s="104">
        <v>40592</v>
      </c>
      <c r="M137" s="102" t="s">
        <v>742</v>
      </c>
      <c r="N137" s="102" t="s">
        <v>743</v>
      </c>
      <c r="O137" s="102" t="s">
        <v>383</v>
      </c>
      <c r="P137" s="103"/>
      <c r="Q137" s="105">
        <v>575000</v>
      </c>
      <c r="R137" s="102"/>
      <c r="S137" s="105">
        <v>0</v>
      </c>
      <c r="T137" s="105">
        <v>575000</v>
      </c>
      <c r="U137" s="105">
        <v>0</v>
      </c>
      <c r="V137" s="105">
        <v>0</v>
      </c>
      <c r="W137" s="105">
        <v>0</v>
      </c>
      <c r="X137" s="105">
        <v>0</v>
      </c>
      <c r="Y137" s="105">
        <v>0</v>
      </c>
      <c r="Z137" s="105">
        <v>0</v>
      </c>
      <c r="AA137" s="105">
        <v>0</v>
      </c>
      <c r="AB137" s="105">
        <v>0</v>
      </c>
      <c r="AC137" s="8">
        <f t="shared" si="14"/>
        <v>575000</v>
      </c>
      <c r="AD137" s="8">
        <f t="shared" si="15"/>
        <v>0</v>
      </c>
      <c r="AE137" s="8">
        <f t="shared" si="16"/>
        <v>0</v>
      </c>
      <c r="AF137" s="106">
        <f t="shared" si="17"/>
        <v>0</v>
      </c>
      <c r="AG137" s="8">
        <f t="shared" si="18"/>
        <v>0</v>
      </c>
      <c r="AH137" s="8">
        <f>IF($O137="Aktif",MAX(0,MIN($AE137,$AD137-SUM($AG137:AG137))),0)</f>
        <v>0</v>
      </c>
      <c r="AI137" s="8">
        <f>IF($O137="Aktif",MAX(0,MIN($AE137,$AD137-SUM($AG137:AH137))),0)</f>
        <v>0</v>
      </c>
      <c r="AJ137" s="8">
        <f>IF($O137="Aktif",MAX(0,MIN($AE137,$AD137-SUM($AG137:AI137))),0)</f>
        <v>0</v>
      </c>
      <c r="AK137" s="8">
        <f>IF($O137="Aktif",MAX(0,MIN($AE137,$AD137-SUM($AG137:AJ137))),0)</f>
        <v>0</v>
      </c>
      <c r="AL137" s="8">
        <f>IF($O137="Aktif",MAX(0,MIN($AE137,$AD137-SUM($AG137:AK137))),0)</f>
        <v>0</v>
      </c>
      <c r="AM137" s="8">
        <f>IF($O137="Aktif",MAX(0,MIN($AE137,$AD137-SUM($AG137:AL137))),0)</f>
        <v>0</v>
      </c>
      <c r="AN137" s="8">
        <f>IF($O137="Aktif",MAX(0,MIN($AE137,$AD137-SUM($AG137:AM137))),0)</f>
        <v>0</v>
      </c>
      <c r="AO137" s="8">
        <f>IF($O137="Aktif",MAX(0,MIN($AE137,$AD137-SUM($AG137:AN137))),0)</f>
        <v>0</v>
      </c>
      <c r="AP137" s="8">
        <f>IF($O137="Aktif",MAX(0,MIN($AE137,$AD137-SUM($AG137:AO137))),0)</f>
        <v>0</v>
      </c>
      <c r="AQ137" s="8">
        <f>IF($O137="Aktif",MAX(0,MIN($AE137,$AD137-SUM($AG137:AP137))),0)</f>
        <v>0</v>
      </c>
      <c r="AR137" s="8">
        <f>IF($O137="Aktif",MAX(0,MIN($AE137,$AD137-SUM($AG137:AQ137))),0)</f>
        <v>0</v>
      </c>
      <c r="AS137" s="8">
        <f>IF($O137="Aktif",MAX(0,MIN($AE137,$AD137-SUM($AG137:AR137))),0)</f>
        <v>0</v>
      </c>
      <c r="AT137" s="8">
        <f>IF($O137="Aktif",MAX(0,MIN($AE137,$AD137-SUM($AG137:AS137))),0)</f>
        <v>0</v>
      </c>
      <c r="AU137" s="8">
        <f>IF($O137="Aktif",MAX(0,MIN($AE137,$AD137-SUM($AG137:AT137))),0)</f>
        <v>0</v>
      </c>
      <c r="AV137" s="8">
        <f>IF($O137="Aktif",MAX(0,MIN($AE137,$AD137-SUM($AG137:AU137))),0)</f>
        <v>0</v>
      </c>
      <c r="AW137" s="8">
        <f t="shared" si="19"/>
        <v>0</v>
      </c>
      <c r="AX137" s="8">
        <f t="shared" si="20"/>
        <v>0</v>
      </c>
    </row>
    <row r="138" spans="1:50" ht="15" customHeight="1" x14ac:dyDescent="0.35">
      <c r="A138" s="102">
        <v>132</v>
      </c>
      <c r="B138" s="102" t="s">
        <v>586</v>
      </c>
      <c r="C138" s="103">
        <v>70</v>
      </c>
      <c r="D138" s="102" t="s">
        <v>184</v>
      </c>
      <c r="E138" s="102" t="s">
        <v>587</v>
      </c>
      <c r="F138" s="102" t="s">
        <v>588</v>
      </c>
      <c r="G138" s="102" t="s">
        <v>589</v>
      </c>
      <c r="H138" s="102" t="s">
        <v>590</v>
      </c>
      <c r="I138" s="102" t="s">
        <v>90</v>
      </c>
      <c r="J138" s="102" t="s">
        <v>744</v>
      </c>
      <c r="K138" s="102" t="s">
        <v>591</v>
      </c>
      <c r="L138" s="104">
        <v>42395</v>
      </c>
      <c r="M138" s="102" t="s">
        <v>745</v>
      </c>
      <c r="N138" s="102" t="s">
        <v>746</v>
      </c>
      <c r="O138" s="102" t="s">
        <v>383</v>
      </c>
      <c r="P138" s="103">
        <v>1</v>
      </c>
      <c r="Q138" s="105">
        <v>1175000</v>
      </c>
      <c r="R138" s="103">
        <v>48</v>
      </c>
      <c r="S138" s="105">
        <v>24479.166666666701</v>
      </c>
      <c r="T138" s="105">
        <v>1175000</v>
      </c>
      <c r="U138" s="105">
        <v>0</v>
      </c>
      <c r="V138" s="105">
        <v>0</v>
      </c>
      <c r="W138" s="105">
        <v>0</v>
      </c>
      <c r="X138" s="105">
        <v>0</v>
      </c>
      <c r="Y138" s="105">
        <v>0</v>
      </c>
      <c r="Z138" s="105">
        <v>0</v>
      </c>
      <c r="AA138" s="105">
        <v>0</v>
      </c>
      <c r="AB138" s="105">
        <v>0</v>
      </c>
      <c r="AC138" s="8">
        <f t="shared" si="14"/>
        <v>1175000</v>
      </c>
      <c r="AD138" s="8">
        <f t="shared" si="15"/>
        <v>0</v>
      </c>
      <c r="AE138" s="8">
        <f t="shared" si="16"/>
        <v>0</v>
      </c>
      <c r="AF138" s="106">
        <f t="shared" si="17"/>
        <v>0</v>
      </c>
      <c r="AG138" s="8">
        <f t="shared" si="18"/>
        <v>0</v>
      </c>
      <c r="AH138" s="8">
        <f>IF($O138="Aktif",MAX(0,MIN($AE138,$AD138-SUM($AG138:AG138))),0)</f>
        <v>0</v>
      </c>
      <c r="AI138" s="8">
        <f>IF($O138="Aktif",MAX(0,MIN($AE138,$AD138-SUM($AG138:AH138))),0)</f>
        <v>0</v>
      </c>
      <c r="AJ138" s="8">
        <f>IF($O138="Aktif",MAX(0,MIN($AE138,$AD138-SUM($AG138:AI138))),0)</f>
        <v>0</v>
      </c>
      <c r="AK138" s="8">
        <f>IF($O138="Aktif",MAX(0,MIN($AE138,$AD138-SUM($AG138:AJ138))),0)</f>
        <v>0</v>
      </c>
      <c r="AL138" s="8">
        <f>IF($O138="Aktif",MAX(0,MIN($AE138,$AD138-SUM($AG138:AK138))),0)</f>
        <v>0</v>
      </c>
      <c r="AM138" s="8">
        <f>IF($O138="Aktif",MAX(0,MIN($AE138,$AD138-SUM($AG138:AL138))),0)</f>
        <v>0</v>
      </c>
      <c r="AN138" s="8">
        <f>IF($O138="Aktif",MAX(0,MIN($AE138,$AD138-SUM($AG138:AM138))),0)</f>
        <v>0</v>
      </c>
      <c r="AO138" s="8">
        <f>IF($O138="Aktif",MAX(0,MIN($AE138,$AD138-SUM($AG138:AN138))),0)</f>
        <v>0</v>
      </c>
      <c r="AP138" s="8">
        <f>IF($O138="Aktif",MAX(0,MIN($AE138,$AD138-SUM($AG138:AO138))),0)</f>
        <v>0</v>
      </c>
      <c r="AQ138" s="8">
        <f>IF($O138="Aktif",MAX(0,MIN($AE138,$AD138-SUM($AG138:AP138))),0)</f>
        <v>0</v>
      </c>
      <c r="AR138" s="8">
        <f>IF($O138="Aktif",MAX(0,MIN($AE138,$AD138-SUM($AG138:AQ138))),0)</f>
        <v>0</v>
      </c>
      <c r="AS138" s="8">
        <f>IF($O138="Aktif",MAX(0,MIN($AE138,$AD138-SUM($AG138:AR138))),0)</f>
        <v>0</v>
      </c>
      <c r="AT138" s="8">
        <f>IF($O138="Aktif",MAX(0,MIN($AE138,$AD138-SUM($AG138:AS138))),0)</f>
        <v>0</v>
      </c>
      <c r="AU138" s="8">
        <f>IF($O138="Aktif",MAX(0,MIN($AE138,$AD138-SUM($AG138:AT138))),0)</f>
        <v>0</v>
      </c>
      <c r="AV138" s="8">
        <f>IF($O138="Aktif",MAX(0,MIN($AE138,$AD138-SUM($AG138:AU138))),0)</f>
        <v>0</v>
      </c>
      <c r="AW138" s="8">
        <f t="shared" si="19"/>
        <v>0</v>
      </c>
      <c r="AX138" s="8">
        <f t="shared" si="20"/>
        <v>0</v>
      </c>
    </row>
    <row r="139" spans="1:50" ht="15" customHeight="1" x14ac:dyDescent="0.35">
      <c r="A139" s="102">
        <v>133</v>
      </c>
      <c r="B139" s="102" t="s">
        <v>586</v>
      </c>
      <c r="C139" s="103">
        <v>71</v>
      </c>
      <c r="D139" s="102" t="s">
        <v>184</v>
      </c>
      <c r="E139" s="102" t="s">
        <v>587</v>
      </c>
      <c r="F139" s="102" t="s">
        <v>588</v>
      </c>
      <c r="G139" s="102" t="s">
        <v>589</v>
      </c>
      <c r="H139" s="102" t="s">
        <v>590</v>
      </c>
      <c r="I139" s="102" t="s">
        <v>90</v>
      </c>
      <c r="J139" s="102" t="s">
        <v>747</v>
      </c>
      <c r="K139" s="102" t="s">
        <v>591</v>
      </c>
      <c r="L139" s="104">
        <v>42460</v>
      </c>
      <c r="M139" s="102" t="s">
        <v>748</v>
      </c>
      <c r="N139" s="102" t="s">
        <v>749</v>
      </c>
      <c r="O139" s="102" t="s">
        <v>383</v>
      </c>
      <c r="P139" s="103">
        <v>1</v>
      </c>
      <c r="Q139" s="105">
        <v>1255000</v>
      </c>
      <c r="R139" s="103">
        <v>48</v>
      </c>
      <c r="S139" s="105">
        <v>26145.833333333299</v>
      </c>
      <c r="T139" s="105">
        <v>1255000</v>
      </c>
      <c r="U139" s="105">
        <v>0</v>
      </c>
      <c r="V139" s="105">
        <v>0</v>
      </c>
      <c r="W139" s="105">
        <v>0</v>
      </c>
      <c r="X139" s="105">
        <v>0</v>
      </c>
      <c r="Y139" s="105">
        <v>0</v>
      </c>
      <c r="Z139" s="105">
        <v>0</v>
      </c>
      <c r="AA139" s="105">
        <v>0</v>
      </c>
      <c r="AB139" s="105">
        <v>0</v>
      </c>
      <c r="AC139" s="8">
        <f t="shared" si="14"/>
        <v>1255000</v>
      </c>
      <c r="AD139" s="8">
        <f t="shared" si="15"/>
        <v>0</v>
      </c>
      <c r="AE139" s="8">
        <f t="shared" si="16"/>
        <v>0</v>
      </c>
      <c r="AF139" s="106">
        <f t="shared" si="17"/>
        <v>0</v>
      </c>
      <c r="AG139" s="8">
        <f t="shared" si="18"/>
        <v>0</v>
      </c>
      <c r="AH139" s="8">
        <f>IF($O139="Aktif",MAX(0,MIN($AE139,$AD139-SUM($AG139:AG139))),0)</f>
        <v>0</v>
      </c>
      <c r="AI139" s="8">
        <f>IF($O139="Aktif",MAX(0,MIN($AE139,$AD139-SUM($AG139:AH139))),0)</f>
        <v>0</v>
      </c>
      <c r="AJ139" s="8">
        <f>IF($O139="Aktif",MAX(0,MIN($AE139,$AD139-SUM($AG139:AI139))),0)</f>
        <v>0</v>
      </c>
      <c r="AK139" s="8">
        <f>IF($O139="Aktif",MAX(0,MIN($AE139,$AD139-SUM($AG139:AJ139))),0)</f>
        <v>0</v>
      </c>
      <c r="AL139" s="8">
        <f>IF($O139="Aktif",MAX(0,MIN($AE139,$AD139-SUM($AG139:AK139))),0)</f>
        <v>0</v>
      </c>
      <c r="AM139" s="8">
        <f>IF($O139="Aktif",MAX(0,MIN($AE139,$AD139-SUM($AG139:AL139))),0)</f>
        <v>0</v>
      </c>
      <c r="AN139" s="8">
        <f>IF($O139="Aktif",MAX(0,MIN($AE139,$AD139-SUM($AG139:AM139))),0)</f>
        <v>0</v>
      </c>
      <c r="AO139" s="8">
        <f>IF($O139="Aktif",MAX(0,MIN($AE139,$AD139-SUM($AG139:AN139))),0)</f>
        <v>0</v>
      </c>
      <c r="AP139" s="8">
        <f>IF($O139="Aktif",MAX(0,MIN($AE139,$AD139-SUM($AG139:AO139))),0)</f>
        <v>0</v>
      </c>
      <c r="AQ139" s="8">
        <f>IF($O139="Aktif",MAX(0,MIN($AE139,$AD139-SUM($AG139:AP139))),0)</f>
        <v>0</v>
      </c>
      <c r="AR139" s="8">
        <f>IF($O139="Aktif",MAX(0,MIN($AE139,$AD139-SUM($AG139:AQ139))),0)</f>
        <v>0</v>
      </c>
      <c r="AS139" s="8">
        <f>IF($O139="Aktif",MAX(0,MIN($AE139,$AD139-SUM($AG139:AR139))),0)</f>
        <v>0</v>
      </c>
      <c r="AT139" s="8">
        <f>IF($O139="Aktif",MAX(0,MIN($AE139,$AD139-SUM($AG139:AS139))),0)</f>
        <v>0</v>
      </c>
      <c r="AU139" s="8">
        <f>IF($O139="Aktif",MAX(0,MIN($AE139,$AD139-SUM($AG139:AT139))),0)</f>
        <v>0</v>
      </c>
      <c r="AV139" s="8">
        <f>IF($O139="Aktif",MAX(0,MIN($AE139,$AD139-SUM($AG139:AU139))),0)</f>
        <v>0</v>
      </c>
      <c r="AW139" s="8">
        <f t="shared" si="19"/>
        <v>0</v>
      </c>
      <c r="AX139" s="8">
        <f t="shared" si="20"/>
        <v>0</v>
      </c>
    </row>
    <row r="140" spans="1:50" ht="15" customHeight="1" x14ac:dyDescent="0.35">
      <c r="A140" s="102">
        <v>134</v>
      </c>
      <c r="B140" s="102" t="s">
        <v>586</v>
      </c>
      <c r="C140" s="103">
        <v>72</v>
      </c>
      <c r="D140" s="102" t="s">
        <v>184</v>
      </c>
      <c r="E140" s="102" t="s">
        <v>587</v>
      </c>
      <c r="F140" s="102" t="s">
        <v>588</v>
      </c>
      <c r="G140" s="102" t="s">
        <v>589</v>
      </c>
      <c r="H140" s="102" t="s">
        <v>590</v>
      </c>
      <c r="I140" s="102" t="s">
        <v>90</v>
      </c>
      <c r="J140" s="102" t="s">
        <v>750</v>
      </c>
      <c r="K140" s="102" t="s">
        <v>591</v>
      </c>
      <c r="L140" s="104">
        <v>42517</v>
      </c>
      <c r="M140" s="102" t="s">
        <v>751</v>
      </c>
      <c r="N140" s="102" t="s">
        <v>752</v>
      </c>
      <c r="O140" s="102" t="s">
        <v>383</v>
      </c>
      <c r="P140" s="103">
        <v>1</v>
      </c>
      <c r="Q140" s="105">
        <v>6250000</v>
      </c>
      <c r="R140" s="103">
        <v>48</v>
      </c>
      <c r="S140" s="105">
        <v>130208.33333333299</v>
      </c>
      <c r="T140" s="105">
        <v>6250000</v>
      </c>
      <c r="U140" s="105">
        <v>0</v>
      </c>
      <c r="V140" s="105">
        <v>0</v>
      </c>
      <c r="W140" s="105">
        <v>0</v>
      </c>
      <c r="X140" s="105">
        <v>0</v>
      </c>
      <c r="Y140" s="105">
        <v>0</v>
      </c>
      <c r="Z140" s="105">
        <v>0</v>
      </c>
      <c r="AA140" s="105">
        <v>0</v>
      </c>
      <c r="AB140" s="105">
        <v>0</v>
      </c>
      <c r="AC140" s="8">
        <f t="shared" si="14"/>
        <v>6250000</v>
      </c>
      <c r="AD140" s="8">
        <f t="shared" si="15"/>
        <v>0</v>
      </c>
      <c r="AE140" s="8">
        <f t="shared" si="16"/>
        <v>0</v>
      </c>
      <c r="AF140" s="106">
        <f t="shared" si="17"/>
        <v>0</v>
      </c>
      <c r="AG140" s="8">
        <f t="shared" si="18"/>
        <v>0</v>
      </c>
      <c r="AH140" s="8">
        <f>IF($O140="Aktif",MAX(0,MIN($AE140,$AD140-SUM($AG140:AG140))),0)</f>
        <v>0</v>
      </c>
      <c r="AI140" s="8">
        <f>IF($O140="Aktif",MAX(0,MIN($AE140,$AD140-SUM($AG140:AH140))),0)</f>
        <v>0</v>
      </c>
      <c r="AJ140" s="8">
        <f>IF($O140="Aktif",MAX(0,MIN($AE140,$AD140-SUM($AG140:AI140))),0)</f>
        <v>0</v>
      </c>
      <c r="AK140" s="8">
        <f>IF($O140="Aktif",MAX(0,MIN($AE140,$AD140-SUM($AG140:AJ140))),0)</f>
        <v>0</v>
      </c>
      <c r="AL140" s="8">
        <f>IF($O140="Aktif",MAX(0,MIN($AE140,$AD140-SUM($AG140:AK140))),0)</f>
        <v>0</v>
      </c>
      <c r="AM140" s="8">
        <f>IF($O140="Aktif",MAX(0,MIN($AE140,$AD140-SUM($AG140:AL140))),0)</f>
        <v>0</v>
      </c>
      <c r="AN140" s="8">
        <f>IF($O140="Aktif",MAX(0,MIN($AE140,$AD140-SUM($AG140:AM140))),0)</f>
        <v>0</v>
      </c>
      <c r="AO140" s="8">
        <f>IF($O140="Aktif",MAX(0,MIN($AE140,$AD140-SUM($AG140:AN140))),0)</f>
        <v>0</v>
      </c>
      <c r="AP140" s="8">
        <f>IF($O140="Aktif",MAX(0,MIN($AE140,$AD140-SUM($AG140:AO140))),0)</f>
        <v>0</v>
      </c>
      <c r="AQ140" s="8">
        <f>IF($O140="Aktif",MAX(0,MIN($AE140,$AD140-SUM($AG140:AP140))),0)</f>
        <v>0</v>
      </c>
      <c r="AR140" s="8">
        <f>IF($O140="Aktif",MAX(0,MIN($AE140,$AD140-SUM($AG140:AQ140))),0)</f>
        <v>0</v>
      </c>
      <c r="AS140" s="8">
        <f>IF($O140="Aktif",MAX(0,MIN($AE140,$AD140-SUM($AG140:AR140))),0)</f>
        <v>0</v>
      </c>
      <c r="AT140" s="8">
        <f>IF($O140="Aktif",MAX(0,MIN($AE140,$AD140-SUM($AG140:AS140))),0)</f>
        <v>0</v>
      </c>
      <c r="AU140" s="8">
        <f>IF($O140="Aktif",MAX(0,MIN($AE140,$AD140-SUM($AG140:AT140))),0)</f>
        <v>0</v>
      </c>
      <c r="AV140" s="8">
        <f>IF($O140="Aktif",MAX(0,MIN($AE140,$AD140-SUM($AG140:AU140))),0)</f>
        <v>0</v>
      </c>
      <c r="AW140" s="8">
        <f t="shared" si="19"/>
        <v>0</v>
      </c>
      <c r="AX140" s="8">
        <f t="shared" si="20"/>
        <v>0</v>
      </c>
    </row>
    <row r="141" spans="1:50" ht="15" customHeight="1" x14ac:dyDescent="0.35">
      <c r="A141" s="102">
        <v>135</v>
      </c>
      <c r="B141" s="102" t="s">
        <v>586</v>
      </c>
      <c r="C141" s="103">
        <v>73</v>
      </c>
      <c r="D141" s="102" t="s">
        <v>184</v>
      </c>
      <c r="E141" s="102" t="s">
        <v>587</v>
      </c>
      <c r="F141" s="102" t="s">
        <v>588</v>
      </c>
      <c r="G141" s="102" t="s">
        <v>589</v>
      </c>
      <c r="H141" s="102" t="s">
        <v>590</v>
      </c>
      <c r="I141" s="102" t="s">
        <v>90</v>
      </c>
      <c r="J141" s="102" t="s">
        <v>753</v>
      </c>
      <c r="K141" s="102" t="s">
        <v>591</v>
      </c>
      <c r="L141" s="104">
        <v>42517</v>
      </c>
      <c r="M141" s="102" t="s">
        <v>754</v>
      </c>
      <c r="N141" s="102" t="s">
        <v>755</v>
      </c>
      <c r="O141" s="102" t="s">
        <v>383</v>
      </c>
      <c r="P141" s="103">
        <v>1</v>
      </c>
      <c r="Q141" s="105">
        <v>4000000</v>
      </c>
      <c r="R141" s="103">
        <v>48</v>
      </c>
      <c r="S141" s="105">
        <v>83333.333333333299</v>
      </c>
      <c r="T141" s="105">
        <v>4000000</v>
      </c>
      <c r="U141" s="105">
        <v>0</v>
      </c>
      <c r="V141" s="105">
        <v>0</v>
      </c>
      <c r="W141" s="105">
        <v>0</v>
      </c>
      <c r="X141" s="105">
        <v>0</v>
      </c>
      <c r="Y141" s="105">
        <v>0</v>
      </c>
      <c r="Z141" s="105">
        <v>0</v>
      </c>
      <c r="AA141" s="105">
        <v>0</v>
      </c>
      <c r="AB141" s="105">
        <v>0</v>
      </c>
      <c r="AC141" s="8">
        <f t="shared" si="14"/>
        <v>4000000</v>
      </c>
      <c r="AD141" s="8">
        <f t="shared" si="15"/>
        <v>0</v>
      </c>
      <c r="AE141" s="8">
        <f t="shared" si="16"/>
        <v>0</v>
      </c>
      <c r="AF141" s="106">
        <f t="shared" si="17"/>
        <v>0</v>
      </c>
      <c r="AG141" s="8">
        <f t="shared" si="18"/>
        <v>0</v>
      </c>
      <c r="AH141" s="8">
        <f>IF($O141="Aktif",MAX(0,MIN($AE141,$AD141-SUM($AG141:AG141))),0)</f>
        <v>0</v>
      </c>
      <c r="AI141" s="8">
        <f>IF($O141="Aktif",MAX(0,MIN($AE141,$AD141-SUM($AG141:AH141))),0)</f>
        <v>0</v>
      </c>
      <c r="AJ141" s="8">
        <f>IF($O141="Aktif",MAX(0,MIN($AE141,$AD141-SUM($AG141:AI141))),0)</f>
        <v>0</v>
      </c>
      <c r="AK141" s="8">
        <f>IF($O141="Aktif",MAX(0,MIN($AE141,$AD141-SUM($AG141:AJ141))),0)</f>
        <v>0</v>
      </c>
      <c r="AL141" s="8">
        <f>IF($O141="Aktif",MAX(0,MIN($AE141,$AD141-SUM($AG141:AK141))),0)</f>
        <v>0</v>
      </c>
      <c r="AM141" s="8">
        <f>IF($O141="Aktif",MAX(0,MIN($AE141,$AD141-SUM($AG141:AL141))),0)</f>
        <v>0</v>
      </c>
      <c r="AN141" s="8">
        <f>IF($O141="Aktif",MAX(0,MIN($AE141,$AD141-SUM($AG141:AM141))),0)</f>
        <v>0</v>
      </c>
      <c r="AO141" s="8">
        <f>IF($O141="Aktif",MAX(0,MIN($AE141,$AD141-SUM($AG141:AN141))),0)</f>
        <v>0</v>
      </c>
      <c r="AP141" s="8">
        <f>IF($O141="Aktif",MAX(0,MIN($AE141,$AD141-SUM($AG141:AO141))),0)</f>
        <v>0</v>
      </c>
      <c r="AQ141" s="8">
        <f>IF($O141="Aktif",MAX(0,MIN($AE141,$AD141-SUM($AG141:AP141))),0)</f>
        <v>0</v>
      </c>
      <c r="AR141" s="8">
        <f>IF($O141="Aktif",MAX(0,MIN($AE141,$AD141-SUM($AG141:AQ141))),0)</f>
        <v>0</v>
      </c>
      <c r="AS141" s="8">
        <f>IF($O141="Aktif",MAX(0,MIN($AE141,$AD141-SUM($AG141:AR141))),0)</f>
        <v>0</v>
      </c>
      <c r="AT141" s="8">
        <f>IF($O141="Aktif",MAX(0,MIN($AE141,$AD141-SUM($AG141:AS141))),0)</f>
        <v>0</v>
      </c>
      <c r="AU141" s="8">
        <f>IF($O141="Aktif",MAX(0,MIN($AE141,$AD141-SUM($AG141:AT141))),0)</f>
        <v>0</v>
      </c>
      <c r="AV141" s="8">
        <f>IF($O141="Aktif",MAX(0,MIN($AE141,$AD141-SUM($AG141:AU141))),0)</f>
        <v>0</v>
      </c>
      <c r="AW141" s="8">
        <f t="shared" si="19"/>
        <v>0</v>
      </c>
      <c r="AX141" s="8">
        <f t="shared" si="20"/>
        <v>0</v>
      </c>
    </row>
    <row r="142" spans="1:50" ht="15" customHeight="1" x14ac:dyDescent="0.35">
      <c r="A142" s="102">
        <v>136</v>
      </c>
      <c r="B142" s="102" t="s">
        <v>586</v>
      </c>
      <c r="C142" s="103">
        <v>74</v>
      </c>
      <c r="D142" s="102" t="s">
        <v>184</v>
      </c>
      <c r="E142" s="102" t="s">
        <v>587</v>
      </c>
      <c r="F142" s="102" t="s">
        <v>588</v>
      </c>
      <c r="G142" s="102" t="s">
        <v>589</v>
      </c>
      <c r="H142" s="102" t="s">
        <v>590</v>
      </c>
      <c r="I142" s="102" t="s">
        <v>90</v>
      </c>
      <c r="J142" s="102" t="s">
        <v>756</v>
      </c>
      <c r="K142" s="102" t="s">
        <v>591</v>
      </c>
      <c r="L142" s="104">
        <v>42517</v>
      </c>
      <c r="M142" s="102" t="s">
        <v>757</v>
      </c>
      <c r="N142" s="102" t="s">
        <v>758</v>
      </c>
      <c r="O142" s="102" t="s">
        <v>383</v>
      </c>
      <c r="P142" s="103">
        <v>1</v>
      </c>
      <c r="Q142" s="105">
        <v>7600000</v>
      </c>
      <c r="R142" s="103">
        <v>48</v>
      </c>
      <c r="S142" s="105">
        <v>158333.33333333299</v>
      </c>
      <c r="T142" s="105">
        <v>7600000</v>
      </c>
      <c r="U142" s="105">
        <v>0</v>
      </c>
      <c r="V142" s="105">
        <v>0</v>
      </c>
      <c r="W142" s="105">
        <v>0</v>
      </c>
      <c r="X142" s="105">
        <v>0</v>
      </c>
      <c r="Y142" s="105">
        <v>0</v>
      </c>
      <c r="Z142" s="105">
        <v>0</v>
      </c>
      <c r="AA142" s="105">
        <v>0</v>
      </c>
      <c r="AB142" s="105">
        <v>0</v>
      </c>
      <c r="AC142" s="8">
        <f t="shared" si="14"/>
        <v>7600000</v>
      </c>
      <c r="AD142" s="8">
        <f t="shared" si="15"/>
        <v>0</v>
      </c>
      <c r="AE142" s="8">
        <f t="shared" si="16"/>
        <v>0</v>
      </c>
      <c r="AF142" s="106">
        <f t="shared" si="17"/>
        <v>0</v>
      </c>
      <c r="AG142" s="8">
        <f t="shared" si="18"/>
        <v>0</v>
      </c>
      <c r="AH142" s="8">
        <f>IF($O142="Aktif",MAX(0,MIN($AE142,$AD142-SUM($AG142:AG142))),0)</f>
        <v>0</v>
      </c>
      <c r="AI142" s="8">
        <f>IF($O142="Aktif",MAX(0,MIN($AE142,$AD142-SUM($AG142:AH142))),0)</f>
        <v>0</v>
      </c>
      <c r="AJ142" s="8">
        <f>IF($O142="Aktif",MAX(0,MIN($AE142,$AD142-SUM($AG142:AI142))),0)</f>
        <v>0</v>
      </c>
      <c r="AK142" s="8">
        <f>IF($O142="Aktif",MAX(0,MIN($AE142,$AD142-SUM($AG142:AJ142))),0)</f>
        <v>0</v>
      </c>
      <c r="AL142" s="8">
        <f>IF($O142="Aktif",MAX(0,MIN($AE142,$AD142-SUM($AG142:AK142))),0)</f>
        <v>0</v>
      </c>
      <c r="AM142" s="8">
        <f>IF($O142="Aktif",MAX(0,MIN($AE142,$AD142-SUM($AG142:AL142))),0)</f>
        <v>0</v>
      </c>
      <c r="AN142" s="8">
        <f>IF($O142="Aktif",MAX(0,MIN($AE142,$AD142-SUM($AG142:AM142))),0)</f>
        <v>0</v>
      </c>
      <c r="AO142" s="8">
        <f>IF($O142="Aktif",MAX(0,MIN($AE142,$AD142-SUM($AG142:AN142))),0)</f>
        <v>0</v>
      </c>
      <c r="AP142" s="8">
        <f>IF($O142="Aktif",MAX(0,MIN($AE142,$AD142-SUM($AG142:AO142))),0)</f>
        <v>0</v>
      </c>
      <c r="AQ142" s="8">
        <f>IF($O142="Aktif",MAX(0,MIN($AE142,$AD142-SUM($AG142:AP142))),0)</f>
        <v>0</v>
      </c>
      <c r="AR142" s="8">
        <f>IF($O142="Aktif",MAX(0,MIN($AE142,$AD142-SUM($AG142:AQ142))),0)</f>
        <v>0</v>
      </c>
      <c r="AS142" s="8">
        <f>IF($O142="Aktif",MAX(0,MIN($AE142,$AD142-SUM($AG142:AR142))),0)</f>
        <v>0</v>
      </c>
      <c r="AT142" s="8">
        <f>IF($O142="Aktif",MAX(0,MIN($AE142,$AD142-SUM($AG142:AS142))),0)</f>
        <v>0</v>
      </c>
      <c r="AU142" s="8">
        <f>IF($O142="Aktif",MAX(0,MIN($AE142,$AD142-SUM($AG142:AT142))),0)</f>
        <v>0</v>
      </c>
      <c r="AV142" s="8">
        <f>IF($O142="Aktif",MAX(0,MIN($AE142,$AD142-SUM($AG142:AU142))),0)</f>
        <v>0</v>
      </c>
      <c r="AW142" s="8">
        <f t="shared" si="19"/>
        <v>0</v>
      </c>
      <c r="AX142" s="8">
        <f t="shared" si="20"/>
        <v>0</v>
      </c>
    </row>
    <row r="143" spans="1:50" ht="15" customHeight="1" x14ac:dyDescent="0.35">
      <c r="A143" s="102">
        <v>137</v>
      </c>
      <c r="B143" s="102" t="s">
        <v>586</v>
      </c>
      <c r="C143" s="103">
        <v>75</v>
      </c>
      <c r="D143" s="102" t="s">
        <v>184</v>
      </c>
      <c r="E143" s="102" t="s">
        <v>587</v>
      </c>
      <c r="F143" s="102" t="s">
        <v>588</v>
      </c>
      <c r="G143" s="102" t="s">
        <v>589</v>
      </c>
      <c r="H143" s="102" t="s">
        <v>590</v>
      </c>
      <c r="I143" s="102" t="s">
        <v>90</v>
      </c>
      <c r="J143" s="102" t="s">
        <v>759</v>
      </c>
      <c r="K143" s="102" t="s">
        <v>591</v>
      </c>
      <c r="L143" s="104">
        <v>42551</v>
      </c>
      <c r="M143" s="102" t="s">
        <v>760</v>
      </c>
      <c r="N143" s="102" t="s">
        <v>761</v>
      </c>
      <c r="O143" s="102" t="s">
        <v>383</v>
      </c>
      <c r="P143" s="103">
        <v>1</v>
      </c>
      <c r="Q143" s="105">
        <v>38000000</v>
      </c>
      <c r="R143" s="103">
        <v>48</v>
      </c>
      <c r="S143" s="105">
        <v>791666.66666666698</v>
      </c>
      <c r="T143" s="105">
        <v>38000000</v>
      </c>
      <c r="U143" s="105">
        <v>0</v>
      </c>
      <c r="V143" s="105">
        <v>0</v>
      </c>
      <c r="W143" s="105">
        <v>0</v>
      </c>
      <c r="X143" s="105">
        <v>0</v>
      </c>
      <c r="Y143" s="105">
        <v>0</v>
      </c>
      <c r="Z143" s="105">
        <v>0</v>
      </c>
      <c r="AA143" s="105">
        <v>0</v>
      </c>
      <c r="AB143" s="105">
        <v>0</v>
      </c>
      <c r="AC143" s="8">
        <f t="shared" si="14"/>
        <v>38000000</v>
      </c>
      <c r="AD143" s="8">
        <f t="shared" si="15"/>
        <v>0</v>
      </c>
      <c r="AE143" s="8">
        <f t="shared" si="16"/>
        <v>0</v>
      </c>
      <c r="AF143" s="106">
        <f t="shared" si="17"/>
        <v>0</v>
      </c>
      <c r="AG143" s="8">
        <f t="shared" si="18"/>
        <v>0</v>
      </c>
      <c r="AH143" s="8">
        <f>IF($O143="Aktif",MAX(0,MIN($AE143,$AD143-SUM($AG143:AG143))),0)</f>
        <v>0</v>
      </c>
      <c r="AI143" s="8">
        <f>IF($O143="Aktif",MAX(0,MIN($AE143,$AD143-SUM($AG143:AH143))),0)</f>
        <v>0</v>
      </c>
      <c r="AJ143" s="8">
        <f>IF($O143="Aktif",MAX(0,MIN($AE143,$AD143-SUM($AG143:AI143))),0)</f>
        <v>0</v>
      </c>
      <c r="AK143" s="8">
        <f>IF($O143="Aktif",MAX(0,MIN($AE143,$AD143-SUM($AG143:AJ143))),0)</f>
        <v>0</v>
      </c>
      <c r="AL143" s="8">
        <f>IF($O143="Aktif",MAX(0,MIN($AE143,$AD143-SUM($AG143:AK143))),0)</f>
        <v>0</v>
      </c>
      <c r="AM143" s="8">
        <f>IF($O143="Aktif",MAX(0,MIN($AE143,$AD143-SUM($AG143:AL143))),0)</f>
        <v>0</v>
      </c>
      <c r="AN143" s="8">
        <f>IF($O143="Aktif",MAX(0,MIN($AE143,$AD143-SUM($AG143:AM143))),0)</f>
        <v>0</v>
      </c>
      <c r="AO143" s="8">
        <f>IF($O143="Aktif",MAX(0,MIN($AE143,$AD143-SUM($AG143:AN143))),0)</f>
        <v>0</v>
      </c>
      <c r="AP143" s="8">
        <f>IF($O143="Aktif",MAX(0,MIN($AE143,$AD143-SUM($AG143:AO143))),0)</f>
        <v>0</v>
      </c>
      <c r="AQ143" s="8">
        <f>IF($O143="Aktif",MAX(0,MIN($AE143,$AD143-SUM($AG143:AP143))),0)</f>
        <v>0</v>
      </c>
      <c r="AR143" s="8">
        <f>IF($O143="Aktif",MAX(0,MIN($AE143,$AD143-SUM($AG143:AQ143))),0)</f>
        <v>0</v>
      </c>
      <c r="AS143" s="8">
        <f>IF($O143="Aktif",MAX(0,MIN($AE143,$AD143-SUM($AG143:AR143))),0)</f>
        <v>0</v>
      </c>
      <c r="AT143" s="8">
        <f>IF($O143="Aktif",MAX(0,MIN($AE143,$AD143-SUM($AG143:AS143))),0)</f>
        <v>0</v>
      </c>
      <c r="AU143" s="8">
        <f>IF($O143="Aktif",MAX(0,MIN($AE143,$AD143-SUM($AG143:AT143))),0)</f>
        <v>0</v>
      </c>
      <c r="AV143" s="8">
        <f>IF($O143="Aktif",MAX(0,MIN($AE143,$AD143-SUM($AG143:AU143))),0)</f>
        <v>0</v>
      </c>
      <c r="AW143" s="8">
        <f t="shared" si="19"/>
        <v>0</v>
      </c>
      <c r="AX143" s="8">
        <f t="shared" si="20"/>
        <v>0</v>
      </c>
    </row>
    <row r="144" spans="1:50" ht="15" customHeight="1" x14ac:dyDescent="0.35">
      <c r="A144" s="102">
        <v>138</v>
      </c>
      <c r="B144" s="102" t="s">
        <v>586</v>
      </c>
      <c r="C144" s="103">
        <v>76</v>
      </c>
      <c r="D144" s="102" t="s">
        <v>184</v>
      </c>
      <c r="E144" s="102" t="s">
        <v>587</v>
      </c>
      <c r="F144" s="102" t="s">
        <v>588</v>
      </c>
      <c r="G144" s="102" t="s">
        <v>589</v>
      </c>
      <c r="H144" s="102" t="s">
        <v>590</v>
      </c>
      <c r="I144" s="102" t="s">
        <v>90</v>
      </c>
      <c r="J144" s="102" t="s">
        <v>762</v>
      </c>
      <c r="K144" s="102" t="s">
        <v>591</v>
      </c>
      <c r="L144" s="104">
        <v>42577</v>
      </c>
      <c r="M144" s="102" t="s">
        <v>763</v>
      </c>
      <c r="N144" s="102" t="s">
        <v>764</v>
      </c>
      <c r="O144" s="102" t="s">
        <v>383</v>
      </c>
      <c r="P144" s="103">
        <v>1</v>
      </c>
      <c r="Q144" s="105">
        <v>2750000</v>
      </c>
      <c r="R144" s="103">
        <v>48</v>
      </c>
      <c r="S144" s="105">
        <v>57291.666666666701</v>
      </c>
      <c r="T144" s="105">
        <v>2750000</v>
      </c>
      <c r="U144" s="105">
        <v>0</v>
      </c>
      <c r="V144" s="105">
        <v>0</v>
      </c>
      <c r="W144" s="105">
        <v>0</v>
      </c>
      <c r="X144" s="105">
        <v>0</v>
      </c>
      <c r="Y144" s="105">
        <v>0</v>
      </c>
      <c r="Z144" s="105">
        <v>0</v>
      </c>
      <c r="AA144" s="105">
        <v>0</v>
      </c>
      <c r="AB144" s="105">
        <v>0</v>
      </c>
      <c r="AC144" s="8">
        <f t="shared" si="14"/>
        <v>2750000</v>
      </c>
      <c r="AD144" s="8">
        <f t="shared" si="15"/>
        <v>0</v>
      </c>
      <c r="AE144" s="8">
        <f t="shared" si="16"/>
        <v>0</v>
      </c>
      <c r="AF144" s="106">
        <f t="shared" si="17"/>
        <v>0</v>
      </c>
      <c r="AG144" s="8">
        <f t="shared" si="18"/>
        <v>0</v>
      </c>
      <c r="AH144" s="8">
        <f>IF($O144="Aktif",MAX(0,MIN($AE144,$AD144-SUM($AG144:AG144))),0)</f>
        <v>0</v>
      </c>
      <c r="AI144" s="8">
        <f>IF($O144="Aktif",MAX(0,MIN($AE144,$AD144-SUM($AG144:AH144))),0)</f>
        <v>0</v>
      </c>
      <c r="AJ144" s="8">
        <f>IF($O144="Aktif",MAX(0,MIN($AE144,$AD144-SUM($AG144:AI144))),0)</f>
        <v>0</v>
      </c>
      <c r="AK144" s="8">
        <f>IF($O144="Aktif",MAX(0,MIN($AE144,$AD144-SUM($AG144:AJ144))),0)</f>
        <v>0</v>
      </c>
      <c r="AL144" s="8">
        <f>IF($O144="Aktif",MAX(0,MIN($AE144,$AD144-SUM($AG144:AK144))),0)</f>
        <v>0</v>
      </c>
      <c r="AM144" s="8">
        <f>IF($O144="Aktif",MAX(0,MIN($AE144,$AD144-SUM($AG144:AL144))),0)</f>
        <v>0</v>
      </c>
      <c r="AN144" s="8">
        <f>IF($O144="Aktif",MAX(0,MIN($AE144,$AD144-SUM($AG144:AM144))),0)</f>
        <v>0</v>
      </c>
      <c r="AO144" s="8">
        <f>IF($O144="Aktif",MAX(0,MIN($AE144,$AD144-SUM($AG144:AN144))),0)</f>
        <v>0</v>
      </c>
      <c r="AP144" s="8">
        <f>IF($O144="Aktif",MAX(0,MIN($AE144,$AD144-SUM($AG144:AO144))),0)</f>
        <v>0</v>
      </c>
      <c r="AQ144" s="8">
        <f>IF($O144="Aktif",MAX(0,MIN($AE144,$AD144-SUM($AG144:AP144))),0)</f>
        <v>0</v>
      </c>
      <c r="AR144" s="8">
        <f>IF($O144="Aktif",MAX(0,MIN($AE144,$AD144-SUM($AG144:AQ144))),0)</f>
        <v>0</v>
      </c>
      <c r="AS144" s="8">
        <f>IF($O144="Aktif",MAX(0,MIN($AE144,$AD144-SUM($AG144:AR144))),0)</f>
        <v>0</v>
      </c>
      <c r="AT144" s="8">
        <f>IF($O144="Aktif",MAX(0,MIN($AE144,$AD144-SUM($AG144:AS144))),0)</f>
        <v>0</v>
      </c>
      <c r="AU144" s="8">
        <f>IF($O144="Aktif",MAX(0,MIN($AE144,$AD144-SUM($AG144:AT144))),0)</f>
        <v>0</v>
      </c>
      <c r="AV144" s="8">
        <f>IF($O144="Aktif",MAX(0,MIN($AE144,$AD144-SUM($AG144:AU144))),0)</f>
        <v>0</v>
      </c>
      <c r="AW144" s="8">
        <f t="shared" si="19"/>
        <v>0</v>
      </c>
      <c r="AX144" s="8">
        <f t="shared" si="20"/>
        <v>0</v>
      </c>
    </row>
    <row r="145" spans="1:50" ht="15" customHeight="1" x14ac:dyDescent="0.35">
      <c r="A145" s="102">
        <v>139</v>
      </c>
      <c r="B145" s="102" t="s">
        <v>586</v>
      </c>
      <c r="C145" s="103">
        <v>77</v>
      </c>
      <c r="D145" s="102" t="s">
        <v>184</v>
      </c>
      <c r="E145" s="102" t="s">
        <v>587</v>
      </c>
      <c r="F145" s="102" t="s">
        <v>588</v>
      </c>
      <c r="G145" s="102" t="s">
        <v>589</v>
      </c>
      <c r="H145" s="102" t="s">
        <v>590</v>
      </c>
      <c r="I145" s="102" t="s">
        <v>90</v>
      </c>
      <c r="J145" s="102" t="s">
        <v>765</v>
      </c>
      <c r="K145" s="102" t="s">
        <v>591</v>
      </c>
      <c r="L145" s="104">
        <v>42598</v>
      </c>
      <c r="M145" s="102" t="s">
        <v>766</v>
      </c>
      <c r="N145" s="102" t="s">
        <v>767</v>
      </c>
      <c r="O145" s="102" t="s">
        <v>383</v>
      </c>
      <c r="P145" s="103">
        <v>1</v>
      </c>
      <c r="Q145" s="105">
        <v>2350000</v>
      </c>
      <c r="R145" s="103">
        <v>48</v>
      </c>
      <c r="S145" s="105">
        <v>48958.333333333299</v>
      </c>
      <c r="T145" s="105">
        <v>2350000</v>
      </c>
      <c r="U145" s="105">
        <v>0</v>
      </c>
      <c r="V145" s="105">
        <v>0</v>
      </c>
      <c r="W145" s="105">
        <v>0</v>
      </c>
      <c r="X145" s="105">
        <v>0</v>
      </c>
      <c r="Y145" s="105">
        <v>0</v>
      </c>
      <c r="Z145" s="105">
        <v>0</v>
      </c>
      <c r="AA145" s="105">
        <v>0</v>
      </c>
      <c r="AB145" s="105">
        <v>0</v>
      </c>
      <c r="AC145" s="8">
        <f t="shared" si="14"/>
        <v>2350000</v>
      </c>
      <c r="AD145" s="8">
        <f t="shared" si="15"/>
        <v>0</v>
      </c>
      <c r="AE145" s="8">
        <f t="shared" si="16"/>
        <v>0</v>
      </c>
      <c r="AF145" s="106">
        <f t="shared" si="17"/>
        <v>0</v>
      </c>
      <c r="AG145" s="8">
        <f t="shared" si="18"/>
        <v>0</v>
      </c>
      <c r="AH145" s="8">
        <f>IF($O145="Aktif",MAX(0,MIN($AE145,$AD145-SUM($AG145:AG145))),0)</f>
        <v>0</v>
      </c>
      <c r="AI145" s="8">
        <f>IF($O145="Aktif",MAX(0,MIN($AE145,$AD145-SUM($AG145:AH145))),0)</f>
        <v>0</v>
      </c>
      <c r="AJ145" s="8">
        <f>IF($O145="Aktif",MAX(0,MIN($AE145,$AD145-SUM($AG145:AI145))),0)</f>
        <v>0</v>
      </c>
      <c r="AK145" s="8">
        <f>IF($O145="Aktif",MAX(0,MIN($AE145,$AD145-SUM($AG145:AJ145))),0)</f>
        <v>0</v>
      </c>
      <c r="AL145" s="8">
        <f>IF($O145="Aktif",MAX(0,MIN($AE145,$AD145-SUM($AG145:AK145))),0)</f>
        <v>0</v>
      </c>
      <c r="AM145" s="8">
        <f>IF($O145="Aktif",MAX(0,MIN($AE145,$AD145-SUM($AG145:AL145))),0)</f>
        <v>0</v>
      </c>
      <c r="AN145" s="8">
        <f>IF($O145="Aktif",MAX(0,MIN($AE145,$AD145-SUM($AG145:AM145))),0)</f>
        <v>0</v>
      </c>
      <c r="AO145" s="8">
        <f>IF($O145="Aktif",MAX(0,MIN($AE145,$AD145-SUM($AG145:AN145))),0)</f>
        <v>0</v>
      </c>
      <c r="AP145" s="8">
        <f>IF($O145="Aktif",MAX(0,MIN($AE145,$AD145-SUM($AG145:AO145))),0)</f>
        <v>0</v>
      </c>
      <c r="AQ145" s="8">
        <f>IF($O145="Aktif",MAX(0,MIN($AE145,$AD145-SUM($AG145:AP145))),0)</f>
        <v>0</v>
      </c>
      <c r="AR145" s="8">
        <f>IF($O145="Aktif",MAX(0,MIN($AE145,$AD145-SUM($AG145:AQ145))),0)</f>
        <v>0</v>
      </c>
      <c r="AS145" s="8">
        <f>IF($O145="Aktif",MAX(0,MIN($AE145,$AD145-SUM($AG145:AR145))),0)</f>
        <v>0</v>
      </c>
      <c r="AT145" s="8">
        <f>IF($O145="Aktif",MAX(0,MIN($AE145,$AD145-SUM($AG145:AS145))),0)</f>
        <v>0</v>
      </c>
      <c r="AU145" s="8">
        <f>IF($O145="Aktif",MAX(0,MIN($AE145,$AD145-SUM($AG145:AT145))),0)</f>
        <v>0</v>
      </c>
      <c r="AV145" s="8">
        <f>IF($O145="Aktif",MAX(0,MIN($AE145,$AD145-SUM($AG145:AU145))),0)</f>
        <v>0</v>
      </c>
      <c r="AW145" s="8">
        <f t="shared" si="19"/>
        <v>0</v>
      </c>
      <c r="AX145" s="8">
        <f t="shared" si="20"/>
        <v>0</v>
      </c>
    </row>
    <row r="146" spans="1:50" ht="15" customHeight="1" x14ac:dyDescent="0.35">
      <c r="A146" s="102">
        <v>140</v>
      </c>
      <c r="B146" s="102" t="s">
        <v>586</v>
      </c>
      <c r="C146" s="103">
        <v>78</v>
      </c>
      <c r="D146" s="102" t="s">
        <v>184</v>
      </c>
      <c r="E146" s="102" t="s">
        <v>587</v>
      </c>
      <c r="F146" s="102" t="s">
        <v>588</v>
      </c>
      <c r="G146" s="102" t="s">
        <v>589</v>
      </c>
      <c r="H146" s="102" t="s">
        <v>590</v>
      </c>
      <c r="I146" s="102" t="s">
        <v>90</v>
      </c>
      <c r="J146" s="102" t="s">
        <v>768</v>
      </c>
      <c r="K146" s="102" t="s">
        <v>591</v>
      </c>
      <c r="L146" s="104">
        <v>42598</v>
      </c>
      <c r="M146" s="102" t="s">
        <v>769</v>
      </c>
      <c r="N146" s="102" t="s">
        <v>770</v>
      </c>
      <c r="O146" s="102" t="s">
        <v>383</v>
      </c>
      <c r="P146" s="103">
        <v>1</v>
      </c>
      <c r="Q146" s="105">
        <v>3790000</v>
      </c>
      <c r="R146" s="103">
        <v>48</v>
      </c>
      <c r="S146" s="105">
        <v>78958.333333333299</v>
      </c>
      <c r="T146" s="105">
        <v>3790000</v>
      </c>
      <c r="U146" s="105">
        <v>0</v>
      </c>
      <c r="V146" s="105">
        <v>0</v>
      </c>
      <c r="W146" s="105">
        <v>0</v>
      </c>
      <c r="X146" s="105">
        <v>0</v>
      </c>
      <c r="Y146" s="105">
        <v>0</v>
      </c>
      <c r="Z146" s="105">
        <v>0</v>
      </c>
      <c r="AA146" s="105">
        <v>0</v>
      </c>
      <c r="AB146" s="105">
        <v>0</v>
      </c>
      <c r="AC146" s="8">
        <f t="shared" si="14"/>
        <v>3790000</v>
      </c>
      <c r="AD146" s="8">
        <f t="shared" si="15"/>
        <v>0</v>
      </c>
      <c r="AE146" s="8">
        <f t="shared" si="16"/>
        <v>0</v>
      </c>
      <c r="AF146" s="106">
        <f t="shared" si="17"/>
        <v>0</v>
      </c>
      <c r="AG146" s="8">
        <f t="shared" si="18"/>
        <v>0</v>
      </c>
      <c r="AH146" s="8">
        <f>IF($O146="Aktif",MAX(0,MIN($AE146,$AD146-SUM($AG146:AG146))),0)</f>
        <v>0</v>
      </c>
      <c r="AI146" s="8">
        <f>IF($O146="Aktif",MAX(0,MIN($AE146,$AD146-SUM($AG146:AH146))),0)</f>
        <v>0</v>
      </c>
      <c r="AJ146" s="8">
        <f>IF($O146="Aktif",MAX(0,MIN($AE146,$AD146-SUM($AG146:AI146))),0)</f>
        <v>0</v>
      </c>
      <c r="AK146" s="8">
        <f>IF($O146="Aktif",MAX(0,MIN($AE146,$AD146-SUM($AG146:AJ146))),0)</f>
        <v>0</v>
      </c>
      <c r="AL146" s="8">
        <f>IF($O146="Aktif",MAX(0,MIN($AE146,$AD146-SUM($AG146:AK146))),0)</f>
        <v>0</v>
      </c>
      <c r="AM146" s="8">
        <f>IF($O146="Aktif",MAX(0,MIN($AE146,$AD146-SUM($AG146:AL146))),0)</f>
        <v>0</v>
      </c>
      <c r="AN146" s="8">
        <f>IF($O146="Aktif",MAX(0,MIN($AE146,$AD146-SUM($AG146:AM146))),0)</f>
        <v>0</v>
      </c>
      <c r="AO146" s="8">
        <f>IF($O146="Aktif",MAX(0,MIN($AE146,$AD146-SUM($AG146:AN146))),0)</f>
        <v>0</v>
      </c>
      <c r="AP146" s="8">
        <f>IF($O146="Aktif",MAX(0,MIN($AE146,$AD146-SUM($AG146:AO146))),0)</f>
        <v>0</v>
      </c>
      <c r="AQ146" s="8">
        <f>IF($O146="Aktif",MAX(0,MIN($AE146,$AD146-SUM($AG146:AP146))),0)</f>
        <v>0</v>
      </c>
      <c r="AR146" s="8">
        <f>IF($O146="Aktif",MAX(0,MIN($AE146,$AD146-SUM($AG146:AQ146))),0)</f>
        <v>0</v>
      </c>
      <c r="AS146" s="8">
        <f>IF($O146="Aktif",MAX(0,MIN($AE146,$AD146-SUM($AG146:AR146))),0)</f>
        <v>0</v>
      </c>
      <c r="AT146" s="8">
        <f>IF($O146="Aktif",MAX(0,MIN($AE146,$AD146-SUM($AG146:AS146))),0)</f>
        <v>0</v>
      </c>
      <c r="AU146" s="8">
        <f>IF($O146="Aktif",MAX(0,MIN($AE146,$AD146-SUM($AG146:AT146))),0)</f>
        <v>0</v>
      </c>
      <c r="AV146" s="8">
        <f>IF($O146="Aktif",MAX(0,MIN($AE146,$AD146-SUM($AG146:AU146))),0)</f>
        <v>0</v>
      </c>
      <c r="AW146" s="8">
        <f t="shared" si="19"/>
        <v>0</v>
      </c>
      <c r="AX146" s="8">
        <f t="shared" si="20"/>
        <v>0</v>
      </c>
    </row>
    <row r="147" spans="1:50" ht="15" customHeight="1" x14ac:dyDescent="0.35">
      <c r="A147" s="102">
        <v>141</v>
      </c>
      <c r="B147" s="102" t="s">
        <v>586</v>
      </c>
      <c r="C147" s="103">
        <v>79</v>
      </c>
      <c r="D147" s="102" t="s">
        <v>184</v>
      </c>
      <c r="E147" s="102" t="s">
        <v>587</v>
      </c>
      <c r="F147" s="102" t="s">
        <v>588</v>
      </c>
      <c r="G147" s="102" t="s">
        <v>589</v>
      </c>
      <c r="H147" s="102" t="s">
        <v>590</v>
      </c>
      <c r="I147" s="102" t="s">
        <v>90</v>
      </c>
      <c r="J147" s="102" t="s">
        <v>771</v>
      </c>
      <c r="K147" s="102" t="s">
        <v>591</v>
      </c>
      <c r="L147" s="104">
        <v>42605</v>
      </c>
      <c r="M147" s="102" t="s">
        <v>772</v>
      </c>
      <c r="N147" s="102" t="s">
        <v>773</v>
      </c>
      <c r="O147" s="102" t="s">
        <v>383</v>
      </c>
      <c r="P147" s="103">
        <v>1</v>
      </c>
      <c r="Q147" s="105">
        <v>1000000</v>
      </c>
      <c r="R147" s="103">
        <v>48</v>
      </c>
      <c r="S147" s="105">
        <v>20833.333333333299</v>
      </c>
      <c r="T147" s="105">
        <v>1000000</v>
      </c>
      <c r="U147" s="105">
        <v>0</v>
      </c>
      <c r="V147" s="105">
        <v>0</v>
      </c>
      <c r="W147" s="105">
        <v>0</v>
      </c>
      <c r="X147" s="105">
        <v>0</v>
      </c>
      <c r="Y147" s="105">
        <v>0</v>
      </c>
      <c r="Z147" s="105">
        <v>0</v>
      </c>
      <c r="AA147" s="105">
        <v>0</v>
      </c>
      <c r="AB147" s="105">
        <v>0</v>
      </c>
      <c r="AC147" s="8">
        <f t="shared" si="14"/>
        <v>1000000</v>
      </c>
      <c r="AD147" s="8">
        <f t="shared" si="15"/>
        <v>0</v>
      </c>
      <c r="AE147" s="8">
        <f t="shared" si="16"/>
        <v>0</v>
      </c>
      <c r="AF147" s="106">
        <f t="shared" si="17"/>
        <v>0</v>
      </c>
      <c r="AG147" s="8">
        <f t="shared" si="18"/>
        <v>0</v>
      </c>
      <c r="AH147" s="8">
        <f>IF($O147="Aktif",MAX(0,MIN($AE147,$AD147-SUM($AG147:AG147))),0)</f>
        <v>0</v>
      </c>
      <c r="AI147" s="8">
        <f>IF($O147="Aktif",MAX(0,MIN($AE147,$AD147-SUM($AG147:AH147))),0)</f>
        <v>0</v>
      </c>
      <c r="AJ147" s="8">
        <f>IF($O147="Aktif",MAX(0,MIN($AE147,$AD147-SUM($AG147:AI147))),0)</f>
        <v>0</v>
      </c>
      <c r="AK147" s="8">
        <f>IF($O147="Aktif",MAX(0,MIN($AE147,$AD147-SUM($AG147:AJ147))),0)</f>
        <v>0</v>
      </c>
      <c r="AL147" s="8">
        <f>IF($O147="Aktif",MAX(0,MIN($AE147,$AD147-SUM($AG147:AK147))),0)</f>
        <v>0</v>
      </c>
      <c r="AM147" s="8">
        <f>IF($O147="Aktif",MAX(0,MIN($AE147,$AD147-SUM($AG147:AL147))),0)</f>
        <v>0</v>
      </c>
      <c r="AN147" s="8">
        <f>IF($O147="Aktif",MAX(0,MIN($AE147,$AD147-SUM($AG147:AM147))),0)</f>
        <v>0</v>
      </c>
      <c r="AO147" s="8">
        <f>IF($O147="Aktif",MAX(0,MIN($AE147,$AD147-SUM($AG147:AN147))),0)</f>
        <v>0</v>
      </c>
      <c r="AP147" s="8">
        <f>IF($O147="Aktif",MAX(0,MIN($AE147,$AD147-SUM($AG147:AO147))),0)</f>
        <v>0</v>
      </c>
      <c r="AQ147" s="8">
        <f>IF($O147="Aktif",MAX(0,MIN($AE147,$AD147-SUM($AG147:AP147))),0)</f>
        <v>0</v>
      </c>
      <c r="AR147" s="8">
        <f>IF($O147="Aktif",MAX(0,MIN($AE147,$AD147-SUM($AG147:AQ147))),0)</f>
        <v>0</v>
      </c>
      <c r="AS147" s="8">
        <f>IF($O147="Aktif",MAX(0,MIN($AE147,$AD147-SUM($AG147:AR147))),0)</f>
        <v>0</v>
      </c>
      <c r="AT147" s="8">
        <f>IF($O147="Aktif",MAX(0,MIN($AE147,$AD147-SUM($AG147:AS147))),0)</f>
        <v>0</v>
      </c>
      <c r="AU147" s="8">
        <f>IF($O147="Aktif",MAX(0,MIN($AE147,$AD147-SUM($AG147:AT147))),0)</f>
        <v>0</v>
      </c>
      <c r="AV147" s="8">
        <f>IF($O147="Aktif",MAX(0,MIN($AE147,$AD147-SUM($AG147:AU147))),0)</f>
        <v>0</v>
      </c>
      <c r="AW147" s="8">
        <f t="shared" si="19"/>
        <v>0</v>
      </c>
      <c r="AX147" s="8">
        <f t="shared" si="20"/>
        <v>0</v>
      </c>
    </row>
    <row r="148" spans="1:50" ht="15" customHeight="1" x14ac:dyDescent="0.35">
      <c r="A148" s="102">
        <v>142</v>
      </c>
      <c r="B148" s="102" t="s">
        <v>586</v>
      </c>
      <c r="C148" s="103">
        <v>80</v>
      </c>
      <c r="D148" s="102" t="s">
        <v>184</v>
      </c>
      <c r="E148" s="102" t="s">
        <v>587</v>
      </c>
      <c r="F148" s="102" t="s">
        <v>588</v>
      </c>
      <c r="G148" s="102" t="s">
        <v>589</v>
      </c>
      <c r="H148" s="102" t="s">
        <v>590</v>
      </c>
      <c r="I148" s="102" t="s">
        <v>90</v>
      </c>
      <c r="J148" s="102" t="s">
        <v>774</v>
      </c>
      <c r="K148" s="102" t="s">
        <v>591</v>
      </c>
      <c r="L148" s="104">
        <v>42608</v>
      </c>
      <c r="M148" s="102" t="s">
        <v>624</v>
      </c>
      <c r="N148" s="102" t="s">
        <v>775</v>
      </c>
      <c r="O148" s="102" t="s">
        <v>383</v>
      </c>
      <c r="P148" s="103">
        <v>1</v>
      </c>
      <c r="Q148" s="105">
        <v>9500000</v>
      </c>
      <c r="R148" s="103">
        <v>48</v>
      </c>
      <c r="S148" s="105">
        <v>197916.66666666701</v>
      </c>
      <c r="T148" s="105">
        <v>9500000</v>
      </c>
      <c r="U148" s="105">
        <v>0</v>
      </c>
      <c r="V148" s="105">
        <v>0</v>
      </c>
      <c r="W148" s="105">
        <v>0</v>
      </c>
      <c r="X148" s="105">
        <v>0</v>
      </c>
      <c r="Y148" s="105">
        <v>0</v>
      </c>
      <c r="Z148" s="105">
        <v>0</v>
      </c>
      <c r="AA148" s="105">
        <v>0</v>
      </c>
      <c r="AB148" s="105">
        <v>0</v>
      </c>
      <c r="AC148" s="8">
        <f t="shared" si="14"/>
        <v>9500000</v>
      </c>
      <c r="AD148" s="8">
        <f t="shared" si="15"/>
        <v>0</v>
      </c>
      <c r="AE148" s="8">
        <f t="shared" si="16"/>
        <v>0</v>
      </c>
      <c r="AF148" s="106">
        <f t="shared" si="17"/>
        <v>0</v>
      </c>
      <c r="AG148" s="8">
        <f t="shared" si="18"/>
        <v>0</v>
      </c>
      <c r="AH148" s="8">
        <f>IF($O148="Aktif",MAX(0,MIN($AE148,$AD148-SUM($AG148:AG148))),0)</f>
        <v>0</v>
      </c>
      <c r="AI148" s="8">
        <f>IF($O148="Aktif",MAX(0,MIN($AE148,$AD148-SUM($AG148:AH148))),0)</f>
        <v>0</v>
      </c>
      <c r="AJ148" s="8">
        <f>IF($O148="Aktif",MAX(0,MIN($AE148,$AD148-SUM($AG148:AI148))),0)</f>
        <v>0</v>
      </c>
      <c r="AK148" s="8">
        <f>IF($O148="Aktif",MAX(0,MIN($AE148,$AD148-SUM($AG148:AJ148))),0)</f>
        <v>0</v>
      </c>
      <c r="AL148" s="8">
        <f>IF($O148="Aktif",MAX(0,MIN($AE148,$AD148-SUM($AG148:AK148))),0)</f>
        <v>0</v>
      </c>
      <c r="AM148" s="8">
        <f>IF($O148="Aktif",MAX(0,MIN($AE148,$AD148-SUM($AG148:AL148))),0)</f>
        <v>0</v>
      </c>
      <c r="AN148" s="8">
        <f>IF($O148="Aktif",MAX(0,MIN($AE148,$AD148-SUM($AG148:AM148))),0)</f>
        <v>0</v>
      </c>
      <c r="AO148" s="8">
        <f>IF($O148="Aktif",MAX(0,MIN($AE148,$AD148-SUM($AG148:AN148))),0)</f>
        <v>0</v>
      </c>
      <c r="AP148" s="8">
        <f>IF($O148="Aktif",MAX(0,MIN($AE148,$AD148-SUM($AG148:AO148))),0)</f>
        <v>0</v>
      </c>
      <c r="AQ148" s="8">
        <f>IF($O148="Aktif",MAX(0,MIN($AE148,$AD148-SUM($AG148:AP148))),0)</f>
        <v>0</v>
      </c>
      <c r="AR148" s="8">
        <f>IF($O148="Aktif",MAX(0,MIN($AE148,$AD148-SUM($AG148:AQ148))),0)</f>
        <v>0</v>
      </c>
      <c r="AS148" s="8">
        <f>IF($O148="Aktif",MAX(0,MIN($AE148,$AD148-SUM($AG148:AR148))),0)</f>
        <v>0</v>
      </c>
      <c r="AT148" s="8">
        <f>IF($O148="Aktif",MAX(0,MIN($AE148,$AD148-SUM($AG148:AS148))),0)</f>
        <v>0</v>
      </c>
      <c r="AU148" s="8">
        <f>IF($O148="Aktif",MAX(0,MIN($AE148,$AD148-SUM($AG148:AT148))),0)</f>
        <v>0</v>
      </c>
      <c r="AV148" s="8">
        <f>IF($O148="Aktif",MAX(0,MIN($AE148,$AD148-SUM($AG148:AU148))),0)</f>
        <v>0</v>
      </c>
      <c r="AW148" s="8">
        <f t="shared" si="19"/>
        <v>0</v>
      </c>
      <c r="AX148" s="8">
        <f t="shared" si="20"/>
        <v>0</v>
      </c>
    </row>
    <row r="149" spans="1:50" ht="15" customHeight="1" x14ac:dyDescent="0.35">
      <c r="A149" s="102">
        <v>143</v>
      </c>
      <c r="B149" s="102" t="s">
        <v>586</v>
      </c>
      <c r="C149" s="103">
        <v>81</v>
      </c>
      <c r="D149" s="102" t="s">
        <v>184</v>
      </c>
      <c r="E149" s="102" t="s">
        <v>587</v>
      </c>
      <c r="F149" s="102" t="s">
        <v>588</v>
      </c>
      <c r="G149" s="102" t="s">
        <v>589</v>
      </c>
      <c r="H149" s="102" t="s">
        <v>590</v>
      </c>
      <c r="I149" s="102" t="s">
        <v>90</v>
      </c>
      <c r="J149" s="102" t="s">
        <v>776</v>
      </c>
      <c r="K149" s="102" t="s">
        <v>591</v>
      </c>
      <c r="L149" s="104">
        <v>42613</v>
      </c>
      <c r="M149" s="102" t="s">
        <v>777</v>
      </c>
      <c r="N149" s="102" t="s">
        <v>778</v>
      </c>
      <c r="O149" s="102" t="s">
        <v>383</v>
      </c>
      <c r="P149" s="103">
        <v>1</v>
      </c>
      <c r="Q149" s="105">
        <v>1500000</v>
      </c>
      <c r="R149" s="103">
        <v>48</v>
      </c>
      <c r="S149" s="105">
        <v>31250</v>
      </c>
      <c r="T149" s="105">
        <v>1500000</v>
      </c>
      <c r="U149" s="105">
        <v>0</v>
      </c>
      <c r="V149" s="105">
        <v>0</v>
      </c>
      <c r="W149" s="105">
        <v>0</v>
      </c>
      <c r="X149" s="105">
        <v>0</v>
      </c>
      <c r="Y149" s="105">
        <v>0</v>
      </c>
      <c r="Z149" s="105">
        <v>0</v>
      </c>
      <c r="AA149" s="105">
        <v>0</v>
      </c>
      <c r="AB149" s="105">
        <v>0</v>
      </c>
      <c r="AC149" s="8">
        <f t="shared" si="14"/>
        <v>1500000</v>
      </c>
      <c r="AD149" s="8">
        <f t="shared" si="15"/>
        <v>0</v>
      </c>
      <c r="AE149" s="8">
        <f t="shared" si="16"/>
        <v>0</v>
      </c>
      <c r="AF149" s="106">
        <f t="shared" si="17"/>
        <v>0</v>
      </c>
      <c r="AG149" s="8">
        <f t="shared" si="18"/>
        <v>0</v>
      </c>
      <c r="AH149" s="8">
        <f>IF($O149="Aktif",MAX(0,MIN($AE149,$AD149-SUM($AG149:AG149))),0)</f>
        <v>0</v>
      </c>
      <c r="AI149" s="8">
        <f>IF($O149="Aktif",MAX(0,MIN($AE149,$AD149-SUM($AG149:AH149))),0)</f>
        <v>0</v>
      </c>
      <c r="AJ149" s="8">
        <f>IF($O149="Aktif",MAX(0,MIN($AE149,$AD149-SUM($AG149:AI149))),0)</f>
        <v>0</v>
      </c>
      <c r="AK149" s="8">
        <f>IF($O149="Aktif",MAX(0,MIN($AE149,$AD149-SUM($AG149:AJ149))),0)</f>
        <v>0</v>
      </c>
      <c r="AL149" s="8">
        <f>IF($O149="Aktif",MAX(0,MIN($AE149,$AD149-SUM($AG149:AK149))),0)</f>
        <v>0</v>
      </c>
      <c r="AM149" s="8">
        <f>IF($O149="Aktif",MAX(0,MIN($AE149,$AD149-SUM($AG149:AL149))),0)</f>
        <v>0</v>
      </c>
      <c r="AN149" s="8">
        <f>IF($O149="Aktif",MAX(0,MIN($AE149,$AD149-SUM($AG149:AM149))),0)</f>
        <v>0</v>
      </c>
      <c r="AO149" s="8">
        <f>IF($O149="Aktif",MAX(0,MIN($AE149,$AD149-SUM($AG149:AN149))),0)</f>
        <v>0</v>
      </c>
      <c r="AP149" s="8">
        <f>IF($O149="Aktif",MAX(0,MIN($AE149,$AD149-SUM($AG149:AO149))),0)</f>
        <v>0</v>
      </c>
      <c r="AQ149" s="8">
        <f>IF($O149="Aktif",MAX(0,MIN($AE149,$AD149-SUM($AG149:AP149))),0)</f>
        <v>0</v>
      </c>
      <c r="AR149" s="8">
        <f>IF($O149="Aktif",MAX(0,MIN($AE149,$AD149-SUM($AG149:AQ149))),0)</f>
        <v>0</v>
      </c>
      <c r="AS149" s="8">
        <f>IF($O149="Aktif",MAX(0,MIN($AE149,$AD149-SUM($AG149:AR149))),0)</f>
        <v>0</v>
      </c>
      <c r="AT149" s="8">
        <f>IF($O149="Aktif",MAX(0,MIN($AE149,$AD149-SUM($AG149:AS149))),0)</f>
        <v>0</v>
      </c>
      <c r="AU149" s="8">
        <f>IF($O149="Aktif",MAX(0,MIN($AE149,$AD149-SUM($AG149:AT149))),0)</f>
        <v>0</v>
      </c>
      <c r="AV149" s="8">
        <f>IF($O149="Aktif",MAX(0,MIN($AE149,$AD149-SUM($AG149:AU149))),0)</f>
        <v>0</v>
      </c>
      <c r="AW149" s="8">
        <f t="shared" si="19"/>
        <v>0</v>
      </c>
      <c r="AX149" s="8">
        <f t="shared" si="20"/>
        <v>0</v>
      </c>
    </row>
    <row r="150" spans="1:50" ht="15" customHeight="1" x14ac:dyDescent="0.35">
      <c r="A150" s="102">
        <v>144</v>
      </c>
      <c r="B150" s="102" t="s">
        <v>586</v>
      </c>
      <c r="C150" s="103">
        <v>82</v>
      </c>
      <c r="D150" s="102" t="s">
        <v>184</v>
      </c>
      <c r="E150" s="102" t="s">
        <v>587</v>
      </c>
      <c r="F150" s="102" t="s">
        <v>588</v>
      </c>
      <c r="G150" s="102" t="s">
        <v>589</v>
      </c>
      <c r="H150" s="102" t="s">
        <v>590</v>
      </c>
      <c r="I150" s="102" t="s">
        <v>90</v>
      </c>
      <c r="J150" s="102" t="s">
        <v>779</v>
      </c>
      <c r="K150" s="102" t="s">
        <v>591</v>
      </c>
      <c r="L150" s="104">
        <v>42626</v>
      </c>
      <c r="M150" s="102" t="s">
        <v>780</v>
      </c>
      <c r="N150" s="102" t="s">
        <v>781</v>
      </c>
      <c r="O150" s="102" t="s">
        <v>383</v>
      </c>
      <c r="P150" s="103">
        <v>1</v>
      </c>
      <c r="Q150" s="105">
        <v>2595000</v>
      </c>
      <c r="R150" s="103">
        <v>48</v>
      </c>
      <c r="S150" s="105">
        <v>54062.5</v>
      </c>
      <c r="T150" s="105">
        <v>2595000</v>
      </c>
      <c r="U150" s="105">
        <v>0</v>
      </c>
      <c r="V150" s="105">
        <v>0</v>
      </c>
      <c r="W150" s="105">
        <v>0</v>
      </c>
      <c r="X150" s="105">
        <v>0</v>
      </c>
      <c r="Y150" s="105">
        <v>0</v>
      </c>
      <c r="Z150" s="105">
        <v>0</v>
      </c>
      <c r="AA150" s="105">
        <v>0</v>
      </c>
      <c r="AB150" s="105">
        <v>0</v>
      </c>
      <c r="AC150" s="8">
        <f t="shared" si="14"/>
        <v>2595000</v>
      </c>
      <c r="AD150" s="8">
        <f t="shared" si="15"/>
        <v>0</v>
      </c>
      <c r="AE150" s="8">
        <f t="shared" si="16"/>
        <v>0</v>
      </c>
      <c r="AF150" s="106">
        <f t="shared" si="17"/>
        <v>0</v>
      </c>
      <c r="AG150" s="8">
        <f t="shared" si="18"/>
        <v>0</v>
      </c>
      <c r="AH150" s="8">
        <f>IF($O150="Aktif",MAX(0,MIN($AE150,$AD150-SUM($AG150:AG150))),0)</f>
        <v>0</v>
      </c>
      <c r="AI150" s="8">
        <f>IF($O150="Aktif",MAX(0,MIN($AE150,$AD150-SUM($AG150:AH150))),0)</f>
        <v>0</v>
      </c>
      <c r="AJ150" s="8">
        <f>IF($O150="Aktif",MAX(0,MIN($AE150,$AD150-SUM($AG150:AI150))),0)</f>
        <v>0</v>
      </c>
      <c r="AK150" s="8">
        <f>IF($O150="Aktif",MAX(0,MIN($AE150,$AD150-SUM($AG150:AJ150))),0)</f>
        <v>0</v>
      </c>
      <c r="AL150" s="8">
        <f>IF($O150="Aktif",MAX(0,MIN($AE150,$AD150-SUM($AG150:AK150))),0)</f>
        <v>0</v>
      </c>
      <c r="AM150" s="8">
        <f>IF($O150="Aktif",MAX(0,MIN($AE150,$AD150-SUM($AG150:AL150))),0)</f>
        <v>0</v>
      </c>
      <c r="AN150" s="8">
        <f>IF($O150="Aktif",MAX(0,MIN($AE150,$AD150-SUM($AG150:AM150))),0)</f>
        <v>0</v>
      </c>
      <c r="AO150" s="8">
        <f>IF($O150="Aktif",MAX(0,MIN($AE150,$AD150-SUM($AG150:AN150))),0)</f>
        <v>0</v>
      </c>
      <c r="AP150" s="8">
        <f>IF($O150="Aktif",MAX(0,MIN($AE150,$AD150-SUM($AG150:AO150))),0)</f>
        <v>0</v>
      </c>
      <c r="AQ150" s="8">
        <f>IF($O150="Aktif",MAX(0,MIN($AE150,$AD150-SUM($AG150:AP150))),0)</f>
        <v>0</v>
      </c>
      <c r="AR150" s="8">
        <f>IF($O150="Aktif",MAX(0,MIN($AE150,$AD150-SUM($AG150:AQ150))),0)</f>
        <v>0</v>
      </c>
      <c r="AS150" s="8">
        <f>IF($O150="Aktif",MAX(0,MIN($AE150,$AD150-SUM($AG150:AR150))),0)</f>
        <v>0</v>
      </c>
      <c r="AT150" s="8">
        <f>IF($O150="Aktif",MAX(0,MIN($AE150,$AD150-SUM($AG150:AS150))),0)</f>
        <v>0</v>
      </c>
      <c r="AU150" s="8">
        <f>IF($O150="Aktif",MAX(0,MIN($AE150,$AD150-SUM($AG150:AT150))),0)</f>
        <v>0</v>
      </c>
      <c r="AV150" s="8">
        <f>IF($O150="Aktif",MAX(0,MIN($AE150,$AD150-SUM($AG150:AU150))),0)</f>
        <v>0</v>
      </c>
      <c r="AW150" s="8">
        <f t="shared" si="19"/>
        <v>0</v>
      </c>
      <c r="AX150" s="8">
        <f t="shared" si="20"/>
        <v>0</v>
      </c>
    </row>
    <row r="151" spans="1:50" ht="15" customHeight="1" x14ac:dyDescent="0.35">
      <c r="A151" s="102">
        <v>145</v>
      </c>
      <c r="B151" s="102" t="s">
        <v>586</v>
      </c>
      <c r="C151" s="103">
        <v>83</v>
      </c>
      <c r="D151" s="102" t="s">
        <v>184</v>
      </c>
      <c r="E151" s="102" t="s">
        <v>587</v>
      </c>
      <c r="F151" s="102" t="s">
        <v>588</v>
      </c>
      <c r="G151" s="102" t="s">
        <v>589</v>
      </c>
      <c r="H151" s="102" t="s">
        <v>590</v>
      </c>
      <c r="I151" s="102" t="s">
        <v>90</v>
      </c>
      <c r="J151" s="102" t="s">
        <v>782</v>
      </c>
      <c r="K151" s="102" t="s">
        <v>591</v>
      </c>
      <c r="L151" s="104">
        <v>42657</v>
      </c>
      <c r="M151" s="102" t="s">
        <v>783</v>
      </c>
      <c r="N151" s="102" t="s">
        <v>784</v>
      </c>
      <c r="O151" s="102" t="s">
        <v>383</v>
      </c>
      <c r="P151" s="103">
        <v>1</v>
      </c>
      <c r="Q151" s="105">
        <v>1500000</v>
      </c>
      <c r="R151" s="103">
        <v>48</v>
      </c>
      <c r="S151" s="105">
        <v>31250</v>
      </c>
      <c r="T151" s="105">
        <v>1500000</v>
      </c>
      <c r="U151" s="105">
        <v>0</v>
      </c>
      <c r="V151" s="105">
        <v>0</v>
      </c>
      <c r="W151" s="105">
        <v>0</v>
      </c>
      <c r="X151" s="105">
        <v>0</v>
      </c>
      <c r="Y151" s="105">
        <v>0</v>
      </c>
      <c r="Z151" s="105">
        <v>0</v>
      </c>
      <c r="AA151" s="105">
        <v>0</v>
      </c>
      <c r="AB151" s="105">
        <v>0</v>
      </c>
      <c r="AC151" s="8">
        <f t="shared" si="14"/>
        <v>1500000</v>
      </c>
      <c r="AD151" s="8">
        <f t="shared" si="15"/>
        <v>0</v>
      </c>
      <c r="AE151" s="8">
        <f t="shared" si="16"/>
        <v>0</v>
      </c>
      <c r="AF151" s="106">
        <f t="shared" si="17"/>
        <v>0</v>
      </c>
      <c r="AG151" s="8">
        <f t="shared" si="18"/>
        <v>0</v>
      </c>
      <c r="AH151" s="8">
        <f>IF($O151="Aktif",MAX(0,MIN($AE151,$AD151-SUM($AG151:AG151))),0)</f>
        <v>0</v>
      </c>
      <c r="AI151" s="8">
        <f>IF($O151="Aktif",MAX(0,MIN($AE151,$AD151-SUM($AG151:AH151))),0)</f>
        <v>0</v>
      </c>
      <c r="AJ151" s="8">
        <f>IF($O151="Aktif",MAX(0,MIN($AE151,$AD151-SUM($AG151:AI151))),0)</f>
        <v>0</v>
      </c>
      <c r="AK151" s="8">
        <f>IF($O151="Aktif",MAX(0,MIN($AE151,$AD151-SUM($AG151:AJ151))),0)</f>
        <v>0</v>
      </c>
      <c r="AL151" s="8">
        <f>IF($O151="Aktif",MAX(0,MIN($AE151,$AD151-SUM($AG151:AK151))),0)</f>
        <v>0</v>
      </c>
      <c r="AM151" s="8">
        <f>IF($O151="Aktif",MAX(0,MIN($AE151,$AD151-SUM($AG151:AL151))),0)</f>
        <v>0</v>
      </c>
      <c r="AN151" s="8">
        <f>IF($O151="Aktif",MAX(0,MIN($AE151,$AD151-SUM($AG151:AM151))),0)</f>
        <v>0</v>
      </c>
      <c r="AO151" s="8">
        <f>IF($O151="Aktif",MAX(0,MIN($AE151,$AD151-SUM($AG151:AN151))),0)</f>
        <v>0</v>
      </c>
      <c r="AP151" s="8">
        <f>IF($O151="Aktif",MAX(0,MIN($AE151,$AD151-SUM($AG151:AO151))),0)</f>
        <v>0</v>
      </c>
      <c r="AQ151" s="8">
        <f>IF($O151="Aktif",MAX(0,MIN($AE151,$AD151-SUM($AG151:AP151))),0)</f>
        <v>0</v>
      </c>
      <c r="AR151" s="8">
        <f>IF($O151="Aktif",MAX(0,MIN($AE151,$AD151-SUM($AG151:AQ151))),0)</f>
        <v>0</v>
      </c>
      <c r="AS151" s="8">
        <f>IF($O151="Aktif",MAX(0,MIN($AE151,$AD151-SUM($AG151:AR151))),0)</f>
        <v>0</v>
      </c>
      <c r="AT151" s="8">
        <f>IF($O151="Aktif",MAX(0,MIN($AE151,$AD151-SUM($AG151:AS151))),0)</f>
        <v>0</v>
      </c>
      <c r="AU151" s="8">
        <f>IF($O151="Aktif",MAX(0,MIN($AE151,$AD151-SUM($AG151:AT151))),0)</f>
        <v>0</v>
      </c>
      <c r="AV151" s="8">
        <f>IF($O151="Aktif",MAX(0,MIN($AE151,$AD151-SUM($AG151:AU151))),0)</f>
        <v>0</v>
      </c>
      <c r="AW151" s="8">
        <f t="shared" si="19"/>
        <v>0</v>
      </c>
      <c r="AX151" s="8">
        <f t="shared" si="20"/>
        <v>0</v>
      </c>
    </row>
    <row r="152" spans="1:50" ht="15" customHeight="1" x14ac:dyDescent="0.35">
      <c r="A152" s="102">
        <v>146</v>
      </c>
      <c r="B152" s="102" t="s">
        <v>586</v>
      </c>
      <c r="C152" s="103">
        <v>84</v>
      </c>
      <c r="D152" s="102" t="s">
        <v>184</v>
      </c>
      <c r="E152" s="102" t="s">
        <v>587</v>
      </c>
      <c r="F152" s="102" t="s">
        <v>588</v>
      </c>
      <c r="G152" s="102" t="s">
        <v>589</v>
      </c>
      <c r="H152" s="102" t="s">
        <v>590</v>
      </c>
      <c r="I152" s="102" t="s">
        <v>90</v>
      </c>
      <c r="J152" s="102" t="s">
        <v>785</v>
      </c>
      <c r="K152" s="102" t="s">
        <v>591</v>
      </c>
      <c r="L152" s="104">
        <v>42674</v>
      </c>
      <c r="M152" s="102" t="s">
        <v>786</v>
      </c>
      <c r="N152" s="102" t="s">
        <v>787</v>
      </c>
      <c r="O152" s="102" t="s">
        <v>383</v>
      </c>
      <c r="P152" s="103">
        <v>1</v>
      </c>
      <c r="Q152" s="105">
        <v>6550000</v>
      </c>
      <c r="R152" s="103">
        <v>48</v>
      </c>
      <c r="S152" s="105">
        <v>136458.33333333299</v>
      </c>
      <c r="T152" s="105">
        <v>6550000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Z152" s="105">
        <v>0</v>
      </c>
      <c r="AA152" s="105">
        <v>0</v>
      </c>
      <c r="AB152" s="105">
        <v>0</v>
      </c>
      <c r="AC152" s="8">
        <f t="shared" si="14"/>
        <v>6550000</v>
      </c>
      <c r="AD152" s="8">
        <f t="shared" si="15"/>
        <v>0</v>
      </c>
      <c r="AE152" s="8">
        <f t="shared" si="16"/>
        <v>0</v>
      </c>
      <c r="AF152" s="106">
        <f t="shared" si="17"/>
        <v>0</v>
      </c>
      <c r="AG152" s="8">
        <f t="shared" si="18"/>
        <v>0</v>
      </c>
      <c r="AH152" s="8">
        <f>IF($O152="Aktif",MAX(0,MIN($AE152,$AD152-SUM($AG152:AG152))),0)</f>
        <v>0</v>
      </c>
      <c r="AI152" s="8">
        <f>IF($O152="Aktif",MAX(0,MIN($AE152,$AD152-SUM($AG152:AH152))),0)</f>
        <v>0</v>
      </c>
      <c r="AJ152" s="8">
        <f>IF($O152="Aktif",MAX(0,MIN($AE152,$AD152-SUM($AG152:AI152))),0)</f>
        <v>0</v>
      </c>
      <c r="AK152" s="8">
        <f>IF($O152="Aktif",MAX(0,MIN($AE152,$AD152-SUM($AG152:AJ152))),0)</f>
        <v>0</v>
      </c>
      <c r="AL152" s="8">
        <f>IF($O152="Aktif",MAX(0,MIN($AE152,$AD152-SUM($AG152:AK152))),0)</f>
        <v>0</v>
      </c>
      <c r="AM152" s="8">
        <f>IF($O152="Aktif",MAX(0,MIN($AE152,$AD152-SUM($AG152:AL152))),0)</f>
        <v>0</v>
      </c>
      <c r="AN152" s="8">
        <f>IF($O152="Aktif",MAX(0,MIN($AE152,$AD152-SUM($AG152:AM152))),0)</f>
        <v>0</v>
      </c>
      <c r="AO152" s="8">
        <f>IF($O152="Aktif",MAX(0,MIN($AE152,$AD152-SUM($AG152:AN152))),0)</f>
        <v>0</v>
      </c>
      <c r="AP152" s="8">
        <f>IF($O152="Aktif",MAX(0,MIN($AE152,$AD152-SUM($AG152:AO152))),0)</f>
        <v>0</v>
      </c>
      <c r="AQ152" s="8">
        <f>IF($O152="Aktif",MAX(0,MIN($AE152,$AD152-SUM($AG152:AP152))),0)</f>
        <v>0</v>
      </c>
      <c r="AR152" s="8">
        <f>IF($O152="Aktif",MAX(0,MIN($AE152,$AD152-SUM($AG152:AQ152))),0)</f>
        <v>0</v>
      </c>
      <c r="AS152" s="8">
        <f>IF($O152="Aktif",MAX(0,MIN($AE152,$AD152-SUM($AG152:AR152))),0)</f>
        <v>0</v>
      </c>
      <c r="AT152" s="8">
        <f>IF($O152="Aktif",MAX(0,MIN($AE152,$AD152-SUM($AG152:AS152))),0)</f>
        <v>0</v>
      </c>
      <c r="AU152" s="8">
        <f>IF($O152="Aktif",MAX(0,MIN($AE152,$AD152-SUM($AG152:AT152))),0)</f>
        <v>0</v>
      </c>
      <c r="AV152" s="8">
        <f>IF($O152="Aktif",MAX(0,MIN($AE152,$AD152-SUM($AG152:AU152))),0)</f>
        <v>0</v>
      </c>
      <c r="AW152" s="8">
        <f t="shared" si="19"/>
        <v>0</v>
      </c>
      <c r="AX152" s="8">
        <f t="shared" si="20"/>
        <v>0</v>
      </c>
    </row>
    <row r="153" spans="1:50" ht="15" customHeight="1" x14ac:dyDescent="0.35">
      <c r="A153" s="102">
        <v>147</v>
      </c>
      <c r="B153" s="102" t="s">
        <v>586</v>
      </c>
      <c r="C153" s="103">
        <v>85</v>
      </c>
      <c r="D153" s="102" t="s">
        <v>184</v>
      </c>
      <c r="E153" s="102" t="s">
        <v>587</v>
      </c>
      <c r="F153" s="102" t="s">
        <v>588</v>
      </c>
      <c r="G153" s="102" t="s">
        <v>589</v>
      </c>
      <c r="H153" s="102" t="s">
        <v>590</v>
      </c>
      <c r="I153" s="102" t="s">
        <v>90</v>
      </c>
      <c r="J153" s="102" t="s">
        <v>788</v>
      </c>
      <c r="K153" s="102" t="s">
        <v>591</v>
      </c>
      <c r="L153" s="104">
        <v>42755</v>
      </c>
      <c r="M153" s="102" t="s">
        <v>789</v>
      </c>
      <c r="N153" s="102" t="s">
        <v>790</v>
      </c>
      <c r="O153" s="102" t="s">
        <v>383</v>
      </c>
      <c r="P153" s="103">
        <v>1</v>
      </c>
      <c r="Q153" s="105">
        <v>1050000</v>
      </c>
      <c r="R153" s="103">
        <v>48</v>
      </c>
      <c r="S153" s="105">
        <v>21875</v>
      </c>
      <c r="T153" s="105">
        <v>1050000</v>
      </c>
      <c r="U153" s="105">
        <v>0</v>
      </c>
      <c r="V153" s="105">
        <v>0</v>
      </c>
      <c r="W153" s="105">
        <v>0</v>
      </c>
      <c r="X153" s="105">
        <v>0</v>
      </c>
      <c r="Y153" s="105">
        <v>0</v>
      </c>
      <c r="Z153" s="105">
        <v>0</v>
      </c>
      <c r="AA153" s="105">
        <v>0</v>
      </c>
      <c r="AB153" s="105">
        <v>0</v>
      </c>
      <c r="AC153" s="8">
        <f t="shared" si="14"/>
        <v>1050000</v>
      </c>
      <c r="AD153" s="8">
        <f t="shared" si="15"/>
        <v>0</v>
      </c>
      <c r="AE153" s="8">
        <f t="shared" si="16"/>
        <v>0</v>
      </c>
      <c r="AF153" s="106">
        <f t="shared" si="17"/>
        <v>0</v>
      </c>
      <c r="AG153" s="8">
        <f t="shared" si="18"/>
        <v>0</v>
      </c>
      <c r="AH153" s="8">
        <f>IF($O153="Aktif",MAX(0,MIN($AE153,$AD153-SUM($AG153:AG153))),0)</f>
        <v>0</v>
      </c>
      <c r="AI153" s="8">
        <f>IF($O153="Aktif",MAX(0,MIN($AE153,$AD153-SUM($AG153:AH153))),0)</f>
        <v>0</v>
      </c>
      <c r="AJ153" s="8">
        <f>IF($O153="Aktif",MAX(0,MIN($AE153,$AD153-SUM($AG153:AI153))),0)</f>
        <v>0</v>
      </c>
      <c r="AK153" s="8">
        <f>IF($O153="Aktif",MAX(0,MIN($AE153,$AD153-SUM($AG153:AJ153))),0)</f>
        <v>0</v>
      </c>
      <c r="AL153" s="8">
        <f>IF($O153="Aktif",MAX(0,MIN($AE153,$AD153-SUM($AG153:AK153))),0)</f>
        <v>0</v>
      </c>
      <c r="AM153" s="8">
        <f>IF($O153="Aktif",MAX(0,MIN($AE153,$AD153-SUM($AG153:AL153))),0)</f>
        <v>0</v>
      </c>
      <c r="AN153" s="8">
        <f>IF($O153="Aktif",MAX(0,MIN($AE153,$AD153-SUM($AG153:AM153))),0)</f>
        <v>0</v>
      </c>
      <c r="AO153" s="8">
        <f>IF($O153="Aktif",MAX(0,MIN($AE153,$AD153-SUM($AG153:AN153))),0)</f>
        <v>0</v>
      </c>
      <c r="AP153" s="8">
        <f>IF($O153="Aktif",MAX(0,MIN($AE153,$AD153-SUM($AG153:AO153))),0)</f>
        <v>0</v>
      </c>
      <c r="AQ153" s="8">
        <f>IF($O153="Aktif",MAX(0,MIN($AE153,$AD153-SUM($AG153:AP153))),0)</f>
        <v>0</v>
      </c>
      <c r="AR153" s="8">
        <f>IF($O153="Aktif",MAX(0,MIN($AE153,$AD153-SUM($AG153:AQ153))),0)</f>
        <v>0</v>
      </c>
      <c r="AS153" s="8">
        <f>IF($O153="Aktif",MAX(0,MIN($AE153,$AD153-SUM($AG153:AR153))),0)</f>
        <v>0</v>
      </c>
      <c r="AT153" s="8">
        <f>IF($O153="Aktif",MAX(0,MIN($AE153,$AD153-SUM($AG153:AS153))),0)</f>
        <v>0</v>
      </c>
      <c r="AU153" s="8">
        <f>IF($O153="Aktif",MAX(0,MIN($AE153,$AD153-SUM($AG153:AT153))),0)</f>
        <v>0</v>
      </c>
      <c r="AV153" s="8">
        <f>IF($O153="Aktif",MAX(0,MIN($AE153,$AD153-SUM($AG153:AU153))),0)</f>
        <v>0</v>
      </c>
      <c r="AW153" s="8">
        <f t="shared" si="19"/>
        <v>0</v>
      </c>
      <c r="AX153" s="8">
        <f t="shared" si="20"/>
        <v>0</v>
      </c>
    </row>
    <row r="154" spans="1:50" ht="15" customHeight="1" x14ac:dyDescent="0.35">
      <c r="A154" s="102">
        <v>148</v>
      </c>
      <c r="B154" s="102" t="s">
        <v>586</v>
      </c>
      <c r="C154" s="103">
        <v>86</v>
      </c>
      <c r="D154" s="102" t="s">
        <v>184</v>
      </c>
      <c r="E154" s="102" t="s">
        <v>587</v>
      </c>
      <c r="F154" s="102" t="s">
        <v>588</v>
      </c>
      <c r="G154" s="102" t="s">
        <v>589</v>
      </c>
      <c r="H154" s="102" t="s">
        <v>590</v>
      </c>
      <c r="I154" s="102" t="s">
        <v>90</v>
      </c>
      <c r="J154" s="102" t="s">
        <v>791</v>
      </c>
      <c r="K154" s="102" t="s">
        <v>591</v>
      </c>
      <c r="L154" s="104">
        <v>42773</v>
      </c>
      <c r="M154" s="102" t="s">
        <v>792</v>
      </c>
      <c r="N154" s="102" t="s">
        <v>793</v>
      </c>
      <c r="O154" s="102" t="s">
        <v>383</v>
      </c>
      <c r="P154" s="103">
        <v>1</v>
      </c>
      <c r="Q154" s="105">
        <v>2985000</v>
      </c>
      <c r="R154" s="103">
        <v>48</v>
      </c>
      <c r="S154" s="105">
        <v>62187.5</v>
      </c>
      <c r="T154" s="105">
        <v>2985000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Z154" s="105">
        <v>0</v>
      </c>
      <c r="AA154" s="105">
        <v>0</v>
      </c>
      <c r="AB154" s="105">
        <v>0</v>
      </c>
      <c r="AC154" s="8">
        <f t="shared" si="14"/>
        <v>2985000</v>
      </c>
      <c r="AD154" s="8">
        <f t="shared" si="15"/>
        <v>0</v>
      </c>
      <c r="AE154" s="8">
        <f t="shared" si="16"/>
        <v>0</v>
      </c>
      <c r="AF154" s="106">
        <f t="shared" si="17"/>
        <v>0</v>
      </c>
      <c r="AG154" s="8">
        <f t="shared" si="18"/>
        <v>0</v>
      </c>
      <c r="AH154" s="8">
        <f>IF($O154="Aktif",MAX(0,MIN($AE154,$AD154-SUM($AG154:AG154))),0)</f>
        <v>0</v>
      </c>
      <c r="AI154" s="8">
        <f>IF($O154="Aktif",MAX(0,MIN($AE154,$AD154-SUM($AG154:AH154))),0)</f>
        <v>0</v>
      </c>
      <c r="AJ154" s="8">
        <f>IF($O154="Aktif",MAX(0,MIN($AE154,$AD154-SUM($AG154:AI154))),0)</f>
        <v>0</v>
      </c>
      <c r="AK154" s="8">
        <f>IF($O154="Aktif",MAX(0,MIN($AE154,$AD154-SUM($AG154:AJ154))),0)</f>
        <v>0</v>
      </c>
      <c r="AL154" s="8">
        <f>IF($O154="Aktif",MAX(0,MIN($AE154,$AD154-SUM($AG154:AK154))),0)</f>
        <v>0</v>
      </c>
      <c r="AM154" s="8">
        <f>IF($O154="Aktif",MAX(0,MIN($AE154,$AD154-SUM($AG154:AL154))),0)</f>
        <v>0</v>
      </c>
      <c r="AN154" s="8">
        <f>IF($O154="Aktif",MAX(0,MIN($AE154,$AD154-SUM($AG154:AM154))),0)</f>
        <v>0</v>
      </c>
      <c r="AO154" s="8">
        <f>IF($O154="Aktif",MAX(0,MIN($AE154,$AD154-SUM($AG154:AN154))),0)</f>
        <v>0</v>
      </c>
      <c r="AP154" s="8">
        <f>IF($O154="Aktif",MAX(0,MIN($AE154,$AD154-SUM($AG154:AO154))),0)</f>
        <v>0</v>
      </c>
      <c r="AQ154" s="8">
        <f>IF($O154="Aktif",MAX(0,MIN($AE154,$AD154-SUM($AG154:AP154))),0)</f>
        <v>0</v>
      </c>
      <c r="AR154" s="8">
        <f>IF($O154="Aktif",MAX(0,MIN($AE154,$AD154-SUM($AG154:AQ154))),0)</f>
        <v>0</v>
      </c>
      <c r="AS154" s="8">
        <f>IF($O154="Aktif",MAX(0,MIN($AE154,$AD154-SUM($AG154:AR154))),0)</f>
        <v>0</v>
      </c>
      <c r="AT154" s="8">
        <f>IF($O154="Aktif",MAX(0,MIN($AE154,$AD154-SUM($AG154:AS154))),0)</f>
        <v>0</v>
      </c>
      <c r="AU154" s="8">
        <f>IF($O154="Aktif",MAX(0,MIN($AE154,$AD154-SUM($AG154:AT154))),0)</f>
        <v>0</v>
      </c>
      <c r="AV154" s="8">
        <f>IF($O154="Aktif",MAX(0,MIN($AE154,$AD154-SUM($AG154:AU154))),0)</f>
        <v>0</v>
      </c>
      <c r="AW154" s="8">
        <f t="shared" si="19"/>
        <v>0</v>
      </c>
      <c r="AX154" s="8">
        <f t="shared" si="20"/>
        <v>0</v>
      </c>
    </row>
    <row r="155" spans="1:50" ht="15" customHeight="1" x14ac:dyDescent="0.35">
      <c r="A155" s="102">
        <v>149</v>
      </c>
      <c r="B155" s="102" t="s">
        <v>586</v>
      </c>
      <c r="C155" s="103">
        <v>87</v>
      </c>
      <c r="D155" s="102" t="s">
        <v>184</v>
      </c>
      <c r="E155" s="102" t="s">
        <v>587</v>
      </c>
      <c r="F155" s="102" t="s">
        <v>588</v>
      </c>
      <c r="G155" s="102" t="s">
        <v>589</v>
      </c>
      <c r="H155" s="102" t="s">
        <v>590</v>
      </c>
      <c r="I155" s="102" t="s">
        <v>90</v>
      </c>
      <c r="J155" s="102" t="s">
        <v>794</v>
      </c>
      <c r="K155" s="102" t="s">
        <v>591</v>
      </c>
      <c r="L155" s="104">
        <v>42801</v>
      </c>
      <c r="M155" s="102" t="s">
        <v>795</v>
      </c>
      <c r="N155" s="102" t="s">
        <v>796</v>
      </c>
      <c r="O155" s="102" t="s">
        <v>383</v>
      </c>
      <c r="P155" s="103">
        <v>2</v>
      </c>
      <c r="Q155" s="105">
        <v>3000000</v>
      </c>
      <c r="R155" s="103">
        <v>48</v>
      </c>
      <c r="S155" s="105">
        <v>62500</v>
      </c>
      <c r="T155" s="105">
        <v>3000000</v>
      </c>
      <c r="U155" s="105">
        <v>0</v>
      </c>
      <c r="V155" s="105">
        <v>0</v>
      </c>
      <c r="W155" s="105">
        <v>0</v>
      </c>
      <c r="X155" s="105">
        <v>0</v>
      </c>
      <c r="Y155" s="105">
        <v>0</v>
      </c>
      <c r="Z155" s="105">
        <v>0</v>
      </c>
      <c r="AA155" s="105">
        <v>0</v>
      </c>
      <c r="AB155" s="105">
        <v>0</v>
      </c>
      <c r="AC155" s="8">
        <f t="shared" si="14"/>
        <v>3000000</v>
      </c>
      <c r="AD155" s="8">
        <f t="shared" si="15"/>
        <v>0</v>
      </c>
      <c r="AE155" s="8">
        <f t="shared" si="16"/>
        <v>0</v>
      </c>
      <c r="AF155" s="106">
        <f t="shared" si="17"/>
        <v>0</v>
      </c>
      <c r="AG155" s="8">
        <f t="shared" si="18"/>
        <v>0</v>
      </c>
      <c r="AH155" s="8">
        <f>IF($O155="Aktif",MAX(0,MIN($AE155,$AD155-SUM($AG155:AG155))),0)</f>
        <v>0</v>
      </c>
      <c r="AI155" s="8">
        <f>IF($O155="Aktif",MAX(0,MIN($AE155,$AD155-SUM($AG155:AH155))),0)</f>
        <v>0</v>
      </c>
      <c r="AJ155" s="8">
        <f>IF($O155="Aktif",MAX(0,MIN($AE155,$AD155-SUM($AG155:AI155))),0)</f>
        <v>0</v>
      </c>
      <c r="AK155" s="8">
        <f>IF($O155="Aktif",MAX(0,MIN($AE155,$AD155-SUM($AG155:AJ155))),0)</f>
        <v>0</v>
      </c>
      <c r="AL155" s="8">
        <f>IF($O155="Aktif",MAX(0,MIN($AE155,$AD155-SUM($AG155:AK155))),0)</f>
        <v>0</v>
      </c>
      <c r="AM155" s="8">
        <f>IF($O155="Aktif",MAX(0,MIN($AE155,$AD155-SUM($AG155:AL155))),0)</f>
        <v>0</v>
      </c>
      <c r="AN155" s="8">
        <f>IF($O155="Aktif",MAX(0,MIN($AE155,$AD155-SUM($AG155:AM155))),0)</f>
        <v>0</v>
      </c>
      <c r="AO155" s="8">
        <f>IF($O155="Aktif",MAX(0,MIN($AE155,$AD155-SUM($AG155:AN155))),0)</f>
        <v>0</v>
      </c>
      <c r="AP155" s="8">
        <f>IF($O155="Aktif",MAX(0,MIN($AE155,$AD155-SUM($AG155:AO155))),0)</f>
        <v>0</v>
      </c>
      <c r="AQ155" s="8">
        <f>IF($O155="Aktif",MAX(0,MIN($AE155,$AD155-SUM($AG155:AP155))),0)</f>
        <v>0</v>
      </c>
      <c r="AR155" s="8">
        <f>IF($O155="Aktif",MAX(0,MIN($AE155,$AD155-SUM($AG155:AQ155))),0)</f>
        <v>0</v>
      </c>
      <c r="AS155" s="8">
        <f>IF($O155="Aktif",MAX(0,MIN($AE155,$AD155-SUM($AG155:AR155))),0)</f>
        <v>0</v>
      </c>
      <c r="AT155" s="8">
        <f>IF($O155="Aktif",MAX(0,MIN($AE155,$AD155-SUM($AG155:AS155))),0)</f>
        <v>0</v>
      </c>
      <c r="AU155" s="8">
        <f>IF($O155="Aktif",MAX(0,MIN($AE155,$AD155-SUM($AG155:AT155))),0)</f>
        <v>0</v>
      </c>
      <c r="AV155" s="8">
        <f>IF($O155="Aktif",MAX(0,MIN($AE155,$AD155-SUM($AG155:AU155))),0)</f>
        <v>0</v>
      </c>
      <c r="AW155" s="8">
        <f t="shared" si="19"/>
        <v>0</v>
      </c>
      <c r="AX155" s="8">
        <f t="shared" si="20"/>
        <v>0</v>
      </c>
    </row>
    <row r="156" spans="1:50" ht="15" customHeight="1" x14ac:dyDescent="0.35">
      <c r="A156" s="102">
        <v>150</v>
      </c>
      <c r="B156" s="102" t="s">
        <v>586</v>
      </c>
      <c r="C156" s="103">
        <v>88</v>
      </c>
      <c r="D156" s="102" t="s">
        <v>184</v>
      </c>
      <c r="E156" s="102" t="s">
        <v>587</v>
      </c>
      <c r="F156" s="102" t="s">
        <v>588</v>
      </c>
      <c r="G156" s="102" t="s">
        <v>589</v>
      </c>
      <c r="H156" s="102" t="s">
        <v>590</v>
      </c>
      <c r="I156" s="102" t="s">
        <v>90</v>
      </c>
      <c r="J156" s="102" t="s">
        <v>797</v>
      </c>
      <c r="K156" s="102" t="s">
        <v>591</v>
      </c>
      <c r="L156" s="104">
        <v>42801</v>
      </c>
      <c r="M156" s="102" t="s">
        <v>637</v>
      </c>
      <c r="N156" s="102" t="s">
        <v>798</v>
      </c>
      <c r="O156" s="102" t="s">
        <v>383</v>
      </c>
      <c r="P156" s="103">
        <v>1</v>
      </c>
      <c r="Q156" s="105">
        <v>2000000</v>
      </c>
      <c r="R156" s="103">
        <v>48</v>
      </c>
      <c r="S156" s="105">
        <v>41666.666666666701</v>
      </c>
      <c r="T156" s="105">
        <v>2000000</v>
      </c>
      <c r="U156" s="105">
        <v>0</v>
      </c>
      <c r="V156" s="105">
        <v>0</v>
      </c>
      <c r="W156" s="105">
        <v>0</v>
      </c>
      <c r="X156" s="105">
        <v>0</v>
      </c>
      <c r="Y156" s="105">
        <v>0</v>
      </c>
      <c r="Z156" s="105">
        <v>0</v>
      </c>
      <c r="AA156" s="105">
        <v>0</v>
      </c>
      <c r="AB156" s="105">
        <v>0</v>
      </c>
      <c r="AC156" s="8">
        <f t="shared" si="14"/>
        <v>2000000</v>
      </c>
      <c r="AD156" s="8">
        <f t="shared" si="15"/>
        <v>0</v>
      </c>
      <c r="AE156" s="8">
        <f t="shared" si="16"/>
        <v>0</v>
      </c>
      <c r="AF156" s="106">
        <f t="shared" si="17"/>
        <v>0</v>
      </c>
      <c r="AG156" s="8">
        <f t="shared" si="18"/>
        <v>0</v>
      </c>
      <c r="AH156" s="8">
        <f>IF($O156="Aktif",MAX(0,MIN($AE156,$AD156-SUM($AG156:AG156))),0)</f>
        <v>0</v>
      </c>
      <c r="AI156" s="8">
        <f>IF($O156="Aktif",MAX(0,MIN($AE156,$AD156-SUM($AG156:AH156))),0)</f>
        <v>0</v>
      </c>
      <c r="AJ156" s="8">
        <f>IF($O156="Aktif",MAX(0,MIN($AE156,$AD156-SUM($AG156:AI156))),0)</f>
        <v>0</v>
      </c>
      <c r="AK156" s="8">
        <f>IF($O156="Aktif",MAX(0,MIN($AE156,$AD156-SUM($AG156:AJ156))),0)</f>
        <v>0</v>
      </c>
      <c r="AL156" s="8">
        <f>IF($O156="Aktif",MAX(0,MIN($AE156,$AD156-SUM($AG156:AK156))),0)</f>
        <v>0</v>
      </c>
      <c r="AM156" s="8">
        <f>IF($O156="Aktif",MAX(0,MIN($AE156,$AD156-SUM($AG156:AL156))),0)</f>
        <v>0</v>
      </c>
      <c r="AN156" s="8">
        <f>IF($O156="Aktif",MAX(0,MIN($AE156,$AD156-SUM($AG156:AM156))),0)</f>
        <v>0</v>
      </c>
      <c r="AO156" s="8">
        <f>IF($O156="Aktif",MAX(0,MIN($AE156,$AD156-SUM($AG156:AN156))),0)</f>
        <v>0</v>
      </c>
      <c r="AP156" s="8">
        <f>IF($O156="Aktif",MAX(0,MIN($AE156,$AD156-SUM($AG156:AO156))),0)</f>
        <v>0</v>
      </c>
      <c r="AQ156" s="8">
        <f>IF($O156="Aktif",MAX(0,MIN($AE156,$AD156-SUM($AG156:AP156))),0)</f>
        <v>0</v>
      </c>
      <c r="AR156" s="8">
        <f>IF($O156="Aktif",MAX(0,MIN($AE156,$AD156-SUM($AG156:AQ156))),0)</f>
        <v>0</v>
      </c>
      <c r="AS156" s="8">
        <f>IF($O156="Aktif",MAX(0,MIN($AE156,$AD156-SUM($AG156:AR156))),0)</f>
        <v>0</v>
      </c>
      <c r="AT156" s="8">
        <f>IF($O156="Aktif",MAX(0,MIN($AE156,$AD156-SUM($AG156:AS156))),0)</f>
        <v>0</v>
      </c>
      <c r="AU156" s="8">
        <f>IF($O156="Aktif",MAX(0,MIN($AE156,$AD156-SUM($AG156:AT156))),0)</f>
        <v>0</v>
      </c>
      <c r="AV156" s="8">
        <f>IF($O156="Aktif",MAX(0,MIN($AE156,$AD156-SUM($AG156:AU156))),0)</f>
        <v>0</v>
      </c>
      <c r="AW156" s="8">
        <f t="shared" si="19"/>
        <v>0</v>
      </c>
      <c r="AX156" s="8">
        <f t="shared" si="20"/>
        <v>0</v>
      </c>
    </row>
    <row r="157" spans="1:50" ht="15" customHeight="1" x14ac:dyDescent="0.35">
      <c r="A157" s="102">
        <v>151</v>
      </c>
      <c r="B157" s="102" t="s">
        <v>586</v>
      </c>
      <c r="C157" s="103">
        <v>89</v>
      </c>
      <c r="D157" s="102" t="s">
        <v>184</v>
      </c>
      <c r="E157" s="102" t="s">
        <v>587</v>
      </c>
      <c r="F157" s="102" t="s">
        <v>588</v>
      </c>
      <c r="G157" s="102" t="s">
        <v>589</v>
      </c>
      <c r="H157" s="102" t="s">
        <v>590</v>
      </c>
      <c r="I157" s="102" t="s">
        <v>90</v>
      </c>
      <c r="J157" s="102" t="s">
        <v>799</v>
      </c>
      <c r="K157" s="102" t="s">
        <v>591</v>
      </c>
      <c r="L157" s="104">
        <v>42801</v>
      </c>
      <c r="M157" s="102" t="s">
        <v>800</v>
      </c>
      <c r="N157" s="102" t="s">
        <v>801</v>
      </c>
      <c r="O157" s="102" t="s">
        <v>383</v>
      </c>
      <c r="P157" s="103">
        <v>1</v>
      </c>
      <c r="Q157" s="105">
        <v>4200000</v>
      </c>
      <c r="R157" s="103">
        <v>48</v>
      </c>
      <c r="S157" s="105">
        <v>87500</v>
      </c>
      <c r="T157" s="105">
        <v>4200000</v>
      </c>
      <c r="U157" s="105">
        <v>0</v>
      </c>
      <c r="V157" s="105">
        <v>0</v>
      </c>
      <c r="W157" s="105">
        <v>0</v>
      </c>
      <c r="X157" s="105">
        <v>0</v>
      </c>
      <c r="Y157" s="105">
        <v>0</v>
      </c>
      <c r="Z157" s="105">
        <v>0</v>
      </c>
      <c r="AA157" s="105">
        <v>0</v>
      </c>
      <c r="AB157" s="105">
        <v>0</v>
      </c>
      <c r="AC157" s="8">
        <f t="shared" si="14"/>
        <v>4200000</v>
      </c>
      <c r="AD157" s="8">
        <f t="shared" si="15"/>
        <v>0</v>
      </c>
      <c r="AE157" s="8">
        <f t="shared" si="16"/>
        <v>0</v>
      </c>
      <c r="AF157" s="106">
        <f t="shared" si="17"/>
        <v>0</v>
      </c>
      <c r="AG157" s="8">
        <f t="shared" si="18"/>
        <v>0</v>
      </c>
      <c r="AH157" s="8">
        <f>IF($O157="Aktif",MAX(0,MIN($AE157,$AD157-SUM($AG157:AG157))),0)</f>
        <v>0</v>
      </c>
      <c r="AI157" s="8">
        <f>IF($O157="Aktif",MAX(0,MIN($AE157,$AD157-SUM($AG157:AH157))),0)</f>
        <v>0</v>
      </c>
      <c r="AJ157" s="8">
        <f>IF($O157="Aktif",MAX(0,MIN($AE157,$AD157-SUM($AG157:AI157))),0)</f>
        <v>0</v>
      </c>
      <c r="AK157" s="8">
        <f>IF($O157="Aktif",MAX(0,MIN($AE157,$AD157-SUM($AG157:AJ157))),0)</f>
        <v>0</v>
      </c>
      <c r="AL157" s="8">
        <f>IF($O157="Aktif",MAX(0,MIN($AE157,$AD157-SUM($AG157:AK157))),0)</f>
        <v>0</v>
      </c>
      <c r="AM157" s="8">
        <f>IF($O157="Aktif",MAX(0,MIN($AE157,$AD157-SUM($AG157:AL157))),0)</f>
        <v>0</v>
      </c>
      <c r="AN157" s="8">
        <f>IF($O157="Aktif",MAX(0,MIN($AE157,$AD157-SUM($AG157:AM157))),0)</f>
        <v>0</v>
      </c>
      <c r="AO157" s="8">
        <f>IF($O157="Aktif",MAX(0,MIN($AE157,$AD157-SUM($AG157:AN157))),0)</f>
        <v>0</v>
      </c>
      <c r="AP157" s="8">
        <f>IF($O157="Aktif",MAX(0,MIN($AE157,$AD157-SUM($AG157:AO157))),0)</f>
        <v>0</v>
      </c>
      <c r="AQ157" s="8">
        <f>IF($O157="Aktif",MAX(0,MIN($AE157,$AD157-SUM($AG157:AP157))),0)</f>
        <v>0</v>
      </c>
      <c r="AR157" s="8">
        <f>IF($O157="Aktif",MAX(0,MIN($AE157,$AD157-SUM($AG157:AQ157))),0)</f>
        <v>0</v>
      </c>
      <c r="AS157" s="8">
        <f>IF($O157="Aktif",MAX(0,MIN($AE157,$AD157-SUM($AG157:AR157))),0)</f>
        <v>0</v>
      </c>
      <c r="AT157" s="8">
        <f>IF($O157="Aktif",MAX(0,MIN($AE157,$AD157-SUM($AG157:AS157))),0)</f>
        <v>0</v>
      </c>
      <c r="AU157" s="8">
        <f>IF($O157="Aktif",MAX(0,MIN($AE157,$AD157-SUM($AG157:AT157))),0)</f>
        <v>0</v>
      </c>
      <c r="AV157" s="8">
        <f>IF($O157="Aktif",MAX(0,MIN($AE157,$AD157-SUM($AG157:AU157))),0)</f>
        <v>0</v>
      </c>
      <c r="AW157" s="8">
        <f t="shared" si="19"/>
        <v>0</v>
      </c>
      <c r="AX157" s="8">
        <f t="shared" si="20"/>
        <v>0</v>
      </c>
    </row>
    <row r="158" spans="1:50" ht="15" customHeight="1" x14ac:dyDescent="0.35">
      <c r="A158" s="102">
        <v>152</v>
      </c>
      <c r="B158" s="102" t="s">
        <v>586</v>
      </c>
      <c r="C158" s="103">
        <v>90</v>
      </c>
      <c r="D158" s="102" t="s">
        <v>184</v>
      </c>
      <c r="E158" s="102" t="s">
        <v>587</v>
      </c>
      <c r="F158" s="102" t="s">
        <v>588</v>
      </c>
      <c r="G158" s="102" t="s">
        <v>589</v>
      </c>
      <c r="H158" s="102" t="s">
        <v>590</v>
      </c>
      <c r="I158" s="102" t="s">
        <v>90</v>
      </c>
      <c r="J158" s="102" t="s">
        <v>802</v>
      </c>
      <c r="K158" s="102" t="s">
        <v>591</v>
      </c>
      <c r="L158" s="104">
        <v>42815</v>
      </c>
      <c r="M158" s="102" t="s">
        <v>803</v>
      </c>
      <c r="N158" s="102" t="s">
        <v>804</v>
      </c>
      <c r="O158" s="102" t="s">
        <v>383</v>
      </c>
      <c r="P158" s="103">
        <v>1</v>
      </c>
      <c r="Q158" s="105">
        <v>1050000</v>
      </c>
      <c r="R158" s="103">
        <v>48</v>
      </c>
      <c r="S158" s="105">
        <v>21875</v>
      </c>
      <c r="T158" s="105">
        <v>1050000</v>
      </c>
      <c r="U158" s="105">
        <v>0</v>
      </c>
      <c r="V158" s="105">
        <v>0</v>
      </c>
      <c r="W158" s="105">
        <v>0</v>
      </c>
      <c r="X158" s="105">
        <v>0</v>
      </c>
      <c r="Y158" s="105">
        <v>0</v>
      </c>
      <c r="Z158" s="105">
        <v>0</v>
      </c>
      <c r="AA158" s="105">
        <v>0</v>
      </c>
      <c r="AB158" s="105">
        <v>0</v>
      </c>
      <c r="AC158" s="8">
        <f t="shared" si="14"/>
        <v>1050000</v>
      </c>
      <c r="AD158" s="8">
        <f t="shared" si="15"/>
        <v>0</v>
      </c>
      <c r="AE158" s="8">
        <f t="shared" si="16"/>
        <v>0</v>
      </c>
      <c r="AF158" s="106">
        <f t="shared" si="17"/>
        <v>0</v>
      </c>
      <c r="AG158" s="8">
        <f t="shared" si="18"/>
        <v>0</v>
      </c>
      <c r="AH158" s="8">
        <f>IF($O158="Aktif",MAX(0,MIN($AE158,$AD158-SUM($AG158:AG158))),0)</f>
        <v>0</v>
      </c>
      <c r="AI158" s="8">
        <f>IF($O158="Aktif",MAX(0,MIN($AE158,$AD158-SUM($AG158:AH158))),0)</f>
        <v>0</v>
      </c>
      <c r="AJ158" s="8">
        <f>IF($O158="Aktif",MAX(0,MIN($AE158,$AD158-SUM($AG158:AI158))),0)</f>
        <v>0</v>
      </c>
      <c r="AK158" s="8">
        <f>IF($O158="Aktif",MAX(0,MIN($AE158,$AD158-SUM($AG158:AJ158))),0)</f>
        <v>0</v>
      </c>
      <c r="AL158" s="8">
        <f>IF($O158="Aktif",MAX(0,MIN($AE158,$AD158-SUM($AG158:AK158))),0)</f>
        <v>0</v>
      </c>
      <c r="AM158" s="8">
        <f>IF($O158="Aktif",MAX(0,MIN($AE158,$AD158-SUM($AG158:AL158))),0)</f>
        <v>0</v>
      </c>
      <c r="AN158" s="8">
        <f>IF($O158="Aktif",MAX(0,MIN($AE158,$AD158-SUM($AG158:AM158))),0)</f>
        <v>0</v>
      </c>
      <c r="AO158" s="8">
        <f>IF($O158="Aktif",MAX(0,MIN($AE158,$AD158-SUM($AG158:AN158))),0)</f>
        <v>0</v>
      </c>
      <c r="AP158" s="8">
        <f>IF($O158="Aktif",MAX(0,MIN($AE158,$AD158-SUM($AG158:AO158))),0)</f>
        <v>0</v>
      </c>
      <c r="AQ158" s="8">
        <f>IF($O158="Aktif",MAX(0,MIN($AE158,$AD158-SUM($AG158:AP158))),0)</f>
        <v>0</v>
      </c>
      <c r="AR158" s="8">
        <f>IF($O158="Aktif",MAX(0,MIN($AE158,$AD158-SUM($AG158:AQ158))),0)</f>
        <v>0</v>
      </c>
      <c r="AS158" s="8">
        <f>IF($O158="Aktif",MAX(0,MIN($AE158,$AD158-SUM($AG158:AR158))),0)</f>
        <v>0</v>
      </c>
      <c r="AT158" s="8">
        <f>IF($O158="Aktif",MAX(0,MIN($AE158,$AD158-SUM($AG158:AS158))),0)</f>
        <v>0</v>
      </c>
      <c r="AU158" s="8">
        <f>IF($O158="Aktif",MAX(0,MIN($AE158,$AD158-SUM($AG158:AT158))),0)</f>
        <v>0</v>
      </c>
      <c r="AV158" s="8">
        <f>IF($O158="Aktif",MAX(0,MIN($AE158,$AD158-SUM($AG158:AU158))),0)</f>
        <v>0</v>
      </c>
      <c r="AW158" s="8">
        <f t="shared" si="19"/>
        <v>0</v>
      </c>
      <c r="AX158" s="8">
        <f t="shared" si="20"/>
        <v>0</v>
      </c>
    </row>
    <row r="159" spans="1:50" ht="15" customHeight="1" x14ac:dyDescent="0.35">
      <c r="A159" s="102">
        <v>153</v>
      </c>
      <c r="B159" s="102" t="s">
        <v>586</v>
      </c>
      <c r="C159" s="103">
        <v>91</v>
      </c>
      <c r="D159" s="102" t="s">
        <v>184</v>
      </c>
      <c r="E159" s="102" t="s">
        <v>587</v>
      </c>
      <c r="F159" s="102" t="s">
        <v>588</v>
      </c>
      <c r="G159" s="102" t="s">
        <v>589</v>
      </c>
      <c r="H159" s="102" t="s">
        <v>590</v>
      </c>
      <c r="I159" s="102" t="s">
        <v>90</v>
      </c>
      <c r="J159" s="102" t="s">
        <v>805</v>
      </c>
      <c r="K159" s="102" t="s">
        <v>591</v>
      </c>
      <c r="L159" s="104">
        <v>42843</v>
      </c>
      <c r="M159" s="102" t="s">
        <v>806</v>
      </c>
      <c r="N159" s="102" t="s">
        <v>807</v>
      </c>
      <c r="O159" s="102" t="s">
        <v>383</v>
      </c>
      <c r="P159" s="103">
        <v>1</v>
      </c>
      <c r="Q159" s="105">
        <v>8800000</v>
      </c>
      <c r="R159" s="103">
        <v>48</v>
      </c>
      <c r="S159" s="105">
        <v>183333.33333333299</v>
      </c>
      <c r="T159" s="105">
        <v>8800000</v>
      </c>
      <c r="U159" s="105">
        <v>0</v>
      </c>
      <c r="V159" s="105">
        <v>0</v>
      </c>
      <c r="W159" s="105">
        <v>0</v>
      </c>
      <c r="X159" s="105">
        <v>0</v>
      </c>
      <c r="Y159" s="105">
        <v>0</v>
      </c>
      <c r="Z159" s="105">
        <v>0</v>
      </c>
      <c r="AA159" s="105">
        <v>0</v>
      </c>
      <c r="AB159" s="105">
        <v>0</v>
      </c>
      <c r="AC159" s="8">
        <f t="shared" si="14"/>
        <v>8800000</v>
      </c>
      <c r="AD159" s="8">
        <f t="shared" si="15"/>
        <v>0</v>
      </c>
      <c r="AE159" s="8">
        <f t="shared" si="16"/>
        <v>0</v>
      </c>
      <c r="AF159" s="106">
        <f t="shared" si="17"/>
        <v>0</v>
      </c>
      <c r="AG159" s="8">
        <f t="shared" si="18"/>
        <v>0</v>
      </c>
      <c r="AH159" s="8">
        <f>IF($O159="Aktif",MAX(0,MIN($AE159,$AD159-SUM($AG159:AG159))),0)</f>
        <v>0</v>
      </c>
      <c r="AI159" s="8">
        <f>IF($O159="Aktif",MAX(0,MIN($AE159,$AD159-SUM($AG159:AH159))),0)</f>
        <v>0</v>
      </c>
      <c r="AJ159" s="8">
        <f>IF($O159="Aktif",MAX(0,MIN($AE159,$AD159-SUM($AG159:AI159))),0)</f>
        <v>0</v>
      </c>
      <c r="AK159" s="8">
        <f>IF($O159="Aktif",MAX(0,MIN($AE159,$AD159-SUM($AG159:AJ159))),0)</f>
        <v>0</v>
      </c>
      <c r="AL159" s="8">
        <f>IF($O159="Aktif",MAX(0,MIN($AE159,$AD159-SUM($AG159:AK159))),0)</f>
        <v>0</v>
      </c>
      <c r="AM159" s="8">
        <f>IF($O159="Aktif",MAX(0,MIN($AE159,$AD159-SUM($AG159:AL159))),0)</f>
        <v>0</v>
      </c>
      <c r="AN159" s="8">
        <f>IF($O159="Aktif",MAX(0,MIN($AE159,$AD159-SUM($AG159:AM159))),0)</f>
        <v>0</v>
      </c>
      <c r="AO159" s="8">
        <f>IF($O159="Aktif",MAX(0,MIN($AE159,$AD159-SUM($AG159:AN159))),0)</f>
        <v>0</v>
      </c>
      <c r="AP159" s="8">
        <f>IF($O159="Aktif",MAX(0,MIN($AE159,$AD159-SUM($AG159:AO159))),0)</f>
        <v>0</v>
      </c>
      <c r="AQ159" s="8">
        <f>IF($O159="Aktif",MAX(0,MIN($AE159,$AD159-SUM($AG159:AP159))),0)</f>
        <v>0</v>
      </c>
      <c r="AR159" s="8">
        <f>IF($O159="Aktif",MAX(0,MIN($AE159,$AD159-SUM($AG159:AQ159))),0)</f>
        <v>0</v>
      </c>
      <c r="AS159" s="8">
        <f>IF($O159="Aktif",MAX(0,MIN($AE159,$AD159-SUM($AG159:AR159))),0)</f>
        <v>0</v>
      </c>
      <c r="AT159" s="8">
        <f>IF($O159="Aktif",MAX(0,MIN($AE159,$AD159-SUM($AG159:AS159))),0)</f>
        <v>0</v>
      </c>
      <c r="AU159" s="8">
        <f>IF($O159="Aktif",MAX(0,MIN($AE159,$AD159-SUM($AG159:AT159))),0)</f>
        <v>0</v>
      </c>
      <c r="AV159" s="8">
        <f>IF($O159="Aktif",MAX(0,MIN($AE159,$AD159-SUM($AG159:AU159))),0)</f>
        <v>0</v>
      </c>
      <c r="AW159" s="8">
        <f t="shared" si="19"/>
        <v>0</v>
      </c>
      <c r="AX159" s="8">
        <f t="shared" si="20"/>
        <v>0</v>
      </c>
    </row>
    <row r="160" spans="1:50" ht="15" customHeight="1" x14ac:dyDescent="0.35">
      <c r="A160" s="102">
        <v>154</v>
      </c>
      <c r="B160" s="102" t="s">
        <v>586</v>
      </c>
      <c r="C160" s="103">
        <v>92</v>
      </c>
      <c r="D160" s="102" t="s">
        <v>184</v>
      </c>
      <c r="E160" s="102" t="s">
        <v>587</v>
      </c>
      <c r="F160" s="102" t="s">
        <v>588</v>
      </c>
      <c r="G160" s="102" t="s">
        <v>589</v>
      </c>
      <c r="H160" s="102" t="s">
        <v>590</v>
      </c>
      <c r="I160" s="102" t="s">
        <v>90</v>
      </c>
      <c r="J160" s="102" t="s">
        <v>808</v>
      </c>
      <c r="K160" s="102" t="s">
        <v>591</v>
      </c>
      <c r="L160" s="104">
        <v>42885</v>
      </c>
      <c r="M160" s="102" t="s">
        <v>809</v>
      </c>
      <c r="N160" s="102" t="s">
        <v>810</v>
      </c>
      <c r="O160" s="102" t="s">
        <v>383</v>
      </c>
      <c r="P160" s="103">
        <v>1</v>
      </c>
      <c r="Q160" s="105">
        <v>5000000</v>
      </c>
      <c r="R160" s="103">
        <v>48</v>
      </c>
      <c r="S160" s="105">
        <v>104166.66666666701</v>
      </c>
      <c r="T160" s="105">
        <v>5000000</v>
      </c>
      <c r="U160" s="105">
        <v>0</v>
      </c>
      <c r="V160" s="105">
        <v>0</v>
      </c>
      <c r="W160" s="105">
        <v>0</v>
      </c>
      <c r="X160" s="105">
        <v>0</v>
      </c>
      <c r="Y160" s="105">
        <v>0</v>
      </c>
      <c r="Z160" s="105">
        <v>0</v>
      </c>
      <c r="AA160" s="105">
        <v>0</v>
      </c>
      <c r="AB160" s="105">
        <v>0</v>
      </c>
      <c r="AC160" s="8">
        <f t="shared" si="14"/>
        <v>5000000</v>
      </c>
      <c r="AD160" s="8">
        <f t="shared" si="15"/>
        <v>0</v>
      </c>
      <c r="AE160" s="8">
        <f t="shared" si="16"/>
        <v>0</v>
      </c>
      <c r="AF160" s="106">
        <f t="shared" si="17"/>
        <v>0</v>
      </c>
      <c r="AG160" s="8">
        <f t="shared" si="18"/>
        <v>0</v>
      </c>
      <c r="AH160" s="8">
        <f>IF($O160="Aktif",MAX(0,MIN($AE160,$AD160-SUM($AG160:AG160))),0)</f>
        <v>0</v>
      </c>
      <c r="AI160" s="8">
        <f>IF($O160="Aktif",MAX(0,MIN($AE160,$AD160-SUM($AG160:AH160))),0)</f>
        <v>0</v>
      </c>
      <c r="AJ160" s="8">
        <f>IF($O160="Aktif",MAX(0,MIN($AE160,$AD160-SUM($AG160:AI160))),0)</f>
        <v>0</v>
      </c>
      <c r="AK160" s="8">
        <f>IF($O160="Aktif",MAX(0,MIN($AE160,$AD160-SUM($AG160:AJ160))),0)</f>
        <v>0</v>
      </c>
      <c r="AL160" s="8">
        <f>IF($O160="Aktif",MAX(0,MIN($AE160,$AD160-SUM($AG160:AK160))),0)</f>
        <v>0</v>
      </c>
      <c r="AM160" s="8">
        <f>IF($O160="Aktif",MAX(0,MIN($AE160,$AD160-SUM($AG160:AL160))),0)</f>
        <v>0</v>
      </c>
      <c r="AN160" s="8">
        <f>IF($O160="Aktif",MAX(0,MIN($AE160,$AD160-SUM($AG160:AM160))),0)</f>
        <v>0</v>
      </c>
      <c r="AO160" s="8">
        <f>IF($O160="Aktif",MAX(0,MIN($AE160,$AD160-SUM($AG160:AN160))),0)</f>
        <v>0</v>
      </c>
      <c r="AP160" s="8">
        <f>IF($O160="Aktif",MAX(0,MIN($AE160,$AD160-SUM($AG160:AO160))),0)</f>
        <v>0</v>
      </c>
      <c r="AQ160" s="8">
        <f>IF($O160="Aktif",MAX(0,MIN($AE160,$AD160-SUM($AG160:AP160))),0)</f>
        <v>0</v>
      </c>
      <c r="AR160" s="8">
        <f>IF($O160="Aktif",MAX(0,MIN($AE160,$AD160-SUM($AG160:AQ160))),0)</f>
        <v>0</v>
      </c>
      <c r="AS160" s="8">
        <f>IF($O160="Aktif",MAX(0,MIN($AE160,$AD160-SUM($AG160:AR160))),0)</f>
        <v>0</v>
      </c>
      <c r="AT160" s="8">
        <f>IF($O160="Aktif",MAX(0,MIN($AE160,$AD160-SUM($AG160:AS160))),0)</f>
        <v>0</v>
      </c>
      <c r="AU160" s="8">
        <f>IF($O160="Aktif",MAX(0,MIN($AE160,$AD160-SUM($AG160:AT160))),0)</f>
        <v>0</v>
      </c>
      <c r="AV160" s="8">
        <f>IF($O160="Aktif",MAX(0,MIN($AE160,$AD160-SUM($AG160:AU160))),0)</f>
        <v>0</v>
      </c>
      <c r="AW160" s="8">
        <f t="shared" si="19"/>
        <v>0</v>
      </c>
      <c r="AX160" s="8">
        <f t="shared" si="20"/>
        <v>0</v>
      </c>
    </row>
    <row r="161" spans="1:50" ht="15" customHeight="1" x14ac:dyDescent="0.35">
      <c r="A161" s="102">
        <v>155</v>
      </c>
      <c r="B161" s="102" t="s">
        <v>586</v>
      </c>
      <c r="C161" s="103">
        <v>93</v>
      </c>
      <c r="D161" s="102" t="s">
        <v>184</v>
      </c>
      <c r="E161" s="102" t="s">
        <v>587</v>
      </c>
      <c r="F161" s="102" t="s">
        <v>588</v>
      </c>
      <c r="G161" s="102" t="s">
        <v>589</v>
      </c>
      <c r="H161" s="102" t="s">
        <v>590</v>
      </c>
      <c r="I161" s="102" t="s">
        <v>90</v>
      </c>
      <c r="J161" s="102" t="s">
        <v>811</v>
      </c>
      <c r="K161" s="102" t="s">
        <v>591</v>
      </c>
      <c r="L161" s="104">
        <v>42888</v>
      </c>
      <c r="M161" s="102" t="s">
        <v>812</v>
      </c>
      <c r="N161" s="102" t="s">
        <v>813</v>
      </c>
      <c r="O161" s="102" t="s">
        <v>383</v>
      </c>
      <c r="P161" s="103">
        <v>1</v>
      </c>
      <c r="Q161" s="105">
        <v>4150000</v>
      </c>
      <c r="R161" s="103">
        <v>48</v>
      </c>
      <c r="S161" s="105">
        <v>86458.333333333299</v>
      </c>
      <c r="T161" s="105">
        <v>4150000</v>
      </c>
      <c r="U161" s="105">
        <v>0</v>
      </c>
      <c r="V161" s="105">
        <v>0</v>
      </c>
      <c r="W161" s="105">
        <v>0</v>
      </c>
      <c r="X161" s="105">
        <v>0</v>
      </c>
      <c r="Y161" s="105">
        <v>0</v>
      </c>
      <c r="Z161" s="105">
        <v>0</v>
      </c>
      <c r="AA161" s="105">
        <v>0</v>
      </c>
      <c r="AB161" s="105">
        <v>0</v>
      </c>
      <c r="AC161" s="8">
        <f t="shared" si="14"/>
        <v>4150000</v>
      </c>
      <c r="AD161" s="8">
        <f t="shared" si="15"/>
        <v>0</v>
      </c>
      <c r="AE161" s="8">
        <f t="shared" si="16"/>
        <v>0</v>
      </c>
      <c r="AF161" s="106">
        <f t="shared" si="17"/>
        <v>0</v>
      </c>
      <c r="AG161" s="8">
        <f t="shared" si="18"/>
        <v>0</v>
      </c>
      <c r="AH161" s="8">
        <f>IF($O161="Aktif",MAX(0,MIN($AE161,$AD161-SUM($AG161:AG161))),0)</f>
        <v>0</v>
      </c>
      <c r="AI161" s="8">
        <f>IF($O161="Aktif",MAX(0,MIN($AE161,$AD161-SUM($AG161:AH161))),0)</f>
        <v>0</v>
      </c>
      <c r="AJ161" s="8">
        <f>IF($O161="Aktif",MAX(0,MIN($AE161,$AD161-SUM($AG161:AI161))),0)</f>
        <v>0</v>
      </c>
      <c r="AK161" s="8">
        <f>IF($O161="Aktif",MAX(0,MIN($AE161,$AD161-SUM($AG161:AJ161))),0)</f>
        <v>0</v>
      </c>
      <c r="AL161" s="8">
        <f>IF($O161="Aktif",MAX(0,MIN($AE161,$AD161-SUM($AG161:AK161))),0)</f>
        <v>0</v>
      </c>
      <c r="AM161" s="8">
        <f>IF($O161="Aktif",MAX(0,MIN($AE161,$AD161-SUM($AG161:AL161))),0)</f>
        <v>0</v>
      </c>
      <c r="AN161" s="8">
        <f>IF($O161="Aktif",MAX(0,MIN($AE161,$AD161-SUM($AG161:AM161))),0)</f>
        <v>0</v>
      </c>
      <c r="AO161" s="8">
        <f>IF($O161="Aktif",MAX(0,MIN($AE161,$AD161-SUM($AG161:AN161))),0)</f>
        <v>0</v>
      </c>
      <c r="AP161" s="8">
        <f>IF($O161="Aktif",MAX(0,MIN($AE161,$AD161-SUM($AG161:AO161))),0)</f>
        <v>0</v>
      </c>
      <c r="AQ161" s="8">
        <f>IF($O161="Aktif",MAX(0,MIN($AE161,$AD161-SUM($AG161:AP161))),0)</f>
        <v>0</v>
      </c>
      <c r="AR161" s="8">
        <f>IF($O161="Aktif",MAX(0,MIN($AE161,$AD161-SUM($AG161:AQ161))),0)</f>
        <v>0</v>
      </c>
      <c r="AS161" s="8">
        <f>IF($O161="Aktif",MAX(0,MIN($AE161,$AD161-SUM($AG161:AR161))),0)</f>
        <v>0</v>
      </c>
      <c r="AT161" s="8">
        <f>IF($O161="Aktif",MAX(0,MIN($AE161,$AD161-SUM($AG161:AS161))),0)</f>
        <v>0</v>
      </c>
      <c r="AU161" s="8">
        <f>IF($O161="Aktif",MAX(0,MIN($AE161,$AD161-SUM($AG161:AT161))),0)</f>
        <v>0</v>
      </c>
      <c r="AV161" s="8">
        <f>IF($O161="Aktif",MAX(0,MIN($AE161,$AD161-SUM($AG161:AU161))),0)</f>
        <v>0</v>
      </c>
      <c r="AW161" s="8">
        <f t="shared" si="19"/>
        <v>0</v>
      </c>
      <c r="AX161" s="8">
        <f t="shared" si="20"/>
        <v>0</v>
      </c>
    </row>
    <row r="162" spans="1:50" ht="15" customHeight="1" x14ac:dyDescent="0.35">
      <c r="A162" s="102">
        <v>156</v>
      </c>
      <c r="B162" s="102" t="s">
        <v>586</v>
      </c>
      <c r="C162" s="103">
        <v>94</v>
      </c>
      <c r="D162" s="102" t="s">
        <v>184</v>
      </c>
      <c r="E162" s="102" t="s">
        <v>587</v>
      </c>
      <c r="F162" s="102" t="s">
        <v>588</v>
      </c>
      <c r="G162" s="102" t="s">
        <v>589</v>
      </c>
      <c r="H162" s="102" t="s">
        <v>590</v>
      </c>
      <c r="I162" s="102" t="s">
        <v>90</v>
      </c>
      <c r="J162" s="102" t="s">
        <v>814</v>
      </c>
      <c r="K162" s="102" t="s">
        <v>591</v>
      </c>
      <c r="L162" s="104">
        <v>42916</v>
      </c>
      <c r="M162" s="102" t="s">
        <v>815</v>
      </c>
      <c r="N162" s="102" t="s">
        <v>816</v>
      </c>
      <c r="O162" s="102" t="s">
        <v>383</v>
      </c>
      <c r="P162" s="103">
        <v>1</v>
      </c>
      <c r="Q162" s="105">
        <v>11900000</v>
      </c>
      <c r="R162" s="103">
        <v>48</v>
      </c>
      <c r="S162" s="105">
        <v>247916.66666666701</v>
      </c>
      <c r="T162" s="105">
        <v>11900000</v>
      </c>
      <c r="U162" s="105">
        <v>0</v>
      </c>
      <c r="V162" s="105">
        <v>0</v>
      </c>
      <c r="W162" s="105">
        <v>0</v>
      </c>
      <c r="X162" s="105">
        <v>0</v>
      </c>
      <c r="Y162" s="105">
        <v>0</v>
      </c>
      <c r="Z162" s="105">
        <v>0</v>
      </c>
      <c r="AA162" s="105">
        <v>0</v>
      </c>
      <c r="AB162" s="105">
        <v>0</v>
      </c>
      <c r="AC162" s="8">
        <f t="shared" si="14"/>
        <v>11900000</v>
      </c>
      <c r="AD162" s="8">
        <f t="shared" si="15"/>
        <v>0</v>
      </c>
      <c r="AE162" s="8">
        <f t="shared" si="16"/>
        <v>0</v>
      </c>
      <c r="AF162" s="106">
        <f t="shared" si="17"/>
        <v>0</v>
      </c>
      <c r="AG162" s="8">
        <f t="shared" si="18"/>
        <v>0</v>
      </c>
      <c r="AH162" s="8">
        <f>IF($O162="Aktif",MAX(0,MIN($AE162,$AD162-SUM($AG162:AG162))),0)</f>
        <v>0</v>
      </c>
      <c r="AI162" s="8">
        <f>IF($O162="Aktif",MAX(0,MIN($AE162,$AD162-SUM($AG162:AH162))),0)</f>
        <v>0</v>
      </c>
      <c r="AJ162" s="8">
        <f>IF($O162="Aktif",MAX(0,MIN($AE162,$AD162-SUM($AG162:AI162))),0)</f>
        <v>0</v>
      </c>
      <c r="AK162" s="8">
        <f>IF($O162="Aktif",MAX(0,MIN($AE162,$AD162-SUM($AG162:AJ162))),0)</f>
        <v>0</v>
      </c>
      <c r="AL162" s="8">
        <f>IF($O162="Aktif",MAX(0,MIN($AE162,$AD162-SUM($AG162:AK162))),0)</f>
        <v>0</v>
      </c>
      <c r="AM162" s="8">
        <f>IF($O162="Aktif",MAX(0,MIN($AE162,$AD162-SUM($AG162:AL162))),0)</f>
        <v>0</v>
      </c>
      <c r="AN162" s="8">
        <f>IF($O162="Aktif",MAX(0,MIN($AE162,$AD162-SUM($AG162:AM162))),0)</f>
        <v>0</v>
      </c>
      <c r="AO162" s="8">
        <f>IF($O162="Aktif",MAX(0,MIN($AE162,$AD162-SUM($AG162:AN162))),0)</f>
        <v>0</v>
      </c>
      <c r="AP162" s="8">
        <f>IF($O162="Aktif",MAX(0,MIN($AE162,$AD162-SUM($AG162:AO162))),0)</f>
        <v>0</v>
      </c>
      <c r="AQ162" s="8">
        <f>IF($O162="Aktif",MAX(0,MIN($AE162,$AD162-SUM($AG162:AP162))),0)</f>
        <v>0</v>
      </c>
      <c r="AR162" s="8">
        <f>IF($O162="Aktif",MAX(0,MIN($AE162,$AD162-SUM($AG162:AQ162))),0)</f>
        <v>0</v>
      </c>
      <c r="AS162" s="8">
        <f>IF($O162="Aktif",MAX(0,MIN($AE162,$AD162-SUM($AG162:AR162))),0)</f>
        <v>0</v>
      </c>
      <c r="AT162" s="8">
        <f>IF($O162="Aktif",MAX(0,MIN($AE162,$AD162-SUM($AG162:AS162))),0)</f>
        <v>0</v>
      </c>
      <c r="AU162" s="8">
        <f>IF($O162="Aktif",MAX(0,MIN($AE162,$AD162-SUM($AG162:AT162))),0)</f>
        <v>0</v>
      </c>
      <c r="AV162" s="8">
        <f>IF($O162="Aktif",MAX(0,MIN($AE162,$AD162-SUM($AG162:AU162))),0)</f>
        <v>0</v>
      </c>
      <c r="AW162" s="8">
        <f t="shared" si="19"/>
        <v>0</v>
      </c>
      <c r="AX162" s="8">
        <f t="shared" si="20"/>
        <v>0</v>
      </c>
    </row>
    <row r="163" spans="1:50" ht="15" customHeight="1" x14ac:dyDescent="0.35">
      <c r="A163" s="102">
        <v>157</v>
      </c>
      <c r="B163" s="102" t="s">
        <v>586</v>
      </c>
      <c r="C163" s="103">
        <v>95</v>
      </c>
      <c r="D163" s="102" t="s">
        <v>184</v>
      </c>
      <c r="E163" s="102" t="s">
        <v>587</v>
      </c>
      <c r="F163" s="102" t="s">
        <v>588</v>
      </c>
      <c r="G163" s="102" t="s">
        <v>589</v>
      </c>
      <c r="H163" s="102" t="s">
        <v>590</v>
      </c>
      <c r="I163" s="102" t="s">
        <v>90</v>
      </c>
      <c r="J163" s="102" t="s">
        <v>817</v>
      </c>
      <c r="K163" s="102" t="s">
        <v>591</v>
      </c>
      <c r="L163" s="104">
        <v>42955</v>
      </c>
      <c r="M163" s="102" t="s">
        <v>818</v>
      </c>
      <c r="N163" s="102" t="s">
        <v>819</v>
      </c>
      <c r="O163" s="102" t="s">
        <v>383</v>
      </c>
      <c r="P163" s="103">
        <v>1</v>
      </c>
      <c r="Q163" s="105">
        <v>3704400</v>
      </c>
      <c r="R163" s="103">
        <v>48</v>
      </c>
      <c r="S163" s="105">
        <v>77175</v>
      </c>
      <c r="T163" s="105">
        <v>3704400</v>
      </c>
      <c r="U163" s="105">
        <v>0</v>
      </c>
      <c r="V163" s="105">
        <v>0</v>
      </c>
      <c r="W163" s="105">
        <v>0</v>
      </c>
      <c r="X163" s="105">
        <v>0</v>
      </c>
      <c r="Y163" s="105">
        <v>0</v>
      </c>
      <c r="Z163" s="105">
        <v>0</v>
      </c>
      <c r="AA163" s="105">
        <v>0</v>
      </c>
      <c r="AB163" s="105">
        <v>0</v>
      </c>
      <c r="AC163" s="8">
        <f t="shared" si="14"/>
        <v>3704400</v>
      </c>
      <c r="AD163" s="8">
        <f t="shared" si="15"/>
        <v>0</v>
      </c>
      <c r="AE163" s="8">
        <f t="shared" si="16"/>
        <v>0</v>
      </c>
      <c r="AF163" s="106">
        <f t="shared" si="17"/>
        <v>0</v>
      </c>
      <c r="AG163" s="8">
        <f t="shared" si="18"/>
        <v>0</v>
      </c>
      <c r="AH163" s="8">
        <f>IF($O163="Aktif",MAX(0,MIN($AE163,$AD163-SUM($AG163:AG163))),0)</f>
        <v>0</v>
      </c>
      <c r="AI163" s="8">
        <f>IF($O163="Aktif",MAX(0,MIN($AE163,$AD163-SUM($AG163:AH163))),0)</f>
        <v>0</v>
      </c>
      <c r="AJ163" s="8">
        <f>IF($O163="Aktif",MAX(0,MIN($AE163,$AD163-SUM($AG163:AI163))),0)</f>
        <v>0</v>
      </c>
      <c r="AK163" s="8">
        <f>IF($O163="Aktif",MAX(0,MIN($AE163,$AD163-SUM($AG163:AJ163))),0)</f>
        <v>0</v>
      </c>
      <c r="AL163" s="8">
        <f>IF($O163="Aktif",MAX(0,MIN($AE163,$AD163-SUM($AG163:AK163))),0)</f>
        <v>0</v>
      </c>
      <c r="AM163" s="8">
        <f>IF($O163="Aktif",MAX(0,MIN($AE163,$AD163-SUM($AG163:AL163))),0)</f>
        <v>0</v>
      </c>
      <c r="AN163" s="8">
        <f>IF($O163="Aktif",MAX(0,MIN($AE163,$AD163-SUM($AG163:AM163))),0)</f>
        <v>0</v>
      </c>
      <c r="AO163" s="8">
        <f>IF($O163="Aktif",MAX(0,MIN($AE163,$AD163-SUM($AG163:AN163))),0)</f>
        <v>0</v>
      </c>
      <c r="AP163" s="8">
        <f>IF($O163="Aktif",MAX(0,MIN($AE163,$AD163-SUM($AG163:AO163))),0)</f>
        <v>0</v>
      </c>
      <c r="AQ163" s="8">
        <f>IF($O163="Aktif",MAX(0,MIN($AE163,$AD163-SUM($AG163:AP163))),0)</f>
        <v>0</v>
      </c>
      <c r="AR163" s="8">
        <f>IF($O163="Aktif",MAX(0,MIN($AE163,$AD163-SUM($AG163:AQ163))),0)</f>
        <v>0</v>
      </c>
      <c r="AS163" s="8">
        <f>IF($O163="Aktif",MAX(0,MIN($AE163,$AD163-SUM($AG163:AR163))),0)</f>
        <v>0</v>
      </c>
      <c r="AT163" s="8">
        <f>IF($O163="Aktif",MAX(0,MIN($AE163,$AD163-SUM($AG163:AS163))),0)</f>
        <v>0</v>
      </c>
      <c r="AU163" s="8">
        <f>IF($O163="Aktif",MAX(0,MIN($AE163,$AD163-SUM($AG163:AT163))),0)</f>
        <v>0</v>
      </c>
      <c r="AV163" s="8">
        <f>IF($O163="Aktif",MAX(0,MIN($AE163,$AD163-SUM($AG163:AU163))),0)</f>
        <v>0</v>
      </c>
      <c r="AW163" s="8">
        <f t="shared" si="19"/>
        <v>0</v>
      </c>
      <c r="AX163" s="8">
        <f t="shared" si="20"/>
        <v>0</v>
      </c>
    </row>
    <row r="164" spans="1:50" ht="15" customHeight="1" x14ac:dyDescent="0.35">
      <c r="A164" s="102">
        <v>158</v>
      </c>
      <c r="B164" s="102" t="s">
        <v>586</v>
      </c>
      <c r="C164" s="103">
        <v>96</v>
      </c>
      <c r="D164" s="102" t="s">
        <v>184</v>
      </c>
      <c r="E164" s="102" t="s">
        <v>587</v>
      </c>
      <c r="F164" s="102" t="s">
        <v>588</v>
      </c>
      <c r="G164" s="102" t="s">
        <v>589</v>
      </c>
      <c r="H164" s="102" t="s">
        <v>590</v>
      </c>
      <c r="I164" s="102" t="s">
        <v>90</v>
      </c>
      <c r="J164" s="102" t="s">
        <v>820</v>
      </c>
      <c r="K164" s="102" t="s">
        <v>591</v>
      </c>
      <c r="L164" s="104">
        <v>42972</v>
      </c>
      <c r="M164" s="102" t="s">
        <v>821</v>
      </c>
      <c r="N164" s="102" t="s">
        <v>822</v>
      </c>
      <c r="O164" s="102" t="s">
        <v>383</v>
      </c>
      <c r="P164" s="103">
        <v>1</v>
      </c>
      <c r="Q164" s="105">
        <v>750000</v>
      </c>
      <c r="R164" s="103">
        <v>48</v>
      </c>
      <c r="S164" s="105">
        <v>15625</v>
      </c>
      <c r="T164" s="105">
        <v>750000</v>
      </c>
      <c r="U164" s="105">
        <v>0</v>
      </c>
      <c r="V164" s="105">
        <v>0</v>
      </c>
      <c r="W164" s="105">
        <v>0</v>
      </c>
      <c r="X164" s="105">
        <v>0</v>
      </c>
      <c r="Y164" s="105">
        <v>0</v>
      </c>
      <c r="Z164" s="105">
        <v>0</v>
      </c>
      <c r="AA164" s="105">
        <v>0</v>
      </c>
      <c r="AB164" s="105">
        <v>0</v>
      </c>
      <c r="AC164" s="8">
        <f t="shared" si="14"/>
        <v>750000</v>
      </c>
      <c r="AD164" s="8">
        <f t="shared" si="15"/>
        <v>0</v>
      </c>
      <c r="AE164" s="8">
        <f t="shared" si="16"/>
        <v>0</v>
      </c>
      <c r="AF164" s="106">
        <f t="shared" si="17"/>
        <v>0</v>
      </c>
      <c r="AG164" s="8">
        <f t="shared" si="18"/>
        <v>0</v>
      </c>
      <c r="AH164" s="8">
        <f>IF($O164="Aktif",MAX(0,MIN($AE164,$AD164-SUM($AG164:AG164))),0)</f>
        <v>0</v>
      </c>
      <c r="AI164" s="8">
        <f>IF($O164="Aktif",MAX(0,MIN($AE164,$AD164-SUM($AG164:AH164))),0)</f>
        <v>0</v>
      </c>
      <c r="AJ164" s="8">
        <f>IF($O164="Aktif",MAX(0,MIN($AE164,$AD164-SUM($AG164:AI164))),0)</f>
        <v>0</v>
      </c>
      <c r="AK164" s="8">
        <f>IF($O164="Aktif",MAX(0,MIN($AE164,$AD164-SUM($AG164:AJ164))),0)</f>
        <v>0</v>
      </c>
      <c r="AL164" s="8">
        <f>IF($O164="Aktif",MAX(0,MIN($AE164,$AD164-SUM($AG164:AK164))),0)</f>
        <v>0</v>
      </c>
      <c r="AM164" s="8">
        <f>IF($O164="Aktif",MAX(0,MIN($AE164,$AD164-SUM($AG164:AL164))),0)</f>
        <v>0</v>
      </c>
      <c r="AN164" s="8">
        <f>IF($O164="Aktif",MAX(0,MIN($AE164,$AD164-SUM($AG164:AM164))),0)</f>
        <v>0</v>
      </c>
      <c r="AO164" s="8">
        <f>IF($O164="Aktif",MAX(0,MIN($AE164,$AD164-SUM($AG164:AN164))),0)</f>
        <v>0</v>
      </c>
      <c r="AP164" s="8">
        <f>IF($O164="Aktif",MAX(0,MIN($AE164,$AD164-SUM($AG164:AO164))),0)</f>
        <v>0</v>
      </c>
      <c r="AQ164" s="8">
        <f>IF($O164="Aktif",MAX(0,MIN($AE164,$AD164-SUM($AG164:AP164))),0)</f>
        <v>0</v>
      </c>
      <c r="AR164" s="8">
        <f>IF($O164="Aktif",MAX(0,MIN($AE164,$AD164-SUM($AG164:AQ164))),0)</f>
        <v>0</v>
      </c>
      <c r="AS164" s="8">
        <f>IF($O164="Aktif",MAX(0,MIN($AE164,$AD164-SUM($AG164:AR164))),0)</f>
        <v>0</v>
      </c>
      <c r="AT164" s="8">
        <f>IF($O164="Aktif",MAX(0,MIN($AE164,$AD164-SUM($AG164:AS164))),0)</f>
        <v>0</v>
      </c>
      <c r="AU164" s="8">
        <f>IF($O164="Aktif",MAX(0,MIN($AE164,$AD164-SUM($AG164:AT164))),0)</f>
        <v>0</v>
      </c>
      <c r="AV164" s="8">
        <f>IF($O164="Aktif",MAX(0,MIN($AE164,$AD164-SUM($AG164:AU164))),0)</f>
        <v>0</v>
      </c>
      <c r="AW164" s="8">
        <f t="shared" si="19"/>
        <v>0</v>
      </c>
      <c r="AX164" s="8">
        <f t="shared" si="20"/>
        <v>0</v>
      </c>
    </row>
    <row r="165" spans="1:50" ht="15" customHeight="1" x14ac:dyDescent="0.35">
      <c r="A165" s="102">
        <v>159</v>
      </c>
      <c r="B165" s="102" t="s">
        <v>586</v>
      </c>
      <c r="C165" s="103">
        <v>97</v>
      </c>
      <c r="D165" s="102" t="s">
        <v>184</v>
      </c>
      <c r="E165" s="102" t="s">
        <v>587</v>
      </c>
      <c r="F165" s="102" t="s">
        <v>588</v>
      </c>
      <c r="G165" s="102" t="s">
        <v>589</v>
      </c>
      <c r="H165" s="102" t="s">
        <v>590</v>
      </c>
      <c r="I165" s="102" t="s">
        <v>90</v>
      </c>
      <c r="J165" s="102" t="s">
        <v>823</v>
      </c>
      <c r="K165" s="102" t="s">
        <v>591</v>
      </c>
      <c r="L165" s="104">
        <v>43000</v>
      </c>
      <c r="M165" s="102" t="s">
        <v>824</v>
      </c>
      <c r="N165" s="102" t="s">
        <v>825</v>
      </c>
      <c r="O165" s="102" t="s">
        <v>383</v>
      </c>
      <c r="P165" s="103">
        <v>1</v>
      </c>
      <c r="Q165" s="105">
        <v>6394500</v>
      </c>
      <c r="R165" s="103">
        <v>48</v>
      </c>
      <c r="S165" s="105">
        <v>133218.75</v>
      </c>
      <c r="T165" s="105">
        <v>6394500</v>
      </c>
      <c r="U165" s="105">
        <v>0</v>
      </c>
      <c r="V165" s="105">
        <v>0</v>
      </c>
      <c r="W165" s="105">
        <v>0</v>
      </c>
      <c r="X165" s="105">
        <v>0</v>
      </c>
      <c r="Y165" s="105">
        <v>0</v>
      </c>
      <c r="Z165" s="105">
        <v>0</v>
      </c>
      <c r="AA165" s="105">
        <v>0</v>
      </c>
      <c r="AB165" s="105">
        <v>0</v>
      </c>
      <c r="AC165" s="8">
        <f t="shared" si="14"/>
        <v>6394500</v>
      </c>
      <c r="AD165" s="8">
        <f t="shared" si="15"/>
        <v>0</v>
      </c>
      <c r="AE165" s="8">
        <f t="shared" si="16"/>
        <v>0</v>
      </c>
      <c r="AF165" s="106">
        <f t="shared" si="17"/>
        <v>0</v>
      </c>
      <c r="AG165" s="8">
        <f t="shared" si="18"/>
        <v>0</v>
      </c>
      <c r="AH165" s="8">
        <f>IF($O165="Aktif",MAX(0,MIN($AE165,$AD165-SUM($AG165:AG165))),0)</f>
        <v>0</v>
      </c>
      <c r="AI165" s="8">
        <f>IF($O165="Aktif",MAX(0,MIN($AE165,$AD165-SUM($AG165:AH165))),0)</f>
        <v>0</v>
      </c>
      <c r="AJ165" s="8">
        <f>IF($O165="Aktif",MAX(0,MIN($AE165,$AD165-SUM($AG165:AI165))),0)</f>
        <v>0</v>
      </c>
      <c r="AK165" s="8">
        <f>IF($O165="Aktif",MAX(0,MIN($AE165,$AD165-SUM($AG165:AJ165))),0)</f>
        <v>0</v>
      </c>
      <c r="AL165" s="8">
        <f>IF($O165="Aktif",MAX(0,MIN($AE165,$AD165-SUM($AG165:AK165))),0)</f>
        <v>0</v>
      </c>
      <c r="AM165" s="8">
        <f>IF($O165="Aktif",MAX(0,MIN($AE165,$AD165-SUM($AG165:AL165))),0)</f>
        <v>0</v>
      </c>
      <c r="AN165" s="8">
        <f>IF($O165="Aktif",MAX(0,MIN($AE165,$AD165-SUM($AG165:AM165))),0)</f>
        <v>0</v>
      </c>
      <c r="AO165" s="8">
        <f>IF($O165="Aktif",MAX(0,MIN($AE165,$AD165-SUM($AG165:AN165))),0)</f>
        <v>0</v>
      </c>
      <c r="AP165" s="8">
        <f>IF($O165="Aktif",MAX(0,MIN($AE165,$AD165-SUM($AG165:AO165))),0)</f>
        <v>0</v>
      </c>
      <c r="AQ165" s="8">
        <f>IF($O165="Aktif",MAX(0,MIN($AE165,$AD165-SUM($AG165:AP165))),0)</f>
        <v>0</v>
      </c>
      <c r="AR165" s="8">
        <f>IF($O165="Aktif",MAX(0,MIN($AE165,$AD165-SUM($AG165:AQ165))),0)</f>
        <v>0</v>
      </c>
      <c r="AS165" s="8">
        <f>IF($O165="Aktif",MAX(0,MIN($AE165,$AD165-SUM($AG165:AR165))),0)</f>
        <v>0</v>
      </c>
      <c r="AT165" s="8">
        <f>IF($O165="Aktif",MAX(0,MIN($AE165,$AD165-SUM($AG165:AS165))),0)</f>
        <v>0</v>
      </c>
      <c r="AU165" s="8">
        <f>IF($O165="Aktif",MAX(0,MIN($AE165,$AD165-SUM($AG165:AT165))),0)</f>
        <v>0</v>
      </c>
      <c r="AV165" s="8">
        <f>IF($O165="Aktif",MAX(0,MIN($AE165,$AD165-SUM($AG165:AU165))),0)</f>
        <v>0</v>
      </c>
      <c r="AW165" s="8">
        <f t="shared" si="19"/>
        <v>0</v>
      </c>
      <c r="AX165" s="8">
        <f t="shared" si="20"/>
        <v>0</v>
      </c>
    </row>
    <row r="166" spans="1:50" ht="15" customHeight="1" x14ac:dyDescent="0.35">
      <c r="A166" s="102">
        <v>160</v>
      </c>
      <c r="B166" s="102" t="s">
        <v>586</v>
      </c>
      <c r="C166" s="103">
        <v>98</v>
      </c>
      <c r="D166" s="102" t="s">
        <v>184</v>
      </c>
      <c r="E166" s="102" t="s">
        <v>587</v>
      </c>
      <c r="F166" s="102" t="s">
        <v>588</v>
      </c>
      <c r="G166" s="102" t="s">
        <v>589</v>
      </c>
      <c r="H166" s="102" t="s">
        <v>590</v>
      </c>
      <c r="I166" s="102" t="s">
        <v>90</v>
      </c>
      <c r="J166" s="102" t="s">
        <v>826</v>
      </c>
      <c r="K166" s="102" t="s">
        <v>591</v>
      </c>
      <c r="L166" s="104">
        <v>43011</v>
      </c>
      <c r="M166" s="102" t="s">
        <v>827</v>
      </c>
      <c r="N166" s="102" t="s">
        <v>828</v>
      </c>
      <c r="O166" s="102" t="s">
        <v>383</v>
      </c>
      <c r="P166" s="103">
        <v>1</v>
      </c>
      <c r="Q166" s="105">
        <v>4965000</v>
      </c>
      <c r="R166" s="103">
        <v>48</v>
      </c>
      <c r="S166" s="105">
        <v>103437.5</v>
      </c>
      <c r="T166" s="105">
        <v>4965000</v>
      </c>
      <c r="U166" s="105">
        <v>0</v>
      </c>
      <c r="V166" s="105">
        <v>0</v>
      </c>
      <c r="W166" s="105">
        <v>0</v>
      </c>
      <c r="X166" s="105">
        <v>0</v>
      </c>
      <c r="Y166" s="105">
        <v>0</v>
      </c>
      <c r="Z166" s="105">
        <v>0</v>
      </c>
      <c r="AA166" s="105">
        <v>0</v>
      </c>
      <c r="AB166" s="105">
        <v>0</v>
      </c>
      <c r="AC166" s="8">
        <f t="shared" si="14"/>
        <v>4965000</v>
      </c>
      <c r="AD166" s="8">
        <f t="shared" si="15"/>
        <v>0</v>
      </c>
      <c r="AE166" s="8">
        <f t="shared" si="16"/>
        <v>0</v>
      </c>
      <c r="AF166" s="106">
        <f t="shared" si="17"/>
        <v>0</v>
      </c>
      <c r="AG166" s="8">
        <f t="shared" si="18"/>
        <v>0</v>
      </c>
      <c r="AH166" s="8">
        <f>IF($O166="Aktif",MAX(0,MIN($AE166,$AD166-SUM($AG166:AG166))),0)</f>
        <v>0</v>
      </c>
      <c r="AI166" s="8">
        <f>IF($O166="Aktif",MAX(0,MIN($AE166,$AD166-SUM($AG166:AH166))),0)</f>
        <v>0</v>
      </c>
      <c r="AJ166" s="8">
        <f>IF($O166="Aktif",MAX(0,MIN($AE166,$AD166-SUM($AG166:AI166))),0)</f>
        <v>0</v>
      </c>
      <c r="AK166" s="8">
        <f>IF($O166="Aktif",MAX(0,MIN($AE166,$AD166-SUM($AG166:AJ166))),0)</f>
        <v>0</v>
      </c>
      <c r="AL166" s="8">
        <f>IF($O166="Aktif",MAX(0,MIN($AE166,$AD166-SUM($AG166:AK166))),0)</f>
        <v>0</v>
      </c>
      <c r="AM166" s="8">
        <f>IF($O166="Aktif",MAX(0,MIN($AE166,$AD166-SUM($AG166:AL166))),0)</f>
        <v>0</v>
      </c>
      <c r="AN166" s="8">
        <f>IF($O166="Aktif",MAX(0,MIN($AE166,$AD166-SUM($AG166:AM166))),0)</f>
        <v>0</v>
      </c>
      <c r="AO166" s="8">
        <f>IF($O166="Aktif",MAX(0,MIN($AE166,$AD166-SUM($AG166:AN166))),0)</f>
        <v>0</v>
      </c>
      <c r="AP166" s="8">
        <f>IF($O166="Aktif",MAX(0,MIN($AE166,$AD166-SUM($AG166:AO166))),0)</f>
        <v>0</v>
      </c>
      <c r="AQ166" s="8">
        <f>IF($O166="Aktif",MAX(0,MIN($AE166,$AD166-SUM($AG166:AP166))),0)</f>
        <v>0</v>
      </c>
      <c r="AR166" s="8">
        <f>IF($O166="Aktif",MAX(0,MIN($AE166,$AD166-SUM($AG166:AQ166))),0)</f>
        <v>0</v>
      </c>
      <c r="AS166" s="8">
        <f>IF($O166="Aktif",MAX(0,MIN($AE166,$AD166-SUM($AG166:AR166))),0)</f>
        <v>0</v>
      </c>
      <c r="AT166" s="8">
        <f>IF($O166="Aktif",MAX(0,MIN($AE166,$AD166-SUM($AG166:AS166))),0)</f>
        <v>0</v>
      </c>
      <c r="AU166" s="8">
        <f>IF($O166="Aktif",MAX(0,MIN($AE166,$AD166-SUM($AG166:AT166))),0)</f>
        <v>0</v>
      </c>
      <c r="AV166" s="8">
        <f>IF($O166="Aktif",MAX(0,MIN($AE166,$AD166-SUM($AG166:AU166))),0)</f>
        <v>0</v>
      </c>
      <c r="AW166" s="8">
        <f t="shared" si="19"/>
        <v>0</v>
      </c>
      <c r="AX166" s="8">
        <f t="shared" si="20"/>
        <v>0</v>
      </c>
    </row>
    <row r="167" spans="1:50" ht="15" customHeight="1" x14ac:dyDescent="0.35">
      <c r="A167" s="102">
        <v>161</v>
      </c>
      <c r="B167" s="102" t="s">
        <v>586</v>
      </c>
      <c r="C167" s="103">
        <v>99</v>
      </c>
      <c r="D167" s="102" t="s">
        <v>184</v>
      </c>
      <c r="E167" s="102" t="s">
        <v>587</v>
      </c>
      <c r="F167" s="102" t="s">
        <v>588</v>
      </c>
      <c r="G167" s="102" t="s">
        <v>589</v>
      </c>
      <c r="H167" s="102" t="s">
        <v>590</v>
      </c>
      <c r="I167" s="102" t="s">
        <v>90</v>
      </c>
      <c r="J167" s="102" t="s">
        <v>829</v>
      </c>
      <c r="K167" s="102" t="s">
        <v>591</v>
      </c>
      <c r="L167" s="104">
        <v>43035</v>
      </c>
      <c r="M167" s="102" t="s">
        <v>830</v>
      </c>
      <c r="N167" s="102" t="s">
        <v>831</v>
      </c>
      <c r="O167" s="102" t="s">
        <v>383</v>
      </c>
      <c r="P167" s="103">
        <v>1</v>
      </c>
      <c r="Q167" s="105">
        <v>10825000</v>
      </c>
      <c r="R167" s="103">
        <v>48</v>
      </c>
      <c r="S167" s="105">
        <v>225520.83333333299</v>
      </c>
      <c r="T167" s="105">
        <v>10825000</v>
      </c>
      <c r="U167" s="105">
        <v>0</v>
      </c>
      <c r="V167" s="105">
        <v>0</v>
      </c>
      <c r="W167" s="105">
        <v>0</v>
      </c>
      <c r="X167" s="105">
        <v>0</v>
      </c>
      <c r="Y167" s="105">
        <v>0</v>
      </c>
      <c r="Z167" s="105">
        <v>0</v>
      </c>
      <c r="AA167" s="105">
        <v>0</v>
      </c>
      <c r="AB167" s="105">
        <v>0</v>
      </c>
      <c r="AC167" s="8">
        <f t="shared" si="14"/>
        <v>10825000</v>
      </c>
      <c r="AD167" s="8">
        <f t="shared" si="15"/>
        <v>0</v>
      </c>
      <c r="AE167" s="8">
        <f t="shared" si="16"/>
        <v>0</v>
      </c>
      <c r="AF167" s="106">
        <f t="shared" si="17"/>
        <v>0</v>
      </c>
      <c r="AG167" s="8">
        <f t="shared" si="18"/>
        <v>0</v>
      </c>
      <c r="AH167" s="8">
        <f>IF($O167="Aktif",MAX(0,MIN($AE167,$AD167-SUM($AG167:AG167))),0)</f>
        <v>0</v>
      </c>
      <c r="AI167" s="8">
        <f>IF($O167="Aktif",MAX(0,MIN($AE167,$AD167-SUM($AG167:AH167))),0)</f>
        <v>0</v>
      </c>
      <c r="AJ167" s="8">
        <f>IF($O167="Aktif",MAX(0,MIN($AE167,$AD167-SUM($AG167:AI167))),0)</f>
        <v>0</v>
      </c>
      <c r="AK167" s="8">
        <f>IF($O167="Aktif",MAX(0,MIN($AE167,$AD167-SUM($AG167:AJ167))),0)</f>
        <v>0</v>
      </c>
      <c r="AL167" s="8">
        <f>IF($O167="Aktif",MAX(0,MIN($AE167,$AD167-SUM($AG167:AK167))),0)</f>
        <v>0</v>
      </c>
      <c r="AM167" s="8">
        <f>IF($O167="Aktif",MAX(0,MIN($AE167,$AD167-SUM($AG167:AL167))),0)</f>
        <v>0</v>
      </c>
      <c r="AN167" s="8">
        <f>IF($O167="Aktif",MAX(0,MIN($AE167,$AD167-SUM($AG167:AM167))),0)</f>
        <v>0</v>
      </c>
      <c r="AO167" s="8">
        <f>IF($O167="Aktif",MAX(0,MIN($AE167,$AD167-SUM($AG167:AN167))),0)</f>
        <v>0</v>
      </c>
      <c r="AP167" s="8">
        <f>IF($O167="Aktif",MAX(0,MIN($AE167,$AD167-SUM($AG167:AO167))),0)</f>
        <v>0</v>
      </c>
      <c r="AQ167" s="8">
        <f>IF($O167="Aktif",MAX(0,MIN($AE167,$AD167-SUM($AG167:AP167))),0)</f>
        <v>0</v>
      </c>
      <c r="AR167" s="8">
        <f>IF($O167="Aktif",MAX(0,MIN($AE167,$AD167-SUM($AG167:AQ167))),0)</f>
        <v>0</v>
      </c>
      <c r="AS167" s="8">
        <f>IF($O167="Aktif",MAX(0,MIN($AE167,$AD167-SUM($AG167:AR167))),0)</f>
        <v>0</v>
      </c>
      <c r="AT167" s="8">
        <f>IF($O167="Aktif",MAX(0,MIN($AE167,$AD167-SUM($AG167:AS167))),0)</f>
        <v>0</v>
      </c>
      <c r="AU167" s="8">
        <f>IF($O167="Aktif",MAX(0,MIN($AE167,$AD167-SUM($AG167:AT167))),0)</f>
        <v>0</v>
      </c>
      <c r="AV167" s="8">
        <f>IF($O167="Aktif",MAX(0,MIN($AE167,$AD167-SUM($AG167:AU167))),0)</f>
        <v>0</v>
      </c>
      <c r="AW167" s="8">
        <f t="shared" si="19"/>
        <v>0</v>
      </c>
      <c r="AX167" s="8">
        <f t="shared" si="20"/>
        <v>0</v>
      </c>
    </row>
    <row r="168" spans="1:50" ht="15" customHeight="1" x14ac:dyDescent="0.35">
      <c r="A168" s="102">
        <v>162</v>
      </c>
      <c r="B168" s="102" t="s">
        <v>586</v>
      </c>
      <c r="C168" s="103">
        <v>100</v>
      </c>
      <c r="D168" s="102" t="s">
        <v>184</v>
      </c>
      <c r="E168" s="102" t="s">
        <v>587</v>
      </c>
      <c r="F168" s="102" t="s">
        <v>588</v>
      </c>
      <c r="G168" s="102" t="s">
        <v>589</v>
      </c>
      <c r="H168" s="102" t="s">
        <v>590</v>
      </c>
      <c r="I168" s="102" t="s">
        <v>90</v>
      </c>
      <c r="J168" s="102" t="s">
        <v>832</v>
      </c>
      <c r="K168" s="102" t="s">
        <v>591</v>
      </c>
      <c r="L168" s="104">
        <v>43039</v>
      </c>
      <c r="M168" s="102" t="s">
        <v>833</v>
      </c>
      <c r="N168" s="102" t="s">
        <v>834</v>
      </c>
      <c r="O168" s="102" t="s">
        <v>383</v>
      </c>
      <c r="P168" s="103">
        <v>1</v>
      </c>
      <c r="Q168" s="105">
        <v>325000</v>
      </c>
      <c r="R168" s="103">
        <v>48</v>
      </c>
      <c r="S168" s="105">
        <v>6770.8333333333303</v>
      </c>
      <c r="T168" s="105">
        <v>325000</v>
      </c>
      <c r="U168" s="105">
        <v>0</v>
      </c>
      <c r="V168" s="105">
        <v>0</v>
      </c>
      <c r="W168" s="105">
        <v>0</v>
      </c>
      <c r="X168" s="105">
        <v>0</v>
      </c>
      <c r="Y168" s="105">
        <v>0</v>
      </c>
      <c r="Z168" s="105">
        <v>0</v>
      </c>
      <c r="AA168" s="105">
        <v>0</v>
      </c>
      <c r="AB168" s="105">
        <v>0</v>
      </c>
      <c r="AC168" s="8">
        <f t="shared" si="14"/>
        <v>325000</v>
      </c>
      <c r="AD168" s="8">
        <f t="shared" si="15"/>
        <v>0</v>
      </c>
      <c r="AE168" s="8">
        <f t="shared" si="16"/>
        <v>0</v>
      </c>
      <c r="AF168" s="106">
        <f t="shared" si="17"/>
        <v>0</v>
      </c>
      <c r="AG168" s="8">
        <f t="shared" si="18"/>
        <v>0</v>
      </c>
      <c r="AH168" s="8">
        <f>IF($O168="Aktif",MAX(0,MIN($AE168,$AD168-SUM($AG168:AG168))),0)</f>
        <v>0</v>
      </c>
      <c r="AI168" s="8">
        <f>IF($O168="Aktif",MAX(0,MIN($AE168,$AD168-SUM($AG168:AH168))),0)</f>
        <v>0</v>
      </c>
      <c r="AJ168" s="8">
        <f>IF($O168="Aktif",MAX(0,MIN($AE168,$AD168-SUM($AG168:AI168))),0)</f>
        <v>0</v>
      </c>
      <c r="AK168" s="8">
        <f>IF($O168="Aktif",MAX(0,MIN($AE168,$AD168-SUM($AG168:AJ168))),0)</f>
        <v>0</v>
      </c>
      <c r="AL168" s="8">
        <f>IF($O168="Aktif",MAX(0,MIN($AE168,$AD168-SUM($AG168:AK168))),0)</f>
        <v>0</v>
      </c>
      <c r="AM168" s="8">
        <f>IF($O168="Aktif",MAX(0,MIN($AE168,$AD168-SUM($AG168:AL168))),0)</f>
        <v>0</v>
      </c>
      <c r="AN168" s="8">
        <f>IF($O168="Aktif",MAX(0,MIN($AE168,$AD168-SUM($AG168:AM168))),0)</f>
        <v>0</v>
      </c>
      <c r="AO168" s="8">
        <f>IF($O168="Aktif",MAX(0,MIN($AE168,$AD168-SUM($AG168:AN168))),0)</f>
        <v>0</v>
      </c>
      <c r="AP168" s="8">
        <f>IF($O168="Aktif",MAX(0,MIN($AE168,$AD168-SUM($AG168:AO168))),0)</f>
        <v>0</v>
      </c>
      <c r="AQ168" s="8">
        <f>IF($O168="Aktif",MAX(0,MIN($AE168,$AD168-SUM($AG168:AP168))),0)</f>
        <v>0</v>
      </c>
      <c r="AR168" s="8">
        <f>IF($O168="Aktif",MAX(0,MIN($AE168,$AD168-SUM($AG168:AQ168))),0)</f>
        <v>0</v>
      </c>
      <c r="AS168" s="8">
        <f>IF($O168="Aktif",MAX(0,MIN($AE168,$AD168-SUM($AG168:AR168))),0)</f>
        <v>0</v>
      </c>
      <c r="AT168" s="8">
        <f>IF($O168="Aktif",MAX(0,MIN($AE168,$AD168-SUM($AG168:AS168))),0)</f>
        <v>0</v>
      </c>
      <c r="AU168" s="8">
        <f>IF($O168="Aktif",MAX(0,MIN($AE168,$AD168-SUM($AG168:AT168))),0)</f>
        <v>0</v>
      </c>
      <c r="AV168" s="8">
        <f>IF($O168="Aktif",MAX(0,MIN($AE168,$AD168-SUM($AG168:AU168))),0)</f>
        <v>0</v>
      </c>
      <c r="AW168" s="8">
        <f t="shared" si="19"/>
        <v>0</v>
      </c>
      <c r="AX168" s="8">
        <f t="shared" si="20"/>
        <v>0</v>
      </c>
    </row>
    <row r="169" spans="1:50" ht="15" customHeight="1" x14ac:dyDescent="0.35">
      <c r="A169" s="102">
        <v>163</v>
      </c>
      <c r="B169" s="102" t="s">
        <v>586</v>
      </c>
      <c r="C169" s="103">
        <v>101</v>
      </c>
      <c r="D169" s="102" t="s">
        <v>184</v>
      </c>
      <c r="E169" s="102" t="s">
        <v>587</v>
      </c>
      <c r="F169" s="102" t="s">
        <v>588</v>
      </c>
      <c r="G169" s="102" t="s">
        <v>589</v>
      </c>
      <c r="H169" s="102" t="s">
        <v>590</v>
      </c>
      <c r="I169" s="102" t="s">
        <v>90</v>
      </c>
      <c r="J169" s="102" t="s">
        <v>835</v>
      </c>
      <c r="K169" s="102" t="s">
        <v>591</v>
      </c>
      <c r="L169" s="104">
        <v>43039</v>
      </c>
      <c r="M169" s="102" t="s">
        <v>836</v>
      </c>
      <c r="N169" s="102" t="s">
        <v>837</v>
      </c>
      <c r="O169" s="102" t="s">
        <v>383</v>
      </c>
      <c r="P169" s="103">
        <v>1</v>
      </c>
      <c r="Q169" s="105">
        <v>210000</v>
      </c>
      <c r="R169" s="103">
        <v>48</v>
      </c>
      <c r="S169" s="105">
        <v>4375</v>
      </c>
      <c r="T169" s="105">
        <v>210000</v>
      </c>
      <c r="U169" s="105">
        <v>0</v>
      </c>
      <c r="V169" s="105">
        <v>0</v>
      </c>
      <c r="W169" s="105">
        <v>0</v>
      </c>
      <c r="X169" s="105">
        <v>0</v>
      </c>
      <c r="Y169" s="105">
        <v>0</v>
      </c>
      <c r="Z169" s="105">
        <v>0</v>
      </c>
      <c r="AA169" s="105">
        <v>0</v>
      </c>
      <c r="AB169" s="105">
        <v>0</v>
      </c>
      <c r="AC169" s="8">
        <f t="shared" si="14"/>
        <v>210000</v>
      </c>
      <c r="AD169" s="8">
        <f t="shared" si="15"/>
        <v>0</v>
      </c>
      <c r="AE169" s="8">
        <f t="shared" si="16"/>
        <v>0</v>
      </c>
      <c r="AF169" s="106">
        <f t="shared" si="17"/>
        <v>0</v>
      </c>
      <c r="AG169" s="8">
        <f t="shared" si="18"/>
        <v>0</v>
      </c>
      <c r="AH169" s="8">
        <f>IF($O169="Aktif",MAX(0,MIN($AE169,$AD169-SUM($AG169:AG169))),0)</f>
        <v>0</v>
      </c>
      <c r="AI169" s="8">
        <f>IF($O169="Aktif",MAX(0,MIN($AE169,$AD169-SUM($AG169:AH169))),0)</f>
        <v>0</v>
      </c>
      <c r="AJ169" s="8">
        <f>IF($O169="Aktif",MAX(0,MIN($AE169,$AD169-SUM($AG169:AI169))),0)</f>
        <v>0</v>
      </c>
      <c r="AK169" s="8">
        <f>IF($O169="Aktif",MAX(0,MIN($AE169,$AD169-SUM($AG169:AJ169))),0)</f>
        <v>0</v>
      </c>
      <c r="AL169" s="8">
        <f>IF($O169="Aktif",MAX(0,MIN($AE169,$AD169-SUM($AG169:AK169))),0)</f>
        <v>0</v>
      </c>
      <c r="AM169" s="8">
        <f>IF($O169="Aktif",MAX(0,MIN($AE169,$AD169-SUM($AG169:AL169))),0)</f>
        <v>0</v>
      </c>
      <c r="AN169" s="8">
        <f>IF($O169="Aktif",MAX(0,MIN($AE169,$AD169-SUM($AG169:AM169))),0)</f>
        <v>0</v>
      </c>
      <c r="AO169" s="8">
        <f>IF($O169="Aktif",MAX(0,MIN($AE169,$AD169-SUM($AG169:AN169))),0)</f>
        <v>0</v>
      </c>
      <c r="AP169" s="8">
        <f>IF($O169="Aktif",MAX(0,MIN($AE169,$AD169-SUM($AG169:AO169))),0)</f>
        <v>0</v>
      </c>
      <c r="AQ169" s="8">
        <f>IF($O169="Aktif",MAX(0,MIN($AE169,$AD169-SUM($AG169:AP169))),0)</f>
        <v>0</v>
      </c>
      <c r="AR169" s="8">
        <f>IF($O169="Aktif",MAX(0,MIN($AE169,$AD169-SUM($AG169:AQ169))),0)</f>
        <v>0</v>
      </c>
      <c r="AS169" s="8">
        <f>IF($O169="Aktif",MAX(0,MIN($AE169,$AD169-SUM($AG169:AR169))),0)</f>
        <v>0</v>
      </c>
      <c r="AT169" s="8">
        <f>IF($O169="Aktif",MAX(0,MIN($AE169,$AD169-SUM($AG169:AS169))),0)</f>
        <v>0</v>
      </c>
      <c r="AU169" s="8">
        <f>IF($O169="Aktif",MAX(0,MIN($AE169,$AD169-SUM($AG169:AT169))),0)</f>
        <v>0</v>
      </c>
      <c r="AV169" s="8">
        <f>IF($O169="Aktif",MAX(0,MIN($AE169,$AD169-SUM($AG169:AU169))),0)</f>
        <v>0</v>
      </c>
      <c r="AW169" s="8">
        <f t="shared" si="19"/>
        <v>0</v>
      </c>
      <c r="AX169" s="8">
        <f t="shared" si="20"/>
        <v>0</v>
      </c>
    </row>
    <row r="170" spans="1:50" ht="15" customHeight="1" x14ac:dyDescent="0.35">
      <c r="A170" s="102">
        <v>164</v>
      </c>
      <c r="B170" s="102" t="s">
        <v>586</v>
      </c>
      <c r="C170" s="103">
        <v>102</v>
      </c>
      <c r="D170" s="102" t="s">
        <v>184</v>
      </c>
      <c r="E170" s="102" t="s">
        <v>587</v>
      </c>
      <c r="F170" s="102" t="s">
        <v>588</v>
      </c>
      <c r="G170" s="102" t="s">
        <v>589</v>
      </c>
      <c r="H170" s="102" t="s">
        <v>590</v>
      </c>
      <c r="I170" s="102" t="s">
        <v>90</v>
      </c>
      <c r="J170" s="102" t="s">
        <v>838</v>
      </c>
      <c r="K170" s="102" t="s">
        <v>591</v>
      </c>
      <c r="L170" s="104">
        <v>43039</v>
      </c>
      <c r="M170" s="102" t="s">
        <v>839</v>
      </c>
      <c r="N170" s="102" t="s">
        <v>840</v>
      </c>
      <c r="O170" s="102" t="s">
        <v>383</v>
      </c>
      <c r="P170" s="103">
        <v>1</v>
      </c>
      <c r="Q170" s="105">
        <v>825000</v>
      </c>
      <c r="R170" s="103">
        <v>48</v>
      </c>
      <c r="S170" s="105">
        <v>17187.5</v>
      </c>
      <c r="T170" s="105">
        <v>825000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Z170" s="105">
        <v>0</v>
      </c>
      <c r="AA170" s="105">
        <v>0</v>
      </c>
      <c r="AB170" s="105">
        <v>0</v>
      </c>
      <c r="AC170" s="8">
        <f t="shared" si="14"/>
        <v>825000</v>
      </c>
      <c r="AD170" s="8">
        <f t="shared" si="15"/>
        <v>0</v>
      </c>
      <c r="AE170" s="8">
        <f t="shared" si="16"/>
        <v>0</v>
      </c>
      <c r="AF170" s="106">
        <f t="shared" si="17"/>
        <v>0</v>
      </c>
      <c r="AG170" s="8">
        <f t="shared" si="18"/>
        <v>0</v>
      </c>
      <c r="AH170" s="8">
        <f>IF($O170="Aktif",MAX(0,MIN($AE170,$AD170-SUM($AG170:AG170))),0)</f>
        <v>0</v>
      </c>
      <c r="AI170" s="8">
        <f>IF($O170="Aktif",MAX(0,MIN($AE170,$AD170-SUM($AG170:AH170))),0)</f>
        <v>0</v>
      </c>
      <c r="AJ170" s="8">
        <f>IF($O170="Aktif",MAX(0,MIN($AE170,$AD170-SUM($AG170:AI170))),0)</f>
        <v>0</v>
      </c>
      <c r="AK170" s="8">
        <f>IF($O170="Aktif",MAX(0,MIN($AE170,$AD170-SUM($AG170:AJ170))),0)</f>
        <v>0</v>
      </c>
      <c r="AL170" s="8">
        <f>IF($O170="Aktif",MAX(0,MIN($AE170,$AD170-SUM($AG170:AK170))),0)</f>
        <v>0</v>
      </c>
      <c r="AM170" s="8">
        <f>IF($O170="Aktif",MAX(0,MIN($AE170,$AD170-SUM($AG170:AL170))),0)</f>
        <v>0</v>
      </c>
      <c r="AN170" s="8">
        <f>IF($O170="Aktif",MAX(0,MIN($AE170,$AD170-SUM($AG170:AM170))),0)</f>
        <v>0</v>
      </c>
      <c r="AO170" s="8">
        <f>IF($O170="Aktif",MAX(0,MIN($AE170,$AD170-SUM($AG170:AN170))),0)</f>
        <v>0</v>
      </c>
      <c r="AP170" s="8">
        <f>IF($O170="Aktif",MAX(0,MIN($AE170,$AD170-SUM($AG170:AO170))),0)</f>
        <v>0</v>
      </c>
      <c r="AQ170" s="8">
        <f>IF($O170="Aktif",MAX(0,MIN($AE170,$AD170-SUM($AG170:AP170))),0)</f>
        <v>0</v>
      </c>
      <c r="AR170" s="8">
        <f>IF($O170="Aktif",MAX(0,MIN($AE170,$AD170-SUM($AG170:AQ170))),0)</f>
        <v>0</v>
      </c>
      <c r="AS170" s="8">
        <f>IF($O170="Aktif",MAX(0,MIN($AE170,$AD170-SUM($AG170:AR170))),0)</f>
        <v>0</v>
      </c>
      <c r="AT170" s="8">
        <f>IF($O170="Aktif",MAX(0,MIN($AE170,$AD170-SUM($AG170:AS170))),0)</f>
        <v>0</v>
      </c>
      <c r="AU170" s="8">
        <f>IF($O170="Aktif",MAX(0,MIN($AE170,$AD170-SUM($AG170:AT170))),0)</f>
        <v>0</v>
      </c>
      <c r="AV170" s="8">
        <f>IF($O170="Aktif",MAX(0,MIN($AE170,$AD170-SUM($AG170:AU170))),0)</f>
        <v>0</v>
      </c>
      <c r="AW170" s="8">
        <f t="shared" si="19"/>
        <v>0</v>
      </c>
      <c r="AX170" s="8">
        <f t="shared" si="20"/>
        <v>0</v>
      </c>
    </row>
    <row r="171" spans="1:50" ht="15" customHeight="1" x14ac:dyDescent="0.35">
      <c r="A171" s="102">
        <v>165</v>
      </c>
      <c r="B171" s="102" t="s">
        <v>586</v>
      </c>
      <c r="C171" s="103">
        <v>103</v>
      </c>
      <c r="D171" s="102" t="s">
        <v>184</v>
      </c>
      <c r="E171" s="102" t="s">
        <v>587</v>
      </c>
      <c r="F171" s="102" t="s">
        <v>588</v>
      </c>
      <c r="G171" s="102" t="s">
        <v>589</v>
      </c>
      <c r="H171" s="102" t="s">
        <v>590</v>
      </c>
      <c r="I171" s="102" t="s">
        <v>90</v>
      </c>
      <c r="J171" s="102" t="s">
        <v>841</v>
      </c>
      <c r="K171" s="102" t="s">
        <v>591</v>
      </c>
      <c r="L171" s="104">
        <v>43049</v>
      </c>
      <c r="M171" s="102" t="s">
        <v>842</v>
      </c>
      <c r="N171" s="102" t="s">
        <v>843</v>
      </c>
      <c r="O171" s="102" t="s">
        <v>383</v>
      </c>
      <c r="P171" s="103">
        <v>1</v>
      </c>
      <c r="Q171" s="105">
        <v>2470000</v>
      </c>
      <c r="R171" s="103">
        <v>48</v>
      </c>
      <c r="S171" s="105">
        <v>51458.333333333299</v>
      </c>
      <c r="T171" s="105">
        <v>2470000</v>
      </c>
      <c r="U171" s="105">
        <v>0</v>
      </c>
      <c r="V171" s="105">
        <v>0</v>
      </c>
      <c r="W171" s="105">
        <v>0</v>
      </c>
      <c r="X171" s="105">
        <v>0</v>
      </c>
      <c r="Y171" s="105">
        <v>0</v>
      </c>
      <c r="Z171" s="105">
        <v>0</v>
      </c>
      <c r="AA171" s="105">
        <v>0</v>
      </c>
      <c r="AB171" s="105">
        <v>0</v>
      </c>
      <c r="AC171" s="8">
        <f t="shared" si="14"/>
        <v>2470000</v>
      </c>
      <c r="AD171" s="8">
        <f t="shared" si="15"/>
        <v>0</v>
      </c>
      <c r="AE171" s="8">
        <f t="shared" si="16"/>
        <v>0</v>
      </c>
      <c r="AF171" s="106">
        <f t="shared" si="17"/>
        <v>0</v>
      </c>
      <c r="AG171" s="8">
        <f t="shared" si="18"/>
        <v>0</v>
      </c>
      <c r="AH171" s="8">
        <f>IF($O171="Aktif",MAX(0,MIN($AE171,$AD171-SUM($AG171:AG171))),0)</f>
        <v>0</v>
      </c>
      <c r="AI171" s="8">
        <f>IF($O171="Aktif",MAX(0,MIN($AE171,$AD171-SUM($AG171:AH171))),0)</f>
        <v>0</v>
      </c>
      <c r="AJ171" s="8">
        <f>IF($O171="Aktif",MAX(0,MIN($AE171,$AD171-SUM($AG171:AI171))),0)</f>
        <v>0</v>
      </c>
      <c r="AK171" s="8">
        <f>IF($O171="Aktif",MAX(0,MIN($AE171,$AD171-SUM($AG171:AJ171))),0)</f>
        <v>0</v>
      </c>
      <c r="AL171" s="8">
        <f>IF($O171="Aktif",MAX(0,MIN($AE171,$AD171-SUM($AG171:AK171))),0)</f>
        <v>0</v>
      </c>
      <c r="AM171" s="8">
        <f>IF($O171="Aktif",MAX(0,MIN($AE171,$AD171-SUM($AG171:AL171))),0)</f>
        <v>0</v>
      </c>
      <c r="AN171" s="8">
        <f>IF($O171="Aktif",MAX(0,MIN($AE171,$AD171-SUM($AG171:AM171))),0)</f>
        <v>0</v>
      </c>
      <c r="AO171" s="8">
        <f>IF($O171="Aktif",MAX(0,MIN($AE171,$AD171-SUM($AG171:AN171))),0)</f>
        <v>0</v>
      </c>
      <c r="AP171" s="8">
        <f>IF($O171="Aktif",MAX(0,MIN($AE171,$AD171-SUM($AG171:AO171))),0)</f>
        <v>0</v>
      </c>
      <c r="AQ171" s="8">
        <f>IF($O171="Aktif",MAX(0,MIN($AE171,$AD171-SUM($AG171:AP171))),0)</f>
        <v>0</v>
      </c>
      <c r="AR171" s="8">
        <f>IF($O171="Aktif",MAX(0,MIN($AE171,$AD171-SUM($AG171:AQ171))),0)</f>
        <v>0</v>
      </c>
      <c r="AS171" s="8">
        <f>IF($O171="Aktif",MAX(0,MIN($AE171,$AD171-SUM($AG171:AR171))),0)</f>
        <v>0</v>
      </c>
      <c r="AT171" s="8">
        <f>IF($O171="Aktif",MAX(0,MIN($AE171,$AD171-SUM($AG171:AS171))),0)</f>
        <v>0</v>
      </c>
      <c r="AU171" s="8">
        <f>IF($O171="Aktif",MAX(0,MIN($AE171,$AD171-SUM($AG171:AT171))),0)</f>
        <v>0</v>
      </c>
      <c r="AV171" s="8">
        <f>IF($O171="Aktif",MAX(0,MIN($AE171,$AD171-SUM($AG171:AU171))),0)</f>
        <v>0</v>
      </c>
      <c r="AW171" s="8">
        <f t="shared" si="19"/>
        <v>0</v>
      </c>
      <c r="AX171" s="8">
        <f t="shared" si="20"/>
        <v>0</v>
      </c>
    </row>
    <row r="172" spans="1:50" ht="15" customHeight="1" x14ac:dyDescent="0.35">
      <c r="A172" s="102">
        <v>166</v>
      </c>
      <c r="B172" s="102" t="s">
        <v>586</v>
      </c>
      <c r="C172" s="103">
        <v>104</v>
      </c>
      <c r="D172" s="102" t="s">
        <v>184</v>
      </c>
      <c r="E172" s="102" t="s">
        <v>587</v>
      </c>
      <c r="F172" s="102" t="s">
        <v>588</v>
      </c>
      <c r="G172" s="102" t="s">
        <v>589</v>
      </c>
      <c r="H172" s="102" t="s">
        <v>590</v>
      </c>
      <c r="I172" s="102" t="s">
        <v>90</v>
      </c>
      <c r="J172" s="102" t="s">
        <v>844</v>
      </c>
      <c r="K172" s="102" t="s">
        <v>591</v>
      </c>
      <c r="L172" s="104">
        <v>43049</v>
      </c>
      <c r="M172" s="102" t="s">
        <v>845</v>
      </c>
      <c r="N172" s="102" t="s">
        <v>846</v>
      </c>
      <c r="O172" s="102" t="s">
        <v>383</v>
      </c>
      <c r="P172" s="103">
        <v>1</v>
      </c>
      <c r="Q172" s="105">
        <v>12000000</v>
      </c>
      <c r="R172" s="103">
        <v>48</v>
      </c>
      <c r="S172" s="105">
        <v>250000</v>
      </c>
      <c r="T172" s="105">
        <v>12000000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Z172" s="105">
        <v>0</v>
      </c>
      <c r="AA172" s="105">
        <v>0</v>
      </c>
      <c r="AB172" s="105">
        <v>0</v>
      </c>
      <c r="AC172" s="8">
        <f t="shared" si="14"/>
        <v>12000000</v>
      </c>
      <c r="AD172" s="8">
        <f t="shared" si="15"/>
        <v>0</v>
      </c>
      <c r="AE172" s="8">
        <f t="shared" si="16"/>
        <v>0</v>
      </c>
      <c r="AF172" s="106">
        <f t="shared" si="17"/>
        <v>0</v>
      </c>
      <c r="AG172" s="8">
        <f t="shared" si="18"/>
        <v>0</v>
      </c>
      <c r="AH172" s="8">
        <f>IF($O172="Aktif",MAX(0,MIN($AE172,$AD172-SUM($AG172:AG172))),0)</f>
        <v>0</v>
      </c>
      <c r="AI172" s="8">
        <f>IF($O172="Aktif",MAX(0,MIN($AE172,$AD172-SUM($AG172:AH172))),0)</f>
        <v>0</v>
      </c>
      <c r="AJ172" s="8">
        <f>IF($O172="Aktif",MAX(0,MIN($AE172,$AD172-SUM($AG172:AI172))),0)</f>
        <v>0</v>
      </c>
      <c r="AK172" s="8">
        <f>IF($O172="Aktif",MAX(0,MIN($AE172,$AD172-SUM($AG172:AJ172))),0)</f>
        <v>0</v>
      </c>
      <c r="AL172" s="8">
        <f>IF($O172="Aktif",MAX(0,MIN($AE172,$AD172-SUM($AG172:AK172))),0)</f>
        <v>0</v>
      </c>
      <c r="AM172" s="8">
        <f>IF($O172="Aktif",MAX(0,MIN($AE172,$AD172-SUM($AG172:AL172))),0)</f>
        <v>0</v>
      </c>
      <c r="AN172" s="8">
        <f>IF($O172="Aktif",MAX(0,MIN($AE172,$AD172-SUM($AG172:AM172))),0)</f>
        <v>0</v>
      </c>
      <c r="AO172" s="8">
        <f>IF($O172="Aktif",MAX(0,MIN($AE172,$AD172-SUM($AG172:AN172))),0)</f>
        <v>0</v>
      </c>
      <c r="AP172" s="8">
        <f>IF($O172="Aktif",MAX(0,MIN($AE172,$AD172-SUM($AG172:AO172))),0)</f>
        <v>0</v>
      </c>
      <c r="AQ172" s="8">
        <f>IF($O172="Aktif",MAX(0,MIN($AE172,$AD172-SUM($AG172:AP172))),0)</f>
        <v>0</v>
      </c>
      <c r="AR172" s="8">
        <f>IF($O172="Aktif",MAX(0,MIN($AE172,$AD172-SUM($AG172:AQ172))),0)</f>
        <v>0</v>
      </c>
      <c r="AS172" s="8">
        <f>IF($O172="Aktif",MAX(0,MIN($AE172,$AD172-SUM($AG172:AR172))),0)</f>
        <v>0</v>
      </c>
      <c r="AT172" s="8">
        <f>IF($O172="Aktif",MAX(0,MIN($AE172,$AD172-SUM($AG172:AS172))),0)</f>
        <v>0</v>
      </c>
      <c r="AU172" s="8">
        <f>IF($O172="Aktif",MAX(0,MIN($AE172,$AD172-SUM($AG172:AT172))),0)</f>
        <v>0</v>
      </c>
      <c r="AV172" s="8">
        <f>IF($O172="Aktif",MAX(0,MIN($AE172,$AD172-SUM($AG172:AU172))),0)</f>
        <v>0</v>
      </c>
      <c r="AW172" s="8">
        <f t="shared" si="19"/>
        <v>0</v>
      </c>
      <c r="AX172" s="8">
        <f t="shared" si="20"/>
        <v>0</v>
      </c>
    </row>
    <row r="173" spans="1:50" ht="15" customHeight="1" x14ac:dyDescent="0.35">
      <c r="A173" s="102">
        <v>167</v>
      </c>
      <c r="B173" s="102" t="s">
        <v>586</v>
      </c>
      <c r="C173" s="103">
        <v>105</v>
      </c>
      <c r="D173" s="102" t="s">
        <v>184</v>
      </c>
      <c r="E173" s="102" t="s">
        <v>587</v>
      </c>
      <c r="F173" s="102" t="s">
        <v>588</v>
      </c>
      <c r="G173" s="102" t="s">
        <v>589</v>
      </c>
      <c r="H173" s="102" t="s">
        <v>590</v>
      </c>
      <c r="I173" s="102" t="s">
        <v>90</v>
      </c>
      <c r="J173" s="102" t="s">
        <v>847</v>
      </c>
      <c r="K173" s="102" t="s">
        <v>591</v>
      </c>
      <c r="L173" s="104">
        <v>43056</v>
      </c>
      <c r="M173" s="102" t="s">
        <v>848</v>
      </c>
      <c r="N173" s="102" t="s">
        <v>849</v>
      </c>
      <c r="O173" s="102" t="s">
        <v>383</v>
      </c>
      <c r="P173" s="103">
        <v>1</v>
      </c>
      <c r="Q173" s="105">
        <v>10740000</v>
      </c>
      <c r="R173" s="103">
        <v>48</v>
      </c>
      <c r="S173" s="105">
        <v>223750</v>
      </c>
      <c r="T173" s="105">
        <v>10740000</v>
      </c>
      <c r="U173" s="105">
        <v>0</v>
      </c>
      <c r="V173" s="105">
        <v>0</v>
      </c>
      <c r="W173" s="105">
        <v>0</v>
      </c>
      <c r="X173" s="105">
        <v>0</v>
      </c>
      <c r="Y173" s="105">
        <v>0</v>
      </c>
      <c r="Z173" s="105">
        <v>0</v>
      </c>
      <c r="AA173" s="105">
        <v>0</v>
      </c>
      <c r="AB173" s="105">
        <v>0</v>
      </c>
      <c r="AC173" s="8">
        <f t="shared" si="14"/>
        <v>10740000</v>
      </c>
      <c r="AD173" s="8">
        <f t="shared" si="15"/>
        <v>0</v>
      </c>
      <c r="AE173" s="8">
        <f t="shared" si="16"/>
        <v>0</v>
      </c>
      <c r="AF173" s="106">
        <f t="shared" si="17"/>
        <v>0</v>
      </c>
      <c r="AG173" s="8">
        <f t="shared" si="18"/>
        <v>0</v>
      </c>
      <c r="AH173" s="8">
        <f>IF($O173="Aktif",MAX(0,MIN($AE173,$AD173-SUM($AG173:AG173))),0)</f>
        <v>0</v>
      </c>
      <c r="AI173" s="8">
        <f>IF($O173="Aktif",MAX(0,MIN($AE173,$AD173-SUM($AG173:AH173))),0)</f>
        <v>0</v>
      </c>
      <c r="AJ173" s="8">
        <f>IF($O173="Aktif",MAX(0,MIN($AE173,$AD173-SUM($AG173:AI173))),0)</f>
        <v>0</v>
      </c>
      <c r="AK173" s="8">
        <f>IF($O173="Aktif",MAX(0,MIN($AE173,$AD173-SUM($AG173:AJ173))),0)</f>
        <v>0</v>
      </c>
      <c r="AL173" s="8">
        <f>IF($O173="Aktif",MAX(0,MIN($AE173,$AD173-SUM($AG173:AK173))),0)</f>
        <v>0</v>
      </c>
      <c r="AM173" s="8">
        <f>IF($O173="Aktif",MAX(0,MIN($AE173,$AD173-SUM($AG173:AL173))),0)</f>
        <v>0</v>
      </c>
      <c r="AN173" s="8">
        <f>IF($O173="Aktif",MAX(0,MIN($AE173,$AD173-SUM($AG173:AM173))),0)</f>
        <v>0</v>
      </c>
      <c r="AO173" s="8">
        <f>IF($O173="Aktif",MAX(0,MIN($AE173,$AD173-SUM($AG173:AN173))),0)</f>
        <v>0</v>
      </c>
      <c r="AP173" s="8">
        <f>IF($O173="Aktif",MAX(0,MIN($AE173,$AD173-SUM($AG173:AO173))),0)</f>
        <v>0</v>
      </c>
      <c r="AQ173" s="8">
        <f>IF($O173="Aktif",MAX(0,MIN($AE173,$AD173-SUM($AG173:AP173))),0)</f>
        <v>0</v>
      </c>
      <c r="AR173" s="8">
        <f>IF($O173="Aktif",MAX(0,MIN($AE173,$AD173-SUM($AG173:AQ173))),0)</f>
        <v>0</v>
      </c>
      <c r="AS173" s="8">
        <f>IF($O173="Aktif",MAX(0,MIN($AE173,$AD173-SUM($AG173:AR173))),0)</f>
        <v>0</v>
      </c>
      <c r="AT173" s="8">
        <f>IF($O173="Aktif",MAX(0,MIN($AE173,$AD173-SUM($AG173:AS173))),0)</f>
        <v>0</v>
      </c>
      <c r="AU173" s="8">
        <f>IF($O173="Aktif",MAX(0,MIN($AE173,$AD173-SUM($AG173:AT173))),0)</f>
        <v>0</v>
      </c>
      <c r="AV173" s="8">
        <f>IF($O173="Aktif",MAX(0,MIN($AE173,$AD173-SUM($AG173:AU173))),0)</f>
        <v>0</v>
      </c>
      <c r="AW173" s="8">
        <f t="shared" si="19"/>
        <v>0</v>
      </c>
      <c r="AX173" s="8">
        <f t="shared" si="20"/>
        <v>0</v>
      </c>
    </row>
    <row r="174" spans="1:50" ht="15" customHeight="1" x14ac:dyDescent="0.35">
      <c r="A174" s="102">
        <v>168</v>
      </c>
      <c r="B174" s="102" t="s">
        <v>586</v>
      </c>
      <c r="C174" s="103">
        <v>106</v>
      </c>
      <c r="D174" s="102" t="s">
        <v>184</v>
      </c>
      <c r="E174" s="102" t="s">
        <v>587</v>
      </c>
      <c r="F174" s="102" t="s">
        <v>588</v>
      </c>
      <c r="G174" s="102" t="s">
        <v>589</v>
      </c>
      <c r="H174" s="102" t="s">
        <v>590</v>
      </c>
      <c r="I174" s="102" t="s">
        <v>90</v>
      </c>
      <c r="J174" s="102" t="s">
        <v>850</v>
      </c>
      <c r="K174" s="102" t="s">
        <v>591</v>
      </c>
      <c r="L174" s="104">
        <v>43056</v>
      </c>
      <c r="M174" s="102" t="s">
        <v>851</v>
      </c>
      <c r="N174" s="102" t="s">
        <v>852</v>
      </c>
      <c r="O174" s="102" t="s">
        <v>383</v>
      </c>
      <c r="P174" s="103">
        <v>1</v>
      </c>
      <c r="Q174" s="105">
        <v>11330000</v>
      </c>
      <c r="R174" s="103">
        <v>48</v>
      </c>
      <c r="S174" s="105">
        <v>236041.66666666701</v>
      </c>
      <c r="T174" s="105">
        <v>11330000</v>
      </c>
      <c r="U174" s="105">
        <v>0</v>
      </c>
      <c r="V174" s="105">
        <v>0</v>
      </c>
      <c r="W174" s="105">
        <v>0</v>
      </c>
      <c r="X174" s="105">
        <v>0</v>
      </c>
      <c r="Y174" s="105">
        <v>0</v>
      </c>
      <c r="Z174" s="105">
        <v>0</v>
      </c>
      <c r="AA174" s="105">
        <v>0</v>
      </c>
      <c r="AB174" s="105">
        <v>0</v>
      </c>
      <c r="AC174" s="8">
        <f t="shared" si="14"/>
        <v>11330000</v>
      </c>
      <c r="AD174" s="8">
        <f t="shared" si="15"/>
        <v>0</v>
      </c>
      <c r="AE174" s="8">
        <f t="shared" si="16"/>
        <v>0</v>
      </c>
      <c r="AF174" s="106">
        <f t="shared" si="17"/>
        <v>0</v>
      </c>
      <c r="AG174" s="8">
        <f t="shared" si="18"/>
        <v>0</v>
      </c>
      <c r="AH174" s="8">
        <f>IF($O174="Aktif",MAX(0,MIN($AE174,$AD174-SUM($AG174:AG174))),0)</f>
        <v>0</v>
      </c>
      <c r="AI174" s="8">
        <f>IF($O174="Aktif",MAX(0,MIN($AE174,$AD174-SUM($AG174:AH174))),0)</f>
        <v>0</v>
      </c>
      <c r="AJ174" s="8">
        <f>IF($O174="Aktif",MAX(0,MIN($AE174,$AD174-SUM($AG174:AI174))),0)</f>
        <v>0</v>
      </c>
      <c r="AK174" s="8">
        <f>IF($O174="Aktif",MAX(0,MIN($AE174,$AD174-SUM($AG174:AJ174))),0)</f>
        <v>0</v>
      </c>
      <c r="AL174" s="8">
        <f>IF($O174="Aktif",MAX(0,MIN($AE174,$AD174-SUM($AG174:AK174))),0)</f>
        <v>0</v>
      </c>
      <c r="AM174" s="8">
        <f>IF($O174="Aktif",MAX(0,MIN($AE174,$AD174-SUM($AG174:AL174))),0)</f>
        <v>0</v>
      </c>
      <c r="AN174" s="8">
        <f>IF($O174="Aktif",MAX(0,MIN($AE174,$AD174-SUM($AG174:AM174))),0)</f>
        <v>0</v>
      </c>
      <c r="AO174" s="8">
        <f>IF($O174="Aktif",MAX(0,MIN($AE174,$AD174-SUM($AG174:AN174))),0)</f>
        <v>0</v>
      </c>
      <c r="AP174" s="8">
        <f>IF($O174="Aktif",MAX(0,MIN($AE174,$AD174-SUM($AG174:AO174))),0)</f>
        <v>0</v>
      </c>
      <c r="AQ174" s="8">
        <f>IF($O174="Aktif",MAX(0,MIN($AE174,$AD174-SUM($AG174:AP174))),0)</f>
        <v>0</v>
      </c>
      <c r="AR174" s="8">
        <f>IF($O174="Aktif",MAX(0,MIN($AE174,$AD174-SUM($AG174:AQ174))),0)</f>
        <v>0</v>
      </c>
      <c r="AS174" s="8">
        <f>IF($O174="Aktif",MAX(0,MIN($AE174,$AD174-SUM($AG174:AR174))),0)</f>
        <v>0</v>
      </c>
      <c r="AT174" s="8">
        <f>IF($O174="Aktif",MAX(0,MIN($AE174,$AD174-SUM($AG174:AS174))),0)</f>
        <v>0</v>
      </c>
      <c r="AU174" s="8">
        <f>IF($O174="Aktif",MAX(0,MIN($AE174,$AD174-SUM($AG174:AT174))),0)</f>
        <v>0</v>
      </c>
      <c r="AV174" s="8">
        <f>IF($O174="Aktif",MAX(0,MIN($AE174,$AD174-SUM($AG174:AU174))),0)</f>
        <v>0</v>
      </c>
      <c r="AW174" s="8">
        <f t="shared" si="19"/>
        <v>0</v>
      </c>
      <c r="AX174" s="8">
        <f t="shared" si="20"/>
        <v>0</v>
      </c>
    </row>
    <row r="175" spans="1:50" ht="15" customHeight="1" x14ac:dyDescent="0.35">
      <c r="A175" s="102">
        <v>169</v>
      </c>
      <c r="B175" s="102" t="s">
        <v>586</v>
      </c>
      <c r="C175" s="103">
        <v>107</v>
      </c>
      <c r="D175" s="102" t="s">
        <v>184</v>
      </c>
      <c r="E175" s="102" t="s">
        <v>587</v>
      </c>
      <c r="F175" s="102" t="s">
        <v>588</v>
      </c>
      <c r="G175" s="102" t="s">
        <v>589</v>
      </c>
      <c r="H175" s="102" t="s">
        <v>590</v>
      </c>
      <c r="I175" s="102" t="s">
        <v>90</v>
      </c>
      <c r="J175" s="102" t="s">
        <v>853</v>
      </c>
      <c r="K175" s="102" t="s">
        <v>591</v>
      </c>
      <c r="L175" s="104">
        <v>43056</v>
      </c>
      <c r="M175" s="102" t="s">
        <v>854</v>
      </c>
      <c r="N175" s="102" t="s">
        <v>855</v>
      </c>
      <c r="O175" s="102" t="s">
        <v>383</v>
      </c>
      <c r="P175" s="103">
        <v>1</v>
      </c>
      <c r="Q175" s="105">
        <v>23422500</v>
      </c>
      <c r="R175" s="103">
        <v>48</v>
      </c>
      <c r="S175" s="105">
        <v>487968.75</v>
      </c>
      <c r="T175" s="105">
        <v>23422500</v>
      </c>
      <c r="U175" s="105">
        <v>0</v>
      </c>
      <c r="V175" s="105">
        <v>0</v>
      </c>
      <c r="W175" s="105">
        <v>0</v>
      </c>
      <c r="X175" s="105">
        <v>0</v>
      </c>
      <c r="Y175" s="105">
        <v>0</v>
      </c>
      <c r="Z175" s="105">
        <v>0</v>
      </c>
      <c r="AA175" s="105">
        <v>0</v>
      </c>
      <c r="AB175" s="105">
        <v>0</v>
      </c>
      <c r="AC175" s="8">
        <f t="shared" si="14"/>
        <v>23422500</v>
      </c>
      <c r="AD175" s="8">
        <f t="shared" si="15"/>
        <v>0</v>
      </c>
      <c r="AE175" s="8">
        <f t="shared" si="16"/>
        <v>0</v>
      </c>
      <c r="AF175" s="106">
        <f t="shared" si="17"/>
        <v>0</v>
      </c>
      <c r="AG175" s="8">
        <f t="shared" si="18"/>
        <v>0</v>
      </c>
      <c r="AH175" s="8">
        <f>IF($O175="Aktif",MAX(0,MIN($AE175,$AD175-SUM($AG175:AG175))),0)</f>
        <v>0</v>
      </c>
      <c r="AI175" s="8">
        <f>IF($O175="Aktif",MAX(0,MIN($AE175,$AD175-SUM($AG175:AH175))),0)</f>
        <v>0</v>
      </c>
      <c r="AJ175" s="8">
        <f>IF($O175="Aktif",MAX(0,MIN($AE175,$AD175-SUM($AG175:AI175))),0)</f>
        <v>0</v>
      </c>
      <c r="AK175" s="8">
        <f>IF($O175="Aktif",MAX(0,MIN($AE175,$AD175-SUM($AG175:AJ175))),0)</f>
        <v>0</v>
      </c>
      <c r="AL175" s="8">
        <f>IF($O175="Aktif",MAX(0,MIN($AE175,$AD175-SUM($AG175:AK175))),0)</f>
        <v>0</v>
      </c>
      <c r="AM175" s="8">
        <f>IF($O175="Aktif",MAX(0,MIN($AE175,$AD175-SUM($AG175:AL175))),0)</f>
        <v>0</v>
      </c>
      <c r="AN175" s="8">
        <f>IF($O175="Aktif",MAX(0,MIN($AE175,$AD175-SUM($AG175:AM175))),0)</f>
        <v>0</v>
      </c>
      <c r="AO175" s="8">
        <f>IF($O175="Aktif",MAX(0,MIN($AE175,$AD175-SUM($AG175:AN175))),0)</f>
        <v>0</v>
      </c>
      <c r="AP175" s="8">
        <f>IF($O175="Aktif",MAX(0,MIN($AE175,$AD175-SUM($AG175:AO175))),0)</f>
        <v>0</v>
      </c>
      <c r="AQ175" s="8">
        <f>IF($O175="Aktif",MAX(0,MIN($AE175,$AD175-SUM($AG175:AP175))),0)</f>
        <v>0</v>
      </c>
      <c r="AR175" s="8">
        <f>IF($O175="Aktif",MAX(0,MIN($AE175,$AD175-SUM($AG175:AQ175))),0)</f>
        <v>0</v>
      </c>
      <c r="AS175" s="8">
        <f>IF($O175="Aktif",MAX(0,MIN($AE175,$AD175-SUM($AG175:AR175))),0)</f>
        <v>0</v>
      </c>
      <c r="AT175" s="8">
        <f>IF($O175="Aktif",MAX(0,MIN($AE175,$AD175-SUM($AG175:AS175))),0)</f>
        <v>0</v>
      </c>
      <c r="AU175" s="8">
        <f>IF($O175="Aktif",MAX(0,MIN($AE175,$AD175-SUM($AG175:AT175))),0)</f>
        <v>0</v>
      </c>
      <c r="AV175" s="8">
        <f>IF($O175="Aktif",MAX(0,MIN($AE175,$AD175-SUM($AG175:AU175))),0)</f>
        <v>0</v>
      </c>
      <c r="AW175" s="8">
        <f t="shared" si="19"/>
        <v>0</v>
      </c>
      <c r="AX175" s="8">
        <f t="shared" si="20"/>
        <v>0</v>
      </c>
    </row>
    <row r="176" spans="1:50" ht="15" customHeight="1" x14ac:dyDescent="0.35">
      <c r="A176" s="102">
        <v>170</v>
      </c>
      <c r="B176" s="102" t="s">
        <v>586</v>
      </c>
      <c r="C176" s="103">
        <v>108</v>
      </c>
      <c r="D176" s="102" t="s">
        <v>184</v>
      </c>
      <c r="E176" s="102" t="s">
        <v>587</v>
      </c>
      <c r="F176" s="102" t="s">
        <v>588</v>
      </c>
      <c r="G176" s="102" t="s">
        <v>589</v>
      </c>
      <c r="H176" s="102" t="s">
        <v>590</v>
      </c>
      <c r="I176" s="102" t="s">
        <v>90</v>
      </c>
      <c r="J176" s="102" t="s">
        <v>856</v>
      </c>
      <c r="K176" s="102" t="s">
        <v>591</v>
      </c>
      <c r="L176" s="104">
        <v>43056</v>
      </c>
      <c r="M176" s="102" t="s">
        <v>857</v>
      </c>
      <c r="N176" s="102" t="s">
        <v>858</v>
      </c>
      <c r="O176" s="102" t="s">
        <v>383</v>
      </c>
      <c r="P176" s="103">
        <v>8</v>
      </c>
      <c r="Q176" s="105">
        <v>10564000</v>
      </c>
      <c r="R176" s="103">
        <v>48</v>
      </c>
      <c r="S176" s="105">
        <v>220083.33333333299</v>
      </c>
      <c r="T176" s="105">
        <v>10564000</v>
      </c>
      <c r="U176" s="105">
        <v>0</v>
      </c>
      <c r="V176" s="105">
        <v>0</v>
      </c>
      <c r="W176" s="105">
        <v>0</v>
      </c>
      <c r="X176" s="105">
        <v>0</v>
      </c>
      <c r="Y176" s="105">
        <v>0</v>
      </c>
      <c r="Z176" s="105">
        <v>0</v>
      </c>
      <c r="AA176" s="105">
        <v>0</v>
      </c>
      <c r="AB176" s="105">
        <v>0</v>
      </c>
      <c r="AC176" s="8">
        <f t="shared" si="14"/>
        <v>10564000</v>
      </c>
      <c r="AD176" s="8">
        <f t="shared" si="15"/>
        <v>0</v>
      </c>
      <c r="AE176" s="8">
        <f t="shared" si="16"/>
        <v>0</v>
      </c>
      <c r="AF176" s="106">
        <f t="shared" si="17"/>
        <v>0</v>
      </c>
      <c r="AG176" s="8">
        <f t="shared" si="18"/>
        <v>0</v>
      </c>
      <c r="AH176" s="8">
        <f>IF($O176="Aktif",MAX(0,MIN($AE176,$AD176-SUM($AG176:AG176))),0)</f>
        <v>0</v>
      </c>
      <c r="AI176" s="8">
        <f>IF($O176="Aktif",MAX(0,MIN($AE176,$AD176-SUM($AG176:AH176))),0)</f>
        <v>0</v>
      </c>
      <c r="AJ176" s="8">
        <f>IF($O176="Aktif",MAX(0,MIN($AE176,$AD176-SUM($AG176:AI176))),0)</f>
        <v>0</v>
      </c>
      <c r="AK176" s="8">
        <f>IF($O176="Aktif",MAX(0,MIN($AE176,$AD176-SUM($AG176:AJ176))),0)</f>
        <v>0</v>
      </c>
      <c r="AL176" s="8">
        <f>IF($O176="Aktif",MAX(0,MIN($AE176,$AD176-SUM($AG176:AK176))),0)</f>
        <v>0</v>
      </c>
      <c r="AM176" s="8">
        <f>IF($O176="Aktif",MAX(0,MIN($AE176,$AD176-SUM($AG176:AL176))),0)</f>
        <v>0</v>
      </c>
      <c r="AN176" s="8">
        <f>IF($O176="Aktif",MAX(0,MIN($AE176,$AD176-SUM($AG176:AM176))),0)</f>
        <v>0</v>
      </c>
      <c r="AO176" s="8">
        <f>IF($O176="Aktif",MAX(0,MIN($AE176,$AD176-SUM($AG176:AN176))),0)</f>
        <v>0</v>
      </c>
      <c r="AP176" s="8">
        <f>IF($O176="Aktif",MAX(0,MIN($AE176,$AD176-SUM($AG176:AO176))),0)</f>
        <v>0</v>
      </c>
      <c r="AQ176" s="8">
        <f>IF($O176="Aktif",MAX(0,MIN($AE176,$AD176-SUM($AG176:AP176))),0)</f>
        <v>0</v>
      </c>
      <c r="AR176" s="8">
        <f>IF($O176="Aktif",MAX(0,MIN($AE176,$AD176-SUM($AG176:AQ176))),0)</f>
        <v>0</v>
      </c>
      <c r="AS176" s="8">
        <f>IF($O176="Aktif",MAX(0,MIN($AE176,$AD176-SUM($AG176:AR176))),0)</f>
        <v>0</v>
      </c>
      <c r="AT176" s="8">
        <f>IF($O176="Aktif",MAX(0,MIN($AE176,$AD176-SUM($AG176:AS176))),0)</f>
        <v>0</v>
      </c>
      <c r="AU176" s="8">
        <f>IF($O176="Aktif",MAX(0,MIN($AE176,$AD176-SUM($AG176:AT176))),0)</f>
        <v>0</v>
      </c>
      <c r="AV176" s="8">
        <f>IF($O176="Aktif",MAX(0,MIN($AE176,$AD176-SUM($AG176:AU176))),0)</f>
        <v>0</v>
      </c>
      <c r="AW176" s="8">
        <f t="shared" si="19"/>
        <v>0</v>
      </c>
      <c r="AX176" s="8">
        <f t="shared" si="20"/>
        <v>0</v>
      </c>
    </row>
    <row r="177" spans="1:50" ht="15" customHeight="1" x14ac:dyDescent="0.35">
      <c r="A177" s="102">
        <v>171</v>
      </c>
      <c r="B177" s="102" t="s">
        <v>586</v>
      </c>
      <c r="C177" s="103">
        <v>109</v>
      </c>
      <c r="D177" s="102" t="s">
        <v>184</v>
      </c>
      <c r="E177" s="102" t="s">
        <v>587</v>
      </c>
      <c r="F177" s="102" t="s">
        <v>588</v>
      </c>
      <c r="G177" s="102" t="s">
        <v>589</v>
      </c>
      <c r="H177" s="102" t="s">
        <v>590</v>
      </c>
      <c r="I177" s="102" t="s">
        <v>90</v>
      </c>
      <c r="J177" s="102" t="s">
        <v>859</v>
      </c>
      <c r="K177" s="102" t="s">
        <v>591</v>
      </c>
      <c r="L177" s="104">
        <v>43056</v>
      </c>
      <c r="M177" s="102" t="s">
        <v>857</v>
      </c>
      <c r="N177" s="102" t="s">
        <v>860</v>
      </c>
      <c r="O177" s="102" t="s">
        <v>383</v>
      </c>
      <c r="P177" s="103">
        <v>12</v>
      </c>
      <c r="Q177" s="105">
        <v>15846000</v>
      </c>
      <c r="R177" s="103">
        <v>48</v>
      </c>
      <c r="S177" s="105">
        <v>330125</v>
      </c>
      <c r="T177" s="105">
        <v>15846000</v>
      </c>
      <c r="U177" s="105">
        <v>0</v>
      </c>
      <c r="V177" s="105">
        <v>0</v>
      </c>
      <c r="W177" s="105">
        <v>0</v>
      </c>
      <c r="X177" s="105">
        <v>0</v>
      </c>
      <c r="Y177" s="105">
        <v>0</v>
      </c>
      <c r="Z177" s="105">
        <v>0</v>
      </c>
      <c r="AA177" s="105">
        <v>0</v>
      </c>
      <c r="AB177" s="105">
        <v>0</v>
      </c>
      <c r="AC177" s="8">
        <f t="shared" si="14"/>
        <v>15846000</v>
      </c>
      <c r="AD177" s="8">
        <f t="shared" si="15"/>
        <v>0</v>
      </c>
      <c r="AE177" s="8">
        <f t="shared" si="16"/>
        <v>0</v>
      </c>
      <c r="AF177" s="106">
        <f t="shared" si="17"/>
        <v>0</v>
      </c>
      <c r="AG177" s="8">
        <f t="shared" si="18"/>
        <v>0</v>
      </c>
      <c r="AH177" s="8">
        <f>IF($O177="Aktif",MAX(0,MIN($AE177,$AD177-SUM($AG177:AG177))),0)</f>
        <v>0</v>
      </c>
      <c r="AI177" s="8">
        <f>IF($O177="Aktif",MAX(0,MIN($AE177,$AD177-SUM($AG177:AH177))),0)</f>
        <v>0</v>
      </c>
      <c r="AJ177" s="8">
        <f>IF($O177="Aktif",MAX(0,MIN($AE177,$AD177-SUM($AG177:AI177))),0)</f>
        <v>0</v>
      </c>
      <c r="AK177" s="8">
        <f>IF($O177="Aktif",MAX(0,MIN($AE177,$AD177-SUM($AG177:AJ177))),0)</f>
        <v>0</v>
      </c>
      <c r="AL177" s="8">
        <f>IF($O177="Aktif",MAX(0,MIN($AE177,$AD177-SUM($AG177:AK177))),0)</f>
        <v>0</v>
      </c>
      <c r="AM177" s="8">
        <f>IF($O177="Aktif",MAX(0,MIN($AE177,$AD177-SUM($AG177:AL177))),0)</f>
        <v>0</v>
      </c>
      <c r="AN177" s="8">
        <f>IF($O177="Aktif",MAX(0,MIN($AE177,$AD177-SUM($AG177:AM177))),0)</f>
        <v>0</v>
      </c>
      <c r="AO177" s="8">
        <f>IF($O177="Aktif",MAX(0,MIN($AE177,$AD177-SUM($AG177:AN177))),0)</f>
        <v>0</v>
      </c>
      <c r="AP177" s="8">
        <f>IF($O177="Aktif",MAX(0,MIN($AE177,$AD177-SUM($AG177:AO177))),0)</f>
        <v>0</v>
      </c>
      <c r="AQ177" s="8">
        <f>IF($O177="Aktif",MAX(0,MIN($AE177,$AD177-SUM($AG177:AP177))),0)</f>
        <v>0</v>
      </c>
      <c r="AR177" s="8">
        <f>IF($O177="Aktif",MAX(0,MIN($AE177,$AD177-SUM($AG177:AQ177))),0)</f>
        <v>0</v>
      </c>
      <c r="AS177" s="8">
        <f>IF($O177="Aktif",MAX(0,MIN($AE177,$AD177-SUM($AG177:AR177))),0)</f>
        <v>0</v>
      </c>
      <c r="AT177" s="8">
        <f>IF($O177="Aktif",MAX(0,MIN($AE177,$AD177-SUM($AG177:AS177))),0)</f>
        <v>0</v>
      </c>
      <c r="AU177" s="8">
        <f>IF($O177="Aktif",MAX(0,MIN($AE177,$AD177-SUM($AG177:AT177))),0)</f>
        <v>0</v>
      </c>
      <c r="AV177" s="8">
        <f>IF($O177="Aktif",MAX(0,MIN($AE177,$AD177-SUM($AG177:AU177))),0)</f>
        <v>0</v>
      </c>
      <c r="AW177" s="8">
        <f t="shared" si="19"/>
        <v>0</v>
      </c>
      <c r="AX177" s="8">
        <f t="shared" si="20"/>
        <v>0</v>
      </c>
    </row>
    <row r="178" spans="1:50" ht="15" customHeight="1" x14ac:dyDescent="0.35">
      <c r="A178" s="102">
        <v>172</v>
      </c>
      <c r="B178" s="102" t="s">
        <v>586</v>
      </c>
      <c r="C178" s="103">
        <v>110</v>
      </c>
      <c r="D178" s="102" t="s">
        <v>184</v>
      </c>
      <c r="E178" s="102" t="s">
        <v>587</v>
      </c>
      <c r="F178" s="102" t="s">
        <v>588</v>
      </c>
      <c r="G178" s="102" t="s">
        <v>589</v>
      </c>
      <c r="H178" s="102" t="s">
        <v>590</v>
      </c>
      <c r="I178" s="102" t="s">
        <v>90</v>
      </c>
      <c r="J178" s="102" t="s">
        <v>861</v>
      </c>
      <c r="K178" s="102" t="s">
        <v>591</v>
      </c>
      <c r="L178" s="104">
        <v>43069</v>
      </c>
      <c r="M178" s="102" t="s">
        <v>862</v>
      </c>
      <c r="N178" s="102" t="s">
        <v>862</v>
      </c>
      <c r="O178" s="102" t="s">
        <v>383</v>
      </c>
      <c r="P178" s="103">
        <v>1</v>
      </c>
      <c r="Q178" s="105">
        <v>42763050</v>
      </c>
      <c r="R178" s="103">
        <v>48</v>
      </c>
      <c r="S178" s="105">
        <v>890896.875</v>
      </c>
      <c r="T178" s="105">
        <v>42763050</v>
      </c>
      <c r="U178" s="105">
        <v>0</v>
      </c>
      <c r="V178" s="105">
        <v>0</v>
      </c>
      <c r="W178" s="105">
        <v>0</v>
      </c>
      <c r="X178" s="105">
        <v>0</v>
      </c>
      <c r="Y178" s="105">
        <v>0</v>
      </c>
      <c r="Z178" s="105">
        <v>0</v>
      </c>
      <c r="AA178" s="105">
        <v>0</v>
      </c>
      <c r="AB178" s="105">
        <v>0</v>
      </c>
      <c r="AC178" s="8">
        <f t="shared" si="14"/>
        <v>42763050</v>
      </c>
      <c r="AD178" s="8">
        <f t="shared" si="15"/>
        <v>0</v>
      </c>
      <c r="AE178" s="8">
        <f t="shared" si="16"/>
        <v>0</v>
      </c>
      <c r="AF178" s="106">
        <f t="shared" si="17"/>
        <v>0</v>
      </c>
      <c r="AG178" s="8">
        <f t="shared" si="18"/>
        <v>0</v>
      </c>
      <c r="AH178" s="8">
        <f>IF($O178="Aktif",MAX(0,MIN($AE178,$AD178-SUM($AG178:AG178))),0)</f>
        <v>0</v>
      </c>
      <c r="AI178" s="8">
        <f>IF($O178="Aktif",MAX(0,MIN($AE178,$AD178-SUM($AG178:AH178))),0)</f>
        <v>0</v>
      </c>
      <c r="AJ178" s="8">
        <f>IF($O178="Aktif",MAX(0,MIN($AE178,$AD178-SUM($AG178:AI178))),0)</f>
        <v>0</v>
      </c>
      <c r="AK178" s="8">
        <f>IF($O178="Aktif",MAX(0,MIN($AE178,$AD178-SUM($AG178:AJ178))),0)</f>
        <v>0</v>
      </c>
      <c r="AL178" s="8">
        <f>IF($O178="Aktif",MAX(0,MIN($AE178,$AD178-SUM($AG178:AK178))),0)</f>
        <v>0</v>
      </c>
      <c r="AM178" s="8">
        <f>IF($O178="Aktif",MAX(0,MIN($AE178,$AD178-SUM($AG178:AL178))),0)</f>
        <v>0</v>
      </c>
      <c r="AN178" s="8">
        <f>IF($O178="Aktif",MAX(0,MIN($AE178,$AD178-SUM($AG178:AM178))),0)</f>
        <v>0</v>
      </c>
      <c r="AO178" s="8">
        <f>IF($O178="Aktif",MAX(0,MIN($AE178,$AD178-SUM($AG178:AN178))),0)</f>
        <v>0</v>
      </c>
      <c r="AP178" s="8">
        <f>IF($O178="Aktif",MAX(0,MIN($AE178,$AD178-SUM($AG178:AO178))),0)</f>
        <v>0</v>
      </c>
      <c r="AQ178" s="8">
        <f>IF($O178="Aktif",MAX(0,MIN($AE178,$AD178-SUM($AG178:AP178))),0)</f>
        <v>0</v>
      </c>
      <c r="AR178" s="8">
        <f>IF($O178="Aktif",MAX(0,MIN($AE178,$AD178-SUM($AG178:AQ178))),0)</f>
        <v>0</v>
      </c>
      <c r="AS178" s="8">
        <f>IF($O178="Aktif",MAX(0,MIN($AE178,$AD178-SUM($AG178:AR178))),0)</f>
        <v>0</v>
      </c>
      <c r="AT178" s="8">
        <f>IF($O178="Aktif",MAX(0,MIN($AE178,$AD178-SUM($AG178:AS178))),0)</f>
        <v>0</v>
      </c>
      <c r="AU178" s="8">
        <f>IF($O178="Aktif",MAX(0,MIN($AE178,$AD178-SUM($AG178:AT178))),0)</f>
        <v>0</v>
      </c>
      <c r="AV178" s="8">
        <f>IF($O178="Aktif",MAX(0,MIN($AE178,$AD178-SUM($AG178:AU178))),0)</f>
        <v>0</v>
      </c>
      <c r="AW178" s="8">
        <f t="shared" si="19"/>
        <v>0</v>
      </c>
      <c r="AX178" s="8">
        <f t="shared" si="20"/>
        <v>0</v>
      </c>
    </row>
    <row r="179" spans="1:50" ht="15" customHeight="1" x14ac:dyDescent="0.35">
      <c r="A179" s="102">
        <v>173</v>
      </c>
      <c r="B179" s="102" t="s">
        <v>586</v>
      </c>
      <c r="C179" s="103">
        <v>111</v>
      </c>
      <c r="D179" s="102" t="s">
        <v>184</v>
      </c>
      <c r="E179" s="102" t="s">
        <v>587</v>
      </c>
      <c r="F179" s="102" t="s">
        <v>588</v>
      </c>
      <c r="G179" s="102" t="s">
        <v>589</v>
      </c>
      <c r="H179" s="102" t="s">
        <v>590</v>
      </c>
      <c r="I179" s="102" t="s">
        <v>90</v>
      </c>
      <c r="J179" s="102" t="s">
        <v>863</v>
      </c>
      <c r="K179" s="102" t="s">
        <v>591</v>
      </c>
      <c r="L179" s="104">
        <v>43077</v>
      </c>
      <c r="M179" s="102" t="s">
        <v>864</v>
      </c>
      <c r="N179" s="102" t="s">
        <v>865</v>
      </c>
      <c r="O179" s="102" t="s">
        <v>383</v>
      </c>
      <c r="P179" s="103">
        <v>1</v>
      </c>
      <c r="Q179" s="105">
        <v>3500000</v>
      </c>
      <c r="R179" s="103">
        <v>48</v>
      </c>
      <c r="S179" s="105">
        <v>72916.666666666701</v>
      </c>
      <c r="T179" s="105">
        <v>3500000</v>
      </c>
      <c r="U179" s="105">
        <v>0</v>
      </c>
      <c r="V179" s="105">
        <v>0</v>
      </c>
      <c r="W179" s="105">
        <v>0</v>
      </c>
      <c r="X179" s="105">
        <v>0</v>
      </c>
      <c r="Y179" s="105">
        <v>0</v>
      </c>
      <c r="Z179" s="105">
        <v>0</v>
      </c>
      <c r="AA179" s="105">
        <v>0</v>
      </c>
      <c r="AB179" s="105">
        <v>0</v>
      </c>
      <c r="AC179" s="8">
        <f t="shared" si="14"/>
        <v>3500000</v>
      </c>
      <c r="AD179" s="8">
        <f t="shared" si="15"/>
        <v>0</v>
      </c>
      <c r="AE179" s="8">
        <f t="shared" si="16"/>
        <v>0</v>
      </c>
      <c r="AF179" s="106">
        <f t="shared" si="17"/>
        <v>0</v>
      </c>
      <c r="AG179" s="8">
        <f t="shared" si="18"/>
        <v>0</v>
      </c>
      <c r="AH179" s="8">
        <f>IF($O179="Aktif",MAX(0,MIN($AE179,$AD179-SUM($AG179:AG179))),0)</f>
        <v>0</v>
      </c>
      <c r="AI179" s="8">
        <f>IF($O179="Aktif",MAX(0,MIN($AE179,$AD179-SUM($AG179:AH179))),0)</f>
        <v>0</v>
      </c>
      <c r="AJ179" s="8">
        <f>IF($O179="Aktif",MAX(0,MIN($AE179,$AD179-SUM($AG179:AI179))),0)</f>
        <v>0</v>
      </c>
      <c r="AK179" s="8">
        <f>IF($O179="Aktif",MAX(0,MIN($AE179,$AD179-SUM($AG179:AJ179))),0)</f>
        <v>0</v>
      </c>
      <c r="AL179" s="8">
        <f>IF($O179="Aktif",MAX(0,MIN($AE179,$AD179-SUM($AG179:AK179))),0)</f>
        <v>0</v>
      </c>
      <c r="AM179" s="8">
        <f>IF($O179="Aktif",MAX(0,MIN($AE179,$AD179-SUM($AG179:AL179))),0)</f>
        <v>0</v>
      </c>
      <c r="AN179" s="8">
        <f>IF($O179="Aktif",MAX(0,MIN($AE179,$AD179-SUM($AG179:AM179))),0)</f>
        <v>0</v>
      </c>
      <c r="AO179" s="8">
        <f>IF($O179="Aktif",MAX(0,MIN($AE179,$AD179-SUM($AG179:AN179))),0)</f>
        <v>0</v>
      </c>
      <c r="AP179" s="8">
        <f>IF($O179="Aktif",MAX(0,MIN($AE179,$AD179-SUM($AG179:AO179))),0)</f>
        <v>0</v>
      </c>
      <c r="AQ179" s="8">
        <f>IF($O179="Aktif",MAX(0,MIN($AE179,$AD179-SUM($AG179:AP179))),0)</f>
        <v>0</v>
      </c>
      <c r="AR179" s="8">
        <f>IF($O179="Aktif",MAX(0,MIN($AE179,$AD179-SUM($AG179:AQ179))),0)</f>
        <v>0</v>
      </c>
      <c r="AS179" s="8">
        <f>IF($O179="Aktif",MAX(0,MIN($AE179,$AD179-SUM($AG179:AR179))),0)</f>
        <v>0</v>
      </c>
      <c r="AT179" s="8">
        <f>IF($O179="Aktif",MAX(0,MIN($AE179,$AD179-SUM($AG179:AS179))),0)</f>
        <v>0</v>
      </c>
      <c r="AU179" s="8">
        <f>IF($O179="Aktif",MAX(0,MIN($AE179,$AD179-SUM($AG179:AT179))),0)</f>
        <v>0</v>
      </c>
      <c r="AV179" s="8">
        <f>IF($O179="Aktif",MAX(0,MIN($AE179,$AD179-SUM($AG179:AU179))),0)</f>
        <v>0</v>
      </c>
      <c r="AW179" s="8">
        <f t="shared" si="19"/>
        <v>0</v>
      </c>
      <c r="AX179" s="8">
        <f t="shared" si="20"/>
        <v>0</v>
      </c>
    </row>
    <row r="180" spans="1:50" ht="15" customHeight="1" x14ac:dyDescent="0.35">
      <c r="A180" s="102">
        <v>174</v>
      </c>
      <c r="B180" s="102" t="s">
        <v>586</v>
      </c>
      <c r="C180" s="103">
        <v>112</v>
      </c>
      <c r="D180" s="102" t="s">
        <v>184</v>
      </c>
      <c r="E180" s="102" t="s">
        <v>587</v>
      </c>
      <c r="F180" s="102" t="s">
        <v>588</v>
      </c>
      <c r="G180" s="102" t="s">
        <v>589</v>
      </c>
      <c r="H180" s="102" t="s">
        <v>590</v>
      </c>
      <c r="I180" s="102" t="s">
        <v>90</v>
      </c>
      <c r="J180" s="102" t="s">
        <v>866</v>
      </c>
      <c r="K180" s="102" t="s">
        <v>591</v>
      </c>
      <c r="L180" s="104">
        <v>43100</v>
      </c>
      <c r="M180" s="102" t="s">
        <v>867</v>
      </c>
      <c r="N180" s="102" t="s">
        <v>868</v>
      </c>
      <c r="O180" s="102" t="s">
        <v>383</v>
      </c>
      <c r="P180" s="103">
        <v>1</v>
      </c>
      <c r="Q180" s="105">
        <v>565000</v>
      </c>
      <c r="R180" s="103">
        <v>48</v>
      </c>
      <c r="S180" s="105">
        <v>11770.833333333299</v>
      </c>
      <c r="T180" s="105">
        <v>565000</v>
      </c>
      <c r="U180" s="105">
        <v>0</v>
      </c>
      <c r="V180" s="105">
        <v>0</v>
      </c>
      <c r="W180" s="105">
        <v>0</v>
      </c>
      <c r="X180" s="105">
        <v>0</v>
      </c>
      <c r="Y180" s="105">
        <v>0</v>
      </c>
      <c r="Z180" s="105">
        <v>0</v>
      </c>
      <c r="AA180" s="105">
        <v>0</v>
      </c>
      <c r="AB180" s="105">
        <v>0</v>
      </c>
      <c r="AC180" s="8">
        <f t="shared" si="14"/>
        <v>565000</v>
      </c>
      <c r="AD180" s="8">
        <f t="shared" si="15"/>
        <v>0</v>
      </c>
      <c r="AE180" s="8">
        <f t="shared" si="16"/>
        <v>0</v>
      </c>
      <c r="AF180" s="106">
        <f t="shared" si="17"/>
        <v>0</v>
      </c>
      <c r="AG180" s="8">
        <f t="shared" si="18"/>
        <v>0</v>
      </c>
      <c r="AH180" s="8">
        <f>IF($O180="Aktif",MAX(0,MIN($AE180,$AD180-SUM($AG180:AG180))),0)</f>
        <v>0</v>
      </c>
      <c r="AI180" s="8">
        <f>IF($O180="Aktif",MAX(0,MIN($AE180,$AD180-SUM($AG180:AH180))),0)</f>
        <v>0</v>
      </c>
      <c r="AJ180" s="8">
        <f>IF($O180="Aktif",MAX(0,MIN($AE180,$AD180-SUM($AG180:AI180))),0)</f>
        <v>0</v>
      </c>
      <c r="AK180" s="8">
        <f>IF($O180="Aktif",MAX(0,MIN($AE180,$AD180-SUM($AG180:AJ180))),0)</f>
        <v>0</v>
      </c>
      <c r="AL180" s="8">
        <f>IF($O180="Aktif",MAX(0,MIN($AE180,$AD180-SUM($AG180:AK180))),0)</f>
        <v>0</v>
      </c>
      <c r="AM180" s="8">
        <f>IF($O180="Aktif",MAX(0,MIN($AE180,$AD180-SUM($AG180:AL180))),0)</f>
        <v>0</v>
      </c>
      <c r="AN180" s="8">
        <f>IF($O180="Aktif",MAX(0,MIN($AE180,$AD180-SUM($AG180:AM180))),0)</f>
        <v>0</v>
      </c>
      <c r="AO180" s="8">
        <f>IF($O180="Aktif",MAX(0,MIN($AE180,$AD180-SUM($AG180:AN180))),0)</f>
        <v>0</v>
      </c>
      <c r="AP180" s="8">
        <f>IF($O180="Aktif",MAX(0,MIN($AE180,$AD180-SUM($AG180:AO180))),0)</f>
        <v>0</v>
      </c>
      <c r="AQ180" s="8">
        <f>IF($O180="Aktif",MAX(0,MIN($AE180,$AD180-SUM($AG180:AP180))),0)</f>
        <v>0</v>
      </c>
      <c r="AR180" s="8">
        <f>IF($O180="Aktif",MAX(0,MIN($AE180,$AD180-SUM($AG180:AQ180))),0)</f>
        <v>0</v>
      </c>
      <c r="AS180" s="8">
        <f>IF($O180="Aktif",MAX(0,MIN($AE180,$AD180-SUM($AG180:AR180))),0)</f>
        <v>0</v>
      </c>
      <c r="AT180" s="8">
        <f>IF($O180="Aktif",MAX(0,MIN($AE180,$AD180-SUM($AG180:AS180))),0)</f>
        <v>0</v>
      </c>
      <c r="AU180" s="8">
        <f>IF($O180="Aktif",MAX(0,MIN($AE180,$AD180-SUM($AG180:AT180))),0)</f>
        <v>0</v>
      </c>
      <c r="AV180" s="8">
        <f>IF($O180="Aktif",MAX(0,MIN($AE180,$AD180-SUM($AG180:AU180))),0)</f>
        <v>0</v>
      </c>
      <c r="AW180" s="8">
        <f t="shared" si="19"/>
        <v>0</v>
      </c>
      <c r="AX180" s="8">
        <f t="shared" si="20"/>
        <v>0</v>
      </c>
    </row>
    <row r="181" spans="1:50" ht="15" customHeight="1" x14ac:dyDescent="0.35">
      <c r="A181" s="102">
        <v>175</v>
      </c>
      <c r="B181" s="102" t="s">
        <v>586</v>
      </c>
      <c r="C181" s="103">
        <v>113</v>
      </c>
      <c r="D181" s="102" t="s">
        <v>184</v>
      </c>
      <c r="E181" s="102" t="s">
        <v>587</v>
      </c>
      <c r="F181" s="102" t="s">
        <v>588</v>
      </c>
      <c r="G181" s="102" t="s">
        <v>589</v>
      </c>
      <c r="H181" s="102" t="s">
        <v>590</v>
      </c>
      <c r="I181" s="102" t="s">
        <v>90</v>
      </c>
      <c r="J181" s="102" t="s">
        <v>869</v>
      </c>
      <c r="K181" s="102" t="s">
        <v>591</v>
      </c>
      <c r="L181" s="104">
        <v>43100</v>
      </c>
      <c r="M181" s="102" t="s">
        <v>870</v>
      </c>
      <c r="N181" s="102" t="s">
        <v>871</v>
      </c>
      <c r="O181" s="102" t="s">
        <v>383</v>
      </c>
      <c r="P181" s="103">
        <v>2</v>
      </c>
      <c r="Q181" s="105">
        <v>7125000</v>
      </c>
      <c r="R181" s="103">
        <v>48</v>
      </c>
      <c r="S181" s="105">
        <v>148437.5</v>
      </c>
      <c r="T181" s="105">
        <v>7125000</v>
      </c>
      <c r="U181" s="105">
        <v>0</v>
      </c>
      <c r="V181" s="105">
        <v>0</v>
      </c>
      <c r="W181" s="105">
        <v>0</v>
      </c>
      <c r="X181" s="105">
        <v>0</v>
      </c>
      <c r="Y181" s="105">
        <v>0</v>
      </c>
      <c r="Z181" s="105">
        <v>0</v>
      </c>
      <c r="AA181" s="105">
        <v>0</v>
      </c>
      <c r="AB181" s="105">
        <v>0</v>
      </c>
      <c r="AC181" s="8">
        <f t="shared" si="14"/>
        <v>7125000</v>
      </c>
      <c r="AD181" s="8">
        <f t="shared" si="15"/>
        <v>0</v>
      </c>
      <c r="AE181" s="8">
        <f t="shared" si="16"/>
        <v>0</v>
      </c>
      <c r="AF181" s="106">
        <f t="shared" si="17"/>
        <v>0</v>
      </c>
      <c r="AG181" s="8">
        <f t="shared" si="18"/>
        <v>0</v>
      </c>
      <c r="AH181" s="8">
        <f>IF($O181="Aktif",MAX(0,MIN($AE181,$AD181-SUM($AG181:AG181))),0)</f>
        <v>0</v>
      </c>
      <c r="AI181" s="8">
        <f>IF($O181="Aktif",MAX(0,MIN($AE181,$AD181-SUM($AG181:AH181))),0)</f>
        <v>0</v>
      </c>
      <c r="AJ181" s="8">
        <f>IF($O181="Aktif",MAX(0,MIN($AE181,$AD181-SUM($AG181:AI181))),0)</f>
        <v>0</v>
      </c>
      <c r="AK181" s="8">
        <f>IF($O181="Aktif",MAX(0,MIN($AE181,$AD181-SUM($AG181:AJ181))),0)</f>
        <v>0</v>
      </c>
      <c r="AL181" s="8">
        <f>IF($O181="Aktif",MAX(0,MIN($AE181,$AD181-SUM($AG181:AK181))),0)</f>
        <v>0</v>
      </c>
      <c r="AM181" s="8">
        <f>IF($O181="Aktif",MAX(0,MIN($AE181,$AD181-SUM($AG181:AL181))),0)</f>
        <v>0</v>
      </c>
      <c r="AN181" s="8">
        <f>IF($O181="Aktif",MAX(0,MIN($AE181,$AD181-SUM($AG181:AM181))),0)</f>
        <v>0</v>
      </c>
      <c r="AO181" s="8">
        <f>IF($O181="Aktif",MAX(0,MIN($AE181,$AD181-SUM($AG181:AN181))),0)</f>
        <v>0</v>
      </c>
      <c r="AP181" s="8">
        <f>IF($O181="Aktif",MAX(0,MIN($AE181,$AD181-SUM($AG181:AO181))),0)</f>
        <v>0</v>
      </c>
      <c r="AQ181" s="8">
        <f>IF($O181="Aktif",MAX(0,MIN($AE181,$AD181-SUM($AG181:AP181))),0)</f>
        <v>0</v>
      </c>
      <c r="AR181" s="8">
        <f>IF($O181="Aktif",MAX(0,MIN($AE181,$AD181-SUM($AG181:AQ181))),0)</f>
        <v>0</v>
      </c>
      <c r="AS181" s="8">
        <f>IF($O181="Aktif",MAX(0,MIN($AE181,$AD181-SUM($AG181:AR181))),0)</f>
        <v>0</v>
      </c>
      <c r="AT181" s="8">
        <f>IF($O181="Aktif",MAX(0,MIN($AE181,$AD181-SUM($AG181:AS181))),0)</f>
        <v>0</v>
      </c>
      <c r="AU181" s="8">
        <f>IF($O181="Aktif",MAX(0,MIN($AE181,$AD181-SUM($AG181:AT181))),0)</f>
        <v>0</v>
      </c>
      <c r="AV181" s="8">
        <f>IF($O181="Aktif",MAX(0,MIN($AE181,$AD181-SUM($AG181:AU181))),0)</f>
        <v>0</v>
      </c>
      <c r="AW181" s="8">
        <f t="shared" si="19"/>
        <v>0</v>
      </c>
      <c r="AX181" s="8">
        <f t="shared" si="20"/>
        <v>0</v>
      </c>
    </row>
    <row r="182" spans="1:50" ht="15" customHeight="1" x14ac:dyDescent="0.35">
      <c r="A182" s="102">
        <v>176</v>
      </c>
      <c r="B182" s="102" t="s">
        <v>586</v>
      </c>
      <c r="C182" s="103">
        <v>114</v>
      </c>
      <c r="D182" s="102" t="s">
        <v>184</v>
      </c>
      <c r="E182" s="102" t="s">
        <v>540</v>
      </c>
      <c r="F182" s="102" t="s">
        <v>872</v>
      </c>
      <c r="G182" s="102" t="s">
        <v>873</v>
      </c>
      <c r="H182" s="102" t="s">
        <v>874</v>
      </c>
      <c r="I182" s="102" t="s">
        <v>90</v>
      </c>
      <c r="J182" s="102" t="s">
        <v>875</v>
      </c>
      <c r="K182" s="102" t="s">
        <v>876</v>
      </c>
      <c r="L182" s="104">
        <v>43109</v>
      </c>
      <c r="M182" s="102" t="s">
        <v>877</v>
      </c>
      <c r="N182" s="102" t="s">
        <v>878</v>
      </c>
      <c r="O182" s="102" t="s">
        <v>383</v>
      </c>
      <c r="P182" s="103">
        <v>1</v>
      </c>
      <c r="Q182" s="105">
        <v>5100000</v>
      </c>
      <c r="R182" s="103">
        <v>96</v>
      </c>
      <c r="S182" s="105">
        <v>53125</v>
      </c>
      <c r="T182" s="105">
        <v>5100000</v>
      </c>
      <c r="U182" s="105">
        <v>0</v>
      </c>
      <c r="V182" s="105">
        <v>0</v>
      </c>
      <c r="W182" s="105">
        <v>0</v>
      </c>
      <c r="X182" s="105">
        <v>0</v>
      </c>
      <c r="Y182" s="105">
        <v>0</v>
      </c>
      <c r="Z182" s="105">
        <v>0</v>
      </c>
      <c r="AA182" s="105">
        <v>0</v>
      </c>
      <c r="AB182" s="105">
        <v>0</v>
      </c>
      <c r="AC182" s="8">
        <f t="shared" si="14"/>
        <v>5100000</v>
      </c>
      <c r="AD182" s="8">
        <f t="shared" si="15"/>
        <v>0</v>
      </c>
      <c r="AE182" s="8">
        <f t="shared" si="16"/>
        <v>0</v>
      </c>
      <c r="AF182" s="106">
        <f t="shared" si="17"/>
        <v>0</v>
      </c>
      <c r="AG182" s="8">
        <f t="shared" si="18"/>
        <v>0</v>
      </c>
      <c r="AH182" s="8">
        <f>IF($O182="Aktif",MAX(0,MIN($AE182,$AD182-SUM($AG182:AG182))),0)</f>
        <v>0</v>
      </c>
      <c r="AI182" s="8">
        <f>IF($O182="Aktif",MAX(0,MIN($AE182,$AD182-SUM($AG182:AH182))),0)</f>
        <v>0</v>
      </c>
      <c r="AJ182" s="8">
        <f>IF($O182="Aktif",MAX(0,MIN($AE182,$AD182-SUM($AG182:AI182))),0)</f>
        <v>0</v>
      </c>
      <c r="AK182" s="8">
        <f>IF($O182="Aktif",MAX(0,MIN($AE182,$AD182-SUM($AG182:AJ182))),0)</f>
        <v>0</v>
      </c>
      <c r="AL182" s="8">
        <f>IF($O182="Aktif",MAX(0,MIN($AE182,$AD182-SUM($AG182:AK182))),0)</f>
        <v>0</v>
      </c>
      <c r="AM182" s="8">
        <f>IF($O182="Aktif",MAX(0,MIN($AE182,$AD182-SUM($AG182:AL182))),0)</f>
        <v>0</v>
      </c>
      <c r="AN182" s="8">
        <f>IF($O182="Aktif",MAX(0,MIN($AE182,$AD182-SUM($AG182:AM182))),0)</f>
        <v>0</v>
      </c>
      <c r="AO182" s="8">
        <f>IF($O182="Aktif",MAX(0,MIN($AE182,$AD182-SUM($AG182:AN182))),0)</f>
        <v>0</v>
      </c>
      <c r="AP182" s="8">
        <f>IF($O182="Aktif",MAX(0,MIN($AE182,$AD182-SUM($AG182:AO182))),0)</f>
        <v>0</v>
      </c>
      <c r="AQ182" s="8">
        <f>IF($O182="Aktif",MAX(0,MIN($AE182,$AD182-SUM($AG182:AP182))),0)</f>
        <v>0</v>
      </c>
      <c r="AR182" s="8">
        <f>IF($O182="Aktif",MAX(0,MIN($AE182,$AD182-SUM($AG182:AQ182))),0)</f>
        <v>0</v>
      </c>
      <c r="AS182" s="8">
        <f>IF($O182="Aktif",MAX(0,MIN($AE182,$AD182-SUM($AG182:AR182))),0)</f>
        <v>0</v>
      </c>
      <c r="AT182" s="8">
        <f>IF($O182="Aktif",MAX(0,MIN($AE182,$AD182-SUM($AG182:AS182))),0)</f>
        <v>0</v>
      </c>
      <c r="AU182" s="8">
        <f>IF($O182="Aktif",MAX(0,MIN($AE182,$AD182-SUM($AG182:AT182))),0)</f>
        <v>0</v>
      </c>
      <c r="AV182" s="8">
        <f>IF($O182="Aktif",MAX(0,MIN($AE182,$AD182-SUM($AG182:AU182))),0)</f>
        <v>0</v>
      </c>
      <c r="AW182" s="8">
        <f t="shared" si="19"/>
        <v>0</v>
      </c>
      <c r="AX182" s="8">
        <f t="shared" si="20"/>
        <v>0</v>
      </c>
    </row>
    <row r="183" spans="1:50" ht="15" customHeight="1" x14ac:dyDescent="0.35">
      <c r="A183" s="102">
        <v>177</v>
      </c>
      <c r="B183" s="102" t="s">
        <v>586</v>
      </c>
      <c r="C183" s="103">
        <v>115</v>
      </c>
      <c r="D183" s="102" t="s">
        <v>184</v>
      </c>
      <c r="E183" s="102" t="s">
        <v>587</v>
      </c>
      <c r="F183" s="102" t="s">
        <v>588</v>
      </c>
      <c r="G183" s="102" t="s">
        <v>589</v>
      </c>
      <c r="H183" s="102" t="s">
        <v>590</v>
      </c>
      <c r="I183" s="102" t="s">
        <v>90</v>
      </c>
      <c r="J183" s="102" t="s">
        <v>879</v>
      </c>
      <c r="K183" s="102" t="s">
        <v>591</v>
      </c>
      <c r="L183" s="104">
        <v>43137</v>
      </c>
      <c r="M183" s="102" t="s">
        <v>880</v>
      </c>
      <c r="N183" s="102" t="s">
        <v>881</v>
      </c>
      <c r="O183" s="102" t="s">
        <v>383</v>
      </c>
      <c r="P183" s="103">
        <v>1</v>
      </c>
      <c r="Q183" s="105">
        <v>2000000</v>
      </c>
      <c r="R183" s="103">
        <v>48</v>
      </c>
      <c r="S183" s="105">
        <v>41666.666666666701</v>
      </c>
      <c r="T183" s="105">
        <v>2000000</v>
      </c>
      <c r="U183" s="105">
        <v>0</v>
      </c>
      <c r="V183" s="105">
        <v>0</v>
      </c>
      <c r="W183" s="105">
        <v>0</v>
      </c>
      <c r="X183" s="105">
        <v>0</v>
      </c>
      <c r="Y183" s="105">
        <v>0</v>
      </c>
      <c r="Z183" s="105">
        <v>0</v>
      </c>
      <c r="AA183" s="105">
        <v>0</v>
      </c>
      <c r="AB183" s="105">
        <v>0</v>
      </c>
      <c r="AC183" s="8">
        <f t="shared" si="14"/>
        <v>2000000</v>
      </c>
      <c r="AD183" s="8">
        <f t="shared" si="15"/>
        <v>0</v>
      </c>
      <c r="AE183" s="8">
        <f t="shared" si="16"/>
        <v>0</v>
      </c>
      <c r="AF183" s="106">
        <f t="shared" si="17"/>
        <v>0</v>
      </c>
      <c r="AG183" s="8">
        <f t="shared" si="18"/>
        <v>0</v>
      </c>
      <c r="AH183" s="8">
        <f>IF($O183="Aktif",MAX(0,MIN($AE183,$AD183-SUM($AG183:AG183))),0)</f>
        <v>0</v>
      </c>
      <c r="AI183" s="8">
        <f>IF($O183="Aktif",MAX(0,MIN($AE183,$AD183-SUM($AG183:AH183))),0)</f>
        <v>0</v>
      </c>
      <c r="AJ183" s="8">
        <f>IF($O183="Aktif",MAX(0,MIN($AE183,$AD183-SUM($AG183:AI183))),0)</f>
        <v>0</v>
      </c>
      <c r="AK183" s="8">
        <f>IF($O183="Aktif",MAX(0,MIN($AE183,$AD183-SUM($AG183:AJ183))),0)</f>
        <v>0</v>
      </c>
      <c r="AL183" s="8">
        <f>IF($O183="Aktif",MAX(0,MIN($AE183,$AD183-SUM($AG183:AK183))),0)</f>
        <v>0</v>
      </c>
      <c r="AM183" s="8">
        <f>IF($O183="Aktif",MAX(0,MIN($AE183,$AD183-SUM($AG183:AL183))),0)</f>
        <v>0</v>
      </c>
      <c r="AN183" s="8">
        <f>IF($O183="Aktif",MAX(0,MIN($AE183,$AD183-SUM($AG183:AM183))),0)</f>
        <v>0</v>
      </c>
      <c r="AO183" s="8">
        <f>IF($O183="Aktif",MAX(0,MIN($AE183,$AD183-SUM($AG183:AN183))),0)</f>
        <v>0</v>
      </c>
      <c r="AP183" s="8">
        <f>IF($O183="Aktif",MAX(0,MIN($AE183,$AD183-SUM($AG183:AO183))),0)</f>
        <v>0</v>
      </c>
      <c r="AQ183" s="8">
        <f>IF($O183="Aktif",MAX(0,MIN($AE183,$AD183-SUM($AG183:AP183))),0)</f>
        <v>0</v>
      </c>
      <c r="AR183" s="8">
        <f>IF($O183="Aktif",MAX(0,MIN($AE183,$AD183-SUM($AG183:AQ183))),0)</f>
        <v>0</v>
      </c>
      <c r="AS183" s="8">
        <f>IF($O183="Aktif",MAX(0,MIN($AE183,$AD183-SUM($AG183:AR183))),0)</f>
        <v>0</v>
      </c>
      <c r="AT183" s="8">
        <f>IF($O183="Aktif",MAX(0,MIN($AE183,$AD183-SUM($AG183:AS183))),0)</f>
        <v>0</v>
      </c>
      <c r="AU183" s="8">
        <f>IF($O183="Aktif",MAX(0,MIN($AE183,$AD183-SUM($AG183:AT183))),0)</f>
        <v>0</v>
      </c>
      <c r="AV183" s="8">
        <f>IF($O183="Aktif",MAX(0,MIN($AE183,$AD183-SUM($AG183:AU183))),0)</f>
        <v>0</v>
      </c>
      <c r="AW183" s="8">
        <f t="shared" si="19"/>
        <v>0</v>
      </c>
      <c r="AX183" s="8">
        <f t="shared" si="20"/>
        <v>0</v>
      </c>
    </row>
    <row r="184" spans="1:50" ht="15" customHeight="1" x14ac:dyDescent="0.35">
      <c r="A184" s="102">
        <v>178</v>
      </c>
      <c r="B184" s="102" t="s">
        <v>586</v>
      </c>
      <c r="C184" s="103">
        <v>116</v>
      </c>
      <c r="D184" s="102" t="s">
        <v>184</v>
      </c>
      <c r="E184" s="102" t="s">
        <v>540</v>
      </c>
      <c r="F184" s="102" t="s">
        <v>872</v>
      </c>
      <c r="G184" s="102" t="s">
        <v>873</v>
      </c>
      <c r="H184" s="102" t="s">
        <v>874</v>
      </c>
      <c r="I184" s="102" t="s">
        <v>90</v>
      </c>
      <c r="J184" s="102" t="s">
        <v>882</v>
      </c>
      <c r="K184" s="102" t="s">
        <v>883</v>
      </c>
      <c r="L184" s="104">
        <v>43186</v>
      </c>
      <c r="M184" s="102" t="s">
        <v>624</v>
      </c>
      <c r="N184" s="102" t="s">
        <v>884</v>
      </c>
      <c r="O184" s="102" t="s">
        <v>383</v>
      </c>
      <c r="P184" s="103">
        <v>1</v>
      </c>
      <c r="Q184" s="105">
        <v>3350000</v>
      </c>
      <c r="R184" s="103">
        <v>96</v>
      </c>
      <c r="S184" s="105">
        <v>34895.833333333299</v>
      </c>
      <c r="T184" s="105">
        <v>3280208.3333333302</v>
      </c>
      <c r="U184" s="105">
        <v>34895.833333333299</v>
      </c>
      <c r="V184" s="105">
        <v>34895.833333333299</v>
      </c>
      <c r="W184" s="105">
        <v>0</v>
      </c>
      <c r="X184" s="105">
        <v>0</v>
      </c>
      <c r="Y184" s="105">
        <v>0</v>
      </c>
      <c r="Z184" s="105">
        <v>0</v>
      </c>
      <c r="AA184" s="105">
        <v>0</v>
      </c>
      <c r="AB184" s="105">
        <v>0</v>
      </c>
      <c r="AC184" s="8">
        <f t="shared" si="14"/>
        <v>3349999.9999999967</v>
      </c>
      <c r="AD184" s="8">
        <f t="shared" si="15"/>
        <v>0</v>
      </c>
      <c r="AE184" s="8">
        <f t="shared" si="16"/>
        <v>0</v>
      </c>
      <c r="AF184" s="106">
        <f t="shared" si="17"/>
        <v>0</v>
      </c>
      <c r="AG184" s="8">
        <f t="shared" si="18"/>
        <v>0</v>
      </c>
      <c r="AH184" s="8">
        <f>IF($O184="Aktif",MAX(0,MIN($AE184,$AD184-SUM($AG184:AG184))),0)</f>
        <v>0</v>
      </c>
      <c r="AI184" s="8">
        <f>IF($O184="Aktif",MAX(0,MIN($AE184,$AD184-SUM($AG184:AH184))),0)</f>
        <v>0</v>
      </c>
      <c r="AJ184" s="8">
        <f>IF($O184="Aktif",MAX(0,MIN($AE184,$AD184-SUM($AG184:AI184))),0)</f>
        <v>0</v>
      </c>
      <c r="AK184" s="8">
        <f>IF($O184="Aktif",MAX(0,MIN($AE184,$AD184-SUM($AG184:AJ184))),0)</f>
        <v>0</v>
      </c>
      <c r="AL184" s="8">
        <f>IF($O184="Aktif",MAX(0,MIN($AE184,$AD184-SUM($AG184:AK184))),0)</f>
        <v>0</v>
      </c>
      <c r="AM184" s="8">
        <f>IF($O184="Aktif",MAX(0,MIN($AE184,$AD184-SUM($AG184:AL184))),0)</f>
        <v>0</v>
      </c>
      <c r="AN184" s="8">
        <f>IF($O184="Aktif",MAX(0,MIN($AE184,$AD184-SUM($AG184:AM184))),0)</f>
        <v>0</v>
      </c>
      <c r="AO184" s="8">
        <f>IF($O184="Aktif",MAX(0,MIN($AE184,$AD184-SUM($AG184:AN184))),0)</f>
        <v>0</v>
      </c>
      <c r="AP184" s="8">
        <f>IF($O184="Aktif",MAX(0,MIN($AE184,$AD184-SUM($AG184:AO184))),0)</f>
        <v>0</v>
      </c>
      <c r="AQ184" s="8">
        <f>IF($O184="Aktif",MAX(0,MIN($AE184,$AD184-SUM($AG184:AP184))),0)</f>
        <v>0</v>
      </c>
      <c r="AR184" s="8">
        <f>IF($O184="Aktif",MAX(0,MIN($AE184,$AD184-SUM($AG184:AQ184))),0)</f>
        <v>0</v>
      </c>
      <c r="AS184" s="8">
        <f>IF($O184="Aktif",MAX(0,MIN($AE184,$AD184-SUM($AG184:AR184))),0)</f>
        <v>0</v>
      </c>
      <c r="AT184" s="8">
        <f>IF($O184="Aktif",MAX(0,MIN($AE184,$AD184-SUM($AG184:AS184))),0)</f>
        <v>0</v>
      </c>
      <c r="AU184" s="8">
        <f>IF($O184="Aktif",MAX(0,MIN($AE184,$AD184-SUM($AG184:AT184))),0)</f>
        <v>0</v>
      </c>
      <c r="AV184" s="8">
        <f>IF($O184="Aktif",MAX(0,MIN($AE184,$AD184-SUM($AG184:AU184))),0)</f>
        <v>0</v>
      </c>
      <c r="AW184" s="8">
        <f t="shared" si="19"/>
        <v>0</v>
      </c>
      <c r="AX184" s="8">
        <f t="shared" si="20"/>
        <v>0</v>
      </c>
    </row>
    <row r="185" spans="1:50" ht="15" customHeight="1" x14ac:dyDescent="0.35">
      <c r="A185" s="102">
        <v>179</v>
      </c>
      <c r="B185" s="102" t="s">
        <v>586</v>
      </c>
      <c r="C185" s="103">
        <v>117</v>
      </c>
      <c r="D185" s="102" t="s">
        <v>184</v>
      </c>
      <c r="E185" s="102" t="s">
        <v>540</v>
      </c>
      <c r="F185" s="102" t="s">
        <v>872</v>
      </c>
      <c r="G185" s="102" t="s">
        <v>873</v>
      </c>
      <c r="H185" s="102" t="s">
        <v>874</v>
      </c>
      <c r="I185" s="102" t="s">
        <v>90</v>
      </c>
      <c r="J185" s="102" t="s">
        <v>885</v>
      </c>
      <c r="K185" s="102" t="s">
        <v>886</v>
      </c>
      <c r="L185" s="104">
        <v>43189</v>
      </c>
      <c r="M185" s="102" t="s">
        <v>658</v>
      </c>
      <c r="N185" s="102" t="s">
        <v>887</v>
      </c>
      <c r="O185" s="102" t="s">
        <v>383</v>
      </c>
      <c r="P185" s="103">
        <v>1</v>
      </c>
      <c r="Q185" s="105">
        <v>27650000</v>
      </c>
      <c r="R185" s="103">
        <v>96</v>
      </c>
      <c r="S185" s="105">
        <v>288020.83333333302</v>
      </c>
      <c r="T185" s="105">
        <v>27073958.333333299</v>
      </c>
      <c r="U185" s="105">
        <v>288020.83333333302</v>
      </c>
      <c r="V185" s="105">
        <v>288020.83333333302</v>
      </c>
      <c r="W185" s="105">
        <v>0</v>
      </c>
      <c r="X185" s="105">
        <v>0</v>
      </c>
      <c r="Y185" s="105">
        <v>0</v>
      </c>
      <c r="Z185" s="105">
        <v>0</v>
      </c>
      <c r="AA185" s="105">
        <v>0</v>
      </c>
      <c r="AB185" s="105">
        <v>0</v>
      </c>
      <c r="AC185" s="8">
        <f t="shared" si="14"/>
        <v>27649999.999999963</v>
      </c>
      <c r="AD185" s="8">
        <f t="shared" si="15"/>
        <v>3.7252902984619141E-8</v>
      </c>
      <c r="AE185" s="8">
        <f t="shared" si="16"/>
        <v>0</v>
      </c>
      <c r="AF185" s="106">
        <f t="shared" si="17"/>
        <v>0</v>
      </c>
      <c r="AG185" s="8">
        <f t="shared" si="18"/>
        <v>0</v>
      </c>
      <c r="AH185" s="8">
        <f>IF($O185="Aktif",MAX(0,MIN($AE185,$AD185-SUM($AG185:AG185))),0)</f>
        <v>0</v>
      </c>
      <c r="AI185" s="8">
        <f>IF($O185="Aktif",MAX(0,MIN($AE185,$AD185-SUM($AG185:AH185))),0)</f>
        <v>0</v>
      </c>
      <c r="AJ185" s="8">
        <f>IF($O185="Aktif",MAX(0,MIN($AE185,$AD185-SUM($AG185:AI185))),0)</f>
        <v>0</v>
      </c>
      <c r="AK185" s="8">
        <f>IF($O185="Aktif",MAX(0,MIN($AE185,$AD185-SUM($AG185:AJ185))),0)</f>
        <v>0</v>
      </c>
      <c r="AL185" s="8">
        <f>IF($O185="Aktif",MAX(0,MIN($AE185,$AD185-SUM($AG185:AK185))),0)</f>
        <v>0</v>
      </c>
      <c r="AM185" s="8">
        <f>IF($O185="Aktif",MAX(0,MIN($AE185,$AD185-SUM($AG185:AL185))),0)</f>
        <v>0</v>
      </c>
      <c r="AN185" s="8">
        <f>IF($O185="Aktif",MAX(0,MIN($AE185,$AD185-SUM($AG185:AM185))),0)</f>
        <v>0</v>
      </c>
      <c r="AO185" s="8">
        <f>IF($O185="Aktif",MAX(0,MIN($AE185,$AD185-SUM($AG185:AN185))),0)</f>
        <v>0</v>
      </c>
      <c r="AP185" s="8">
        <f>IF($O185="Aktif",MAX(0,MIN($AE185,$AD185-SUM($AG185:AO185))),0)</f>
        <v>0</v>
      </c>
      <c r="AQ185" s="8">
        <f>IF($O185="Aktif",MAX(0,MIN($AE185,$AD185-SUM($AG185:AP185))),0)</f>
        <v>0</v>
      </c>
      <c r="AR185" s="8">
        <f>IF($O185="Aktif",MAX(0,MIN($AE185,$AD185-SUM($AG185:AQ185))),0)</f>
        <v>0</v>
      </c>
      <c r="AS185" s="8">
        <f>IF($O185="Aktif",MAX(0,MIN($AE185,$AD185-SUM($AG185:AR185))),0)</f>
        <v>0</v>
      </c>
      <c r="AT185" s="8">
        <f>IF($O185="Aktif",MAX(0,MIN($AE185,$AD185-SUM($AG185:AS185))),0)</f>
        <v>0</v>
      </c>
      <c r="AU185" s="8">
        <f>IF($O185="Aktif",MAX(0,MIN($AE185,$AD185-SUM($AG185:AT185))),0)</f>
        <v>0</v>
      </c>
      <c r="AV185" s="8">
        <f>IF($O185="Aktif",MAX(0,MIN($AE185,$AD185-SUM($AG185:AU185))),0)</f>
        <v>0</v>
      </c>
      <c r="AW185" s="8">
        <f t="shared" si="19"/>
        <v>0</v>
      </c>
      <c r="AX185" s="8">
        <f t="shared" si="20"/>
        <v>3.7252902984619141E-8</v>
      </c>
    </row>
    <row r="186" spans="1:50" ht="15" customHeight="1" x14ac:dyDescent="0.35">
      <c r="A186" s="102">
        <v>180</v>
      </c>
      <c r="B186" s="102" t="s">
        <v>586</v>
      </c>
      <c r="C186" s="103">
        <v>118</v>
      </c>
      <c r="D186" s="102" t="s">
        <v>184</v>
      </c>
      <c r="E186" s="102" t="s">
        <v>540</v>
      </c>
      <c r="F186" s="102" t="s">
        <v>872</v>
      </c>
      <c r="G186" s="102" t="s">
        <v>873</v>
      </c>
      <c r="H186" s="102" t="s">
        <v>874</v>
      </c>
      <c r="I186" s="102" t="s">
        <v>90</v>
      </c>
      <c r="J186" s="102" t="s">
        <v>888</v>
      </c>
      <c r="K186" s="102" t="s">
        <v>889</v>
      </c>
      <c r="L186" s="104">
        <v>43189</v>
      </c>
      <c r="M186" s="102" t="s">
        <v>890</v>
      </c>
      <c r="N186" s="102" t="s">
        <v>891</v>
      </c>
      <c r="O186" s="102" t="s">
        <v>383</v>
      </c>
      <c r="P186" s="103">
        <v>2</v>
      </c>
      <c r="Q186" s="105">
        <v>216150000</v>
      </c>
      <c r="R186" s="103">
        <v>96</v>
      </c>
      <c r="S186" s="105">
        <v>2251562.5</v>
      </c>
      <c r="T186" s="105">
        <v>211646875</v>
      </c>
      <c r="U186" s="105">
        <v>2251562.5</v>
      </c>
      <c r="V186" s="105">
        <v>2251562.5</v>
      </c>
      <c r="W186" s="105">
        <v>0</v>
      </c>
      <c r="X186" s="105">
        <v>0</v>
      </c>
      <c r="Y186" s="105">
        <v>0</v>
      </c>
      <c r="Z186" s="105">
        <v>0</v>
      </c>
      <c r="AA186" s="105">
        <v>0</v>
      </c>
      <c r="AB186" s="105">
        <v>0</v>
      </c>
      <c r="AC186" s="8">
        <f t="shared" si="14"/>
        <v>216150000</v>
      </c>
      <c r="AD186" s="8">
        <f t="shared" si="15"/>
        <v>0</v>
      </c>
      <c r="AE186" s="8">
        <f t="shared" si="16"/>
        <v>0</v>
      </c>
      <c r="AF186" s="106">
        <f t="shared" si="17"/>
        <v>0</v>
      </c>
      <c r="AG186" s="8">
        <f t="shared" si="18"/>
        <v>0</v>
      </c>
      <c r="AH186" s="8">
        <f>IF($O186="Aktif",MAX(0,MIN($AE186,$AD186-SUM($AG186:AG186))),0)</f>
        <v>0</v>
      </c>
      <c r="AI186" s="8">
        <f>IF($O186="Aktif",MAX(0,MIN($AE186,$AD186-SUM($AG186:AH186))),0)</f>
        <v>0</v>
      </c>
      <c r="AJ186" s="8">
        <f>IF($O186="Aktif",MAX(0,MIN($AE186,$AD186-SUM($AG186:AI186))),0)</f>
        <v>0</v>
      </c>
      <c r="AK186" s="8">
        <f>IF($O186="Aktif",MAX(0,MIN($AE186,$AD186-SUM($AG186:AJ186))),0)</f>
        <v>0</v>
      </c>
      <c r="AL186" s="8">
        <f>IF($O186="Aktif",MAX(0,MIN($AE186,$AD186-SUM($AG186:AK186))),0)</f>
        <v>0</v>
      </c>
      <c r="AM186" s="8">
        <f>IF($O186="Aktif",MAX(0,MIN($AE186,$AD186-SUM($AG186:AL186))),0)</f>
        <v>0</v>
      </c>
      <c r="AN186" s="8">
        <f>IF($O186="Aktif",MAX(0,MIN($AE186,$AD186-SUM($AG186:AM186))),0)</f>
        <v>0</v>
      </c>
      <c r="AO186" s="8">
        <f>IF($O186="Aktif",MAX(0,MIN($AE186,$AD186-SUM($AG186:AN186))),0)</f>
        <v>0</v>
      </c>
      <c r="AP186" s="8">
        <f>IF($O186="Aktif",MAX(0,MIN($AE186,$AD186-SUM($AG186:AO186))),0)</f>
        <v>0</v>
      </c>
      <c r="AQ186" s="8">
        <f>IF($O186="Aktif",MAX(0,MIN($AE186,$AD186-SUM($AG186:AP186))),0)</f>
        <v>0</v>
      </c>
      <c r="AR186" s="8">
        <f>IF($O186="Aktif",MAX(0,MIN($AE186,$AD186-SUM($AG186:AQ186))),0)</f>
        <v>0</v>
      </c>
      <c r="AS186" s="8">
        <f>IF($O186="Aktif",MAX(0,MIN($AE186,$AD186-SUM($AG186:AR186))),0)</f>
        <v>0</v>
      </c>
      <c r="AT186" s="8">
        <f>IF($O186="Aktif",MAX(0,MIN($AE186,$AD186-SUM($AG186:AS186))),0)</f>
        <v>0</v>
      </c>
      <c r="AU186" s="8">
        <f>IF($O186="Aktif",MAX(0,MIN($AE186,$AD186-SUM($AG186:AT186))),0)</f>
        <v>0</v>
      </c>
      <c r="AV186" s="8">
        <f>IF($O186="Aktif",MAX(0,MIN($AE186,$AD186-SUM($AG186:AU186))),0)</f>
        <v>0</v>
      </c>
      <c r="AW186" s="8">
        <f t="shared" si="19"/>
        <v>0</v>
      </c>
      <c r="AX186" s="8">
        <f t="shared" si="20"/>
        <v>0</v>
      </c>
    </row>
    <row r="187" spans="1:50" ht="15" customHeight="1" x14ac:dyDescent="0.35">
      <c r="A187" s="102">
        <v>181</v>
      </c>
      <c r="B187" s="102" t="s">
        <v>586</v>
      </c>
      <c r="C187" s="103">
        <v>119</v>
      </c>
      <c r="D187" s="102" t="s">
        <v>184</v>
      </c>
      <c r="E187" s="102" t="s">
        <v>540</v>
      </c>
      <c r="F187" s="102" t="s">
        <v>872</v>
      </c>
      <c r="G187" s="102" t="s">
        <v>873</v>
      </c>
      <c r="H187" s="102" t="s">
        <v>874</v>
      </c>
      <c r="I187" s="102" t="s">
        <v>90</v>
      </c>
      <c r="J187" s="102" t="s">
        <v>892</v>
      </c>
      <c r="K187" s="102" t="s">
        <v>893</v>
      </c>
      <c r="L187" s="104">
        <v>43220</v>
      </c>
      <c r="M187" s="102" t="s">
        <v>894</v>
      </c>
      <c r="N187" s="102" t="s">
        <v>895</v>
      </c>
      <c r="O187" s="102" t="s">
        <v>383</v>
      </c>
      <c r="P187" s="103">
        <v>1</v>
      </c>
      <c r="Q187" s="105">
        <v>5000000</v>
      </c>
      <c r="R187" s="103">
        <v>96</v>
      </c>
      <c r="S187" s="105">
        <v>52083.333333333299</v>
      </c>
      <c r="T187" s="105">
        <v>4843750</v>
      </c>
      <c r="U187" s="105">
        <v>52083.333333333299</v>
      </c>
      <c r="V187" s="105">
        <v>52083.333333333299</v>
      </c>
      <c r="W187" s="105">
        <v>52083.333333333299</v>
      </c>
      <c r="X187" s="105">
        <v>0</v>
      </c>
      <c r="Y187" s="105">
        <v>0</v>
      </c>
      <c r="Z187" s="105">
        <v>0</v>
      </c>
      <c r="AA187" s="105">
        <v>0</v>
      </c>
      <c r="AB187" s="105">
        <v>0</v>
      </c>
      <c r="AC187" s="8">
        <f t="shared" si="14"/>
        <v>5000000</v>
      </c>
      <c r="AD187" s="8">
        <f t="shared" si="15"/>
        <v>0</v>
      </c>
      <c r="AE187" s="8">
        <f t="shared" si="16"/>
        <v>0</v>
      </c>
      <c r="AF187" s="106">
        <f t="shared" si="17"/>
        <v>0</v>
      </c>
      <c r="AG187" s="8">
        <f t="shared" si="18"/>
        <v>0</v>
      </c>
      <c r="AH187" s="8">
        <f>IF($O187="Aktif",MAX(0,MIN($AE187,$AD187-SUM($AG187:AG187))),0)</f>
        <v>0</v>
      </c>
      <c r="AI187" s="8">
        <f>IF($O187="Aktif",MAX(0,MIN($AE187,$AD187-SUM($AG187:AH187))),0)</f>
        <v>0</v>
      </c>
      <c r="AJ187" s="8">
        <f>IF($O187="Aktif",MAX(0,MIN($AE187,$AD187-SUM($AG187:AI187))),0)</f>
        <v>0</v>
      </c>
      <c r="AK187" s="8">
        <f>IF($O187="Aktif",MAX(0,MIN($AE187,$AD187-SUM($AG187:AJ187))),0)</f>
        <v>0</v>
      </c>
      <c r="AL187" s="8">
        <f>IF($O187="Aktif",MAX(0,MIN($AE187,$AD187-SUM($AG187:AK187))),0)</f>
        <v>0</v>
      </c>
      <c r="AM187" s="8">
        <f>IF($O187="Aktif",MAX(0,MIN($AE187,$AD187-SUM($AG187:AL187))),0)</f>
        <v>0</v>
      </c>
      <c r="AN187" s="8">
        <f>IF($O187="Aktif",MAX(0,MIN($AE187,$AD187-SUM($AG187:AM187))),0)</f>
        <v>0</v>
      </c>
      <c r="AO187" s="8">
        <f>IF($O187="Aktif",MAX(0,MIN($AE187,$AD187-SUM($AG187:AN187))),0)</f>
        <v>0</v>
      </c>
      <c r="AP187" s="8">
        <f>IF($O187="Aktif",MAX(0,MIN($AE187,$AD187-SUM($AG187:AO187))),0)</f>
        <v>0</v>
      </c>
      <c r="AQ187" s="8">
        <f>IF($O187="Aktif",MAX(0,MIN($AE187,$AD187-SUM($AG187:AP187))),0)</f>
        <v>0</v>
      </c>
      <c r="AR187" s="8">
        <f>IF($O187="Aktif",MAX(0,MIN($AE187,$AD187-SUM($AG187:AQ187))),0)</f>
        <v>0</v>
      </c>
      <c r="AS187" s="8">
        <f>IF($O187="Aktif",MAX(0,MIN($AE187,$AD187-SUM($AG187:AR187))),0)</f>
        <v>0</v>
      </c>
      <c r="AT187" s="8">
        <f>IF($O187="Aktif",MAX(0,MIN($AE187,$AD187-SUM($AG187:AS187))),0)</f>
        <v>0</v>
      </c>
      <c r="AU187" s="8">
        <f>IF($O187="Aktif",MAX(0,MIN($AE187,$AD187-SUM($AG187:AT187))),0)</f>
        <v>0</v>
      </c>
      <c r="AV187" s="8">
        <f>IF($O187="Aktif",MAX(0,MIN($AE187,$AD187-SUM($AG187:AU187))),0)</f>
        <v>0</v>
      </c>
      <c r="AW187" s="8">
        <f t="shared" si="19"/>
        <v>0</v>
      </c>
      <c r="AX187" s="8">
        <f t="shared" si="20"/>
        <v>0</v>
      </c>
    </row>
    <row r="188" spans="1:50" ht="15" customHeight="1" x14ac:dyDescent="0.35">
      <c r="A188" s="102">
        <v>182</v>
      </c>
      <c r="B188" s="102" t="s">
        <v>586</v>
      </c>
      <c r="C188" s="103">
        <v>120</v>
      </c>
      <c r="D188" s="102" t="s">
        <v>184</v>
      </c>
      <c r="E188" s="102" t="s">
        <v>587</v>
      </c>
      <c r="F188" s="102" t="s">
        <v>588</v>
      </c>
      <c r="G188" s="102" t="s">
        <v>589</v>
      </c>
      <c r="H188" s="102" t="s">
        <v>590</v>
      </c>
      <c r="I188" s="102" t="s">
        <v>90</v>
      </c>
      <c r="J188" s="102" t="s">
        <v>896</v>
      </c>
      <c r="K188" s="102" t="s">
        <v>591</v>
      </c>
      <c r="L188" s="104">
        <v>43259</v>
      </c>
      <c r="M188" s="102" t="s">
        <v>897</v>
      </c>
      <c r="N188" s="102" t="s">
        <v>898</v>
      </c>
      <c r="O188" s="102" t="s">
        <v>383</v>
      </c>
      <c r="P188" s="103">
        <v>1</v>
      </c>
      <c r="Q188" s="105">
        <v>825000</v>
      </c>
      <c r="R188" s="103">
        <v>48</v>
      </c>
      <c r="S188" s="105">
        <v>17187.5</v>
      </c>
      <c r="T188" s="105">
        <v>670312.5</v>
      </c>
      <c r="U188" s="105">
        <v>0</v>
      </c>
      <c r="V188" s="105">
        <v>0</v>
      </c>
      <c r="W188" s="105">
        <v>0</v>
      </c>
      <c r="X188" s="105">
        <v>0</v>
      </c>
      <c r="Y188" s="105">
        <v>0</v>
      </c>
      <c r="Z188" s="105">
        <v>0</v>
      </c>
      <c r="AA188" s="105">
        <v>0</v>
      </c>
      <c r="AB188" s="105">
        <v>0</v>
      </c>
      <c r="AC188" s="8">
        <f t="shared" si="14"/>
        <v>670312.5</v>
      </c>
      <c r="AD188" s="8">
        <f t="shared" si="15"/>
        <v>154687.5</v>
      </c>
      <c r="AE188" s="8">
        <f t="shared" si="16"/>
        <v>0</v>
      </c>
      <c r="AF188" s="106">
        <f t="shared" si="17"/>
        <v>0</v>
      </c>
      <c r="AG188" s="8">
        <f t="shared" si="18"/>
        <v>0</v>
      </c>
      <c r="AH188" s="8">
        <f>IF($O188="Aktif",MAX(0,MIN($AE188,$AD188-SUM($AG188:AG188))),0)</f>
        <v>0</v>
      </c>
      <c r="AI188" s="8">
        <f>IF($O188="Aktif",MAX(0,MIN($AE188,$AD188-SUM($AG188:AH188))),0)</f>
        <v>0</v>
      </c>
      <c r="AJ188" s="8">
        <f>IF($O188="Aktif",MAX(0,MIN($AE188,$AD188-SUM($AG188:AI188))),0)</f>
        <v>0</v>
      </c>
      <c r="AK188" s="8">
        <f>IF($O188="Aktif",MAX(0,MIN($AE188,$AD188-SUM($AG188:AJ188))),0)</f>
        <v>0</v>
      </c>
      <c r="AL188" s="8">
        <f>IF($O188="Aktif",MAX(0,MIN($AE188,$AD188-SUM($AG188:AK188))),0)</f>
        <v>0</v>
      </c>
      <c r="AM188" s="8">
        <f>IF($O188="Aktif",MAX(0,MIN($AE188,$AD188-SUM($AG188:AL188))),0)</f>
        <v>0</v>
      </c>
      <c r="AN188" s="8">
        <f>IF($O188="Aktif",MAX(0,MIN($AE188,$AD188-SUM($AG188:AM188))),0)</f>
        <v>0</v>
      </c>
      <c r="AO188" s="8">
        <f>IF($O188="Aktif",MAX(0,MIN($AE188,$AD188-SUM($AG188:AN188))),0)</f>
        <v>0</v>
      </c>
      <c r="AP188" s="8">
        <f>IF($O188="Aktif",MAX(0,MIN($AE188,$AD188-SUM($AG188:AO188))),0)</f>
        <v>0</v>
      </c>
      <c r="AQ188" s="8">
        <f>IF($O188="Aktif",MAX(0,MIN($AE188,$AD188-SUM($AG188:AP188))),0)</f>
        <v>0</v>
      </c>
      <c r="AR188" s="8">
        <f>IF($O188="Aktif",MAX(0,MIN($AE188,$AD188-SUM($AG188:AQ188))),0)</f>
        <v>0</v>
      </c>
      <c r="AS188" s="8">
        <f>IF($O188="Aktif",MAX(0,MIN($AE188,$AD188-SUM($AG188:AR188))),0)</f>
        <v>0</v>
      </c>
      <c r="AT188" s="8">
        <f>IF($O188="Aktif",MAX(0,MIN($AE188,$AD188-SUM($AG188:AS188))),0)</f>
        <v>0</v>
      </c>
      <c r="AU188" s="8">
        <f>IF($O188="Aktif",MAX(0,MIN($AE188,$AD188-SUM($AG188:AT188))),0)</f>
        <v>0</v>
      </c>
      <c r="AV188" s="8">
        <f>IF($O188="Aktif",MAX(0,MIN($AE188,$AD188-SUM($AG188:AU188))),0)</f>
        <v>0</v>
      </c>
      <c r="AW188" s="8">
        <f t="shared" si="19"/>
        <v>0</v>
      </c>
      <c r="AX188" s="8">
        <f t="shared" si="20"/>
        <v>154687.5</v>
      </c>
    </row>
    <row r="189" spans="1:50" ht="15" customHeight="1" x14ac:dyDescent="0.35">
      <c r="A189" s="102">
        <v>183</v>
      </c>
      <c r="B189" s="102" t="s">
        <v>586</v>
      </c>
      <c r="C189" s="103">
        <v>121</v>
      </c>
      <c r="D189" s="102" t="s">
        <v>184</v>
      </c>
      <c r="E189" s="102" t="s">
        <v>587</v>
      </c>
      <c r="F189" s="102" t="s">
        <v>588</v>
      </c>
      <c r="G189" s="102" t="s">
        <v>589</v>
      </c>
      <c r="H189" s="102" t="s">
        <v>590</v>
      </c>
      <c r="I189" s="102" t="s">
        <v>90</v>
      </c>
      <c r="J189" s="102"/>
      <c r="K189" s="102" t="s">
        <v>591</v>
      </c>
      <c r="L189" s="102" t="s">
        <v>899</v>
      </c>
      <c r="M189" s="102" t="s">
        <v>900</v>
      </c>
      <c r="N189" s="102" t="s">
        <v>901</v>
      </c>
      <c r="O189" s="102" t="s">
        <v>570</v>
      </c>
      <c r="P189" s="103">
        <v>1</v>
      </c>
      <c r="Q189" s="105">
        <v>-825000</v>
      </c>
      <c r="R189" s="102"/>
      <c r="S189" s="105">
        <v>0</v>
      </c>
      <c r="T189" s="105">
        <v>-670312.5</v>
      </c>
      <c r="U189" s="105">
        <v>0</v>
      </c>
      <c r="V189" s="105">
        <v>0</v>
      </c>
      <c r="W189" s="105">
        <v>0</v>
      </c>
      <c r="X189" s="105">
        <v>0</v>
      </c>
      <c r="Y189" s="105">
        <v>0</v>
      </c>
      <c r="Z189" s="105">
        <v>0</v>
      </c>
      <c r="AA189" s="105">
        <v>0</v>
      </c>
      <c r="AB189" s="105">
        <v>0</v>
      </c>
      <c r="AC189" s="8">
        <f t="shared" si="14"/>
        <v>-670312.5</v>
      </c>
      <c r="AD189" s="8">
        <f t="shared" si="15"/>
        <v>-154687.5</v>
      </c>
      <c r="AE189" s="8">
        <f t="shared" si="16"/>
        <v>0</v>
      </c>
      <c r="AF189" s="106">
        <f t="shared" si="17"/>
        <v>0</v>
      </c>
      <c r="AG189" s="8">
        <f t="shared" si="18"/>
        <v>0</v>
      </c>
      <c r="AH189" s="8">
        <f>IF($O189="Aktif",MAX(0,MIN($AE189,$AD189-SUM($AG189:AG189))),0)</f>
        <v>0</v>
      </c>
      <c r="AI189" s="8">
        <f>IF($O189="Aktif",MAX(0,MIN($AE189,$AD189-SUM($AG189:AH189))),0)</f>
        <v>0</v>
      </c>
      <c r="AJ189" s="8">
        <f>IF($O189="Aktif",MAX(0,MIN($AE189,$AD189-SUM($AG189:AI189))),0)</f>
        <v>0</v>
      </c>
      <c r="AK189" s="8">
        <f>IF($O189="Aktif",MAX(0,MIN($AE189,$AD189-SUM($AG189:AJ189))),0)</f>
        <v>0</v>
      </c>
      <c r="AL189" s="8">
        <f>IF($O189="Aktif",MAX(0,MIN($AE189,$AD189-SUM($AG189:AK189))),0)</f>
        <v>0</v>
      </c>
      <c r="AM189" s="8">
        <f>IF($O189="Aktif",MAX(0,MIN($AE189,$AD189-SUM($AG189:AL189))),0)</f>
        <v>0</v>
      </c>
      <c r="AN189" s="8">
        <f>IF($O189="Aktif",MAX(0,MIN($AE189,$AD189-SUM($AG189:AM189))),0)</f>
        <v>0</v>
      </c>
      <c r="AO189" s="8">
        <f>IF($O189="Aktif",MAX(0,MIN($AE189,$AD189-SUM($AG189:AN189))),0)</f>
        <v>0</v>
      </c>
      <c r="AP189" s="8">
        <f>IF($O189="Aktif",MAX(0,MIN($AE189,$AD189-SUM($AG189:AO189))),0)</f>
        <v>0</v>
      </c>
      <c r="AQ189" s="8">
        <f>IF($O189="Aktif",MAX(0,MIN($AE189,$AD189-SUM($AG189:AP189))),0)</f>
        <v>0</v>
      </c>
      <c r="AR189" s="8">
        <f>IF($O189="Aktif",MAX(0,MIN($AE189,$AD189-SUM($AG189:AQ189))),0)</f>
        <v>0</v>
      </c>
      <c r="AS189" s="8">
        <f>IF($O189="Aktif",MAX(0,MIN($AE189,$AD189-SUM($AG189:AR189))),0)</f>
        <v>0</v>
      </c>
      <c r="AT189" s="8">
        <f>IF($O189="Aktif",MAX(0,MIN($AE189,$AD189-SUM($AG189:AS189))),0)</f>
        <v>0</v>
      </c>
      <c r="AU189" s="8">
        <f>IF($O189="Aktif",MAX(0,MIN($AE189,$AD189-SUM($AG189:AT189))),0)</f>
        <v>0</v>
      </c>
      <c r="AV189" s="8">
        <f>IF($O189="Aktif",MAX(0,MIN($AE189,$AD189-SUM($AG189:AU189))),0)</f>
        <v>0</v>
      </c>
      <c r="AW189" s="8">
        <f t="shared" si="19"/>
        <v>0</v>
      </c>
      <c r="AX189" s="8">
        <f t="shared" si="20"/>
        <v>-154687.5</v>
      </c>
    </row>
    <row r="190" spans="1:50" ht="15" customHeight="1" x14ac:dyDescent="0.35">
      <c r="A190" s="102">
        <v>184</v>
      </c>
      <c r="B190" s="102" t="s">
        <v>586</v>
      </c>
      <c r="C190" s="103">
        <v>122</v>
      </c>
      <c r="D190" s="102" t="s">
        <v>184</v>
      </c>
      <c r="E190" s="102" t="s">
        <v>587</v>
      </c>
      <c r="F190" s="102" t="s">
        <v>588</v>
      </c>
      <c r="G190" s="102" t="s">
        <v>589</v>
      </c>
      <c r="H190" s="102" t="s">
        <v>590</v>
      </c>
      <c r="I190" s="102" t="s">
        <v>90</v>
      </c>
      <c r="J190" s="102" t="s">
        <v>902</v>
      </c>
      <c r="K190" s="102" t="s">
        <v>591</v>
      </c>
      <c r="L190" s="104">
        <v>43308</v>
      </c>
      <c r="M190" s="102" t="s">
        <v>903</v>
      </c>
      <c r="N190" s="102" t="s">
        <v>904</v>
      </c>
      <c r="O190" s="102" t="s">
        <v>383</v>
      </c>
      <c r="P190" s="103">
        <v>1</v>
      </c>
      <c r="Q190" s="105">
        <v>1500000</v>
      </c>
      <c r="R190" s="103">
        <v>48</v>
      </c>
      <c r="S190" s="105">
        <v>31250</v>
      </c>
      <c r="T190" s="105">
        <v>1500000</v>
      </c>
      <c r="U190" s="105">
        <v>0</v>
      </c>
      <c r="V190" s="105">
        <v>0</v>
      </c>
      <c r="W190" s="105">
        <v>0</v>
      </c>
      <c r="X190" s="105">
        <v>0</v>
      </c>
      <c r="Y190" s="105">
        <v>0</v>
      </c>
      <c r="Z190" s="105">
        <v>0</v>
      </c>
      <c r="AA190" s="105">
        <v>0</v>
      </c>
      <c r="AB190" s="105">
        <v>0</v>
      </c>
      <c r="AC190" s="8">
        <f t="shared" si="14"/>
        <v>1500000</v>
      </c>
      <c r="AD190" s="8">
        <f t="shared" si="15"/>
        <v>0</v>
      </c>
      <c r="AE190" s="8">
        <f t="shared" si="16"/>
        <v>0</v>
      </c>
      <c r="AF190" s="106">
        <f t="shared" si="17"/>
        <v>0</v>
      </c>
      <c r="AG190" s="8">
        <f t="shared" si="18"/>
        <v>0</v>
      </c>
      <c r="AH190" s="8">
        <f>IF($O190="Aktif",MAX(0,MIN($AE190,$AD190-SUM($AG190:AG190))),0)</f>
        <v>0</v>
      </c>
      <c r="AI190" s="8">
        <f>IF($O190="Aktif",MAX(0,MIN($AE190,$AD190-SUM($AG190:AH190))),0)</f>
        <v>0</v>
      </c>
      <c r="AJ190" s="8">
        <f>IF($O190="Aktif",MAX(0,MIN($AE190,$AD190-SUM($AG190:AI190))),0)</f>
        <v>0</v>
      </c>
      <c r="AK190" s="8">
        <f>IF($O190="Aktif",MAX(0,MIN($AE190,$AD190-SUM($AG190:AJ190))),0)</f>
        <v>0</v>
      </c>
      <c r="AL190" s="8">
        <f>IF($O190="Aktif",MAX(0,MIN($AE190,$AD190-SUM($AG190:AK190))),0)</f>
        <v>0</v>
      </c>
      <c r="AM190" s="8">
        <f>IF($O190="Aktif",MAX(0,MIN($AE190,$AD190-SUM($AG190:AL190))),0)</f>
        <v>0</v>
      </c>
      <c r="AN190" s="8">
        <f>IF($O190="Aktif",MAX(0,MIN($AE190,$AD190-SUM($AG190:AM190))),0)</f>
        <v>0</v>
      </c>
      <c r="AO190" s="8">
        <f>IF($O190="Aktif",MAX(0,MIN($AE190,$AD190-SUM($AG190:AN190))),0)</f>
        <v>0</v>
      </c>
      <c r="AP190" s="8">
        <f>IF($O190="Aktif",MAX(0,MIN($AE190,$AD190-SUM($AG190:AO190))),0)</f>
        <v>0</v>
      </c>
      <c r="AQ190" s="8">
        <f>IF($O190="Aktif",MAX(0,MIN($AE190,$AD190-SUM($AG190:AP190))),0)</f>
        <v>0</v>
      </c>
      <c r="AR190" s="8">
        <f>IF($O190="Aktif",MAX(0,MIN($AE190,$AD190-SUM($AG190:AQ190))),0)</f>
        <v>0</v>
      </c>
      <c r="AS190" s="8">
        <f>IF($O190="Aktif",MAX(0,MIN($AE190,$AD190-SUM($AG190:AR190))),0)</f>
        <v>0</v>
      </c>
      <c r="AT190" s="8">
        <f>IF($O190="Aktif",MAX(0,MIN($AE190,$AD190-SUM($AG190:AS190))),0)</f>
        <v>0</v>
      </c>
      <c r="AU190" s="8">
        <f>IF($O190="Aktif",MAX(0,MIN($AE190,$AD190-SUM($AG190:AT190))),0)</f>
        <v>0</v>
      </c>
      <c r="AV190" s="8">
        <f>IF($O190="Aktif",MAX(0,MIN($AE190,$AD190-SUM($AG190:AU190))),0)</f>
        <v>0</v>
      </c>
      <c r="AW190" s="8">
        <f t="shared" si="19"/>
        <v>0</v>
      </c>
      <c r="AX190" s="8">
        <f t="shared" si="20"/>
        <v>0</v>
      </c>
    </row>
    <row r="191" spans="1:50" ht="15" customHeight="1" x14ac:dyDescent="0.35">
      <c r="A191" s="102">
        <v>185</v>
      </c>
      <c r="B191" s="102" t="s">
        <v>586</v>
      </c>
      <c r="C191" s="103">
        <v>123</v>
      </c>
      <c r="D191" s="102" t="s">
        <v>184</v>
      </c>
      <c r="E191" s="102" t="s">
        <v>587</v>
      </c>
      <c r="F191" s="102" t="s">
        <v>588</v>
      </c>
      <c r="G191" s="102" t="s">
        <v>589</v>
      </c>
      <c r="H191" s="102" t="s">
        <v>590</v>
      </c>
      <c r="I191" s="102" t="s">
        <v>90</v>
      </c>
      <c r="J191" s="102" t="s">
        <v>905</v>
      </c>
      <c r="K191" s="102" t="s">
        <v>591</v>
      </c>
      <c r="L191" s="104">
        <v>43312</v>
      </c>
      <c r="M191" s="102" t="s">
        <v>906</v>
      </c>
      <c r="N191" s="102" t="s">
        <v>907</v>
      </c>
      <c r="O191" s="102" t="s">
        <v>383</v>
      </c>
      <c r="P191" s="103">
        <v>1</v>
      </c>
      <c r="Q191" s="105">
        <v>350000</v>
      </c>
      <c r="R191" s="103">
        <v>48</v>
      </c>
      <c r="S191" s="105">
        <v>7291.6666666666697</v>
      </c>
      <c r="T191" s="105">
        <v>277083.33333333302</v>
      </c>
      <c r="U191" s="105">
        <v>0</v>
      </c>
      <c r="V191" s="105">
        <v>0</v>
      </c>
      <c r="W191" s="105">
        <v>0</v>
      </c>
      <c r="X191" s="105">
        <v>0</v>
      </c>
      <c r="Y191" s="105">
        <v>0</v>
      </c>
      <c r="Z191" s="105">
        <v>0</v>
      </c>
      <c r="AA191" s="105">
        <v>0</v>
      </c>
      <c r="AB191" s="105">
        <v>0</v>
      </c>
      <c r="AC191" s="8">
        <f t="shared" si="14"/>
        <v>277083.33333333302</v>
      </c>
      <c r="AD191" s="8">
        <f t="shared" si="15"/>
        <v>72916.666666666977</v>
      </c>
      <c r="AE191" s="8">
        <f t="shared" si="16"/>
        <v>0</v>
      </c>
      <c r="AF191" s="106">
        <f t="shared" si="17"/>
        <v>0</v>
      </c>
      <c r="AG191" s="8">
        <f t="shared" si="18"/>
        <v>0</v>
      </c>
      <c r="AH191" s="8">
        <f>IF($O191="Aktif",MAX(0,MIN($AE191,$AD191-SUM($AG191:AG191))),0)</f>
        <v>0</v>
      </c>
      <c r="AI191" s="8">
        <f>IF($O191="Aktif",MAX(0,MIN($AE191,$AD191-SUM($AG191:AH191))),0)</f>
        <v>0</v>
      </c>
      <c r="AJ191" s="8">
        <f>IF($O191="Aktif",MAX(0,MIN($AE191,$AD191-SUM($AG191:AI191))),0)</f>
        <v>0</v>
      </c>
      <c r="AK191" s="8">
        <f>IF($O191="Aktif",MAX(0,MIN($AE191,$AD191-SUM($AG191:AJ191))),0)</f>
        <v>0</v>
      </c>
      <c r="AL191" s="8">
        <f>IF($O191="Aktif",MAX(0,MIN($AE191,$AD191-SUM($AG191:AK191))),0)</f>
        <v>0</v>
      </c>
      <c r="AM191" s="8">
        <f>IF($O191="Aktif",MAX(0,MIN($AE191,$AD191-SUM($AG191:AL191))),0)</f>
        <v>0</v>
      </c>
      <c r="AN191" s="8">
        <f>IF($O191="Aktif",MAX(0,MIN($AE191,$AD191-SUM($AG191:AM191))),0)</f>
        <v>0</v>
      </c>
      <c r="AO191" s="8">
        <f>IF($O191="Aktif",MAX(0,MIN($AE191,$AD191-SUM($AG191:AN191))),0)</f>
        <v>0</v>
      </c>
      <c r="AP191" s="8">
        <f>IF($O191="Aktif",MAX(0,MIN($AE191,$AD191-SUM($AG191:AO191))),0)</f>
        <v>0</v>
      </c>
      <c r="AQ191" s="8">
        <f>IF($O191="Aktif",MAX(0,MIN($AE191,$AD191-SUM($AG191:AP191))),0)</f>
        <v>0</v>
      </c>
      <c r="AR191" s="8">
        <f>IF($O191="Aktif",MAX(0,MIN($AE191,$AD191-SUM($AG191:AQ191))),0)</f>
        <v>0</v>
      </c>
      <c r="AS191" s="8">
        <f>IF($O191="Aktif",MAX(0,MIN($AE191,$AD191-SUM($AG191:AR191))),0)</f>
        <v>0</v>
      </c>
      <c r="AT191" s="8">
        <f>IF($O191="Aktif",MAX(0,MIN($AE191,$AD191-SUM($AG191:AS191))),0)</f>
        <v>0</v>
      </c>
      <c r="AU191" s="8">
        <f>IF($O191="Aktif",MAX(0,MIN($AE191,$AD191-SUM($AG191:AT191))),0)</f>
        <v>0</v>
      </c>
      <c r="AV191" s="8">
        <f>IF($O191="Aktif",MAX(0,MIN($AE191,$AD191-SUM($AG191:AU191))),0)</f>
        <v>0</v>
      </c>
      <c r="AW191" s="8">
        <f t="shared" si="19"/>
        <v>0</v>
      </c>
      <c r="AX191" s="8">
        <f t="shared" si="20"/>
        <v>72916.666666666977</v>
      </c>
    </row>
    <row r="192" spans="1:50" ht="15" customHeight="1" x14ac:dyDescent="0.35">
      <c r="A192" s="102">
        <v>186</v>
      </c>
      <c r="B192" s="102" t="s">
        <v>586</v>
      </c>
      <c r="C192" s="103">
        <v>124</v>
      </c>
      <c r="D192" s="102" t="s">
        <v>184</v>
      </c>
      <c r="E192" s="102" t="s">
        <v>587</v>
      </c>
      <c r="F192" s="102" t="s">
        <v>588</v>
      </c>
      <c r="G192" s="102" t="s">
        <v>589</v>
      </c>
      <c r="H192" s="102" t="s">
        <v>590</v>
      </c>
      <c r="I192" s="102" t="s">
        <v>90</v>
      </c>
      <c r="J192" s="102"/>
      <c r="K192" s="102" t="s">
        <v>591</v>
      </c>
      <c r="L192" s="102" t="s">
        <v>899</v>
      </c>
      <c r="M192" s="102" t="s">
        <v>906</v>
      </c>
      <c r="N192" s="102" t="s">
        <v>908</v>
      </c>
      <c r="O192" s="102" t="s">
        <v>487</v>
      </c>
      <c r="P192" s="103">
        <v>1</v>
      </c>
      <c r="Q192" s="105">
        <v>-350000</v>
      </c>
      <c r="R192" s="102"/>
      <c r="S192" s="105">
        <v>0</v>
      </c>
      <c r="T192" s="105">
        <v>-277083.33333333302</v>
      </c>
      <c r="U192" s="105">
        <v>0</v>
      </c>
      <c r="V192" s="105">
        <v>0</v>
      </c>
      <c r="W192" s="105">
        <v>0</v>
      </c>
      <c r="X192" s="105">
        <v>0</v>
      </c>
      <c r="Y192" s="105">
        <v>0</v>
      </c>
      <c r="Z192" s="105">
        <v>0</v>
      </c>
      <c r="AA192" s="105">
        <v>0</v>
      </c>
      <c r="AB192" s="105">
        <v>0</v>
      </c>
      <c r="AC192" s="8">
        <f t="shared" si="14"/>
        <v>-277083.33333333302</v>
      </c>
      <c r="AD192" s="8">
        <f t="shared" si="15"/>
        <v>-72916.666666666977</v>
      </c>
      <c r="AE192" s="8">
        <f t="shared" si="16"/>
        <v>0</v>
      </c>
      <c r="AF192" s="106">
        <f t="shared" si="17"/>
        <v>0</v>
      </c>
      <c r="AG192" s="8">
        <f t="shared" si="18"/>
        <v>0</v>
      </c>
      <c r="AH192" s="8">
        <f>IF($O192="Aktif",MAX(0,MIN($AE192,$AD192-SUM($AG192:AG192))),0)</f>
        <v>0</v>
      </c>
      <c r="AI192" s="8">
        <f>IF($O192="Aktif",MAX(0,MIN($AE192,$AD192-SUM($AG192:AH192))),0)</f>
        <v>0</v>
      </c>
      <c r="AJ192" s="8">
        <f>IF($O192="Aktif",MAX(0,MIN($AE192,$AD192-SUM($AG192:AI192))),0)</f>
        <v>0</v>
      </c>
      <c r="AK192" s="8">
        <f>IF($O192="Aktif",MAX(0,MIN($AE192,$AD192-SUM($AG192:AJ192))),0)</f>
        <v>0</v>
      </c>
      <c r="AL192" s="8">
        <f>IF($O192="Aktif",MAX(0,MIN($AE192,$AD192-SUM($AG192:AK192))),0)</f>
        <v>0</v>
      </c>
      <c r="AM192" s="8">
        <f>IF($O192="Aktif",MAX(0,MIN($AE192,$AD192-SUM($AG192:AL192))),0)</f>
        <v>0</v>
      </c>
      <c r="AN192" s="8">
        <f>IF($O192="Aktif",MAX(0,MIN($AE192,$AD192-SUM($AG192:AM192))),0)</f>
        <v>0</v>
      </c>
      <c r="AO192" s="8">
        <f>IF($O192="Aktif",MAX(0,MIN($AE192,$AD192-SUM($AG192:AN192))),0)</f>
        <v>0</v>
      </c>
      <c r="AP192" s="8">
        <f>IF($O192="Aktif",MAX(0,MIN($AE192,$AD192-SUM($AG192:AO192))),0)</f>
        <v>0</v>
      </c>
      <c r="AQ192" s="8">
        <f>IF($O192="Aktif",MAX(0,MIN($AE192,$AD192-SUM($AG192:AP192))),0)</f>
        <v>0</v>
      </c>
      <c r="AR192" s="8">
        <f>IF($O192="Aktif",MAX(0,MIN($AE192,$AD192-SUM($AG192:AQ192))),0)</f>
        <v>0</v>
      </c>
      <c r="AS192" s="8">
        <f>IF($O192="Aktif",MAX(0,MIN($AE192,$AD192-SUM($AG192:AR192))),0)</f>
        <v>0</v>
      </c>
      <c r="AT192" s="8">
        <f>IF($O192="Aktif",MAX(0,MIN($AE192,$AD192-SUM($AG192:AS192))),0)</f>
        <v>0</v>
      </c>
      <c r="AU192" s="8">
        <f>IF($O192="Aktif",MAX(0,MIN($AE192,$AD192-SUM($AG192:AT192))),0)</f>
        <v>0</v>
      </c>
      <c r="AV192" s="8">
        <f>IF($O192="Aktif",MAX(0,MIN($AE192,$AD192-SUM($AG192:AU192))),0)</f>
        <v>0</v>
      </c>
      <c r="AW192" s="8">
        <f t="shared" si="19"/>
        <v>0</v>
      </c>
      <c r="AX192" s="8">
        <f t="shared" si="20"/>
        <v>-72916.666666666977</v>
      </c>
    </row>
    <row r="193" spans="1:50" ht="15" customHeight="1" x14ac:dyDescent="0.35">
      <c r="A193" s="102">
        <v>187</v>
      </c>
      <c r="B193" s="102" t="s">
        <v>586</v>
      </c>
      <c r="C193" s="103">
        <v>125</v>
      </c>
      <c r="D193" s="102" t="s">
        <v>184</v>
      </c>
      <c r="E193" s="102" t="s">
        <v>587</v>
      </c>
      <c r="F193" s="102" t="s">
        <v>588</v>
      </c>
      <c r="G193" s="102" t="s">
        <v>589</v>
      </c>
      <c r="H193" s="102" t="s">
        <v>590</v>
      </c>
      <c r="I193" s="102" t="s">
        <v>90</v>
      </c>
      <c r="J193" s="102" t="s">
        <v>909</v>
      </c>
      <c r="K193" s="102" t="s">
        <v>591</v>
      </c>
      <c r="L193" s="104">
        <v>43312</v>
      </c>
      <c r="M193" s="102" t="s">
        <v>910</v>
      </c>
      <c r="N193" s="102" t="s">
        <v>911</v>
      </c>
      <c r="O193" s="102" t="s">
        <v>383</v>
      </c>
      <c r="P193" s="103">
        <v>1</v>
      </c>
      <c r="Q193" s="105">
        <v>200000</v>
      </c>
      <c r="R193" s="103">
        <v>48</v>
      </c>
      <c r="S193" s="105">
        <v>4166.6666666666697</v>
      </c>
      <c r="T193" s="105">
        <v>158333.33333333299</v>
      </c>
      <c r="U193" s="105">
        <v>0</v>
      </c>
      <c r="V193" s="105">
        <v>0</v>
      </c>
      <c r="W193" s="105">
        <v>0</v>
      </c>
      <c r="X193" s="105">
        <v>0</v>
      </c>
      <c r="Y193" s="105">
        <v>0</v>
      </c>
      <c r="Z193" s="105">
        <v>0</v>
      </c>
      <c r="AA193" s="105">
        <v>0</v>
      </c>
      <c r="AB193" s="105">
        <v>0</v>
      </c>
      <c r="AC193" s="8">
        <f t="shared" si="14"/>
        <v>158333.33333333299</v>
      </c>
      <c r="AD193" s="8">
        <f t="shared" si="15"/>
        <v>41666.666666667006</v>
      </c>
      <c r="AE193" s="8">
        <f t="shared" si="16"/>
        <v>0</v>
      </c>
      <c r="AF193" s="106">
        <f t="shared" si="17"/>
        <v>0</v>
      </c>
      <c r="AG193" s="8">
        <f t="shared" si="18"/>
        <v>0</v>
      </c>
      <c r="AH193" s="8">
        <f>IF($O193="Aktif",MAX(0,MIN($AE193,$AD193-SUM($AG193:AG193))),0)</f>
        <v>0</v>
      </c>
      <c r="AI193" s="8">
        <f>IF($O193="Aktif",MAX(0,MIN($AE193,$AD193-SUM($AG193:AH193))),0)</f>
        <v>0</v>
      </c>
      <c r="AJ193" s="8">
        <f>IF($O193="Aktif",MAX(0,MIN($AE193,$AD193-SUM($AG193:AI193))),0)</f>
        <v>0</v>
      </c>
      <c r="AK193" s="8">
        <f>IF($O193="Aktif",MAX(0,MIN($AE193,$AD193-SUM($AG193:AJ193))),0)</f>
        <v>0</v>
      </c>
      <c r="AL193" s="8">
        <f>IF($O193="Aktif",MAX(0,MIN($AE193,$AD193-SUM($AG193:AK193))),0)</f>
        <v>0</v>
      </c>
      <c r="AM193" s="8">
        <f>IF($O193="Aktif",MAX(0,MIN($AE193,$AD193-SUM($AG193:AL193))),0)</f>
        <v>0</v>
      </c>
      <c r="AN193" s="8">
        <f>IF($O193="Aktif",MAX(0,MIN($AE193,$AD193-SUM($AG193:AM193))),0)</f>
        <v>0</v>
      </c>
      <c r="AO193" s="8">
        <f>IF($O193="Aktif",MAX(0,MIN($AE193,$AD193-SUM($AG193:AN193))),0)</f>
        <v>0</v>
      </c>
      <c r="AP193" s="8">
        <f>IF($O193="Aktif",MAX(0,MIN($AE193,$AD193-SUM($AG193:AO193))),0)</f>
        <v>0</v>
      </c>
      <c r="AQ193" s="8">
        <f>IF($O193="Aktif",MAX(0,MIN($AE193,$AD193-SUM($AG193:AP193))),0)</f>
        <v>0</v>
      </c>
      <c r="AR193" s="8">
        <f>IF($O193="Aktif",MAX(0,MIN($AE193,$AD193-SUM($AG193:AQ193))),0)</f>
        <v>0</v>
      </c>
      <c r="AS193" s="8">
        <f>IF($O193="Aktif",MAX(0,MIN($AE193,$AD193-SUM($AG193:AR193))),0)</f>
        <v>0</v>
      </c>
      <c r="AT193" s="8">
        <f>IF($O193="Aktif",MAX(0,MIN($AE193,$AD193-SUM($AG193:AS193))),0)</f>
        <v>0</v>
      </c>
      <c r="AU193" s="8">
        <f>IF($O193="Aktif",MAX(0,MIN($AE193,$AD193-SUM($AG193:AT193))),0)</f>
        <v>0</v>
      </c>
      <c r="AV193" s="8">
        <f>IF($O193="Aktif",MAX(0,MIN($AE193,$AD193-SUM($AG193:AU193))),0)</f>
        <v>0</v>
      </c>
      <c r="AW193" s="8">
        <f t="shared" si="19"/>
        <v>0</v>
      </c>
      <c r="AX193" s="8">
        <f t="shared" si="20"/>
        <v>41666.666666667006</v>
      </c>
    </row>
    <row r="194" spans="1:50" ht="15" customHeight="1" x14ac:dyDescent="0.35">
      <c r="A194" s="102">
        <v>188</v>
      </c>
      <c r="B194" s="102" t="s">
        <v>586</v>
      </c>
      <c r="C194" s="103">
        <v>126</v>
      </c>
      <c r="D194" s="102" t="s">
        <v>184</v>
      </c>
      <c r="E194" s="102" t="s">
        <v>587</v>
      </c>
      <c r="F194" s="102" t="s">
        <v>588</v>
      </c>
      <c r="G194" s="102" t="s">
        <v>589</v>
      </c>
      <c r="H194" s="102" t="s">
        <v>590</v>
      </c>
      <c r="I194" s="102" t="s">
        <v>90</v>
      </c>
      <c r="J194" s="102"/>
      <c r="K194" s="102" t="s">
        <v>591</v>
      </c>
      <c r="L194" s="102" t="s">
        <v>899</v>
      </c>
      <c r="M194" s="102" t="s">
        <v>910</v>
      </c>
      <c r="N194" s="102" t="s">
        <v>912</v>
      </c>
      <c r="O194" s="102" t="s">
        <v>570</v>
      </c>
      <c r="P194" s="103">
        <v>1</v>
      </c>
      <c r="Q194" s="105">
        <v>-200000</v>
      </c>
      <c r="R194" s="102"/>
      <c r="S194" s="105">
        <v>0</v>
      </c>
      <c r="T194" s="105">
        <v>-158333.33333333299</v>
      </c>
      <c r="U194" s="105">
        <v>0</v>
      </c>
      <c r="V194" s="105">
        <v>0</v>
      </c>
      <c r="W194" s="105">
        <v>0</v>
      </c>
      <c r="X194" s="105">
        <v>0</v>
      </c>
      <c r="Y194" s="105">
        <v>0</v>
      </c>
      <c r="Z194" s="105">
        <v>0</v>
      </c>
      <c r="AA194" s="105">
        <v>0</v>
      </c>
      <c r="AB194" s="105">
        <v>0</v>
      </c>
      <c r="AC194" s="8">
        <f t="shared" si="14"/>
        <v>-158333.33333333299</v>
      </c>
      <c r="AD194" s="8">
        <f t="shared" si="15"/>
        <v>-41666.666666667006</v>
      </c>
      <c r="AE194" s="8">
        <f t="shared" si="16"/>
        <v>0</v>
      </c>
      <c r="AF194" s="106">
        <f t="shared" si="17"/>
        <v>0</v>
      </c>
      <c r="AG194" s="8">
        <f t="shared" si="18"/>
        <v>0</v>
      </c>
      <c r="AH194" s="8">
        <f>IF($O194="Aktif",MAX(0,MIN($AE194,$AD194-SUM($AG194:AG194))),0)</f>
        <v>0</v>
      </c>
      <c r="AI194" s="8">
        <f>IF($O194="Aktif",MAX(0,MIN($AE194,$AD194-SUM($AG194:AH194))),0)</f>
        <v>0</v>
      </c>
      <c r="AJ194" s="8">
        <f>IF($O194="Aktif",MAX(0,MIN($AE194,$AD194-SUM($AG194:AI194))),0)</f>
        <v>0</v>
      </c>
      <c r="AK194" s="8">
        <f>IF($O194="Aktif",MAX(0,MIN($AE194,$AD194-SUM($AG194:AJ194))),0)</f>
        <v>0</v>
      </c>
      <c r="AL194" s="8">
        <f>IF($O194="Aktif",MAX(0,MIN($AE194,$AD194-SUM($AG194:AK194))),0)</f>
        <v>0</v>
      </c>
      <c r="AM194" s="8">
        <f>IF($O194="Aktif",MAX(0,MIN($AE194,$AD194-SUM($AG194:AL194))),0)</f>
        <v>0</v>
      </c>
      <c r="AN194" s="8">
        <f>IF($O194="Aktif",MAX(0,MIN($AE194,$AD194-SUM($AG194:AM194))),0)</f>
        <v>0</v>
      </c>
      <c r="AO194" s="8">
        <f>IF($O194="Aktif",MAX(0,MIN($AE194,$AD194-SUM($AG194:AN194))),0)</f>
        <v>0</v>
      </c>
      <c r="AP194" s="8">
        <f>IF($O194="Aktif",MAX(0,MIN($AE194,$AD194-SUM($AG194:AO194))),0)</f>
        <v>0</v>
      </c>
      <c r="AQ194" s="8">
        <f>IF($O194="Aktif",MAX(0,MIN($AE194,$AD194-SUM($AG194:AP194))),0)</f>
        <v>0</v>
      </c>
      <c r="AR194" s="8">
        <f>IF($O194="Aktif",MAX(0,MIN($AE194,$AD194-SUM($AG194:AQ194))),0)</f>
        <v>0</v>
      </c>
      <c r="AS194" s="8">
        <f>IF($O194="Aktif",MAX(0,MIN($AE194,$AD194-SUM($AG194:AR194))),0)</f>
        <v>0</v>
      </c>
      <c r="AT194" s="8">
        <f>IF($O194="Aktif",MAX(0,MIN($AE194,$AD194-SUM($AG194:AS194))),0)</f>
        <v>0</v>
      </c>
      <c r="AU194" s="8">
        <f>IF($O194="Aktif",MAX(0,MIN($AE194,$AD194-SUM($AG194:AT194))),0)</f>
        <v>0</v>
      </c>
      <c r="AV194" s="8">
        <f>IF($O194="Aktif",MAX(0,MIN($AE194,$AD194-SUM($AG194:AU194))),0)</f>
        <v>0</v>
      </c>
      <c r="AW194" s="8">
        <f t="shared" si="19"/>
        <v>0</v>
      </c>
      <c r="AX194" s="8">
        <f t="shared" si="20"/>
        <v>-41666.666666667006</v>
      </c>
    </row>
    <row r="195" spans="1:50" ht="15" customHeight="1" x14ac:dyDescent="0.35">
      <c r="A195" s="102">
        <v>189</v>
      </c>
      <c r="B195" s="102" t="s">
        <v>586</v>
      </c>
      <c r="C195" s="103">
        <v>127</v>
      </c>
      <c r="D195" s="102" t="s">
        <v>184</v>
      </c>
      <c r="E195" s="102" t="s">
        <v>587</v>
      </c>
      <c r="F195" s="102" t="s">
        <v>588</v>
      </c>
      <c r="G195" s="102" t="s">
        <v>589</v>
      </c>
      <c r="H195" s="102" t="s">
        <v>590</v>
      </c>
      <c r="I195" s="102" t="s">
        <v>90</v>
      </c>
      <c r="J195" s="102" t="s">
        <v>913</v>
      </c>
      <c r="K195" s="102" t="s">
        <v>591</v>
      </c>
      <c r="L195" s="104">
        <v>43312</v>
      </c>
      <c r="M195" s="102" t="s">
        <v>754</v>
      </c>
      <c r="N195" s="102" t="s">
        <v>914</v>
      </c>
      <c r="O195" s="102" t="s">
        <v>383</v>
      </c>
      <c r="P195" s="103">
        <v>1</v>
      </c>
      <c r="Q195" s="105">
        <v>7000000</v>
      </c>
      <c r="R195" s="103">
        <v>48</v>
      </c>
      <c r="S195" s="105">
        <v>145833.33333333299</v>
      </c>
      <c r="T195" s="105">
        <v>7000000</v>
      </c>
      <c r="U195" s="105">
        <v>0</v>
      </c>
      <c r="V195" s="105">
        <v>0</v>
      </c>
      <c r="W195" s="105">
        <v>0</v>
      </c>
      <c r="X195" s="105">
        <v>0</v>
      </c>
      <c r="Y195" s="105">
        <v>0</v>
      </c>
      <c r="Z195" s="105">
        <v>0</v>
      </c>
      <c r="AA195" s="105">
        <v>0</v>
      </c>
      <c r="AB195" s="105">
        <v>0</v>
      </c>
      <c r="AC195" s="8">
        <f t="shared" si="14"/>
        <v>7000000</v>
      </c>
      <c r="AD195" s="8">
        <f t="shared" si="15"/>
        <v>0</v>
      </c>
      <c r="AE195" s="8">
        <f t="shared" si="16"/>
        <v>0</v>
      </c>
      <c r="AF195" s="106">
        <f t="shared" si="17"/>
        <v>0</v>
      </c>
      <c r="AG195" s="8">
        <f t="shared" si="18"/>
        <v>0</v>
      </c>
      <c r="AH195" s="8">
        <f>IF($O195="Aktif",MAX(0,MIN($AE195,$AD195-SUM($AG195:AG195))),0)</f>
        <v>0</v>
      </c>
      <c r="AI195" s="8">
        <f>IF($O195="Aktif",MAX(0,MIN($AE195,$AD195-SUM($AG195:AH195))),0)</f>
        <v>0</v>
      </c>
      <c r="AJ195" s="8">
        <f>IF($O195="Aktif",MAX(0,MIN($AE195,$AD195-SUM($AG195:AI195))),0)</f>
        <v>0</v>
      </c>
      <c r="AK195" s="8">
        <f>IF($O195="Aktif",MAX(0,MIN($AE195,$AD195-SUM($AG195:AJ195))),0)</f>
        <v>0</v>
      </c>
      <c r="AL195" s="8">
        <f>IF($O195="Aktif",MAX(0,MIN($AE195,$AD195-SUM($AG195:AK195))),0)</f>
        <v>0</v>
      </c>
      <c r="AM195" s="8">
        <f>IF($O195="Aktif",MAX(0,MIN($AE195,$AD195-SUM($AG195:AL195))),0)</f>
        <v>0</v>
      </c>
      <c r="AN195" s="8">
        <f>IF($O195="Aktif",MAX(0,MIN($AE195,$AD195-SUM($AG195:AM195))),0)</f>
        <v>0</v>
      </c>
      <c r="AO195" s="8">
        <f>IF($O195="Aktif",MAX(0,MIN($AE195,$AD195-SUM($AG195:AN195))),0)</f>
        <v>0</v>
      </c>
      <c r="AP195" s="8">
        <f>IF($O195="Aktif",MAX(0,MIN($AE195,$AD195-SUM($AG195:AO195))),0)</f>
        <v>0</v>
      </c>
      <c r="AQ195" s="8">
        <f>IF($O195="Aktif",MAX(0,MIN($AE195,$AD195-SUM($AG195:AP195))),0)</f>
        <v>0</v>
      </c>
      <c r="AR195" s="8">
        <f>IF($O195="Aktif",MAX(0,MIN($AE195,$AD195-SUM($AG195:AQ195))),0)</f>
        <v>0</v>
      </c>
      <c r="AS195" s="8">
        <f>IF($O195="Aktif",MAX(0,MIN($AE195,$AD195-SUM($AG195:AR195))),0)</f>
        <v>0</v>
      </c>
      <c r="AT195" s="8">
        <f>IF($O195="Aktif",MAX(0,MIN($AE195,$AD195-SUM($AG195:AS195))),0)</f>
        <v>0</v>
      </c>
      <c r="AU195" s="8">
        <f>IF($O195="Aktif",MAX(0,MIN($AE195,$AD195-SUM($AG195:AT195))),0)</f>
        <v>0</v>
      </c>
      <c r="AV195" s="8">
        <f>IF($O195="Aktif",MAX(0,MIN($AE195,$AD195-SUM($AG195:AU195))),0)</f>
        <v>0</v>
      </c>
      <c r="AW195" s="8">
        <f t="shared" si="19"/>
        <v>0</v>
      </c>
      <c r="AX195" s="8">
        <f t="shared" si="20"/>
        <v>0</v>
      </c>
    </row>
    <row r="196" spans="1:50" ht="15" customHeight="1" x14ac:dyDescent="0.35">
      <c r="A196" s="102">
        <v>190</v>
      </c>
      <c r="B196" s="102" t="s">
        <v>586</v>
      </c>
      <c r="C196" s="103">
        <v>128</v>
      </c>
      <c r="D196" s="102" t="s">
        <v>184</v>
      </c>
      <c r="E196" s="102" t="s">
        <v>587</v>
      </c>
      <c r="F196" s="102" t="s">
        <v>588</v>
      </c>
      <c r="G196" s="102" t="s">
        <v>589</v>
      </c>
      <c r="H196" s="102" t="s">
        <v>590</v>
      </c>
      <c r="I196" s="102" t="s">
        <v>90</v>
      </c>
      <c r="J196" s="102" t="s">
        <v>915</v>
      </c>
      <c r="K196" s="102" t="s">
        <v>591</v>
      </c>
      <c r="L196" s="104">
        <v>43343</v>
      </c>
      <c r="M196" s="102" t="s">
        <v>906</v>
      </c>
      <c r="N196" s="102" t="s">
        <v>916</v>
      </c>
      <c r="O196" s="102" t="s">
        <v>383</v>
      </c>
      <c r="P196" s="103">
        <v>1</v>
      </c>
      <c r="Q196" s="105">
        <v>350000</v>
      </c>
      <c r="R196" s="103">
        <v>48</v>
      </c>
      <c r="S196" s="105">
        <v>7291.6666666666697</v>
      </c>
      <c r="T196" s="105">
        <v>269791.66666666698</v>
      </c>
      <c r="U196" s="105">
        <v>0</v>
      </c>
      <c r="V196" s="105">
        <v>0</v>
      </c>
      <c r="W196" s="105">
        <v>0</v>
      </c>
      <c r="X196" s="105">
        <v>0</v>
      </c>
      <c r="Y196" s="105">
        <v>0</v>
      </c>
      <c r="Z196" s="105">
        <v>0</v>
      </c>
      <c r="AA196" s="105">
        <v>0</v>
      </c>
      <c r="AB196" s="105">
        <v>0</v>
      </c>
      <c r="AC196" s="8">
        <f t="shared" si="14"/>
        <v>269791.66666666698</v>
      </c>
      <c r="AD196" s="8">
        <f t="shared" si="15"/>
        <v>80208.333333333023</v>
      </c>
      <c r="AE196" s="8">
        <f t="shared" si="16"/>
        <v>0</v>
      </c>
      <c r="AF196" s="106">
        <f t="shared" si="17"/>
        <v>0</v>
      </c>
      <c r="AG196" s="8">
        <f t="shared" si="18"/>
        <v>0</v>
      </c>
      <c r="AH196" s="8">
        <f>IF($O196="Aktif",MAX(0,MIN($AE196,$AD196-SUM($AG196:AG196))),0)</f>
        <v>0</v>
      </c>
      <c r="AI196" s="8">
        <f>IF($O196="Aktif",MAX(0,MIN($AE196,$AD196-SUM($AG196:AH196))),0)</f>
        <v>0</v>
      </c>
      <c r="AJ196" s="8">
        <f>IF($O196="Aktif",MAX(0,MIN($AE196,$AD196-SUM($AG196:AI196))),0)</f>
        <v>0</v>
      </c>
      <c r="AK196" s="8">
        <f>IF($O196="Aktif",MAX(0,MIN($AE196,$AD196-SUM($AG196:AJ196))),0)</f>
        <v>0</v>
      </c>
      <c r="AL196" s="8">
        <f>IF($O196="Aktif",MAX(0,MIN($AE196,$AD196-SUM($AG196:AK196))),0)</f>
        <v>0</v>
      </c>
      <c r="AM196" s="8">
        <f>IF($O196="Aktif",MAX(0,MIN($AE196,$AD196-SUM($AG196:AL196))),0)</f>
        <v>0</v>
      </c>
      <c r="AN196" s="8">
        <f>IF($O196="Aktif",MAX(0,MIN($AE196,$AD196-SUM($AG196:AM196))),0)</f>
        <v>0</v>
      </c>
      <c r="AO196" s="8">
        <f>IF($O196="Aktif",MAX(0,MIN($AE196,$AD196-SUM($AG196:AN196))),0)</f>
        <v>0</v>
      </c>
      <c r="AP196" s="8">
        <f>IF($O196="Aktif",MAX(0,MIN($AE196,$AD196-SUM($AG196:AO196))),0)</f>
        <v>0</v>
      </c>
      <c r="AQ196" s="8">
        <f>IF($O196="Aktif",MAX(0,MIN($AE196,$AD196-SUM($AG196:AP196))),0)</f>
        <v>0</v>
      </c>
      <c r="AR196" s="8">
        <f>IF($O196="Aktif",MAX(0,MIN($AE196,$AD196-SUM($AG196:AQ196))),0)</f>
        <v>0</v>
      </c>
      <c r="AS196" s="8">
        <f>IF($O196="Aktif",MAX(0,MIN($AE196,$AD196-SUM($AG196:AR196))),0)</f>
        <v>0</v>
      </c>
      <c r="AT196" s="8">
        <f>IF($O196="Aktif",MAX(0,MIN($AE196,$AD196-SUM($AG196:AS196))),0)</f>
        <v>0</v>
      </c>
      <c r="AU196" s="8">
        <f>IF($O196="Aktif",MAX(0,MIN($AE196,$AD196-SUM($AG196:AT196))),0)</f>
        <v>0</v>
      </c>
      <c r="AV196" s="8">
        <f>IF($O196="Aktif",MAX(0,MIN($AE196,$AD196-SUM($AG196:AU196))),0)</f>
        <v>0</v>
      </c>
      <c r="AW196" s="8">
        <f t="shared" si="19"/>
        <v>0</v>
      </c>
      <c r="AX196" s="8">
        <f t="shared" si="20"/>
        <v>80208.333333333023</v>
      </c>
    </row>
    <row r="197" spans="1:50" ht="15" customHeight="1" x14ac:dyDescent="0.35">
      <c r="A197" s="102">
        <v>191</v>
      </c>
      <c r="B197" s="102" t="s">
        <v>586</v>
      </c>
      <c r="C197" s="103">
        <v>129</v>
      </c>
      <c r="D197" s="102" t="s">
        <v>184</v>
      </c>
      <c r="E197" s="102" t="s">
        <v>587</v>
      </c>
      <c r="F197" s="102" t="s">
        <v>588</v>
      </c>
      <c r="G197" s="102" t="s">
        <v>589</v>
      </c>
      <c r="H197" s="102" t="s">
        <v>590</v>
      </c>
      <c r="I197" s="102" t="s">
        <v>90</v>
      </c>
      <c r="J197" s="102"/>
      <c r="K197" s="102" t="s">
        <v>591</v>
      </c>
      <c r="L197" s="102" t="s">
        <v>899</v>
      </c>
      <c r="M197" s="102" t="s">
        <v>906</v>
      </c>
      <c r="N197" s="102" t="s">
        <v>917</v>
      </c>
      <c r="O197" s="102" t="s">
        <v>570</v>
      </c>
      <c r="P197" s="103">
        <v>1</v>
      </c>
      <c r="Q197" s="105">
        <v>-350000</v>
      </c>
      <c r="R197" s="102"/>
      <c r="S197" s="105">
        <v>0</v>
      </c>
      <c r="T197" s="105">
        <v>-269791.66666666698</v>
      </c>
      <c r="U197" s="105">
        <v>0</v>
      </c>
      <c r="V197" s="105">
        <v>0</v>
      </c>
      <c r="W197" s="105">
        <v>0</v>
      </c>
      <c r="X197" s="105">
        <v>0</v>
      </c>
      <c r="Y197" s="105">
        <v>0</v>
      </c>
      <c r="Z197" s="105">
        <v>0</v>
      </c>
      <c r="AA197" s="105">
        <v>0</v>
      </c>
      <c r="AB197" s="105">
        <v>0</v>
      </c>
      <c r="AC197" s="8">
        <f t="shared" si="14"/>
        <v>-269791.66666666698</v>
      </c>
      <c r="AD197" s="8">
        <f t="shared" si="15"/>
        <v>-80208.333333333023</v>
      </c>
      <c r="AE197" s="8">
        <f t="shared" si="16"/>
        <v>0</v>
      </c>
      <c r="AF197" s="106">
        <f t="shared" si="17"/>
        <v>0</v>
      </c>
      <c r="AG197" s="8">
        <f t="shared" si="18"/>
        <v>0</v>
      </c>
      <c r="AH197" s="8">
        <f>IF($O197="Aktif",MAX(0,MIN($AE197,$AD197-SUM($AG197:AG197))),0)</f>
        <v>0</v>
      </c>
      <c r="AI197" s="8">
        <f>IF($O197="Aktif",MAX(0,MIN($AE197,$AD197-SUM($AG197:AH197))),0)</f>
        <v>0</v>
      </c>
      <c r="AJ197" s="8">
        <f>IF($O197="Aktif",MAX(0,MIN($AE197,$AD197-SUM($AG197:AI197))),0)</f>
        <v>0</v>
      </c>
      <c r="AK197" s="8">
        <f>IF($O197="Aktif",MAX(0,MIN($AE197,$AD197-SUM($AG197:AJ197))),0)</f>
        <v>0</v>
      </c>
      <c r="AL197" s="8">
        <f>IF($O197="Aktif",MAX(0,MIN($AE197,$AD197-SUM($AG197:AK197))),0)</f>
        <v>0</v>
      </c>
      <c r="AM197" s="8">
        <f>IF($O197="Aktif",MAX(0,MIN($AE197,$AD197-SUM($AG197:AL197))),0)</f>
        <v>0</v>
      </c>
      <c r="AN197" s="8">
        <f>IF($O197="Aktif",MAX(0,MIN($AE197,$AD197-SUM($AG197:AM197))),0)</f>
        <v>0</v>
      </c>
      <c r="AO197" s="8">
        <f>IF($O197="Aktif",MAX(0,MIN($AE197,$AD197-SUM($AG197:AN197))),0)</f>
        <v>0</v>
      </c>
      <c r="AP197" s="8">
        <f>IF($O197="Aktif",MAX(0,MIN($AE197,$AD197-SUM($AG197:AO197))),0)</f>
        <v>0</v>
      </c>
      <c r="AQ197" s="8">
        <f>IF($O197="Aktif",MAX(0,MIN($AE197,$AD197-SUM($AG197:AP197))),0)</f>
        <v>0</v>
      </c>
      <c r="AR197" s="8">
        <f>IF($O197="Aktif",MAX(0,MIN($AE197,$AD197-SUM($AG197:AQ197))),0)</f>
        <v>0</v>
      </c>
      <c r="AS197" s="8">
        <f>IF($O197="Aktif",MAX(0,MIN($AE197,$AD197-SUM($AG197:AR197))),0)</f>
        <v>0</v>
      </c>
      <c r="AT197" s="8">
        <f>IF($O197="Aktif",MAX(0,MIN($AE197,$AD197-SUM($AG197:AS197))),0)</f>
        <v>0</v>
      </c>
      <c r="AU197" s="8">
        <f>IF($O197="Aktif",MAX(0,MIN($AE197,$AD197-SUM($AG197:AT197))),0)</f>
        <v>0</v>
      </c>
      <c r="AV197" s="8">
        <f>IF($O197="Aktif",MAX(0,MIN($AE197,$AD197-SUM($AG197:AU197))),0)</f>
        <v>0</v>
      </c>
      <c r="AW197" s="8">
        <f t="shared" si="19"/>
        <v>0</v>
      </c>
      <c r="AX197" s="8">
        <f t="shared" si="20"/>
        <v>-80208.333333333023</v>
      </c>
    </row>
    <row r="198" spans="1:50" ht="15" customHeight="1" x14ac:dyDescent="0.35">
      <c r="A198" s="102">
        <v>192</v>
      </c>
      <c r="B198" s="102" t="s">
        <v>586</v>
      </c>
      <c r="C198" s="103">
        <v>130</v>
      </c>
      <c r="D198" s="102" t="s">
        <v>184</v>
      </c>
      <c r="E198" s="102" t="s">
        <v>587</v>
      </c>
      <c r="F198" s="102" t="s">
        <v>588</v>
      </c>
      <c r="G198" s="102" t="s">
        <v>589</v>
      </c>
      <c r="H198" s="102" t="s">
        <v>590</v>
      </c>
      <c r="I198" s="102" t="s">
        <v>90</v>
      </c>
      <c r="J198" s="102" t="s">
        <v>918</v>
      </c>
      <c r="K198" s="102" t="s">
        <v>591</v>
      </c>
      <c r="L198" s="104">
        <v>43355</v>
      </c>
      <c r="M198" s="102" t="s">
        <v>919</v>
      </c>
      <c r="N198" s="102" t="s">
        <v>920</v>
      </c>
      <c r="O198" s="102" t="s">
        <v>383</v>
      </c>
      <c r="P198" s="103">
        <v>1</v>
      </c>
      <c r="Q198" s="105">
        <v>2425000</v>
      </c>
      <c r="R198" s="103">
        <v>48</v>
      </c>
      <c r="S198" s="105">
        <v>50520.833333333299</v>
      </c>
      <c r="T198" s="105">
        <v>2425000.0033333302</v>
      </c>
      <c r="U198" s="105">
        <v>0</v>
      </c>
      <c r="V198" s="105">
        <v>0</v>
      </c>
      <c r="W198" s="105">
        <v>0</v>
      </c>
      <c r="X198" s="105">
        <v>0</v>
      </c>
      <c r="Y198" s="105">
        <v>0</v>
      </c>
      <c r="Z198" s="105">
        <v>0</v>
      </c>
      <c r="AA198" s="105">
        <v>0</v>
      </c>
      <c r="AB198" s="105">
        <v>0</v>
      </c>
      <c r="AC198" s="8">
        <f t="shared" si="14"/>
        <v>2425000.0033333302</v>
      </c>
      <c r="AD198" s="8">
        <f t="shared" si="15"/>
        <v>-3.3333301544189453E-3</v>
      </c>
      <c r="AE198" s="8">
        <f t="shared" si="16"/>
        <v>0</v>
      </c>
      <c r="AF198" s="106">
        <f t="shared" si="17"/>
        <v>0</v>
      </c>
      <c r="AG198" s="8">
        <f t="shared" si="18"/>
        <v>0</v>
      </c>
      <c r="AH198" s="8">
        <f>IF($O198="Aktif",MAX(0,MIN($AE198,$AD198-SUM($AG198:AG198))),0)</f>
        <v>0</v>
      </c>
      <c r="AI198" s="8">
        <f>IF($O198="Aktif",MAX(0,MIN($AE198,$AD198-SUM($AG198:AH198))),0)</f>
        <v>0</v>
      </c>
      <c r="AJ198" s="8">
        <f>IF($O198="Aktif",MAX(0,MIN($AE198,$AD198-SUM($AG198:AI198))),0)</f>
        <v>0</v>
      </c>
      <c r="AK198" s="8">
        <f>IF($O198="Aktif",MAX(0,MIN($AE198,$AD198-SUM($AG198:AJ198))),0)</f>
        <v>0</v>
      </c>
      <c r="AL198" s="8">
        <f>IF($O198="Aktif",MAX(0,MIN($AE198,$AD198-SUM($AG198:AK198))),0)</f>
        <v>0</v>
      </c>
      <c r="AM198" s="8">
        <f>IF($O198="Aktif",MAX(0,MIN($AE198,$AD198-SUM($AG198:AL198))),0)</f>
        <v>0</v>
      </c>
      <c r="AN198" s="8">
        <f>IF($O198="Aktif",MAX(0,MIN($AE198,$AD198-SUM($AG198:AM198))),0)</f>
        <v>0</v>
      </c>
      <c r="AO198" s="8">
        <f>IF($O198="Aktif",MAX(0,MIN($AE198,$AD198-SUM($AG198:AN198))),0)</f>
        <v>0</v>
      </c>
      <c r="AP198" s="8">
        <f>IF($O198="Aktif",MAX(0,MIN($AE198,$AD198-SUM($AG198:AO198))),0)</f>
        <v>0</v>
      </c>
      <c r="AQ198" s="8">
        <f>IF($O198="Aktif",MAX(0,MIN($AE198,$AD198-SUM($AG198:AP198))),0)</f>
        <v>0</v>
      </c>
      <c r="AR198" s="8">
        <f>IF($O198="Aktif",MAX(0,MIN($AE198,$AD198-SUM($AG198:AQ198))),0)</f>
        <v>0</v>
      </c>
      <c r="AS198" s="8">
        <f>IF($O198="Aktif",MAX(0,MIN($AE198,$AD198-SUM($AG198:AR198))),0)</f>
        <v>0</v>
      </c>
      <c r="AT198" s="8">
        <f>IF($O198="Aktif",MAX(0,MIN($AE198,$AD198-SUM($AG198:AS198))),0)</f>
        <v>0</v>
      </c>
      <c r="AU198" s="8">
        <f>IF($O198="Aktif",MAX(0,MIN($AE198,$AD198-SUM($AG198:AT198))),0)</f>
        <v>0</v>
      </c>
      <c r="AV198" s="8">
        <f>IF($O198="Aktif",MAX(0,MIN($AE198,$AD198-SUM($AG198:AU198))),0)</f>
        <v>0</v>
      </c>
      <c r="AW198" s="8">
        <f t="shared" si="19"/>
        <v>0</v>
      </c>
      <c r="AX198" s="8">
        <f t="shared" si="20"/>
        <v>-3.3333301544189453E-3</v>
      </c>
    </row>
    <row r="199" spans="1:50" ht="15" customHeight="1" x14ac:dyDescent="0.35">
      <c r="A199" s="102">
        <v>193</v>
      </c>
      <c r="B199" s="102" t="s">
        <v>586</v>
      </c>
      <c r="C199" s="103">
        <v>131</v>
      </c>
      <c r="D199" s="102" t="s">
        <v>184</v>
      </c>
      <c r="E199" s="102" t="s">
        <v>587</v>
      </c>
      <c r="F199" s="102" t="s">
        <v>588</v>
      </c>
      <c r="G199" s="102" t="s">
        <v>589</v>
      </c>
      <c r="H199" s="102" t="s">
        <v>590</v>
      </c>
      <c r="I199" s="102" t="s">
        <v>90</v>
      </c>
      <c r="J199" s="102" t="s">
        <v>921</v>
      </c>
      <c r="K199" s="102" t="s">
        <v>591</v>
      </c>
      <c r="L199" s="104">
        <v>43496</v>
      </c>
      <c r="M199" s="102" t="s">
        <v>922</v>
      </c>
      <c r="N199" s="102" t="s">
        <v>923</v>
      </c>
      <c r="O199" s="102" t="s">
        <v>383</v>
      </c>
      <c r="P199" s="103">
        <v>1</v>
      </c>
      <c r="Q199" s="105">
        <v>200000</v>
      </c>
      <c r="R199" s="103">
        <v>48</v>
      </c>
      <c r="S199" s="105">
        <v>4166.6666666666697</v>
      </c>
      <c r="T199" s="105">
        <v>125000</v>
      </c>
      <c r="U199" s="105">
        <v>0</v>
      </c>
      <c r="V199" s="105">
        <v>0</v>
      </c>
      <c r="W199" s="105">
        <v>0</v>
      </c>
      <c r="X199" s="105">
        <v>0</v>
      </c>
      <c r="Y199" s="105">
        <v>0</v>
      </c>
      <c r="Z199" s="105">
        <v>0</v>
      </c>
      <c r="AA199" s="105">
        <v>0</v>
      </c>
      <c r="AB199" s="105">
        <v>0</v>
      </c>
      <c r="AC199" s="8">
        <f t="shared" ref="AC199:AC262" si="21">T199+SUM(U199:AB199)</f>
        <v>125000</v>
      </c>
      <c r="AD199" s="8">
        <f t="shared" ref="AD199:AD262" si="22">Q199-AC199</f>
        <v>75000</v>
      </c>
      <c r="AE199" s="8">
        <f t="shared" ref="AE199:AE262" si="23">IF(O199="Aktif",AB199,0)</f>
        <v>0</v>
      </c>
      <c r="AF199" s="106">
        <f t="shared" ref="AF199:AF262" si="24">IF(AE199&gt;0,MAX(0,AD199)/AE199,0)</f>
        <v>0</v>
      </c>
      <c r="AG199" s="8">
        <f t="shared" ref="AG199:AG262" si="25">IF($O199="Aktif",MAX(0,MIN($AE199,$AD199-0)),0)</f>
        <v>0</v>
      </c>
      <c r="AH199" s="8">
        <f>IF($O199="Aktif",MAX(0,MIN($AE199,$AD199-SUM($AG199:AG199))),0)</f>
        <v>0</v>
      </c>
      <c r="AI199" s="8">
        <f>IF($O199="Aktif",MAX(0,MIN($AE199,$AD199-SUM($AG199:AH199))),0)</f>
        <v>0</v>
      </c>
      <c r="AJ199" s="8">
        <f>IF($O199="Aktif",MAX(0,MIN($AE199,$AD199-SUM($AG199:AI199))),0)</f>
        <v>0</v>
      </c>
      <c r="AK199" s="8">
        <f>IF($O199="Aktif",MAX(0,MIN($AE199,$AD199-SUM($AG199:AJ199))),0)</f>
        <v>0</v>
      </c>
      <c r="AL199" s="8">
        <f>IF($O199="Aktif",MAX(0,MIN($AE199,$AD199-SUM($AG199:AK199))),0)</f>
        <v>0</v>
      </c>
      <c r="AM199" s="8">
        <f>IF($O199="Aktif",MAX(0,MIN($AE199,$AD199-SUM($AG199:AL199))),0)</f>
        <v>0</v>
      </c>
      <c r="AN199" s="8">
        <f>IF($O199="Aktif",MAX(0,MIN($AE199,$AD199-SUM($AG199:AM199))),0)</f>
        <v>0</v>
      </c>
      <c r="AO199" s="8">
        <f>IF($O199="Aktif",MAX(0,MIN($AE199,$AD199-SUM($AG199:AN199))),0)</f>
        <v>0</v>
      </c>
      <c r="AP199" s="8">
        <f>IF($O199="Aktif",MAX(0,MIN($AE199,$AD199-SUM($AG199:AO199))),0)</f>
        <v>0</v>
      </c>
      <c r="AQ199" s="8">
        <f>IF($O199="Aktif",MAX(0,MIN($AE199,$AD199-SUM($AG199:AP199))),0)</f>
        <v>0</v>
      </c>
      <c r="AR199" s="8">
        <f>IF($O199="Aktif",MAX(0,MIN($AE199,$AD199-SUM($AG199:AQ199))),0)</f>
        <v>0</v>
      </c>
      <c r="AS199" s="8">
        <f>IF($O199="Aktif",MAX(0,MIN($AE199,$AD199-SUM($AG199:AR199))),0)</f>
        <v>0</v>
      </c>
      <c r="AT199" s="8">
        <f>IF($O199="Aktif",MAX(0,MIN($AE199,$AD199-SUM($AG199:AS199))),0)</f>
        <v>0</v>
      </c>
      <c r="AU199" s="8">
        <f>IF($O199="Aktif",MAX(0,MIN($AE199,$AD199-SUM($AG199:AT199))),0)</f>
        <v>0</v>
      </c>
      <c r="AV199" s="8">
        <f>IF($O199="Aktif",MAX(0,MIN($AE199,$AD199-SUM($AG199:AU199))),0)</f>
        <v>0</v>
      </c>
      <c r="AW199" s="8">
        <f t="shared" ref="AW199:AW262" si="26">SUM(AG199:AV199)</f>
        <v>0</v>
      </c>
      <c r="AX199" s="8">
        <f t="shared" ref="AX199:AX262" si="27">AD199-AW199</f>
        <v>75000</v>
      </c>
    </row>
    <row r="200" spans="1:50" ht="15" customHeight="1" x14ac:dyDescent="0.35">
      <c r="A200" s="102">
        <v>194</v>
      </c>
      <c r="B200" s="102" t="s">
        <v>586</v>
      </c>
      <c r="C200" s="103">
        <v>132</v>
      </c>
      <c r="D200" s="102" t="s">
        <v>184</v>
      </c>
      <c r="E200" s="102" t="s">
        <v>587</v>
      </c>
      <c r="F200" s="102" t="s">
        <v>588</v>
      </c>
      <c r="G200" s="102" t="s">
        <v>589</v>
      </c>
      <c r="H200" s="102" t="s">
        <v>590</v>
      </c>
      <c r="I200" s="102" t="s">
        <v>90</v>
      </c>
      <c r="J200" s="102"/>
      <c r="K200" s="102" t="s">
        <v>591</v>
      </c>
      <c r="L200" s="104">
        <v>44377</v>
      </c>
      <c r="M200" s="102" t="s">
        <v>924</v>
      </c>
      <c r="N200" s="102" t="s">
        <v>925</v>
      </c>
      <c r="O200" s="102" t="s">
        <v>487</v>
      </c>
      <c r="P200" s="103">
        <v>1</v>
      </c>
      <c r="Q200" s="105">
        <v>-200000</v>
      </c>
      <c r="R200" s="102"/>
      <c r="S200" s="105">
        <v>0</v>
      </c>
      <c r="T200" s="105">
        <v>-125000</v>
      </c>
      <c r="U200" s="105">
        <v>0</v>
      </c>
      <c r="V200" s="105">
        <v>0</v>
      </c>
      <c r="W200" s="105">
        <v>0</v>
      </c>
      <c r="X200" s="105">
        <v>0</v>
      </c>
      <c r="Y200" s="105">
        <v>0</v>
      </c>
      <c r="Z200" s="105">
        <v>0</v>
      </c>
      <c r="AA200" s="105">
        <v>0</v>
      </c>
      <c r="AB200" s="105">
        <v>0</v>
      </c>
      <c r="AC200" s="8">
        <f t="shared" si="21"/>
        <v>-125000</v>
      </c>
      <c r="AD200" s="8">
        <f t="shared" si="22"/>
        <v>-75000</v>
      </c>
      <c r="AE200" s="8">
        <f t="shared" si="23"/>
        <v>0</v>
      </c>
      <c r="AF200" s="106">
        <f t="shared" si="24"/>
        <v>0</v>
      </c>
      <c r="AG200" s="8">
        <f t="shared" si="25"/>
        <v>0</v>
      </c>
      <c r="AH200" s="8">
        <f>IF($O200="Aktif",MAX(0,MIN($AE200,$AD200-SUM($AG200:AG200))),0)</f>
        <v>0</v>
      </c>
      <c r="AI200" s="8">
        <f>IF($O200="Aktif",MAX(0,MIN($AE200,$AD200-SUM($AG200:AH200))),0)</f>
        <v>0</v>
      </c>
      <c r="AJ200" s="8">
        <f>IF($O200="Aktif",MAX(0,MIN($AE200,$AD200-SUM($AG200:AI200))),0)</f>
        <v>0</v>
      </c>
      <c r="AK200" s="8">
        <f>IF($O200="Aktif",MAX(0,MIN($AE200,$AD200-SUM($AG200:AJ200))),0)</f>
        <v>0</v>
      </c>
      <c r="AL200" s="8">
        <f>IF($O200="Aktif",MAX(0,MIN($AE200,$AD200-SUM($AG200:AK200))),0)</f>
        <v>0</v>
      </c>
      <c r="AM200" s="8">
        <f>IF($O200="Aktif",MAX(0,MIN($AE200,$AD200-SUM($AG200:AL200))),0)</f>
        <v>0</v>
      </c>
      <c r="AN200" s="8">
        <f>IF($O200="Aktif",MAX(0,MIN($AE200,$AD200-SUM($AG200:AM200))),0)</f>
        <v>0</v>
      </c>
      <c r="AO200" s="8">
        <f>IF($O200="Aktif",MAX(0,MIN($AE200,$AD200-SUM($AG200:AN200))),0)</f>
        <v>0</v>
      </c>
      <c r="AP200" s="8">
        <f>IF($O200="Aktif",MAX(0,MIN($AE200,$AD200-SUM($AG200:AO200))),0)</f>
        <v>0</v>
      </c>
      <c r="AQ200" s="8">
        <f>IF($O200="Aktif",MAX(0,MIN($AE200,$AD200-SUM($AG200:AP200))),0)</f>
        <v>0</v>
      </c>
      <c r="AR200" s="8">
        <f>IF($O200="Aktif",MAX(0,MIN($AE200,$AD200-SUM($AG200:AQ200))),0)</f>
        <v>0</v>
      </c>
      <c r="AS200" s="8">
        <f>IF($O200="Aktif",MAX(0,MIN($AE200,$AD200-SUM($AG200:AR200))),0)</f>
        <v>0</v>
      </c>
      <c r="AT200" s="8">
        <f>IF($O200="Aktif",MAX(0,MIN($AE200,$AD200-SUM($AG200:AS200))),0)</f>
        <v>0</v>
      </c>
      <c r="AU200" s="8">
        <f>IF($O200="Aktif",MAX(0,MIN($AE200,$AD200-SUM($AG200:AT200))),0)</f>
        <v>0</v>
      </c>
      <c r="AV200" s="8">
        <f>IF($O200="Aktif",MAX(0,MIN($AE200,$AD200-SUM($AG200:AU200))),0)</f>
        <v>0</v>
      </c>
      <c r="AW200" s="8">
        <f t="shared" si="26"/>
        <v>0</v>
      </c>
      <c r="AX200" s="8">
        <f t="shared" si="27"/>
        <v>-75000</v>
      </c>
    </row>
    <row r="201" spans="1:50" ht="15" customHeight="1" x14ac:dyDescent="0.35">
      <c r="A201" s="102">
        <v>195</v>
      </c>
      <c r="B201" s="102" t="s">
        <v>586</v>
      </c>
      <c r="C201" s="103">
        <v>133</v>
      </c>
      <c r="D201" s="102" t="s">
        <v>184</v>
      </c>
      <c r="E201" s="102" t="s">
        <v>587</v>
      </c>
      <c r="F201" s="102" t="s">
        <v>588</v>
      </c>
      <c r="G201" s="102" t="s">
        <v>589</v>
      </c>
      <c r="H201" s="102" t="s">
        <v>590</v>
      </c>
      <c r="I201" s="102" t="s">
        <v>90</v>
      </c>
      <c r="J201" s="102" t="s">
        <v>926</v>
      </c>
      <c r="K201" s="102" t="s">
        <v>591</v>
      </c>
      <c r="L201" s="104">
        <v>43512</v>
      </c>
      <c r="M201" s="102" t="s">
        <v>927</v>
      </c>
      <c r="N201" s="102" t="s">
        <v>928</v>
      </c>
      <c r="O201" s="102" t="s">
        <v>383</v>
      </c>
      <c r="P201" s="103">
        <v>1</v>
      </c>
      <c r="Q201" s="105">
        <v>79400000</v>
      </c>
      <c r="R201" s="103">
        <v>48</v>
      </c>
      <c r="S201" s="105">
        <v>1654166.66666667</v>
      </c>
      <c r="T201" s="105">
        <v>79399999.9966667</v>
      </c>
      <c r="U201" s="105">
        <v>0</v>
      </c>
      <c r="V201" s="105">
        <v>0</v>
      </c>
      <c r="W201" s="105">
        <v>0</v>
      </c>
      <c r="X201" s="105">
        <v>0</v>
      </c>
      <c r="Y201" s="105">
        <v>0</v>
      </c>
      <c r="Z201" s="105">
        <v>0</v>
      </c>
      <c r="AA201" s="105">
        <v>0</v>
      </c>
      <c r="AB201" s="105">
        <v>0</v>
      </c>
      <c r="AC201" s="8">
        <f t="shared" si="21"/>
        <v>79399999.9966667</v>
      </c>
      <c r="AD201" s="8">
        <f t="shared" si="22"/>
        <v>3.3333003520965576E-3</v>
      </c>
      <c r="AE201" s="8">
        <f t="shared" si="23"/>
        <v>0</v>
      </c>
      <c r="AF201" s="106">
        <f t="shared" si="24"/>
        <v>0</v>
      </c>
      <c r="AG201" s="8">
        <f t="shared" si="25"/>
        <v>0</v>
      </c>
      <c r="AH201" s="8">
        <f>IF($O201="Aktif",MAX(0,MIN($AE201,$AD201-SUM($AG201:AG201))),0)</f>
        <v>0</v>
      </c>
      <c r="AI201" s="8">
        <f>IF($O201="Aktif",MAX(0,MIN($AE201,$AD201-SUM($AG201:AH201))),0)</f>
        <v>0</v>
      </c>
      <c r="AJ201" s="8">
        <f>IF($O201="Aktif",MAX(0,MIN($AE201,$AD201-SUM($AG201:AI201))),0)</f>
        <v>0</v>
      </c>
      <c r="AK201" s="8">
        <f>IF($O201="Aktif",MAX(0,MIN($AE201,$AD201-SUM($AG201:AJ201))),0)</f>
        <v>0</v>
      </c>
      <c r="AL201" s="8">
        <f>IF($O201="Aktif",MAX(0,MIN($AE201,$AD201-SUM($AG201:AK201))),0)</f>
        <v>0</v>
      </c>
      <c r="AM201" s="8">
        <f>IF($O201="Aktif",MAX(0,MIN($AE201,$AD201-SUM($AG201:AL201))),0)</f>
        <v>0</v>
      </c>
      <c r="AN201" s="8">
        <f>IF($O201="Aktif",MAX(0,MIN($AE201,$AD201-SUM($AG201:AM201))),0)</f>
        <v>0</v>
      </c>
      <c r="AO201" s="8">
        <f>IF($O201="Aktif",MAX(0,MIN($AE201,$AD201-SUM($AG201:AN201))),0)</f>
        <v>0</v>
      </c>
      <c r="AP201" s="8">
        <f>IF($O201="Aktif",MAX(0,MIN($AE201,$AD201-SUM($AG201:AO201))),0)</f>
        <v>0</v>
      </c>
      <c r="AQ201" s="8">
        <f>IF($O201="Aktif",MAX(0,MIN($AE201,$AD201-SUM($AG201:AP201))),0)</f>
        <v>0</v>
      </c>
      <c r="AR201" s="8">
        <f>IF($O201="Aktif",MAX(0,MIN($AE201,$AD201-SUM($AG201:AQ201))),0)</f>
        <v>0</v>
      </c>
      <c r="AS201" s="8">
        <f>IF($O201="Aktif",MAX(0,MIN($AE201,$AD201-SUM($AG201:AR201))),0)</f>
        <v>0</v>
      </c>
      <c r="AT201" s="8">
        <f>IF($O201="Aktif",MAX(0,MIN($AE201,$AD201-SUM($AG201:AS201))),0)</f>
        <v>0</v>
      </c>
      <c r="AU201" s="8">
        <f>IF($O201="Aktif",MAX(0,MIN($AE201,$AD201-SUM($AG201:AT201))),0)</f>
        <v>0</v>
      </c>
      <c r="AV201" s="8">
        <f>IF($O201="Aktif",MAX(0,MIN($AE201,$AD201-SUM($AG201:AU201))),0)</f>
        <v>0</v>
      </c>
      <c r="AW201" s="8">
        <f t="shared" si="26"/>
        <v>0</v>
      </c>
      <c r="AX201" s="8">
        <f t="shared" si="27"/>
        <v>3.3333003520965576E-3</v>
      </c>
    </row>
    <row r="202" spans="1:50" ht="15" customHeight="1" x14ac:dyDescent="0.35">
      <c r="A202" s="102">
        <v>196</v>
      </c>
      <c r="B202" s="102" t="s">
        <v>586</v>
      </c>
      <c r="C202" s="103">
        <v>134</v>
      </c>
      <c r="D202" s="102" t="s">
        <v>184</v>
      </c>
      <c r="E202" s="102" t="s">
        <v>587</v>
      </c>
      <c r="F202" s="102" t="s">
        <v>588</v>
      </c>
      <c r="G202" s="102" t="s">
        <v>589</v>
      </c>
      <c r="H202" s="102" t="s">
        <v>590</v>
      </c>
      <c r="I202" s="102" t="s">
        <v>90</v>
      </c>
      <c r="J202" s="102" t="s">
        <v>929</v>
      </c>
      <c r="K202" s="102" t="s">
        <v>591</v>
      </c>
      <c r="L202" s="104">
        <v>43539</v>
      </c>
      <c r="M202" s="102" t="s">
        <v>930</v>
      </c>
      <c r="N202" s="102" t="s">
        <v>931</v>
      </c>
      <c r="O202" s="102" t="s">
        <v>383</v>
      </c>
      <c r="P202" s="103">
        <v>1</v>
      </c>
      <c r="Q202" s="105">
        <v>1045455</v>
      </c>
      <c r="R202" s="103">
        <v>48</v>
      </c>
      <c r="S202" s="105">
        <v>21780.3125</v>
      </c>
      <c r="T202" s="105">
        <v>1045455.0024999999</v>
      </c>
      <c r="U202" s="105">
        <v>0</v>
      </c>
      <c r="V202" s="105">
        <v>0</v>
      </c>
      <c r="W202" s="105">
        <v>0</v>
      </c>
      <c r="X202" s="105">
        <v>0</v>
      </c>
      <c r="Y202" s="105">
        <v>0</v>
      </c>
      <c r="Z202" s="105">
        <v>0</v>
      </c>
      <c r="AA202" s="105">
        <v>0</v>
      </c>
      <c r="AB202" s="105">
        <v>0</v>
      </c>
      <c r="AC202" s="8">
        <f t="shared" si="21"/>
        <v>1045455.0024999999</v>
      </c>
      <c r="AD202" s="8">
        <f t="shared" si="22"/>
        <v>-2.4999999441206455E-3</v>
      </c>
      <c r="AE202" s="8">
        <f t="shared" si="23"/>
        <v>0</v>
      </c>
      <c r="AF202" s="106">
        <f t="shared" si="24"/>
        <v>0</v>
      </c>
      <c r="AG202" s="8">
        <f t="shared" si="25"/>
        <v>0</v>
      </c>
      <c r="AH202" s="8">
        <f>IF($O202="Aktif",MAX(0,MIN($AE202,$AD202-SUM($AG202:AG202))),0)</f>
        <v>0</v>
      </c>
      <c r="AI202" s="8">
        <f>IF($O202="Aktif",MAX(0,MIN($AE202,$AD202-SUM($AG202:AH202))),0)</f>
        <v>0</v>
      </c>
      <c r="AJ202" s="8">
        <f>IF($O202="Aktif",MAX(0,MIN($AE202,$AD202-SUM($AG202:AI202))),0)</f>
        <v>0</v>
      </c>
      <c r="AK202" s="8">
        <f>IF($O202="Aktif",MAX(0,MIN($AE202,$AD202-SUM($AG202:AJ202))),0)</f>
        <v>0</v>
      </c>
      <c r="AL202" s="8">
        <f>IF($O202="Aktif",MAX(0,MIN($AE202,$AD202-SUM($AG202:AK202))),0)</f>
        <v>0</v>
      </c>
      <c r="AM202" s="8">
        <f>IF($O202="Aktif",MAX(0,MIN($AE202,$AD202-SUM($AG202:AL202))),0)</f>
        <v>0</v>
      </c>
      <c r="AN202" s="8">
        <f>IF($O202="Aktif",MAX(0,MIN($AE202,$AD202-SUM($AG202:AM202))),0)</f>
        <v>0</v>
      </c>
      <c r="AO202" s="8">
        <f>IF($O202="Aktif",MAX(0,MIN($AE202,$AD202-SUM($AG202:AN202))),0)</f>
        <v>0</v>
      </c>
      <c r="AP202" s="8">
        <f>IF($O202="Aktif",MAX(0,MIN($AE202,$AD202-SUM($AG202:AO202))),0)</f>
        <v>0</v>
      </c>
      <c r="AQ202" s="8">
        <f>IF($O202="Aktif",MAX(0,MIN($AE202,$AD202-SUM($AG202:AP202))),0)</f>
        <v>0</v>
      </c>
      <c r="AR202" s="8">
        <f>IF($O202="Aktif",MAX(0,MIN($AE202,$AD202-SUM($AG202:AQ202))),0)</f>
        <v>0</v>
      </c>
      <c r="AS202" s="8">
        <f>IF($O202="Aktif",MAX(0,MIN($AE202,$AD202-SUM($AG202:AR202))),0)</f>
        <v>0</v>
      </c>
      <c r="AT202" s="8">
        <f>IF($O202="Aktif",MAX(0,MIN($AE202,$AD202-SUM($AG202:AS202))),0)</f>
        <v>0</v>
      </c>
      <c r="AU202" s="8">
        <f>IF($O202="Aktif",MAX(0,MIN($AE202,$AD202-SUM($AG202:AT202))),0)</f>
        <v>0</v>
      </c>
      <c r="AV202" s="8">
        <f>IF($O202="Aktif",MAX(0,MIN($AE202,$AD202-SUM($AG202:AU202))),0)</f>
        <v>0</v>
      </c>
      <c r="AW202" s="8">
        <f t="shared" si="26"/>
        <v>0</v>
      </c>
      <c r="AX202" s="8">
        <f t="shared" si="27"/>
        <v>-2.4999999441206455E-3</v>
      </c>
    </row>
    <row r="203" spans="1:50" ht="15" customHeight="1" x14ac:dyDescent="0.35">
      <c r="A203" s="102">
        <v>197</v>
      </c>
      <c r="B203" s="102" t="s">
        <v>586</v>
      </c>
      <c r="C203" s="103">
        <v>135</v>
      </c>
      <c r="D203" s="102" t="s">
        <v>184</v>
      </c>
      <c r="E203" s="102" t="s">
        <v>587</v>
      </c>
      <c r="F203" s="102" t="s">
        <v>588</v>
      </c>
      <c r="G203" s="102" t="s">
        <v>589</v>
      </c>
      <c r="H203" s="102" t="s">
        <v>590</v>
      </c>
      <c r="I203" s="102" t="s">
        <v>90</v>
      </c>
      <c r="J203" s="102" t="s">
        <v>932</v>
      </c>
      <c r="K203" s="102" t="s">
        <v>591</v>
      </c>
      <c r="L203" s="104">
        <v>43616</v>
      </c>
      <c r="M203" s="102" t="s">
        <v>655</v>
      </c>
      <c r="N203" s="102" t="s">
        <v>933</v>
      </c>
      <c r="O203" s="102" t="s">
        <v>383</v>
      </c>
      <c r="P203" s="103">
        <v>1</v>
      </c>
      <c r="Q203" s="105">
        <v>1250000</v>
      </c>
      <c r="R203" s="103">
        <v>48</v>
      </c>
      <c r="S203" s="105">
        <v>26041.666666666701</v>
      </c>
      <c r="T203" s="105">
        <v>1249999.9966666701</v>
      </c>
      <c r="U203" s="105">
        <v>0</v>
      </c>
      <c r="V203" s="105">
        <v>0</v>
      </c>
      <c r="W203" s="105">
        <v>0</v>
      </c>
      <c r="X203" s="105">
        <v>0</v>
      </c>
      <c r="Y203" s="105">
        <v>0</v>
      </c>
      <c r="Z203" s="105">
        <v>0</v>
      </c>
      <c r="AA203" s="105">
        <v>0</v>
      </c>
      <c r="AB203" s="105">
        <v>0</v>
      </c>
      <c r="AC203" s="8">
        <f t="shared" si="21"/>
        <v>1249999.9966666701</v>
      </c>
      <c r="AD203" s="8">
        <f t="shared" si="22"/>
        <v>3.3333299215883017E-3</v>
      </c>
      <c r="AE203" s="8">
        <f t="shared" si="23"/>
        <v>0</v>
      </c>
      <c r="AF203" s="106">
        <f t="shared" si="24"/>
        <v>0</v>
      </c>
      <c r="AG203" s="8">
        <f t="shared" si="25"/>
        <v>0</v>
      </c>
      <c r="AH203" s="8">
        <f>IF($O203="Aktif",MAX(0,MIN($AE203,$AD203-SUM($AG203:AG203))),0)</f>
        <v>0</v>
      </c>
      <c r="AI203" s="8">
        <f>IF($O203="Aktif",MAX(0,MIN($AE203,$AD203-SUM($AG203:AH203))),0)</f>
        <v>0</v>
      </c>
      <c r="AJ203" s="8">
        <f>IF($O203="Aktif",MAX(0,MIN($AE203,$AD203-SUM($AG203:AI203))),0)</f>
        <v>0</v>
      </c>
      <c r="AK203" s="8">
        <f>IF($O203="Aktif",MAX(0,MIN($AE203,$AD203-SUM($AG203:AJ203))),0)</f>
        <v>0</v>
      </c>
      <c r="AL203" s="8">
        <f>IF($O203="Aktif",MAX(0,MIN($AE203,$AD203-SUM($AG203:AK203))),0)</f>
        <v>0</v>
      </c>
      <c r="AM203" s="8">
        <f>IF($O203="Aktif",MAX(0,MIN($AE203,$AD203-SUM($AG203:AL203))),0)</f>
        <v>0</v>
      </c>
      <c r="AN203" s="8">
        <f>IF($O203="Aktif",MAX(0,MIN($AE203,$AD203-SUM($AG203:AM203))),0)</f>
        <v>0</v>
      </c>
      <c r="AO203" s="8">
        <f>IF($O203="Aktif",MAX(0,MIN($AE203,$AD203-SUM($AG203:AN203))),0)</f>
        <v>0</v>
      </c>
      <c r="AP203" s="8">
        <f>IF($O203="Aktif",MAX(0,MIN($AE203,$AD203-SUM($AG203:AO203))),0)</f>
        <v>0</v>
      </c>
      <c r="AQ203" s="8">
        <f>IF($O203="Aktif",MAX(0,MIN($AE203,$AD203-SUM($AG203:AP203))),0)</f>
        <v>0</v>
      </c>
      <c r="AR203" s="8">
        <f>IF($O203="Aktif",MAX(0,MIN($AE203,$AD203-SUM($AG203:AQ203))),0)</f>
        <v>0</v>
      </c>
      <c r="AS203" s="8">
        <f>IF($O203="Aktif",MAX(0,MIN($AE203,$AD203-SUM($AG203:AR203))),0)</f>
        <v>0</v>
      </c>
      <c r="AT203" s="8">
        <f>IF($O203="Aktif",MAX(0,MIN($AE203,$AD203-SUM($AG203:AS203))),0)</f>
        <v>0</v>
      </c>
      <c r="AU203" s="8">
        <f>IF($O203="Aktif",MAX(0,MIN($AE203,$AD203-SUM($AG203:AT203))),0)</f>
        <v>0</v>
      </c>
      <c r="AV203" s="8">
        <f>IF($O203="Aktif",MAX(0,MIN($AE203,$AD203-SUM($AG203:AU203))),0)</f>
        <v>0</v>
      </c>
      <c r="AW203" s="8">
        <f t="shared" si="26"/>
        <v>0</v>
      </c>
      <c r="AX203" s="8">
        <f t="shared" si="27"/>
        <v>3.3333299215883017E-3</v>
      </c>
    </row>
    <row r="204" spans="1:50" ht="15" customHeight="1" x14ac:dyDescent="0.35">
      <c r="A204" s="102">
        <v>198</v>
      </c>
      <c r="B204" s="102" t="s">
        <v>586</v>
      </c>
      <c r="C204" s="103">
        <v>136</v>
      </c>
      <c r="D204" s="102" t="s">
        <v>184</v>
      </c>
      <c r="E204" s="102" t="s">
        <v>587</v>
      </c>
      <c r="F204" s="102" t="s">
        <v>588</v>
      </c>
      <c r="G204" s="102" t="s">
        <v>589</v>
      </c>
      <c r="H204" s="102" t="s">
        <v>590</v>
      </c>
      <c r="I204" s="102" t="s">
        <v>90</v>
      </c>
      <c r="J204" s="102" t="s">
        <v>934</v>
      </c>
      <c r="K204" s="102" t="s">
        <v>591</v>
      </c>
      <c r="L204" s="104">
        <v>43810</v>
      </c>
      <c r="M204" s="102" t="s">
        <v>935</v>
      </c>
      <c r="N204" s="102" t="s">
        <v>936</v>
      </c>
      <c r="O204" s="102" t="s">
        <v>383</v>
      </c>
      <c r="P204" s="103">
        <v>2</v>
      </c>
      <c r="Q204" s="105">
        <v>17800000</v>
      </c>
      <c r="R204" s="103">
        <v>48</v>
      </c>
      <c r="S204" s="105">
        <v>370833.33333333302</v>
      </c>
      <c r="T204" s="105">
        <v>17800000</v>
      </c>
      <c r="U204" s="105">
        <v>0</v>
      </c>
      <c r="V204" s="105">
        <v>0</v>
      </c>
      <c r="W204" s="105">
        <v>0</v>
      </c>
      <c r="X204" s="105">
        <v>0</v>
      </c>
      <c r="Y204" s="105">
        <v>0</v>
      </c>
      <c r="Z204" s="105">
        <v>0</v>
      </c>
      <c r="AA204" s="105">
        <v>0</v>
      </c>
      <c r="AB204" s="105">
        <v>0</v>
      </c>
      <c r="AC204" s="8">
        <f t="shared" si="21"/>
        <v>17800000</v>
      </c>
      <c r="AD204" s="8">
        <f t="shared" si="22"/>
        <v>0</v>
      </c>
      <c r="AE204" s="8">
        <f t="shared" si="23"/>
        <v>0</v>
      </c>
      <c r="AF204" s="106">
        <f t="shared" si="24"/>
        <v>0</v>
      </c>
      <c r="AG204" s="8">
        <f t="shared" si="25"/>
        <v>0</v>
      </c>
      <c r="AH204" s="8">
        <f>IF($O204="Aktif",MAX(0,MIN($AE204,$AD204-SUM($AG204:AG204))),0)</f>
        <v>0</v>
      </c>
      <c r="AI204" s="8">
        <f>IF($O204="Aktif",MAX(0,MIN($AE204,$AD204-SUM($AG204:AH204))),0)</f>
        <v>0</v>
      </c>
      <c r="AJ204" s="8">
        <f>IF($O204="Aktif",MAX(0,MIN($AE204,$AD204-SUM($AG204:AI204))),0)</f>
        <v>0</v>
      </c>
      <c r="AK204" s="8">
        <f>IF($O204="Aktif",MAX(0,MIN($AE204,$AD204-SUM($AG204:AJ204))),0)</f>
        <v>0</v>
      </c>
      <c r="AL204" s="8">
        <f>IF($O204="Aktif",MAX(0,MIN($AE204,$AD204-SUM($AG204:AK204))),0)</f>
        <v>0</v>
      </c>
      <c r="AM204" s="8">
        <f>IF($O204="Aktif",MAX(0,MIN($AE204,$AD204-SUM($AG204:AL204))),0)</f>
        <v>0</v>
      </c>
      <c r="AN204" s="8">
        <f>IF($O204="Aktif",MAX(0,MIN($AE204,$AD204-SUM($AG204:AM204))),0)</f>
        <v>0</v>
      </c>
      <c r="AO204" s="8">
        <f>IF($O204="Aktif",MAX(0,MIN($AE204,$AD204-SUM($AG204:AN204))),0)</f>
        <v>0</v>
      </c>
      <c r="AP204" s="8">
        <f>IF($O204="Aktif",MAX(0,MIN($AE204,$AD204-SUM($AG204:AO204))),0)</f>
        <v>0</v>
      </c>
      <c r="AQ204" s="8">
        <f>IF($O204="Aktif",MAX(0,MIN($AE204,$AD204-SUM($AG204:AP204))),0)</f>
        <v>0</v>
      </c>
      <c r="AR204" s="8">
        <f>IF($O204="Aktif",MAX(0,MIN($AE204,$AD204-SUM($AG204:AQ204))),0)</f>
        <v>0</v>
      </c>
      <c r="AS204" s="8">
        <f>IF($O204="Aktif",MAX(0,MIN($AE204,$AD204-SUM($AG204:AR204))),0)</f>
        <v>0</v>
      </c>
      <c r="AT204" s="8">
        <f>IF($O204="Aktif",MAX(0,MIN($AE204,$AD204-SUM($AG204:AS204))),0)</f>
        <v>0</v>
      </c>
      <c r="AU204" s="8">
        <f>IF($O204="Aktif",MAX(0,MIN($AE204,$AD204-SUM($AG204:AT204))),0)</f>
        <v>0</v>
      </c>
      <c r="AV204" s="8">
        <f>IF($O204="Aktif",MAX(0,MIN($AE204,$AD204-SUM($AG204:AU204))),0)</f>
        <v>0</v>
      </c>
      <c r="AW204" s="8">
        <f t="shared" si="26"/>
        <v>0</v>
      </c>
      <c r="AX204" s="8">
        <f t="shared" si="27"/>
        <v>0</v>
      </c>
    </row>
    <row r="205" spans="1:50" ht="15" customHeight="1" x14ac:dyDescent="0.35">
      <c r="A205" s="102">
        <v>199</v>
      </c>
      <c r="B205" s="102" t="s">
        <v>586</v>
      </c>
      <c r="C205" s="103">
        <v>137</v>
      </c>
      <c r="D205" s="102" t="s">
        <v>184</v>
      </c>
      <c r="E205" s="102" t="s">
        <v>587</v>
      </c>
      <c r="F205" s="102" t="s">
        <v>588</v>
      </c>
      <c r="G205" s="102" t="s">
        <v>589</v>
      </c>
      <c r="H205" s="102" t="s">
        <v>590</v>
      </c>
      <c r="I205" s="102" t="s">
        <v>90</v>
      </c>
      <c r="J205" s="102"/>
      <c r="K205" s="102" t="s">
        <v>591</v>
      </c>
      <c r="L205" s="104">
        <v>43843</v>
      </c>
      <c r="M205" s="102" t="s">
        <v>809</v>
      </c>
      <c r="N205" s="102" t="s">
        <v>937</v>
      </c>
      <c r="O205" s="102" t="s">
        <v>383</v>
      </c>
      <c r="P205" s="103">
        <v>1</v>
      </c>
      <c r="Q205" s="105">
        <v>200000</v>
      </c>
      <c r="R205" s="103">
        <v>48</v>
      </c>
      <c r="S205" s="105">
        <v>4166.6666666666697</v>
      </c>
      <c r="T205" s="105">
        <v>75000</v>
      </c>
      <c r="U205" s="105">
        <v>0</v>
      </c>
      <c r="V205" s="105">
        <v>0</v>
      </c>
      <c r="W205" s="105">
        <v>0</v>
      </c>
      <c r="X205" s="105">
        <v>0</v>
      </c>
      <c r="Y205" s="105">
        <v>0</v>
      </c>
      <c r="Z205" s="105">
        <v>0</v>
      </c>
      <c r="AA205" s="105">
        <v>0</v>
      </c>
      <c r="AB205" s="105">
        <v>0</v>
      </c>
      <c r="AC205" s="8">
        <f t="shared" si="21"/>
        <v>75000</v>
      </c>
      <c r="AD205" s="8">
        <f t="shared" si="22"/>
        <v>125000</v>
      </c>
      <c r="AE205" s="8">
        <f t="shared" si="23"/>
        <v>0</v>
      </c>
      <c r="AF205" s="106">
        <f t="shared" si="24"/>
        <v>0</v>
      </c>
      <c r="AG205" s="8">
        <f t="shared" si="25"/>
        <v>0</v>
      </c>
      <c r="AH205" s="8">
        <f>IF($O205="Aktif",MAX(0,MIN($AE205,$AD205-SUM($AG205:AG205))),0)</f>
        <v>0</v>
      </c>
      <c r="AI205" s="8">
        <f>IF($O205="Aktif",MAX(0,MIN($AE205,$AD205-SUM($AG205:AH205))),0)</f>
        <v>0</v>
      </c>
      <c r="AJ205" s="8">
        <f>IF($O205="Aktif",MAX(0,MIN($AE205,$AD205-SUM($AG205:AI205))),0)</f>
        <v>0</v>
      </c>
      <c r="AK205" s="8">
        <f>IF($O205="Aktif",MAX(0,MIN($AE205,$AD205-SUM($AG205:AJ205))),0)</f>
        <v>0</v>
      </c>
      <c r="AL205" s="8">
        <f>IF($O205="Aktif",MAX(0,MIN($AE205,$AD205-SUM($AG205:AK205))),0)</f>
        <v>0</v>
      </c>
      <c r="AM205" s="8">
        <f>IF($O205="Aktif",MAX(0,MIN($AE205,$AD205-SUM($AG205:AL205))),0)</f>
        <v>0</v>
      </c>
      <c r="AN205" s="8">
        <f>IF($O205="Aktif",MAX(0,MIN($AE205,$AD205-SUM($AG205:AM205))),0)</f>
        <v>0</v>
      </c>
      <c r="AO205" s="8">
        <f>IF($O205="Aktif",MAX(0,MIN($AE205,$AD205-SUM($AG205:AN205))),0)</f>
        <v>0</v>
      </c>
      <c r="AP205" s="8">
        <f>IF($O205="Aktif",MAX(0,MIN($AE205,$AD205-SUM($AG205:AO205))),0)</f>
        <v>0</v>
      </c>
      <c r="AQ205" s="8">
        <f>IF($O205="Aktif",MAX(0,MIN($AE205,$AD205-SUM($AG205:AP205))),0)</f>
        <v>0</v>
      </c>
      <c r="AR205" s="8">
        <f>IF($O205="Aktif",MAX(0,MIN($AE205,$AD205-SUM($AG205:AQ205))),0)</f>
        <v>0</v>
      </c>
      <c r="AS205" s="8">
        <f>IF($O205="Aktif",MAX(0,MIN($AE205,$AD205-SUM($AG205:AR205))),0)</f>
        <v>0</v>
      </c>
      <c r="AT205" s="8">
        <f>IF($O205="Aktif",MAX(0,MIN($AE205,$AD205-SUM($AG205:AS205))),0)</f>
        <v>0</v>
      </c>
      <c r="AU205" s="8">
        <f>IF($O205="Aktif",MAX(0,MIN($AE205,$AD205-SUM($AG205:AT205))),0)</f>
        <v>0</v>
      </c>
      <c r="AV205" s="8">
        <f>IF($O205="Aktif",MAX(0,MIN($AE205,$AD205-SUM($AG205:AU205))),0)</f>
        <v>0</v>
      </c>
      <c r="AW205" s="8">
        <f t="shared" si="26"/>
        <v>0</v>
      </c>
      <c r="AX205" s="8">
        <f t="shared" si="27"/>
        <v>125000</v>
      </c>
    </row>
    <row r="206" spans="1:50" ht="15" customHeight="1" x14ac:dyDescent="0.35">
      <c r="A206" s="102">
        <v>200</v>
      </c>
      <c r="B206" s="102" t="s">
        <v>586</v>
      </c>
      <c r="C206" s="103">
        <v>138</v>
      </c>
      <c r="D206" s="102" t="s">
        <v>184</v>
      </c>
      <c r="E206" s="102" t="s">
        <v>587</v>
      </c>
      <c r="F206" s="102" t="s">
        <v>588</v>
      </c>
      <c r="G206" s="102" t="s">
        <v>589</v>
      </c>
      <c r="H206" s="102" t="s">
        <v>590</v>
      </c>
      <c r="I206" s="102" t="s">
        <v>90</v>
      </c>
      <c r="J206" s="102"/>
      <c r="K206" s="102" t="s">
        <v>591</v>
      </c>
      <c r="L206" s="104">
        <v>44377</v>
      </c>
      <c r="M206" s="102" t="s">
        <v>809</v>
      </c>
      <c r="N206" s="102" t="s">
        <v>938</v>
      </c>
      <c r="O206" s="102" t="s">
        <v>570</v>
      </c>
      <c r="P206" s="103">
        <v>1</v>
      </c>
      <c r="Q206" s="105">
        <v>-200000</v>
      </c>
      <c r="R206" s="102"/>
      <c r="S206" s="105">
        <v>0</v>
      </c>
      <c r="T206" s="105">
        <v>-75000</v>
      </c>
      <c r="U206" s="105">
        <v>0</v>
      </c>
      <c r="V206" s="105">
        <v>0</v>
      </c>
      <c r="W206" s="105">
        <v>0</v>
      </c>
      <c r="X206" s="105">
        <v>0</v>
      </c>
      <c r="Y206" s="105">
        <v>0</v>
      </c>
      <c r="Z206" s="105">
        <v>0</v>
      </c>
      <c r="AA206" s="105">
        <v>0</v>
      </c>
      <c r="AB206" s="105">
        <v>0</v>
      </c>
      <c r="AC206" s="8">
        <f t="shared" si="21"/>
        <v>-75000</v>
      </c>
      <c r="AD206" s="8">
        <f t="shared" si="22"/>
        <v>-125000</v>
      </c>
      <c r="AE206" s="8">
        <f t="shared" si="23"/>
        <v>0</v>
      </c>
      <c r="AF206" s="106">
        <f t="shared" si="24"/>
        <v>0</v>
      </c>
      <c r="AG206" s="8">
        <f t="shared" si="25"/>
        <v>0</v>
      </c>
      <c r="AH206" s="8">
        <f>IF($O206="Aktif",MAX(0,MIN($AE206,$AD206-SUM($AG206:AG206))),0)</f>
        <v>0</v>
      </c>
      <c r="AI206" s="8">
        <f>IF($O206="Aktif",MAX(0,MIN($AE206,$AD206-SUM($AG206:AH206))),0)</f>
        <v>0</v>
      </c>
      <c r="AJ206" s="8">
        <f>IF($O206="Aktif",MAX(0,MIN($AE206,$AD206-SUM($AG206:AI206))),0)</f>
        <v>0</v>
      </c>
      <c r="AK206" s="8">
        <f>IF($O206="Aktif",MAX(0,MIN($AE206,$AD206-SUM($AG206:AJ206))),0)</f>
        <v>0</v>
      </c>
      <c r="AL206" s="8">
        <f>IF($O206="Aktif",MAX(0,MIN($AE206,$AD206-SUM($AG206:AK206))),0)</f>
        <v>0</v>
      </c>
      <c r="AM206" s="8">
        <f>IF($O206="Aktif",MAX(0,MIN($AE206,$AD206-SUM($AG206:AL206))),0)</f>
        <v>0</v>
      </c>
      <c r="AN206" s="8">
        <f>IF($O206="Aktif",MAX(0,MIN($AE206,$AD206-SUM($AG206:AM206))),0)</f>
        <v>0</v>
      </c>
      <c r="AO206" s="8">
        <f>IF($O206="Aktif",MAX(0,MIN($AE206,$AD206-SUM($AG206:AN206))),0)</f>
        <v>0</v>
      </c>
      <c r="AP206" s="8">
        <f>IF($O206="Aktif",MAX(0,MIN($AE206,$AD206-SUM($AG206:AO206))),0)</f>
        <v>0</v>
      </c>
      <c r="AQ206" s="8">
        <f>IF($O206="Aktif",MAX(0,MIN($AE206,$AD206-SUM($AG206:AP206))),0)</f>
        <v>0</v>
      </c>
      <c r="AR206" s="8">
        <f>IF($O206="Aktif",MAX(0,MIN($AE206,$AD206-SUM($AG206:AQ206))),0)</f>
        <v>0</v>
      </c>
      <c r="AS206" s="8">
        <f>IF($O206="Aktif",MAX(0,MIN($AE206,$AD206-SUM($AG206:AR206))),0)</f>
        <v>0</v>
      </c>
      <c r="AT206" s="8">
        <f>IF($O206="Aktif",MAX(0,MIN($AE206,$AD206-SUM($AG206:AS206))),0)</f>
        <v>0</v>
      </c>
      <c r="AU206" s="8">
        <f>IF($O206="Aktif",MAX(0,MIN($AE206,$AD206-SUM($AG206:AT206))),0)</f>
        <v>0</v>
      </c>
      <c r="AV206" s="8">
        <f>IF($O206="Aktif",MAX(0,MIN($AE206,$AD206-SUM($AG206:AU206))),0)</f>
        <v>0</v>
      </c>
      <c r="AW206" s="8">
        <f t="shared" si="26"/>
        <v>0</v>
      </c>
      <c r="AX206" s="8">
        <f t="shared" si="27"/>
        <v>-125000</v>
      </c>
    </row>
    <row r="207" spans="1:50" ht="15" customHeight="1" x14ac:dyDescent="0.35">
      <c r="A207" s="102">
        <v>201</v>
      </c>
      <c r="B207" s="102" t="s">
        <v>586</v>
      </c>
      <c r="C207" s="103">
        <v>139</v>
      </c>
      <c r="D207" s="102" t="s">
        <v>184</v>
      </c>
      <c r="E207" s="102" t="s">
        <v>587</v>
      </c>
      <c r="F207" s="102" t="s">
        <v>588</v>
      </c>
      <c r="G207" s="102" t="s">
        <v>589</v>
      </c>
      <c r="H207" s="102" t="s">
        <v>590</v>
      </c>
      <c r="I207" s="102" t="s">
        <v>90</v>
      </c>
      <c r="J207" s="102"/>
      <c r="K207" s="102" t="s">
        <v>591</v>
      </c>
      <c r="L207" s="104">
        <v>43861</v>
      </c>
      <c r="M207" s="102" t="s">
        <v>939</v>
      </c>
      <c r="N207" s="102" t="s">
        <v>940</v>
      </c>
      <c r="O207" s="102" t="s">
        <v>383</v>
      </c>
      <c r="P207" s="103">
        <v>1</v>
      </c>
      <c r="Q207" s="105">
        <v>6000315</v>
      </c>
      <c r="R207" s="103">
        <v>48</v>
      </c>
      <c r="S207" s="105">
        <v>125006.5625</v>
      </c>
      <c r="T207" s="105">
        <v>6000315</v>
      </c>
      <c r="U207" s="105">
        <v>0</v>
      </c>
      <c r="V207" s="105">
        <v>0</v>
      </c>
      <c r="W207" s="105">
        <v>0</v>
      </c>
      <c r="X207" s="105">
        <v>0</v>
      </c>
      <c r="Y207" s="105">
        <v>0</v>
      </c>
      <c r="Z207" s="105">
        <v>0</v>
      </c>
      <c r="AA207" s="105">
        <v>0</v>
      </c>
      <c r="AB207" s="105">
        <v>0</v>
      </c>
      <c r="AC207" s="8">
        <f t="shared" si="21"/>
        <v>6000315</v>
      </c>
      <c r="AD207" s="8">
        <f t="shared" si="22"/>
        <v>0</v>
      </c>
      <c r="AE207" s="8">
        <f t="shared" si="23"/>
        <v>0</v>
      </c>
      <c r="AF207" s="106">
        <f t="shared" si="24"/>
        <v>0</v>
      </c>
      <c r="AG207" s="8">
        <f t="shared" si="25"/>
        <v>0</v>
      </c>
      <c r="AH207" s="8">
        <f>IF($O207="Aktif",MAX(0,MIN($AE207,$AD207-SUM($AG207:AG207))),0)</f>
        <v>0</v>
      </c>
      <c r="AI207" s="8">
        <f>IF($O207="Aktif",MAX(0,MIN($AE207,$AD207-SUM($AG207:AH207))),0)</f>
        <v>0</v>
      </c>
      <c r="AJ207" s="8">
        <f>IF($O207="Aktif",MAX(0,MIN($AE207,$AD207-SUM($AG207:AI207))),0)</f>
        <v>0</v>
      </c>
      <c r="AK207" s="8">
        <f>IF($O207="Aktif",MAX(0,MIN($AE207,$AD207-SUM($AG207:AJ207))),0)</f>
        <v>0</v>
      </c>
      <c r="AL207" s="8">
        <f>IF($O207="Aktif",MAX(0,MIN($AE207,$AD207-SUM($AG207:AK207))),0)</f>
        <v>0</v>
      </c>
      <c r="AM207" s="8">
        <f>IF($O207="Aktif",MAX(0,MIN($AE207,$AD207-SUM($AG207:AL207))),0)</f>
        <v>0</v>
      </c>
      <c r="AN207" s="8">
        <f>IF($O207="Aktif",MAX(0,MIN($AE207,$AD207-SUM($AG207:AM207))),0)</f>
        <v>0</v>
      </c>
      <c r="AO207" s="8">
        <f>IF($O207="Aktif",MAX(0,MIN($AE207,$AD207-SUM($AG207:AN207))),0)</f>
        <v>0</v>
      </c>
      <c r="AP207" s="8">
        <f>IF($O207="Aktif",MAX(0,MIN($AE207,$AD207-SUM($AG207:AO207))),0)</f>
        <v>0</v>
      </c>
      <c r="AQ207" s="8">
        <f>IF($O207="Aktif",MAX(0,MIN($AE207,$AD207-SUM($AG207:AP207))),0)</f>
        <v>0</v>
      </c>
      <c r="AR207" s="8">
        <f>IF($O207="Aktif",MAX(0,MIN($AE207,$AD207-SUM($AG207:AQ207))),0)</f>
        <v>0</v>
      </c>
      <c r="AS207" s="8">
        <f>IF($O207="Aktif",MAX(0,MIN($AE207,$AD207-SUM($AG207:AR207))),0)</f>
        <v>0</v>
      </c>
      <c r="AT207" s="8">
        <f>IF($O207="Aktif",MAX(0,MIN($AE207,$AD207-SUM($AG207:AS207))),0)</f>
        <v>0</v>
      </c>
      <c r="AU207" s="8">
        <f>IF($O207="Aktif",MAX(0,MIN($AE207,$AD207-SUM($AG207:AT207))),0)</f>
        <v>0</v>
      </c>
      <c r="AV207" s="8">
        <f>IF($O207="Aktif",MAX(0,MIN($AE207,$AD207-SUM($AG207:AU207))),0)</f>
        <v>0</v>
      </c>
      <c r="AW207" s="8">
        <f t="shared" si="26"/>
        <v>0</v>
      </c>
      <c r="AX207" s="8">
        <f t="shared" si="27"/>
        <v>0</v>
      </c>
    </row>
    <row r="208" spans="1:50" ht="15" customHeight="1" x14ac:dyDescent="0.35">
      <c r="A208" s="102">
        <v>202</v>
      </c>
      <c r="B208" s="102" t="s">
        <v>586</v>
      </c>
      <c r="C208" s="103">
        <v>140</v>
      </c>
      <c r="D208" s="102" t="s">
        <v>184</v>
      </c>
      <c r="E208" s="102" t="s">
        <v>587</v>
      </c>
      <c r="F208" s="102" t="s">
        <v>588</v>
      </c>
      <c r="G208" s="102" t="s">
        <v>589</v>
      </c>
      <c r="H208" s="102" t="s">
        <v>590</v>
      </c>
      <c r="I208" s="102" t="s">
        <v>90</v>
      </c>
      <c r="J208" s="102"/>
      <c r="K208" s="102" t="s">
        <v>591</v>
      </c>
      <c r="L208" s="104">
        <v>43896</v>
      </c>
      <c r="M208" s="102" t="s">
        <v>941</v>
      </c>
      <c r="N208" s="102" t="s">
        <v>942</v>
      </c>
      <c r="O208" s="102" t="s">
        <v>383</v>
      </c>
      <c r="P208" s="103">
        <v>1</v>
      </c>
      <c r="Q208" s="105">
        <v>115000</v>
      </c>
      <c r="R208" s="103">
        <v>48</v>
      </c>
      <c r="S208" s="105">
        <v>2395.8333333333298</v>
      </c>
      <c r="T208" s="105">
        <v>38333.333333333299</v>
      </c>
      <c r="U208" s="105">
        <v>0</v>
      </c>
      <c r="V208" s="105">
        <v>0</v>
      </c>
      <c r="W208" s="105">
        <v>0</v>
      </c>
      <c r="X208" s="105">
        <v>0</v>
      </c>
      <c r="Y208" s="105">
        <v>0</v>
      </c>
      <c r="Z208" s="105">
        <v>0</v>
      </c>
      <c r="AA208" s="105">
        <v>0</v>
      </c>
      <c r="AB208" s="105">
        <v>0</v>
      </c>
      <c r="AC208" s="8">
        <f t="shared" si="21"/>
        <v>38333.333333333299</v>
      </c>
      <c r="AD208" s="8">
        <f t="shared" si="22"/>
        <v>76666.666666666701</v>
      </c>
      <c r="AE208" s="8">
        <f t="shared" si="23"/>
        <v>0</v>
      </c>
      <c r="AF208" s="106">
        <f t="shared" si="24"/>
        <v>0</v>
      </c>
      <c r="AG208" s="8">
        <f t="shared" si="25"/>
        <v>0</v>
      </c>
      <c r="AH208" s="8">
        <f>IF($O208="Aktif",MAX(0,MIN($AE208,$AD208-SUM($AG208:AG208))),0)</f>
        <v>0</v>
      </c>
      <c r="AI208" s="8">
        <f>IF($O208="Aktif",MAX(0,MIN($AE208,$AD208-SUM($AG208:AH208))),0)</f>
        <v>0</v>
      </c>
      <c r="AJ208" s="8">
        <f>IF($O208="Aktif",MAX(0,MIN($AE208,$AD208-SUM($AG208:AI208))),0)</f>
        <v>0</v>
      </c>
      <c r="AK208" s="8">
        <f>IF($O208="Aktif",MAX(0,MIN($AE208,$AD208-SUM($AG208:AJ208))),0)</f>
        <v>0</v>
      </c>
      <c r="AL208" s="8">
        <f>IF($O208="Aktif",MAX(0,MIN($AE208,$AD208-SUM($AG208:AK208))),0)</f>
        <v>0</v>
      </c>
      <c r="AM208" s="8">
        <f>IF($O208="Aktif",MAX(0,MIN($AE208,$AD208-SUM($AG208:AL208))),0)</f>
        <v>0</v>
      </c>
      <c r="AN208" s="8">
        <f>IF($O208="Aktif",MAX(0,MIN($AE208,$AD208-SUM($AG208:AM208))),0)</f>
        <v>0</v>
      </c>
      <c r="AO208" s="8">
        <f>IF($O208="Aktif",MAX(0,MIN($AE208,$AD208-SUM($AG208:AN208))),0)</f>
        <v>0</v>
      </c>
      <c r="AP208" s="8">
        <f>IF($O208="Aktif",MAX(0,MIN($AE208,$AD208-SUM($AG208:AO208))),0)</f>
        <v>0</v>
      </c>
      <c r="AQ208" s="8">
        <f>IF($O208="Aktif",MAX(0,MIN($AE208,$AD208-SUM($AG208:AP208))),0)</f>
        <v>0</v>
      </c>
      <c r="AR208" s="8">
        <f>IF($O208="Aktif",MAX(0,MIN($AE208,$AD208-SUM($AG208:AQ208))),0)</f>
        <v>0</v>
      </c>
      <c r="AS208" s="8">
        <f>IF($O208="Aktif",MAX(0,MIN($AE208,$AD208-SUM($AG208:AR208))),0)</f>
        <v>0</v>
      </c>
      <c r="AT208" s="8">
        <f>IF($O208="Aktif",MAX(0,MIN($AE208,$AD208-SUM($AG208:AS208))),0)</f>
        <v>0</v>
      </c>
      <c r="AU208" s="8">
        <f>IF($O208="Aktif",MAX(0,MIN($AE208,$AD208-SUM($AG208:AT208))),0)</f>
        <v>0</v>
      </c>
      <c r="AV208" s="8">
        <f>IF($O208="Aktif",MAX(0,MIN($AE208,$AD208-SUM($AG208:AU208))),0)</f>
        <v>0</v>
      </c>
      <c r="AW208" s="8">
        <f t="shared" si="26"/>
        <v>0</v>
      </c>
      <c r="AX208" s="8">
        <f t="shared" si="27"/>
        <v>76666.666666666701</v>
      </c>
    </row>
    <row r="209" spans="1:50" ht="15" customHeight="1" x14ac:dyDescent="0.35">
      <c r="A209" s="102">
        <v>203</v>
      </c>
      <c r="B209" s="102" t="s">
        <v>586</v>
      </c>
      <c r="C209" s="103">
        <v>141</v>
      </c>
      <c r="D209" s="102" t="s">
        <v>184</v>
      </c>
      <c r="E209" s="102" t="s">
        <v>587</v>
      </c>
      <c r="F209" s="102" t="s">
        <v>588</v>
      </c>
      <c r="G209" s="102" t="s">
        <v>589</v>
      </c>
      <c r="H209" s="102" t="s">
        <v>590</v>
      </c>
      <c r="I209" s="102" t="s">
        <v>90</v>
      </c>
      <c r="J209" s="102"/>
      <c r="K209" s="102" t="s">
        <v>591</v>
      </c>
      <c r="L209" s="104">
        <v>44377</v>
      </c>
      <c r="M209" s="102" t="s">
        <v>941</v>
      </c>
      <c r="N209" s="102" t="s">
        <v>943</v>
      </c>
      <c r="O209" s="102" t="s">
        <v>570</v>
      </c>
      <c r="P209" s="103">
        <v>1</v>
      </c>
      <c r="Q209" s="105">
        <v>-115000</v>
      </c>
      <c r="R209" s="102"/>
      <c r="S209" s="105">
        <v>0</v>
      </c>
      <c r="T209" s="105">
        <v>-38333.33</v>
      </c>
      <c r="U209" s="105">
        <v>0</v>
      </c>
      <c r="V209" s="105">
        <v>0</v>
      </c>
      <c r="W209" s="105">
        <v>0</v>
      </c>
      <c r="X209" s="105">
        <v>0</v>
      </c>
      <c r="Y209" s="105">
        <v>0</v>
      </c>
      <c r="Z209" s="105">
        <v>0</v>
      </c>
      <c r="AA209" s="105">
        <v>0</v>
      </c>
      <c r="AB209" s="105">
        <v>0</v>
      </c>
      <c r="AC209" s="8">
        <f t="shared" si="21"/>
        <v>-38333.33</v>
      </c>
      <c r="AD209" s="8">
        <f t="shared" si="22"/>
        <v>-76666.67</v>
      </c>
      <c r="AE209" s="8">
        <f t="shared" si="23"/>
        <v>0</v>
      </c>
      <c r="AF209" s="106">
        <f t="shared" si="24"/>
        <v>0</v>
      </c>
      <c r="AG209" s="8">
        <f t="shared" si="25"/>
        <v>0</v>
      </c>
      <c r="AH209" s="8">
        <f>IF($O209="Aktif",MAX(0,MIN($AE209,$AD209-SUM($AG209:AG209))),0)</f>
        <v>0</v>
      </c>
      <c r="AI209" s="8">
        <f>IF($O209="Aktif",MAX(0,MIN($AE209,$AD209-SUM($AG209:AH209))),0)</f>
        <v>0</v>
      </c>
      <c r="AJ209" s="8">
        <f>IF($O209="Aktif",MAX(0,MIN($AE209,$AD209-SUM($AG209:AI209))),0)</f>
        <v>0</v>
      </c>
      <c r="AK209" s="8">
        <f>IF($O209="Aktif",MAX(0,MIN($AE209,$AD209-SUM($AG209:AJ209))),0)</f>
        <v>0</v>
      </c>
      <c r="AL209" s="8">
        <f>IF($O209="Aktif",MAX(0,MIN($AE209,$AD209-SUM($AG209:AK209))),0)</f>
        <v>0</v>
      </c>
      <c r="AM209" s="8">
        <f>IF($O209="Aktif",MAX(0,MIN($AE209,$AD209-SUM($AG209:AL209))),0)</f>
        <v>0</v>
      </c>
      <c r="AN209" s="8">
        <f>IF($O209="Aktif",MAX(0,MIN($AE209,$AD209-SUM($AG209:AM209))),0)</f>
        <v>0</v>
      </c>
      <c r="AO209" s="8">
        <f>IF($O209="Aktif",MAX(0,MIN($AE209,$AD209-SUM($AG209:AN209))),0)</f>
        <v>0</v>
      </c>
      <c r="AP209" s="8">
        <f>IF($O209="Aktif",MAX(0,MIN($AE209,$AD209-SUM($AG209:AO209))),0)</f>
        <v>0</v>
      </c>
      <c r="AQ209" s="8">
        <f>IF($O209="Aktif",MAX(0,MIN($AE209,$AD209-SUM($AG209:AP209))),0)</f>
        <v>0</v>
      </c>
      <c r="AR209" s="8">
        <f>IF($O209="Aktif",MAX(0,MIN($AE209,$AD209-SUM($AG209:AQ209))),0)</f>
        <v>0</v>
      </c>
      <c r="AS209" s="8">
        <f>IF($O209="Aktif",MAX(0,MIN($AE209,$AD209-SUM($AG209:AR209))),0)</f>
        <v>0</v>
      </c>
      <c r="AT209" s="8">
        <f>IF($O209="Aktif",MAX(0,MIN($AE209,$AD209-SUM($AG209:AS209))),0)</f>
        <v>0</v>
      </c>
      <c r="AU209" s="8">
        <f>IF($O209="Aktif",MAX(0,MIN($AE209,$AD209-SUM($AG209:AT209))),0)</f>
        <v>0</v>
      </c>
      <c r="AV209" s="8">
        <f>IF($O209="Aktif",MAX(0,MIN($AE209,$AD209-SUM($AG209:AU209))),0)</f>
        <v>0</v>
      </c>
      <c r="AW209" s="8">
        <f t="shared" si="26"/>
        <v>0</v>
      </c>
      <c r="AX209" s="8">
        <f t="shared" si="27"/>
        <v>-76666.67</v>
      </c>
    </row>
    <row r="210" spans="1:50" ht="15" customHeight="1" x14ac:dyDescent="0.35">
      <c r="A210" s="102">
        <v>204</v>
      </c>
      <c r="B210" s="102" t="s">
        <v>586</v>
      </c>
      <c r="C210" s="103">
        <v>142</v>
      </c>
      <c r="D210" s="102" t="s">
        <v>184</v>
      </c>
      <c r="E210" s="102" t="s">
        <v>587</v>
      </c>
      <c r="F210" s="102" t="s">
        <v>588</v>
      </c>
      <c r="G210" s="102" t="s">
        <v>589</v>
      </c>
      <c r="H210" s="102" t="s">
        <v>590</v>
      </c>
      <c r="I210" s="102" t="s">
        <v>90</v>
      </c>
      <c r="J210" s="102"/>
      <c r="K210" s="102" t="s">
        <v>591</v>
      </c>
      <c r="L210" s="104">
        <v>43913</v>
      </c>
      <c r="M210" s="102" t="s">
        <v>944</v>
      </c>
      <c r="N210" s="102" t="s">
        <v>945</v>
      </c>
      <c r="O210" s="102" t="s">
        <v>383</v>
      </c>
      <c r="P210" s="103">
        <v>1</v>
      </c>
      <c r="Q210" s="105">
        <v>350000</v>
      </c>
      <c r="R210" s="103">
        <v>48</v>
      </c>
      <c r="S210" s="105">
        <v>7291.6666666666697</v>
      </c>
      <c r="T210" s="105">
        <v>116666.66666666701</v>
      </c>
      <c r="U210" s="105">
        <v>0</v>
      </c>
      <c r="V210" s="105">
        <v>0</v>
      </c>
      <c r="W210" s="105">
        <v>0</v>
      </c>
      <c r="X210" s="105">
        <v>0</v>
      </c>
      <c r="Y210" s="105">
        <v>0</v>
      </c>
      <c r="Z210" s="105">
        <v>0</v>
      </c>
      <c r="AA210" s="105">
        <v>0</v>
      </c>
      <c r="AB210" s="105">
        <v>0</v>
      </c>
      <c r="AC210" s="8">
        <f t="shared" si="21"/>
        <v>116666.66666666701</v>
      </c>
      <c r="AD210" s="8">
        <f t="shared" si="22"/>
        <v>233333.33333333299</v>
      </c>
      <c r="AE210" s="8">
        <f t="shared" si="23"/>
        <v>0</v>
      </c>
      <c r="AF210" s="106">
        <f t="shared" si="24"/>
        <v>0</v>
      </c>
      <c r="AG210" s="8">
        <f t="shared" si="25"/>
        <v>0</v>
      </c>
      <c r="AH210" s="8">
        <f>IF($O210="Aktif",MAX(0,MIN($AE210,$AD210-SUM($AG210:AG210))),0)</f>
        <v>0</v>
      </c>
      <c r="AI210" s="8">
        <f>IF($O210="Aktif",MAX(0,MIN($AE210,$AD210-SUM($AG210:AH210))),0)</f>
        <v>0</v>
      </c>
      <c r="AJ210" s="8">
        <f>IF($O210="Aktif",MAX(0,MIN($AE210,$AD210-SUM($AG210:AI210))),0)</f>
        <v>0</v>
      </c>
      <c r="AK210" s="8">
        <f>IF($O210="Aktif",MAX(0,MIN($AE210,$AD210-SUM($AG210:AJ210))),0)</f>
        <v>0</v>
      </c>
      <c r="AL210" s="8">
        <f>IF($O210="Aktif",MAX(0,MIN($AE210,$AD210-SUM($AG210:AK210))),0)</f>
        <v>0</v>
      </c>
      <c r="AM210" s="8">
        <f>IF($O210="Aktif",MAX(0,MIN($AE210,$AD210-SUM($AG210:AL210))),0)</f>
        <v>0</v>
      </c>
      <c r="AN210" s="8">
        <f>IF($O210="Aktif",MAX(0,MIN($AE210,$AD210-SUM($AG210:AM210))),0)</f>
        <v>0</v>
      </c>
      <c r="AO210" s="8">
        <f>IF($O210="Aktif",MAX(0,MIN($AE210,$AD210-SUM($AG210:AN210))),0)</f>
        <v>0</v>
      </c>
      <c r="AP210" s="8">
        <f>IF($O210="Aktif",MAX(0,MIN($AE210,$AD210-SUM($AG210:AO210))),0)</f>
        <v>0</v>
      </c>
      <c r="AQ210" s="8">
        <f>IF($O210="Aktif",MAX(0,MIN($AE210,$AD210-SUM($AG210:AP210))),0)</f>
        <v>0</v>
      </c>
      <c r="AR210" s="8">
        <f>IF($O210="Aktif",MAX(0,MIN($AE210,$AD210-SUM($AG210:AQ210))),0)</f>
        <v>0</v>
      </c>
      <c r="AS210" s="8">
        <f>IF($O210="Aktif",MAX(0,MIN($AE210,$AD210-SUM($AG210:AR210))),0)</f>
        <v>0</v>
      </c>
      <c r="AT210" s="8">
        <f>IF($O210="Aktif",MAX(0,MIN($AE210,$AD210-SUM($AG210:AS210))),0)</f>
        <v>0</v>
      </c>
      <c r="AU210" s="8">
        <f>IF($O210="Aktif",MAX(0,MIN($AE210,$AD210-SUM($AG210:AT210))),0)</f>
        <v>0</v>
      </c>
      <c r="AV210" s="8">
        <f>IF($O210="Aktif",MAX(0,MIN($AE210,$AD210-SUM($AG210:AU210))),0)</f>
        <v>0</v>
      </c>
      <c r="AW210" s="8">
        <f t="shared" si="26"/>
        <v>0</v>
      </c>
      <c r="AX210" s="8">
        <f t="shared" si="27"/>
        <v>233333.33333333299</v>
      </c>
    </row>
    <row r="211" spans="1:50" ht="15" customHeight="1" x14ac:dyDescent="0.35">
      <c r="A211" s="102">
        <v>205</v>
      </c>
      <c r="B211" s="102" t="s">
        <v>586</v>
      </c>
      <c r="C211" s="103">
        <v>143</v>
      </c>
      <c r="D211" s="102" t="s">
        <v>184</v>
      </c>
      <c r="E211" s="102" t="s">
        <v>587</v>
      </c>
      <c r="F211" s="102" t="s">
        <v>588</v>
      </c>
      <c r="G211" s="102" t="s">
        <v>589</v>
      </c>
      <c r="H211" s="102" t="s">
        <v>590</v>
      </c>
      <c r="I211" s="102" t="s">
        <v>90</v>
      </c>
      <c r="J211" s="102"/>
      <c r="K211" s="102" t="s">
        <v>591</v>
      </c>
      <c r="L211" s="104">
        <v>44377</v>
      </c>
      <c r="M211" s="102" t="s">
        <v>944</v>
      </c>
      <c r="N211" s="102" t="s">
        <v>946</v>
      </c>
      <c r="O211" s="102" t="s">
        <v>570</v>
      </c>
      <c r="P211" s="103">
        <v>1</v>
      </c>
      <c r="Q211" s="105">
        <v>-350000</v>
      </c>
      <c r="R211" s="102"/>
      <c r="S211" s="105">
        <v>0</v>
      </c>
      <c r="T211" s="105">
        <v>-116666.67</v>
      </c>
      <c r="U211" s="105">
        <v>0</v>
      </c>
      <c r="V211" s="105">
        <v>0</v>
      </c>
      <c r="W211" s="105">
        <v>0</v>
      </c>
      <c r="X211" s="105">
        <v>0</v>
      </c>
      <c r="Y211" s="105">
        <v>0</v>
      </c>
      <c r="Z211" s="105">
        <v>0</v>
      </c>
      <c r="AA211" s="105">
        <v>0</v>
      </c>
      <c r="AB211" s="105">
        <v>0</v>
      </c>
      <c r="AC211" s="8">
        <f t="shared" si="21"/>
        <v>-116666.67</v>
      </c>
      <c r="AD211" s="8">
        <f t="shared" si="22"/>
        <v>-233333.33000000002</v>
      </c>
      <c r="AE211" s="8">
        <f t="shared" si="23"/>
        <v>0</v>
      </c>
      <c r="AF211" s="106">
        <f t="shared" si="24"/>
        <v>0</v>
      </c>
      <c r="AG211" s="8">
        <f t="shared" si="25"/>
        <v>0</v>
      </c>
      <c r="AH211" s="8">
        <f>IF($O211="Aktif",MAX(0,MIN($AE211,$AD211-SUM($AG211:AG211))),0)</f>
        <v>0</v>
      </c>
      <c r="AI211" s="8">
        <f>IF($O211="Aktif",MAX(0,MIN($AE211,$AD211-SUM($AG211:AH211))),0)</f>
        <v>0</v>
      </c>
      <c r="AJ211" s="8">
        <f>IF($O211="Aktif",MAX(0,MIN($AE211,$AD211-SUM($AG211:AI211))),0)</f>
        <v>0</v>
      </c>
      <c r="AK211" s="8">
        <f>IF($O211="Aktif",MAX(0,MIN($AE211,$AD211-SUM($AG211:AJ211))),0)</f>
        <v>0</v>
      </c>
      <c r="AL211" s="8">
        <f>IF($O211="Aktif",MAX(0,MIN($AE211,$AD211-SUM($AG211:AK211))),0)</f>
        <v>0</v>
      </c>
      <c r="AM211" s="8">
        <f>IF($O211="Aktif",MAX(0,MIN($AE211,$AD211-SUM($AG211:AL211))),0)</f>
        <v>0</v>
      </c>
      <c r="AN211" s="8">
        <f>IF($O211="Aktif",MAX(0,MIN($AE211,$AD211-SUM($AG211:AM211))),0)</f>
        <v>0</v>
      </c>
      <c r="AO211" s="8">
        <f>IF($O211="Aktif",MAX(0,MIN($AE211,$AD211-SUM($AG211:AN211))),0)</f>
        <v>0</v>
      </c>
      <c r="AP211" s="8">
        <f>IF($O211="Aktif",MAX(0,MIN($AE211,$AD211-SUM($AG211:AO211))),0)</f>
        <v>0</v>
      </c>
      <c r="AQ211" s="8">
        <f>IF($O211="Aktif",MAX(0,MIN($AE211,$AD211-SUM($AG211:AP211))),0)</f>
        <v>0</v>
      </c>
      <c r="AR211" s="8">
        <f>IF($O211="Aktif",MAX(0,MIN($AE211,$AD211-SUM($AG211:AQ211))),0)</f>
        <v>0</v>
      </c>
      <c r="AS211" s="8">
        <f>IF($O211="Aktif",MAX(0,MIN($AE211,$AD211-SUM($AG211:AR211))),0)</f>
        <v>0</v>
      </c>
      <c r="AT211" s="8">
        <f>IF($O211="Aktif",MAX(0,MIN($AE211,$AD211-SUM($AG211:AS211))),0)</f>
        <v>0</v>
      </c>
      <c r="AU211" s="8">
        <f>IF($O211="Aktif",MAX(0,MIN($AE211,$AD211-SUM($AG211:AT211))),0)</f>
        <v>0</v>
      </c>
      <c r="AV211" s="8">
        <f>IF($O211="Aktif",MAX(0,MIN($AE211,$AD211-SUM($AG211:AU211))),0)</f>
        <v>0</v>
      </c>
      <c r="AW211" s="8">
        <f t="shared" si="26"/>
        <v>0</v>
      </c>
      <c r="AX211" s="8">
        <f t="shared" si="27"/>
        <v>-233333.33000000002</v>
      </c>
    </row>
    <row r="212" spans="1:50" ht="15" customHeight="1" x14ac:dyDescent="0.35">
      <c r="A212" s="102">
        <v>206</v>
      </c>
      <c r="B212" s="102" t="s">
        <v>586</v>
      </c>
      <c r="C212" s="103">
        <v>144</v>
      </c>
      <c r="D212" s="102" t="s">
        <v>184</v>
      </c>
      <c r="E212" s="102" t="s">
        <v>479</v>
      </c>
      <c r="F212" s="102" t="s">
        <v>947</v>
      </c>
      <c r="G212" s="102" t="s">
        <v>948</v>
      </c>
      <c r="H212" s="102" t="s">
        <v>949</v>
      </c>
      <c r="I212" s="102" t="s">
        <v>90</v>
      </c>
      <c r="J212" s="102"/>
      <c r="K212" s="102" t="s">
        <v>950</v>
      </c>
      <c r="L212" s="104">
        <v>43944</v>
      </c>
      <c r="M212" s="102" t="s">
        <v>951</v>
      </c>
      <c r="N212" s="102" t="s">
        <v>952</v>
      </c>
      <c r="O212" s="102" t="s">
        <v>383</v>
      </c>
      <c r="P212" s="103">
        <v>1</v>
      </c>
      <c r="Q212" s="105">
        <v>1950000</v>
      </c>
      <c r="R212" s="103">
        <v>48</v>
      </c>
      <c r="S212" s="105">
        <v>40625</v>
      </c>
      <c r="T212" s="105">
        <v>1950000</v>
      </c>
      <c r="U212" s="105">
        <v>0</v>
      </c>
      <c r="V212" s="105">
        <v>0</v>
      </c>
      <c r="W212" s="105">
        <v>0</v>
      </c>
      <c r="X212" s="105">
        <v>0</v>
      </c>
      <c r="Y212" s="105">
        <v>0</v>
      </c>
      <c r="Z212" s="105">
        <v>0</v>
      </c>
      <c r="AA212" s="105">
        <v>0</v>
      </c>
      <c r="AB212" s="105">
        <v>0</v>
      </c>
      <c r="AC212" s="8">
        <f t="shared" si="21"/>
        <v>1950000</v>
      </c>
      <c r="AD212" s="8">
        <f t="shared" si="22"/>
        <v>0</v>
      </c>
      <c r="AE212" s="8">
        <f t="shared" si="23"/>
        <v>0</v>
      </c>
      <c r="AF212" s="106">
        <f t="shared" si="24"/>
        <v>0</v>
      </c>
      <c r="AG212" s="8">
        <f t="shared" si="25"/>
        <v>0</v>
      </c>
      <c r="AH212" s="8">
        <f>IF($O212="Aktif",MAX(0,MIN($AE212,$AD212-SUM($AG212:AG212))),0)</f>
        <v>0</v>
      </c>
      <c r="AI212" s="8">
        <f>IF($O212="Aktif",MAX(0,MIN($AE212,$AD212-SUM($AG212:AH212))),0)</f>
        <v>0</v>
      </c>
      <c r="AJ212" s="8">
        <f>IF($O212="Aktif",MAX(0,MIN($AE212,$AD212-SUM($AG212:AI212))),0)</f>
        <v>0</v>
      </c>
      <c r="AK212" s="8">
        <f>IF($O212="Aktif",MAX(0,MIN($AE212,$AD212-SUM($AG212:AJ212))),0)</f>
        <v>0</v>
      </c>
      <c r="AL212" s="8">
        <f>IF($O212="Aktif",MAX(0,MIN($AE212,$AD212-SUM($AG212:AK212))),0)</f>
        <v>0</v>
      </c>
      <c r="AM212" s="8">
        <f>IF($O212="Aktif",MAX(0,MIN($AE212,$AD212-SUM($AG212:AL212))),0)</f>
        <v>0</v>
      </c>
      <c r="AN212" s="8">
        <f>IF($O212="Aktif",MAX(0,MIN($AE212,$AD212-SUM($AG212:AM212))),0)</f>
        <v>0</v>
      </c>
      <c r="AO212" s="8">
        <f>IF($O212="Aktif",MAX(0,MIN($AE212,$AD212-SUM($AG212:AN212))),0)</f>
        <v>0</v>
      </c>
      <c r="AP212" s="8">
        <f>IF($O212="Aktif",MAX(0,MIN($AE212,$AD212-SUM($AG212:AO212))),0)</f>
        <v>0</v>
      </c>
      <c r="AQ212" s="8">
        <f>IF($O212="Aktif",MAX(0,MIN($AE212,$AD212-SUM($AG212:AP212))),0)</f>
        <v>0</v>
      </c>
      <c r="AR212" s="8">
        <f>IF($O212="Aktif",MAX(0,MIN($AE212,$AD212-SUM($AG212:AQ212))),0)</f>
        <v>0</v>
      </c>
      <c r="AS212" s="8">
        <f>IF($O212="Aktif",MAX(0,MIN($AE212,$AD212-SUM($AG212:AR212))),0)</f>
        <v>0</v>
      </c>
      <c r="AT212" s="8">
        <f>IF($O212="Aktif",MAX(0,MIN($AE212,$AD212-SUM($AG212:AS212))),0)</f>
        <v>0</v>
      </c>
      <c r="AU212" s="8">
        <f>IF($O212="Aktif",MAX(0,MIN($AE212,$AD212-SUM($AG212:AT212))),0)</f>
        <v>0</v>
      </c>
      <c r="AV212" s="8">
        <f>IF($O212="Aktif",MAX(0,MIN($AE212,$AD212-SUM($AG212:AU212))),0)</f>
        <v>0</v>
      </c>
      <c r="AW212" s="8">
        <f t="shared" si="26"/>
        <v>0</v>
      </c>
      <c r="AX212" s="8">
        <f t="shared" si="27"/>
        <v>0</v>
      </c>
    </row>
    <row r="213" spans="1:50" ht="15" customHeight="1" x14ac:dyDescent="0.35">
      <c r="A213" s="102">
        <v>207</v>
      </c>
      <c r="B213" s="102" t="s">
        <v>586</v>
      </c>
      <c r="C213" s="103">
        <v>145</v>
      </c>
      <c r="D213" s="102" t="s">
        <v>184</v>
      </c>
      <c r="E213" s="102" t="s">
        <v>479</v>
      </c>
      <c r="F213" s="102" t="s">
        <v>947</v>
      </c>
      <c r="G213" s="102" t="s">
        <v>948</v>
      </c>
      <c r="H213" s="102" t="s">
        <v>949</v>
      </c>
      <c r="I213" s="102" t="s">
        <v>90</v>
      </c>
      <c r="J213" s="102"/>
      <c r="K213" s="102" t="s">
        <v>950</v>
      </c>
      <c r="L213" s="104">
        <v>43986</v>
      </c>
      <c r="M213" s="102" t="s">
        <v>953</v>
      </c>
      <c r="N213" s="102" t="s">
        <v>954</v>
      </c>
      <c r="O213" s="102" t="s">
        <v>383</v>
      </c>
      <c r="P213" s="103">
        <v>1</v>
      </c>
      <c r="Q213" s="105">
        <v>8248182</v>
      </c>
      <c r="R213" s="103">
        <v>48</v>
      </c>
      <c r="S213" s="105">
        <v>171837.125</v>
      </c>
      <c r="T213" s="105">
        <v>8248182</v>
      </c>
      <c r="U213" s="105">
        <v>0</v>
      </c>
      <c r="V213" s="105">
        <v>0</v>
      </c>
      <c r="W213" s="105">
        <v>0</v>
      </c>
      <c r="X213" s="105">
        <v>0</v>
      </c>
      <c r="Y213" s="105">
        <v>0</v>
      </c>
      <c r="Z213" s="105">
        <v>0</v>
      </c>
      <c r="AA213" s="105">
        <v>0</v>
      </c>
      <c r="AB213" s="105">
        <v>0</v>
      </c>
      <c r="AC213" s="8">
        <f t="shared" si="21"/>
        <v>8248182</v>
      </c>
      <c r="AD213" s="8">
        <f t="shared" si="22"/>
        <v>0</v>
      </c>
      <c r="AE213" s="8">
        <f t="shared" si="23"/>
        <v>0</v>
      </c>
      <c r="AF213" s="106">
        <f t="shared" si="24"/>
        <v>0</v>
      </c>
      <c r="AG213" s="8">
        <f t="shared" si="25"/>
        <v>0</v>
      </c>
      <c r="AH213" s="8">
        <f>IF($O213="Aktif",MAX(0,MIN($AE213,$AD213-SUM($AG213:AG213))),0)</f>
        <v>0</v>
      </c>
      <c r="AI213" s="8">
        <f>IF($O213="Aktif",MAX(0,MIN($AE213,$AD213-SUM($AG213:AH213))),0)</f>
        <v>0</v>
      </c>
      <c r="AJ213" s="8">
        <f>IF($O213="Aktif",MAX(0,MIN($AE213,$AD213-SUM($AG213:AI213))),0)</f>
        <v>0</v>
      </c>
      <c r="AK213" s="8">
        <f>IF($O213="Aktif",MAX(0,MIN($AE213,$AD213-SUM($AG213:AJ213))),0)</f>
        <v>0</v>
      </c>
      <c r="AL213" s="8">
        <f>IF($O213="Aktif",MAX(0,MIN($AE213,$AD213-SUM($AG213:AK213))),0)</f>
        <v>0</v>
      </c>
      <c r="AM213" s="8">
        <f>IF($O213="Aktif",MAX(0,MIN($AE213,$AD213-SUM($AG213:AL213))),0)</f>
        <v>0</v>
      </c>
      <c r="AN213" s="8">
        <f>IF($O213="Aktif",MAX(0,MIN($AE213,$AD213-SUM($AG213:AM213))),0)</f>
        <v>0</v>
      </c>
      <c r="AO213" s="8">
        <f>IF($O213="Aktif",MAX(0,MIN($AE213,$AD213-SUM($AG213:AN213))),0)</f>
        <v>0</v>
      </c>
      <c r="AP213" s="8">
        <f>IF($O213="Aktif",MAX(0,MIN($AE213,$AD213-SUM($AG213:AO213))),0)</f>
        <v>0</v>
      </c>
      <c r="AQ213" s="8">
        <f>IF($O213="Aktif",MAX(0,MIN($AE213,$AD213-SUM($AG213:AP213))),0)</f>
        <v>0</v>
      </c>
      <c r="AR213" s="8">
        <f>IF($O213="Aktif",MAX(0,MIN($AE213,$AD213-SUM($AG213:AQ213))),0)</f>
        <v>0</v>
      </c>
      <c r="AS213" s="8">
        <f>IF($O213="Aktif",MAX(0,MIN($AE213,$AD213-SUM($AG213:AR213))),0)</f>
        <v>0</v>
      </c>
      <c r="AT213" s="8">
        <f>IF($O213="Aktif",MAX(0,MIN($AE213,$AD213-SUM($AG213:AS213))),0)</f>
        <v>0</v>
      </c>
      <c r="AU213" s="8">
        <f>IF($O213="Aktif",MAX(0,MIN($AE213,$AD213-SUM($AG213:AT213))),0)</f>
        <v>0</v>
      </c>
      <c r="AV213" s="8">
        <f>IF($O213="Aktif",MAX(0,MIN($AE213,$AD213-SUM($AG213:AU213))),0)</f>
        <v>0</v>
      </c>
      <c r="AW213" s="8">
        <f t="shared" si="26"/>
        <v>0</v>
      </c>
      <c r="AX213" s="8">
        <f t="shared" si="27"/>
        <v>0</v>
      </c>
    </row>
    <row r="214" spans="1:50" ht="15" customHeight="1" x14ac:dyDescent="0.35">
      <c r="A214" s="102">
        <v>208</v>
      </c>
      <c r="B214" s="102" t="s">
        <v>586</v>
      </c>
      <c r="C214" s="103">
        <v>146</v>
      </c>
      <c r="D214" s="102" t="s">
        <v>184</v>
      </c>
      <c r="E214" s="102" t="s">
        <v>479</v>
      </c>
      <c r="F214" s="102" t="s">
        <v>947</v>
      </c>
      <c r="G214" s="102" t="s">
        <v>948</v>
      </c>
      <c r="H214" s="102" t="s">
        <v>949</v>
      </c>
      <c r="I214" s="102" t="s">
        <v>90</v>
      </c>
      <c r="J214" s="102"/>
      <c r="K214" s="102" t="s">
        <v>950</v>
      </c>
      <c r="L214" s="104">
        <v>44042</v>
      </c>
      <c r="M214" s="102" t="s">
        <v>955</v>
      </c>
      <c r="N214" s="102" t="s">
        <v>956</v>
      </c>
      <c r="O214" s="102" t="s">
        <v>383</v>
      </c>
      <c r="P214" s="103">
        <v>1</v>
      </c>
      <c r="Q214" s="105">
        <v>6800000</v>
      </c>
      <c r="R214" s="103">
        <v>48</v>
      </c>
      <c r="S214" s="105">
        <v>141666.66666666701</v>
      </c>
      <c r="T214" s="105">
        <v>6800000</v>
      </c>
      <c r="U214" s="105">
        <v>0</v>
      </c>
      <c r="V214" s="105">
        <v>0</v>
      </c>
      <c r="W214" s="105">
        <v>0</v>
      </c>
      <c r="X214" s="105">
        <v>0</v>
      </c>
      <c r="Y214" s="105">
        <v>0</v>
      </c>
      <c r="Z214" s="105">
        <v>0</v>
      </c>
      <c r="AA214" s="105">
        <v>0</v>
      </c>
      <c r="AB214" s="105">
        <v>0</v>
      </c>
      <c r="AC214" s="8">
        <f t="shared" si="21"/>
        <v>6800000</v>
      </c>
      <c r="AD214" s="8">
        <f t="shared" si="22"/>
        <v>0</v>
      </c>
      <c r="AE214" s="8">
        <f t="shared" si="23"/>
        <v>0</v>
      </c>
      <c r="AF214" s="106">
        <f t="shared" si="24"/>
        <v>0</v>
      </c>
      <c r="AG214" s="8">
        <f t="shared" si="25"/>
        <v>0</v>
      </c>
      <c r="AH214" s="8">
        <f>IF($O214="Aktif",MAX(0,MIN($AE214,$AD214-SUM($AG214:AG214))),0)</f>
        <v>0</v>
      </c>
      <c r="AI214" s="8">
        <f>IF($O214="Aktif",MAX(0,MIN($AE214,$AD214-SUM($AG214:AH214))),0)</f>
        <v>0</v>
      </c>
      <c r="AJ214" s="8">
        <f>IF($O214="Aktif",MAX(0,MIN($AE214,$AD214-SUM($AG214:AI214))),0)</f>
        <v>0</v>
      </c>
      <c r="AK214" s="8">
        <f>IF($O214="Aktif",MAX(0,MIN($AE214,$AD214-SUM($AG214:AJ214))),0)</f>
        <v>0</v>
      </c>
      <c r="AL214" s="8">
        <f>IF($O214="Aktif",MAX(0,MIN($AE214,$AD214-SUM($AG214:AK214))),0)</f>
        <v>0</v>
      </c>
      <c r="AM214" s="8">
        <f>IF($O214="Aktif",MAX(0,MIN($AE214,$AD214-SUM($AG214:AL214))),0)</f>
        <v>0</v>
      </c>
      <c r="AN214" s="8">
        <f>IF($O214="Aktif",MAX(0,MIN($AE214,$AD214-SUM($AG214:AM214))),0)</f>
        <v>0</v>
      </c>
      <c r="AO214" s="8">
        <f>IF($O214="Aktif",MAX(0,MIN($AE214,$AD214-SUM($AG214:AN214))),0)</f>
        <v>0</v>
      </c>
      <c r="AP214" s="8">
        <f>IF($O214="Aktif",MAX(0,MIN($AE214,$AD214-SUM($AG214:AO214))),0)</f>
        <v>0</v>
      </c>
      <c r="AQ214" s="8">
        <f>IF($O214="Aktif",MAX(0,MIN($AE214,$AD214-SUM($AG214:AP214))),0)</f>
        <v>0</v>
      </c>
      <c r="AR214" s="8">
        <f>IF($O214="Aktif",MAX(0,MIN($AE214,$AD214-SUM($AG214:AQ214))),0)</f>
        <v>0</v>
      </c>
      <c r="AS214" s="8">
        <f>IF($O214="Aktif",MAX(0,MIN($AE214,$AD214-SUM($AG214:AR214))),0)</f>
        <v>0</v>
      </c>
      <c r="AT214" s="8">
        <f>IF($O214="Aktif",MAX(0,MIN($AE214,$AD214-SUM($AG214:AS214))),0)</f>
        <v>0</v>
      </c>
      <c r="AU214" s="8">
        <f>IF($O214="Aktif",MAX(0,MIN($AE214,$AD214-SUM($AG214:AT214))),0)</f>
        <v>0</v>
      </c>
      <c r="AV214" s="8">
        <f>IF($O214="Aktif",MAX(0,MIN($AE214,$AD214-SUM($AG214:AU214))),0)</f>
        <v>0</v>
      </c>
      <c r="AW214" s="8">
        <f t="shared" si="26"/>
        <v>0</v>
      </c>
      <c r="AX214" s="8">
        <f t="shared" si="27"/>
        <v>0</v>
      </c>
    </row>
    <row r="215" spans="1:50" ht="15" customHeight="1" x14ac:dyDescent="0.35">
      <c r="A215" s="102">
        <v>209</v>
      </c>
      <c r="B215" s="102" t="s">
        <v>586</v>
      </c>
      <c r="C215" s="103">
        <v>147</v>
      </c>
      <c r="D215" s="102" t="s">
        <v>184</v>
      </c>
      <c r="E215" s="102" t="s">
        <v>479</v>
      </c>
      <c r="F215" s="102" t="s">
        <v>947</v>
      </c>
      <c r="G215" s="102" t="s">
        <v>948</v>
      </c>
      <c r="H215" s="102" t="s">
        <v>949</v>
      </c>
      <c r="I215" s="102" t="s">
        <v>90</v>
      </c>
      <c r="J215" s="102"/>
      <c r="K215" s="102" t="s">
        <v>950</v>
      </c>
      <c r="L215" s="104">
        <v>44109</v>
      </c>
      <c r="M215" s="102" t="s">
        <v>957</v>
      </c>
      <c r="N215" s="102" t="s">
        <v>958</v>
      </c>
      <c r="O215" s="102" t="s">
        <v>383</v>
      </c>
      <c r="P215" s="103">
        <v>1</v>
      </c>
      <c r="Q215" s="105">
        <v>5590910</v>
      </c>
      <c r="R215" s="103">
        <v>48</v>
      </c>
      <c r="S215" s="105">
        <v>116477.29166666701</v>
      </c>
      <c r="T215" s="105">
        <v>5590910</v>
      </c>
      <c r="U215" s="105">
        <v>0</v>
      </c>
      <c r="V215" s="105">
        <v>0</v>
      </c>
      <c r="W215" s="105">
        <v>0</v>
      </c>
      <c r="X215" s="105">
        <v>0</v>
      </c>
      <c r="Y215" s="105">
        <v>0</v>
      </c>
      <c r="Z215" s="105">
        <v>0</v>
      </c>
      <c r="AA215" s="105">
        <v>0</v>
      </c>
      <c r="AB215" s="105">
        <v>0</v>
      </c>
      <c r="AC215" s="8">
        <f t="shared" si="21"/>
        <v>5590910</v>
      </c>
      <c r="AD215" s="8">
        <f t="shared" si="22"/>
        <v>0</v>
      </c>
      <c r="AE215" s="8">
        <f t="shared" si="23"/>
        <v>0</v>
      </c>
      <c r="AF215" s="106">
        <f t="shared" si="24"/>
        <v>0</v>
      </c>
      <c r="AG215" s="8">
        <f t="shared" si="25"/>
        <v>0</v>
      </c>
      <c r="AH215" s="8">
        <f>IF($O215="Aktif",MAX(0,MIN($AE215,$AD215-SUM($AG215:AG215))),0)</f>
        <v>0</v>
      </c>
      <c r="AI215" s="8">
        <f>IF($O215="Aktif",MAX(0,MIN($AE215,$AD215-SUM($AG215:AH215))),0)</f>
        <v>0</v>
      </c>
      <c r="AJ215" s="8">
        <f>IF($O215="Aktif",MAX(0,MIN($AE215,$AD215-SUM($AG215:AI215))),0)</f>
        <v>0</v>
      </c>
      <c r="AK215" s="8">
        <f>IF($O215="Aktif",MAX(0,MIN($AE215,$AD215-SUM($AG215:AJ215))),0)</f>
        <v>0</v>
      </c>
      <c r="AL215" s="8">
        <f>IF($O215="Aktif",MAX(0,MIN($AE215,$AD215-SUM($AG215:AK215))),0)</f>
        <v>0</v>
      </c>
      <c r="AM215" s="8">
        <f>IF($O215="Aktif",MAX(0,MIN($AE215,$AD215-SUM($AG215:AL215))),0)</f>
        <v>0</v>
      </c>
      <c r="AN215" s="8">
        <f>IF($O215="Aktif",MAX(0,MIN($AE215,$AD215-SUM($AG215:AM215))),0)</f>
        <v>0</v>
      </c>
      <c r="AO215" s="8">
        <f>IF($O215="Aktif",MAX(0,MIN($AE215,$AD215-SUM($AG215:AN215))),0)</f>
        <v>0</v>
      </c>
      <c r="AP215" s="8">
        <f>IF($O215="Aktif",MAX(0,MIN($AE215,$AD215-SUM($AG215:AO215))),0)</f>
        <v>0</v>
      </c>
      <c r="AQ215" s="8">
        <f>IF($O215="Aktif",MAX(0,MIN($AE215,$AD215-SUM($AG215:AP215))),0)</f>
        <v>0</v>
      </c>
      <c r="AR215" s="8">
        <f>IF($O215="Aktif",MAX(0,MIN($AE215,$AD215-SUM($AG215:AQ215))),0)</f>
        <v>0</v>
      </c>
      <c r="AS215" s="8">
        <f>IF($O215="Aktif",MAX(0,MIN($AE215,$AD215-SUM($AG215:AR215))),0)</f>
        <v>0</v>
      </c>
      <c r="AT215" s="8">
        <f>IF($O215="Aktif",MAX(0,MIN($AE215,$AD215-SUM($AG215:AS215))),0)</f>
        <v>0</v>
      </c>
      <c r="AU215" s="8">
        <f>IF($O215="Aktif",MAX(0,MIN($AE215,$AD215-SUM($AG215:AT215))),0)</f>
        <v>0</v>
      </c>
      <c r="AV215" s="8">
        <f>IF($O215="Aktif",MAX(0,MIN($AE215,$AD215-SUM($AG215:AU215))),0)</f>
        <v>0</v>
      </c>
      <c r="AW215" s="8">
        <f t="shared" si="26"/>
        <v>0</v>
      </c>
      <c r="AX215" s="8">
        <f t="shared" si="27"/>
        <v>0</v>
      </c>
    </row>
    <row r="216" spans="1:50" ht="15" customHeight="1" x14ac:dyDescent="0.35">
      <c r="A216" s="102">
        <v>210</v>
      </c>
      <c r="B216" s="102" t="s">
        <v>586</v>
      </c>
      <c r="C216" s="103">
        <v>148</v>
      </c>
      <c r="D216" s="102" t="s">
        <v>184</v>
      </c>
      <c r="E216" s="102" t="s">
        <v>479</v>
      </c>
      <c r="F216" s="102" t="s">
        <v>947</v>
      </c>
      <c r="G216" s="102" t="s">
        <v>948</v>
      </c>
      <c r="H216" s="102" t="s">
        <v>949</v>
      </c>
      <c r="I216" s="102" t="s">
        <v>90</v>
      </c>
      <c r="J216" s="102"/>
      <c r="K216" s="102" t="s">
        <v>950</v>
      </c>
      <c r="L216" s="104">
        <v>44126</v>
      </c>
      <c r="M216" s="102" t="s">
        <v>959</v>
      </c>
      <c r="N216" s="102" t="s">
        <v>960</v>
      </c>
      <c r="O216" s="102" t="s">
        <v>383</v>
      </c>
      <c r="P216" s="103">
        <v>1</v>
      </c>
      <c r="Q216" s="105">
        <v>5970000</v>
      </c>
      <c r="R216" s="103">
        <v>48</v>
      </c>
      <c r="S216" s="105">
        <v>124375</v>
      </c>
      <c r="T216" s="105">
        <v>5970000</v>
      </c>
      <c r="U216" s="105">
        <v>0</v>
      </c>
      <c r="V216" s="105">
        <v>0</v>
      </c>
      <c r="W216" s="105">
        <v>0</v>
      </c>
      <c r="X216" s="105">
        <v>0</v>
      </c>
      <c r="Y216" s="105">
        <v>0</v>
      </c>
      <c r="Z216" s="105">
        <v>0</v>
      </c>
      <c r="AA216" s="105">
        <v>0</v>
      </c>
      <c r="AB216" s="105">
        <v>0</v>
      </c>
      <c r="AC216" s="8">
        <f t="shared" si="21"/>
        <v>5970000</v>
      </c>
      <c r="AD216" s="8">
        <f t="shared" si="22"/>
        <v>0</v>
      </c>
      <c r="AE216" s="8">
        <f t="shared" si="23"/>
        <v>0</v>
      </c>
      <c r="AF216" s="106">
        <f t="shared" si="24"/>
        <v>0</v>
      </c>
      <c r="AG216" s="8">
        <f t="shared" si="25"/>
        <v>0</v>
      </c>
      <c r="AH216" s="8">
        <f>IF($O216="Aktif",MAX(0,MIN($AE216,$AD216-SUM($AG216:AG216))),0)</f>
        <v>0</v>
      </c>
      <c r="AI216" s="8">
        <f>IF($O216="Aktif",MAX(0,MIN($AE216,$AD216-SUM($AG216:AH216))),0)</f>
        <v>0</v>
      </c>
      <c r="AJ216" s="8">
        <f>IF($O216="Aktif",MAX(0,MIN($AE216,$AD216-SUM($AG216:AI216))),0)</f>
        <v>0</v>
      </c>
      <c r="AK216" s="8">
        <f>IF($O216="Aktif",MAX(0,MIN($AE216,$AD216-SUM($AG216:AJ216))),0)</f>
        <v>0</v>
      </c>
      <c r="AL216" s="8">
        <f>IF($O216="Aktif",MAX(0,MIN($AE216,$AD216-SUM($AG216:AK216))),0)</f>
        <v>0</v>
      </c>
      <c r="AM216" s="8">
        <f>IF($O216="Aktif",MAX(0,MIN($AE216,$AD216-SUM($AG216:AL216))),0)</f>
        <v>0</v>
      </c>
      <c r="AN216" s="8">
        <f>IF($O216="Aktif",MAX(0,MIN($AE216,$AD216-SUM($AG216:AM216))),0)</f>
        <v>0</v>
      </c>
      <c r="AO216" s="8">
        <f>IF($O216="Aktif",MAX(0,MIN($AE216,$AD216-SUM($AG216:AN216))),0)</f>
        <v>0</v>
      </c>
      <c r="AP216" s="8">
        <f>IF($O216="Aktif",MAX(0,MIN($AE216,$AD216-SUM($AG216:AO216))),0)</f>
        <v>0</v>
      </c>
      <c r="AQ216" s="8">
        <f>IF($O216="Aktif",MAX(0,MIN($AE216,$AD216-SUM($AG216:AP216))),0)</f>
        <v>0</v>
      </c>
      <c r="AR216" s="8">
        <f>IF($O216="Aktif",MAX(0,MIN($AE216,$AD216-SUM($AG216:AQ216))),0)</f>
        <v>0</v>
      </c>
      <c r="AS216" s="8">
        <f>IF($O216="Aktif",MAX(0,MIN($AE216,$AD216-SUM($AG216:AR216))),0)</f>
        <v>0</v>
      </c>
      <c r="AT216" s="8">
        <f>IF($O216="Aktif",MAX(0,MIN($AE216,$AD216-SUM($AG216:AS216))),0)</f>
        <v>0</v>
      </c>
      <c r="AU216" s="8">
        <f>IF($O216="Aktif",MAX(0,MIN($AE216,$AD216-SUM($AG216:AT216))),0)</f>
        <v>0</v>
      </c>
      <c r="AV216" s="8">
        <f>IF($O216="Aktif",MAX(0,MIN($AE216,$AD216-SUM($AG216:AU216))),0)</f>
        <v>0</v>
      </c>
      <c r="AW216" s="8">
        <f t="shared" si="26"/>
        <v>0</v>
      </c>
      <c r="AX216" s="8">
        <f t="shared" si="27"/>
        <v>0</v>
      </c>
    </row>
    <row r="217" spans="1:50" ht="15" customHeight="1" x14ac:dyDescent="0.35">
      <c r="A217" s="102">
        <v>211</v>
      </c>
      <c r="B217" s="102" t="s">
        <v>586</v>
      </c>
      <c r="C217" s="103">
        <v>149</v>
      </c>
      <c r="D217" s="102" t="s">
        <v>184</v>
      </c>
      <c r="E217" s="102" t="s">
        <v>479</v>
      </c>
      <c r="F217" s="102" t="s">
        <v>947</v>
      </c>
      <c r="G217" s="102" t="s">
        <v>948</v>
      </c>
      <c r="H217" s="102" t="s">
        <v>949</v>
      </c>
      <c r="I217" s="102" t="s">
        <v>90</v>
      </c>
      <c r="J217" s="102"/>
      <c r="K217" s="102" t="s">
        <v>950</v>
      </c>
      <c r="L217" s="104">
        <v>44135</v>
      </c>
      <c r="M217" s="102" t="s">
        <v>961</v>
      </c>
      <c r="N217" s="102" t="s">
        <v>962</v>
      </c>
      <c r="O217" s="102" t="s">
        <v>383</v>
      </c>
      <c r="P217" s="103">
        <v>1</v>
      </c>
      <c r="Q217" s="105">
        <v>5036364</v>
      </c>
      <c r="R217" s="103">
        <v>48</v>
      </c>
      <c r="S217" s="105">
        <v>104924.25</v>
      </c>
      <c r="T217" s="105">
        <v>5036364</v>
      </c>
      <c r="U217" s="105">
        <v>0</v>
      </c>
      <c r="V217" s="105">
        <v>0</v>
      </c>
      <c r="W217" s="105">
        <v>0</v>
      </c>
      <c r="X217" s="105">
        <v>0</v>
      </c>
      <c r="Y217" s="105">
        <v>0</v>
      </c>
      <c r="Z217" s="105">
        <v>0</v>
      </c>
      <c r="AA217" s="105">
        <v>0</v>
      </c>
      <c r="AB217" s="105">
        <v>0</v>
      </c>
      <c r="AC217" s="8">
        <f t="shared" si="21"/>
        <v>5036364</v>
      </c>
      <c r="AD217" s="8">
        <f t="shared" si="22"/>
        <v>0</v>
      </c>
      <c r="AE217" s="8">
        <f t="shared" si="23"/>
        <v>0</v>
      </c>
      <c r="AF217" s="106">
        <f t="shared" si="24"/>
        <v>0</v>
      </c>
      <c r="AG217" s="8">
        <f t="shared" si="25"/>
        <v>0</v>
      </c>
      <c r="AH217" s="8">
        <f>IF($O217="Aktif",MAX(0,MIN($AE217,$AD217-SUM($AG217:AG217))),0)</f>
        <v>0</v>
      </c>
      <c r="AI217" s="8">
        <f>IF($O217="Aktif",MAX(0,MIN($AE217,$AD217-SUM($AG217:AH217))),0)</f>
        <v>0</v>
      </c>
      <c r="AJ217" s="8">
        <f>IF($O217="Aktif",MAX(0,MIN($AE217,$AD217-SUM($AG217:AI217))),0)</f>
        <v>0</v>
      </c>
      <c r="AK217" s="8">
        <f>IF($O217="Aktif",MAX(0,MIN($AE217,$AD217-SUM($AG217:AJ217))),0)</f>
        <v>0</v>
      </c>
      <c r="AL217" s="8">
        <f>IF($O217="Aktif",MAX(0,MIN($AE217,$AD217-SUM($AG217:AK217))),0)</f>
        <v>0</v>
      </c>
      <c r="AM217" s="8">
        <f>IF($O217="Aktif",MAX(0,MIN($AE217,$AD217-SUM($AG217:AL217))),0)</f>
        <v>0</v>
      </c>
      <c r="AN217" s="8">
        <f>IF($O217="Aktif",MAX(0,MIN($AE217,$AD217-SUM($AG217:AM217))),0)</f>
        <v>0</v>
      </c>
      <c r="AO217" s="8">
        <f>IF($O217="Aktif",MAX(0,MIN($AE217,$AD217-SUM($AG217:AN217))),0)</f>
        <v>0</v>
      </c>
      <c r="AP217" s="8">
        <f>IF($O217="Aktif",MAX(0,MIN($AE217,$AD217-SUM($AG217:AO217))),0)</f>
        <v>0</v>
      </c>
      <c r="AQ217" s="8">
        <f>IF($O217="Aktif",MAX(0,MIN($AE217,$AD217-SUM($AG217:AP217))),0)</f>
        <v>0</v>
      </c>
      <c r="AR217" s="8">
        <f>IF($O217="Aktif",MAX(0,MIN($AE217,$AD217-SUM($AG217:AQ217))),0)</f>
        <v>0</v>
      </c>
      <c r="AS217" s="8">
        <f>IF($O217="Aktif",MAX(0,MIN($AE217,$AD217-SUM($AG217:AR217))),0)</f>
        <v>0</v>
      </c>
      <c r="AT217" s="8">
        <f>IF($O217="Aktif",MAX(0,MIN($AE217,$AD217-SUM($AG217:AS217))),0)</f>
        <v>0</v>
      </c>
      <c r="AU217" s="8">
        <f>IF($O217="Aktif",MAX(0,MIN($AE217,$AD217-SUM($AG217:AT217))),0)</f>
        <v>0</v>
      </c>
      <c r="AV217" s="8">
        <f>IF($O217="Aktif",MAX(0,MIN($AE217,$AD217-SUM($AG217:AU217))),0)</f>
        <v>0</v>
      </c>
      <c r="AW217" s="8">
        <f t="shared" si="26"/>
        <v>0</v>
      </c>
      <c r="AX217" s="8">
        <f t="shared" si="27"/>
        <v>0</v>
      </c>
    </row>
    <row r="218" spans="1:50" ht="15" customHeight="1" x14ac:dyDescent="0.35">
      <c r="A218" s="102">
        <v>212</v>
      </c>
      <c r="B218" s="102" t="s">
        <v>586</v>
      </c>
      <c r="C218" s="103">
        <v>150</v>
      </c>
      <c r="D218" s="102" t="s">
        <v>184</v>
      </c>
      <c r="E218" s="102" t="s">
        <v>479</v>
      </c>
      <c r="F218" s="102" t="s">
        <v>947</v>
      </c>
      <c r="G218" s="102" t="s">
        <v>948</v>
      </c>
      <c r="H218" s="102" t="s">
        <v>949</v>
      </c>
      <c r="I218" s="102" t="s">
        <v>90</v>
      </c>
      <c r="J218" s="102"/>
      <c r="K218" s="102" t="s">
        <v>950</v>
      </c>
      <c r="L218" s="104">
        <v>44135</v>
      </c>
      <c r="M218" s="102" t="s">
        <v>961</v>
      </c>
      <c r="N218" s="102" t="s">
        <v>963</v>
      </c>
      <c r="O218" s="102" t="s">
        <v>383</v>
      </c>
      <c r="P218" s="103">
        <v>1</v>
      </c>
      <c r="Q218" s="105">
        <v>5995455</v>
      </c>
      <c r="R218" s="103">
        <v>48</v>
      </c>
      <c r="S218" s="105">
        <v>124905.3125</v>
      </c>
      <c r="T218" s="105">
        <v>5995455</v>
      </c>
      <c r="U218" s="105">
        <v>0</v>
      </c>
      <c r="V218" s="105">
        <v>0</v>
      </c>
      <c r="W218" s="105">
        <v>0</v>
      </c>
      <c r="X218" s="105">
        <v>0</v>
      </c>
      <c r="Y218" s="105">
        <v>0</v>
      </c>
      <c r="Z218" s="105">
        <v>0</v>
      </c>
      <c r="AA218" s="105">
        <v>0</v>
      </c>
      <c r="AB218" s="105">
        <v>0</v>
      </c>
      <c r="AC218" s="8">
        <f t="shared" si="21"/>
        <v>5995455</v>
      </c>
      <c r="AD218" s="8">
        <f t="shared" si="22"/>
        <v>0</v>
      </c>
      <c r="AE218" s="8">
        <f t="shared" si="23"/>
        <v>0</v>
      </c>
      <c r="AF218" s="106">
        <f t="shared" si="24"/>
        <v>0</v>
      </c>
      <c r="AG218" s="8">
        <f t="shared" si="25"/>
        <v>0</v>
      </c>
      <c r="AH218" s="8">
        <f>IF($O218="Aktif",MAX(0,MIN($AE218,$AD218-SUM($AG218:AG218))),0)</f>
        <v>0</v>
      </c>
      <c r="AI218" s="8">
        <f>IF($O218="Aktif",MAX(0,MIN($AE218,$AD218-SUM($AG218:AH218))),0)</f>
        <v>0</v>
      </c>
      <c r="AJ218" s="8">
        <f>IF($O218="Aktif",MAX(0,MIN($AE218,$AD218-SUM($AG218:AI218))),0)</f>
        <v>0</v>
      </c>
      <c r="AK218" s="8">
        <f>IF($O218="Aktif",MAX(0,MIN($AE218,$AD218-SUM($AG218:AJ218))),0)</f>
        <v>0</v>
      </c>
      <c r="AL218" s="8">
        <f>IF($O218="Aktif",MAX(0,MIN($AE218,$AD218-SUM($AG218:AK218))),0)</f>
        <v>0</v>
      </c>
      <c r="AM218" s="8">
        <f>IF($O218="Aktif",MAX(0,MIN($AE218,$AD218-SUM($AG218:AL218))),0)</f>
        <v>0</v>
      </c>
      <c r="AN218" s="8">
        <f>IF($O218="Aktif",MAX(0,MIN($AE218,$AD218-SUM($AG218:AM218))),0)</f>
        <v>0</v>
      </c>
      <c r="AO218" s="8">
        <f>IF($O218="Aktif",MAX(0,MIN($AE218,$AD218-SUM($AG218:AN218))),0)</f>
        <v>0</v>
      </c>
      <c r="AP218" s="8">
        <f>IF($O218="Aktif",MAX(0,MIN($AE218,$AD218-SUM($AG218:AO218))),0)</f>
        <v>0</v>
      </c>
      <c r="AQ218" s="8">
        <f>IF($O218="Aktif",MAX(0,MIN($AE218,$AD218-SUM($AG218:AP218))),0)</f>
        <v>0</v>
      </c>
      <c r="AR218" s="8">
        <f>IF($O218="Aktif",MAX(0,MIN($AE218,$AD218-SUM($AG218:AQ218))),0)</f>
        <v>0</v>
      </c>
      <c r="AS218" s="8">
        <f>IF($O218="Aktif",MAX(0,MIN($AE218,$AD218-SUM($AG218:AR218))),0)</f>
        <v>0</v>
      </c>
      <c r="AT218" s="8">
        <f>IF($O218="Aktif",MAX(0,MIN($AE218,$AD218-SUM($AG218:AS218))),0)</f>
        <v>0</v>
      </c>
      <c r="AU218" s="8">
        <f>IF($O218="Aktif",MAX(0,MIN($AE218,$AD218-SUM($AG218:AT218))),0)</f>
        <v>0</v>
      </c>
      <c r="AV218" s="8">
        <f>IF($O218="Aktif",MAX(0,MIN($AE218,$AD218-SUM($AG218:AU218))),0)</f>
        <v>0</v>
      </c>
      <c r="AW218" s="8">
        <f t="shared" si="26"/>
        <v>0</v>
      </c>
      <c r="AX218" s="8">
        <f t="shared" si="27"/>
        <v>0</v>
      </c>
    </row>
    <row r="219" spans="1:50" ht="15" customHeight="1" x14ac:dyDescent="0.35">
      <c r="A219" s="102">
        <v>213</v>
      </c>
      <c r="B219" s="102" t="s">
        <v>586</v>
      </c>
      <c r="C219" s="103">
        <v>151</v>
      </c>
      <c r="D219" s="102" t="s">
        <v>184</v>
      </c>
      <c r="E219" s="102" t="s">
        <v>479</v>
      </c>
      <c r="F219" s="102" t="s">
        <v>947</v>
      </c>
      <c r="G219" s="102" t="s">
        <v>948</v>
      </c>
      <c r="H219" s="102" t="s">
        <v>949</v>
      </c>
      <c r="I219" s="102" t="s">
        <v>90</v>
      </c>
      <c r="J219" s="102"/>
      <c r="K219" s="102" t="s">
        <v>950</v>
      </c>
      <c r="L219" s="104">
        <v>44137</v>
      </c>
      <c r="M219" s="102" t="s">
        <v>964</v>
      </c>
      <c r="N219" s="102" t="s">
        <v>965</v>
      </c>
      <c r="O219" s="102" t="s">
        <v>383</v>
      </c>
      <c r="P219" s="103">
        <v>1</v>
      </c>
      <c r="Q219" s="105">
        <v>4635455</v>
      </c>
      <c r="R219" s="103">
        <v>48</v>
      </c>
      <c r="S219" s="105">
        <v>96571.979166666701</v>
      </c>
      <c r="T219" s="105">
        <v>4635455</v>
      </c>
      <c r="U219" s="105">
        <v>0</v>
      </c>
      <c r="V219" s="105">
        <v>0</v>
      </c>
      <c r="W219" s="105">
        <v>0</v>
      </c>
      <c r="X219" s="105">
        <v>0</v>
      </c>
      <c r="Y219" s="105">
        <v>0</v>
      </c>
      <c r="Z219" s="105">
        <v>0</v>
      </c>
      <c r="AA219" s="105">
        <v>0</v>
      </c>
      <c r="AB219" s="105">
        <v>0</v>
      </c>
      <c r="AC219" s="8">
        <f t="shared" si="21"/>
        <v>4635455</v>
      </c>
      <c r="AD219" s="8">
        <f t="shared" si="22"/>
        <v>0</v>
      </c>
      <c r="AE219" s="8">
        <f t="shared" si="23"/>
        <v>0</v>
      </c>
      <c r="AF219" s="106">
        <f t="shared" si="24"/>
        <v>0</v>
      </c>
      <c r="AG219" s="8">
        <f t="shared" si="25"/>
        <v>0</v>
      </c>
      <c r="AH219" s="8">
        <f>IF($O219="Aktif",MAX(0,MIN($AE219,$AD219-SUM($AG219:AG219))),0)</f>
        <v>0</v>
      </c>
      <c r="AI219" s="8">
        <f>IF($O219="Aktif",MAX(0,MIN($AE219,$AD219-SUM($AG219:AH219))),0)</f>
        <v>0</v>
      </c>
      <c r="AJ219" s="8">
        <f>IF($O219="Aktif",MAX(0,MIN($AE219,$AD219-SUM($AG219:AI219))),0)</f>
        <v>0</v>
      </c>
      <c r="AK219" s="8">
        <f>IF($O219="Aktif",MAX(0,MIN($AE219,$AD219-SUM($AG219:AJ219))),0)</f>
        <v>0</v>
      </c>
      <c r="AL219" s="8">
        <f>IF($O219="Aktif",MAX(0,MIN($AE219,$AD219-SUM($AG219:AK219))),0)</f>
        <v>0</v>
      </c>
      <c r="AM219" s="8">
        <f>IF($O219="Aktif",MAX(0,MIN($AE219,$AD219-SUM($AG219:AL219))),0)</f>
        <v>0</v>
      </c>
      <c r="AN219" s="8">
        <f>IF($O219="Aktif",MAX(0,MIN($AE219,$AD219-SUM($AG219:AM219))),0)</f>
        <v>0</v>
      </c>
      <c r="AO219" s="8">
        <f>IF($O219="Aktif",MAX(0,MIN($AE219,$AD219-SUM($AG219:AN219))),0)</f>
        <v>0</v>
      </c>
      <c r="AP219" s="8">
        <f>IF($O219="Aktif",MAX(0,MIN($AE219,$AD219-SUM($AG219:AO219))),0)</f>
        <v>0</v>
      </c>
      <c r="AQ219" s="8">
        <f>IF($O219="Aktif",MAX(0,MIN($AE219,$AD219-SUM($AG219:AP219))),0)</f>
        <v>0</v>
      </c>
      <c r="AR219" s="8">
        <f>IF($O219="Aktif",MAX(0,MIN($AE219,$AD219-SUM($AG219:AQ219))),0)</f>
        <v>0</v>
      </c>
      <c r="AS219" s="8">
        <f>IF($O219="Aktif",MAX(0,MIN($AE219,$AD219-SUM($AG219:AR219))),0)</f>
        <v>0</v>
      </c>
      <c r="AT219" s="8">
        <f>IF($O219="Aktif",MAX(0,MIN($AE219,$AD219-SUM($AG219:AS219))),0)</f>
        <v>0</v>
      </c>
      <c r="AU219" s="8">
        <f>IF($O219="Aktif",MAX(0,MIN($AE219,$AD219-SUM($AG219:AT219))),0)</f>
        <v>0</v>
      </c>
      <c r="AV219" s="8">
        <f>IF($O219="Aktif",MAX(0,MIN($AE219,$AD219-SUM($AG219:AU219))),0)</f>
        <v>0</v>
      </c>
      <c r="AW219" s="8">
        <f t="shared" si="26"/>
        <v>0</v>
      </c>
      <c r="AX219" s="8">
        <f t="shared" si="27"/>
        <v>0</v>
      </c>
    </row>
    <row r="220" spans="1:50" ht="15" customHeight="1" x14ac:dyDescent="0.35">
      <c r="A220" s="102">
        <v>214</v>
      </c>
      <c r="B220" s="102" t="s">
        <v>586</v>
      </c>
      <c r="C220" s="103">
        <v>152</v>
      </c>
      <c r="D220" s="102" t="s">
        <v>184</v>
      </c>
      <c r="E220" s="102" t="s">
        <v>479</v>
      </c>
      <c r="F220" s="102" t="s">
        <v>947</v>
      </c>
      <c r="G220" s="102" t="s">
        <v>948</v>
      </c>
      <c r="H220" s="102" t="s">
        <v>949</v>
      </c>
      <c r="I220" s="102" t="s">
        <v>90</v>
      </c>
      <c r="J220" s="102"/>
      <c r="K220" s="102" t="s">
        <v>950</v>
      </c>
      <c r="L220" s="104">
        <v>44159</v>
      </c>
      <c r="M220" s="102" t="s">
        <v>966</v>
      </c>
      <c r="N220" s="102" t="s">
        <v>967</v>
      </c>
      <c r="O220" s="102" t="s">
        <v>383</v>
      </c>
      <c r="P220" s="103">
        <v>1</v>
      </c>
      <c r="Q220" s="105">
        <v>5300000</v>
      </c>
      <c r="R220" s="103">
        <v>48</v>
      </c>
      <c r="S220" s="105">
        <v>110416.66666666701</v>
      </c>
      <c r="T220" s="105">
        <v>5300000</v>
      </c>
      <c r="U220" s="105">
        <v>0</v>
      </c>
      <c r="V220" s="105">
        <v>0</v>
      </c>
      <c r="W220" s="105">
        <v>0</v>
      </c>
      <c r="X220" s="105">
        <v>0</v>
      </c>
      <c r="Y220" s="105">
        <v>0</v>
      </c>
      <c r="Z220" s="105">
        <v>0</v>
      </c>
      <c r="AA220" s="105">
        <v>0</v>
      </c>
      <c r="AB220" s="105">
        <v>0</v>
      </c>
      <c r="AC220" s="8">
        <f t="shared" si="21"/>
        <v>5300000</v>
      </c>
      <c r="AD220" s="8">
        <f t="shared" si="22"/>
        <v>0</v>
      </c>
      <c r="AE220" s="8">
        <f t="shared" si="23"/>
        <v>0</v>
      </c>
      <c r="AF220" s="106">
        <f t="shared" si="24"/>
        <v>0</v>
      </c>
      <c r="AG220" s="8">
        <f t="shared" si="25"/>
        <v>0</v>
      </c>
      <c r="AH220" s="8">
        <f>IF($O220="Aktif",MAX(0,MIN($AE220,$AD220-SUM($AG220:AG220))),0)</f>
        <v>0</v>
      </c>
      <c r="AI220" s="8">
        <f>IF($O220="Aktif",MAX(0,MIN($AE220,$AD220-SUM($AG220:AH220))),0)</f>
        <v>0</v>
      </c>
      <c r="AJ220" s="8">
        <f>IF($O220="Aktif",MAX(0,MIN($AE220,$AD220-SUM($AG220:AI220))),0)</f>
        <v>0</v>
      </c>
      <c r="AK220" s="8">
        <f>IF($O220="Aktif",MAX(0,MIN($AE220,$AD220-SUM($AG220:AJ220))),0)</f>
        <v>0</v>
      </c>
      <c r="AL220" s="8">
        <f>IF($O220="Aktif",MAX(0,MIN($AE220,$AD220-SUM($AG220:AK220))),0)</f>
        <v>0</v>
      </c>
      <c r="AM220" s="8">
        <f>IF($O220="Aktif",MAX(0,MIN($AE220,$AD220-SUM($AG220:AL220))),0)</f>
        <v>0</v>
      </c>
      <c r="AN220" s="8">
        <f>IF($O220="Aktif",MAX(0,MIN($AE220,$AD220-SUM($AG220:AM220))),0)</f>
        <v>0</v>
      </c>
      <c r="AO220" s="8">
        <f>IF($O220="Aktif",MAX(0,MIN($AE220,$AD220-SUM($AG220:AN220))),0)</f>
        <v>0</v>
      </c>
      <c r="AP220" s="8">
        <f>IF($O220="Aktif",MAX(0,MIN($AE220,$AD220-SUM($AG220:AO220))),0)</f>
        <v>0</v>
      </c>
      <c r="AQ220" s="8">
        <f>IF($O220="Aktif",MAX(0,MIN($AE220,$AD220-SUM($AG220:AP220))),0)</f>
        <v>0</v>
      </c>
      <c r="AR220" s="8">
        <f>IF($O220="Aktif",MAX(0,MIN($AE220,$AD220-SUM($AG220:AQ220))),0)</f>
        <v>0</v>
      </c>
      <c r="AS220" s="8">
        <f>IF($O220="Aktif",MAX(0,MIN($AE220,$AD220-SUM($AG220:AR220))),0)</f>
        <v>0</v>
      </c>
      <c r="AT220" s="8">
        <f>IF($O220="Aktif",MAX(0,MIN($AE220,$AD220-SUM($AG220:AS220))),0)</f>
        <v>0</v>
      </c>
      <c r="AU220" s="8">
        <f>IF($O220="Aktif",MAX(0,MIN($AE220,$AD220-SUM($AG220:AT220))),0)</f>
        <v>0</v>
      </c>
      <c r="AV220" s="8">
        <f>IF($O220="Aktif",MAX(0,MIN($AE220,$AD220-SUM($AG220:AU220))),0)</f>
        <v>0</v>
      </c>
      <c r="AW220" s="8">
        <f t="shared" si="26"/>
        <v>0</v>
      </c>
      <c r="AX220" s="8">
        <f t="shared" si="27"/>
        <v>0</v>
      </c>
    </row>
    <row r="221" spans="1:50" ht="15" customHeight="1" x14ac:dyDescent="0.35">
      <c r="A221" s="102">
        <v>215</v>
      </c>
      <c r="B221" s="102" t="s">
        <v>586</v>
      </c>
      <c r="C221" s="103">
        <v>153</v>
      </c>
      <c r="D221" s="102" t="s">
        <v>184</v>
      </c>
      <c r="E221" s="102" t="s">
        <v>479</v>
      </c>
      <c r="F221" s="102" t="s">
        <v>947</v>
      </c>
      <c r="G221" s="102" t="s">
        <v>948</v>
      </c>
      <c r="H221" s="102" t="s">
        <v>949</v>
      </c>
      <c r="I221" s="102" t="s">
        <v>90</v>
      </c>
      <c r="J221" s="102"/>
      <c r="K221" s="102" t="s">
        <v>968</v>
      </c>
      <c r="L221" s="104">
        <v>44281</v>
      </c>
      <c r="M221" s="102" t="s">
        <v>969</v>
      </c>
      <c r="N221" s="102" t="s">
        <v>970</v>
      </c>
      <c r="O221" s="102" t="s">
        <v>383</v>
      </c>
      <c r="P221" s="103">
        <v>3</v>
      </c>
      <c r="Q221" s="105">
        <v>18103636</v>
      </c>
      <c r="R221" s="103">
        <v>48</v>
      </c>
      <c r="S221" s="105">
        <v>377159.08333333302</v>
      </c>
      <c r="T221" s="105">
        <v>18103636</v>
      </c>
      <c r="U221" s="105">
        <v>0</v>
      </c>
      <c r="V221" s="105">
        <v>0</v>
      </c>
      <c r="W221" s="105">
        <v>0</v>
      </c>
      <c r="X221" s="105">
        <v>0</v>
      </c>
      <c r="Y221" s="105">
        <v>0</v>
      </c>
      <c r="Z221" s="105">
        <v>0</v>
      </c>
      <c r="AA221" s="105">
        <v>0</v>
      </c>
      <c r="AB221" s="105">
        <v>0</v>
      </c>
      <c r="AC221" s="8">
        <f t="shared" si="21"/>
        <v>18103636</v>
      </c>
      <c r="AD221" s="8">
        <f t="shared" si="22"/>
        <v>0</v>
      </c>
      <c r="AE221" s="8">
        <f t="shared" si="23"/>
        <v>0</v>
      </c>
      <c r="AF221" s="106">
        <f t="shared" si="24"/>
        <v>0</v>
      </c>
      <c r="AG221" s="8">
        <f t="shared" si="25"/>
        <v>0</v>
      </c>
      <c r="AH221" s="8">
        <f>IF($O221="Aktif",MAX(0,MIN($AE221,$AD221-SUM($AG221:AG221))),0)</f>
        <v>0</v>
      </c>
      <c r="AI221" s="8">
        <f>IF($O221="Aktif",MAX(0,MIN($AE221,$AD221-SUM($AG221:AH221))),0)</f>
        <v>0</v>
      </c>
      <c r="AJ221" s="8">
        <f>IF($O221="Aktif",MAX(0,MIN($AE221,$AD221-SUM($AG221:AI221))),0)</f>
        <v>0</v>
      </c>
      <c r="AK221" s="8">
        <f>IF($O221="Aktif",MAX(0,MIN($AE221,$AD221-SUM($AG221:AJ221))),0)</f>
        <v>0</v>
      </c>
      <c r="AL221" s="8">
        <f>IF($O221="Aktif",MAX(0,MIN($AE221,$AD221-SUM($AG221:AK221))),0)</f>
        <v>0</v>
      </c>
      <c r="AM221" s="8">
        <f>IF($O221="Aktif",MAX(0,MIN($AE221,$AD221-SUM($AG221:AL221))),0)</f>
        <v>0</v>
      </c>
      <c r="AN221" s="8">
        <f>IF($O221="Aktif",MAX(0,MIN($AE221,$AD221-SUM($AG221:AM221))),0)</f>
        <v>0</v>
      </c>
      <c r="AO221" s="8">
        <f>IF($O221="Aktif",MAX(0,MIN($AE221,$AD221-SUM($AG221:AN221))),0)</f>
        <v>0</v>
      </c>
      <c r="AP221" s="8">
        <f>IF($O221="Aktif",MAX(0,MIN($AE221,$AD221-SUM($AG221:AO221))),0)</f>
        <v>0</v>
      </c>
      <c r="AQ221" s="8">
        <f>IF($O221="Aktif",MAX(0,MIN($AE221,$AD221-SUM($AG221:AP221))),0)</f>
        <v>0</v>
      </c>
      <c r="AR221" s="8">
        <f>IF($O221="Aktif",MAX(0,MIN($AE221,$AD221-SUM($AG221:AQ221))),0)</f>
        <v>0</v>
      </c>
      <c r="AS221" s="8">
        <f>IF($O221="Aktif",MAX(0,MIN($AE221,$AD221-SUM($AG221:AR221))),0)</f>
        <v>0</v>
      </c>
      <c r="AT221" s="8">
        <f>IF($O221="Aktif",MAX(0,MIN($AE221,$AD221-SUM($AG221:AS221))),0)</f>
        <v>0</v>
      </c>
      <c r="AU221" s="8">
        <f>IF($O221="Aktif",MAX(0,MIN($AE221,$AD221-SUM($AG221:AT221))),0)</f>
        <v>0</v>
      </c>
      <c r="AV221" s="8">
        <f>IF($O221="Aktif",MAX(0,MIN($AE221,$AD221-SUM($AG221:AU221))),0)</f>
        <v>0</v>
      </c>
      <c r="AW221" s="8">
        <f t="shared" si="26"/>
        <v>0</v>
      </c>
      <c r="AX221" s="8">
        <f t="shared" si="27"/>
        <v>0</v>
      </c>
    </row>
    <row r="222" spans="1:50" ht="15" customHeight="1" x14ac:dyDescent="0.35">
      <c r="A222" s="102">
        <v>216</v>
      </c>
      <c r="B222" s="102" t="s">
        <v>586</v>
      </c>
      <c r="C222" s="103">
        <v>154</v>
      </c>
      <c r="D222" s="102" t="s">
        <v>184</v>
      </c>
      <c r="E222" s="102" t="s">
        <v>479</v>
      </c>
      <c r="F222" s="102" t="s">
        <v>947</v>
      </c>
      <c r="G222" s="102" t="s">
        <v>948</v>
      </c>
      <c r="H222" s="102" t="s">
        <v>949</v>
      </c>
      <c r="I222" s="102" t="s">
        <v>90</v>
      </c>
      <c r="J222" s="102"/>
      <c r="K222" s="102" t="s">
        <v>971</v>
      </c>
      <c r="L222" s="104">
        <v>44281</v>
      </c>
      <c r="M222" s="102" t="s">
        <v>972</v>
      </c>
      <c r="N222" s="102" t="s">
        <v>973</v>
      </c>
      <c r="O222" s="102" t="s">
        <v>383</v>
      </c>
      <c r="P222" s="103">
        <v>1</v>
      </c>
      <c r="Q222" s="105">
        <v>6366364</v>
      </c>
      <c r="R222" s="103">
        <v>48</v>
      </c>
      <c r="S222" s="105">
        <v>132632.58333333299</v>
      </c>
      <c r="T222" s="105">
        <v>6366364</v>
      </c>
      <c r="U222" s="105">
        <v>0</v>
      </c>
      <c r="V222" s="105">
        <v>0</v>
      </c>
      <c r="W222" s="105">
        <v>0</v>
      </c>
      <c r="X222" s="105">
        <v>0</v>
      </c>
      <c r="Y222" s="105">
        <v>0</v>
      </c>
      <c r="Z222" s="105">
        <v>0</v>
      </c>
      <c r="AA222" s="105">
        <v>0</v>
      </c>
      <c r="AB222" s="105">
        <v>0</v>
      </c>
      <c r="AC222" s="8">
        <f t="shared" si="21"/>
        <v>6366364</v>
      </c>
      <c r="AD222" s="8">
        <f t="shared" si="22"/>
        <v>0</v>
      </c>
      <c r="AE222" s="8">
        <f t="shared" si="23"/>
        <v>0</v>
      </c>
      <c r="AF222" s="106">
        <f t="shared" si="24"/>
        <v>0</v>
      </c>
      <c r="AG222" s="8">
        <f t="shared" si="25"/>
        <v>0</v>
      </c>
      <c r="AH222" s="8">
        <f>IF($O222="Aktif",MAX(0,MIN($AE222,$AD222-SUM($AG222:AG222))),0)</f>
        <v>0</v>
      </c>
      <c r="AI222" s="8">
        <f>IF($O222="Aktif",MAX(0,MIN($AE222,$AD222-SUM($AG222:AH222))),0)</f>
        <v>0</v>
      </c>
      <c r="AJ222" s="8">
        <f>IF($O222="Aktif",MAX(0,MIN($AE222,$AD222-SUM($AG222:AI222))),0)</f>
        <v>0</v>
      </c>
      <c r="AK222" s="8">
        <f>IF($O222="Aktif",MAX(0,MIN($AE222,$AD222-SUM($AG222:AJ222))),0)</f>
        <v>0</v>
      </c>
      <c r="AL222" s="8">
        <f>IF($O222="Aktif",MAX(0,MIN($AE222,$AD222-SUM($AG222:AK222))),0)</f>
        <v>0</v>
      </c>
      <c r="AM222" s="8">
        <f>IF($O222="Aktif",MAX(0,MIN($AE222,$AD222-SUM($AG222:AL222))),0)</f>
        <v>0</v>
      </c>
      <c r="AN222" s="8">
        <f>IF($O222="Aktif",MAX(0,MIN($AE222,$AD222-SUM($AG222:AM222))),0)</f>
        <v>0</v>
      </c>
      <c r="AO222" s="8">
        <f>IF($O222="Aktif",MAX(0,MIN($AE222,$AD222-SUM($AG222:AN222))),0)</f>
        <v>0</v>
      </c>
      <c r="AP222" s="8">
        <f>IF($O222="Aktif",MAX(0,MIN($AE222,$AD222-SUM($AG222:AO222))),0)</f>
        <v>0</v>
      </c>
      <c r="AQ222" s="8">
        <f>IF($O222="Aktif",MAX(0,MIN($AE222,$AD222-SUM($AG222:AP222))),0)</f>
        <v>0</v>
      </c>
      <c r="AR222" s="8">
        <f>IF($O222="Aktif",MAX(0,MIN($AE222,$AD222-SUM($AG222:AQ222))),0)</f>
        <v>0</v>
      </c>
      <c r="AS222" s="8">
        <f>IF($O222="Aktif",MAX(0,MIN($AE222,$AD222-SUM($AG222:AR222))),0)</f>
        <v>0</v>
      </c>
      <c r="AT222" s="8">
        <f>IF($O222="Aktif",MAX(0,MIN($AE222,$AD222-SUM($AG222:AS222))),0)</f>
        <v>0</v>
      </c>
      <c r="AU222" s="8">
        <f>IF($O222="Aktif",MAX(0,MIN($AE222,$AD222-SUM($AG222:AT222))),0)</f>
        <v>0</v>
      </c>
      <c r="AV222" s="8">
        <f>IF($O222="Aktif",MAX(0,MIN($AE222,$AD222-SUM($AG222:AU222))),0)</f>
        <v>0</v>
      </c>
      <c r="AW222" s="8">
        <f t="shared" si="26"/>
        <v>0</v>
      </c>
      <c r="AX222" s="8">
        <f t="shared" si="27"/>
        <v>0</v>
      </c>
    </row>
    <row r="223" spans="1:50" ht="15" customHeight="1" x14ac:dyDescent="0.35">
      <c r="A223" s="102">
        <v>217</v>
      </c>
      <c r="B223" s="102" t="s">
        <v>586</v>
      </c>
      <c r="C223" s="103">
        <v>155</v>
      </c>
      <c r="D223" s="102" t="s">
        <v>184</v>
      </c>
      <c r="E223" s="102" t="s">
        <v>479</v>
      </c>
      <c r="F223" s="102" t="s">
        <v>947</v>
      </c>
      <c r="G223" s="102" t="s">
        <v>948</v>
      </c>
      <c r="H223" s="102" t="s">
        <v>949</v>
      </c>
      <c r="I223" s="102" t="s">
        <v>90</v>
      </c>
      <c r="J223" s="102"/>
      <c r="K223" s="102" t="s">
        <v>974</v>
      </c>
      <c r="L223" s="104">
        <v>44286</v>
      </c>
      <c r="M223" s="102" t="s">
        <v>975</v>
      </c>
      <c r="N223" s="102" t="s">
        <v>976</v>
      </c>
      <c r="O223" s="102" t="s">
        <v>383</v>
      </c>
      <c r="P223" s="103">
        <v>1</v>
      </c>
      <c r="Q223" s="105">
        <v>5708182</v>
      </c>
      <c r="R223" s="103">
        <v>48</v>
      </c>
      <c r="S223" s="105">
        <v>118920.45833333299</v>
      </c>
      <c r="T223" s="105">
        <v>5708182</v>
      </c>
      <c r="U223" s="105">
        <v>0</v>
      </c>
      <c r="V223" s="105">
        <v>0</v>
      </c>
      <c r="W223" s="105">
        <v>0</v>
      </c>
      <c r="X223" s="105">
        <v>0</v>
      </c>
      <c r="Y223" s="105">
        <v>0</v>
      </c>
      <c r="Z223" s="105">
        <v>0</v>
      </c>
      <c r="AA223" s="105">
        <v>0</v>
      </c>
      <c r="AB223" s="105">
        <v>0</v>
      </c>
      <c r="AC223" s="8">
        <f t="shared" si="21"/>
        <v>5708182</v>
      </c>
      <c r="AD223" s="8">
        <f t="shared" si="22"/>
        <v>0</v>
      </c>
      <c r="AE223" s="8">
        <f t="shared" si="23"/>
        <v>0</v>
      </c>
      <c r="AF223" s="106">
        <f t="shared" si="24"/>
        <v>0</v>
      </c>
      <c r="AG223" s="8">
        <f t="shared" si="25"/>
        <v>0</v>
      </c>
      <c r="AH223" s="8">
        <f>IF($O223="Aktif",MAX(0,MIN($AE223,$AD223-SUM($AG223:AG223))),0)</f>
        <v>0</v>
      </c>
      <c r="AI223" s="8">
        <f>IF($O223="Aktif",MAX(0,MIN($AE223,$AD223-SUM($AG223:AH223))),0)</f>
        <v>0</v>
      </c>
      <c r="AJ223" s="8">
        <f>IF($O223="Aktif",MAX(0,MIN($AE223,$AD223-SUM($AG223:AI223))),0)</f>
        <v>0</v>
      </c>
      <c r="AK223" s="8">
        <f>IF($O223="Aktif",MAX(0,MIN($AE223,$AD223-SUM($AG223:AJ223))),0)</f>
        <v>0</v>
      </c>
      <c r="AL223" s="8">
        <f>IF($O223="Aktif",MAX(0,MIN($AE223,$AD223-SUM($AG223:AK223))),0)</f>
        <v>0</v>
      </c>
      <c r="AM223" s="8">
        <f>IF($O223="Aktif",MAX(0,MIN($AE223,$AD223-SUM($AG223:AL223))),0)</f>
        <v>0</v>
      </c>
      <c r="AN223" s="8">
        <f>IF($O223="Aktif",MAX(0,MIN($AE223,$AD223-SUM($AG223:AM223))),0)</f>
        <v>0</v>
      </c>
      <c r="AO223" s="8">
        <f>IF($O223="Aktif",MAX(0,MIN($AE223,$AD223-SUM($AG223:AN223))),0)</f>
        <v>0</v>
      </c>
      <c r="AP223" s="8">
        <f>IF($O223="Aktif",MAX(0,MIN($AE223,$AD223-SUM($AG223:AO223))),0)</f>
        <v>0</v>
      </c>
      <c r="AQ223" s="8">
        <f>IF($O223="Aktif",MAX(0,MIN($AE223,$AD223-SUM($AG223:AP223))),0)</f>
        <v>0</v>
      </c>
      <c r="AR223" s="8">
        <f>IF($O223="Aktif",MAX(0,MIN($AE223,$AD223-SUM($AG223:AQ223))),0)</f>
        <v>0</v>
      </c>
      <c r="AS223" s="8">
        <f>IF($O223="Aktif",MAX(0,MIN($AE223,$AD223-SUM($AG223:AR223))),0)</f>
        <v>0</v>
      </c>
      <c r="AT223" s="8">
        <f>IF($O223="Aktif",MAX(0,MIN($AE223,$AD223-SUM($AG223:AS223))),0)</f>
        <v>0</v>
      </c>
      <c r="AU223" s="8">
        <f>IF($O223="Aktif",MAX(0,MIN($AE223,$AD223-SUM($AG223:AT223))),0)</f>
        <v>0</v>
      </c>
      <c r="AV223" s="8">
        <f>IF($O223="Aktif",MAX(0,MIN($AE223,$AD223-SUM($AG223:AU223))),0)</f>
        <v>0</v>
      </c>
      <c r="AW223" s="8">
        <f t="shared" si="26"/>
        <v>0</v>
      </c>
      <c r="AX223" s="8">
        <f t="shared" si="27"/>
        <v>0</v>
      </c>
    </row>
    <row r="224" spans="1:50" ht="15" customHeight="1" x14ac:dyDescent="0.35">
      <c r="A224" s="102">
        <v>218</v>
      </c>
      <c r="B224" s="102" t="s">
        <v>586</v>
      </c>
      <c r="C224" s="103">
        <v>156</v>
      </c>
      <c r="D224" s="102" t="s">
        <v>184</v>
      </c>
      <c r="E224" s="102" t="s">
        <v>479</v>
      </c>
      <c r="F224" s="102" t="s">
        <v>947</v>
      </c>
      <c r="G224" s="102" t="s">
        <v>948</v>
      </c>
      <c r="H224" s="102" t="s">
        <v>949</v>
      </c>
      <c r="I224" s="102" t="s">
        <v>90</v>
      </c>
      <c r="J224" s="102"/>
      <c r="K224" s="102" t="s">
        <v>977</v>
      </c>
      <c r="L224" s="104">
        <v>44314</v>
      </c>
      <c r="M224" s="102" t="s">
        <v>812</v>
      </c>
      <c r="N224" s="102" t="s">
        <v>978</v>
      </c>
      <c r="O224" s="102" t="s">
        <v>383</v>
      </c>
      <c r="P224" s="103">
        <v>2</v>
      </c>
      <c r="Q224" s="105">
        <v>12870909</v>
      </c>
      <c r="R224" s="103">
        <v>48</v>
      </c>
      <c r="S224" s="105">
        <v>268143.9375</v>
      </c>
      <c r="T224" s="105">
        <v>12870909</v>
      </c>
      <c r="U224" s="105">
        <v>0</v>
      </c>
      <c r="V224" s="105">
        <v>0</v>
      </c>
      <c r="W224" s="105">
        <v>0</v>
      </c>
      <c r="X224" s="105">
        <v>0</v>
      </c>
      <c r="Y224" s="105">
        <v>0</v>
      </c>
      <c r="Z224" s="105">
        <v>0</v>
      </c>
      <c r="AA224" s="105">
        <v>0</v>
      </c>
      <c r="AB224" s="105">
        <v>0</v>
      </c>
      <c r="AC224" s="8">
        <f t="shared" si="21"/>
        <v>12870909</v>
      </c>
      <c r="AD224" s="8">
        <f t="shared" si="22"/>
        <v>0</v>
      </c>
      <c r="AE224" s="8">
        <f t="shared" si="23"/>
        <v>0</v>
      </c>
      <c r="AF224" s="106">
        <f t="shared" si="24"/>
        <v>0</v>
      </c>
      <c r="AG224" s="8">
        <f t="shared" si="25"/>
        <v>0</v>
      </c>
      <c r="AH224" s="8">
        <f>IF($O224="Aktif",MAX(0,MIN($AE224,$AD224-SUM($AG224:AG224))),0)</f>
        <v>0</v>
      </c>
      <c r="AI224" s="8">
        <f>IF($O224="Aktif",MAX(0,MIN($AE224,$AD224-SUM($AG224:AH224))),0)</f>
        <v>0</v>
      </c>
      <c r="AJ224" s="8">
        <f>IF($O224="Aktif",MAX(0,MIN($AE224,$AD224-SUM($AG224:AI224))),0)</f>
        <v>0</v>
      </c>
      <c r="AK224" s="8">
        <f>IF($O224="Aktif",MAX(0,MIN($AE224,$AD224-SUM($AG224:AJ224))),0)</f>
        <v>0</v>
      </c>
      <c r="AL224" s="8">
        <f>IF($O224="Aktif",MAX(0,MIN($AE224,$AD224-SUM($AG224:AK224))),0)</f>
        <v>0</v>
      </c>
      <c r="AM224" s="8">
        <f>IF($O224="Aktif",MAX(0,MIN($AE224,$AD224-SUM($AG224:AL224))),0)</f>
        <v>0</v>
      </c>
      <c r="AN224" s="8">
        <f>IF($O224="Aktif",MAX(0,MIN($AE224,$AD224-SUM($AG224:AM224))),0)</f>
        <v>0</v>
      </c>
      <c r="AO224" s="8">
        <f>IF($O224="Aktif",MAX(0,MIN($AE224,$AD224-SUM($AG224:AN224))),0)</f>
        <v>0</v>
      </c>
      <c r="AP224" s="8">
        <f>IF($O224="Aktif",MAX(0,MIN($AE224,$AD224-SUM($AG224:AO224))),0)</f>
        <v>0</v>
      </c>
      <c r="AQ224" s="8">
        <f>IF($O224="Aktif",MAX(0,MIN($AE224,$AD224-SUM($AG224:AP224))),0)</f>
        <v>0</v>
      </c>
      <c r="AR224" s="8">
        <f>IF($O224="Aktif",MAX(0,MIN($AE224,$AD224-SUM($AG224:AQ224))),0)</f>
        <v>0</v>
      </c>
      <c r="AS224" s="8">
        <f>IF($O224="Aktif",MAX(0,MIN($AE224,$AD224-SUM($AG224:AR224))),0)</f>
        <v>0</v>
      </c>
      <c r="AT224" s="8">
        <f>IF($O224="Aktif",MAX(0,MIN($AE224,$AD224-SUM($AG224:AS224))),0)</f>
        <v>0</v>
      </c>
      <c r="AU224" s="8">
        <f>IF($O224="Aktif",MAX(0,MIN($AE224,$AD224-SUM($AG224:AT224))),0)</f>
        <v>0</v>
      </c>
      <c r="AV224" s="8">
        <f>IF($O224="Aktif",MAX(0,MIN($AE224,$AD224-SUM($AG224:AU224))),0)</f>
        <v>0</v>
      </c>
      <c r="AW224" s="8">
        <f t="shared" si="26"/>
        <v>0</v>
      </c>
      <c r="AX224" s="8">
        <f t="shared" si="27"/>
        <v>0</v>
      </c>
    </row>
    <row r="225" spans="1:50" ht="15" customHeight="1" x14ac:dyDescent="0.35">
      <c r="A225" s="102">
        <v>219</v>
      </c>
      <c r="B225" s="102" t="s">
        <v>586</v>
      </c>
      <c r="C225" s="103">
        <v>157</v>
      </c>
      <c r="D225" s="102" t="s">
        <v>184</v>
      </c>
      <c r="E225" s="102" t="s">
        <v>479</v>
      </c>
      <c r="F225" s="102" t="s">
        <v>947</v>
      </c>
      <c r="G225" s="102" t="s">
        <v>948</v>
      </c>
      <c r="H225" s="102" t="s">
        <v>949</v>
      </c>
      <c r="I225" s="102" t="s">
        <v>90</v>
      </c>
      <c r="J225" s="102"/>
      <c r="K225" s="102" t="s">
        <v>979</v>
      </c>
      <c r="L225" s="104">
        <v>44316</v>
      </c>
      <c r="M225" s="102" t="s">
        <v>980</v>
      </c>
      <c r="N225" s="102" t="s">
        <v>981</v>
      </c>
      <c r="O225" s="102" t="s">
        <v>383</v>
      </c>
      <c r="P225" s="103">
        <v>1</v>
      </c>
      <c r="Q225" s="105">
        <v>6143255</v>
      </c>
      <c r="R225" s="103">
        <v>48</v>
      </c>
      <c r="S225" s="105">
        <v>127984.47916666701</v>
      </c>
      <c r="T225" s="105">
        <v>6143255</v>
      </c>
      <c r="U225" s="105">
        <v>0</v>
      </c>
      <c r="V225" s="105">
        <v>0</v>
      </c>
      <c r="W225" s="105">
        <v>0</v>
      </c>
      <c r="X225" s="105">
        <v>0</v>
      </c>
      <c r="Y225" s="105">
        <v>0</v>
      </c>
      <c r="Z225" s="105">
        <v>0</v>
      </c>
      <c r="AA225" s="105">
        <v>0</v>
      </c>
      <c r="AB225" s="105">
        <v>0</v>
      </c>
      <c r="AC225" s="8">
        <f t="shared" si="21"/>
        <v>6143255</v>
      </c>
      <c r="AD225" s="8">
        <f t="shared" si="22"/>
        <v>0</v>
      </c>
      <c r="AE225" s="8">
        <f t="shared" si="23"/>
        <v>0</v>
      </c>
      <c r="AF225" s="106">
        <f t="shared" si="24"/>
        <v>0</v>
      </c>
      <c r="AG225" s="8">
        <f t="shared" si="25"/>
        <v>0</v>
      </c>
      <c r="AH225" s="8">
        <f>IF($O225="Aktif",MAX(0,MIN($AE225,$AD225-SUM($AG225:AG225))),0)</f>
        <v>0</v>
      </c>
      <c r="AI225" s="8">
        <f>IF($O225="Aktif",MAX(0,MIN($AE225,$AD225-SUM($AG225:AH225))),0)</f>
        <v>0</v>
      </c>
      <c r="AJ225" s="8">
        <f>IF($O225="Aktif",MAX(0,MIN($AE225,$AD225-SUM($AG225:AI225))),0)</f>
        <v>0</v>
      </c>
      <c r="AK225" s="8">
        <f>IF($O225="Aktif",MAX(0,MIN($AE225,$AD225-SUM($AG225:AJ225))),0)</f>
        <v>0</v>
      </c>
      <c r="AL225" s="8">
        <f>IF($O225="Aktif",MAX(0,MIN($AE225,$AD225-SUM($AG225:AK225))),0)</f>
        <v>0</v>
      </c>
      <c r="AM225" s="8">
        <f>IF($O225="Aktif",MAX(0,MIN($AE225,$AD225-SUM($AG225:AL225))),0)</f>
        <v>0</v>
      </c>
      <c r="AN225" s="8">
        <f>IF($O225="Aktif",MAX(0,MIN($AE225,$AD225-SUM($AG225:AM225))),0)</f>
        <v>0</v>
      </c>
      <c r="AO225" s="8">
        <f>IF($O225="Aktif",MAX(0,MIN($AE225,$AD225-SUM($AG225:AN225))),0)</f>
        <v>0</v>
      </c>
      <c r="AP225" s="8">
        <f>IF($O225="Aktif",MAX(0,MIN($AE225,$AD225-SUM($AG225:AO225))),0)</f>
        <v>0</v>
      </c>
      <c r="AQ225" s="8">
        <f>IF($O225="Aktif",MAX(0,MIN($AE225,$AD225-SUM($AG225:AP225))),0)</f>
        <v>0</v>
      </c>
      <c r="AR225" s="8">
        <f>IF($O225="Aktif",MAX(0,MIN($AE225,$AD225-SUM($AG225:AQ225))),0)</f>
        <v>0</v>
      </c>
      <c r="AS225" s="8">
        <f>IF($O225="Aktif",MAX(0,MIN($AE225,$AD225-SUM($AG225:AR225))),0)</f>
        <v>0</v>
      </c>
      <c r="AT225" s="8">
        <f>IF($O225="Aktif",MAX(0,MIN($AE225,$AD225-SUM($AG225:AS225))),0)</f>
        <v>0</v>
      </c>
      <c r="AU225" s="8">
        <f>IF($O225="Aktif",MAX(0,MIN($AE225,$AD225-SUM($AG225:AT225))),0)</f>
        <v>0</v>
      </c>
      <c r="AV225" s="8">
        <f>IF($O225="Aktif",MAX(0,MIN($AE225,$AD225-SUM($AG225:AU225))),0)</f>
        <v>0</v>
      </c>
      <c r="AW225" s="8">
        <f t="shared" si="26"/>
        <v>0</v>
      </c>
      <c r="AX225" s="8">
        <f t="shared" si="27"/>
        <v>0</v>
      </c>
    </row>
    <row r="226" spans="1:50" ht="15" customHeight="1" x14ac:dyDescent="0.35">
      <c r="A226" s="102">
        <v>220</v>
      </c>
      <c r="B226" s="102" t="s">
        <v>586</v>
      </c>
      <c r="C226" s="103">
        <v>158</v>
      </c>
      <c r="D226" s="102" t="s">
        <v>184</v>
      </c>
      <c r="E226" s="102" t="s">
        <v>479</v>
      </c>
      <c r="F226" s="102" t="s">
        <v>947</v>
      </c>
      <c r="G226" s="102" t="s">
        <v>948</v>
      </c>
      <c r="H226" s="102" t="s">
        <v>949</v>
      </c>
      <c r="I226" s="102" t="s">
        <v>90</v>
      </c>
      <c r="J226" s="102"/>
      <c r="K226" s="102" t="s">
        <v>982</v>
      </c>
      <c r="L226" s="104">
        <v>44336</v>
      </c>
      <c r="M226" s="102" t="s">
        <v>983</v>
      </c>
      <c r="N226" s="102" t="s">
        <v>984</v>
      </c>
      <c r="O226" s="102" t="s">
        <v>383</v>
      </c>
      <c r="P226" s="103">
        <v>2</v>
      </c>
      <c r="Q226" s="105">
        <v>2030000</v>
      </c>
      <c r="R226" s="103">
        <v>48</v>
      </c>
      <c r="S226" s="105">
        <v>42291.666666666701</v>
      </c>
      <c r="T226" s="105">
        <v>2030000</v>
      </c>
      <c r="U226" s="105">
        <v>0</v>
      </c>
      <c r="V226" s="105">
        <v>0</v>
      </c>
      <c r="W226" s="105">
        <v>0</v>
      </c>
      <c r="X226" s="105">
        <v>0</v>
      </c>
      <c r="Y226" s="105">
        <v>0</v>
      </c>
      <c r="Z226" s="105">
        <v>0</v>
      </c>
      <c r="AA226" s="105">
        <v>0</v>
      </c>
      <c r="AB226" s="105">
        <v>0</v>
      </c>
      <c r="AC226" s="8">
        <f t="shared" si="21"/>
        <v>2030000</v>
      </c>
      <c r="AD226" s="8">
        <f t="shared" si="22"/>
        <v>0</v>
      </c>
      <c r="AE226" s="8">
        <f t="shared" si="23"/>
        <v>0</v>
      </c>
      <c r="AF226" s="106">
        <f t="shared" si="24"/>
        <v>0</v>
      </c>
      <c r="AG226" s="8">
        <f t="shared" si="25"/>
        <v>0</v>
      </c>
      <c r="AH226" s="8">
        <f>IF($O226="Aktif",MAX(0,MIN($AE226,$AD226-SUM($AG226:AG226))),0)</f>
        <v>0</v>
      </c>
      <c r="AI226" s="8">
        <f>IF($O226="Aktif",MAX(0,MIN($AE226,$AD226-SUM($AG226:AH226))),0)</f>
        <v>0</v>
      </c>
      <c r="AJ226" s="8">
        <f>IF($O226="Aktif",MAX(0,MIN($AE226,$AD226-SUM($AG226:AI226))),0)</f>
        <v>0</v>
      </c>
      <c r="AK226" s="8">
        <f>IF($O226="Aktif",MAX(0,MIN($AE226,$AD226-SUM($AG226:AJ226))),0)</f>
        <v>0</v>
      </c>
      <c r="AL226" s="8">
        <f>IF($O226="Aktif",MAX(0,MIN($AE226,$AD226-SUM($AG226:AK226))),0)</f>
        <v>0</v>
      </c>
      <c r="AM226" s="8">
        <f>IF($O226="Aktif",MAX(0,MIN($AE226,$AD226-SUM($AG226:AL226))),0)</f>
        <v>0</v>
      </c>
      <c r="AN226" s="8">
        <f>IF($O226="Aktif",MAX(0,MIN($AE226,$AD226-SUM($AG226:AM226))),0)</f>
        <v>0</v>
      </c>
      <c r="AO226" s="8">
        <f>IF($O226="Aktif",MAX(0,MIN($AE226,$AD226-SUM($AG226:AN226))),0)</f>
        <v>0</v>
      </c>
      <c r="AP226" s="8">
        <f>IF($O226="Aktif",MAX(0,MIN($AE226,$AD226-SUM($AG226:AO226))),0)</f>
        <v>0</v>
      </c>
      <c r="AQ226" s="8">
        <f>IF($O226="Aktif",MAX(0,MIN($AE226,$AD226-SUM($AG226:AP226))),0)</f>
        <v>0</v>
      </c>
      <c r="AR226" s="8">
        <f>IF($O226="Aktif",MAX(0,MIN($AE226,$AD226-SUM($AG226:AQ226))),0)</f>
        <v>0</v>
      </c>
      <c r="AS226" s="8">
        <f>IF($O226="Aktif",MAX(0,MIN($AE226,$AD226-SUM($AG226:AR226))),0)</f>
        <v>0</v>
      </c>
      <c r="AT226" s="8">
        <f>IF($O226="Aktif",MAX(0,MIN($AE226,$AD226-SUM($AG226:AS226))),0)</f>
        <v>0</v>
      </c>
      <c r="AU226" s="8">
        <f>IF($O226="Aktif",MAX(0,MIN($AE226,$AD226-SUM($AG226:AT226))),0)</f>
        <v>0</v>
      </c>
      <c r="AV226" s="8">
        <f>IF($O226="Aktif",MAX(0,MIN($AE226,$AD226-SUM($AG226:AU226))),0)</f>
        <v>0</v>
      </c>
      <c r="AW226" s="8">
        <f t="shared" si="26"/>
        <v>0</v>
      </c>
      <c r="AX226" s="8">
        <f t="shared" si="27"/>
        <v>0</v>
      </c>
    </row>
    <row r="227" spans="1:50" ht="15" customHeight="1" x14ac:dyDescent="0.35">
      <c r="A227" s="102">
        <v>221</v>
      </c>
      <c r="B227" s="102" t="s">
        <v>586</v>
      </c>
      <c r="C227" s="103">
        <v>159</v>
      </c>
      <c r="D227" s="102" t="s">
        <v>184</v>
      </c>
      <c r="E227" s="102" t="s">
        <v>479</v>
      </c>
      <c r="F227" s="102" t="s">
        <v>947</v>
      </c>
      <c r="G227" s="102" t="s">
        <v>948</v>
      </c>
      <c r="H227" s="102" t="s">
        <v>949</v>
      </c>
      <c r="I227" s="102" t="s">
        <v>90</v>
      </c>
      <c r="J227" s="102"/>
      <c r="K227" s="102" t="s">
        <v>985</v>
      </c>
      <c r="L227" s="104">
        <v>44347</v>
      </c>
      <c r="M227" s="102" t="s">
        <v>986</v>
      </c>
      <c r="N227" s="102" t="s">
        <v>987</v>
      </c>
      <c r="O227" s="102" t="s">
        <v>383</v>
      </c>
      <c r="P227" s="103">
        <v>1</v>
      </c>
      <c r="Q227" s="105">
        <v>5935455</v>
      </c>
      <c r="R227" s="103">
        <v>48</v>
      </c>
      <c r="S227" s="105">
        <v>123655.3125</v>
      </c>
      <c r="T227" s="105">
        <v>5935455</v>
      </c>
      <c r="U227" s="105">
        <v>0</v>
      </c>
      <c r="V227" s="105">
        <v>0</v>
      </c>
      <c r="W227" s="105">
        <v>0</v>
      </c>
      <c r="X227" s="105">
        <v>0</v>
      </c>
      <c r="Y227" s="105">
        <v>0</v>
      </c>
      <c r="Z227" s="105">
        <v>0</v>
      </c>
      <c r="AA227" s="105">
        <v>0</v>
      </c>
      <c r="AB227" s="105">
        <v>0</v>
      </c>
      <c r="AC227" s="8">
        <f t="shared" si="21"/>
        <v>5935455</v>
      </c>
      <c r="AD227" s="8">
        <f t="shared" si="22"/>
        <v>0</v>
      </c>
      <c r="AE227" s="8">
        <f t="shared" si="23"/>
        <v>0</v>
      </c>
      <c r="AF227" s="106">
        <f t="shared" si="24"/>
        <v>0</v>
      </c>
      <c r="AG227" s="8">
        <f t="shared" si="25"/>
        <v>0</v>
      </c>
      <c r="AH227" s="8">
        <f>IF($O227="Aktif",MAX(0,MIN($AE227,$AD227-SUM($AG227:AG227))),0)</f>
        <v>0</v>
      </c>
      <c r="AI227" s="8">
        <f>IF($O227="Aktif",MAX(0,MIN($AE227,$AD227-SUM($AG227:AH227))),0)</f>
        <v>0</v>
      </c>
      <c r="AJ227" s="8">
        <f>IF($O227="Aktif",MAX(0,MIN($AE227,$AD227-SUM($AG227:AI227))),0)</f>
        <v>0</v>
      </c>
      <c r="AK227" s="8">
        <f>IF($O227="Aktif",MAX(0,MIN($AE227,$AD227-SUM($AG227:AJ227))),0)</f>
        <v>0</v>
      </c>
      <c r="AL227" s="8">
        <f>IF($O227="Aktif",MAX(0,MIN($AE227,$AD227-SUM($AG227:AK227))),0)</f>
        <v>0</v>
      </c>
      <c r="AM227" s="8">
        <f>IF($O227="Aktif",MAX(0,MIN($AE227,$AD227-SUM($AG227:AL227))),0)</f>
        <v>0</v>
      </c>
      <c r="AN227" s="8">
        <f>IF($O227="Aktif",MAX(0,MIN($AE227,$AD227-SUM($AG227:AM227))),0)</f>
        <v>0</v>
      </c>
      <c r="AO227" s="8">
        <f>IF($O227="Aktif",MAX(0,MIN($AE227,$AD227-SUM($AG227:AN227))),0)</f>
        <v>0</v>
      </c>
      <c r="AP227" s="8">
        <f>IF($O227="Aktif",MAX(0,MIN($AE227,$AD227-SUM($AG227:AO227))),0)</f>
        <v>0</v>
      </c>
      <c r="AQ227" s="8">
        <f>IF($O227="Aktif",MAX(0,MIN($AE227,$AD227-SUM($AG227:AP227))),0)</f>
        <v>0</v>
      </c>
      <c r="AR227" s="8">
        <f>IF($O227="Aktif",MAX(0,MIN($AE227,$AD227-SUM($AG227:AQ227))),0)</f>
        <v>0</v>
      </c>
      <c r="AS227" s="8">
        <f>IF($O227="Aktif",MAX(0,MIN($AE227,$AD227-SUM($AG227:AR227))),0)</f>
        <v>0</v>
      </c>
      <c r="AT227" s="8">
        <f>IF($O227="Aktif",MAX(0,MIN($AE227,$AD227-SUM($AG227:AS227))),0)</f>
        <v>0</v>
      </c>
      <c r="AU227" s="8">
        <f>IF($O227="Aktif",MAX(0,MIN($AE227,$AD227-SUM($AG227:AT227))),0)</f>
        <v>0</v>
      </c>
      <c r="AV227" s="8">
        <f>IF($O227="Aktif",MAX(0,MIN($AE227,$AD227-SUM($AG227:AU227))),0)</f>
        <v>0</v>
      </c>
      <c r="AW227" s="8">
        <f t="shared" si="26"/>
        <v>0</v>
      </c>
      <c r="AX227" s="8">
        <f t="shared" si="27"/>
        <v>0</v>
      </c>
    </row>
    <row r="228" spans="1:50" ht="15" customHeight="1" x14ac:dyDescent="0.35">
      <c r="A228" s="102">
        <v>222</v>
      </c>
      <c r="B228" s="102" t="s">
        <v>586</v>
      </c>
      <c r="C228" s="103">
        <v>160</v>
      </c>
      <c r="D228" s="102" t="s">
        <v>184</v>
      </c>
      <c r="E228" s="102" t="s">
        <v>479</v>
      </c>
      <c r="F228" s="102" t="s">
        <v>947</v>
      </c>
      <c r="G228" s="102" t="s">
        <v>948</v>
      </c>
      <c r="H228" s="102" t="s">
        <v>949</v>
      </c>
      <c r="I228" s="102" t="s">
        <v>90</v>
      </c>
      <c r="J228" s="102"/>
      <c r="K228" s="102" t="s">
        <v>988</v>
      </c>
      <c r="L228" s="104">
        <v>44420</v>
      </c>
      <c r="M228" s="102" t="s">
        <v>989</v>
      </c>
      <c r="N228" s="102" t="s">
        <v>990</v>
      </c>
      <c r="O228" s="102" t="s">
        <v>383</v>
      </c>
      <c r="P228" s="103">
        <v>1</v>
      </c>
      <c r="Q228" s="105">
        <v>5895455</v>
      </c>
      <c r="R228" s="103">
        <v>48</v>
      </c>
      <c r="S228" s="105">
        <v>122821.97916666701</v>
      </c>
      <c r="T228" s="105">
        <v>5895455</v>
      </c>
      <c r="U228" s="105">
        <v>0</v>
      </c>
      <c r="V228" s="105">
        <v>0</v>
      </c>
      <c r="W228" s="105">
        <v>0</v>
      </c>
      <c r="X228" s="105">
        <v>0</v>
      </c>
      <c r="Y228" s="105">
        <v>0</v>
      </c>
      <c r="Z228" s="105">
        <v>0</v>
      </c>
      <c r="AA228" s="105">
        <v>0</v>
      </c>
      <c r="AB228" s="105">
        <v>0</v>
      </c>
      <c r="AC228" s="8">
        <f t="shared" si="21"/>
        <v>5895455</v>
      </c>
      <c r="AD228" s="8">
        <f t="shared" si="22"/>
        <v>0</v>
      </c>
      <c r="AE228" s="8">
        <f t="shared" si="23"/>
        <v>0</v>
      </c>
      <c r="AF228" s="106">
        <f t="shared" si="24"/>
        <v>0</v>
      </c>
      <c r="AG228" s="8">
        <f t="shared" si="25"/>
        <v>0</v>
      </c>
      <c r="AH228" s="8">
        <f>IF($O228="Aktif",MAX(0,MIN($AE228,$AD228-SUM($AG228:AG228))),0)</f>
        <v>0</v>
      </c>
      <c r="AI228" s="8">
        <f>IF($O228="Aktif",MAX(0,MIN($AE228,$AD228-SUM($AG228:AH228))),0)</f>
        <v>0</v>
      </c>
      <c r="AJ228" s="8">
        <f>IF($O228="Aktif",MAX(0,MIN($AE228,$AD228-SUM($AG228:AI228))),0)</f>
        <v>0</v>
      </c>
      <c r="AK228" s="8">
        <f>IF($O228="Aktif",MAX(0,MIN($AE228,$AD228-SUM($AG228:AJ228))),0)</f>
        <v>0</v>
      </c>
      <c r="AL228" s="8">
        <f>IF($O228="Aktif",MAX(0,MIN($AE228,$AD228-SUM($AG228:AK228))),0)</f>
        <v>0</v>
      </c>
      <c r="AM228" s="8">
        <f>IF($O228="Aktif",MAX(0,MIN($AE228,$AD228-SUM($AG228:AL228))),0)</f>
        <v>0</v>
      </c>
      <c r="AN228" s="8">
        <f>IF($O228="Aktif",MAX(0,MIN($AE228,$AD228-SUM($AG228:AM228))),0)</f>
        <v>0</v>
      </c>
      <c r="AO228" s="8">
        <f>IF($O228="Aktif",MAX(0,MIN($AE228,$AD228-SUM($AG228:AN228))),0)</f>
        <v>0</v>
      </c>
      <c r="AP228" s="8">
        <f>IF($O228="Aktif",MAX(0,MIN($AE228,$AD228-SUM($AG228:AO228))),0)</f>
        <v>0</v>
      </c>
      <c r="AQ228" s="8">
        <f>IF($O228="Aktif",MAX(0,MIN($AE228,$AD228-SUM($AG228:AP228))),0)</f>
        <v>0</v>
      </c>
      <c r="AR228" s="8">
        <f>IF($O228="Aktif",MAX(0,MIN($AE228,$AD228-SUM($AG228:AQ228))),0)</f>
        <v>0</v>
      </c>
      <c r="AS228" s="8">
        <f>IF($O228="Aktif",MAX(0,MIN($AE228,$AD228-SUM($AG228:AR228))),0)</f>
        <v>0</v>
      </c>
      <c r="AT228" s="8">
        <f>IF($O228="Aktif",MAX(0,MIN($AE228,$AD228-SUM($AG228:AS228))),0)</f>
        <v>0</v>
      </c>
      <c r="AU228" s="8">
        <f>IF($O228="Aktif",MAX(0,MIN($AE228,$AD228-SUM($AG228:AT228))),0)</f>
        <v>0</v>
      </c>
      <c r="AV228" s="8">
        <f>IF($O228="Aktif",MAX(0,MIN($AE228,$AD228-SUM($AG228:AU228))),0)</f>
        <v>0</v>
      </c>
      <c r="AW228" s="8">
        <f t="shared" si="26"/>
        <v>0</v>
      </c>
      <c r="AX228" s="8">
        <f t="shared" si="27"/>
        <v>0</v>
      </c>
    </row>
    <row r="229" spans="1:50" ht="15" customHeight="1" x14ac:dyDescent="0.35">
      <c r="A229" s="102">
        <v>223</v>
      </c>
      <c r="B229" s="102" t="s">
        <v>586</v>
      </c>
      <c r="C229" s="103">
        <v>161</v>
      </c>
      <c r="D229" s="102" t="s">
        <v>184</v>
      </c>
      <c r="E229" s="102" t="s">
        <v>479</v>
      </c>
      <c r="F229" s="102" t="s">
        <v>947</v>
      </c>
      <c r="G229" s="102" t="s">
        <v>948</v>
      </c>
      <c r="H229" s="102" t="s">
        <v>949</v>
      </c>
      <c r="I229" s="102" t="s">
        <v>90</v>
      </c>
      <c r="J229" s="102"/>
      <c r="K229" s="102" t="s">
        <v>991</v>
      </c>
      <c r="L229" s="104">
        <v>44441</v>
      </c>
      <c r="M229" s="102" t="s">
        <v>992</v>
      </c>
      <c r="N229" s="102" t="s">
        <v>993</v>
      </c>
      <c r="O229" s="102" t="s">
        <v>383</v>
      </c>
      <c r="P229" s="103">
        <v>1</v>
      </c>
      <c r="Q229" s="105">
        <v>3000000</v>
      </c>
      <c r="R229" s="103">
        <v>48</v>
      </c>
      <c r="S229" s="105">
        <v>62500</v>
      </c>
      <c r="T229" s="105">
        <v>3000000</v>
      </c>
      <c r="U229" s="105">
        <v>0</v>
      </c>
      <c r="V229" s="105">
        <v>0</v>
      </c>
      <c r="W229" s="105">
        <v>0</v>
      </c>
      <c r="X229" s="105">
        <v>0</v>
      </c>
      <c r="Y229" s="105">
        <v>0</v>
      </c>
      <c r="Z229" s="105">
        <v>0</v>
      </c>
      <c r="AA229" s="105">
        <v>0</v>
      </c>
      <c r="AB229" s="105">
        <v>0</v>
      </c>
      <c r="AC229" s="8">
        <f t="shared" si="21"/>
        <v>3000000</v>
      </c>
      <c r="AD229" s="8">
        <f t="shared" si="22"/>
        <v>0</v>
      </c>
      <c r="AE229" s="8">
        <f t="shared" si="23"/>
        <v>0</v>
      </c>
      <c r="AF229" s="106">
        <f t="shared" si="24"/>
        <v>0</v>
      </c>
      <c r="AG229" s="8">
        <f t="shared" si="25"/>
        <v>0</v>
      </c>
      <c r="AH229" s="8">
        <f>IF($O229="Aktif",MAX(0,MIN($AE229,$AD229-SUM($AG229:AG229))),0)</f>
        <v>0</v>
      </c>
      <c r="AI229" s="8">
        <f>IF($O229="Aktif",MAX(0,MIN($AE229,$AD229-SUM($AG229:AH229))),0)</f>
        <v>0</v>
      </c>
      <c r="AJ229" s="8">
        <f>IF($O229="Aktif",MAX(0,MIN($AE229,$AD229-SUM($AG229:AI229))),0)</f>
        <v>0</v>
      </c>
      <c r="AK229" s="8">
        <f>IF($O229="Aktif",MAX(0,MIN($AE229,$AD229-SUM($AG229:AJ229))),0)</f>
        <v>0</v>
      </c>
      <c r="AL229" s="8">
        <f>IF($O229="Aktif",MAX(0,MIN($AE229,$AD229-SUM($AG229:AK229))),0)</f>
        <v>0</v>
      </c>
      <c r="AM229" s="8">
        <f>IF($O229="Aktif",MAX(0,MIN($AE229,$AD229-SUM($AG229:AL229))),0)</f>
        <v>0</v>
      </c>
      <c r="AN229" s="8">
        <f>IF($O229="Aktif",MAX(0,MIN($AE229,$AD229-SUM($AG229:AM229))),0)</f>
        <v>0</v>
      </c>
      <c r="AO229" s="8">
        <f>IF($O229="Aktif",MAX(0,MIN($AE229,$AD229-SUM($AG229:AN229))),0)</f>
        <v>0</v>
      </c>
      <c r="AP229" s="8">
        <f>IF($O229="Aktif",MAX(0,MIN($AE229,$AD229-SUM($AG229:AO229))),0)</f>
        <v>0</v>
      </c>
      <c r="AQ229" s="8">
        <f>IF($O229="Aktif",MAX(0,MIN($AE229,$AD229-SUM($AG229:AP229))),0)</f>
        <v>0</v>
      </c>
      <c r="AR229" s="8">
        <f>IF($O229="Aktif",MAX(0,MIN($AE229,$AD229-SUM($AG229:AQ229))),0)</f>
        <v>0</v>
      </c>
      <c r="AS229" s="8">
        <f>IF($O229="Aktif",MAX(0,MIN($AE229,$AD229-SUM($AG229:AR229))),0)</f>
        <v>0</v>
      </c>
      <c r="AT229" s="8">
        <f>IF($O229="Aktif",MAX(0,MIN($AE229,$AD229-SUM($AG229:AS229))),0)</f>
        <v>0</v>
      </c>
      <c r="AU229" s="8">
        <f>IF($O229="Aktif",MAX(0,MIN($AE229,$AD229-SUM($AG229:AT229))),0)</f>
        <v>0</v>
      </c>
      <c r="AV229" s="8">
        <f>IF($O229="Aktif",MAX(0,MIN($AE229,$AD229-SUM($AG229:AU229))),0)</f>
        <v>0</v>
      </c>
      <c r="AW229" s="8">
        <f t="shared" si="26"/>
        <v>0</v>
      </c>
      <c r="AX229" s="8">
        <f t="shared" si="27"/>
        <v>0</v>
      </c>
    </row>
    <row r="230" spans="1:50" ht="15" customHeight="1" x14ac:dyDescent="0.35">
      <c r="A230" s="102">
        <v>224</v>
      </c>
      <c r="B230" s="102" t="s">
        <v>586</v>
      </c>
      <c r="C230" s="103">
        <v>162</v>
      </c>
      <c r="D230" s="102" t="s">
        <v>184</v>
      </c>
      <c r="E230" s="102" t="s">
        <v>479</v>
      </c>
      <c r="F230" s="102" t="s">
        <v>947</v>
      </c>
      <c r="G230" s="102" t="s">
        <v>948</v>
      </c>
      <c r="H230" s="102" t="s">
        <v>949</v>
      </c>
      <c r="I230" s="102" t="s">
        <v>90</v>
      </c>
      <c r="J230" s="102"/>
      <c r="K230" s="102" t="s">
        <v>994</v>
      </c>
      <c r="L230" s="104">
        <v>44442</v>
      </c>
      <c r="M230" s="102" t="s">
        <v>995</v>
      </c>
      <c r="N230" s="102" t="s">
        <v>996</v>
      </c>
      <c r="O230" s="102" t="s">
        <v>383</v>
      </c>
      <c r="P230" s="103">
        <v>1</v>
      </c>
      <c r="Q230" s="105">
        <v>1812300</v>
      </c>
      <c r="R230" s="103">
        <v>48</v>
      </c>
      <c r="S230" s="105">
        <v>37756.25</v>
      </c>
      <c r="T230" s="105">
        <v>1812300</v>
      </c>
      <c r="U230" s="105">
        <v>0</v>
      </c>
      <c r="V230" s="105">
        <v>0</v>
      </c>
      <c r="W230" s="105">
        <v>0</v>
      </c>
      <c r="X230" s="105">
        <v>0</v>
      </c>
      <c r="Y230" s="105">
        <v>0</v>
      </c>
      <c r="Z230" s="105">
        <v>0</v>
      </c>
      <c r="AA230" s="105">
        <v>0</v>
      </c>
      <c r="AB230" s="105">
        <v>0</v>
      </c>
      <c r="AC230" s="8">
        <f t="shared" si="21"/>
        <v>1812300</v>
      </c>
      <c r="AD230" s="8">
        <f t="shared" si="22"/>
        <v>0</v>
      </c>
      <c r="AE230" s="8">
        <f t="shared" si="23"/>
        <v>0</v>
      </c>
      <c r="AF230" s="106">
        <f t="shared" si="24"/>
        <v>0</v>
      </c>
      <c r="AG230" s="8">
        <f t="shared" si="25"/>
        <v>0</v>
      </c>
      <c r="AH230" s="8">
        <f>IF($O230="Aktif",MAX(0,MIN($AE230,$AD230-SUM($AG230:AG230))),0)</f>
        <v>0</v>
      </c>
      <c r="AI230" s="8">
        <f>IF($O230="Aktif",MAX(0,MIN($AE230,$AD230-SUM($AG230:AH230))),0)</f>
        <v>0</v>
      </c>
      <c r="AJ230" s="8">
        <f>IF($O230="Aktif",MAX(0,MIN($AE230,$AD230-SUM($AG230:AI230))),0)</f>
        <v>0</v>
      </c>
      <c r="AK230" s="8">
        <f>IF($O230="Aktif",MAX(0,MIN($AE230,$AD230-SUM($AG230:AJ230))),0)</f>
        <v>0</v>
      </c>
      <c r="AL230" s="8">
        <f>IF($O230="Aktif",MAX(0,MIN($AE230,$AD230-SUM($AG230:AK230))),0)</f>
        <v>0</v>
      </c>
      <c r="AM230" s="8">
        <f>IF($O230="Aktif",MAX(0,MIN($AE230,$AD230-SUM($AG230:AL230))),0)</f>
        <v>0</v>
      </c>
      <c r="AN230" s="8">
        <f>IF($O230="Aktif",MAX(0,MIN($AE230,$AD230-SUM($AG230:AM230))),0)</f>
        <v>0</v>
      </c>
      <c r="AO230" s="8">
        <f>IF($O230="Aktif",MAX(0,MIN($AE230,$AD230-SUM($AG230:AN230))),0)</f>
        <v>0</v>
      </c>
      <c r="AP230" s="8">
        <f>IF($O230="Aktif",MAX(0,MIN($AE230,$AD230-SUM($AG230:AO230))),0)</f>
        <v>0</v>
      </c>
      <c r="AQ230" s="8">
        <f>IF($O230="Aktif",MAX(0,MIN($AE230,$AD230-SUM($AG230:AP230))),0)</f>
        <v>0</v>
      </c>
      <c r="AR230" s="8">
        <f>IF($O230="Aktif",MAX(0,MIN($AE230,$AD230-SUM($AG230:AQ230))),0)</f>
        <v>0</v>
      </c>
      <c r="AS230" s="8">
        <f>IF($O230="Aktif",MAX(0,MIN($AE230,$AD230-SUM($AG230:AR230))),0)</f>
        <v>0</v>
      </c>
      <c r="AT230" s="8">
        <f>IF($O230="Aktif",MAX(0,MIN($AE230,$AD230-SUM($AG230:AS230))),0)</f>
        <v>0</v>
      </c>
      <c r="AU230" s="8">
        <f>IF($O230="Aktif",MAX(0,MIN($AE230,$AD230-SUM($AG230:AT230))),0)</f>
        <v>0</v>
      </c>
      <c r="AV230" s="8">
        <f>IF($O230="Aktif",MAX(0,MIN($AE230,$AD230-SUM($AG230:AU230))),0)</f>
        <v>0</v>
      </c>
      <c r="AW230" s="8">
        <f t="shared" si="26"/>
        <v>0</v>
      </c>
      <c r="AX230" s="8">
        <f t="shared" si="27"/>
        <v>0</v>
      </c>
    </row>
    <row r="231" spans="1:50" ht="15" customHeight="1" x14ac:dyDescent="0.35">
      <c r="A231" s="102">
        <v>225</v>
      </c>
      <c r="B231" s="102" t="s">
        <v>586</v>
      </c>
      <c r="C231" s="103">
        <v>163</v>
      </c>
      <c r="D231" s="102" t="s">
        <v>184</v>
      </c>
      <c r="E231" s="102" t="s">
        <v>479</v>
      </c>
      <c r="F231" s="102" t="s">
        <v>947</v>
      </c>
      <c r="G231" s="102" t="s">
        <v>948</v>
      </c>
      <c r="H231" s="102" t="s">
        <v>949</v>
      </c>
      <c r="I231" s="102" t="s">
        <v>90</v>
      </c>
      <c r="J231" s="102"/>
      <c r="K231" s="102" t="s">
        <v>997</v>
      </c>
      <c r="L231" s="104">
        <v>44490</v>
      </c>
      <c r="M231" s="102" t="s">
        <v>998</v>
      </c>
      <c r="N231" s="102" t="s">
        <v>999</v>
      </c>
      <c r="O231" s="102" t="s">
        <v>383</v>
      </c>
      <c r="P231" s="103">
        <v>2</v>
      </c>
      <c r="Q231" s="105">
        <v>6000000</v>
      </c>
      <c r="R231" s="103">
        <v>48</v>
      </c>
      <c r="S231" s="105">
        <v>125000</v>
      </c>
      <c r="T231" s="105">
        <v>6000000</v>
      </c>
      <c r="U231" s="105">
        <v>0</v>
      </c>
      <c r="V231" s="105">
        <v>0</v>
      </c>
      <c r="W231" s="105">
        <v>0</v>
      </c>
      <c r="X231" s="105">
        <v>0</v>
      </c>
      <c r="Y231" s="105">
        <v>0</v>
      </c>
      <c r="Z231" s="105">
        <v>0</v>
      </c>
      <c r="AA231" s="105">
        <v>0</v>
      </c>
      <c r="AB231" s="105">
        <v>0</v>
      </c>
      <c r="AC231" s="8">
        <f t="shared" si="21"/>
        <v>6000000</v>
      </c>
      <c r="AD231" s="8">
        <f t="shared" si="22"/>
        <v>0</v>
      </c>
      <c r="AE231" s="8">
        <f t="shared" si="23"/>
        <v>0</v>
      </c>
      <c r="AF231" s="106">
        <f t="shared" si="24"/>
        <v>0</v>
      </c>
      <c r="AG231" s="8">
        <f t="shared" si="25"/>
        <v>0</v>
      </c>
      <c r="AH231" s="8">
        <f>IF($O231="Aktif",MAX(0,MIN($AE231,$AD231-SUM($AG231:AG231))),0)</f>
        <v>0</v>
      </c>
      <c r="AI231" s="8">
        <f>IF($O231="Aktif",MAX(0,MIN($AE231,$AD231-SUM($AG231:AH231))),0)</f>
        <v>0</v>
      </c>
      <c r="AJ231" s="8">
        <f>IF($O231="Aktif",MAX(0,MIN($AE231,$AD231-SUM($AG231:AI231))),0)</f>
        <v>0</v>
      </c>
      <c r="AK231" s="8">
        <f>IF($O231="Aktif",MAX(0,MIN($AE231,$AD231-SUM($AG231:AJ231))),0)</f>
        <v>0</v>
      </c>
      <c r="AL231" s="8">
        <f>IF($O231="Aktif",MAX(0,MIN($AE231,$AD231-SUM($AG231:AK231))),0)</f>
        <v>0</v>
      </c>
      <c r="AM231" s="8">
        <f>IF($O231="Aktif",MAX(0,MIN($AE231,$AD231-SUM($AG231:AL231))),0)</f>
        <v>0</v>
      </c>
      <c r="AN231" s="8">
        <f>IF($O231="Aktif",MAX(0,MIN($AE231,$AD231-SUM($AG231:AM231))),0)</f>
        <v>0</v>
      </c>
      <c r="AO231" s="8">
        <f>IF($O231="Aktif",MAX(0,MIN($AE231,$AD231-SUM($AG231:AN231))),0)</f>
        <v>0</v>
      </c>
      <c r="AP231" s="8">
        <f>IF($O231="Aktif",MAX(0,MIN($AE231,$AD231-SUM($AG231:AO231))),0)</f>
        <v>0</v>
      </c>
      <c r="AQ231" s="8">
        <f>IF($O231="Aktif",MAX(0,MIN($AE231,$AD231-SUM($AG231:AP231))),0)</f>
        <v>0</v>
      </c>
      <c r="AR231" s="8">
        <f>IF($O231="Aktif",MAX(0,MIN($AE231,$AD231-SUM($AG231:AQ231))),0)</f>
        <v>0</v>
      </c>
      <c r="AS231" s="8">
        <f>IF($O231="Aktif",MAX(0,MIN($AE231,$AD231-SUM($AG231:AR231))),0)</f>
        <v>0</v>
      </c>
      <c r="AT231" s="8">
        <f>IF($O231="Aktif",MAX(0,MIN($AE231,$AD231-SUM($AG231:AS231))),0)</f>
        <v>0</v>
      </c>
      <c r="AU231" s="8">
        <f>IF($O231="Aktif",MAX(0,MIN($AE231,$AD231-SUM($AG231:AT231))),0)</f>
        <v>0</v>
      </c>
      <c r="AV231" s="8">
        <f>IF($O231="Aktif",MAX(0,MIN($AE231,$AD231-SUM($AG231:AU231))),0)</f>
        <v>0</v>
      </c>
      <c r="AW231" s="8">
        <f t="shared" si="26"/>
        <v>0</v>
      </c>
      <c r="AX231" s="8">
        <f t="shared" si="27"/>
        <v>0</v>
      </c>
    </row>
    <row r="232" spans="1:50" ht="15" customHeight="1" x14ac:dyDescent="0.35">
      <c r="A232" s="102">
        <v>226</v>
      </c>
      <c r="B232" s="102" t="s">
        <v>586</v>
      </c>
      <c r="C232" s="103">
        <v>164</v>
      </c>
      <c r="D232" s="102" t="s">
        <v>184</v>
      </c>
      <c r="E232" s="102" t="s">
        <v>479</v>
      </c>
      <c r="F232" s="102" t="s">
        <v>947</v>
      </c>
      <c r="G232" s="102" t="s">
        <v>948</v>
      </c>
      <c r="H232" s="102" t="s">
        <v>949</v>
      </c>
      <c r="I232" s="102" t="s">
        <v>90</v>
      </c>
      <c r="J232" s="102"/>
      <c r="K232" s="102" t="s">
        <v>1000</v>
      </c>
      <c r="L232" s="104">
        <v>44497</v>
      </c>
      <c r="M232" s="102" t="s">
        <v>1001</v>
      </c>
      <c r="N232" s="102" t="s">
        <v>1002</v>
      </c>
      <c r="O232" s="102" t="s">
        <v>383</v>
      </c>
      <c r="P232" s="103">
        <v>1</v>
      </c>
      <c r="Q232" s="105">
        <v>2975000</v>
      </c>
      <c r="R232" s="103">
        <v>48</v>
      </c>
      <c r="S232" s="105">
        <v>61979.166666666701</v>
      </c>
      <c r="T232" s="105">
        <v>2975000</v>
      </c>
      <c r="U232" s="105">
        <v>0</v>
      </c>
      <c r="V232" s="105">
        <v>0</v>
      </c>
      <c r="W232" s="105">
        <v>0</v>
      </c>
      <c r="X232" s="105">
        <v>0</v>
      </c>
      <c r="Y232" s="105">
        <v>0</v>
      </c>
      <c r="Z232" s="105">
        <v>0</v>
      </c>
      <c r="AA232" s="105">
        <v>0</v>
      </c>
      <c r="AB232" s="105">
        <v>0</v>
      </c>
      <c r="AC232" s="8">
        <f t="shared" si="21"/>
        <v>2975000</v>
      </c>
      <c r="AD232" s="8">
        <f t="shared" si="22"/>
        <v>0</v>
      </c>
      <c r="AE232" s="8">
        <f t="shared" si="23"/>
        <v>0</v>
      </c>
      <c r="AF232" s="106">
        <f t="shared" si="24"/>
        <v>0</v>
      </c>
      <c r="AG232" s="8">
        <f t="shared" si="25"/>
        <v>0</v>
      </c>
      <c r="AH232" s="8">
        <f>IF($O232="Aktif",MAX(0,MIN($AE232,$AD232-SUM($AG232:AG232))),0)</f>
        <v>0</v>
      </c>
      <c r="AI232" s="8">
        <f>IF($O232="Aktif",MAX(0,MIN($AE232,$AD232-SUM($AG232:AH232))),0)</f>
        <v>0</v>
      </c>
      <c r="AJ232" s="8">
        <f>IF($O232="Aktif",MAX(0,MIN($AE232,$AD232-SUM($AG232:AI232))),0)</f>
        <v>0</v>
      </c>
      <c r="AK232" s="8">
        <f>IF($O232="Aktif",MAX(0,MIN($AE232,$AD232-SUM($AG232:AJ232))),0)</f>
        <v>0</v>
      </c>
      <c r="AL232" s="8">
        <f>IF($O232="Aktif",MAX(0,MIN($AE232,$AD232-SUM($AG232:AK232))),0)</f>
        <v>0</v>
      </c>
      <c r="AM232" s="8">
        <f>IF($O232="Aktif",MAX(0,MIN($AE232,$AD232-SUM($AG232:AL232))),0)</f>
        <v>0</v>
      </c>
      <c r="AN232" s="8">
        <f>IF($O232="Aktif",MAX(0,MIN($AE232,$AD232-SUM($AG232:AM232))),0)</f>
        <v>0</v>
      </c>
      <c r="AO232" s="8">
        <f>IF($O232="Aktif",MAX(0,MIN($AE232,$AD232-SUM($AG232:AN232))),0)</f>
        <v>0</v>
      </c>
      <c r="AP232" s="8">
        <f>IF($O232="Aktif",MAX(0,MIN($AE232,$AD232-SUM($AG232:AO232))),0)</f>
        <v>0</v>
      </c>
      <c r="AQ232" s="8">
        <f>IF($O232="Aktif",MAX(0,MIN($AE232,$AD232-SUM($AG232:AP232))),0)</f>
        <v>0</v>
      </c>
      <c r="AR232" s="8">
        <f>IF($O232="Aktif",MAX(0,MIN($AE232,$AD232-SUM($AG232:AQ232))),0)</f>
        <v>0</v>
      </c>
      <c r="AS232" s="8">
        <f>IF($O232="Aktif",MAX(0,MIN($AE232,$AD232-SUM($AG232:AR232))),0)</f>
        <v>0</v>
      </c>
      <c r="AT232" s="8">
        <f>IF($O232="Aktif",MAX(0,MIN($AE232,$AD232-SUM($AG232:AS232))),0)</f>
        <v>0</v>
      </c>
      <c r="AU232" s="8">
        <f>IF($O232="Aktif",MAX(0,MIN($AE232,$AD232-SUM($AG232:AT232))),0)</f>
        <v>0</v>
      </c>
      <c r="AV232" s="8">
        <f>IF($O232="Aktif",MAX(0,MIN($AE232,$AD232-SUM($AG232:AU232))),0)</f>
        <v>0</v>
      </c>
      <c r="AW232" s="8">
        <f t="shared" si="26"/>
        <v>0</v>
      </c>
      <c r="AX232" s="8">
        <f t="shared" si="27"/>
        <v>0</v>
      </c>
    </row>
    <row r="233" spans="1:50" ht="15" customHeight="1" x14ac:dyDescent="0.35">
      <c r="A233" s="102">
        <v>227</v>
      </c>
      <c r="B233" s="102" t="s">
        <v>586</v>
      </c>
      <c r="C233" s="103">
        <v>165</v>
      </c>
      <c r="D233" s="102" t="s">
        <v>184</v>
      </c>
      <c r="E233" s="102" t="s">
        <v>479</v>
      </c>
      <c r="F233" s="102" t="s">
        <v>947</v>
      </c>
      <c r="G233" s="102" t="s">
        <v>948</v>
      </c>
      <c r="H233" s="102" t="s">
        <v>949</v>
      </c>
      <c r="I233" s="102" t="s">
        <v>90</v>
      </c>
      <c r="J233" s="102"/>
      <c r="K233" s="102" t="s">
        <v>1003</v>
      </c>
      <c r="L233" s="104">
        <v>44517</v>
      </c>
      <c r="M233" s="102" t="s">
        <v>1004</v>
      </c>
      <c r="N233" s="102" t="s">
        <v>1005</v>
      </c>
      <c r="O233" s="102" t="s">
        <v>383</v>
      </c>
      <c r="P233" s="103">
        <v>1</v>
      </c>
      <c r="Q233" s="105">
        <v>7149000</v>
      </c>
      <c r="R233" s="103">
        <v>48</v>
      </c>
      <c r="S233" s="105">
        <v>148937.5</v>
      </c>
      <c r="T233" s="105">
        <v>7149000</v>
      </c>
      <c r="U233" s="105">
        <v>0</v>
      </c>
      <c r="V233" s="105">
        <v>0</v>
      </c>
      <c r="W233" s="105">
        <v>0</v>
      </c>
      <c r="X233" s="105">
        <v>0</v>
      </c>
      <c r="Y233" s="105">
        <v>0</v>
      </c>
      <c r="Z233" s="105">
        <v>0</v>
      </c>
      <c r="AA233" s="105">
        <v>0</v>
      </c>
      <c r="AB233" s="105">
        <v>0</v>
      </c>
      <c r="AC233" s="8">
        <f t="shared" si="21"/>
        <v>7149000</v>
      </c>
      <c r="AD233" s="8">
        <f t="shared" si="22"/>
        <v>0</v>
      </c>
      <c r="AE233" s="8">
        <f t="shared" si="23"/>
        <v>0</v>
      </c>
      <c r="AF233" s="106">
        <f t="shared" si="24"/>
        <v>0</v>
      </c>
      <c r="AG233" s="8">
        <f t="shared" si="25"/>
        <v>0</v>
      </c>
      <c r="AH233" s="8">
        <f>IF($O233="Aktif",MAX(0,MIN($AE233,$AD233-SUM($AG233:AG233))),0)</f>
        <v>0</v>
      </c>
      <c r="AI233" s="8">
        <f>IF($O233="Aktif",MAX(0,MIN($AE233,$AD233-SUM($AG233:AH233))),0)</f>
        <v>0</v>
      </c>
      <c r="AJ233" s="8">
        <f>IF($O233="Aktif",MAX(0,MIN($AE233,$AD233-SUM($AG233:AI233))),0)</f>
        <v>0</v>
      </c>
      <c r="AK233" s="8">
        <f>IF($O233="Aktif",MAX(0,MIN($AE233,$AD233-SUM($AG233:AJ233))),0)</f>
        <v>0</v>
      </c>
      <c r="AL233" s="8">
        <f>IF($O233="Aktif",MAX(0,MIN($AE233,$AD233-SUM($AG233:AK233))),0)</f>
        <v>0</v>
      </c>
      <c r="AM233" s="8">
        <f>IF($O233="Aktif",MAX(0,MIN($AE233,$AD233-SUM($AG233:AL233))),0)</f>
        <v>0</v>
      </c>
      <c r="AN233" s="8">
        <f>IF($O233="Aktif",MAX(0,MIN($AE233,$AD233-SUM($AG233:AM233))),0)</f>
        <v>0</v>
      </c>
      <c r="AO233" s="8">
        <f>IF($O233="Aktif",MAX(0,MIN($AE233,$AD233-SUM($AG233:AN233))),0)</f>
        <v>0</v>
      </c>
      <c r="AP233" s="8">
        <f>IF($O233="Aktif",MAX(0,MIN($AE233,$AD233-SUM($AG233:AO233))),0)</f>
        <v>0</v>
      </c>
      <c r="AQ233" s="8">
        <f>IF($O233="Aktif",MAX(0,MIN($AE233,$AD233-SUM($AG233:AP233))),0)</f>
        <v>0</v>
      </c>
      <c r="AR233" s="8">
        <f>IF($O233="Aktif",MAX(0,MIN($AE233,$AD233-SUM($AG233:AQ233))),0)</f>
        <v>0</v>
      </c>
      <c r="AS233" s="8">
        <f>IF($O233="Aktif",MAX(0,MIN($AE233,$AD233-SUM($AG233:AR233))),0)</f>
        <v>0</v>
      </c>
      <c r="AT233" s="8">
        <f>IF($O233="Aktif",MAX(0,MIN($AE233,$AD233-SUM($AG233:AS233))),0)</f>
        <v>0</v>
      </c>
      <c r="AU233" s="8">
        <f>IF($O233="Aktif",MAX(0,MIN($AE233,$AD233-SUM($AG233:AT233))),0)</f>
        <v>0</v>
      </c>
      <c r="AV233" s="8">
        <f>IF($O233="Aktif",MAX(0,MIN($AE233,$AD233-SUM($AG233:AU233))),0)</f>
        <v>0</v>
      </c>
      <c r="AW233" s="8">
        <f t="shared" si="26"/>
        <v>0</v>
      </c>
      <c r="AX233" s="8">
        <f t="shared" si="27"/>
        <v>0</v>
      </c>
    </row>
    <row r="234" spans="1:50" ht="15" customHeight="1" x14ac:dyDescent="0.35">
      <c r="A234" s="102">
        <v>228</v>
      </c>
      <c r="B234" s="102" t="s">
        <v>586</v>
      </c>
      <c r="C234" s="103">
        <v>166</v>
      </c>
      <c r="D234" s="102" t="s">
        <v>184</v>
      </c>
      <c r="E234" s="102" t="s">
        <v>479</v>
      </c>
      <c r="F234" s="102" t="s">
        <v>947</v>
      </c>
      <c r="G234" s="102" t="s">
        <v>948</v>
      </c>
      <c r="H234" s="102" t="s">
        <v>949</v>
      </c>
      <c r="I234" s="102" t="s">
        <v>90</v>
      </c>
      <c r="J234" s="102"/>
      <c r="K234" s="102" t="s">
        <v>1006</v>
      </c>
      <c r="L234" s="104">
        <v>44588</v>
      </c>
      <c r="M234" s="102" t="s">
        <v>1007</v>
      </c>
      <c r="N234" s="102" t="s">
        <v>1008</v>
      </c>
      <c r="O234" s="102" t="s">
        <v>383</v>
      </c>
      <c r="P234" s="103">
        <v>2</v>
      </c>
      <c r="Q234" s="105">
        <v>4863636</v>
      </c>
      <c r="R234" s="103">
        <v>48</v>
      </c>
      <c r="S234" s="105">
        <v>101325.75</v>
      </c>
      <c r="T234" s="105">
        <v>4863636</v>
      </c>
      <c r="U234" s="105">
        <v>0</v>
      </c>
      <c r="V234" s="105">
        <v>0</v>
      </c>
      <c r="W234" s="105">
        <v>0</v>
      </c>
      <c r="X234" s="105">
        <v>0</v>
      </c>
      <c r="Y234" s="105">
        <v>0</v>
      </c>
      <c r="Z234" s="105">
        <v>0</v>
      </c>
      <c r="AA234" s="105">
        <v>0</v>
      </c>
      <c r="AB234" s="105">
        <v>0</v>
      </c>
      <c r="AC234" s="8">
        <f t="shared" si="21"/>
        <v>4863636</v>
      </c>
      <c r="AD234" s="8">
        <f t="shared" si="22"/>
        <v>0</v>
      </c>
      <c r="AE234" s="8">
        <f t="shared" si="23"/>
        <v>0</v>
      </c>
      <c r="AF234" s="106">
        <f t="shared" si="24"/>
        <v>0</v>
      </c>
      <c r="AG234" s="8">
        <f t="shared" si="25"/>
        <v>0</v>
      </c>
      <c r="AH234" s="8">
        <f>IF($O234="Aktif",MAX(0,MIN($AE234,$AD234-SUM($AG234:AG234))),0)</f>
        <v>0</v>
      </c>
      <c r="AI234" s="8">
        <f>IF($O234="Aktif",MAX(0,MIN($AE234,$AD234-SUM($AG234:AH234))),0)</f>
        <v>0</v>
      </c>
      <c r="AJ234" s="8">
        <f>IF($O234="Aktif",MAX(0,MIN($AE234,$AD234-SUM($AG234:AI234))),0)</f>
        <v>0</v>
      </c>
      <c r="AK234" s="8">
        <f>IF($O234="Aktif",MAX(0,MIN($AE234,$AD234-SUM($AG234:AJ234))),0)</f>
        <v>0</v>
      </c>
      <c r="AL234" s="8">
        <f>IF($O234="Aktif",MAX(0,MIN($AE234,$AD234-SUM($AG234:AK234))),0)</f>
        <v>0</v>
      </c>
      <c r="AM234" s="8">
        <f>IF($O234="Aktif",MAX(0,MIN($AE234,$AD234-SUM($AG234:AL234))),0)</f>
        <v>0</v>
      </c>
      <c r="AN234" s="8">
        <f>IF($O234="Aktif",MAX(0,MIN($AE234,$AD234-SUM($AG234:AM234))),0)</f>
        <v>0</v>
      </c>
      <c r="AO234" s="8">
        <f>IF($O234="Aktif",MAX(0,MIN($AE234,$AD234-SUM($AG234:AN234))),0)</f>
        <v>0</v>
      </c>
      <c r="AP234" s="8">
        <f>IF($O234="Aktif",MAX(0,MIN($AE234,$AD234-SUM($AG234:AO234))),0)</f>
        <v>0</v>
      </c>
      <c r="AQ234" s="8">
        <f>IF($O234="Aktif",MAX(0,MIN($AE234,$AD234-SUM($AG234:AP234))),0)</f>
        <v>0</v>
      </c>
      <c r="AR234" s="8">
        <f>IF($O234="Aktif",MAX(0,MIN($AE234,$AD234-SUM($AG234:AQ234))),0)</f>
        <v>0</v>
      </c>
      <c r="AS234" s="8">
        <f>IF($O234="Aktif",MAX(0,MIN($AE234,$AD234-SUM($AG234:AR234))),0)</f>
        <v>0</v>
      </c>
      <c r="AT234" s="8">
        <f>IF($O234="Aktif",MAX(0,MIN($AE234,$AD234-SUM($AG234:AS234))),0)</f>
        <v>0</v>
      </c>
      <c r="AU234" s="8">
        <f>IF($O234="Aktif",MAX(0,MIN($AE234,$AD234-SUM($AG234:AT234))),0)</f>
        <v>0</v>
      </c>
      <c r="AV234" s="8">
        <f>IF($O234="Aktif",MAX(0,MIN($AE234,$AD234-SUM($AG234:AU234))),0)</f>
        <v>0</v>
      </c>
      <c r="AW234" s="8">
        <f t="shared" si="26"/>
        <v>0</v>
      </c>
      <c r="AX234" s="8">
        <f t="shared" si="27"/>
        <v>0</v>
      </c>
    </row>
    <row r="235" spans="1:50" ht="15" customHeight="1" x14ac:dyDescent="0.35">
      <c r="A235" s="102">
        <v>229</v>
      </c>
      <c r="B235" s="102" t="s">
        <v>586</v>
      </c>
      <c r="C235" s="103">
        <v>167</v>
      </c>
      <c r="D235" s="102" t="s">
        <v>184</v>
      </c>
      <c r="E235" s="102" t="s">
        <v>479</v>
      </c>
      <c r="F235" s="102" t="s">
        <v>947</v>
      </c>
      <c r="G235" s="102" t="s">
        <v>948</v>
      </c>
      <c r="H235" s="102" t="s">
        <v>949</v>
      </c>
      <c r="I235" s="102" t="s">
        <v>90</v>
      </c>
      <c r="J235" s="102"/>
      <c r="K235" s="102" t="s">
        <v>1009</v>
      </c>
      <c r="L235" s="104">
        <v>44588</v>
      </c>
      <c r="M235" s="102" t="s">
        <v>1010</v>
      </c>
      <c r="N235" s="102" t="s">
        <v>1011</v>
      </c>
      <c r="O235" s="102" t="s">
        <v>383</v>
      </c>
      <c r="P235" s="103">
        <v>1</v>
      </c>
      <c r="Q235" s="105">
        <v>6177500</v>
      </c>
      <c r="R235" s="103">
        <v>48</v>
      </c>
      <c r="S235" s="105">
        <v>128697.91666666701</v>
      </c>
      <c r="T235" s="105">
        <v>6177500</v>
      </c>
      <c r="U235" s="105">
        <v>0</v>
      </c>
      <c r="V235" s="105">
        <v>0</v>
      </c>
      <c r="W235" s="105">
        <v>0</v>
      </c>
      <c r="X235" s="105">
        <v>0</v>
      </c>
      <c r="Y235" s="105">
        <v>0</v>
      </c>
      <c r="Z235" s="105">
        <v>0</v>
      </c>
      <c r="AA235" s="105">
        <v>0</v>
      </c>
      <c r="AB235" s="105">
        <v>0</v>
      </c>
      <c r="AC235" s="8">
        <f t="shared" si="21"/>
        <v>6177500</v>
      </c>
      <c r="AD235" s="8">
        <f t="shared" si="22"/>
        <v>0</v>
      </c>
      <c r="AE235" s="8">
        <f t="shared" si="23"/>
        <v>0</v>
      </c>
      <c r="AF235" s="106">
        <f t="shared" si="24"/>
        <v>0</v>
      </c>
      <c r="AG235" s="8">
        <f t="shared" si="25"/>
        <v>0</v>
      </c>
      <c r="AH235" s="8">
        <f>IF($O235="Aktif",MAX(0,MIN($AE235,$AD235-SUM($AG235:AG235))),0)</f>
        <v>0</v>
      </c>
      <c r="AI235" s="8">
        <f>IF($O235="Aktif",MAX(0,MIN($AE235,$AD235-SUM($AG235:AH235))),0)</f>
        <v>0</v>
      </c>
      <c r="AJ235" s="8">
        <f>IF($O235="Aktif",MAX(0,MIN($AE235,$AD235-SUM($AG235:AI235))),0)</f>
        <v>0</v>
      </c>
      <c r="AK235" s="8">
        <f>IF($O235="Aktif",MAX(0,MIN($AE235,$AD235-SUM($AG235:AJ235))),0)</f>
        <v>0</v>
      </c>
      <c r="AL235" s="8">
        <f>IF($O235="Aktif",MAX(0,MIN($AE235,$AD235-SUM($AG235:AK235))),0)</f>
        <v>0</v>
      </c>
      <c r="AM235" s="8">
        <f>IF($O235="Aktif",MAX(0,MIN($AE235,$AD235-SUM($AG235:AL235))),0)</f>
        <v>0</v>
      </c>
      <c r="AN235" s="8">
        <f>IF($O235="Aktif",MAX(0,MIN($AE235,$AD235-SUM($AG235:AM235))),0)</f>
        <v>0</v>
      </c>
      <c r="AO235" s="8">
        <f>IF($O235="Aktif",MAX(0,MIN($AE235,$AD235-SUM($AG235:AN235))),0)</f>
        <v>0</v>
      </c>
      <c r="AP235" s="8">
        <f>IF($O235="Aktif",MAX(0,MIN($AE235,$AD235-SUM($AG235:AO235))),0)</f>
        <v>0</v>
      </c>
      <c r="AQ235" s="8">
        <f>IF($O235="Aktif",MAX(0,MIN($AE235,$AD235-SUM($AG235:AP235))),0)</f>
        <v>0</v>
      </c>
      <c r="AR235" s="8">
        <f>IF($O235="Aktif",MAX(0,MIN($AE235,$AD235-SUM($AG235:AQ235))),0)</f>
        <v>0</v>
      </c>
      <c r="AS235" s="8">
        <f>IF($O235="Aktif",MAX(0,MIN($AE235,$AD235-SUM($AG235:AR235))),0)</f>
        <v>0</v>
      </c>
      <c r="AT235" s="8">
        <f>IF($O235="Aktif",MAX(0,MIN($AE235,$AD235-SUM($AG235:AS235))),0)</f>
        <v>0</v>
      </c>
      <c r="AU235" s="8">
        <f>IF($O235="Aktif",MAX(0,MIN($AE235,$AD235-SUM($AG235:AT235))),0)</f>
        <v>0</v>
      </c>
      <c r="AV235" s="8">
        <f>IF($O235="Aktif",MAX(0,MIN($AE235,$AD235-SUM($AG235:AU235))),0)</f>
        <v>0</v>
      </c>
      <c r="AW235" s="8">
        <f t="shared" si="26"/>
        <v>0</v>
      </c>
      <c r="AX235" s="8">
        <f t="shared" si="27"/>
        <v>0</v>
      </c>
    </row>
    <row r="236" spans="1:50" ht="15" customHeight="1" x14ac:dyDescent="0.35">
      <c r="A236" s="102">
        <v>230</v>
      </c>
      <c r="B236" s="102" t="s">
        <v>586</v>
      </c>
      <c r="C236" s="103">
        <v>168</v>
      </c>
      <c r="D236" s="102" t="s">
        <v>184</v>
      </c>
      <c r="E236" s="102" t="s">
        <v>479</v>
      </c>
      <c r="F236" s="102" t="s">
        <v>947</v>
      </c>
      <c r="G236" s="102" t="s">
        <v>948</v>
      </c>
      <c r="H236" s="102" t="s">
        <v>949</v>
      </c>
      <c r="I236" s="102" t="s">
        <v>90</v>
      </c>
      <c r="J236" s="102"/>
      <c r="K236" s="102" t="s">
        <v>1012</v>
      </c>
      <c r="L236" s="104">
        <v>44606</v>
      </c>
      <c r="M236" s="102" t="s">
        <v>1013</v>
      </c>
      <c r="N236" s="102" t="s">
        <v>1014</v>
      </c>
      <c r="O236" s="102" t="s">
        <v>383</v>
      </c>
      <c r="P236" s="103">
        <v>2</v>
      </c>
      <c r="Q236" s="105">
        <v>2200000</v>
      </c>
      <c r="R236" s="103">
        <v>48</v>
      </c>
      <c r="S236" s="105">
        <v>45833.333333333299</v>
      </c>
      <c r="T236" s="105">
        <v>2154166.6666666698</v>
      </c>
      <c r="U236" s="105">
        <v>45833.333333333299</v>
      </c>
      <c r="V236" s="105">
        <v>0</v>
      </c>
      <c r="W236" s="105">
        <v>0</v>
      </c>
      <c r="X236" s="105">
        <v>0</v>
      </c>
      <c r="Y236" s="105">
        <v>0</v>
      </c>
      <c r="Z236" s="105">
        <v>0</v>
      </c>
      <c r="AA236" s="105">
        <v>0</v>
      </c>
      <c r="AB236" s="105">
        <v>0</v>
      </c>
      <c r="AC236" s="8">
        <f t="shared" si="21"/>
        <v>2200000.0000000033</v>
      </c>
      <c r="AD236" s="8">
        <f t="shared" si="22"/>
        <v>0</v>
      </c>
      <c r="AE236" s="8">
        <f t="shared" si="23"/>
        <v>0</v>
      </c>
      <c r="AF236" s="106">
        <f t="shared" si="24"/>
        <v>0</v>
      </c>
      <c r="AG236" s="8">
        <f t="shared" si="25"/>
        <v>0</v>
      </c>
      <c r="AH236" s="8">
        <f>IF($O236="Aktif",MAX(0,MIN($AE236,$AD236-SUM($AG236:AG236))),0)</f>
        <v>0</v>
      </c>
      <c r="AI236" s="8">
        <f>IF($O236="Aktif",MAX(0,MIN($AE236,$AD236-SUM($AG236:AH236))),0)</f>
        <v>0</v>
      </c>
      <c r="AJ236" s="8">
        <f>IF($O236="Aktif",MAX(0,MIN($AE236,$AD236-SUM($AG236:AI236))),0)</f>
        <v>0</v>
      </c>
      <c r="AK236" s="8">
        <f>IF($O236="Aktif",MAX(0,MIN($AE236,$AD236-SUM($AG236:AJ236))),0)</f>
        <v>0</v>
      </c>
      <c r="AL236" s="8">
        <f>IF($O236="Aktif",MAX(0,MIN($AE236,$AD236-SUM($AG236:AK236))),0)</f>
        <v>0</v>
      </c>
      <c r="AM236" s="8">
        <f>IF($O236="Aktif",MAX(0,MIN($AE236,$AD236-SUM($AG236:AL236))),0)</f>
        <v>0</v>
      </c>
      <c r="AN236" s="8">
        <f>IF($O236="Aktif",MAX(0,MIN($AE236,$AD236-SUM($AG236:AM236))),0)</f>
        <v>0</v>
      </c>
      <c r="AO236" s="8">
        <f>IF($O236="Aktif",MAX(0,MIN($AE236,$AD236-SUM($AG236:AN236))),0)</f>
        <v>0</v>
      </c>
      <c r="AP236" s="8">
        <f>IF($O236="Aktif",MAX(0,MIN($AE236,$AD236-SUM($AG236:AO236))),0)</f>
        <v>0</v>
      </c>
      <c r="AQ236" s="8">
        <f>IF($O236="Aktif",MAX(0,MIN($AE236,$AD236-SUM($AG236:AP236))),0)</f>
        <v>0</v>
      </c>
      <c r="AR236" s="8">
        <f>IF($O236="Aktif",MAX(0,MIN($AE236,$AD236-SUM($AG236:AQ236))),0)</f>
        <v>0</v>
      </c>
      <c r="AS236" s="8">
        <f>IF($O236="Aktif",MAX(0,MIN($AE236,$AD236-SUM($AG236:AR236))),0)</f>
        <v>0</v>
      </c>
      <c r="AT236" s="8">
        <f>IF($O236="Aktif",MAX(0,MIN($AE236,$AD236-SUM($AG236:AS236))),0)</f>
        <v>0</v>
      </c>
      <c r="AU236" s="8">
        <f>IF($O236="Aktif",MAX(0,MIN($AE236,$AD236-SUM($AG236:AT236))),0)</f>
        <v>0</v>
      </c>
      <c r="AV236" s="8">
        <f>IF($O236="Aktif",MAX(0,MIN($AE236,$AD236-SUM($AG236:AU236))),0)</f>
        <v>0</v>
      </c>
      <c r="AW236" s="8">
        <f t="shared" si="26"/>
        <v>0</v>
      </c>
      <c r="AX236" s="8">
        <f t="shared" si="27"/>
        <v>0</v>
      </c>
    </row>
    <row r="237" spans="1:50" ht="15" customHeight="1" x14ac:dyDescent="0.35">
      <c r="A237" s="102">
        <v>231</v>
      </c>
      <c r="B237" s="102" t="s">
        <v>586</v>
      </c>
      <c r="C237" s="103">
        <v>169</v>
      </c>
      <c r="D237" s="102" t="s">
        <v>184</v>
      </c>
      <c r="E237" s="102" t="s">
        <v>479</v>
      </c>
      <c r="F237" s="102" t="s">
        <v>947</v>
      </c>
      <c r="G237" s="102" t="s">
        <v>948</v>
      </c>
      <c r="H237" s="102" t="s">
        <v>949</v>
      </c>
      <c r="I237" s="102" t="s">
        <v>90</v>
      </c>
      <c r="J237" s="102"/>
      <c r="K237" s="102" t="s">
        <v>1015</v>
      </c>
      <c r="L237" s="104">
        <v>44614</v>
      </c>
      <c r="M237" s="102" t="s">
        <v>1016</v>
      </c>
      <c r="N237" s="102" t="s">
        <v>1017</v>
      </c>
      <c r="O237" s="102" t="s">
        <v>383</v>
      </c>
      <c r="P237" s="103">
        <v>1</v>
      </c>
      <c r="Q237" s="105">
        <v>7999000</v>
      </c>
      <c r="R237" s="103">
        <v>48</v>
      </c>
      <c r="S237" s="105">
        <v>166645.83333333299</v>
      </c>
      <c r="T237" s="105">
        <v>7832354.1666666698</v>
      </c>
      <c r="U237" s="105">
        <v>166645.83333333299</v>
      </c>
      <c r="V237" s="105">
        <v>0</v>
      </c>
      <c r="W237" s="105">
        <v>0</v>
      </c>
      <c r="X237" s="105">
        <v>0</v>
      </c>
      <c r="Y237" s="105">
        <v>0</v>
      </c>
      <c r="Z237" s="105">
        <v>0</v>
      </c>
      <c r="AA237" s="105">
        <v>0</v>
      </c>
      <c r="AB237" s="105">
        <v>0</v>
      </c>
      <c r="AC237" s="8">
        <f t="shared" si="21"/>
        <v>7999000.0000000028</v>
      </c>
      <c r="AD237" s="8">
        <f t="shared" si="22"/>
        <v>0</v>
      </c>
      <c r="AE237" s="8">
        <f t="shared" si="23"/>
        <v>0</v>
      </c>
      <c r="AF237" s="106">
        <f t="shared" si="24"/>
        <v>0</v>
      </c>
      <c r="AG237" s="8">
        <f t="shared" si="25"/>
        <v>0</v>
      </c>
      <c r="AH237" s="8">
        <f>IF($O237="Aktif",MAX(0,MIN($AE237,$AD237-SUM($AG237:AG237))),0)</f>
        <v>0</v>
      </c>
      <c r="AI237" s="8">
        <f>IF($O237="Aktif",MAX(0,MIN($AE237,$AD237-SUM($AG237:AH237))),0)</f>
        <v>0</v>
      </c>
      <c r="AJ237" s="8">
        <f>IF($O237="Aktif",MAX(0,MIN($AE237,$AD237-SUM($AG237:AI237))),0)</f>
        <v>0</v>
      </c>
      <c r="AK237" s="8">
        <f>IF($O237="Aktif",MAX(0,MIN($AE237,$AD237-SUM($AG237:AJ237))),0)</f>
        <v>0</v>
      </c>
      <c r="AL237" s="8">
        <f>IF($O237="Aktif",MAX(0,MIN($AE237,$AD237-SUM($AG237:AK237))),0)</f>
        <v>0</v>
      </c>
      <c r="AM237" s="8">
        <f>IF($O237="Aktif",MAX(0,MIN($AE237,$AD237-SUM($AG237:AL237))),0)</f>
        <v>0</v>
      </c>
      <c r="AN237" s="8">
        <f>IF($O237="Aktif",MAX(0,MIN($AE237,$AD237-SUM($AG237:AM237))),0)</f>
        <v>0</v>
      </c>
      <c r="AO237" s="8">
        <f>IF($O237="Aktif",MAX(0,MIN($AE237,$AD237-SUM($AG237:AN237))),0)</f>
        <v>0</v>
      </c>
      <c r="AP237" s="8">
        <f>IF($O237="Aktif",MAX(0,MIN($AE237,$AD237-SUM($AG237:AO237))),0)</f>
        <v>0</v>
      </c>
      <c r="AQ237" s="8">
        <f>IF($O237="Aktif",MAX(0,MIN($AE237,$AD237-SUM($AG237:AP237))),0)</f>
        <v>0</v>
      </c>
      <c r="AR237" s="8">
        <f>IF($O237="Aktif",MAX(0,MIN($AE237,$AD237-SUM($AG237:AQ237))),0)</f>
        <v>0</v>
      </c>
      <c r="AS237" s="8">
        <f>IF($O237="Aktif",MAX(0,MIN($AE237,$AD237-SUM($AG237:AR237))),0)</f>
        <v>0</v>
      </c>
      <c r="AT237" s="8">
        <f>IF($O237="Aktif",MAX(0,MIN($AE237,$AD237-SUM($AG237:AS237))),0)</f>
        <v>0</v>
      </c>
      <c r="AU237" s="8">
        <f>IF($O237="Aktif",MAX(0,MIN($AE237,$AD237-SUM($AG237:AT237))),0)</f>
        <v>0</v>
      </c>
      <c r="AV237" s="8">
        <f>IF($O237="Aktif",MAX(0,MIN($AE237,$AD237-SUM($AG237:AU237))),0)</f>
        <v>0</v>
      </c>
      <c r="AW237" s="8">
        <f t="shared" si="26"/>
        <v>0</v>
      </c>
      <c r="AX237" s="8">
        <f t="shared" si="27"/>
        <v>0</v>
      </c>
    </row>
    <row r="238" spans="1:50" ht="15" customHeight="1" x14ac:dyDescent="0.35">
      <c r="A238" s="102">
        <v>232</v>
      </c>
      <c r="B238" s="102" t="s">
        <v>586</v>
      </c>
      <c r="C238" s="103">
        <v>170</v>
      </c>
      <c r="D238" s="102" t="s">
        <v>184</v>
      </c>
      <c r="E238" s="102" t="s">
        <v>479</v>
      </c>
      <c r="F238" s="102" t="s">
        <v>947</v>
      </c>
      <c r="G238" s="102" t="s">
        <v>948</v>
      </c>
      <c r="H238" s="102" t="s">
        <v>949</v>
      </c>
      <c r="I238" s="102" t="s">
        <v>90</v>
      </c>
      <c r="J238" s="102"/>
      <c r="K238" s="102" t="s">
        <v>1018</v>
      </c>
      <c r="L238" s="104">
        <v>44644</v>
      </c>
      <c r="M238" s="102" t="s">
        <v>1019</v>
      </c>
      <c r="N238" s="102" t="s">
        <v>1020</v>
      </c>
      <c r="O238" s="102" t="s">
        <v>383</v>
      </c>
      <c r="P238" s="103">
        <v>1</v>
      </c>
      <c r="Q238" s="105">
        <v>4523965</v>
      </c>
      <c r="R238" s="103">
        <v>48</v>
      </c>
      <c r="S238" s="105">
        <v>94249.270833333299</v>
      </c>
      <c r="T238" s="105">
        <v>4335466.4583333302</v>
      </c>
      <c r="U238" s="105">
        <v>94249.270833333299</v>
      </c>
      <c r="V238" s="105">
        <v>94249.270833333299</v>
      </c>
      <c r="W238" s="105">
        <v>0</v>
      </c>
      <c r="X238" s="105">
        <v>0</v>
      </c>
      <c r="Y238" s="105">
        <v>0</v>
      </c>
      <c r="Z238" s="105">
        <v>0</v>
      </c>
      <c r="AA238" s="105">
        <v>0</v>
      </c>
      <c r="AB238" s="105">
        <v>0</v>
      </c>
      <c r="AC238" s="8">
        <f t="shared" si="21"/>
        <v>4523964.9999999972</v>
      </c>
      <c r="AD238" s="8">
        <f t="shared" si="22"/>
        <v>0</v>
      </c>
      <c r="AE238" s="8">
        <f t="shared" si="23"/>
        <v>0</v>
      </c>
      <c r="AF238" s="106">
        <f t="shared" si="24"/>
        <v>0</v>
      </c>
      <c r="AG238" s="8">
        <f t="shared" si="25"/>
        <v>0</v>
      </c>
      <c r="AH238" s="8">
        <f>IF($O238="Aktif",MAX(0,MIN($AE238,$AD238-SUM($AG238:AG238))),0)</f>
        <v>0</v>
      </c>
      <c r="AI238" s="8">
        <f>IF($O238="Aktif",MAX(0,MIN($AE238,$AD238-SUM($AG238:AH238))),0)</f>
        <v>0</v>
      </c>
      <c r="AJ238" s="8">
        <f>IF($O238="Aktif",MAX(0,MIN($AE238,$AD238-SUM($AG238:AI238))),0)</f>
        <v>0</v>
      </c>
      <c r="AK238" s="8">
        <f>IF($O238="Aktif",MAX(0,MIN($AE238,$AD238-SUM($AG238:AJ238))),0)</f>
        <v>0</v>
      </c>
      <c r="AL238" s="8">
        <f>IF($O238="Aktif",MAX(0,MIN($AE238,$AD238-SUM($AG238:AK238))),0)</f>
        <v>0</v>
      </c>
      <c r="AM238" s="8">
        <f>IF($O238="Aktif",MAX(0,MIN($AE238,$AD238-SUM($AG238:AL238))),0)</f>
        <v>0</v>
      </c>
      <c r="AN238" s="8">
        <f>IF($O238="Aktif",MAX(0,MIN($AE238,$AD238-SUM($AG238:AM238))),0)</f>
        <v>0</v>
      </c>
      <c r="AO238" s="8">
        <f>IF($O238="Aktif",MAX(0,MIN($AE238,$AD238-SUM($AG238:AN238))),0)</f>
        <v>0</v>
      </c>
      <c r="AP238" s="8">
        <f>IF($O238="Aktif",MAX(0,MIN($AE238,$AD238-SUM($AG238:AO238))),0)</f>
        <v>0</v>
      </c>
      <c r="AQ238" s="8">
        <f>IF($O238="Aktif",MAX(0,MIN($AE238,$AD238-SUM($AG238:AP238))),0)</f>
        <v>0</v>
      </c>
      <c r="AR238" s="8">
        <f>IF($O238="Aktif",MAX(0,MIN($AE238,$AD238-SUM($AG238:AQ238))),0)</f>
        <v>0</v>
      </c>
      <c r="AS238" s="8">
        <f>IF($O238="Aktif",MAX(0,MIN($AE238,$AD238-SUM($AG238:AR238))),0)</f>
        <v>0</v>
      </c>
      <c r="AT238" s="8">
        <f>IF($O238="Aktif",MAX(0,MIN($AE238,$AD238-SUM($AG238:AS238))),0)</f>
        <v>0</v>
      </c>
      <c r="AU238" s="8">
        <f>IF($O238="Aktif",MAX(0,MIN($AE238,$AD238-SUM($AG238:AT238))),0)</f>
        <v>0</v>
      </c>
      <c r="AV238" s="8">
        <f>IF($O238="Aktif",MAX(0,MIN($AE238,$AD238-SUM($AG238:AU238))),0)</f>
        <v>0</v>
      </c>
      <c r="AW238" s="8">
        <f t="shared" si="26"/>
        <v>0</v>
      </c>
      <c r="AX238" s="8">
        <f t="shared" si="27"/>
        <v>0</v>
      </c>
    </row>
    <row r="239" spans="1:50" ht="15" customHeight="1" x14ac:dyDescent="0.35">
      <c r="A239" s="102">
        <v>233</v>
      </c>
      <c r="B239" s="102" t="s">
        <v>586</v>
      </c>
      <c r="C239" s="103">
        <v>171</v>
      </c>
      <c r="D239" s="102" t="s">
        <v>184</v>
      </c>
      <c r="E239" s="102" t="s">
        <v>479</v>
      </c>
      <c r="F239" s="102" t="s">
        <v>947</v>
      </c>
      <c r="G239" s="102" t="s">
        <v>948</v>
      </c>
      <c r="H239" s="102" t="s">
        <v>949</v>
      </c>
      <c r="I239" s="102" t="s">
        <v>90</v>
      </c>
      <c r="J239" s="102"/>
      <c r="K239" s="102" t="s">
        <v>1021</v>
      </c>
      <c r="L239" s="104">
        <v>44650</v>
      </c>
      <c r="M239" s="102" t="s">
        <v>1022</v>
      </c>
      <c r="N239" s="102" t="s">
        <v>1023</v>
      </c>
      <c r="O239" s="102" t="s">
        <v>383</v>
      </c>
      <c r="P239" s="103">
        <v>1</v>
      </c>
      <c r="Q239" s="105">
        <v>1800000</v>
      </c>
      <c r="R239" s="103">
        <v>48</v>
      </c>
      <c r="S239" s="105">
        <v>37500</v>
      </c>
      <c r="T239" s="105">
        <v>1725000</v>
      </c>
      <c r="U239" s="105">
        <v>37500</v>
      </c>
      <c r="V239" s="105">
        <v>37500</v>
      </c>
      <c r="W239" s="105">
        <v>0</v>
      </c>
      <c r="X239" s="105">
        <v>0</v>
      </c>
      <c r="Y239" s="105">
        <v>0</v>
      </c>
      <c r="Z239" s="105">
        <v>0</v>
      </c>
      <c r="AA239" s="105">
        <v>0</v>
      </c>
      <c r="AB239" s="105">
        <v>0</v>
      </c>
      <c r="AC239" s="8">
        <f t="shared" si="21"/>
        <v>1800000</v>
      </c>
      <c r="AD239" s="8">
        <f t="shared" si="22"/>
        <v>0</v>
      </c>
      <c r="AE239" s="8">
        <f t="shared" si="23"/>
        <v>0</v>
      </c>
      <c r="AF239" s="106">
        <f t="shared" si="24"/>
        <v>0</v>
      </c>
      <c r="AG239" s="8">
        <f t="shared" si="25"/>
        <v>0</v>
      </c>
      <c r="AH239" s="8">
        <f>IF($O239="Aktif",MAX(0,MIN($AE239,$AD239-SUM($AG239:AG239))),0)</f>
        <v>0</v>
      </c>
      <c r="AI239" s="8">
        <f>IF($O239="Aktif",MAX(0,MIN($AE239,$AD239-SUM($AG239:AH239))),0)</f>
        <v>0</v>
      </c>
      <c r="AJ239" s="8">
        <f>IF($O239="Aktif",MAX(0,MIN($AE239,$AD239-SUM($AG239:AI239))),0)</f>
        <v>0</v>
      </c>
      <c r="AK239" s="8">
        <f>IF($O239="Aktif",MAX(0,MIN($AE239,$AD239-SUM($AG239:AJ239))),0)</f>
        <v>0</v>
      </c>
      <c r="AL239" s="8">
        <f>IF($O239="Aktif",MAX(0,MIN($AE239,$AD239-SUM($AG239:AK239))),0)</f>
        <v>0</v>
      </c>
      <c r="AM239" s="8">
        <f>IF($O239="Aktif",MAX(0,MIN($AE239,$AD239-SUM($AG239:AL239))),0)</f>
        <v>0</v>
      </c>
      <c r="AN239" s="8">
        <f>IF($O239="Aktif",MAX(0,MIN($AE239,$AD239-SUM($AG239:AM239))),0)</f>
        <v>0</v>
      </c>
      <c r="AO239" s="8">
        <f>IF($O239="Aktif",MAX(0,MIN($AE239,$AD239-SUM($AG239:AN239))),0)</f>
        <v>0</v>
      </c>
      <c r="AP239" s="8">
        <f>IF($O239="Aktif",MAX(0,MIN($AE239,$AD239-SUM($AG239:AO239))),0)</f>
        <v>0</v>
      </c>
      <c r="AQ239" s="8">
        <f>IF($O239="Aktif",MAX(0,MIN($AE239,$AD239-SUM($AG239:AP239))),0)</f>
        <v>0</v>
      </c>
      <c r="AR239" s="8">
        <f>IF($O239="Aktif",MAX(0,MIN($AE239,$AD239-SUM($AG239:AQ239))),0)</f>
        <v>0</v>
      </c>
      <c r="AS239" s="8">
        <f>IF($O239="Aktif",MAX(0,MIN($AE239,$AD239-SUM($AG239:AR239))),0)</f>
        <v>0</v>
      </c>
      <c r="AT239" s="8">
        <f>IF($O239="Aktif",MAX(0,MIN($AE239,$AD239-SUM($AG239:AS239))),0)</f>
        <v>0</v>
      </c>
      <c r="AU239" s="8">
        <f>IF($O239="Aktif",MAX(0,MIN($AE239,$AD239-SUM($AG239:AT239))),0)</f>
        <v>0</v>
      </c>
      <c r="AV239" s="8">
        <f>IF($O239="Aktif",MAX(0,MIN($AE239,$AD239-SUM($AG239:AU239))),0)</f>
        <v>0</v>
      </c>
      <c r="AW239" s="8">
        <f t="shared" si="26"/>
        <v>0</v>
      </c>
      <c r="AX239" s="8">
        <f t="shared" si="27"/>
        <v>0</v>
      </c>
    </row>
    <row r="240" spans="1:50" ht="15" customHeight="1" x14ac:dyDescent="0.35">
      <c r="A240" s="102">
        <v>234</v>
      </c>
      <c r="B240" s="102" t="s">
        <v>586</v>
      </c>
      <c r="C240" s="103">
        <v>172</v>
      </c>
      <c r="D240" s="102" t="s">
        <v>184</v>
      </c>
      <c r="E240" s="102" t="s">
        <v>479</v>
      </c>
      <c r="F240" s="102" t="s">
        <v>947</v>
      </c>
      <c r="G240" s="102" t="s">
        <v>948</v>
      </c>
      <c r="H240" s="102" t="s">
        <v>949</v>
      </c>
      <c r="I240" s="102" t="s">
        <v>90</v>
      </c>
      <c r="J240" s="102"/>
      <c r="K240" s="102" t="s">
        <v>1024</v>
      </c>
      <c r="L240" s="104">
        <v>44702</v>
      </c>
      <c r="M240" s="102" t="s">
        <v>1025</v>
      </c>
      <c r="N240" s="102" t="s">
        <v>1026</v>
      </c>
      <c r="O240" s="102" t="s">
        <v>383</v>
      </c>
      <c r="P240" s="103">
        <v>1</v>
      </c>
      <c r="Q240" s="105">
        <v>2046180</v>
      </c>
      <c r="R240" s="103">
        <v>48</v>
      </c>
      <c r="S240" s="105">
        <v>42628.75</v>
      </c>
      <c r="T240" s="105">
        <v>1875665</v>
      </c>
      <c r="U240" s="105">
        <v>42628.75</v>
      </c>
      <c r="V240" s="105">
        <v>42628.75</v>
      </c>
      <c r="W240" s="105">
        <v>42628.75</v>
      </c>
      <c r="X240" s="105">
        <v>42628.75</v>
      </c>
      <c r="Y240" s="105">
        <v>0</v>
      </c>
      <c r="Z240" s="105">
        <v>0</v>
      </c>
      <c r="AA240" s="105">
        <v>0</v>
      </c>
      <c r="AB240" s="105">
        <v>0</v>
      </c>
      <c r="AC240" s="8">
        <f t="shared" si="21"/>
        <v>2046180</v>
      </c>
      <c r="AD240" s="8">
        <f t="shared" si="22"/>
        <v>0</v>
      </c>
      <c r="AE240" s="8">
        <f t="shared" si="23"/>
        <v>0</v>
      </c>
      <c r="AF240" s="106">
        <f t="shared" si="24"/>
        <v>0</v>
      </c>
      <c r="AG240" s="8">
        <f t="shared" si="25"/>
        <v>0</v>
      </c>
      <c r="AH240" s="8">
        <f>IF($O240="Aktif",MAX(0,MIN($AE240,$AD240-SUM($AG240:AG240))),0)</f>
        <v>0</v>
      </c>
      <c r="AI240" s="8">
        <f>IF($O240="Aktif",MAX(0,MIN($AE240,$AD240-SUM($AG240:AH240))),0)</f>
        <v>0</v>
      </c>
      <c r="AJ240" s="8">
        <f>IF($O240="Aktif",MAX(0,MIN($AE240,$AD240-SUM($AG240:AI240))),0)</f>
        <v>0</v>
      </c>
      <c r="AK240" s="8">
        <f>IF($O240="Aktif",MAX(0,MIN($AE240,$AD240-SUM($AG240:AJ240))),0)</f>
        <v>0</v>
      </c>
      <c r="AL240" s="8">
        <f>IF($O240="Aktif",MAX(0,MIN($AE240,$AD240-SUM($AG240:AK240))),0)</f>
        <v>0</v>
      </c>
      <c r="AM240" s="8">
        <f>IF($O240="Aktif",MAX(0,MIN($AE240,$AD240-SUM($AG240:AL240))),0)</f>
        <v>0</v>
      </c>
      <c r="AN240" s="8">
        <f>IF($O240="Aktif",MAX(0,MIN($AE240,$AD240-SUM($AG240:AM240))),0)</f>
        <v>0</v>
      </c>
      <c r="AO240" s="8">
        <f>IF($O240="Aktif",MAX(0,MIN($AE240,$AD240-SUM($AG240:AN240))),0)</f>
        <v>0</v>
      </c>
      <c r="AP240" s="8">
        <f>IF($O240="Aktif",MAX(0,MIN($AE240,$AD240-SUM($AG240:AO240))),0)</f>
        <v>0</v>
      </c>
      <c r="AQ240" s="8">
        <f>IF($O240="Aktif",MAX(0,MIN($AE240,$AD240-SUM($AG240:AP240))),0)</f>
        <v>0</v>
      </c>
      <c r="AR240" s="8">
        <f>IF($O240="Aktif",MAX(0,MIN($AE240,$AD240-SUM($AG240:AQ240))),0)</f>
        <v>0</v>
      </c>
      <c r="AS240" s="8">
        <f>IF($O240="Aktif",MAX(0,MIN($AE240,$AD240-SUM($AG240:AR240))),0)</f>
        <v>0</v>
      </c>
      <c r="AT240" s="8">
        <f>IF($O240="Aktif",MAX(0,MIN($AE240,$AD240-SUM($AG240:AS240))),0)</f>
        <v>0</v>
      </c>
      <c r="AU240" s="8">
        <f>IF($O240="Aktif",MAX(0,MIN($AE240,$AD240-SUM($AG240:AT240))),0)</f>
        <v>0</v>
      </c>
      <c r="AV240" s="8">
        <f>IF($O240="Aktif",MAX(0,MIN($AE240,$AD240-SUM($AG240:AU240))),0)</f>
        <v>0</v>
      </c>
      <c r="AW240" s="8">
        <f t="shared" si="26"/>
        <v>0</v>
      </c>
      <c r="AX240" s="8">
        <f t="shared" si="27"/>
        <v>0</v>
      </c>
    </row>
    <row r="241" spans="1:50" ht="15" customHeight="1" x14ac:dyDescent="0.35">
      <c r="A241" s="102">
        <v>235</v>
      </c>
      <c r="B241" s="102" t="s">
        <v>586</v>
      </c>
      <c r="C241" s="103">
        <v>173</v>
      </c>
      <c r="D241" s="102" t="s">
        <v>184</v>
      </c>
      <c r="E241" s="102" t="s">
        <v>479</v>
      </c>
      <c r="F241" s="102" t="s">
        <v>947</v>
      </c>
      <c r="G241" s="102" t="s">
        <v>948</v>
      </c>
      <c r="H241" s="102" t="s">
        <v>949</v>
      </c>
      <c r="I241" s="102" t="s">
        <v>90</v>
      </c>
      <c r="J241" s="102"/>
      <c r="K241" s="102" t="s">
        <v>1027</v>
      </c>
      <c r="L241" s="104">
        <v>44733</v>
      </c>
      <c r="M241" s="102" t="s">
        <v>1028</v>
      </c>
      <c r="N241" s="102" t="s">
        <v>1029</v>
      </c>
      <c r="O241" s="102" t="s">
        <v>383</v>
      </c>
      <c r="P241" s="103">
        <v>1</v>
      </c>
      <c r="Q241" s="105">
        <v>1900000</v>
      </c>
      <c r="R241" s="103">
        <v>48</v>
      </c>
      <c r="S241" s="105">
        <v>39583.333333333299</v>
      </c>
      <c r="T241" s="105">
        <v>1702083.33333333</v>
      </c>
      <c r="U241" s="105">
        <v>39583.333333333299</v>
      </c>
      <c r="V241" s="105">
        <v>39583.333333333299</v>
      </c>
      <c r="W241" s="105">
        <v>39583.333333333299</v>
      </c>
      <c r="X241" s="105">
        <v>39583.333333333299</v>
      </c>
      <c r="Y241" s="105">
        <v>39583.333333333299</v>
      </c>
      <c r="Z241" s="105">
        <v>0</v>
      </c>
      <c r="AA241" s="105">
        <v>0</v>
      </c>
      <c r="AB241" s="105">
        <v>0</v>
      </c>
      <c r="AC241" s="8">
        <f t="shared" si="21"/>
        <v>1899999.9999999965</v>
      </c>
      <c r="AD241" s="8">
        <f t="shared" si="22"/>
        <v>3.4924596548080444E-9</v>
      </c>
      <c r="AE241" s="8">
        <f t="shared" si="23"/>
        <v>0</v>
      </c>
      <c r="AF241" s="106">
        <f t="shared" si="24"/>
        <v>0</v>
      </c>
      <c r="AG241" s="8">
        <f t="shared" si="25"/>
        <v>0</v>
      </c>
      <c r="AH241" s="8">
        <f>IF($O241="Aktif",MAX(0,MIN($AE241,$AD241-SUM($AG241:AG241))),0)</f>
        <v>0</v>
      </c>
      <c r="AI241" s="8">
        <f>IF($O241="Aktif",MAX(0,MIN($AE241,$AD241-SUM($AG241:AH241))),0)</f>
        <v>0</v>
      </c>
      <c r="AJ241" s="8">
        <f>IF($O241="Aktif",MAX(0,MIN($AE241,$AD241-SUM($AG241:AI241))),0)</f>
        <v>0</v>
      </c>
      <c r="AK241" s="8">
        <f>IF($O241="Aktif",MAX(0,MIN($AE241,$AD241-SUM($AG241:AJ241))),0)</f>
        <v>0</v>
      </c>
      <c r="AL241" s="8">
        <f>IF($O241="Aktif",MAX(0,MIN($AE241,$AD241-SUM($AG241:AK241))),0)</f>
        <v>0</v>
      </c>
      <c r="AM241" s="8">
        <f>IF($O241="Aktif",MAX(0,MIN($AE241,$AD241-SUM($AG241:AL241))),0)</f>
        <v>0</v>
      </c>
      <c r="AN241" s="8">
        <f>IF($O241="Aktif",MAX(0,MIN($AE241,$AD241-SUM($AG241:AM241))),0)</f>
        <v>0</v>
      </c>
      <c r="AO241" s="8">
        <f>IF($O241="Aktif",MAX(0,MIN($AE241,$AD241-SUM($AG241:AN241))),0)</f>
        <v>0</v>
      </c>
      <c r="AP241" s="8">
        <f>IF($O241="Aktif",MAX(0,MIN($AE241,$AD241-SUM($AG241:AO241))),0)</f>
        <v>0</v>
      </c>
      <c r="AQ241" s="8">
        <f>IF($O241="Aktif",MAX(0,MIN($AE241,$AD241-SUM($AG241:AP241))),0)</f>
        <v>0</v>
      </c>
      <c r="AR241" s="8">
        <f>IF($O241="Aktif",MAX(0,MIN($AE241,$AD241-SUM($AG241:AQ241))),0)</f>
        <v>0</v>
      </c>
      <c r="AS241" s="8">
        <f>IF($O241="Aktif",MAX(0,MIN($AE241,$AD241-SUM($AG241:AR241))),0)</f>
        <v>0</v>
      </c>
      <c r="AT241" s="8">
        <f>IF($O241="Aktif",MAX(0,MIN($AE241,$AD241-SUM($AG241:AS241))),0)</f>
        <v>0</v>
      </c>
      <c r="AU241" s="8">
        <f>IF($O241="Aktif",MAX(0,MIN($AE241,$AD241-SUM($AG241:AT241))),0)</f>
        <v>0</v>
      </c>
      <c r="AV241" s="8">
        <f>IF($O241="Aktif",MAX(0,MIN($AE241,$AD241-SUM($AG241:AU241))),0)</f>
        <v>0</v>
      </c>
      <c r="AW241" s="8">
        <f t="shared" si="26"/>
        <v>0</v>
      </c>
      <c r="AX241" s="8">
        <f t="shared" si="27"/>
        <v>3.4924596548080444E-9</v>
      </c>
    </row>
    <row r="242" spans="1:50" ht="15" customHeight="1" x14ac:dyDescent="0.35">
      <c r="A242" s="102">
        <v>236</v>
      </c>
      <c r="B242" s="102" t="s">
        <v>586</v>
      </c>
      <c r="C242" s="103">
        <v>174</v>
      </c>
      <c r="D242" s="102" t="s">
        <v>184</v>
      </c>
      <c r="E242" s="102" t="s">
        <v>479</v>
      </c>
      <c r="F242" s="102" t="s">
        <v>947</v>
      </c>
      <c r="G242" s="102" t="s">
        <v>948</v>
      </c>
      <c r="H242" s="102" t="s">
        <v>949</v>
      </c>
      <c r="I242" s="102" t="s">
        <v>90</v>
      </c>
      <c r="J242" s="102"/>
      <c r="K242" s="102" t="s">
        <v>1030</v>
      </c>
      <c r="L242" s="104">
        <v>44741</v>
      </c>
      <c r="M242" s="102" t="s">
        <v>1031</v>
      </c>
      <c r="N242" s="102" t="s">
        <v>1032</v>
      </c>
      <c r="O242" s="102" t="s">
        <v>383</v>
      </c>
      <c r="P242" s="103">
        <v>1</v>
      </c>
      <c r="Q242" s="105">
        <v>2900000</v>
      </c>
      <c r="R242" s="103">
        <v>48</v>
      </c>
      <c r="S242" s="105">
        <v>60416.666666666701</v>
      </c>
      <c r="T242" s="105">
        <v>2597916.6666666698</v>
      </c>
      <c r="U242" s="105">
        <v>60416.666666666701</v>
      </c>
      <c r="V242" s="105">
        <v>60416.666666666701</v>
      </c>
      <c r="W242" s="105">
        <v>60416.666666666701</v>
      </c>
      <c r="X242" s="105">
        <v>60416.666666666701</v>
      </c>
      <c r="Y242" s="105">
        <v>60416.666666666701</v>
      </c>
      <c r="Z242" s="105">
        <v>0</v>
      </c>
      <c r="AA242" s="105">
        <v>0</v>
      </c>
      <c r="AB242" s="105">
        <v>0</v>
      </c>
      <c r="AC242" s="8">
        <f t="shared" si="21"/>
        <v>2900000.0000000033</v>
      </c>
      <c r="AD242" s="8">
        <f t="shared" si="22"/>
        <v>0</v>
      </c>
      <c r="AE242" s="8">
        <f t="shared" si="23"/>
        <v>0</v>
      </c>
      <c r="AF242" s="106">
        <f t="shared" si="24"/>
        <v>0</v>
      </c>
      <c r="AG242" s="8">
        <f t="shared" si="25"/>
        <v>0</v>
      </c>
      <c r="AH242" s="8">
        <f>IF($O242="Aktif",MAX(0,MIN($AE242,$AD242-SUM($AG242:AG242))),0)</f>
        <v>0</v>
      </c>
      <c r="AI242" s="8">
        <f>IF($O242="Aktif",MAX(0,MIN($AE242,$AD242-SUM($AG242:AH242))),0)</f>
        <v>0</v>
      </c>
      <c r="AJ242" s="8">
        <f>IF($O242="Aktif",MAX(0,MIN($AE242,$AD242-SUM($AG242:AI242))),0)</f>
        <v>0</v>
      </c>
      <c r="AK242" s="8">
        <f>IF($O242="Aktif",MAX(0,MIN($AE242,$AD242-SUM($AG242:AJ242))),0)</f>
        <v>0</v>
      </c>
      <c r="AL242" s="8">
        <f>IF($O242="Aktif",MAX(0,MIN($AE242,$AD242-SUM($AG242:AK242))),0)</f>
        <v>0</v>
      </c>
      <c r="AM242" s="8">
        <f>IF($O242="Aktif",MAX(0,MIN($AE242,$AD242-SUM($AG242:AL242))),0)</f>
        <v>0</v>
      </c>
      <c r="AN242" s="8">
        <f>IF($O242="Aktif",MAX(0,MIN($AE242,$AD242-SUM($AG242:AM242))),0)</f>
        <v>0</v>
      </c>
      <c r="AO242" s="8">
        <f>IF($O242="Aktif",MAX(0,MIN($AE242,$AD242-SUM($AG242:AN242))),0)</f>
        <v>0</v>
      </c>
      <c r="AP242" s="8">
        <f>IF($O242="Aktif",MAX(0,MIN($AE242,$AD242-SUM($AG242:AO242))),0)</f>
        <v>0</v>
      </c>
      <c r="AQ242" s="8">
        <f>IF($O242="Aktif",MAX(0,MIN($AE242,$AD242-SUM($AG242:AP242))),0)</f>
        <v>0</v>
      </c>
      <c r="AR242" s="8">
        <f>IF($O242="Aktif",MAX(0,MIN($AE242,$AD242-SUM($AG242:AQ242))),0)</f>
        <v>0</v>
      </c>
      <c r="AS242" s="8">
        <f>IF($O242="Aktif",MAX(0,MIN($AE242,$AD242-SUM($AG242:AR242))),0)</f>
        <v>0</v>
      </c>
      <c r="AT242" s="8">
        <f>IF($O242="Aktif",MAX(0,MIN($AE242,$AD242-SUM($AG242:AS242))),0)</f>
        <v>0</v>
      </c>
      <c r="AU242" s="8">
        <f>IF($O242="Aktif",MAX(0,MIN($AE242,$AD242-SUM($AG242:AT242))),0)</f>
        <v>0</v>
      </c>
      <c r="AV242" s="8">
        <f>IF($O242="Aktif",MAX(0,MIN($AE242,$AD242-SUM($AG242:AU242))),0)</f>
        <v>0</v>
      </c>
      <c r="AW242" s="8">
        <f t="shared" si="26"/>
        <v>0</v>
      </c>
      <c r="AX242" s="8">
        <f t="shared" si="27"/>
        <v>0</v>
      </c>
    </row>
    <row r="243" spans="1:50" ht="15" customHeight="1" x14ac:dyDescent="0.35">
      <c r="A243" s="102">
        <v>237</v>
      </c>
      <c r="B243" s="102" t="s">
        <v>586</v>
      </c>
      <c r="C243" s="103">
        <v>175</v>
      </c>
      <c r="D243" s="102" t="s">
        <v>184</v>
      </c>
      <c r="E243" s="102" t="s">
        <v>479</v>
      </c>
      <c r="F243" s="102" t="s">
        <v>947</v>
      </c>
      <c r="G243" s="102" t="s">
        <v>948</v>
      </c>
      <c r="H243" s="102" t="s">
        <v>949</v>
      </c>
      <c r="I243" s="102" t="s">
        <v>90</v>
      </c>
      <c r="J243" s="102"/>
      <c r="K243" s="102" t="s">
        <v>1033</v>
      </c>
      <c r="L243" s="104">
        <v>44762</v>
      </c>
      <c r="M243" s="102" t="s">
        <v>1034</v>
      </c>
      <c r="N243" s="102" t="s">
        <v>1035</v>
      </c>
      <c r="O243" s="102" t="s">
        <v>383</v>
      </c>
      <c r="P243" s="103">
        <v>2</v>
      </c>
      <c r="Q243" s="105">
        <v>5800000</v>
      </c>
      <c r="R243" s="103">
        <v>48</v>
      </c>
      <c r="S243" s="105">
        <v>120833.33333333299</v>
      </c>
      <c r="T243" s="105">
        <v>5075000</v>
      </c>
      <c r="U243" s="105">
        <v>120833.33333333299</v>
      </c>
      <c r="V243" s="105">
        <v>120833.33333333299</v>
      </c>
      <c r="W243" s="105">
        <v>120833.33333333299</v>
      </c>
      <c r="X243" s="105">
        <v>120833.33333333299</v>
      </c>
      <c r="Y243" s="105">
        <v>120833.33333333299</v>
      </c>
      <c r="Z243" s="105">
        <v>120833.33333333299</v>
      </c>
      <c r="AA243" s="105">
        <v>0</v>
      </c>
      <c r="AB243" s="105">
        <v>0</v>
      </c>
      <c r="AC243" s="8">
        <f t="shared" si="21"/>
        <v>5799999.9999999981</v>
      </c>
      <c r="AD243" s="8">
        <f t="shared" si="22"/>
        <v>0</v>
      </c>
      <c r="AE243" s="8">
        <f t="shared" si="23"/>
        <v>0</v>
      </c>
      <c r="AF243" s="106">
        <f t="shared" si="24"/>
        <v>0</v>
      </c>
      <c r="AG243" s="8">
        <f t="shared" si="25"/>
        <v>0</v>
      </c>
      <c r="AH243" s="8">
        <f>IF($O243="Aktif",MAX(0,MIN($AE243,$AD243-SUM($AG243:AG243))),0)</f>
        <v>0</v>
      </c>
      <c r="AI243" s="8">
        <f>IF($O243="Aktif",MAX(0,MIN($AE243,$AD243-SUM($AG243:AH243))),0)</f>
        <v>0</v>
      </c>
      <c r="AJ243" s="8">
        <f>IF($O243="Aktif",MAX(0,MIN($AE243,$AD243-SUM($AG243:AI243))),0)</f>
        <v>0</v>
      </c>
      <c r="AK243" s="8">
        <f>IF($O243="Aktif",MAX(0,MIN($AE243,$AD243-SUM($AG243:AJ243))),0)</f>
        <v>0</v>
      </c>
      <c r="AL243" s="8">
        <f>IF($O243="Aktif",MAX(0,MIN($AE243,$AD243-SUM($AG243:AK243))),0)</f>
        <v>0</v>
      </c>
      <c r="AM243" s="8">
        <f>IF($O243="Aktif",MAX(0,MIN($AE243,$AD243-SUM($AG243:AL243))),0)</f>
        <v>0</v>
      </c>
      <c r="AN243" s="8">
        <f>IF($O243="Aktif",MAX(0,MIN($AE243,$AD243-SUM($AG243:AM243))),0)</f>
        <v>0</v>
      </c>
      <c r="AO243" s="8">
        <f>IF($O243="Aktif",MAX(0,MIN($AE243,$AD243-SUM($AG243:AN243))),0)</f>
        <v>0</v>
      </c>
      <c r="AP243" s="8">
        <f>IF($O243="Aktif",MAX(0,MIN($AE243,$AD243-SUM($AG243:AO243))),0)</f>
        <v>0</v>
      </c>
      <c r="AQ243" s="8">
        <f>IF($O243="Aktif",MAX(0,MIN($AE243,$AD243-SUM($AG243:AP243))),0)</f>
        <v>0</v>
      </c>
      <c r="AR243" s="8">
        <f>IF($O243="Aktif",MAX(0,MIN($AE243,$AD243-SUM($AG243:AQ243))),0)</f>
        <v>0</v>
      </c>
      <c r="AS243" s="8">
        <f>IF($O243="Aktif",MAX(0,MIN($AE243,$AD243-SUM($AG243:AR243))),0)</f>
        <v>0</v>
      </c>
      <c r="AT243" s="8">
        <f>IF($O243="Aktif",MAX(0,MIN($AE243,$AD243-SUM($AG243:AS243))),0)</f>
        <v>0</v>
      </c>
      <c r="AU243" s="8">
        <f>IF($O243="Aktif",MAX(0,MIN($AE243,$AD243-SUM($AG243:AT243))),0)</f>
        <v>0</v>
      </c>
      <c r="AV243" s="8">
        <f>IF($O243="Aktif",MAX(0,MIN($AE243,$AD243-SUM($AG243:AU243))),0)</f>
        <v>0</v>
      </c>
      <c r="AW243" s="8">
        <f t="shared" si="26"/>
        <v>0</v>
      </c>
      <c r="AX243" s="8">
        <f t="shared" si="27"/>
        <v>0</v>
      </c>
    </row>
    <row r="244" spans="1:50" ht="15" customHeight="1" x14ac:dyDescent="0.35">
      <c r="A244" s="102">
        <v>238</v>
      </c>
      <c r="B244" s="102" t="s">
        <v>586</v>
      </c>
      <c r="C244" s="103">
        <v>176</v>
      </c>
      <c r="D244" s="102" t="s">
        <v>184</v>
      </c>
      <c r="E244" s="102" t="s">
        <v>479</v>
      </c>
      <c r="F244" s="102" t="s">
        <v>947</v>
      </c>
      <c r="G244" s="102" t="s">
        <v>948</v>
      </c>
      <c r="H244" s="102" t="s">
        <v>949</v>
      </c>
      <c r="I244" s="102" t="s">
        <v>90</v>
      </c>
      <c r="J244" s="102"/>
      <c r="K244" s="102" t="s">
        <v>1036</v>
      </c>
      <c r="L244" s="104">
        <v>44774</v>
      </c>
      <c r="M244" s="102" t="s">
        <v>1037</v>
      </c>
      <c r="N244" s="102" t="s">
        <v>1038</v>
      </c>
      <c r="O244" s="102" t="s">
        <v>383</v>
      </c>
      <c r="P244" s="103">
        <v>1</v>
      </c>
      <c r="Q244" s="105">
        <v>1549000</v>
      </c>
      <c r="R244" s="103">
        <v>48</v>
      </c>
      <c r="S244" s="105">
        <v>32270.833333333299</v>
      </c>
      <c r="T244" s="105">
        <v>1323104.16666667</v>
      </c>
      <c r="U244" s="105">
        <v>32270.833333333299</v>
      </c>
      <c r="V244" s="105">
        <v>32270.833333333299</v>
      </c>
      <c r="W244" s="105">
        <v>32270.833333333299</v>
      </c>
      <c r="X244" s="105">
        <v>32270.833333333299</v>
      </c>
      <c r="Y244" s="105">
        <v>32270.833333333299</v>
      </c>
      <c r="Z244" s="105">
        <v>32270.833333333299</v>
      </c>
      <c r="AA244" s="105">
        <v>32270.833333333299</v>
      </c>
      <c r="AB244" s="105">
        <v>0</v>
      </c>
      <c r="AC244" s="8">
        <f t="shared" si="21"/>
        <v>1549000.0000000033</v>
      </c>
      <c r="AD244" s="8">
        <f t="shared" si="22"/>
        <v>-3.2596290111541748E-9</v>
      </c>
      <c r="AE244" s="8">
        <f t="shared" si="23"/>
        <v>0</v>
      </c>
      <c r="AF244" s="106">
        <f t="shared" si="24"/>
        <v>0</v>
      </c>
      <c r="AG244" s="8">
        <f t="shared" si="25"/>
        <v>0</v>
      </c>
      <c r="AH244" s="8">
        <f>IF($O244="Aktif",MAX(0,MIN($AE244,$AD244-SUM($AG244:AG244))),0)</f>
        <v>0</v>
      </c>
      <c r="AI244" s="8">
        <f>IF($O244="Aktif",MAX(0,MIN($AE244,$AD244-SUM($AG244:AH244))),0)</f>
        <v>0</v>
      </c>
      <c r="AJ244" s="8">
        <f>IF($O244="Aktif",MAX(0,MIN($AE244,$AD244-SUM($AG244:AI244))),0)</f>
        <v>0</v>
      </c>
      <c r="AK244" s="8">
        <f>IF($O244="Aktif",MAX(0,MIN($AE244,$AD244-SUM($AG244:AJ244))),0)</f>
        <v>0</v>
      </c>
      <c r="AL244" s="8">
        <f>IF($O244="Aktif",MAX(0,MIN($AE244,$AD244-SUM($AG244:AK244))),0)</f>
        <v>0</v>
      </c>
      <c r="AM244" s="8">
        <f>IF($O244="Aktif",MAX(0,MIN($AE244,$AD244-SUM($AG244:AL244))),0)</f>
        <v>0</v>
      </c>
      <c r="AN244" s="8">
        <f>IF($O244="Aktif",MAX(0,MIN($AE244,$AD244-SUM($AG244:AM244))),0)</f>
        <v>0</v>
      </c>
      <c r="AO244" s="8">
        <f>IF($O244="Aktif",MAX(0,MIN($AE244,$AD244-SUM($AG244:AN244))),0)</f>
        <v>0</v>
      </c>
      <c r="AP244" s="8">
        <f>IF($O244="Aktif",MAX(0,MIN($AE244,$AD244-SUM($AG244:AO244))),0)</f>
        <v>0</v>
      </c>
      <c r="AQ244" s="8">
        <f>IF($O244="Aktif",MAX(0,MIN($AE244,$AD244-SUM($AG244:AP244))),0)</f>
        <v>0</v>
      </c>
      <c r="AR244" s="8">
        <f>IF($O244="Aktif",MAX(0,MIN($AE244,$AD244-SUM($AG244:AQ244))),0)</f>
        <v>0</v>
      </c>
      <c r="AS244" s="8">
        <f>IF($O244="Aktif",MAX(0,MIN($AE244,$AD244-SUM($AG244:AR244))),0)</f>
        <v>0</v>
      </c>
      <c r="AT244" s="8">
        <f>IF($O244="Aktif",MAX(0,MIN($AE244,$AD244-SUM($AG244:AS244))),0)</f>
        <v>0</v>
      </c>
      <c r="AU244" s="8">
        <f>IF($O244="Aktif",MAX(0,MIN($AE244,$AD244-SUM($AG244:AT244))),0)</f>
        <v>0</v>
      </c>
      <c r="AV244" s="8">
        <f>IF($O244="Aktif",MAX(0,MIN($AE244,$AD244-SUM($AG244:AU244))),0)</f>
        <v>0</v>
      </c>
      <c r="AW244" s="8">
        <f t="shared" si="26"/>
        <v>0</v>
      </c>
      <c r="AX244" s="8">
        <f t="shared" si="27"/>
        <v>-3.2596290111541748E-9</v>
      </c>
    </row>
    <row r="245" spans="1:50" ht="15" customHeight="1" x14ac:dyDescent="0.35">
      <c r="A245" s="102">
        <v>239</v>
      </c>
      <c r="B245" s="102" t="s">
        <v>586</v>
      </c>
      <c r="C245" s="103">
        <v>177</v>
      </c>
      <c r="D245" s="102" t="s">
        <v>184</v>
      </c>
      <c r="E245" s="102" t="s">
        <v>479</v>
      </c>
      <c r="F245" s="102" t="s">
        <v>947</v>
      </c>
      <c r="G245" s="102" t="s">
        <v>948</v>
      </c>
      <c r="H245" s="102" t="s">
        <v>949</v>
      </c>
      <c r="I245" s="102" t="s">
        <v>90</v>
      </c>
      <c r="J245" s="102"/>
      <c r="K245" s="102" t="s">
        <v>1039</v>
      </c>
      <c r="L245" s="104">
        <v>44795</v>
      </c>
      <c r="M245" s="102" t="s">
        <v>1040</v>
      </c>
      <c r="N245" s="102" t="s">
        <v>1041</v>
      </c>
      <c r="O245" s="102" t="s">
        <v>383</v>
      </c>
      <c r="P245" s="103">
        <v>1</v>
      </c>
      <c r="Q245" s="105">
        <v>6599000</v>
      </c>
      <c r="R245" s="103">
        <v>48</v>
      </c>
      <c r="S245" s="105">
        <v>137479.16666666701</v>
      </c>
      <c r="T245" s="105">
        <v>5636645.8333333302</v>
      </c>
      <c r="U245" s="105">
        <v>137479.16666666701</v>
      </c>
      <c r="V245" s="105">
        <v>137479.16666666701</v>
      </c>
      <c r="W245" s="105">
        <v>137479.16666666701</v>
      </c>
      <c r="X245" s="105">
        <v>137479.16666666701</v>
      </c>
      <c r="Y245" s="105">
        <v>137479.16666666701</v>
      </c>
      <c r="Z245" s="105">
        <v>137479.16666666701</v>
      </c>
      <c r="AA245" s="105">
        <v>137479.16666666701</v>
      </c>
      <c r="AB245" s="105">
        <v>0</v>
      </c>
      <c r="AC245" s="8">
        <f t="shared" si="21"/>
        <v>6598999.9999999991</v>
      </c>
      <c r="AD245" s="8">
        <f t="shared" si="22"/>
        <v>0</v>
      </c>
      <c r="AE245" s="8">
        <f t="shared" si="23"/>
        <v>0</v>
      </c>
      <c r="AF245" s="106">
        <f t="shared" si="24"/>
        <v>0</v>
      </c>
      <c r="AG245" s="8">
        <f t="shared" si="25"/>
        <v>0</v>
      </c>
      <c r="AH245" s="8">
        <f>IF($O245="Aktif",MAX(0,MIN($AE245,$AD245-SUM($AG245:AG245))),0)</f>
        <v>0</v>
      </c>
      <c r="AI245" s="8">
        <f>IF($O245="Aktif",MAX(0,MIN($AE245,$AD245-SUM($AG245:AH245))),0)</f>
        <v>0</v>
      </c>
      <c r="AJ245" s="8">
        <f>IF($O245="Aktif",MAX(0,MIN($AE245,$AD245-SUM($AG245:AI245))),0)</f>
        <v>0</v>
      </c>
      <c r="AK245" s="8">
        <f>IF($O245="Aktif",MAX(0,MIN($AE245,$AD245-SUM($AG245:AJ245))),0)</f>
        <v>0</v>
      </c>
      <c r="AL245" s="8">
        <f>IF($O245="Aktif",MAX(0,MIN($AE245,$AD245-SUM($AG245:AK245))),0)</f>
        <v>0</v>
      </c>
      <c r="AM245" s="8">
        <f>IF($O245="Aktif",MAX(0,MIN($AE245,$AD245-SUM($AG245:AL245))),0)</f>
        <v>0</v>
      </c>
      <c r="AN245" s="8">
        <f>IF($O245="Aktif",MAX(0,MIN($AE245,$AD245-SUM($AG245:AM245))),0)</f>
        <v>0</v>
      </c>
      <c r="AO245" s="8">
        <f>IF($O245="Aktif",MAX(0,MIN($AE245,$AD245-SUM($AG245:AN245))),0)</f>
        <v>0</v>
      </c>
      <c r="AP245" s="8">
        <f>IF($O245="Aktif",MAX(0,MIN($AE245,$AD245-SUM($AG245:AO245))),0)</f>
        <v>0</v>
      </c>
      <c r="AQ245" s="8">
        <f>IF($O245="Aktif",MAX(0,MIN($AE245,$AD245-SUM($AG245:AP245))),0)</f>
        <v>0</v>
      </c>
      <c r="AR245" s="8">
        <f>IF($O245="Aktif",MAX(0,MIN($AE245,$AD245-SUM($AG245:AQ245))),0)</f>
        <v>0</v>
      </c>
      <c r="AS245" s="8">
        <f>IF($O245="Aktif",MAX(0,MIN($AE245,$AD245-SUM($AG245:AR245))),0)</f>
        <v>0</v>
      </c>
      <c r="AT245" s="8">
        <f>IF($O245="Aktif",MAX(0,MIN($AE245,$AD245-SUM($AG245:AS245))),0)</f>
        <v>0</v>
      </c>
      <c r="AU245" s="8">
        <f>IF($O245="Aktif",MAX(0,MIN($AE245,$AD245-SUM($AG245:AT245))),0)</f>
        <v>0</v>
      </c>
      <c r="AV245" s="8">
        <f>IF($O245="Aktif",MAX(0,MIN($AE245,$AD245-SUM($AG245:AU245))),0)</f>
        <v>0</v>
      </c>
      <c r="AW245" s="8">
        <f t="shared" si="26"/>
        <v>0</v>
      </c>
      <c r="AX245" s="8">
        <f t="shared" si="27"/>
        <v>0</v>
      </c>
    </row>
    <row r="246" spans="1:50" ht="15" customHeight="1" x14ac:dyDescent="0.35">
      <c r="A246" s="102">
        <v>240</v>
      </c>
      <c r="B246" s="102" t="s">
        <v>586</v>
      </c>
      <c r="C246" s="103">
        <v>178</v>
      </c>
      <c r="D246" s="102" t="s">
        <v>184</v>
      </c>
      <c r="E246" s="102" t="s">
        <v>479</v>
      </c>
      <c r="F246" s="102" t="s">
        <v>947</v>
      </c>
      <c r="G246" s="102" t="s">
        <v>948</v>
      </c>
      <c r="H246" s="102" t="s">
        <v>949</v>
      </c>
      <c r="I246" s="102" t="s">
        <v>90</v>
      </c>
      <c r="J246" s="102"/>
      <c r="K246" s="102" t="s">
        <v>1042</v>
      </c>
      <c r="L246" s="104">
        <v>44844</v>
      </c>
      <c r="M246" s="102" t="s">
        <v>1043</v>
      </c>
      <c r="N246" s="102" t="s">
        <v>1044</v>
      </c>
      <c r="O246" s="102" t="s">
        <v>383</v>
      </c>
      <c r="P246" s="103">
        <v>1</v>
      </c>
      <c r="Q246" s="105">
        <v>6800000</v>
      </c>
      <c r="R246" s="103">
        <v>48</v>
      </c>
      <c r="S246" s="105">
        <v>141666.66666666701</v>
      </c>
      <c r="T246" s="105">
        <v>5525000</v>
      </c>
      <c r="U246" s="105">
        <v>141666.66666666701</v>
      </c>
      <c r="V246" s="105">
        <v>141666.66666666701</v>
      </c>
      <c r="W246" s="105">
        <v>141666.66666666701</v>
      </c>
      <c r="X246" s="105">
        <v>141666.66666666701</v>
      </c>
      <c r="Y246" s="105">
        <v>141666.66666666701</v>
      </c>
      <c r="Z246" s="105">
        <v>141666.66666666701</v>
      </c>
      <c r="AA246" s="105">
        <v>141666.66666666701</v>
      </c>
      <c r="AB246" s="105">
        <v>141666.66666666701</v>
      </c>
      <c r="AC246" s="8">
        <f t="shared" si="21"/>
        <v>6658333.3333333358</v>
      </c>
      <c r="AD246" s="8">
        <f t="shared" si="22"/>
        <v>141666.66666666418</v>
      </c>
      <c r="AE246" s="8">
        <f t="shared" si="23"/>
        <v>141666.66666666701</v>
      </c>
      <c r="AF246" s="106">
        <f t="shared" si="24"/>
        <v>0.99999999999998013</v>
      </c>
      <c r="AG246" s="8">
        <f t="shared" si="25"/>
        <v>141666.66666666418</v>
      </c>
      <c r="AH246" s="8">
        <f>IF($O246="Aktif",MAX(0,MIN($AE246,$AD246-SUM($AG246:AG246))),0)</f>
        <v>0</v>
      </c>
      <c r="AI246" s="8">
        <f>IF($O246="Aktif",MAX(0,MIN($AE246,$AD246-SUM($AG246:AH246))),0)</f>
        <v>0</v>
      </c>
      <c r="AJ246" s="8">
        <f>IF($O246="Aktif",MAX(0,MIN($AE246,$AD246-SUM($AG246:AI246))),0)</f>
        <v>0</v>
      </c>
      <c r="AK246" s="8">
        <f>IF($O246="Aktif",MAX(0,MIN($AE246,$AD246-SUM($AG246:AJ246))),0)</f>
        <v>0</v>
      </c>
      <c r="AL246" s="8">
        <f>IF($O246="Aktif",MAX(0,MIN($AE246,$AD246-SUM($AG246:AK246))),0)</f>
        <v>0</v>
      </c>
      <c r="AM246" s="8">
        <f>IF($O246="Aktif",MAX(0,MIN($AE246,$AD246-SUM($AG246:AL246))),0)</f>
        <v>0</v>
      </c>
      <c r="AN246" s="8">
        <f>IF($O246="Aktif",MAX(0,MIN($AE246,$AD246-SUM($AG246:AM246))),0)</f>
        <v>0</v>
      </c>
      <c r="AO246" s="8">
        <f>IF($O246="Aktif",MAX(0,MIN($AE246,$AD246-SUM($AG246:AN246))),0)</f>
        <v>0</v>
      </c>
      <c r="AP246" s="8">
        <f>IF($O246="Aktif",MAX(0,MIN($AE246,$AD246-SUM($AG246:AO246))),0)</f>
        <v>0</v>
      </c>
      <c r="AQ246" s="8">
        <f>IF($O246="Aktif",MAX(0,MIN($AE246,$AD246-SUM($AG246:AP246))),0)</f>
        <v>0</v>
      </c>
      <c r="AR246" s="8">
        <f>IF($O246="Aktif",MAX(0,MIN($AE246,$AD246-SUM($AG246:AQ246))),0)</f>
        <v>0</v>
      </c>
      <c r="AS246" s="8">
        <f>IF($O246="Aktif",MAX(0,MIN($AE246,$AD246-SUM($AG246:AR246))),0)</f>
        <v>0</v>
      </c>
      <c r="AT246" s="8">
        <f>IF($O246="Aktif",MAX(0,MIN($AE246,$AD246-SUM($AG246:AS246))),0)</f>
        <v>0</v>
      </c>
      <c r="AU246" s="8">
        <f>IF($O246="Aktif",MAX(0,MIN($AE246,$AD246-SUM($AG246:AT246))),0)</f>
        <v>0</v>
      </c>
      <c r="AV246" s="8">
        <f>IF($O246="Aktif",MAX(0,MIN($AE246,$AD246-SUM($AG246:AU246))),0)</f>
        <v>0</v>
      </c>
      <c r="AW246" s="8">
        <f t="shared" si="26"/>
        <v>141666.66666666418</v>
      </c>
      <c r="AX246" s="8">
        <f t="shared" si="27"/>
        <v>0</v>
      </c>
    </row>
    <row r="247" spans="1:50" ht="15" customHeight="1" x14ac:dyDescent="0.35">
      <c r="A247" s="102">
        <v>241</v>
      </c>
      <c r="B247" s="102" t="s">
        <v>586</v>
      </c>
      <c r="C247" s="103">
        <v>179</v>
      </c>
      <c r="D247" s="102" t="s">
        <v>184</v>
      </c>
      <c r="E247" s="102" t="s">
        <v>479</v>
      </c>
      <c r="F247" s="102" t="s">
        <v>947</v>
      </c>
      <c r="G247" s="102" t="s">
        <v>948</v>
      </c>
      <c r="H247" s="102" t="s">
        <v>949</v>
      </c>
      <c r="I247" s="102" t="s">
        <v>90</v>
      </c>
      <c r="J247" s="102"/>
      <c r="K247" s="102" t="s">
        <v>1045</v>
      </c>
      <c r="L247" s="104">
        <v>44924</v>
      </c>
      <c r="M247" s="102" t="s">
        <v>1046</v>
      </c>
      <c r="N247" s="102" t="s">
        <v>1047</v>
      </c>
      <c r="O247" s="102" t="s">
        <v>383</v>
      </c>
      <c r="P247" s="103">
        <v>1</v>
      </c>
      <c r="Q247" s="105">
        <v>1559541</v>
      </c>
      <c r="R247" s="103">
        <v>48</v>
      </c>
      <c r="S247" s="105">
        <v>32490.4375</v>
      </c>
      <c r="T247" s="105">
        <v>1202146.1875</v>
      </c>
      <c r="U247" s="105">
        <v>32490.4375</v>
      </c>
      <c r="V247" s="105">
        <v>32490.4375</v>
      </c>
      <c r="W247" s="105">
        <v>32490.4375</v>
      </c>
      <c r="X247" s="105">
        <v>32490.4375</v>
      </c>
      <c r="Y247" s="105">
        <v>32490.4375</v>
      </c>
      <c r="Z247" s="105">
        <v>32490.4375</v>
      </c>
      <c r="AA247" s="105">
        <v>32490.4375</v>
      </c>
      <c r="AB247" s="105">
        <v>32490.4375</v>
      </c>
      <c r="AC247" s="8">
        <f t="shared" si="21"/>
        <v>1462069.6875</v>
      </c>
      <c r="AD247" s="8">
        <f t="shared" si="22"/>
        <v>97471.3125</v>
      </c>
      <c r="AE247" s="8">
        <f t="shared" si="23"/>
        <v>32490.4375</v>
      </c>
      <c r="AF247" s="106">
        <f t="shared" si="24"/>
        <v>3</v>
      </c>
      <c r="AG247" s="8">
        <f t="shared" si="25"/>
        <v>32490.4375</v>
      </c>
      <c r="AH247" s="8">
        <f>IF($O247="Aktif",MAX(0,MIN($AE247,$AD247-SUM($AG247:AG247))),0)</f>
        <v>32490.4375</v>
      </c>
      <c r="AI247" s="8">
        <f>IF($O247="Aktif",MAX(0,MIN($AE247,$AD247-SUM($AG247:AH247))),0)</f>
        <v>32490.4375</v>
      </c>
      <c r="AJ247" s="8">
        <f>IF($O247="Aktif",MAX(0,MIN($AE247,$AD247-SUM($AG247:AI247))),0)</f>
        <v>0</v>
      </c>
      <c r="AK247" s="8">
        <f>IF($O247="Aktif",MAX(0,MIN($AE247,$AD247-SUM($AG247:AJ247))),0)</f>
        <v>0</v>
      </c>
      <c r="AL247" s="8">
        <f>IF($O247="Aktif",MAX(0,MIN($AE247,$AD247-SUM($AG247:AK247))),0)</f>
        <v>0</v>
      </c>
      <c r="AM247" s="8">
        <f>IF($O247="Aktif",MAX(0,MIN($AE247,$AD247-SUM($AG247:AL247))),0)</f>
        <v>0</v>
      </c>
      <c r="AN247" s="8">
        <f>IF($O247="Aktif",MAX(0,MIN($AE247,$AD247-SUM($AG247:AM247))),0)</f>
        <v>0</v>
      </c>
      <c r="AO247" s="8">
        <f>IF($O247="Aktif",MAX(0,MIN($AE247,$AD247-SUM($AG247:AN247))),0)</f>
        <v>0</v>
      </c>
      <c r="AP247" s="8">
        <f>IF($O247="Aktif",MAX(0,MIN($AE247,$AD247-SUM($AG247:AO247))),0)</f>
        <v>0</v>
      </c>
      <c r="AQ247" s="8">
        <f>IF($O247="Aktif",MAX(0,MIN($AE247,$AD247-SUM($AG247:AP247))),0)</f>
        <v>0</v>
      </c>
      <c r="AR247" s="8">
        <f>IF($O247="Aktif",MAX(0,MIN($AE247,$AD247-SUM($AG247:AQ247))),0)</f>
        <v>0</v>
      </c>
      <c r="AS247" s="8">
        <f>IF($O247="Aktif",MAX(0,MIN($AE247,$AD247-SUM($AG247:AR247))),0)</f>
        <v>0</v>
      </c>
      <c r="AT247" s="8">
        <f>IF($O247="Aktif",MAX(0,MIN($AE247,$AD247-SUM($AG247:AS247))),0)</f>
        <v>0</v>
      </c>
      <c r="AU247" s="8">
        <f>IF($O247="Aktif",MAX(0,MIN($AE247,$AD247-SUM($AG247:AT247))),0)</f>
        <v>0</v>
      </c>
      <c r="AV247" s="8">
        <f>IF($O247="Aktif",MAX(0,MIN($AE247,$AD247-SUM($AG247:AU247))),0)</f>
        <v>0</v>
      </c>
      <c r="AW247" s="8">
        <f t="shared" si="26"/>
        <v>97471.3125</v>
      </c>
      <c r="AX247" s="8">
        <f t="shared" si="27"/>
        <v>0</v>
      </c>
    </row>
    <row r="248" spans="1:50" ht="15" customHeight="1" x14ac:dyDescent="0.35">
      <c r="A248" s="102">
        <v>242</v>
      </c>
      <c r="B248" s="102" t="s">
        <v>586</v>
      </c>
      <c r="C248" s="103">
        <v>180</v>
      </c>
      <c r="D248" s="102" t="s">
        <v>184</v>
      </c>
      <c r="E248" s="102" t="s">
        <v>479</v>
      </c>
      <c r="F248" s="102" t="s">
        <v>947</v>
      </c>
      <c r="G248" s="102" t="s">
        <v>948</v>
      </c>
      <c r="H248" s="102" t="s">
        <v>949</v>
      </c>
      <c r="I248" s="102" t="s">
        <v>90</v>
      </c>
      <c r="J248" s="102"/>
      <c r="K248" s="102" t="s">
        <v>1048</v>
      </c>
      <c r="L248" s="104">
        <v>44950</v>
      </c>
      <c r="M248" s="102" t="s">
        <v>1049</v>
      </c>
      <c r="N248" s="102" t="s">
        <v>1050</v>
      </c>
      <c r="O248" s="102" t="s">
        <v>383</v>
      </c>
      <c r="P248" s="103">
        <v>1</v>
      </c>
      <c r="Q248" s="105">
        <v>1666667</v>
      </c>
      <c r="R248" s="103">
        <v>48</v>
      </c>
      <c r="S248" s="105">
        <v>34722.229166666701</v>
      </c>
      <c r="T248" s="105">
        <v>1250000.25</v>
      </c>
      <c r="U248" s="105">
        <v>34722.229166666701</v>
      </c>
      <c r="V248" s="105">
        <v>34722.229166666701</v>
      </c>
      <c r="W248" s="105">
        <v>34722.229166666701</v>
      </c>
      <c r="X248" s="105">
        <v>34722.229166666701</v>
      </c>
      <c r="Y248" s="105">
        <v>34722.229166666701</v>
      </c>
      <c r="Z248" s="105">
        <v>34722.229166666701</v>
      </c>
      <c r="AA248" s="105">
        <v>34722.229166666701</v>
      </c>
      <c r="AB248" s="105">
        <v>34722.229166666701</v>
      </c>
      <c r="AC248" s="8">
        <f t="shared" si="21"/>
        <v>1527778.0833333335</v>
      </c>
      <c r="AD248" s="8">
        <f t="shared" si="22"/>
        <v>138888.91666666651</v>
      </c>
      <c r="AE248" s="8">
        <f t="shared" si="23"/>
        <v>34722.229166666701</v>
      </c>
      <c r="AF248" s="106">
        <f t="shared" si="24"/>
        <v>3.9999999999999916</v>
      </c>
      <c r="AG248" s="8">
        <f t="shared" si="25"/>
        <v>34722.229166666701</v>
      </c>
      <c r="AH248" s="8">
        <f>IF($O248="Aktif",MAX(0,MIN($AE248,$AD248-SUM($AG248:AG248))),0)</f>
        <v>34722.229166666701</v>
      </c>
      <c r="AI248" s="8">
        <f>IF($O248="Aktif",MAX(0,MIN($AE248,$AD248-SUM($AG248:AH248))),0)</f>
        <v>34722.229166666701</v>
      </c>
      <c r="AJ248" s="8">
        <f>IF($O248="Aktif",MAX(0,MIN($AE248,$AD248-SUM($AG248:AI248))),0)</f>
        <v>34722.22916666641</v>
      </c>
      <c r="AK248" s="8">
        <f>IF($O248="Aktif",MAX(0,MIN($AE248,$AD248-SUM($AG248:AJ248))),0)</f>
        <v>0</v>
      </c>
      <c r="AL248" s="8">
        <f>IF($O248="Aktif",MAX(0,MIN($AE248,$AD248-SUM($AG248:AK248))),0)</f>
        <v>0</v>
      </c>
      <c r="AM248" s="8">
        <f>IF($O248="Aktif",MAX(0,MIN($AE248,$AD248-SUM($AG248:AL248))),0)</f>
        <v>0</v>
      </c>
      <c r="AN248" s="8">
        <f>IF($O248="Aktif",MAX(0,MIN($AE248,$AD248-SUM($AG248:AM248))),0)</f>
        <v>0</v>
      </c>
      <c r="AO248" s="8">
        <f>IF($O248="Aktif",MAX(0,MIN($AE248,$AD248-SUM($AG248:AN248))),0)</f>
        <v>0</v>
      </c>
      <c r="AP248" s="8">
        <f>IF($O248="Aktif",MAX(0,MIN($AE248,$AD248-SUM($AG248:AO248))),0)</f>
        <v>0</v>
      </c>
      <c r="AQ248" s="8">
        <f>IF($O248="Aktif",MAX(0,MIN($AE248,$AD248-SUM($AG248:AP248))),0)</f>
        <v>0</v>
      </c>
      <c r="AR248" s="8">
        <f>IF($O248="Aktif",MAX(0,MIN($AE248,$AD248-SUM($AG248:AQ248))),0)</f>
        <v>0</v>
      </c>
      <c r="AS248" s="8">
        <f>IF($O248="Aktif",MAX(0,MIN($AE248,$AD248-SUM($AG248:AR248))),0)</f>
        <v>0</v>
      </c>
      <c r="AT248" s="8">
        <f>IF($O248="Aktif",MAX(0,MIN($AE248,$AD248-SUM($AG248:AS248))),0)</f>
        <v>0</v>
      </c>
      <c r="AU248" s="8">
        <f>IF($O248="Aktif",MAX(0,MIN($AE248,$AD248-SUM($AG248:AT248))),0)</f>
        <v>0</v>
      </c>
      <c r="AV248" s="8">
        <f>IF($O248="Aktif",MAX(0,MIN($AE248,$AD248-SUM($AG248:AU248))),0)</f>
        <v>0</v>
      </c>
      <c r="AW248" s="8">
        <f t="shared" si="26"/>
        <v>138888.91666666651</v>
      </c>
      <c r="AX248" s="8">
        <f t="shared" si="27"/>
        <v>0</v>
      </c>
    </row>
    <row r="249" spans="1:50" ht="15" customHeight="1" x14ac:dyDescent="0.35">
      <c r="A249" s="102">
        <v>243</v>
      </c>
      <c r="B249" s="102" t="s">
        <v>586</v>
      </c>
      <c r="C249" s="103">
        <v>181</v>
      </c>
      <c r="D249" s="102" t="s">
        <v>184</v>
      </c>
      <c r="E249" s="102" t="s">
        <v>479</v>
      </c>
      <c r="F249" s="102" t="s">
        <v>947</v>
      </c>
      <c r="G249" s="102" t="s">
        <v>948</v>
      </c>
      <c r="H249" s="102" t="s">
        <v>949</v>
      </c>
      <c r="I249" s="102" t="s">
        <v>90</v>
      </c>
      <c r="J249" s="102"/>
      <c r="K249" s="102" t="s">
        <v>1051</v>
      </c>
      <c r="L249" s="104">
        <v>44956</v>
      </c>
      <c r="M249" s="102" t="s">
        <v>1052</v>
      </c>
      <c r="N249" s="102" t="s">
        <v>1053</v>
      </c>
      <c r="O249" s="102" t="s">
        <v>383</v>
      </c>
      <c r="P249" s="103">
        <v>1</v>
      </c>
      <c r="Q249" s="105">
        <v>2027027</v>
      </c>
      <c r="R249" s="103">
        <v>48</v>
      </c>
      <c r="S249" s="105">
        <v>42229.729166666701</v>
      </c>
      <c r="T249" s="105">
        <v>1520270.25</v>
      </c>
      <c r="U249" s="105">
        <v>42229.729166666701</v>
      </c>
      <c r="V249" s="105">
        <v>42229.729166666701</v>
      </c>
      <c r="W249" s="105">
        <v>42229.729166666701</v>
      </c>
      <c r="X249" s="105">
        <v>42229.729166666701</v>
      </c>
      <c r="Y249" s="105">
        <v>42229.729166666701</v>
      </c>
      <c r="Z249" s="105">
        <v>42229.729166666701</v>
      </c>
      <c r="AA249" s="105">
        <v>42229.729166666701</v>
      </c>
      <c r="AB249" s="105">
        <v>42229.729166666701</v>
      </c>
      <c r="AC249" s="8">
        <f t="shared" si="21"/>
        <v>1858108.0833333335</v>
      </c>
      <c r="AD249" s="8">
        <f t="shared" si="22"/>
        <v>168918.91666666651</v>
      </c>
      <c r="AE249" s="8">
        <f t="shared" si="23"/>
        <v>42229.729166666701</v>
      </c>
      <c r="AF249" s="106">
        <f t="shared" si="24"/>
        <v>3.9999999999999929</v>
      </c>
      <c r="AG249" s="8">
        <f t="shared" si="25"/>
        <v>42229.729166666701</v>
      </c>
      <c r="AH249" s="8">
        <f>IF($O249="Aktif",MAX(0,MIN($AE249,$AD249-SUM($AG249:AG249))),0)</f>
        <v>42229.729166666701</v>
      </c>
      <c r="AI249" s="8">
        <f>IF($O249="Aktif",MAX(0,MIN($AE249,$AD249-SUM($AG249:AH249))),0)</f>
        <v>42229.729166666701</v>
      </c>
      <c r="AJ249" s="8">
        <f>IF($O249="Aktif",MAX(0,MIN($AE249,$AD249-SUM($AG249:AI249))),0)</f>
        <v>42229.72916666641</v>
      </c>
      <c r="AK249" s="8">
        <f>IF($O249="Aktif",MAX(0,MIN($AE249,$AD249-SUM($AG249:AJ249))),0)</f>
        <v>0</v>
      </c>
      <c r="AL249" s="8">
        <f>IF($O249="Aktif",MAX(0,MIN($AE249,$AD249-SUM($AG249:AK249))),0)</f>
        <v>0</v>
      </c>
      <c r="AM249" s="8">
        <f>IF($O249="Aktif",MAX(0,MIN($AE249,$AD249-SUM($AG249:AL249))),0)</f>
        <v>0</v>
      </c>
      <c r="AN249" s="8">
        <f>IF($O249="Aktif",MAX(0,MIN($AE249,$AD249-SUM($AG249:AM249))),0)</f>
        <v>0</v>
      </c>
      <c r="AO249" s="8">
        <f>IF($O249="Aktif",MAX(0,MIN($AE249,$AD249-SUM($AG249:AN249))),0)</f>
        <v>0</v>
      </c>
      <c r="AP249" s="8">
        <f>IF($O249="Aktif",MAX(0,MIN($AE249,$AD249-SUM($AG249:AO249))),0)</f>
        <v>0</v>
      </c>
      <c r="AQ249" s="8">
        <f>IF($O249="Aktif",MAX(0,MIN($AE249,$AD249-SUM($AG249:AP249))),0)</f>
        <v>0</v>
      </c>
      <c r="AR249" s="8">
        <f>IF($O249="Aktif",MAX(0,MIN($AE249,$AD249-SUM($AG249:AQ249))),0)</f>
        <v>0</v>
      </c>
      <c r="AS249" s="8">
        <f>IF($O249="Aktif",MAX(0,MIN($AE249,$AD249-SUM($AG249:AR249))),0)</f>
        <v>0</v>
      </c>
      <c r="AT249" s="8">
        <f>IF($O249="Aktif",MAX(0,MIN($AE249,$AD249-SUM($AG249:AS249))),0)</f>
        <v>0</v>
      </c>
      <c r="AU249" s="8">
        <f>IF($O249="Aktif",MAX(0,MIN($AE249,$AD249-SUM($AG249:AT249))),0)</f>
        <v>0</v>
      </c>
      <c r="AV249" s="8">
        <f>IF($O249="Aktif",MAX(0,MIN($AE249,$AD249-SUM($AG249:AU249))),0)</f>
        <v>0</v>
      </c>
      <c r="AW249" s="8">
        <f t="shared" si="26"/>
        <v>168918.91666666651</v>
      </c>
      <c r="AX249" s="8">
        <f t="shared" si="27"/>
        <v>0</v>
      </c>
    </row>
    <row r="250" spans="1:50" ht="15" customHeight="1" x14ac:dyDescent="0.35">
      <c r="A250" s="102">
        <v>244</v>
      </c>
      <c r="B250" s="102" t="s">
        <v>586</v>
      </c>
      <c r="C250" s="103">
        <v>182</v>
      </c>
      <c r="D250" s="102" t="s">
        <v>184</v>
      </c>
      <c r="E250" s="102" t="s">
        <v>479</v>
      </c>
      <c r="F250" s="102" t="s">
        <v>947</v>
      </c>
      <c r="G250" s="102" t="s">
        <v>948</v>
      </c>
      <c r="H250" s="102" t="s">
        <v>949</v>
      </c>
      <c r="I250" s="102" t="s">
        <v>90</v>
      </c>
      <c r="J250" s="102"/>
      <c r="K250" s="102" t="s">
        <v>1054</v>
      </c>
      <c r="L250" s="104">
        <v>44966</v>
      </c>
      <c r="M250" s="102" t="s">
        <v>1055</v>
      </c>
      <c r="N250" s="102" t="s">
        <v>1056</v>
      </c>
      <c r="O250" s="102" t="s">
        <v>383</v>
      </c>
      <c r="P250" s="103">
        <v>4</v>
      </c>
      <c r="Q250" s="105">
        <v>4200000</v>
      </c>
      <c r="R250" s="103">
        <v>48</v>
      </c>
      <c r="S250" s="105">
        <v>87500</v>
      </c>
      <c r="T250" s="105">
        <v>3062500</v>
      </c>
      <c r="U250" s="105">
        <v>87500</v>
      </c>
      <c r="V250" s="105">
        <v>87500</v>
      </c>
      <c r="W250" s="105">
        <v>87500</v>
      </c>
      <c r="X250" s="105">
        <v>87500</v>
      </c>
      <c r="Y250" s="105">
        <v>87500</v>
      </c>
      <c r="Z250" s="105">
        <v>87500</v>
      </c>
      <c r="AA250" s="105">
        <v>87500</v>
      </c>
      <c r="AB250" s="105">
        <v>87500</v>
      </c>
      <c r="AC250" s="8">
        <f t="shared" si="21"/>
        <v>3762500</v>
      </c>
      <c r="AD250" s="8">
        <f t="shared" si="22"/>
        <v>437500</v>
      </c>
      <c r="AE250" s="8">
        <f t="shared" si="23"/>
        <v>87500</v>
      </c>
      <c r="AF250" s="106">
        <f t="shared" si="24"/>
        <v>5</v>
      </c>
      <c r="AG250" s="8">
        <f t="shared" si="25"/>
        <v>87500</v>
      </c>
      <c r="AH250" s="8">
        <f>IF($O250="Aktif",MAX(0,MIN($AE250,$AD250-SUM($AG250:AG250))),0)</f>
        <v>87500</v>
      </c>
      <c r="AI250" s="8">
        <f>IF($O250="Aktif",MAX(0,MIN($AE250,$AD250-SUM($AG250:AH250))),0)</f>
        <v>87500</v>
      </c>
      <c r="AJ250" s="8">
        <f>IF($O250="Aktif",MAX(0,MIN($AE250,$AD250-SUM($AG250:AI250))),0)</f>
        <v>87500</v>
      </c>
      <c r="AK250" s="8">
        <f>IF($O250="Aktif",MAX(0,MIN($AE250,$AD250-SUM($AG250:AJ250))),0)</f>
        <v>87500</v>
      </c>
      <c r="AL250" s="8">
        <f>IF($O250="Aktif",MAX(0,MIN($AE250,$AD250-SUM($AG250:AK250))),0)</f>
        <v>0</v>
      </c>
      <c r="AM250" s="8">
        <f>IF($O250="Aktif",MAX(0,MIN($AE250,$AD250-SUM($AG250:AL250))),0)</f>
        <v>0</v>
      </c>
      <c r="AN250" s="8">
        <f>IF($O250="Aktif",MAX(0,MIN($AE250,$AD250-SUM($AG250:AM250))),0)</f>
        <v>0</v>
      </c>
      <c r="AO250" s="8">
        <f>IF($O250="Aktif",MAX(0,MIN($AE250,$AD250-SUM($AG250:AN250))),0)</f>
        <v>0</v>
      </c>
      <c r="AP250" s="8">
        <f>IF($O250="Aktif",MAX(0,MIN($AE250,$AD250-SUM($AG250:AO250))),0)</f>
        <v>0</v>
      </c>
      <c r="AQ250" s="8">
        <f>IF($O250="Aktif",MAX(0,MIN($AE250,$AD250-SUM($AG250:AP250))),0)</f>
        <v>0</v>
      </c>
      <c r="AR250" s="8">
        <f>IF($O250="Aktif",MAX(0,MIN($AE250,$AD250-SUM($AG250:AQ250))),0)</f>
        <v>0</v>
      </c>
      <c r="AS250" s="8">
        <f>IF($O250="Aktif",MAX(0,MIN($AE250,$AD250-SUM($AG250:AR250))),0)</f>
        <v>0</v>
      </c>
      <c r="AT250" s="8">
        <f>IF($O250="Aktif",MAX(0,MIN($AE250,$AD250-SUM($AG250:AS250))),0)</f>
        <v>0</v>
      </c>
      <c r="AU250" s="8">
        <f>IF($O250="Aktif",MAX(0,MIN($AE250,$AD250-SUM($AG250:AT250))),0)</f>
        <v>0</v>
      </c>
      <c r="AV250" s="8">
        <f>IF($O250="Aktif",MAX(0,MIN($AE250,$AD250-SUM($AG250:AU250))),0)</f>
        <v>0</v>
      </c>
      <c r="AW250" s="8">
        <f t="shared" si="26"/>
        <v>437500</v>
      </c>
      <c r="AX250" s="8">
        <f t="shared" si="27"/>
        <v>0</v>
      </c>
    </row>
    <row r="251" spans="1:50" ht="15" customHeight="1" x14ac:dyDescent="0.35">
      <c r="A251" s="102">
        <v>245</v>
      </c>
      <c r="B251" s="102" t="s">
        <v>586</v>
      </c>
      <c r="C251" s="103">
        <v>183</v>
      </c>
      <c r="D251" s="102" t="s">
        <v>184</v>
      </c>
      <c r="E251" s="102" t="s">
        <v>479</v>
      </c>
      <c r="F251" s="102" t="s">
        <v>947</v>
      </c>
      <c r="G251" s="102" t="s">
        <v>948</v>
      </c>
      <c r="H251" s="102" t="s">
        <v>949</v>
      </c>
      <c r="I251" s="102" t="s">
        <v>90</v>
      </c>
      <c r="J251" s="102"/>
      <c r="K251" s="102" t="s">
        <v>1057</v>
      </c>
      <c r="L251" s="104">
        <v>45009</v>
      </c>
      <c r="M251" s="102" t="s">
        <v>1025</v>
      </c>
      <c r="N251" s="102" t="s">
        <v>1058</v>
      </c>
      <c r="O251" s="102" t="s">
        <v>383</v>
      </c>
      <c r="P251" s="103">
        <v>1</v>
      </c>
      <c r="Q251" s="105">
        <v>2145000</v>
      </c>
      <c r="R251" s="103">
        <v>48</v>
      </c>
      <c r="S251" s="105">
        <v>44687.5</v>
      </c>
      <c r="T251" s="105">
        <v>1519375</v>
      </c>
      <c r="U251" s="105">
        <v>44687.5</v>
      </c>
      <c r="V251" s="105">
        <v>44687.5</v>
      </c>
      <c r="W251" s="105">
        <v>44687.5</v>
      </c>
      <c r="X251" s="105">
        <v>44687.5</v>
      </c>
      <c r="Y251" s="105">
        <v>44687.5</v>
      </c>
      <c r="Z251" s="105">
        <v>44687.5</v>
      </c>
      <c r="AA251" s="105">
        <v>44687.5</v>
      </c>
      <c r="AB251" s="105">
        <v>44687.5</v>
      </c>
      <c r="AC251" s="8">
        <f t="shared" si="21"/>
        <v>1876875</v>
      </c>
      <c r="AD251" s="8">
        <f t="shared" si="22"/>
        <v>268125</v>
      </c>
      <c r="AE251" s="8">
        <f t="shared" si="23"/>
        <v>44687.5</v>
      </c>
      <c r="AF251" s="106">
        <f t="shared" si="24"/>
        <v>6</v>
      </c>
      <c r="AG251" s="8">
        <f t="shared" si="25"/>
        <v>44687.5</v>
      </c>
      <c r="AH251" s="8">
        <f>IF($O251="Aktif",MAX(0,MIN($AE251,$AD251-SUM($AG251:AG251))),0)</f>
        <v>44687.5</v>
      </c>
      <c r="AI251" s="8">
        <f>IF($O251="Aktif",MAX(0,MIN($AE251,$AD251-SUM($AG251:AH251))),0)</f>
        <v>44687.5</v>
      </c>
      <c r="AJ251" s="8">
        <f>IF($O251="Aktif",MAX(0,MIN($AE251,$AD251-SUM($AG251:AI251))),0)</f>
        <v>44687.5</v>
      </c>
      <c r="AK251" s="8">
        <f>IF($O251="Aktif",MAX(0,MIN($AE251,$AD251-SUM($AG251:AJ251))),0)</f>
        <v>44687.5</v>
      </c>
      <c r="AL251" s="8">
        <f>IF($O251="Aktif",MAX(0,MIN($AE251,$AD251-SUM($AG251:AK251))),0)</f>
        <v>44687.5</v>
      </c>
      <c r="AM251" s="8">
        <f>IF($O251="Aktif",MAX(0,MIN($AE251,$AD251-SUM($AG251:AL251))),0)</f>
        <v>0</v>
      </c>
      <c r="AN251" s="8">
        <f>IF($O251="Aktif",MAX(0,MIN($AE251,$AD251-SUM($AG251:AM251))),0)</f>
        <v>0</v>
      </c>
      <c r="AO251" s="8">
        <f>IF($O251="Aktif",MAX(0,MIN($AE251,$AD251-SUM($AG251:AN251))),0)</f>
        <v>0</v>
      </c>
      <c r="AP251" s="8">
        <f>IF($O251="Aktif",MAX(0,MIN($AE251,$AD251-SUM($AG251:AO251))),0)</f>
        <v>0</v>
      </c>
      <c r="AQ251" s="8">
        <f>IF($O251="Aktif",MAX(0,MIN($AE251,$AD251-SUM($AG251:AP251))),0)</f>
        <v>0</v>
      </c>
      <c r="AR251" s="8">
        <f>IF($O251="Aktif",MAX(0,MIN($AE251,$AD251-SUM($AG251:AQ251))),0)</f>
        <v>0</v>
      </c>
      <c r="AS251" s="8">
        <f>IF($O251="Aktif",MAX(0,MIN($AE251,$AD251-SUM($AG251:AR251))),0)</f>
        <v>0</v>
      </c>
      <c r="AT251" s="8">
        <f>IF($O251="Aktif",MAX(0,MIN($AE251,$AD251-SUM($AG251:AS251))),0)</f>
        <v>0</v>
      </c>
      <c r="AU251" s="8">
        <f>IF($O251="Aktif",MAX(0,MIN($AE251,$AD251-SUM($AG251:AT251))),0)</f>
        <v>0</v>
      </c>
      <c r="AV251" s="8">
        <f>IF($O251="Aktif",MAX(0,MIN($AE251,$AD251-SUM($AG251:AU251))),0)</f>
        <v>0</v>
      </c>
      <c r="AW251" s="8">
        <f t="shared" si="26"/>
        <v>268125</v>
      </c>
      <c r="AX251" s="8">
        <f t="shared" si="27"/>
        <v>0</v>
      </c>
    </row>
    <row r="252" spans="1:50" ht="15" customHeight="1" x14ac:dyDescent="0.35">
      <c r="A252" s="102">
        <v>246</v>
      </c>
      <c r="B252" s="102" t="s">
        <v>586</v>
      </c>
      <c r="C252" s="103">
        <v>184</v>
      </c>
      <c r="D252" s="102" t="s">
        <v>184</v>
      </c>
      <c r="E252" s="102" t="s">
        <v>479</v>
      </c>
      <c r="F252" s="102" t="s">
        <v>947</v>
      </c>
      <c r="G252" s="102" t="s">
        <v>948</v>
      </c>
      <c r="H252" s="102" t="s">
        <v>949</v>
      </c>
      <c r="I252" s="102" t="s">
        <v>90</v>
      </c>
      <c r="J252" s="102"/>
      <c r="K252" s="102" t="s">
        <v>1059</v>
      </c>
      <c r="L252" s="104">
        <v>45014</v>
      </c>
      <c r="M252" s="102" t="s">
        <v>1060</v>
      </c>
      <c r="N252" s="102" t="s">
        <v>1061</v>
      </c>
      <c r="O252" s="102" t="s">
        <v>383</v>
      </c>
      <c r="P252" s="103">
        <v>2</v>
      </c>
      <c r="Q252" s="105">
        <v>2596500</v>
      </c>
      <c r="R252" s="103">
        <v>48</v>
      </c>
      <c r="S252" s="105">
        <v>54093.75</v>
      </c>
      <c r="T252" s="105">
        <v>1839187.5</v>
      </c>
      <c r="U252" s="105">
        <v>54093.75</v>
      </c>
      <c r="V252" s="105">
        <v>54093.75</v>
      </c>
      <c r="W252" s="105">
        <v>54093.75</v>
      </c>
      <c r="X252" s="105">
        <v>54093.75</v>
      </c>
      <c r="Y252" s="105">
        <v>54093.75</v>
      </c>
      <c r="Z252" s="105">
        <v>54093.75</v>
      </c>
      <c r="AA252" s="105">
        <v>54093.75</v>
      </c>
      <c r="AB252" s="105">
        <v>54093.75</v>
      </c>
      <c r="AC252" s="8">
        <f t="shared" si="21"/>
        <v>2271937.5</v>
      </c>
      <c r="AD252" s="8">
        <f t="shared" si="22"/>
        <v>324562.5</v>
      </c>
      <c r="AE252" s="8">
        <f t="shared" si="23"/>
        <v>54093.75</v>
      </c>
      <c r="AF252" s="106">
        <f t="shared" si="24"/>
        <v>6</v>
      </c>
      <c r="AG252" s="8">
        <f t="shared" si="25"/>
        <v>54093.75</v>
      </c>
      <c r="AH252" s="8">
        <f>IF($O252="Aktif",MAX(0,MIN($AE252,$AD252-SUM($AG252:AG252))),0)</f>
        <v>54093.75</v>
      </c>
      <c r="AI252" s="8">
        <f>IF($O252="Aktif",MAX(0,MIN($AE252,$AD252-SUM($AG252:AH252))),0)</f>
        <v>54093.75</v>
      </c>
      <c r="AJ252" s="8">
        <f>IF($O252="Aktif",MAX(0,MIN($AE252,$AD252-SUM($AG252:AI252))),0)</f>
        <v>54093.75</v>
      </c>
      <c r="AK252" s="8">
        <f>IF($O252="Aktif",MAX(0,MIN($AE252,$AD252-SUM($AG252:AJ252))),0)</f>
        <v>54093.75</v>
      </c>
      <c r="AL252" s="8">
        <f>IF($O252="Aktif",MAX(0,MIN($AE252,$AD252-SUM($AG252:AK252))),0)</f>
        <v>54093.75</v>
      </c>
      <c r="AM252" s="8">
        <f>IF($O252="Aktif",MAX(0,MIN($AE252,$AD252-SUM($AG252:AL252))),0)</f>
        <v>0</v>
      </c>
      <c r="AN252" s="8">
        <f>IF($O252="Aktif",MAX(0,MIN($AE252,$AD252-SUM($AG252:AM252))),0)</f>
        <v>0</v>
      </c>
      <c r="AO252" s="8">
        <f>IF($O252="Aktif",MAX(0,MIN($AE252,$AD252-SUM($AG252:AN252))),0)</f>
        <v>0</v>
      </c>
      <c r="AP252" s="8">
        <f>IF($O252="Aktif",MAX(0,MIN($AE252,$AD252-SUM($AG252:AO252))),0)</f>
        <v>0</v>
      </c>
      <c r="AQ252" s="8">
        <f>IF($O252="Aktif",MAX(0,MIN($AE252,$AD252-SUM($AG252:AP252))),0)</f>
        <v>0</v>
      </c>
      <c r="AR252" s="8">
        <f>IF($O252="Aktif",MAX(0,MIN($AE252,$AD252-SUM($AG252:AQ252))),0)</f>
        <v>0</v>
      </c>
      <c r="AS252" s="8">
        <f>IF($O252="Aktif",MAX(0,MIN($AE252,$AD252-SUM($AG252:AR252))),0)</f>
        <v>0</v>
      </c>
      <c r="AT252" s="8">
        <f>IF($O252="Aktif",MAX(0,MIN($AE252,$AD252-SUM($AG252:AS252))),0)</f>
        <v>0</v>
      </c>
      <c r="AU252" s="8">
        <f>IF($O252="Aktif",MAX(0,MIN($AE252,$AD252-SUM($AG252:AT252))),0)</f>
        <v>0</v>
      </c>
      <c r="AV252" s="8">
        <f>IF($O252="Aktif",MAX(0,MIN($AE252,$AD252-SUM($AG252:AU252))),0)</f>
        <v>0</v>
      </c>
      <c r="AW252" s="8">
        <f t="shared" si="26"/>
        <v>324562.5</v>
      </c>
      <c r="AX252" s="8">
        <f t="shared" si="27"/>
        <v>0</v>
      </c>
    </row>
    <row r="253" spans="1:50" ht="15" customHeight="1" x14ac:dyDescent="0.35">
      <c r="A253" s="102">
        <v>247</v>
      </c>
      <c r="B253" s="102" t="s">
        <v>586</v>
      </c>
      <c r="C253" s="103">
        <v>185</v>
      </c>
      <c r="D253" s="102" t="s">
        <v>184</v>
      </c>
      <c r="E253" s="102" t="s">
        <v>479</v>
      </c>
      <c r="F253" s="102" t="s">
        <v>947</v>
      </c>
      <c r="G253" s="102" t="s">
        <v>948</v>
      </c>
      <c r="H253" s="102" t="s">
        <v>949</v>
      </c>
      <c r="I253" s="102" t="s">
        <v>90</v>
      </c>
      <c r="J253" s="102"/>
      <c r="K253" s="102" t="s">
        <v>1062</v>
      </c>
      <c r="L253" s="104">
        <v>45016</v>
      </c>
      <c r="M253" s="102" t="s">
        <v>1063</v>
      </c>
      <c r="N253" s="102" t="s">
        <v>1064</v>
      </c>
      <c r="O253" s="102" t="s">
        <v>383</v>
      </c>
      <c r="P253" s="103">
        <v>1</v>
      </c>
      <c r="Q253" s="105">
        <v>5740000</v>
      </c>
      <c r="R253" s="103">
        <v>48</v>
      </c>
      <c r="S253" s="105">
        <v>119583.33333333299</v>
      </c>
      <c r="T253" s="105">
        <v>4065833.3333333302</v>
      </c>
      <c r="U253" s="105">
        <v>119583.33333333299</v>
      </c>
      <c r="V253" s="105">
        <v>119583.33333333299</v>
      </c>
      <c r="W253" s="105">
        <v>119583.33333333299</v>
      </c>
      <c r="X253" s="105">
        <v>119583.33333333299</v>
      </c>
      <c r="Y253" s="105">
        <v>119583.33333333299</v>
      </c>
      <c r="Z253" s="105">
        <v>119583.33333333299</v>
      </c>
      <c r="AA253" s="105">
        <v>119583.33333333299</v>
      </c>
      <c r="AB253" s="105">
        <v>119583.33333333299</v>
      </c>
      <c r="AC253" s="8">
        <f t="shared" si="21"/>
        <v>5022499.9999999944</v>
      </c>
      <c r="AD253" s="8">
        <f t="shared" si="22"/>
        <v>717500.00000000559</v>
      </c>
      <c r="AE253" s="8">
        <f t="shared" si="23"/>
        <v>119583.33333333299</v>
      </c>
      <c r="AF253" s="106">
        <f t="shared" si="24"/>
        <v>6.0000000000000639</v>
      </c>
      <c r="AG253" s="8">
        <f t="shared" si="25"/>
        <v>119583.33333333299</v>
      </c>
      <c r="AH253" s="8">
        <f>IF($O253="Aktif",MAX(0,MIN($AE253,$AD253-SUM($AG253:AG253))),0)</f>
        <v>119583.33333333299</v>
      </c>
      <c r="AI253" s="8">
        <f>IF($O253="Aktif",MAX(0,MIN($AE253,$AD253-SUM($AG253:AH253))),0)</f>
        <v>119583.33333333299</v>
      </c>
      <c r="AJ253" s="8">
        <f>IF($O253="Aktif",MAX(0,MIN($AE253,$AD253-SUM($AG253:AI253))),0)</f>
        <v>119583.33333333299</v>
      </c>
      <c r="AK253" s="8">
        <f>IF($O253="Aktif",MAX(0,MIN($AE253,$AD253-SUM($AG253:AJ253))),0)</f>
        <v>119583.33333333299</v>
      </c>
      <c r="AL253" s="8">
        <f>IF($O253="Aktif",MAX(0,MIN($AE253,$AD253-SUM($AG253:AK253))),0)</f>
        <v>119583.33333333299</v>
      </c>
      <c r="AM253" s="8">
        <f>IF($O253="Aktif",MAX(0,MIN($AE253,$AD253-SUM($AG253:AL253))),0)</f>
        <v>7.5669959187507629E-9</v>
      </c>
      <c r="AN253" s="8">
        <f>IF($O253="Aktif",MAX(0,MIN($AE253,$AD253-SUM($AG253:AM253))),0)</f>
        <v>0</v>
      </c>
      <c r="AO253" s="8">
        <f>IF($O253="Aktif",MAX(0,MIN($AE253,$AD253-SUM($AG253:AN253))),0)</f>
        <v>0</v>
      </c>
      <c r="AP253" s="8">
        <f>IF($O253="Aktif",MAX(0,MIN($AE253,$AD253-SUM($AG253:AO253))),0)</f>
        <v>0</v>
      </c>
      <c r="AQ253" s="8">
        <f>IF($O253="Aktif",MAX(0,MIN($AE253,$AD253-SUM($AG253:AP253))),0)</f>
        <v>0</v>
      </c>
      <c r="AR253" s="8">
        <f>IF($O253="Aktif",MAX(0,MIN($AE253,$AD253-SUM($AG253:AQ253))),0)</f>
        <v>0</v>
      </c>
      <c r="AS253" s="8">
        <f>IF($O253="Aktif",MAX(0,MIN($AE253,$AD253-SUM($AG253:AR253))),0)</f>
        <v>0</v>
      </c>
      <c r="AT253" s="8">
        <f>IF($O253="Aktif",MAX(0,MIN($AE253,$AD253-SUM($AG253:AS253))),0)</f>
        <v>0</v>
      </c>
      <c r="AU253" s="8">
        <f>IF($O253="Aktif",MAX(0,MIN($AE253,$AD253-SUM($AG253:AT253))),0)</f>
        <v>0</v>
      </c>
      <c r="AV253" s="8">
        <f>IF($O253="Aktif",MAX(0,MIN($AE253,$AD253-SUM($AG253:AU253))),0)</f>
        <v>0</v>
      </c>
      <c r="AW253" s="8">
        <f t="shared" si="26"/>
        <v>717500.00000000559</v>
      </c>
      <c r="AX253" s="8">
        <f t="shared" si="27"/>
        <v>0</v>
      </c>
    </row>
    <row r="254" spans="1:50" ht="15" customHeight="1" x14ac:dyDescent="0.35">
      <c r="A254" s="102">
        <v>248</v>
      </c>
      <c r="B254" s="102" t="s">
        <v>586</v>
      </c>
      <c r="C254" s="103">
        <v>186</v>
      </c>
      <c r="D254" s="102" t="s">
        <v>184</v>
      </c>
      <c r="E254" s="102" t="s">
        <v>479</v>
      </c>
      <c r="F254" s="102" t="s">
        <v>947</v>
      </c>
      <c r="G254" s="102" t="s">
        <v>948</v>
      </c>
      <c r="H254" s="102" t="s">
        <v>949</v>
      </c>
      <c r="I254" s="102" t="s">
        <v>90</v>
      </c>
      <c r="J254" s="102"/>
      <c r="K254" s="102" t="s">
        <v>1065</v>
      </c>
      <c r="L254" s="104">
        <v>45019</v>
      </c>
      <c r="M254" s="102" t="s">
        <v>1066</v>
      </c>
      <c r="N254" s="102" t="s">
        <v>1067</v>
      </c>
      <c r="O254" s="102" t="s">
        <v>383</v>
      </c>
      <c r="P254" s="103">
        <v>4</v>
      </c>
      <c r="Q254" s="105">
        <v>30960000</v>
      </c>
      <c r="R254" s="103">
        <v>48</v>
      </c>
      <c r="S254" s="105">
        <v>645000</v>
      </c>
      <c r="T254" s="105">
        <v>21285000</v>
      </c>
      <c r="U254" s="105">
        <v>645000</v>
      </c>
      <c r="V254" s="105">
        <v>645000</v>
      </c>
      <c r="W254" s="105">
        <v>645000</v>
      </c>
      <c r="X254" s="105">
        <v>645000</v>
      </c>
      <c r="Y254" s="105">
        <v>645000</v>
      </c>
      <c r="Z254" s="105">
        <v>645000</v>
      </c>
      <c r="AA254" s="105">
        <v>645000</v>
      </c>
      <c r="AB254" s="105">
        <v>645000</v>
      </c>
      <c r="AC254" s="8">
        <f t="shared" si="21"/>
        <v>26445000</v>
      </c>
      <c r="AD254" s="8">
        <f t="shared" si="22"/>
        <v>4515000</v>
      </c>
      <c r="AE254" s="8">
        <f t="shared" si="23"/>
        <v>645000</v>
      </c>
      <c r="AF254" s="106">
        <f t="shared" si="24"/>
        <v>7</v>
      </c>
      <c r="AG254" s="8">
        <f t="shared" si="25"/>
        <v>645000</v>
      </c>
      <c r="AH254" s="8">
        <f>IF($O254="Aktif",MAX(0,MIN($AE254,$AD254-SUM($AG254:AG254))),0)</f>
        <v>645000</v>
      </c>
      <c r="AI254" s="8">
        <f>IF($O254="Aktif",MAX(0,MIN($AE254,$AD254-SUM($AG254:AH254))),0)</f>
        <v>645000</v>
      </c>
      <c r="AJ254" s="8">
        <f>IF($O254="Aktif",MAX(0,MIN($AE254,$AD254-SUM($AG254:AI254))),0)</f>
        <v>645000</v>
      </c>
      <c r="AK254" s="8">
        <f>IF($O254="Aktif",MAX(0,MIN($AE254,$AD254-SUM($AG254:AJ254))),0)</f>
        <v>645000</v>
      </c>
      <c r="AL254" s="8">
        <f>IF($O254="Aktif",MAX(0,MIN($AE254,$AD254-SUM($AG254:AK254))),0)</f>
        <v>645000</v>
      </c>
      <c r="AM254" s="8">
        <f>IF($O254="Aktif",MAX(0,MIN($AE254,$AD254-SUM($AG254:AL254))),0)</f>
        <v>645000</v>
      </c>
      <c r="AN254" s="8">
        <f>IF($O254="Aktif",MAX(0,MIN($AE254,$AD254-SUM($AG254:AM254))),0)</f>
        <v>0</v>
      </c>
      <c r="AO254" s="8">
        <f>IF($O254="Aktif",MAX(0,MIN($AE254,$AD254-SUM($AG254:AN254))),0)</f>
        <v>0</v>
      </c>
      <c r="AP254" s="8">
        <f>IF($O254="Aktif",MAX(0,MIN($AE254,$AD254-SUM($AG254:AO254))),0)</f>
        <v>0</v>
      </c>
      <c r="AQ254" s="8">
        <f>IF($O254="Aktif",MAX(0,MIN($AE254,$AD254-SUM($AG254:AP254))),0)</f>
        <v>0</v>
      </c>
      <c r="AR254" s="8">
        <f>IF($O254="Aktif",MAX(0,MIN($AE254,$AD254-SUM($AG254:AQ254))),0)</f>
        <v>0</v>
      </c>
      <c r="AS254" s="8">
        <f>IF($O254="Aktif",MAX(0,MIN($AE254,$AD254-SUM($AG254:AR254))),0)</f>
        <v>0</v>
      </c>
      <c r="AT254" s="8">
        <f>IF($O254="Aktif",MAX(0,MIN($AE254,$AD254-SUM($AG254:AS254))),0)</f>
        <v>0</v>
      </c>
      <c r="AU254" s="8">
        <f>IF($O254="Aktif",MAX(0,MIN($AE254,$AD254-SUM($AG254:AT254))),0)</f>
        <v>0</v>
      </c>
      <c r="AV254" s="8">
        <f>IF($O254="Aktif",MAX(0,MIN($AE254,$AD254-SUM($AG254:AU254))),0)</f>
        <v>0</v>
      </c>
      <c r="AW254" s="8">
        <f t="shared" si="26"/>
        <v>4515000</v>
      </c>
      <c r="AX254" s="8">
        <f t="shared" si="27"/>
        <v>0</v>
      </c>
    </row>
    <row r="255" spans="1:50" ht="15" customHeight="1" x14ac:dyDescent="0.35">
      <c r="A255" s="102">
        <v>249</v>
      </c>
      <c r="B255" s="102" t="s">
        <v>586</v>
      </c>
      <c r="C255" s="103">
        <v>187</v>
      </c>
      <c r="D255" s="102" t="s">
        <v>184</v>
      </c>
      <c r="E255" s="102" t="s">
        <v>479</v>
      </c>
      <c r="F255" s="102" t="s">
        <v>947</v>
      </c>
      <c r="G255" s="102" t="s">
        <v>948</v>
      </c>
      <c r="H255" s="102" t="s">
        <v>949</v>
      </c>
      <c r="I255" s="102" t="s">
        <v>90</v>
      </c>
      <c r="J255" s="102"/>
      <c r="K255" s="102" t="s">
        <v>1068</v>
      </c>
      <c r="L255" s="104">
        <v>45026</v>
      </c>
      <c r="M255" s="102" t="s">
        <v>1069</v>
      </c>
      <c r="N255" s="102" t="s">
        <v>1070</v>
      </c>
      <c r="O255" s="102" t="s">
        <v>383</v>
      </c>
      <c r="P255" s="103">
        <v>1</v>
      </c>
      <c r="Q255" s="105">
        <v>1103400</v>
      </c>
      <c r="R255" s="103">
        <v>48</v>
      </c>
      <c r="S255" s="105">
        <v>22987.5</v>
      </c>
      <c r="T255" s="105">
        <v>758587.5</v>
      </c>
      <c r="U255" s="105">
        <v>22987.5</v>
      </c>
      <c r="V255" s="105">
        <v>22987.5</v>
      </c>
      <c r="W255" s="105">
        <v>22987.5</v>
      </c>
      <c r="X255" s="105">
        <v>22987.5</v>
      </c>
      <c r="Y255" s="105">
        <v>22987.5</v>
      </c>
      <c r="Z255" s="105">
        <v>22987.5</v>
      </c>
      <c r="AA255" s="105">
        <v>22987.5</v>
      </c>
      <c r="AB255" s="105">
        <v>22987.5</v>
      </c>
      <c r="AC255" s="8">
        <f t="shared" si="21"/>
        <v>942487.5</v>
      </c>
      <c r="AD255" s="8">
        <f t="shared" si="22"/>
        <v>160912.5</v>
      </c>
      <c r="AE255" s="8">
        <f t="shared" si="23"/>
        <v>22987.5</v>
      </c>
      <c r="AF255" s="106">
        <f t="shared" si="24"/>
        <v>7</v>
      </c>
      <c r="AG255" s="8">
        <f t="shared" si="25"/>
        <v>22987.5</v>
      </c>
      <c r="AH255" s="8">
        <f>IF($O255="Aktif",MAX(0,MIN($AE255,$AD255-SUM($AG255:AG255))),0)</f>
        <v>22987.5</v>
      </c>
      <c r="AI255" s="8">
        <f>IF($O255="Aktif",MAX(0,MIN($AE255,$AD255-SUM($AG255:AH255))),0)</f>
        <v>22987.5</v>
      </c>
      <c r="AJ255" s="8">
        <f>IF($O255="Aktif",MAX(0,MIN($AE255,$AD255-SUM($AG255:AI255))),0)</f>
        <v>22987.5</v>
      </c>
      <c r="AK255" s="8">
        <f>IF($O255="Aktif",MAX(0,MIN($AE255,$AD255-SUM($AG255:AJ255))),0)</f>
        <v>22987.5</v>
      </c>
      <c r="AL255" s="8">
        <f>IF($O255="Aktif",MAX(0,MIN($AE255,$AD255-SUM($AG255:AK255))),0)</f>
        <v>22987.5</v>
      </c>
      <c r="AM255" s="8">
        <f>IF($O255="Aktif",MAX(0,MIN($AE255,$AD255-SUM($AG255:AL255))),0)</f>
        <v>22987.5</v>
      </c>
      <c r="AN255" s="8">
        <f>IF($O255="Aktif",MAX(0,MIN($AE255,$AD255-SUM($AG255:AM255))),0)</f>
        <v>0</v>
      </c>
      <c r="AO255" s="8">
        <f>IF($O255="Aktif",MAX(0,MIN($AE255,$AD255-SUM($AG255:AN255))),0)</f>
        <v>0</v>
      </c>
      <c r="AP255" s="8">
        <f>IF($O255="Aktif",MAX(0,MIN($AE255,$AD255-SUM($AG255:AO255))),0)</f>
        <v>0</v>
      </c>
      <c r="AQ255" s="8">
        <f>IF($O255="Aktif",MAX(0,MIN($AE255,$AD255-SUM($AG255:AP255))),0)</f>
        <v>0</v>
      </c>
      <c r="AR255" s="8">
        <f>IF($O255="Aktif",MAX(0,MIN($AE255,$AD255-SUM($AG255:AQ255))),0)</f>
        <v>0</v>
      </c>
      <c r="AS255" s="8">
        <f>IF($O255="Aktif",MAX(0,MIN($AE255,$AD255-SUM($AG255:AR255))),0)</f>
        <v>0</v>
      </c>
      <c r="AT255" s="8">
        <f>IF($O255="Aktif",MAX(0,MIN($AE255,$AD255-SUM($AG255:AS255))),0)</f>
        <v>0</v>
      </c>
      <c r="AU255" s="8">
        <f>IF($O255="Aktif",MAX(0,MIN($AE255,$AD255-SUM($AG255:AT255))),0)</f>
        <v>0</v>
      </c>
      <c r="AV255" s="8">
        <f>IF($O255="Aktif",MAX(0,MIN($AE255,$AD255-SUM($AG255:AU255))),0)</f>
        <v>0</v>
      </c>
      <c r="AW255" s="8">
        <f t="shared" si="26"/>
        <v>160912.5</v>
      </c>
      <c r="AX255" s="8">
        <f t="shared" si="27"/>
        <v>0</v>
      </c>
    </row>
    <row r="256" spans="1:50" ht="15" customHeight="1" x14ac:dyDescent="0.35">
      <c r="A256" s="102">
        <v>250</v>
      </c>
      <c r="B256" s="102" t="s">
        <v>586</v>
      </c>
      <c r="C256" s="103">
        <v>188</v>
      </c>
      <c r="D256" s="102" t="s">
        <v>184</v>
      </c>
      <c r="E256" s="102" t="s">
        <v>479</v>
      </c>
      <c r="F256" s="102" t="s">
        <v>947</v>
      </c>
      <c r="G256" s="102" t="s">
        <v>948</v>
      </c>
      <c r="H256" s="102" t="s">
        <v>949</v>
      </c>
      <c r="I256" s="102" t="s">
        <v>90</v>
      </c>
      <c r="J256" s="102"/>
      <c r="K256" s="102" t="s">
        <v>1071</v>
      </c>
      <c r="L256" s="104">
        <v>45034</v>
      </c>
      <c r="M256" s="102" t="s">
        <v>1072</v>
      </c>
      <c r="N256" s="102" t="s">
        <v>1073</v>
      </c>
      <c r="O256" s="102" t="s">
        <v>383</v>
      </c>
      <c r="P256" s="103">
        <v>1</v>
      </c>
      <c r="Q256" s="105">
        <v>1778500</v>
      </c>
      <c r="R256" s="103">
        <v>48</v>
      </c>
      <c r="S256" s="105">
        <v>37052.083333333299</v>
      </c>
      <c r="T256" s="105">
        <v>1222718.75</v>
      </c>
      <c r="U256" s="105">
        <v>37052.083333333299</v>
      </c>
      <c r="V256" s="105">
        <v>37052.083333333299</v>
      </c>
      <c r="W256" s="105">
        <v>37052.083333333299</v>
      </c>
      <c r="X256" s="105">
        <v>37052.083333333299</v>
      </c>
      <c r="Y256" s="105">
        <v>37052.083333333299</v>
      </c>
      <c r="Z256" s="105">
        <v>37052.083333333299</v>
      </c>
      <c r="AA256" s="105">
        <v>37052.083333333299</v>
      </c>
      <c r="AB256" s="105">
        <v>37052.083333333299</v>
      </c>
      <c r="AC256" s="8">
        <f t="shared" si="21"/>
        <v>1519135.4166666665</v>
      </c>
      <c r="AD256" s="8">
        <f t="shared" si="22"/>
        <v>259364.58333333349</v>
      </c>
      <c r="AE256" s="8">
        <f t="shared" si="23"/>
        <v>37052.083333333299</v>
      </c>
      <c r="AF256" s="106">
        <f t="shared" si="24"/>
        <v>7.0000000000000107</v>
      </c>
      <c r="AG256" s="8">
        <f t="shared" si="25"/>
        <v>37052.083333333299</v>
      </c>
      <c r="AH256" s="8">
        <f>IF($O256="Aktif",MAX(0,MIN($AE256,$AD256-SUM($AG256:AG256))),0)</f>
        <v>37052.083333333299</v>
      </c>
      <c r="AI256" s="8">
        <f>IF($O256="Aktif",MAX(0,MIN($AE256,$AD256-SUM($AG256:AH256))),0)</f>
        <v>37052.083333333299</v>
      </c>
      <c r="AJ256" s="8">
        <f>IF($O256="Aktif",MAX(0,MIN($AE256,$AD256-SUM($AG256:AI256))),0)</f>
        <v>37052.083333333299</v>
      </c>
      <c r="AK256" s="8">
        <f>IF($O256="Aktif",MAX(0,MIN($AE256,$AD256-SUM($AG256:AJ256))),0)</f>
        <v>37052.083333333299</v>
      </c>
      <c r="AL256" s="8">
        <f>IF($O256="Aktif",MAX(0,MIN($AE256,$AD256-SUM($AG256:AK256))),0)</f>
        <v>37052.083333333299</v>
      </c>
      <c r="AM256" s="8">
        <f>IF($O256="Aktif",MAX(0,MIN($AE256,$AD256-SUM($AG256:AL256))),0)</f>
        <v>37052.083333333299</v>
      </c>
      <c r="AN256" s="8">
        <f>IF($O256="Aktif",MAX(0,MIN($AE256,$AD256-SUM($AG256:AM256))),0)</f>
        <v>3.4924596548080444E-10</v>
      </c>
      <c r="AO256" s="8">
        <f>IF($O256="Aktif",MAX(0,MIN($AE256,$AD256-SUM($AG256:AN256))),0)</f>
        <v>0</v>
      </c>
      <c r="AP256" s="8">
        <f>IF($O256="Aktif",MAX(0,MIN($AE256,$AD256-SUM($AG256:AO256))),0)</f>
        <v>0</v>
      </c>
      <c r="AQ256" s="8">
        <f>IF($O256="Aktif",MAX(0,MIN($AE256,$AD256-SUM($AG256:AP256))),0)</f>
        <v>0</v>
      </c>
      <c r="AR256" s="8">
        <f>IF($O256="Aktif",MAX(0,MIN($AE256,$AD256-SUM($AG256:AQ256))),0)</f>
        <v>0</v>
      </c>
      <c r="AS256" s="8">
        <f>IF($O256="Aktif",MAX(0,MIN($AE256,$AD256-SUM($AG256:AR256))),0)</f>
        <v>0</v>
      </c>
      <c r="AT256" s="8">
        <f>IF($O256="Aktif",MAX(0,MIN($AE256,$AD256-SUM($AG256:AS256))),0)</f>
        <v>0</v>
      </c>
      <c r="AU256" s="8">
        <f>IF($O256="Aktif",MAX(0,MIN($AE256,$AD256-SUM($AG256:AT256))),0)</f>
        <v>0</v>
      </c>
      <c r="AV256" s="8">
        <f>IF($O256="Aktif",MAX(0,MIN($AE256,$AD256-SUM($AG256:AU256))),0)</f>
        <v>0</v>
      </c>
      <c r="AW256" s="8">
        <f t="shared" si="26"/>
        <v>259364.58333333349</v>
      </c>
      <c r="AX256" s="8">
        <f t="shared" si="27"/>
        <v>0</v>
      </c>
    </row>
    <row r="257" spans="1:50" ht="15" customHeight="1" x14ac:dyDescent="0.35">
      <c r="A257" s="102">
        <v>251</v>
      </c>
      <c r="B257" s="102" t="s">
        <v>586</v>
      </c>
      <c r="C257" s="103">
        <v>189</v>
      </c>
      <c r="D257" s="102" t="s">
        <v>184</v>
      </c>
      <c r="E257" s="102" t="s">
        <v>479</v>
      </c>
      <c r="F257" s="102" t="s">
        <v>947</v>
      </c>
      <c r="G257" s="102" t="s">
        <v>948</v>
      </c>
      <c r="H257" s="102" t="s">
        <v>949</v>
      </c>
      <c r="I257" s="102" t="s">
        <v>90</v>
      </c>
      <c r="J257" s="102"/>
      <c r="K257" s="102" t="s">
        <v>1074</v>
      </c>
      <c r="L257" s="104">
        <v>45119</v>
      </c>
      <c r="M257" s="102" t="s">
        <v>1075</v>
      </c>
      <c r="N257" s="102" t="s">
        <v>1076</v>
      </c>
      <c r="O257" s="102" t="s">
        <v>383</v>
      </c>
      <c r="P257" s="103">
        <v>10</v>
      </c>
      <c r="Q257" s="105">
        <v>10000000</v>
      </c>
      <c r="R257" s="103">
        <v>48</v>
      </c>
      <c r="S257" s="105">
        <v>208333.33333333299</v>
      </c>
      <c r="T257" s="105">
        <v>6250000</v>
      </c>
      <c r="U257" s="105">
        <v>208333.33333333299</v>
      </c>
      <c r="V257" s="105">
        <v>208333.33333333299</v>
      </c>
      <c r="W257" s="105">
        <v>208333.33333333299</v>
      </c>
      <c r="X257" s="105">
        <v>208333.33333333299</v>
      </c>
      <c r="Y257" s="105">
        <v>208333.33333333299</v>
      </c>
      <c r="Z257" s="105">
        <v>208333.33333333299</v>
      </c>
      <c r="AA257" s="105">
        <v>208333.33333333299</v>
      </c>
      <c r="AB257" s="105">
        <v>208333.33333333299</v>
      </c>
      <c r="AC257" s="8">
        <f t="shared" si="21"/>
        <v>7916666.6666666642</v>
      </c>
      <c r="AD257" s="8">
        <f t="shared" si="22"/>
        <v>2083333.3333333358</v>
      </c>
      <c r="AE257" s="8">
        <f t="shared" si="23"/>
        <v>208333.33333333299</v>
      </c>
      <c r="AF257" s="106">
        <f t="shared" si="24"/>
        <v>10.000000000000028</v>
      </c>
      <c r="AG257" s="8">
        <f t="shared" si="25"/>
        <v>208333.33333333299</v>
      </c>
      <c r="AH257" s="8">
        <f>IF($O257="Aktif",MAX(0,MIN($AE257,$AD257-SUM($AG257:AG257))),0)</f>
        <v>208333.33333333299</v>
      </c>
      <c r="AI257" s="8">
        <f>IF($O257="Aktif",MAX(0,MIN($AE257,$AD257-SUM($AG257:AH257))),0)</f>
        <v>208333.33333333299</v>
      </c>
      <c r="AJ257" s="8">
        <f>IF($O257="Aktif",MAX(0,MIN($AE257,$AD257-SUM($AG257:AI257))),0)</f>
        <v>208333.33333333299</v>
      </c>
      <c r="AK257" s="8">
        <f>IF($O257="Aktif",MAX(0,MIN($AE257,$AD257-SUM($AG257:AJ257))),0)</f>
        <v>208333.33333333299</v>
      </c>
      <c r="AL257" s="8">
        <f>IF($O257="Aktif",MAX(0,MIN($AE257,$AD257-SUM($AG257:AK257))),0)</f>
        <v>208333.33333333299</v>
      </c>
      <c r="AM257" s="8">
        <f>IF($O257="Aktif",MAX(0,MIN($AE257,$AD257-SUM($AG257:AL257))),0)</f>
        <v>208333.33333333299</v>
      </c>
      <c r="AN257" s="8">
        <f>IF($O257="Aktif",MAX(0,MIN($AE257,$AD257-SUM($AG257:AM257))),0)</f>
        <v>208333.33333333299</v>
      </c>
      <c r="AO257" s="8">
        <f>IF($O257="Aktif",MAX(0,MIN($AE257,$AD257-SUM($AG257:AN257))),0)</f>
        <v>208333.33333333299</v>
      </c>
      <c r="AP257" s="8">
        <f>IF($O257="Aktif",MAX(0,MIN($AE257,$AD257-SUM($AG257:AO257))),0)</f>
        <v>208333.33333333299</v>
      </c>
      <c r="AQ257" s="8">
        <f>IF($O257="Aktif",MAX(0,MIN($AE257,$AD257-SUM($AG257:AP257))),0)</f>
        <v>5.8207660913467407E-9</v>
      </c>
      <c r="AR257" s="8">
        <f>IF($O257="Aktif",MAX(0,MIN($AE257,$AD257-SUM($AG257:AQ257))),0)</f>
        <v>0</v>
      </c>
      <c r="AS257" s="8">
        <f>IF($O257="Aktif",MAX(0,MIN($AE257,$AD257-SUM($AG257:AR257))),0)</f>
        <v>0</v>
      </c>
      <c r="AT257" s="8">
        <f>IF($O257="Aktif",MAX(0,MIN($AE257,$AD257-SUM($AG257:AS257))),0)</f>
        <v>0</v>
      </c>
      <c r="AU257" s="8">
        <f>IF($O257="Aktif",MAX(0,MIN($AE257,$AD257-SUM($AG257:AT257))),0)</f>
        <v>0</v>
      </c>
      <c r="AV257" s="8">
        <f>IF($O257="Aktif",MAX(0,MIN($AE257,$AD257-SUM($AG257:AU257))),0)</f>
        <v>0</v>
      </c>
      <c r="AW257" s="8">
        <f t="shared" si="26"/>
        <v>2083333.3333333358</v>
      </c>
      <c r="AX257" s="8">
        <f t="shared" si="27"/>
        <v>0</v>
      </c>
    </row>
    <row r="258" spans="1:50" ht="15" customHeight="1" x14ac:dyDescent="0.35">
      <c r="A258" s="102">
        <v>252</v>
      </c>
      <c r="B258" s="102" t="s">
        <v>586</v>
      </c>
      <c r="C258" s="103">
        <v>190</v>
      </c>
      <c r="D258" s="102" t="s">
        <v>184</v>
      </c>
      <c r="E258" s="102" t="s">
        <v>479</v>
      </c>
      <c r="F258" s="102" t="s">
        <v>947</v>
      </c>
      <c r="G258" s="102" t="s">
        <v>948</v>
      </c>
      <c r="H258" s="102" t="s">
        <v>949</v>
      </c>
      <c r="I258" s="102" t="s">
        <v>90</v>
      </c>
      <c r="J258" s="102"/>
      <c r="K258" s="102" t="s">
        <v>1077</v>
      </c>
      <c r="L258" s="104">
        <v>45114</v>
      </c>
      <c r="M258" s="102" t="s">
        <v>1078</v>
      </c>
      <c r="N258" s="102" t="s">
        <v>1079</v>
      </c>
      <c r="O258" s="102" t="s">
        <v>383</v>
      </c>
      <c r="P258" s="103">
        <v>1</v>
      </c>
      <c r="Q258" s="105">
        <v>1592934</v>
      </c>
      <c r="R258" s="103">
        <v>48</v>
      </c>
      <c r="S258" s="105">
        <v>33186.125</v>
      </c>
      <c r="T258" s="105">
        <v>995583.75</v>
      </c>
      <c r="U258" s="105">
        <v>33186.125</v>
      </c>
      <c r="V258" s="105">
        <v>33186.125</v>
      </c>
      <c r="W258" s="105">
        <v>33186.125</v>
      </c>
      <c r="X258" s="105">
        <v>33186.125</v>
      </c>
      <c r="Y258" s="105">
        <v>33186.125</v>
      </c>
      <c r="Z258" s="105">
        <v>33186.125</v>
      </c>
      <c r="AA258" s="105">
        <v>33186.125</v>
      </c>
      <c r="AB258" s="105">
        <v>33186.125</v>
      </c>
      <c r="AC258" s="8">
        <f t="shared" si="21"/>
        <v>1261072.75</v>
      </c>
      <c r="AD258" s="8">
        <f t="shared" si="22"/>
        <v>331861.25</v>
      </c>
      <c r="AE258" s="8">
        <f t="shared" si="23"/>
        <v>33186.125</v>
      </c>
      <c r="AF258" s="106">
        <f t="shared" si="24"/>
        <v>10</v>
      </c>
      <c r="AG258" s="8">
        <f t="shared" si="25"/>
        <v>33186.125</v>
      </c>
      <c r="AH258" s="8">
        <f>IF($O258="Aktif",MAX(0,MIN($AE258,$AD258-SUM($AG258:AG258))),0)</f>
        <v>33186.125</v>
      </c>
      <c r="AI258" s="8">
        <f>IF($O258="Aktif",MAX(0,MIN($AE258,$AD258-SUM($AG258:AH258))),0)</f>
        <v>33186.125</v>
      </c>
      <c r="AJ258" s="8">
        <f>IF($O258="Aktif",MAX(0,MIN($AE258,$AD258-SUM($AG258:AI258))),0)</f>
        <v>33186.125</v>
      </c>
      <c r="AK258" s="8">
        <f>IF($O258="Aktif",MAX(0,MIN($AE258,$AD258-SUM($AG258:AJ258))),0)</f>
        <v>33186.125</v>
      </c>
      <c r="AL258" s="8">
        <f>IF($O258="Aktif",MAX(0,MIN($AE258,$AD258-SUM($AG258:AK258))),0)</f>
        <v>33186.125</v>
      </c>
      <c r="AM258" s="8">
        <f>IF($O258="Aktif",MAX(0,MIN($AE258,$AD258-SUM($AG258:AL258))),0)</f>
        <v>33186.125</v>
      </c>
      <c r="AN258" s="8">
        <f>IF($O258="Aktif",MAX(0,MIN($AE258,$AD258-SUM($AG258:AM258))),0)</f>
        <v>33186.125</v>
      </c>
      <c r="AO258" s="8">
        <f>IF($O258="Aktif",MAX(0,MIN($AE258,$AD258-SUM($AG258:AN258))),0)</f>
        <v>33186.125</v>
      </c>
      <c r="AP258" s="8">
        <f>IF($O258="Aktif",MAX(0,MIN($AE258,$AD258-SUM($AG258:AO258))),0)</f>
        <v>33186.125</v>
      </c>
      <c r="AQ258" s="8">
        <f>IF($O258="Aktif",MAX(0,MIN($AE258,$AD258-SUM($AG258:AP258))),0)</f>
        <v>0</v>
      </c>
      <c r="AR258" s="8">
        <f>IF($O258="Aktif",MAX(0,MIN($AE258,$AD258-SUM($AG258:AQ258))),0)</f>
        <v>0</v>
      </c>
      <c r="AS258" s="8">
        <f>IF($O258="Aktif",MAX(0,MIN($AE258,$AD258-SUM($AG258:AR258))),0)</f>
        <v>0</v>
      </c>
      <c r="AT258" s="8">
        <f>IF($O258="Aktif",MAX(0,MIN($AE258,$AD258-SUM($AG258:AS258))),0)</f>
        <v>0</v>
      </c>
      <c r="AU258" s="8">
        <f>IF($O258="Aktif",MAX(0,MIN($AE258,$AD258-SUM($AG258:AT258))),0)</f>
        <v>0</v>
      </c>
      <c r="AV258" s="8">
        <f>IF($O258="Aktif",MAX(0,MIN($AE258,$AD258-SUM($AG258:AU258))),0)</f>
        <v>0</v>
      </c>
      <c r="AW258" s="8">
        <f t="shared" si="26"/>
        <v>331861.25</v>
      </c>
      <c r="AX258" s="8">
        <f t="shared" si="27"/>
        <v>0</v>
      </c>
    </row>
    <row r="259" spans="1:50" ht="15" customHeight="1" x14ac:dyDescent="0.35">
      <c r="A259" s="102">
        <v>253</v>
      </c>
      <c r="B259" s="102" t="s">
        <v>586</v>
      </c>
      <c r="C259" s="103">
        <v>191</v>
      </c>
      <c r="D259" s="102" t="s">
        <v>184</v>
      </c>
      <c r="E259" s="102" t="s">
        <v>479</v>
      </c>
      <c r="F259" s="102" t="s">
        <v>947</v>
      </c>
      <c r="G259" s="102" t="s">
        <v>948</v>
      </c>
      <c r="H259" s="102" t="s">
        <v>949</v>
      </c>
      <c r="I259" s="102" t="s">
        <v>90</v>
      </c>
      <c r="J259" s="102"/>
      <c r="K259" s="102" t="s">
        <v>1080</v>
      </c>
      <c r="L259" s="104">
        <v>45154</v>
      </c>
      <c r="M259" s="102" t="s">
        <v>1025</v>
      </c>
      <c r="N259" s="102" t="s">
        <v>1081</v>
      </c>
      <c r="O259" s="102" t="s">
        <v>383</v>
      </c>
      <c r="P259" s="103">
        <v>1</v>
      </c>
      <c r="Q259" s="105">
        <v>2100000</v>
      </c>
      <c r="R259" s="103">
        <v>48</v>
      </c>
      <c r="S259" s="105">
        <v>43750</v>
      </c>
      <c r="T259" s="105">
        <v>1268750</v>
      </c>
      <c r="U259" s="105">
        <v>43750</v>
      </c>
      <c r="V259" s="105">
        <v>43750</v>
      </c>
      <c r="W259" s="105">
        <v>43750</v>
      </c>
      <c r="X259" s="105">
        <v>43750</v>
      </c>
      <c r="Y259" s="105">
        <v>43750</v>
      </c>
      <c r="Z259" s="105">
        <v>43750</v>
      </c>
      <c r="AA259" s="105">
        <v>43750</v>
      </c>
      <c r="AB259" s="105">
        <v>43750</v>
      </c>
      <c r="AC259" s="8">
        <f t="shared" si="21"/>
        <v>1618750</v>
      </c>
      <c r="AD259" s="8">
        <f t="shared" si="22"/>
        <v>481250</v>
      </c>
      <c r="AE259" s="8">
        <f t="shared" si="23"/>
        <v>43750</v>
      </c>
      <c r="AF259" s="106">
        <f t="shared" si="24"/>
        <v>11</v>
      </c>
      <c r="AG259" s="8">
        <f t="shared" si="25"/>
        <v>43750</v>
      </c>
      <c r="AH259" s="8">
        <f>IF($O259="Aktif",MAX(0,MIN($AE259,$AD259-SUM($AG259:AG259))),0)</f>
        <v>43750</v>
      </c>
      <c r="AI259" s="8">
        <f>IF($O259="Aktif",MAX(0,MIN($AE259,$AD259-SUM($AG259:AH259))),0)</f>
        <v>43750</v>
      </c>
      <c r="AJ259" s="8">
        <f>IF($O259="Aktif",MAX(0,MIN($AE259,$AD259-SUM($AG259:AI259))),0)</f>
        <v>43750</v>
      </c>
      <c r="AK259" s="8">
        <f>IF($O259="Aktif",MAX(0,MIN($AE259,$AD259-SUM($AG259:AJ259))),0)</f>
        <v>43750</v>
      </c>
      <c r="AL259" s="8">
        <f>IF($O259="Aktif",MAX(0,MIN($AE259,$AD259-SUM($AG259:AK259))),0)</f>
        <v>43750</v>
      </c>
      <c r="AM259" s="8">
        <f>IF($O259="Aktif",MAX(0,MIN($AE259,$AD259-SUM($AG259:AL259))),0)</f>
        <v>43750</v>
      </c>
      <c r="AN259" s="8">
        <f>IF($O259="Aktif",MAX(0,MIN($AE259,$AD259-SUM($AG259:AM259))),0)</f>
        <v>43750</v>
      </c>
      <c r="AO259" s="8">
        <f>IF($O259="Aktif",MAX(0,MIN($AE259,$AD259-SUM($AG259:AN259))),0)</f>
        <v>43750</v>
      </c>
      <c r="AP259" s="8">
        <f>IF($O259="Aktif",MAX(0,MIN($AE259,$AD259-SUM($AG259:AO259))),0)</f>
        <v>43750</v>
      </c>
      <c r="AQ259" s="8">
        <f>IF($O259="Aktif",MAX(0,MIN($AE259,$AD259-SUM($AG259:AP259))),0)</f>
        <v>43750</v>
      </c>
      <c r="AR259" s="8">
        <f>IF($O259="Aktif",MAX(0,MIN($AE259,$AD259-SUM($AG259:AQ259))),0)</f>
        <v>0</v>
      </c>
      <c r="AS259" s="8">
        <f>IF($O259="Aktif",MAX(0,MIN($AE259,$AD259-SUM($AG259:AR259))),0)</f>
        <v>0</v>
      </c>
      <c r="AT259" s="8">
        <f>IF($O259="Aktif",MAX(0,MIN($AE259,$AD259-SUM($AG259:AS259))),0)</f>
        <v>0</v>
      </c>
      <c r="AU259" s="8">
        <f>IF($O259="Aktif",MAX(0,MIN($AE259,$AD259-SUM($AG259:AT259))),0)</f>
        <v>0</v>
      </c>
      <c r="AV259" s="8">
        <f>IF($O259="Aktif",MAX(0,MIN($AE259,$AD259-SUM($AG259:AU259))),0)</f>
        <v>0</v>
      </c>
      <c r="AW259" s="8">
        <f t="shared" si="26"/>
        <v>481250</v>
      </c>
      <c r="AX259" s="8">
        <f t="shared" si="27"/>
        <v>0</v>
      </c>
    </row>
    <row r="260" spans="1:50" ht="15" customHeight="1" x14ac:dyDescent="0.35">
      <c r="A260" s="102">
        <v>254</v>
      </c>
      <c r="B260" s="102" t="s">
        <v>586</v>
      </c>
      <c r="C260" s="103">
        <v>192</v>
      </c>
      <c r="D260" s="102" t="s">
        <v>184</v>
      </c>
      <c r="E260" s="102" t="s">
        <v>479</v>
      </c>
      <c r="F260" s="102" t="s">
        <v>947</v>
      </c>
      <c r="G260" s="102" t="s">
        <v>948</v>
      </c>
      <c r="H260" s="102" t="s">
        <v>949</v>
      </c>
      <c r="I260" s="102" t="s">
        <v>90</v>
      </c>
      <c r="J260" s="102"/>
      <c r="K260" s="102" t="s">
        <v>1082</v>
      </c>
      <c r="L260" s="104">
        <v>45174</v>
      </c>
      <c r="M260" s="102" t="s">
        <v>1083</v>
      </c>
      <c r="N260" s="102" t="s">
        <v>1084</v>
      </c>
      <c r="O260" s="102" t="s">
        <v>383</v>
      </c>
      <c r="P260" s="103">
        <v>1</v>
      </c>
      <c r="Q260" s="105">
        <v>5500000</v>
      </c>
      <c r="R260" s="103">
        <v>48</v>
      </c>
      <c r="S260" s="105">
        <v>114583.33333333299</v>
      </c>
      <c r="T260" s="105">
        <v>3208333.3333333302</v>
      </c>
      <c r="U260" s="105">
        <v>114583.33333333299</v>
      </c>
      <c r="V260" s="105">
        <v>114583.33333333299</v>
      </c>
      <c r="W260" s="105">
        <v>114583.33333333299</v>
      </c>
      <c r="X260" s="105">
        <v>114583.33333333299</v>
      </c>
      <c r="Y260" s="105">
        <v>114583.33333333299</v>
      </c>
      <c r="Z260" s="105">
        <v>114583.33333333299</v>
      </c>
      <c r="AA260" s="105">
        <v>114583.33333333299</v>
      </c>
      <c r="AB260" s="105">
        <v>114583.33333333299</v>
      </c>
      <c r="AC260" s="8">
        <f t="shared" si="21"/>
        <v>4124999.9999999944</v>
      </c>
      <c r="AD260" s="8">
        <f t="shared" si="22"/>
        <v>1375000.0000000056</v>
      </c>
      <c r="AE260" s="8">
        <f t="shared" si="23"/>
        <v>114583.33333333299</v>
      </c>
      <c r="AF260" s="106">
        <f t="shared" si="24"/>
        <v>12.000000000000083</v>
      </c>
      <c r="AG260" s="8">
        <f t="shared" si="25"/>
        <v>114583.33333333299</v>
      </c>
      <c r="AH260" s="8">
        <f>IF($O260="Aktif",MAX(0,MIN($AE260,$AD260-SUM($AG260:AG260))),0)</f>
        <v>114583.33333333299</v>
      </c>
      <c r="AI260" s="8">
        <f>IF($O260="Aktif",MAX(0,MIN($AE260,$AD260-SUM($AG260:AH260))),0)</f>
        <v>114583.33333333299</v>
      </c>
      <c r="AJ260" s="8">
        <f>IF($O260="Aktif",MAX(0,MIN($AE260,$AD260-SUM($AG260:AI260))),0)</f>
        <v>114583.33333333299</v>
      </c>
      <c r="AK260" s="8">
        <f>IF($O260="Aktif",MAX(0,MIN($AE260,$AD260-SUM($AG260:AJ260))),0)</f>
        <v>114583.33333333299</v>
      </c>
      <c r="AL260" s="8">
        <f>IF($O260="Aktif",MAX(0,MIN($AE260,$AD260-SUM($AG260:AK260))),0)</f>
        <v>114583.33333333299</v>
      </c>
      <c r="AM260" s="8">
        <f>IF($O260="Aktif",MAX(0,MIN($AE260,$AD260-SUM($AG260:AL260))),0)</f>
        <v>114583.33333333299</v>
      </c>
      <c r="AN260" s="8">
        <f>IF($O260="Aktif",MAX(0,MIN($AE260,$AD260-SUM($AG260:AM260))),0)</f>
        <v>114583.33333333299</v>
      </c>
      <c r="AO260" s="8">
        <f>IF($O260="Aktif",MAX(0,MIN($AE260,$AD260-SUM($AG260:AN260))),0)</f>
        <v>114583.33333333299</v>
      </c>
      <c r="AP260" s="8">
        <f>IF($O260="Aktif",MAX(0,MIN($AE260,$AD260-SUM($AG260:AO260))),0)</f>
        <v>114583.33333333299</v>
      </c>
      <c r="AQ260" s="8">
        <f>IF($O260="Aktif",MAX(0,MIN($AE260,$AD260-SUM($AG260:AP260))),0)</f>
        <v>114583.33333333299</v>
      </c>
      <c r="AR260" s="8">
        <f>IF($O260="Aktif",MAX(0,MIN($AE260,$AD260-SUM($AG260:AQ260))),0)</f>
        <v>114583.33333333299</v>
      </c>
      <c r="AS260" s="8">
        <f>IF($O260="Aktif",MAX(0,MIN($AE260,$AD260-SUM($AG260:AR260))),0)</f>
        <v>9.5460563898086548E-9</v>
      </c>
      <c r="AT260" s="8">
        <f>IF($O260="Aktif",MAX(0,MIN($AE260,$AD260-SUM($AG260:AS260))),0)</f>
        <v>0</v>
      </c>
      <c r="AU260" s="8">
        <f>IF($O260="Aktif",MAX(0,MIN($AE260,$AD260-SUM($AG260:AT260))),0)</f>
        <v>0</v>
      </c>
      <c r="AV260" s="8">
        <f>IF($O260="Aktif",MAX(0,MIN($AE260,$AD260-SUM($AG260:AU260))),0)</f>
        <v>0</v>
      </c>
      <c r="AW260" s="8">
        <f t="shared" si="26"/>
        <v>1375000.0000000056</v>
      </c>
      <c r="AX260" s="8">
        <f t="shared" si="27"/>
        <v>0</v>
      </c>
    </row>
    <row r="261" spans="1:50" ht="15" customHeight="1" x14ac:dyDescent="0.35">
      <c r="A261" s="102">
        <v>255</v>
      </c>
      <c r="B261" s="102" t="s">
        <v>586</v>
      </c>
      <c r="C261" s="103">
        <v>193</v>
      </c>
      <c r="D261" s="102" t="s">
        <v>184</v>
      </c>
      <c r="E261" s="102" t="s">
        <v>479</v>
      </c>
      <c r="F261" s="102" t="s">
        <v>947</v>
      </c>
      <c r="G261" s="102" t="s">
        <v>948</v>
      </c>
      <c r="H261" s="102" t="s">
        <v>949</v>
      </c>
      <c r="I261" s="102" t="s">
        <v>90</v>
      </c>
      <c r="J261" s="102"/>
      <c r="K261" s="102" t="s">
        <v>1085</v>
      </c>
      <c r="L261" s="104">
        <v>45188</v>
      </c>
      <c r="M261" s="102" t="s">
        <v>1086</v>
      </c>
      <c r="N261" s="102" t="s">
        <v>1087</v>
      </c>
      <c r="O261" s="102" t="s">
        <v>383</v>
      </c>
      <c r="P261" s="103">
        <v>1</v>
      </c>
      <c r="Q261" s="105">
        <v>12584200</v>
      </c>
      <c r="R261" s="103">
        <v>48</v>
      </c>
      <c r="S261" s="105">
        <v>262170.83333333302</v>
      </c>
      <c r="T261" s="105">
        <v>7340783.3333333302</v>
      </c>
      <c r="U261" s="105">
        <v>262170.83333333302</v>
      </c>
      <c r="V261" s="105">
        <v>262170.83333333302</v>
      </c>
      <c r="W261" s="105">
        <v>262170.83333333302</v>
      </c>
      <c r="X261" s="105">
        <v>262170.83333333302</v>
      </c>
      <c r="Y261" s="105">
        <v>262170.83333333302</v>
      </c>
      <c r="Z261" s="105">
        <v>262170.83333333302</v>
      </c>
      <c r="AA261" s="105">
        <v>262170.83333333302</v>
      </c>
      <c r="AB261" s="105">
        <v>262170.83333333302</v>
      </c>
      <c r="AC261" s="8">
        <f t="shared" si="21"/>
        <v>9438149.9999999944</v>
      </c>
      <c r="AD261" s="8">
        <f t="shared" si="22"/>
        <v>3146050.0000000056</v>
      </c>
      <c r="AE261" s="8">
        <f t="shared" si="23"/>
        <v>262170.83333333302</v>
      </c>
      <c r="AF261" s="106">
        <f t="shared" si="24"/>
        <v>12.000000000000036</v>
      </c>
      <c r="AG261" s="8">
        <f t="shared" si="25"/>
        <v>262170.83333333302</v>
      </c>
      <c r="AH261" s="8">
        <f>IF($O261="Aktif",MAX(0,MIN($AE261,$AD261-SUM($AG261:AG261))),0)</f>
        <v>262170.83333333302</v>
      </c>
      <c r="AI261" s="8">
        <f>IF($O261="Aktif",MAX(0,MIN($AE261,$AD261-SUM($AG261:AH261))),0)</f>
        <v>262170.83333333302</v>
      </c>
      <c r="AJ261" s="8">
        <f>IF($O261="Aktif",MAX(0,MIN($AE261,$AD261-SUM($AG261:AI261))),0)</f>
        <v>262170.83333333302</v>
      </c>
      <c r="AK261" s="8">
        <f>IF($O261="Aktif",MAX(0,MIN($AE261,$AD261-SUM($AG261:AJ261))),0)</f>
        <v>262170.83333333302</v>
      </c>
      <c r="AL261" s="8">
        <f>IF($O261="Aktif",MAX(0,MIN($AE261,$AD261-SUM($AG261:AK261))),0)</f>
        <v>262170.83333333302</v>
      </c>
      <c r="AM261" s="8">
        <f>IF($O261="Aktif",MAX(0,MIN($AE261,$AD261-SUM($AG261:AL261))),0)</f>
        <v>262170.83333333302</v>
      </c>
      <c r="AN261" s="8">
        <f>IF($O261="Aktif",MAX(0,MIN($AE261,$AD261-SUM($AG261:AM261))),0)</f>
        <v>262170.83333333302</v>
      </c>
      <c r="AO261" s="8">
        <f>IF($O261="Aktif",MAX(0,MIN($AE261,$AD261-SUM($AG261:AN261))),0)</f>
        <v>262170.83333333302</v>
      </c>
      <c r="AP261" s="8">
        <f>IF($O261="Aktif",MAX(0,MIN($AE261,$AD261-SUM($AG261:AO261))),0)</f>
        <v>262170.83333333302</v>
      </c>
      <c r="AQ261" s="8">
        <f>IF($O261="Aktif",MAX(0,MIN($AE261,$AD261-SUM($AG261:AP261))),0)</f>
        <v>262170.83333333302</v>
      </c>
      <c r="AR261" s="8">
        <f>IF($O261="Aktif",MAX(0,MIN($AE261,$AD261-SUM($AG261:AQ261))),0)</f>
        <v>262170.83333333302</v>
      </c>
      <c r="AS261" s="8">
        <f>IF($O261="Aktif",MAX(0,MIN($AE261,$AD261-SUM($AG261:AR261))),0)</f>
        <v>9.3132257461547852E-9</v>
      </c>
      <c r="AT261" s="8">
        <f>IF($O261="Aktif",MAX(0,MIN($AE261,$AD261-SUM($AG261:AS261))),0)</f>
        <v>0</v>
      </c>
      <c r="AU261" s="8">
        <f>IF($O261="Aktif",MAX(0,MIN($AE261,$AD261-SUM($AG261:AT261))),0)</f>
        <v>0</v>
      </c>
      <c r="AV261" s="8">
        <f>IF($O261="Aktif",MAX(0,MIN($AE261,$AD261-SUM($AG261:AU261))),0)</f>
        <v>0</v>
      </c>
      <c r="AW261" s="8">
        <f t="shared" si="26"/>
        <v>3146050.0000000056</v>
      </c>
      <c r="AX261" s="8">
        <f t="shared" si="27"/>
        <v>0</v>
      </c>
    </row>
    <row r="262" spans="1:50" ht="15" customHeight="1" x14ac:dyDescent="0.35">
      <c r="A262" s="102">
        <v>256</v>
      </c>
      <c r="B262" s="102" t="s">
        <v>586</v>
      </c>
      <c r="C262" s="103">
        <v>194</v>
      </c>
      <c r="D262" s="102" t="s">
        <v>184</v>
      </c>
      <c r="E262" s="102" t="s">
        <v>479</v>
      </c>
      <c r="F262" s="102" t="s">
        <v>947</v>
      </c>
      <c r="G262" s="102" t="s">
        <v>948</v>
      </c>
      <c r="H262" s="102" t="s">
        <v>949</v>
      </c>
      <c r="I262" s="102" t="s">
        <v>90</v>
      </c>
      <c r="J262" s="102"/>
      <c r="K262" s="102" t="s">
        <v>1088</v>
      </c>
      <c r="L262" s="104">
        <v>45216</v>
      </c>
      <c r="M262" s="102" t="s">
        <v>1089</v>
      </c>
      <c r="N262" s="102" t="s">
        <v>1090</v>
      </c>
      <c r="O262" s="102" t="s">
        <v>383</v>
      </c>
      <c r="P262" s="103">
        <v>2</v>
      </c>
      <c r="Q262" s="105">
        <v>31531532</v>
      </c>
      <c r="R262" s="103">
        <v>48</v>
      </c>
      <c r="S262" s="105">
        <v>656906.91666666698</v>
      </c>
      <c r="T262" s="105">
        <v>17736486.75</v>
      </c>
      <c r="U262" s="105">
        <v>656906.91666666698</v>
      </c>
      <c r="V262" s="105">
        <v>656906.91666666698</v>
      </c>
      <c r="W262" s="105">
        <v>656906.91666666698</v>
      </c>
      <c r="X262" s="105">
        <v>656906.91666666698</v>
      </c>
      <c r="Y262" s="105">
        <v>656906.91666666698</v>
      </c>
      <c r="Z262" s="105">
        <v>656906.91666666698</v>
      </c>
      <c r="AA262" s="105">
        <v>656906.91666666698</v>
      </c>
      <c r="AB262" s="105">
        <v>656906.91666666698</v>
      </c>
      <c r="AC262" s="8">
        <f t="shared" si="21"/>
        <v>22991742.083333336</v>
      </c>
      <c r="AD262" s="8">
        <f t="shared" si="22"/>
        <v>8539789.9166666642</v>
      </c>
      <c r="AE262" s="8">
        <f t="shared" si="23"/>
        <v>656906.91666666698</v>
      </c>
      <c r="AF262" s="106">
        <f t="shared" si="24"/>
        <v>12.999999999999989</v>
      </c>
      <c r="AG262" s="8">
        <f t="shared" si="25"/>
        <v>656906.91666666698</v>
      </c>
      <c r="AH262" s="8">
        <f>IF($O262="Aktif",MAX(0,MIN($AE262,$AD262-SUM($AG262:AG262))),0)</f>
        <v>656906.91666666698</v>
      </c>
      <c r="AI262" s="8">
        <f>IF($O262="Aktif",MAX(0,MIN($AE262,$AD262-SUM($AG262:AH262))),0)</f>
        <v>656906.91666666698</v>
      </c>
      <c r="AJ262" s="8">
        <f>IF($O262="Aktif",MAX(0,MIN($AE262,$AD262-SUM($AG262:AI262))),0)</f>
        <v>656906.91666666698</v>
      </c>
      <c r="AK262" s="8">
        <f>IF($O262="Aktif",MAX(0,MIN($AE262,$AD262-SUM($AG262:AJ262))),0)</f>
        <v>656906.91666666698</v>
      </c>
      <c r="AL262" s="8">
        <f>IF($O262="Aktif",MAX(0,MIN($AE262,$AD262-SUM($AG262:AK262))),0)</f>
        <v>656906.91666666698</v>
      </c>
      <c r="AM262" s="8">
        <f>IF($O262="Aktif",MAX(0,MIN($AE262,$AD262-SUM($AG262:AL262))),0)</f>
        <v>656906.91666666698</v>
      </c>
      <c r="AN262" s="8">
        <f>IF($O262="Aktif",MAX(0,MIN($AE262,$AD262-SUM($AG262:AM262))),0)</f>
        <v>656906.91666666698</v>
      </c>
      <c r="AO262" s="8">
        <f>IF($O262="Aktif",MAX(0,MIN($AE262,$AD262-SUM($AG262:AN262))),0)</f>
        <v>656906.91666666698</v>
      </c>
      <c r="AP262" s="8">
        <f>IF($O262="Aktif",MAX(0,MIN($AE262,$AD262-SUM($AG262:AO262))),0)</f>
        <v>656906.91666666698</v>
      </c>
      <c r="AQ262" s="8">
        <f>IF($O262="Aktif",MAX(0,MIN($AE262,$AD262-SUM($AG262:AP262))),0)</f>
        <v>656906.91666666698</v>
      </c>
      <c r="AR262" s="8">
        <f>IF($O262="Aktif",MAX(0,MIN($AE262,$AD262-SUM($AG262:AQ262))),0)</f>
        <v>656906.91666666698</v>
      </c>
      <c r="AS262" s="8">
        <f>IF($O262="Aktif",MAX(0,MIN($AE262,$AD262-SUM($AG262:AR262))),0)</f>
        <v>656906.91666666046</v>
      </c>
      <c r="AT262" s="8">
        <f>IF($O262="Aktif",MAX(0,MIN($AE262,$AD262-SUM($AG262:AS262))),0)</f>
        <v>0</v>
      </c>
      <c r="AU262" s="8">
        <f>IF($O262="Aktif",MAX(0,MIN($AE262,$AD262-SUM($AG262:AT262))),0)</f>
        <v>0</v>
      </c>
      <c r="AV262" s="8">
        <f>IF($O262="Aktif",MAX(0,MIN($AE262,$AD262-SUM($AG262:AU262))),0)</f>
        <v>0</v>
      </c>
      <c r="AW262" s="8">
        <f t="shared" si="26"/>
        <v>8539789.9166666642</v>
      </c>
      <c r="AX262" s="8">
        <f t="shared" si="27"/>
        <v>0</v>
      </c>
    </row>
    <row r="263" spans="1:50" ht="15" customHeight="1" x14ac:dyDescent="0.35">
      <c r="A263" s="102">
        <v>257</v>
      </c>
      <c r="B263" s="102" t="s">
        <v>586</v>
      </c>
      <c r="C263" s="103">
        <v>195</v>
      </c>
      <c r="D263" s="102" t="s">
        <v>184</v>
      </c>
      <c r="E263" s="102" t="s">
        <v>479</v>
      </c>
      <c r="F263" s="102" t="s">
        <v>947</v>
      </c>
      <c r="G263" s="102" t="s">
        <v>948</v>
      </c>
      <c r="H263" s="102" t="s">
        <v>949</v>
      </c>
      <c r="I263" s="102" t="s">
        <v>90</v>
      </c>
      <c r="J263" s="102"/>
      <c r="K263" s="102" t="s">
        <v>1091</v>
      </c>
      <c r="L263" s="104">
        <v>45219</v>
      </c>
      <c r="M263" s="102" t="s">
        <v>1092</v>
      </c>
      <c r="N263" s="102" t="s">
        <v>1093</v>
      </c>
      <c r="O263" s="102" t="s">
        <v>383</v>
      </c>
      <c r="P263" s="103">
        <v>1</v>
      </c>
      <c r="Q263" s="105">
        <v>10585000</v>
      </c>
      <c r="R263" s="103">
        <v>48</v>
      </c>
      <c r="S263" s="105">
        <v>220520.83333333299</v>
      </c>
      <c r="T263" s="105">
        <v>5954062.5</v>
      </c>
      <c r="U263" s="105">
        <v>220520.83333333299</v>
      </c>
      <c r="V263" s="105">
        <v>220520.83333333299</v>
      </c>
      <c r="W263" s="105">
        <v>220520.83333333299</v>
      </c>
      <c r="X263" s="105">
        <v>220520.83333333299</v>
      </c>
      <c r="Y263" s="105">
        <v>220520.83333333299</v>
      </c>
      <c r="Z263" s="105">
        <v>220520.83333333299</v>
      </c>
      <c r="AA263" s="105">
        <v>220520.83333333299</v>
      </c>
      <c r="AB263" s="105">
        <v>220520.83333333299</v>
      </c>
      <c r="AC263" s="8">
        <f t="shared" ref="AC263:AC326" si="28">T263+SUM(U263:AB263)</f>
        <v>7718229.1666666642</v>
      </c>
      <c r="AD263" s="8">
        <f t="shared" ref="AD263:AD326" si="29">Q263-AC263</f>
        <v>2866770.8333333358</v>
      </c>
      <c r="AE263" s="8">
        <f t="shared" ref="AE263:AE326" si="30">IF(O263="Aktif",AB263,0)</f>
        <v>220520.83333333299</v>
      </c>
      <c r="AF263" s="106">
        <f t="shared" ref="AF263:AF326" si="31">IF(AE263&gt;0,MAX(0,AD263)/AE263,0)</f>
        <v>13.000000000000032</v>
      </c>
      <c r="AG263" s="8">
        <f t="shared" ref="AG263:AG326" si="32">IF($O263="Aktif",MAX(0,MIN($AE263,$AD263-0)),0)</f>
        <v>220520.83333333299</v>
      </c>
      <c r="AH263" s="8">
        <f>IF($O263="Aktif",MAX(0,MIN($AE263,$AD263-SUM($AG263:AG263))),0)</f>
        <v>220520.83333333299</v>
      </c>
      <c r="AI263" s="8">
        <f>IF($O263="Aktif",MAX(0,MIN($AE263,$AD263-SUM($AG263:AH263))),0)</f>
        <v>220520.83333333299</v>
      </c>
      <c r="AJ263" s="8">
        <f>IF($O263="Aktif",MAX(0,MIN($AE263,$AD263-SUM($AG263:AI263))),0)</f>
        <v>220520.83333333299</v>
      </c>
      <c r="AK263" s="8">
        <f>IF($O263="Aktif",MAX(0,MIN($AE263,$AD263-SUM($AG263:AJ263))),0)</f>
        <v>220520.83333333299</v>
      </c>
      <c r="AL263" s="8">
        <f>IF($O263="Aktif",MAX(0,MIN($AE263,$AD263-SUM($AG263:AK263))),0)</f>
        <v>220520.83333333299</v>
      </c>
      <c r="AM263" s="8">
        <f>IF($O263="Aktif",MAX(0,MIN($AE263,$AD263-SUM($AG263:AL263))),0)</f>
        <v>220520.83333333299</v>
      </c>
      <c r="AN263" s="8">
        <f>IF($O263="Aktif",MAX(0,MIN($AE263,$AD263-SUM($AG263:AM263))),0)</f>
        <v>220520.83333333299</v>
      </c>
      <c r="AO263" s="8">
        <f>IF($O263="Aktif",MAX(0,MIN($AE263,$AD263-SUM($AG263:AN263))),0)</f>
        <v>220520.83333333299</v>
      </c>
      <c r="AP263" s="8">
        <f>IF($O263="Aktif",MAX(0,MIN($AE263,$AD263-SUM($AG263:AO263))),0)</f>
        <v>220520.83333333299</v>
      </c>
      <c r="AQ263" s="8">
        <f>IF($O263="Aktif",MAX(0,MIN($AE263,$AD263-SUM($AG263:AP263))),0)</f>
        <v>220520.83333333299</v>
      </c>
      <c r="AR263" s="8">
        <f>IF($O263="Aktif",MAX(0,MIN($AE263,$AD263-SUM($AG263:AQ263))),0)</f>
        <v>220520.83333333299</v>
      </c>
      <c r="AS263" s="8">
        <f>IF($O263="Aktif",MAX(0,MIN($AE263,$AD263-SUM($AG263:AR263))),0)</f>
        <v>220520.83333333299</v>
      </c>
      <c r="AT263" s="8">
        <f>IF($O263="Aktif",MAX(0,MIN($AE263,$AD263-SUM($AG263:AS263))),0)</f>
        <v>6.9849193096160889E-9</v>
      </c>
      <c r="AU263" s="8">
        <f>IF($O263="Aktif",MAX(0,MIN($AE263,$AD263-SUM($AG263:AT263))),0)</f>
        <v>0</v>
      </c>
      <c r="AV263" s="8">
        <f>IF($O263="Aktif",MAX(0,MIN($AE263,$AD263-SUM($AG263:AU263))),0)</f>
        <v>0</v>
      </c>
      <c r="AW263" s="8">
        <f t="shared" ref="AW263:AW326" si="33">SUM(AG263:AV263)</f>
        <v>2866770.8333333358</v>
      </c>
      <c r="AX263" s="8">
        <f t="shared" ref="AX263:AX326" si="34">AD263-AW263</f>
        <v>0</v>
      </c>
    </row>
    <row r="264" spans="1:50" ht="15" customHeight="1" x14ac:dyDescent="0.35">
      <c r="A264" s="102">
        <v>258</v>
      </c>
      <c r="B264" s="102" t="s">
        <v>586</v>
      </c>
      <c r="C264" s="103">
        <v>196</v>
      </c>
      <c r="D264" s="102" t="s">
        <v>184</v>
      </c>
      <c r="E264" s="102" t="s">
        <v>479</v>
      </c>
      <c r="F264" s="102" t="s">
        <v>947</v>
      </c>
      <c r="G264" s="102" t="s">
        <v>948</v>
      </c>
      <c r="H264" s="102" t="s">
        <v>949</v>
      </c>
      <c r="I264" s="102" t="s">
        <v>90</v>
      </c>
      <c r="J264" s="102"/>
      <c r="K264" s="102" t="s">
        <v>1094</v>
      </c>
      <c r="L264" s="104">
        <v>45224</v>
      </c>
      <c r="M264" s="102" t="s">
        <v>1095</v>
      </c>
      <c r="N264" s="102" t="s">
        <v>1096</v>
      </c>
      <c r="O264" s="102" t="s">
        <v>383</v>
      </c>
      <c r="P264" s="103">
        <v>1</v>
      </c>
      <c r="Q264" s="105">
        <v>6171171</v>
      </c>
      <c r="R264" s="103">
        <v>48</v>
      </c>
      <c r="S264" s="105">
        <v>128566.0625</v>
      </c>
      <c r="T264" s="105">
        <v>3471283.6875</v>
      </c>
      <c r="U264" s="105">
        <v>128566.0625</v>
      </c>
      <c r="V264" s="105">
        <v>128566.0625</v>
      </c>
      <c r="W264" s="105">
        <v>128566.0625</v>
      </c>
      <c r="X264" s="105">
        <v>128566.0625</v>
      </c>
      <c r="Y264" s="105">
        <v>128566.0625</v>
      </c>
      <c r="Z264" s="105">
        <v>128566.0625</v>
      </c>
      <c r="AA264" s="105">
        <v>128566.0625</v>
      </c>
      <c r="AB264" s="105">
        <v>128566.0625</v>
      </c>
      <c r="AC264" s="8">
        <f t="shared" si="28"/>
        <v>4499812.1875</v>
      </c>
      <c r="AD264" s="8">
        <f t="shared" si="29"/>
        <v>1671358.8125</v>
      </c>
      <c r="AE264" s="8">
        <f t="shared" si="30"/>
        <v>128566.0625</v>
      </c>
      <c r="AF264" s="106">
        <f t="shared" si="31"/>
        <v>13</v>
      </c>
      <c r="AG264" s="8">
        <f t="shared" si="32"/>
        <v>128566.0625</v>
      </c>
      <c r="AH264" s="8">
        <f>IF($O264="Aktif",MAX(0,MIN($AE264,$AD264-SUM($AG264:AG264))),0)</f>
        <v>128566.0625</v>
      </c>
      <c r="AI264" s="8">
        <f>IF($O264="Aktif",MAX(0,MIN($AE264,$AD264-SUM($AG264:AH264))),0)</f>
        <v>128566.0625</v>
      </c>
      <c r="AJ264" s="8">
        <f>IF($O264="Aktif",MAX(0,MIN($AE264,$AD264-SUM($AG264:AI264))),0)</f>
        <v>128566.0625</v>
      </c>
      <c r="AK264" s="8">
        <f>IF($O264="Aktif",MAX(0,MIN($AE264,$AD264-SUM($AG264:AJ264))),0)</f>
        <v>128566.0625</v>
      </c>
      <c r="AL264" s="8">
        <f>IF($O264="Aktif",MAX(0,MIN($AE264,$AD264-SUM($AG264:AK264))),0)</f>
        <v>128566.0625</v>
      </c>
      <c r="AM264" s="8">
        <f>IF($O264="Aktif",MAX(0,MIN($AE264,$AD264-SUM($AG264:AL264))),0)</f>
        <v>128566.0625</v>
      </c>
      <c r="AN264" s="8">
        <f>IF($O264="Aktif",MAX(0,MIN($AE264,$AD264-SUM($AG264:AM264))),0)</f>
        <v>128566.0625</v>
      </c>
      <c r="AO264" s="8">
        <f>IF($O264="Aktif",MAX(0,MIN($AE264,$AD264-SUM($AG264:AN264))),0)</f>
        <v>128566.0625</v>
      </c>
      <c r="AP264" s="8">
        <f>IF($O264="Aktif",MAX(0,MIN($AE264,$AD264-SUM($AG264:AO264))),0)</f>
        <v>128566.0625</v>
      </c>
      <c r="AQ264" s="8">
        <f>IF($O264="Aktif",MAX(0,MIN($AE264,$AD264-SUM($AG264:AP264))),0)</f>
        <v>128566.0625</v>
      </c>
      <c r="AR264" s="8">
        <f>IF($O264="Aktif",MAX(0,MIN($AE264,$AD264-SUM($AG264:AQ264))),0)</f>
        <v>128566.0625</v>
      </c>
      <c r="AS264" s="8">
        <f>IF($O264="Aktif",MAX(0,MIN($AE264,$AD264-SUM($AG264:AR264))),0)</f>
        <v>128566.0625</v>
      </c>
      <c r="AT264" s="8">
        <f>IF($O264="Aktif",MAX(0,MIN($AE264,$AD264-SUM($AG264:AS264))),0)</f>
        <v>0</v>
      </c>
      <c r="AU264" s="8">
        <f>IF($O264="Aktif",MAX(0,MIN($AE264,$AD264-SUM($AG264:AT264))),0)</f>
        <v>0</v>
      </c>
      <c r="AV264" s="8">
        <f>IF($O264="Aktif",MAX(0,MIN($AE264,$AD264-SUM($AG264:AU264))),0)</f>
        <v>0</v>
      </c>
      <c r="AW264" s="8">
        <f t="shared" si="33"/>
        <v>1671358.8125</v>
      </c>
      <c r="AX264" s="8">
        <f t="shared" si="34"/>
        <v>0</v>
      </c>
    </row>
    <row r="265" spans="1:50" ht="15" customHeight="1" x14ac:dyDescent="0.35">
      <c r="A265" s="102">
        <v>259</v>
      </c>
      <c r="B265" s="102" t="s">
        <v>586</v>
      </c>
      <c r="C265" s="103">
        <v>197</v>
      </c>
      <c r="D265" s="102" t="s">
        <v>184</v>
      </c>
      <c r="E265" s="102" t="s">
        <v>479</v>
      </c>
      <c r="F265" s="102" t="s">
        <v>947</v>
      </c>
      <c r="G265" s="102" t="s">
        <v>948</v>
      </c>
      <c r="H265" s="102" t="s">
        <v>949</v>
      </c>
      <c r="I265" s="102" t="s">
        <v>90</v>
      </c>
      <c r="J265" s="102"/>
      <c r="K265" s="102" t="s">
        <v>1097</v>
      </c>
      <c r="L265" s="104">
        <v>45244</v>
      </c>
      <c r="M265" s="102" t="s">
        <v>1098</v>
      </c>
      <c r="N265" s="102" t="s">
        <v>1099</v>
      </c>
      <c r="O265" s="102" t="s">
        <v>383</v>
      </c>
      <c r="P265" s="103">
        <v>1</v>
      </c>
      <c r="Q265" s="105">
        <v>2481981.98</v>
      </c>
      <c r="R265" s="103">
        <v>48</v>
      </c>
      <c r="S265" s="105">
        <v>51707.957916666703</v>
      </c>
      <c r="T265" s="105">
        <v>1344406.90583333</v>
      </c>
      <c r="U265" s="105">
        <v>51707.957916666703</v>
      </c>
      <c r="V265" s="105">
        <v>51707.957916666703</v>
      </c>
      <c r="W265" s="105">
        <v>51707.957916666703</v>
      </c>
      <c r="X265" s="105">
        <v>51707.957916666703</v>
      </c>
      <c r="Y265" s="105">
        <v>51707.957916666703</v>
      </c>
      <c r="Z265" s="105">
        <v>51707.957916666703</v>
      </c>
      <c r="AA265" s="105">
        <v>51707.957916666703</v>
      </c>
      <c r="AB265" s="105">
        <v>51707.957916666703</v>
      </c>
      <c r="AC265" s="8">
        <f t="shared" si="28"/>
        <v>1758070.5691666636</v>
      </c>
      <c r="AD265" s="8">
        <f t="shared" si="29"/>
        <v>723911.41083333641</v>
      </c>
      <c r="AE265" s="8">
        <f t="shared" si="30"/>
        <v>51707.957916666703</v>
      </c>
      <c r="AF265" s="106">
        <f t="shared" si="31"/>
        <v>14.00000000000005</v>
      </c>
      <c r="AG265" s="8">
        <f t="shared" si="32"/>
        <v>51707.957916666703</v>
      </c>
      <c r="AH265" s="8">
        <f>IF($O265="Aktif",MAX(0,MIN($AE265,$AD265-SUM($AG265:AG265))),0)</f>
        <v>51707.957916666703</v>
      </c>
      <c r="AI265" s="8">
        <f>IF($O265="Aktif",MAX(0,MIN($AE265,$AD265-SUM($AG265:AH265))),0)</f>
        <v>51707.957916666703</v>
      </c>
      <c r="AJ265" s="8">
        <f>IF($O265="Aktif",MAX(0,MIN($AE265,$AD265-SUM($AG265:AI265))),0)</f>
        <v>51707.957916666703</v>
      </c>
      <c r="AK265" s="8">
        <f>IF($O265="Aktif",MAX(0,MIN($AE265,$AD265-SUM($AG265:AJ265))),0)</f>
        <v>51707.957916666703</v>
      </c>
      <c r="AL265" s="8">
        <f>IF($O265="Aktif",MAX(0,MIN($AE265,$AD265-SUM($AG265:AK265))),0)</f>
        <v>51707.957916666703</v>
      </c>
      <c r="AM265" s="8">
        <f>IF($O265="Aktif",MAX(0,MIN($AE265,$AD265-SUM($AG265:AL265))),0)</f>
        <v>51707.957916666703</v>
      </c>
      <c r="AN265" s="8">
        <f>IF($O265="Aktif",MAX(0,MIN($AE265,$AD265-SUM($AG265:AM265))),0)</f>
        <v>51707.957916666703</v>
      </c>
      <c r="AO265" s="8">
        <f>IF($O265="Aktif",MAX(0,MIN($AE265,$AD265-SUM($AG265:AN265))),0)</f>
        <v>51707.957916666703</v>
      </c>
      <c r="AP265" s="8">
        <f>IF($O265="Aktif",MAX(0,MIN($AE265,$AD265-SUM($AG265:AO265))),0)</f>
        <v>51707.957916666703</v>
      </c>
      <c r="AQ265" s="8">
        <f>IF($O265="Aktif",MAX(0,MIN($AE265,$AD265-SUM($AG265:AP265))),0)</f>
        <v>51707.957916666703</v>
      </c>
      <c r="AR265" s="8">
        <f>IF($O265="Aktif",MAX(0,MIN($AE265,$AD265-SUM($AG265:AQ265))),0)</f>
        <v>51707.957916666703</v>
      </c>
      <c r="AS265" s="8">
        <f>IF($O265="Aktif",MAX(0,MIN($AE265,$AD265-SUM($AG265:AR265))),0)</f>
        <v>51707.957916666703</v>
      </c>
      <c r="AT265" s="8">
        <f>IF($O265="Aktif",MAX(0,MIN($AE265,$AD265-SUM($AG265:AS265))),0)</f>
        <v>51707.957916666703</v>
      </c>
      <c r="AU265" s="8">
        <f>IF($O265="Aktif",MAX(0,MIN($AE265,$AD265-SUM($AG265:AT265))),0)</f>
        <v>2.4447217583656311E-9</v>
      </c>
      <c r="AV265" s="8">
        <f>IF($O265="Aktif",MAX(0,MIN($AE265,$AD265-SUM($AG265:AU265))),0)</f>
        <v>0</v>
      </c>
      <c r="AW265" s="8">
        <f t="shared" si="33"/>
        <v>723911.41083333641</v>
      </c>
      <c r="AX265" s="8">
        <f t="shared" si="34"/>
        <v>0</v>
      </c>
    </row>
    <row r="266" spans="1:50" ht="15" customHeight="1" x14ac:dyDescent="0.35">
      <c r="A266" s="102">
        <v>260</v>
      </c>
      <c r="B266" s="102" t="s">
        <v>586</v>
      </c>
      <c r="C266" s="103">
        <v>198</v>
      </c>
      <c r="D266" s="102" t="s">
        <v>184</v>
      </c>
      <c r="E266" s="102" t="s">
        <v>479</v>
      </c>
      <c r="F266" s="102" t="s">
        <v>947</v>
      </c>
      <c r="G266" s="102" t="s">
        <v>948</v>
      </c>
      <c r="H266" s="102" t="s">
        <v>949</v>
      </c>
      <c r="I266" s="102" t="s">
        <v>90</v>
      </c>
      <c r="J266" s="102"/>
      <c r="K266" s="102" t="s">
        <v>1100</v>
      </c>
      <c r="L266" s="104">
        <v>45252</v>
      </c>
      <c r="M266" s="102" t="s">
        <v>1101</v>
      </c>
      <c r="N266" s="102" t="s">
        <v>1102</v>
      </c>
      <c r="O266" s="102" t="s">
        <v>383</v>
      </c>
      <c r="P266" s="103">
        <v>1</v>
      </c>
      <c r="Q266" s="105">
        <v>2432432</v>
      </c>
      <c r="R266" s="103">
        <v>48</v>
      </c>
      <c r="S266" s="105">
        <v>50675.666666666701</v>
      </c>
      <c r="T266" s="105">
        <v>1317567.33333333</v>
      </c>
      <c r="U266" s="105">
        <v>50675.666666666701</v>
      </c>
      <c r="V266" s="105">
        <v>50675.666666666701</v>
      </c>
      <c r="W266" s="105">
        <v>50675.666666666701</v>
      </c>
      <c r="X266" s="105">
        <v>50675.666666666701</v>
      </c>
      <c r="Y266" s="105">
        <v>50675.666666666701</v>
      </c>
      <c r="Z266" s="105">
        <v>50675.666666666701</v>
      </c>
      <c r="AA266" s="105">
        <v>50675.666666666701</v>
      </c>
      <c r="AB266" s="105">
        <v>50675.666666666701</v>
      </c>
      <c r="AC266" s="8">
        <f t="shared" si="28"/>
        <v>1722972.6666666635</v>
      </c>
      <c r="AD266" s="8">
        <f t="shared" si="29"/>
        <v>709459.33333333652</v>
      </c>
      <c r="AE266" s="8">
        <f t="shared" si="30"/>
        <v>50675.666666666701</v>
      </c>
      <c r="AF266" s="106">
        <f t="shared" si="31"/>
        <v>14.000000000000053</v>
      </c>
      <c r="AG266" s="8">
        <f t="shared" si="32"/>
        <v>50675.666666666701</v>
      </c>
      <c r="AH266" s="8">
        <f>IF($O266="Aktif",MAX(0,MIN($AE266,$AD266-SUM($AG266:AG266))),0)</f>
        <v>50675.666666666701</v>
      </c>
      <c r="AI266" s="8">
        <f>IF($O266="Aktif",MAX(0,MIN($AE266,$AD266-SUM($AG266:AH266))),0)</f>
        <v>50675.666666666701</v>
      </c>
      <c r="AJ266" s="8">
        <f>IF($O266="Aktif",MAX(0,MIN($AE266,$AD266-SUM($AG266:AI266))),0)</f>
        <v>50675.666666666701</v>
      </c>
      <c r="AK266" s="8">
        <f>IF($O266="Aktif",MAX(0,MIN($AE266,$AD266-SUM($AG266:AJ266))),0)</f>
        <v>50675.666666666701</v>
      </c>
      <c r="AL266" s="8">
        <f>IF($O266="Aktif",MAX(0,MIN($AE266,$AD266-SUM($AG266:AK266))),0)</f>
        <v>50675.666666666701</v>
      </c>
      <c r="AM266" s="8">
        <f>IF($O266="Aktif",MAX(0,MIN($AE266,$AD266-SUM($AG266:AL266))),0)</f>
        <v>50675.666666666701</v>
      </c>
      <c r="AN266" s="8">
        <f>IF($O266="Aktif",MAX(0,MIN($AE266,$AD266-SUM($AG266:AM266))),0)</f>
        <v>50675.666666666701</v>
      </c>
      <c r="AO266" s="8">
        <f>IF($O266="Aktif",MAX(0,MIN($AE266,$AD266-SUM($AG266:AN266))),0)</f>
        <v>50675.666666666701</v>
      </c>
      <c r="AP266" s="8">
        <f>IF($O266="Aktif",MAX(0,MIN($AE266,$AD266-SUM($AG266:AO266))),0)</f>
        <v>50675.666666666701</v>
      </c>
      <c r="AQ266" s="8">
        <f>IF($O266="Aktif",MAX(0,MIN($AE266,$AD266-SUM($AG266:AP266))),0)</f>
        <v>50675.666666666701</v>
      </c>
      <c r="AR266" s="8">
        <f>IF($O266="Aktif",MAX(0,MIN($AE266,$AD266-SUM($AG266:AQ266))),0)</f>
        <v>50675.666666666701</v>
      </c>
      <c r="AS266" s="8">
        <f>IF($O266="Aktif",MAX(0,MIN($AE266,$AD266-SUM($AG266:AR266))),0)</f>
        <v>50675.666666666701</v>
      </c>
      <c r="AT266" s="8">
        <f>IF($O266="Aktif",MAX(0,MIN($AE266,$AD266-SUM($AG266:AS266))),0)</f>
        <v>50675.666666666701</v>
      </c>
      <c r="AU266" s="8">
        <f>IF($O266="Aktif",MAX(0,MIN($AE266,$AD266-SUM($AG266:AT266))),0)</f>
        <v>2.6775524020195007E-9</v>
      </c>
      <c r="AV266" s="8">
        <f>IF($O266="Aktif",MAX(0,MIN($AE266,$AD266-SUM($AG266:AU266))),0)</f>
        <v>0</v>
      </c>
      <c r="AW266" s="8">
        <f t="shared" si="33"/>
        <v>709459.33333333652</v>
      </c>
      <c r="AX266" s="8">
        <f t="shared" si="34"/>
        <v>0</v>
      </c>
    </row>
    <row r="267" spans="1:50" ht="15" customHeight="1" x14ac:dyDescent="0.35">
      <c r="A267" s="102">
        <v>261</v>
      </c>
      <c r="B267" s="102" t="s">
        <v>586</v>
      </c>
      <c r="C267" s="103">
        <v>199</v>
      </c>
      <c r="D267" s="102" t="s">
        <v>184</v>
      </c>
      <c r="E267" s="102" t="s">
        <v>479</v>
      </c>
      <c r="F267" s="102" t="s">
        <v>947</v>
      </c>
      <c r="G267" s="102" t="s">
        <v>948</v>
      </c>
      <c r="H267" s="102" t="s">
        <v>949</v>
      </c>
      <c r="I267" s="102" t="s">
        <v>90</v>
      </c>
      <c r="J267" s="102"/>
      <c r="K267" s="102" t="s">
        <v>1103</v>
      </c>
      <c r="L267" s="104">
        <v>45306</v>
      </c>
      <c r="M267" s="102" t="s">
        <v>1104</v>
      </c>
      <c r="N267" s="102" t="s">
        <v>1104</v>
      </c>
      <c r="O267" s="102" t="s">
        <v>383</v>
      </c>
      <c r="P267" s="103">
        <v>1</v>
      </c>
      <c r="Q267" s="105">
        <v>1576577</v>
      </c>
      <c r="R267" s="103">
        <v>48</v>
      </c>
      <c r="S267" s="105">
        <v>32845.354166666701</v>
      </c>
      <c r="T267" s="105">
        <v>788288.5</v>
      </c>
      <c r="U267" s="105">
        <v>32845.354166666701</v>
      </c>
      <c r="V267" s="105">
        <v>32845.354166666701</v>
      </c>
      <c r="W267" s="105">
        <v>32845.354166666701</v>
      </c>
      <c r="X267" s="105">
        <v>32845.354166666701</v>
      </c>
      <c r="Y267" s="105">
        <v>32845.354166666701</v>
      </c>
      <c r="Z267" s="105">
        <v>32845.354166666701</v>
      </c>
      <c r="AA267" s="105">
        <v>32845.354166666701</v>
      </c>
      <c r="AB267" s="105">
        <v>32845.354166666701</v>
      </c>
      <c r="AC267" s="8">
        <f t="shared" si="28"/>
        <v>1051051.3333333335</v>
      </c>
      <c r="AD267" s="8">
        <f t="shared" si="29"/>
        <v>525525.66666666651</v>
      </c>
      <c r="AE267" s="8">
        <f t="shared" si="30"/>
        <v>32845.354166666701</v>
      </c>
      <c r="AF267" s="106">
        <f t="shared" si="31"/>
        <v>15.999999999999979</v>
      </c>
      <c r="AG267" s="8">
        <f t="shared" si="32"/>
        <v>32845.354166666701</v>
      </c>
      <c r="AH267" s="8">
        <f>IF($O267="Aktif",MAX(0,MIN($AE267,$AD267-SUM($AG267:AG267))),0)</f>
        <v>32845.354166666701</v>
      </c>
      <c r="AI267" s="8">
        <f>IF($O267="Aktif",MAX(0,MIN($AE267,$AD267-SUM($AG267:AH267))),0)</f>
        <v>32845.354166666701</v>
      </c>
      <c r="AJ267" s="8">
        <f>IF($O267="Aktif",MAX(0,MIN($AE267,$AD267-SUM($AG267:AI267))),0)</f>
        <v>32845.354166666701</v>
      </c>
      <c r="AK267" s="8">
        <f>IF($O267="Aktif",MAX(0,MIN($AE267,$AD267-SUM($AG267:AJ267))),0)</f>
        <v>32845.354166666701</v>
      </c>
      <c r="AL267" s="8">
        <f>IF($O267="Aktif",MAX(0,MIN($AE267,$AD267-SUM($AG267:AK267))),0)</f>
        <v>32845.354166666701</v>
      </c>
      <c r="AM267" s="8">
        <f>IF($O267="Aktif",MAX(0,MIN($AE267,$AD267-SUM($AG267:AL267))),0)</f>
        <v>32845.354166666701</v>
      </c>
      <c r="AN267" s="8">
        <f>IF($O267="Aktif",MAX(0,MIN($AE267,$AD267-SUM($AG267:AM267))),0)</f>
        <v>32845.354166666701</v>
      </c>
      <c r="AO267" s="8">
        <f>IF($O267="Aktif",MAX(0,MIN($AE267,$AD267-SUM($AG267:AN267))),0)</f>
        <v>32845.354166666701</v>
      </c>
      <c r="AP267" s="8">
        <f>IF($O267="Aktif",MAX(0,MIN($AE267,$AD267-SUM($AG267:AO267))),0)</f>
        <v>32845.354166666701</v>
      </c>
      <c r="AQ267" s="8">
        <f>IF($O267="Aktif",MAX(0,MIN($AE267,$AD267-SUM($AG267:AP267))),0)</f>
        <v>32845.354166666701</v>
      </c>
      <c r="AR267" s="8">
        <f>IF($O267="Aktif",MAX(0,MIN($AE267,$AD267-SUM($AG267:AQ267))),0)</f>
        <v>32845.354166666701</v>
      </c>
      <c r="AS267" s="8">
        <f>IF($O267="Aktif",MAX(0,MIN($AE267,$AD267-SUM($AG267:AR267))),0)</f>
        <v>32845.354166666701</v>
      </c>
      <c r="AT267" s="8">
        <f>IF($O267="Aktif",MAX(0,MIN($AE267,$AD267-SUM($AG267:AS267))),0)</f>
        <v>32845.354166666701</v>
      </c>
      <c r="AU267" s="8">
        <f>IF($O267="Aktif",MAX(0,MIN($AE267,$AD267-SUM($AG267:AT267))),0)</f>
        <v>32845.354166666701</v>
      </c>
      <c r="AV267" s="8">
        <f>IF($O267="Aktif",MAX(0,MIN($AE267,$AD267-SUM($AG267:AU267))),0)</f>
        <v>32845.354166666162</v>
      </c>
      <c r="AW267" s="8">
        <f t="shared" si="33"/>
        <v>525525.66666666651</v>
      </c>
      <c r="AX267" s="8">
        <f t="shared" si="34"/>
        <v>0</v>
      </c>
    </row>
    <row r="268" spans="1:50" ht="15" customHeight="1" x14ac:dyDescent="0.35">
      <c r="A268" s="102">
        <v>262</v>
      </c>
      <c r="B268" s="102" t="s">
        <v>586</v>
      </c>
      <c r="C268" s="103">
        <v>200</v>
      </c>
      <c r="D268" s="102" t="s">
        <v>184</v>
      </c>
      <c r="E268" s="102" t="s">
        <v>479</v>
      </c>
      <c r="F268" s="102" t="s">
        <v>947</v>
      </c>
      <c r="G268" s="102" t="s">
        <v>948</v>
      </c>
      <c r="H268" s="102" t="s">
        <v>949</v>
      </c>
      <c r="I268" s="102" t="s">
        <v>90</v>
      </c>
      <c r="J268" s="102"/>
      <c r="K268" s="102" t="s">
        <v>1105</v>
      </c>
      <c r="L268" s="104">
        <v>45306</v>
      </c>
      <c r="M268" s="102" t="s">
        <v>1106</v>
      </c>
      <c r="N268" s="102" t="s">
        <v>1106</v>
      </c>
      <c r="O268" s="102" t="s">
        <v>383</v>
      </c>
      <c r="P268" s="103">
        <v>1</v>
      </c>
      <c r="Q268" s="105">
        <v>2837748</v>
      </c>
      <c r="R268" s="103">
        <v>48</v>
      </c>
      <c r="S268" s="105">
        <v>59119.75</v>
      </c>
      <c r="T268" s="105">
        <v>1418874</v>
      </c>
      <c r="U268" s="105">
        <v>59119.75</v>
      </c>
      <c r="V268" s="105">
        <v>59119.75</v>
      </c>
      <c r="W268" s="105">
        <v>59119.75</v>
      </c>
      <c r="X268" s="105">
        <v>59119.75</v>
      </c>
      <c r="Y268" s="105">
        <v>59119.75</v>
      </c>
      <c r="Z268" s="105">
        <v>59119.75</v>
      </c>
      <c r="AA268" s="105">
        <v>59119.75</v>
      </c>
      <c r="AB268" s="105">
        <v>59119.75</v>
      </c>
      <c r="AC268" s="8">
        <f t="shared" si="28"/>
        <v>1891832</v>
      </c>
      <c r="AD268" s="8">
        <f t="shared" si="29"/>
        <v>945916</v>
      </c>
      <c r="AE268" s="8">
        <f t="shared" si="30"/>
        <v>59119.75</v>
      </c>
      <c r="AF268" s="106">
        <f t="shared" si="31"/>
        <v>16</v>
      </c>
      <c r="AG268" s="8">
        <f t="shared" si="32"/>
        <v>59119.75</v>
      </c>
      <c r="AH268" s="8">
        <f>IF($O268="Aktif",MAX(0,MIN($AE268,$AD268-SUM($AG268:AG268))),0)</f>
        <v>59119.75</v>
      </c>
      <c r="AI268" s="8">
        <f>IF($O268="Aktif",MAX(0,MIN($AE268,$AD268-SUM($AG268:AH268))),0)</f>
        <v>59119.75</v>
      </c>
      <c r="AJ268" s="8">
        <f>IF($O268="Aktif",MAX(0,MIN($AE268,$AD268-SUM($AG268:AI268))),0)</f>
        <v>59119.75</v>
      </c>
      <c r="AK268" s="8">
        <f>IF($O268="Aktif",MAX(0,MIN($AE268,$AD268-SUM($AG268:AJ268))),0)</f>
        <v>59119.75</v>
      </c>
      <c r="AL268" s="8">
        <f>IF($O268="Aktif",MAX(0,MIN($AE268,$AD268-SUM($AG268:AK268))),0)</f>
        <v>59119.75</v>
      </c>
      <c r="AM268" s="8">
        <f>IF($O268="Aktif",MAX(0,MIN($AE268,$AD268-SUM($AG268:AL268))),0)</f>
        <v>59119.75</v>
      </c>
      <c r="AN268" s="8">
        <f>IF($O268="Aktif",MAX(0,MIN($AE268,$AD268-SUM($AG268:AM268))),0)</f>
        <v>59119.75</v>
      </c>
      <c r="AO268" s="8">
        <f>IF($O268="Aktif",MAX(0,MIN($AE268,$AD268-SUM($AG268:AN268))),0)</f>
        <v>59119.75</v>
      </c>
      <c r="AP268" s="8">
        <f>IF($O268="Aktif",MAX(0,MIN($AE268,$AD268-SUM($AG268:AO268))),0)</f>
        <v>59119.75</v>
      </c>
      <c r="AQ268" s="8">
        <f>IF($O268="Aktif",MAX(0,MIN($AE268,$AD268-SUM($AG268:AP268))),0)</f>
        <v>59119.75</v>
      </c>
      <c r="AR268" s="8">
        <f>IF($O268="Aktif",MAX(0,MIN($AE268,$AD268-SUM($AG268:AQ268))),0)</f>
        <v>59119.75</v>
      </c>
      <c r="AS268" s="8">
        <f>IF($O268="Aktif",MAX(0,MIN($AE268,$AD268-SUM($AG268:AR268))),0)</f>
        <v>59119.75</v>
      </c>
      <c r="AT268" s="8">
        <f>IF($O268="Aktif",MAX(0,MIN($AE268,$AD268-SUM($AG268:AS268))),0)</f>
        <v>59119.75</v>
      </c>
      <c r="AU268" s="8">
        <f>IF($O268="Aktif",MAX(0,MIN($AE268,$AD268-SUM($AG268:AT268))),0)</f>
        <v>59119.75</v>
      </c>
      <c r="AV268" s="8">
        <f>IF($O268="Aktif",MAX(0,MIN($AE268,$AD268-SUM($AG268:AU268))),0)</f>
        <v>59119.75</v>
      </c>
      <c r="AW268" s="8">
        <f t="shared" si="33"/>
        <v>945916</v>
      </c>
      <c r="AX268" s="8">
        <f t="shared" si="34"/>
        <v>0</v>
      </c>
    </row>
    <row r="269" spans="1:50" ht="15" customHeight="1" x14ac:dyDescent="0.35">
      <c r="A269" s="102">
        <v>263</v>
      </c>
      <c r="B269" s="102" t="s">
        <v>586</v>
      </c>
      <c r="C269" s="103">
        <v>201</v>
      </c>
      <c r="D269" s="102" t="s">
        <v>184</v>
      </c>
      <c r="E269" s="102" t="s">
        <v>479</v>
      </c>
      <c r="F269" s="102" t="s">
        <v>947</v>
      </c>
      <c r="G269" s="102" t="s">
        <v>948</v>
      </c>
      <c r="H269" s="102" t="s">
        <v>949</v>
      </c>
      <c r="I269" s="102" t="s">
        <v>90</v>
      </c>
      <c r="J269" s="102"/>
      <c r="K269" s="102" t="s">
        <v>1107</v>
      </c>
      <c r="L269" s="102" t="s">
        <v>1108</v>
      </c>
      <c r="M269" s="102" t="s">
        <v>1109</v>
      </c>
      <c r="N269" s="102" t="s">
        <v>1109</v>
      </c>
      <c r="O269" s="102" t="s">
        <v>383</v>
      </c>
      <c r="P269" s="103">
        <v>1</v>
      </c>
      <c r="Q269" s="105">
        <v>1536937</v>
      </c>
      <c r="R269" s="103">
        <v>48</v>
      </c>
      <c r="S269" s="105">
        <v>32019.520833333299</v>
      </c>
      <c r="T269" s="105">
        <v>736448.97916666698</v>
      </c>
      <c r="U269" s="105">
        <v>32019.520833333299</v>
      </c>
      <c r="V269" s="105">
        <v>32019.520833333299</v>
      </c>
      <c r="W269" s="105">
        <v>32019.520833333299</v>
      </c>
      <c r="X269" s="105">
        <v>32019.520833333299</v>
      </c>
      <c r="Y269" s="105">
        <v>32019.520833333299</v>
      </c>
      <c r="Z269" s="105">
        <v>32019.520833333299</v>
      </c>
      <c r="AA269" s="105">
        <v>32019.520833333299</v>
      </c>
      <c r="AB269" s="105">
        <v>32019.520833333299</v>
      </c>
      <c r="AC269" s="8">
        <f t="shared" si="28"/>
        <v>992605.14583333349</v>
      </c>
      <c r="AD269" s="8">
        <f t="shared" si="29"/>
        <v>544331.85416666651</v>
      </c>
      <c r="AE269" s="8">
        <f t="shared" si="30"/>
        <v>32019.520833333299</v>
      </c>
      <c r="AF269" s="106">
        <f t="shared" si="31"/>
        <v>17.000000000000014</v>
      </c>
      <c r="AG269" s="8">
        <f t="shared" si="32"/>
        <v>32019.520833333299</v>
      </c>
      <c r="AH269" s="8">
        <f>IF($O269="Aktif",MAX(0,MIN($AE269,$AD269-SUM($AG269:AG269))),0)</f>
        <v>32019.520833333299</v>
      </c>
      <c r="AI269" s="8">
        <f>IF($O269="Aktif",MAX(0,MIN($AE269,$AD269-SUM($AG269:AH269))),0)</f>
        <v>32019.520833333299</v>
      </c>
      <c r="AJ269" s="8">
        <f>IF($O269="Aktif",MAX(0,MIN($AE269,$AD269-SUM($AG269:AI269))),0)</f>
        <v>32019.520833333299</v>
      </c>
      <c r="AK269" s="8">
        <f>IF($O269="Aktif",MAX(0,MIN($AE269,$AD269-SUM($AG269:AJ269))),0)</f>
        <v>32019.520833333299</v>
      </c>
      <c r="AL269" s="8">
        <f>IF($O269="Aktif",MAX(0,MIN($AE269,$AD269-SUM($AG269:AK269))),0)</f>
        <v>32019.520833333299</v>
      </c>
      <c r="AM269" s="8">
        <f>IF($O269="Aktif",MAX(0,MIN($AE269,$AD269-SUM($AG269:AL269))),0)</f>
        <v>32019.520833333299</v>
      </c>
      <c r="AN269" s="8">
        <f>IF($O269="Aktif",MAX(0,MIN($AE269,$AD269-SUM($AG269:AM269))),0)</f>
        <v>32019.520833333299</v>
      </c>
      <c r="AO269" s="8">
        <f>IF($O269="Aktif",MAX(0,MIN($AE269,$AD269-SUM($AG269:AN269))),0)</f>
        <v>32019.520833333299</v>
      </c>
      <c r="AP269" s="8">
        <f>IF($O269="Aktif",MAX(0,MIN($AE269,$AD269-SUM($AG269:AO269))),0)</f>
        <v>32019.520833333299</v>
      </c>
      <c r="AQ269" s="8">
        <f>IF($O269="Aktif",MAX(0,MIN($AE269,$AD269-SUM($AG269:AP269))),0)</f>
        <v>32019.520833333299</v>
      </c>
      <c r="AR269" s="8">
        <f>IF($O269="Aktif",MAX(0,MIN($AE269,$AD269-SUM($AG269:AQ269))),0)</f>
        <v>32019.520833333299</v>
      </c>
      <c r="AS269" s="8">
        <f>IF($O269="Aktif",MAX(0,MIN($AE269,$AD269-SUM($AG269:AR269))),0)</f>
        <v>32019.520833333299</v>
      </c>
      <c r="AT269" s="8">
        <f>IF($O269="Aktif",MAX(0,MIN($AE269,$AD269-SUM($AG269:AS269))),0)</f>
        <v>32019.520833333299</v>
      </c>
      <c r="AU269" s="8">
        <f>IF($O269="Aktif",MAX(0,MIN($AE269,$AD269-SUM($AG269:AT269))),0)</f>
        <v>32019.520833333299</v>
      </c>
      <c r="AV269" s="8">
        <f>IF($O269="Aktif",MAX(0,MIN($AE269,$AD269-SUM($AG269:AU269))),0)</f>
        <v>32019.520833333299</v>
      </c>
      <c r="AW269" s="8">
        <f t="shared" si="33"/>
        <v>512312.33333333296</v>
      </c>
      <c r="AX269" s="8">
        <f t="shared" si="34"/>
        <v>32019.520833333547</v>
      </c>
    </row>
    <row r="270" spans="1:50" ht="15" customHeight="1" x14ac:dyDescent="0.35">
      <c r="A270" s="102">
        <v>264</v>
      </c>
      <c r="B270" s="102" t="s">
        <v>586</v>
      </c>
      <c r="C270" s="103">
        <v>202</v>
      </c>
      <c r="D270" s="102" t="s">
        <v>184</v>
      </c>
      <c r="E270" s="102" t="s">
        <v>479</v>
      </c>
      <c r="F270" s="102" t="s">
        <v>947</v>
      </c>
      <c r="G270" s="102" t="s">
        <v>948</v>
      </c>
      <c r="H270" s="102" t="s">
        <v>949</v>
      </c>
      <c r="I270" s="102" t="s">
        <v>90</v>
      </c>
      <c r="J270" s="102"/>
      <c r="K270" s="102" t="s">
        <v>1110</v>
      </c>
      <c r="L270" s="102" t="s">
        <v>1111</v>
      </c>
      <c r="M270" s="102" t="s">
        <v>1112</v>
      </c>
      <c r="N270" s="102" t="s">
        <v>1112</v>
      </c>
      <c r="O270" s="102" t="s">
        <v>383</v>
      </c>
      <c r="P270" s="103">
        <v>1</v>
      </c>
      <c r="Q270" s="105">
        <v>3700000</v>
      </c>
      <c r="R270" s="103">
        <v>48</v>
      </c>
      <c r="S270" s="105">
        <v>77083.333333333299</v>
      </c>
      <c r="T270" s="105">
        <v>1772916.66666667</v>
      </c>
      <c r="U270" s="105">
        <v>77083.333333333299</v>
      </c>
      <c r="V270" s="105">
        <v>77083.333333333299</v>
      </c>
      <c r="W270" s="105">
        <v>77083.333333333299</v>
      </c>
      <c r="X270" s="105">
        <v>77083.333333333299</v>
      </c>
      <c r="Y270" s="105">
        <v>77083.333333333299</v>
      </c>
      <c r="Z270" s="105">
        <v>77083.333333333299</v>
      </c>
      <c r="AA270" s="105">
        <v>77083.333333333299</v>
      </c>
      <c r="AB270" s="105">
        <v>77083.333333333299</v>
      </c>
      <c r="AC270" s="8">
        <f t="shared" si="28"/>
        <v>2389583.3333333363</v>
      </c>
      <c r="AD270" s="8">
        <f t="shared" si="29"/>
        <v>1310416.6666666637</v>
      </c>
      <c r="AE270" s="8">
        <f t="shared" si="30"/>
        <v>77083.333333333299</v>
      </c>
      <c r="AF270" s="106">
        <f t="shared" si="31"/>
        <v>16.999999999999968</v>
      </c>
      <c r="AG270" s="8">
        <f t="shared" si="32"/>
        <v>77083.333333333299</v>
      </c>
      <c r="AH270" s="8">
        <f>IF($O270="Aktif",MAX(0,MIN($AE270,$AD270-SUM($AG270:AG270))),0)</f>
        <v>77083.333333333299</v>
      </c>
      <c r="AI270" s="8">
        <f>IF($O270="Aktif",MAX(0,MIN($AE270,$AD270-SUM($AG270:AH270))),0)</f>
        <v>77083.333333333299</v>
      </c>
      <c r="AJ270" s="8">
        <f>IF($O270="Aktif",MAX(0,MIN($AE270,$AD270-SUM($AG270:AI270))),0)</f>
        <v>77083.333333333299</v>
      </c>
      <c r="AK270" s="8">
        <f>IF($O270="Aktif",MAX(0,MIN($AE270,$AD270-SUM($AG270:AJ270))),0)</f>
        <v>77083.333333333299</v>
      </c>
      <c r="AL270" s="8">
        <f>IF($O270="Aktif",MAX(0,MIN($AE270,$AD270-SUM($AG270:AK270))),0)</f>
        <v>77083.333333333299</v>
      </c>
      <c r="AM270" s="8">
        <f>IF($O270="Aktif",MAX(0,MIN($AE270,$AD270-SUM($AG270:AL270))),0)</f>
        <v>77083.333333333299</v>
      </c>
      <c r="AN270" s="8">
        <f>IF($O270="Aktif",MAX(0,MIN($AE270,$AD270-SUM($AG270:AM270))),0)</f>
        <v>77083.333333333299</v>
      </c>
      <c r="AO270" s="8">
        <f>IF($O270="Aktif",MAX(0,MIN($AE270,$AD270-SUM($AG270:AN270))),0)</f>
        <v>77083.333333333299</v>
      </c>
      <c r="AP270" s="8">
        <f>IF($O270="Aktif",MAX(0,MIN($AE270,$AD270-SUM($AG270:AO270))),0)</f>
        <v>77083.333333333299</v>
      </c>
      <c r="AQ270" s="8">
        <f>IF($O270="Aktif",MAX(0,MIN($AE270,$AD270-SUM($AG270:AP270))),0)</f>
        <v>77083.333333333299</v>
      </c>
      <c r="AR270" s="8">
        <f>IF($O270="Aktif",MAX(0,MIN($AE270,$AD270-SUM($AG270:AQ270))),0)</f>
        <v>77083.333333333299</v>
      </c>
      <c r="AS270" s="8">
        <f>IF($O270="Aktif",MAX(0,MIN($AE270,$AD270-SUM($AG270:AR270))),0)</f>
        <v>77083.333333333299</v>
      </c>
      <c r="AT270" s="8">
        <f>IF($O270="Aktif",MAX(0,MIN($AE270,$AD270-SUM($AG270:AS270))),0)</f>
        <v>77083.333333333299</v>
      </c>
      <c r="AU270" s="8">
        <f>IF($O270="Aktif",MAX(0,MIN($AE270,$AD270-SUM($AG270:AT270))),0)</f>
        <v>77083.333333333299</v>
      </c>
      <c r="AV270" s="8">
        <f>IF($O270="Aktif",MAX(0,MIN($AE270,$AD270-SUM($AG270:AU270))),0)</f>
        <v>77083.333333333299</v>
      </c>
      <c r="AW270" s="8">
        <f t="shared" si="33"/>
        <v>1233333.3333333326</v>
      </c>
      <c r="AX270" s="8">
        <f t="shared" si="34"/>
        <v>77083.33333333116</v>
      </c>
    </row>
    <row r="271" spans="1:50" ht="15" customHeight="1" x14ac:dyDescent="0.35">
      <c r="A271" s="102">
        <v>265</v>
      </c>
      <c r="B271" s="102" t="s">
        <v>586</v>
      </c>
      <c r="C271" s="103">
        <v>203</v>
      </c>
      <c r="D271" s="102" t="s">
        <v>184</v>
      </c>
      <c r="E271" s="102" t="s">
        <v>479</v>
      </c>
      <c r="F271" s="102" t="s">
        <v>947</v>
      </c>
      <c r="G271" s="102" t="s">
        <v>948</v>
      </c>
      <c r="H271" s="102" t="s">
        <v>949</v>
      </c>
      <c r="I271" s="102" t="s">
        <v>90</v>
      </c>
      <c r="J271" s="102"/>
      <c r="K271" s="102" t="s">
        <v>1113</v>
      </c>
      <c r="L271" s="102" t="s">
        <v>1111</v>
      </c>
      <c r="M271" s="102" t="s">
        <v>1114</v>
      </c>
      <c r="N271" s="102" t="s">
        <v>1114</v>
      </c>
      <c r="O271" s="102" t="s">
        <v>383</v>
      </c>
      <c r="P271" s="103">
        <v>1</v>
      </c>
      <c r="Q271" s="105">
        <v>1531532</v>
      </c>
      <c r="R271" s="103">
        <v>48</v>
      </c>
      <c r="S271" s="105">
        <v>31906.916666666701</v>
      </c>
      <c r="T271" s="105">
        <v>733859.08333333395</v>
      </c>
      <c r="U271" s="105">
        <v>31906.916666666701</v>
      </c>
      <c r="V271" s="105">
        <v>31906.916666666701</v>
      </c>
      <c r="W271" s="105">
        <v>31906.916666666701</v>
      </c>
      <c r="X271" s="105">
        <v>31906.916666666701</v>
      </c>
      <c r="Y271" s="105">
        <v>31906.916666666701</v>
      </c>
      <c r="Z271" s="105">
        <v>31906.916666666701</v>
      </c>
      <c r="AA271" s="105">
        <v>31906.916666666701</v>
      </c>
      <c r="AB271" s="105">
        <v>31906.916666666701</v>
      </c>
      <c r="AC271" s="8">
        <f t="shared" si="28"/>
        <v>989114.41666666744</v>
      </c>
      <c r="AD271" s="8">
        <f t="shared" si="29"/>
        <v>542417.58333333256</v>
      </c>
      <c r="AE271" s="8">
        <f t="shared" si="30"/>
        <v>31906.916666666701</v>
      </c>
      <c r="AF271" s="106">
        <f t="shared" si="31"/>
        <v>16.999999999999957</v>
      </c>
      <c r="AG271" s="8">
        <f t="shared" si="32"/>
        <v>31906.916666666701</v>
      </c>
      <c r="AH271" s="8">
        <f>IF($O271="Aktif",MAX(0,MIN($AE271,$AD271-SUM($AG271:AG271))),0)</f>
        <v>31906.916666666701</v>
      </c>
      <c r="AI271" s="8">
        <f>IF($O271="Aktif",MAX(0,MIN($AE271,$AD271-SUM($AG271:AH271))),0)</f>
        <v>31906.916666666701</v>
      </c>
      <c r="AJ271" s="8">
        <f>IF($O271="Aktif",MAX(0,MIN($AE271,$AD271-SUM($AG271:AI271))),0)</f>
        <v>31906.916666666701</v>
      </c>
      <c r="AK271" s="8">
        <f>IF($O271="Aktif",MAX(0,MIN($AE271,$AD271-SUM($AG271:AJ271))),0)</f>
        <v>31906.916666666701</v>
      </c>
      <c r="AL271" s="8">
        <f>IF($O271="Aktif",MAX(0,MIN($AE271,$AD271-SUM($AG271:AK271))),0)</f>
        <v>31906.916666666701</v>
      </c>
      <c r="AM271" s="8">
        <f>IF($O271="Aktif",MAX(0,MIN($AE271,$AD271-SUM($AG271:AL271))),0)</f>
        <v>31906.916666666701</v>
      </c>
      <c r="AN271" s="8">
        <f>IF($O271="Aktif",MAX(0,MIN($AE271,$AD271-SUM($AG271:AM271))),0)</f>
        <v>31906.916666666701</v>
      </c>
      <c r="AO271" s="8">
        <f>IF($O271="Aktif",MAX(0,MIN($AE271,$AD271-SUM($AG271:AN271))),0)</f>
        <v>31906.916666666701</v>
      </c>
      <c r="AP271" s="8">
        <f>IF($O271="Aktif",MAX(0,MIN($AE271,$AD271-SUM($AG271:AO271))),0)</f>
        <v>31906.916666666701</v>
      </c>
      <c r="AQ271" s="8">
        <f>IF($O271="Aktif",MAX(0,MIN($AE271,$AD271-SUM($AG271:AP271))),0)</f>
        <v>31906.916666666701</v>
      </c>
      <c r="AR271" s="8">
        <f>IF($O271="Aktif",MAX(0,MIN($AE271,$AD271-SUM($AG271:AQ271))),0)</f>
        <v>31906.916666666701</v>
      </c>
      <c r="AS271" s="8">
        <f>IF($O271="Aktif",MAX(0,MIN($AE271,$AD271-SUM($AG271:AR271))),0)</f>
        <v>31906.916666666701</v>
      </c>
      <c r="AT271" s="8">
        <f>IF($O271="Aktif",MAX(0,MIN($AE271,$AD271-SUM($AG271:AS271))),0)</f>
        <v>31906.916666666701</v>
      </c>
      <c r="AU271" s="8">
        <f>IF($O271="Aktif",MAX(0,MIN($AE271,$AD271-SUM($AG271:AT271))),0)</f>
        <v>31906.916666666701</v>
      </c>
      <c r="AV271" s="8">
        <f>IF($O271="Aktif",MAX(0,MIN($AE271,$AD271-SUM($AG271:AU271))),0)</f>
        <v>31906.916666666701</v>
      </c>
      <c r="AW271" s="8">
        <f t="shared" si="33"/>
        <v>510510.66666666704</v>
      </c>
      <c r="AX271" s="8">
        <f t="shared" si="34"/>
        <v>31906.916666665522</v>
      </c>
    </row>
    <row r="272" spans="1:50" ht="15" customHeight="1" x14ac:dyDescent="0.35">
      <c r="A272" s="102">
        <v>266</v>
      </c>
      <c r="B272" s="102" t="s">
        <v>586</v>
      </c>
      <c r="C272" s="103">
        <v>204</v>
      </c>
      <c r="D272" s="102" t="s">
        <v>184</v>
      </c>
      <c r="E272" s="102" t="s">
        <v>479</v>
      </c>
      <c r="F272" s="102" t="s">
        <v>947</v>
      </c>
      <c r="G272" s="102" t="s">
        <v>948</v>
      </c>
      <c r="H272" s="102" t="s">
        <v>949</v>
      </c>
      <c r="I272" s="102" t="s">
        <v>90</v>
      </c>
      <c r="J272" s="102"/>
      <c r="K272" s="102" t="s">
        <v>1115</v>
      </c>
      <c r="L272" s="102" t="s">
        <v>1116</v>
      </c>
      <c r="M272" s="102" t="s">
        <v>1117</v>
      </c>
      <c r="N272" s="102" t="s">
        <v>1117</v>
      </c>
      <c r="O272" s="102" t="s">
        <v>383</v>
      </c>
      <c r="P272" s="103">
        <v>1</v>
      </c>
      <c r="Q272" s="105">
        <v>5400000</v>
      </c>
      <c r="R272" s="103">
        <v>48</v>
      </c>
      <c r="S272" s="105">
        <v>112500</v>
      </c>
      <c r="T272" s="105">
        <v>2475000</v>
      </c>
      <c r="U272" s="105">
        <v>112500</v>
      </c>
      <c r="V272" s="105">
        <v>112500</v>
      </c>
      <c r="W272" s="105">
        <v>112500</v>
      </c>
      <c r="X272" s="105">
        <v>112500</v>
      </c>
      <c r="Y272" s="105">
        <v>112500</v>
      </c>
      <c r="Z272" s="105">
        <v>112500</v>
      </c>
      <c r="AA272" s="105">
        <v>112500</v>
      </c>
      <c r="AB272" s="105">
        <v>112500</v>
      </c>
      <c r="AC272" s="8">
        <f t="shared" si="28"/>
        <v>3375000</v>
      </c>
      <c r="AD272" s="8">
        <f t="shared" si="29"/>
        <v>2025000</v>
      </c>
      <c r="AE272" s="8">
        <f t="shared" si="30"/>
        <v>112500</v>
      </c>
      <c r="AF272" s="106">
        <f t="shared" si="31"/>
        <v>18</v>
      </c>
      <c r="AG272" s="8">
        <f t="shared" si="32"/>
        <v>112500</v>
      </c>
      <c r="AH272" s="8">
        <f>IF($O272="Aktif",MAX(0,MIN($AE272,$AD272-SUM($AG272:AG272))),0)</f>
        <v>112500</v>
      </c>
      <c r="AI272" s="8">
        <f>IF($O272="Aktif",MAX(0,MIN($AE272,$AD272-SUM($AG272:AH272))),0)</f>
        <v>112500</v>
      </c>
      <c r="AJ272" s="8">
        <f>IF($O272="Aktif",MAX(0,MIN($AE272,$AD272-SUM($AG272:AI272))),0)</f>
        <v>112500</v>
      </c>
      <c r="AK272" s="8">
        <f>IF($O272="Aktif",MAX(0,MIN($AE272,$AD272-SUM($AG272:AJ272))),0)</f>
        <v>112500</v>
      </c>
      <c r="AL272" s="8">
        <f>IF($O272="Aktif",MAX(0,MIN($AE272,$AD272-SUM($AG272:AK272))),0)</f>
        <v>112500</v>
      </c>
      <c r="AM272" s="8">
        <f>IF($O272="Aktif",MAX(0,MIN($AE272,$AD272-SUM($AG272:AL272))),0)</f>
        <v>112500</v>
      </c>
      <c r="AN272" s="8">
        <f>IF($O272="Aktif",MAX(0,MIN($AE272,$AD272-SUM($AG272:AM272))),0)</f>
        <v>112500</v>
      </c>
      <c r="AO272" s="8">
        <f>IF($O272="Aktif",MAX(0,MIN($AE272,$AD272-SUM($AG272:AN272))),0)</f>
        <v>112500</v>
      </c>
      <c r="AP272" s="8">
        <f>IF($O272="Aktif",MAX(0,MIN($AE272,$AD272-SUM($AG272:AO272))),0)</f>
        <v>112500</v>
      </c>
      <c r="AQ272" s="8">
        <f>IF($O272="Aktif",MAX(0,MIN($AE272,$AD272-SUM($AG272:AP272))),0)</f>
        <v>112500</v>
      </c>
      <c r="AR272" s="8">
        <f>IF($O272="Aktif",MAX(0,MIN($AE272,$AD272-SUM($AG272:AQ272))),0)</f>
        <v>112500</v>
      </c>
      <c r="AS272" s="8">
        <f>IF($O272="Aktif",MAX(0,MIN($AE272,$AD272-SUM($AG272:AR272))),0)</f>
        <v>112500</v>
      </c>
      <c r="AT272" s="8">
        <f>IF($O272="Aktif",MAX(0,MIN($AE272,$AD272-SUM($AG272:AS272))),0)</f>
        <v>112500</v>
      </c>
      <c r="AU272" s="8">
        <f>IF($O272="Aktif",MAX(0,MIN($AE272,$AD272-SUM($AG272:AT272))),0)</f>
        <v>112500</v>
      </c>
      <c r="AV272" s="8">
        <f>IF($O272="Aktif",MAX(0,MIN($AE272,$AD272-SUM($AG272:AU272))),0)</f>
        <v>112500</v>
      </c>
      <c r="AW272" s="8">
        <f t="shared" si="33"/>
        <v>1800000</v>
      </c>
      <c r="AX272" s="8">
        <f t="shared" si="34"/>
        <v>225000</v>
      </c>
    </row>
    <row r="273" spans="1:50" ht="15" customHeight="1" x14ac:dyDescent="0.35">
      <c r="A273" s="102">
        <v>267</v>
      </c>
      <c r="B273" s="102" t="s">
        <v>586</v>
      </c>
      <c r="C273" s="103">
        <v>205</v>
      </c>
      <c r="D273" s="102" t="s">
        <v>184</v>
      </c>
      <c r="E273" s="102" t="s">
        <v>479</v>
      </c>
      <c r="F273" s="102" t="s">
        <v>947</v>
      </c>
      <c r="G273" s="102" t="s">
        <v>948</v>
      </c>
      <c r="H273" s="102" t="s">
        <v>949</v>
      </c>
      <c r="I273" s="102" t="s">
        <v>90</v>
      </c>
      <c r="J273" s="102"/>
      <c r="K273" s="102" t="s">
        <v>1118</v>
      </c>
      <c r="L273" s="104">
        <v>45425</v>
      </c>
      <c r="M273" s="102" t="s">
        <v>1119</v>
      </c>
      <c r="N273" s="102" t="s">
        <v>1119</v>
      </c>
      <c r="O273" s="102" t="s">
        <v>383</v>
      </c>
      <c r="P273" s="103">
        <v>1</v>
      </c>
      <c r="Q273" s="105">
        <v>6171172</v>
      </c>
      <c r="R273" s="103">
        <v>48</v>
      </c>
      <c r="S273" s="105">
        <v>128566.08333333299</v>
      </c>
      <c r="T273" s="105">
        <v>2571321.6666666698</v>
      </c>
      <c r="U273" s="105">
        <v>128566.08333333299</v>
      </c>
      <c r="V273" s="105">
        <v>128566.08333333299</v>
      </c>
      <c r="W273" s="105">
        <v>128566.08333333299</v>
      </c>
      <c r="X273" s="105">
        <v>128566.08333333299</v>
      </c>
      <c r="Y273" s="105">
        <v>128566.08333333299</v>
      </c>
      <c r="Z273" s="105">
        <v>128566.08333333299</v>
      </c>
      <c r="AA273" s="105">
        <v>128566.08333333299</v>
      </c>
      <c r="AB273" s="105">
        <v>128566.08333333299</v>
      </c>
      <c r="AC273" s="8">
        <f t="shared" si="28"/>
        <v>3599850.333333334</v>
      </c>
      <c r="AD273" s="8">
        <f t="shared" si="29"/>
        <v>2571321.666666666</v>
      </c>
      <c r="AE273" s="8">
        <f t="shared" si="30"/>
        <v>128566.08333333299</v>
      </c>
      <c r="AF273" s="106">
        <f t="shared" si="31"/>
        <v>20.00000000000005</v>
      </c>
      <c r="AG273" s="8">
        <f t="shared" si="32"/>
        <v>128566.08333333299</v>
      </c>
      <c r="AH273" s="8">
        <f>IF($O273="Aktif",MAX(0,MIN($AE273,$AD273-SUM($AG273:AG273))),0)</f>
        <v>128566.08333333299</v>
      </c>
      <c r="AI273" s="8">
        <f>IF($O273="Aktif",MAX(0,MIN($AE273,$AD273-SUM($AG273:AH273))),0)</f>
        <v>128566.08333333299</v>
      </c>
      <c r="AJ273" s="8">
        <f>IF($O273="Aktif",MAX(0,MIN($AE273,$AD273-SUM($AG273:AI273))),0)</f>
        <v>128566.08333333299</v>
      </c>
      <c r="AK273" s="8">
        <f>IF($O273="Aktif",MAX(0,MIN($AE273,$AD273-SUM($AG273:AJ273))),0)</f>
        <v>128566.08333333299</v>
      </c>
      <c r="AL273" s="8">
        <f>IF($O273="Aktif",MAX(0,MIN($AE273,$AD273-SUM($AG273:AK273))),0)</f>
        <v>128566.08333333299</v>
      </c>
      <c r="AM273" s="8">
        <f>IF($O273="Aktif",MAX(0,MIN($AE273,$AD273-SUM($AG273:AL273))),0)</f>
        <v>128566.08333333299</v>
      </c>
      <c r="AN273" s="8">
        <f>IF($O273="Aktif",MAX(0,MIN($AE273,$AD273-SUM($AG273:AM273))),0)</f>
        <v>128566.08333333299</v>
      </c>
      <c r="AO273" s="8">
        <f>IF($O273="Aktif",MAX(0,MIN($AE273,$AD273-SUM($AG273:AN273))),0)</f>
        <v>128566.08333333299</v>
      </c>
      <c r="AP273" s="8">
        <f>IF($O273="Aktif",MAX(0,MIN($AE273,$AD273-SUM($AG273:AO273))),0)</f>
        <v>128566.08333333299</v>
      </c>
      <c r="AQ273" s="8">
        <f>IF($O273="Aktif",MAX(0,MIN($AE273,$AD273-SUM($AG273:AP273))),0)</f>
        <v>128566.08333333299</v>
      </c>
      <c r="AR273" s="8">
        <f>IF($O273="Aktif",MAX(0,MIN($AE273,$AD273-SUM($AG273:AQ273))),0)</f>
        <v>128566.08333333299</v>
      </c>
      <c r="AS273" s="8">
        <f>IF($O273="Aktif",MAX(0,MIN($AE273,$AD273-SUM($AG273:AR273))),0)</f>
        <v>128566.08333333299</v>
      </c>
      <c r="AT273" s="8">
        <f>IF($O273="Aktif",MAX(0,MIN($AE273,$AD273-SUM($AG273:AS273))),0)</f>
        <v>128566.08333333299</v>
      </c>
      <c r="AU273" s="8">
        <f>IF($O273="Aktif",MAX(0,MIN($AE273,$AD273-SUM($AG273:AT273))),0)</f>
        <v>128566.08333333299</v>
      </c>
      <c r="AV273" s="8">
        <f>IF($O273="Aktif",MAX(0,MIN($AE273,$AD273-SUM($AG273:AU273))),0)</f>
        <v>128566.08333333299</v>
      </c>
      <c r="AW273" s="8">
        <f t="shared" si="33"/>
        <v>2057057.3333333281</v>
      </c>
      <c r="AX273" s="8">
        <f t="shared" si="34"/>
        <v>514264.33333333791</v>
      </c>
    </row>
    <row r="274" spans="1:50" ht="15" customHeight="1" x14ac:dyDescent="0.35">
      <c r="A274" s="102">
        <v>268</v>
      </c>
      <c r="B274" s="102" t="s">
        <v>586</v>
      </c>
      <c r="C274" s="103">
        <v>206</v>
      </c>
      <c r="D274" s="102" t="s">
        <v>184</v>
      </c>
      <c r="E274" s="102" t="s">
        <v>479</v>
      </c>
      <c r="F274" s="102" t="s">
        <v>947</v>
      </c>
      <c r="G274" s="102" t="s">
        <v>948</v>
      </c>
      <c r="H274" s="102" t="s">
        <v>949</v>
      </c>
      <c r="I274" s="102" t="s">
        <v>90</v>
      </c>
      <c r="J274" s="102"/>
      <c r="K274" s="102" t="s">
        <v>1120</v>
      </c>
      <c r="L274" s="102" t="s">
        <v>1121</v>
      </c>
      <c r="M274" s="102" t="s">
        <v>1122</v>
      </c>
      <c r="N274" s="102" t="s">
        <v>1122</v>
      </c>
      <c r="O274" s="102" t="s">
        <v>383</v>
      </c>
      <c r="P274" s="103">
        <v>1</v>
      </c>
      <c r="Q274" s="105">
        <v>9500000</v>
      </c>
      <c r="R274" s="103">
        <v>48</v>
      </c>
      <c r="S274" s="105">
        <v>197916.66666666701</v>
      </c>
      <c r="T274" s="105">
        <v>3760416.6666666698</v>
      </c>
      <c r="U274" s="105">
        <v>197916.66666666701</v>
      </c>
      <c r="V274" s="105">
        <v>197916.66666666701</v>
      </c>
      <c r="W274" s="105">
        <v>197916.66666666701</v>
      </c>
      <c r="X274" s="105">
        <v>197916.66666666701</v>
      </c>
      <c r="Y274" s="105">
        <v>197916.66666666701</v>
      </c>
      <c r="Z274" s="105">
        <v>197916.66666666701</v>
      </c>
      <c r="AA274" s="105">
        <v>197916.66666666701</v>
      </c>
      <c r="AB274" s="105">
        <v>197916.66666666701</v>
      </c>
      <c r="AC274" s="8">
        <f t="shared" si="28"/>
        <v>5343750.0000000056</v>
      </c>
      <c r="AD274" s="8">
        <f t="shared" si="29"/>
        <v>4156249.9999999944</v>
      </c>
      <c r="AE274" s="8">
        <f t="shared" si="30"/>
        <v>197916.66666666701</v>
      </c>
      <c r="AF274" s="106">
        <f t="shared" si="31"/>
        <v>20.999999999999936</v>
      </c>
      <c r="AG274" s="8">
        <f t="shared" si="32"/>
        <v>197916.66666666701</v>
      </c>
      <c r="AH274" s="8">
        <f>IF($O274="Aktif",MAX(0,MIN($AE274,$AD274-SUM($AG274:AG274))),0)</f>
        <v>197916.66666666701</v>
      </c>
      <c r="AI274" s="8">
        <f>IF($O274="Aktif",MAX(0,MIN($AE274,$AD274-SUM($AG274:AH274))),0)</f>
        <v>197916.66666666701</v>
      </c>
      <c r="AJ274" s="8">
        <f>IF($O274="Aktif",MAX(0,MIN($AE274,$AD274-SUM($AG274:AI274))),0)</f>
        <v>197916.66666666701</v>
      </c>
      <c r="AK274" s="8">
        <f>IF($O274="Aktif",MAX(0,MIN($AE274,$AD274-SUM($AG274:AJ274))),0)</f>
        <v>197916.66666666701</v>
      </c>
      <c r="AL274" s="8">
        <f>IF($O274="Aktif",MAX(0,MIN($AE274,$AD274-SUM($AG274:AK274))),0)</f>
        <v>197916.66666666701</v>
      </c>
      <c r="AM274" s="8">
        <f>IF($O274="Aktif",MAX(0,MIN($AE274,$AD274-SUM($AG274:AL274))),0)</f>
        <v>197916.66666666701</v>
      </c>
      <c r="AN274" s="8">
        <f>IF($O274="Aktif",MAX(0,MIN($AE274,$AD274-SUM($AG274:AM274))),0)</f>
        <v>197916.66666666701</v>
      </c>
      <c r="AO274" s="8">
        <f>IF($O274="Aktif",MAX(0,MIN($AE274,$AD274-SUM($AG274:AN274))),0)</f>
        <v>197916.66666666701</v>
      </c>
      <c r="AP274" s="8">
        <f>IF($O274="Aktif",MAX(0,MIN($AE274,$AD274-SUM($AG274:AO274))),0)</f>
        <v>197916.66666666701</v>
      </c>
      <c r="AQ274" s="8">
        <f>IF($O274="Aktif",MAX(0,MIN($AE274,$AD274-SUM($AG274:AP274))),0)</f>
        <v>197916.66666666701</v>
      </c>
      <c r="AR274" s="8">
        <f>IF($O274="Aktif",MAX(0,MIN($AE274,$AD274-SUM($AG274:AQ274))),0)</f>
        <v>197916.66666666701</v>
      </c>
      <c r="AS274" s="8">
        <f>IF($O274="Aktif",MAX(0,MIN($AE274,$AD274-SUM($AG274:AR274))),0)</f>
        <v>197916.66666666701</v>
      </c>
      <c r="AT274" s="8">
        <f>IF($O274="Aktif",MAX(0,MIN($AE274,$AD274-SUM($AG274:AS274))),0)</f>
        <v>197916.66666666701</v>
      </c>
      <c r="AU274" s="8">
        <f>IF($O274="Aktif",MAX(0,MIN($AE274,$AD274-SUM($AG274:AT274))),0)</f>
        <v>197916.66666666701</v>
      </c>
      <c r="AV274" s="8">
        <f>IF($O274="Aktif",MAX(0,MIN($AE274,$AD274-SUM($AG274:AU274))),0)</f>
        <v>197916.66666666701</v>
      </c>
      <c r="AW274" s="8">
        <f t="shared" si="33"/>
        <v>3166666.6666666721</v>
      </c>
      <c r="AX274" s="8">
        <f t="shared" si="34"/>
        <v>989583.33333332231</v>
      </c>
    </row>
    <row r="275" spans="1:50" ht="15" customHeight="1" x14ac:dyDescent="0.35">
      <c r="A275" s="102">
        <v>269</v>
      </c>
      <c r="B275" s="102" t="s">
        <v>586</v>
      </c>
      <c r="C275" s="103">
        <v>207</v>
      </c>
      <c r="D275" s="102" t="s">
        <v>184</v>
      </c>
      <c r="E275" s="102" t="s">
        <v>479</v>
      </c>
      <c r="F275" s="102" t="s">
        <v>947</v>
      </c>
      <c r="G275" s="102" t="s">
        <v>948</v>
      </c>
      <c r="H275" s="102" t="s">
        <v>949</v>
      </c>
      <c r="I275" s="102" t="s">
        <v>90</v>
      </c>
      <c r="J275" s="102"/>
      <c r="K275" s="102" t="s">
        <v>1123</v>
      </c>
      <c r="L275" s="102" t="s">
        <v>1124</v>
      </c>
      <c r="M275" s="102" t="s">
        <v>1125</v>
      </c>
      <c r="N275" s="102" t="s">
        <v>1125</v>
      </c>
      <c r="O275" s="102" t="s">
        <v>383</v>
      </c>
      <c r="P275" s="103">
        <v>1</v>
      </c>
      <c r="Q275" s="105">
        <v>2130631</v>
      </c>
      <c r="R275" s="103">
        <v>48</v>
      </c>
      <c r="S275" s="105">
        <v>44388.145833333299</v>
      </c>
      <c r="T275" s="105">
        <v>798986.625</v>
      </c>
      <c r="U275" s="105">
        <v>44388.145833333299</v>
      </c>
      <c r="V275" s="105">
        <v>44388.145833333299</v>
      </c>
      <c r="W275" s="105">
        <v>44388.145833333299</v>
      </c>
      <c r="X275" s="105">
        <v>44388.145833333299</v>
      </c>
      <c r="Y275" s="105">
        <v>44388.145833333299</v>
      </c>
      <c r="Z275" s="105">
        <v>44388.145833333299</v>
      </c>
      <c r="AA275" s="105">
        <v>44388.145833333299</v>
      </c>
      <c r="AB275" s="105">
        <v>44388.145833333299</v>
      </c>
      <c r="AC275" s="8">
        <f t="shared" si="28"/>
        <v>1154091.7916666665</v>
      </c>
      <c r="AD275" s="8">
        <f t="shared" si="29"/>
        <v>976539.20833333349</v>
      </c>
      <c r="AE275" s="8">
        <f t="shared" si="30"/>
        <v>44388.145833333299</v>
      </c>
      <c r="AF275" s="106">
        <f t="shared" si="31"/>
        <v>22.000000000000021</v>
      </c>
      <c r="AG275" s="8">
        <f t="shared" si="32"/>
        <v>44388.145833333299</v>
      </c>
      <c r="AH275" s="8">
        <f>IF($O275="Aktif",MAX(0,MIN($AE275,$AD275-SUM($AG275:AG275))),0)</f>
        <v>44388.145833333299</v>
      </c>
      <c r="AI275" s="8">
        <f>IF($O275="Aktif",MAX(0,MIN($AE275,$AD275-SUM($AG275:AH275))),0)</f>
        <v>44388.145833333299</v>
      </c>
      <c r="AJ275" s="8">
        <f>IF($O275="Aktif",MAX(0,MIN($AE275,$AD275-SUM($AG275:AI275))),0)</f>
        <v>44388.145833333299</v>
      </c>
      <c r="AK275" s="8">
        <f>IF($O275="Aktif",MAX(0,MIN($AE275,$AD275-SUM($AG275:AJ275))),0)</f>
        <v>44388.145833333299</v>
      </c>
      <c r="AL275" s="8">
        <f>IF($O275="Aktif",MAX(0,MIN($AE275,$AD275-SUM($AG275:AK275))),0)</f>
        <v>44388.145833333299</v>
      </c>
      <c r="AM275" s="8">
        <f>IF($O275="Aktif",MAX(0,MIN($AE275,$AD275-SUM($AG275:AL275))),0)</f>
        <v>44388.145833333299</v>
      </c>
      <c r="AN275" s="8">
        <f>IF($O275="Aktif",MAX(0,MIN($AE275,$AD275-SUM($AG275:AM275))),0)</f>
        <v>44388.145833333299</v>
      </c>
      <c r="AO275" s="8">
        <f>IF($O275="Aktif",MAX(0,MIN($AE275,$AD275-SUM($AG275:AN275))),0)</f>
        <v>44388.145833333299</v>
      </c>
      <c r="AP275" s="8">
        <f>IF($O275="Aktif",MAX(0,MIN($AE275,$AD275-SUM($AG275:AO275))),0)</f>
        <v>44388.145833333299</v>
      </c>
      <c r="AQ275" s="8">
        <f>IF($O275="Aktif",MAX(0,MIN($AE275,$AD275-SUM($AG275:AP275))),0)</f>
        <v>44388.145833333299</v>
      </c>
      <c r="AR275" s="8">
        <f>IF($O275="Aktif",MAX(0,MIN($AE275,$AD275-SUM($AG275:AQ275))),0)</f>
        <v>44388.145833333299</v>
      </c>
      <c r="AS275" s="8">
        <f>IF($O275="Aktif",MAX(0,MIN($AE275,$AD275-SUM($AG275:AR275))),0)</f>
        <v>44388.145833333299</v>
      </c>
      <c r="AT275" s="8">
        <f>IF($O275="Aktif",MAX(0,MIN($AE275,$AD275-SUM($AG275:AS275))),0)</f>
        <v>44388.145833333299</v>
      </c>
      <c r="AU275" s="8">
        <f>IF($O275="Aktif",MAX(0,MIN($AE275,$AD275-SUM($AG275:AT275))),0)</f>
        <v>44388.145833333299</v>
      </c>
      <c r="AV275" s="8">
        <f>IF($O275="Aktif",MAX(0,MIN($AE275,$AD275-SUM($AG275:AU275))),0)</f>
        <v>44388.145833333299</v>
      </c>
      <c r="AW275" s="8">
        <f t="shared" si="33"/>
        <v>710210.33333333267</v>
      </c>
      <c r="AX275" s="8">
        <f t="shared" si="34"/>
        <v>266328.87500000081</v>
      </c>
    </row>
    <row r="276" spans="1:50" ht="15" customHeight="1" x14ac:dyDescent="0.35">
      <c r="A276" s="102">
        <v>270</v>
      </c>
      <c r="B276" s="102" t="s">
        <v>586</v>
      </c>
      <c r="C276" s="103">
        <v>208</v>
      </c>
      <c r="D276" s="102" t="s">
        <v>184</v>
      </c>
      <c r="E276" s="102" t="s">
        <v>479</v>
      </c>
      <c r="F276" s="102" t="s">
        <v>947</v>
      </c>
      <c r="G276" s="102" t="s">
        <v>948</v>
      </c>
      <c r="H276" s="102" t="s">
        <v>949</v>
      </c>
      <c r="I276" s="102" t="s">
        <v>90</v>
      </c>
      <c r="J276" s="102"/>
      <c r="K276" s="102" t="s">
        <v>1126</v>
      </c>
      <c r="L276" s="102" t="s">
        <v>1124</v>
      </c>
      <c r="M276" s="102" t="s">
        <v>1127</v>
      </c>
      <c r="N276" s="102" t="s">
        <v>1127</v>
      </c>
      <c r="O276" s="102" t="s">
        <v>383</v>
      </c>
      <c r="P276" s="103">
        <v>1</v>
      </c>
      <c r="Q276" s="105">
        <v>2130631</v>
      </c>
      <c r="R276" s="103">
        <v>48</v>
      </c>
      <c r="S276" s="105">
        <v>44388.145833333299</v>
      </c>
      <c r="T276" s="105">
        <v>798986.625</v>
      </c>
      <c r="U276" s="105">
        <v>44388.145833333299</v>
      </c>
      <c r="V276" s="105">
        <v>44388.145833333299</v>
      </c>
      <c r="W276" s="105">
        <v>44388.145833333299</v>
      </c>
      <c r="X276" s="105">
        <v>44388.145833333299</v>
      </c>
      <c r="Y276" s="105">
        <v>44388.145833333299</v>
      </c>
      <c r="Z276" s="105">
        <v>44388.145833333299</v>
      </c>
      <c r="AA276" s="105">
        <v>44388.145833333299</v>
      </c>
      <c r="AB276" s="105">
        <v>44388.145833333299</v>
      </c>
      <c r="AC276" s="8">
        <f t="shared" si="28"/>
        <v>1154091.7916666665</v>
      </c>
      <c r="AD276" s="8">
        <f t="shared" si="29"/>
        <v>976539.20833333349</v>
      </c>
      <c r="AE276" s="8">
        <f t="shared" si="30"/>
        <v>44388.145833333299</v>
      </c>
      <c r="AF276" s="106">
        <f t="shared" si="31"/>
        <v>22.000000000000021</v>
      </c>
      <c r="AG276" s="8">
        <f t="shared" si="32"/>
        <v>44388.145833333299</v>
      </c>
      <c r="AH276" s="8">
        <f>IF($O276="Aktif",MAX(0,MIN($AE276,$AD276-SUM($AG276:AG276))),0)</f>
        <v>44388.145833333299</v>
      </c>
      <c r="AI276" s="8">
        <f>IF($O276="Aktif",MAX(0,MIN($AE276,$AD276-SUM($AG276:AH276))),0)</f>
        <v>44388.145833333299</v>
      </c>
      <c r="AJ276" s="8">
        <f>IF($O276="Aktif",MAX(0,MIN($AE276,$AD276-SUM($AG276:AI276))),0)</f>
        <v>44388.145833333299</v>
      </c>
      <c r="AK276" s="8">
        <f>IF($O276="Aktif",MAX(0,MIN($AE276,$AD276-SUM($AG276:AJ276))),0)</f>
        <v>44388.145833333299</v>
      </c>
      <c r="AL276" s="8">
        <f>IF($O276="Aktif",MAX(0,MIN($AE276,$AD276-SUM($AG276:AK276))),0)</f>
        <v>44388.145833333299</v>
      </c>
      <c r="AM276" s="8">
        <f>IF($O276="Aktif",MAX(0,MIN($AE276,$AD276-SUM($AG276:AL276))),0)</f>
        <v>44388.145833333299</v>
      </c>
      <c r="AN276" s="8">
        <f>IF($O276="Aktif",MAX(0,MIN($AE276,$AD276-SUM($AG276:AM276))),0)</f>
        <v>44388.145833333299</v>
      </c>
      <c r="AO276" s="8">
        <f>IF($O276="Aktif",MAX(0,MIN($AE276,$AD276-SUM($AG276:AN276))),0)</f>
        <v>44388.145833333299</v>
      </c>
      <c r="AP276" s="8">
        <f>IF($O276="Aktif",MAX(0,MIN($AE276,$AD276-SUM($AG276:AO276))),0)</f>
        <v>44388.145833333299</v>
      </c>
      <c r="AQ276" s="8">
        <f>IF($O276="Aktif",MAX(0,MIN($AE276,$AD276-SUM($AG276:AP276))),0)</f>
        <v>44388.145833333299</v>
      </c>
      <c r="AR276" s="8">
        <f>IF($O276="Aktif",MAX(0,MIN($AE276,$AD276-SUM($AG276:AQ276))),0)</f>
        <v>44388.145833333299</v>
      </c>
      <c r="AS276" s="8">
        <f>IF($O276="Aktif",MAX(0,MIN($AE276,$AD276-SUM($AG276:AR276))),0)</f>
        <v>44388.145833333299</v>
      </c>
      <c r="AT276" s="8">
        <f>IF($O276="Aktif",MAX(0,MIN($AE276,$AD276-SUM($AG276:AS276))),0)</f>
        <v>44388.145833333299</v>
      </c>
      <c r="AU276" s="8">
        <f>IF($O276="Aktif",MAX(0,MIN($AE276,$AD276-SUM($AG276:AT276))),0)</f>
        <v>44388.145833333299</v>
      </c>
      <c r="AV276" s="8">
        <f>IF($O276="Aktif",MAX(0,MIN($AE276,$AD276-SUM($AG276:AU276))),0)</f>
        <v>44388.145833333299</v>
      </c>
      <c r="AW276" s="8">
        <f t="shared" si="33"/>
        <v>710210.33333333267</v>
      </c>
      <c r="AX276" s="8">
        <f t="shared" si="34"/>
        <v>266328.87500000081</v>
      </c>
    </row>
    <row r="277" spans="1:50" ht="15" customHeight="1" x14ac:dyDescent="0.35">
      <c r="A277" s="102">
        <v>271</v>
      </c>
      <c r="B277" s="102" t="s">
        <v>586</v>
      </c>
      <c r="C277" s="103">
        <v>209</v>
      </c>
      <c r="D277" s="102" t="s">
        <v>184</v>
      </c>
      <c r="E277" s="102" t="s">
        <v>479</v>
      </c>
      <c r="F277" s="102" t="s">
        <v>947</v>
      </c>
      <c r="G277" s="102" t="s">
        <v>948</v>
      </c>
      <c r="H277" s="102" t="s">
        <v>949</v>
      </c>
      <c r="I277" s="102" t="s">
        <v>90</v>
      </c>
      <c r="J277" s="102"/>
      <c r="K277" s="102" t="s">
        <v>1128</v>
      </c>
      <c r="L277" s="102" t="s">
        <v>1129</v>
      </c>
      <c r="M277" s="102" t="s">
        <v>1130</v>
      </c>
      <c r="N277" s="102" t="s">
        <v>1130</v>
      </c>
      <c r="O277" s="102" t="s">
        <v>383</v>
      </c>
      <c r="P277" s="103">
        <v>1</v>
      </c>
      <c r="Q277" s="105">
        <v>2630631</v>
      </c>
      <c r="R277" s="103">
        <v>48</v>
      </c>
      <c r="S277" s="105">
        <v>54804.8125</v>
      </c>
      <c r="T277" s="105">
        <v>931681.8125</v>
      </c>
      <c r="U277" s="105">
        <v>54804.8125</v>
      </c>
      <c r="V277" s="105">
        <v>54804.8125</v>
      </c>
      <c r="W277" s="105">
        <v>54804.8125</v>
      </c>
      <c r="X277" s="105">
        <v>54804.8125</v>
      </c>
      <c r="Y277" s="105">
        <v>54804.8125</v>
      </c>
      <c r="Z277" s="105">
        <v>54804.8125</v>
      </c>
      <c r="AA277" s="105">
        <v>54804.8125</v>
      </c>
      <c r="AB277" s="105">
        <v>54804.8125</v>
      </c>
      <c r="AC277" s="8">
        <f t="shared" si="28"/>
        <v>1370120.3125</v>
      </c>
      <c r="AD277" s="8">
        <f t="shared" si="29"/>
        <v>1260510.6875</v>
      </c>
      <c r="AE277" s="8">
        <f t="shared" si="30"/>
        <v>54804.8125</v>
      </c>
      <c r="AF277" s="106">
        <f t="shared" si="31"/>
        <v>23</v>
      </c>
      <c r="AG277" s="8">
        <f t="shared" si="32"/>
        <v>54804.8125</v>
      </c>
      <c r="AH277" s="8">
        <f>IF($O277="Aktif",MAX(0,MIN($AE277,$AD277-SUM($AG277:AG277))),0)</f>
        <v>54804.8125</v>
      </c>
      <c r="AI277" s="8">
        <f>IF($O277="Aktif",MAX(0,MIN($AE277,$AD277-SUM($AG277:AH277))),0)</f>
        <v>54804.8125</v>
      </c>
      <c r="AJ277" s="8">
        <f>IF($O277="Aktif",MAX(0,MIN($AE277,$AD277-SUM($AG277:AI277))),0)</f>
        <v>54804.8125</v>
      </c>
      <c r="AK277" s="8">
        <f>IF($O277="Aktif",MAX(0,MIN($AE277,$AD277-SUM($AG277:AJ277))),0)</f>
        <v>54804.8125</v>
      </c>
      <c r="AL277" s="8">
        <f>IF($O277="Aktif",MAX(0,MIN($AE277,$AD277-SUM($AG277:AK277))),0)</f>
        <v>54804.8125</v>
      </c>
      <c r="AM277" s="8">
        <f>IF($O277="Aktif",MAX(0,MIN($AE277,$AD277-SUM($AG277:AL277))),0)</f>
        <v>54804.8125</v>
      </c>
      <c r="AN277" s="8">
        <f>IF($O277="Aktif",MAX(0,MIN($AE277,$AD277-SUM($AG277:AM277))),0)</f>
        <v>54804.8125</v>
      </c>
      <c r="AO277" s="8">
        <f>IF($O277="Aktif",MAX(0,MIN($AE277,$AD277-SUM($AG277:AN277))),0)</f>
        <v>54804.8125</v>
      </c>
      <c r="AP277" s="8">
        <f>IF($O277="Aktif",MAX(0,MIN($AE277,$AD277-SUM($AG277:AO277))),0)</f>
        <v>54804.8125</v>
      </c>
      <c r="AQ277" s="8">
        <f>IF($O277="Aktif",MAX(0,MIN($AE277,$AD277-SUM($AG277:AP277))),0)</f>
        <v>54804.8125</v>
      </c>
      <c r="AR277" s="8">
        <f>IF($O277="Aktif",MAX(0,MIN($AE277,$AD277-SUM($AG277:AQ277))),0)</f>
        <v>54804.8125</v>
      </c>
      <c r="AS277" s="8">
        <f>IF($O277="Aktif",MAX(0,MIN($AE277,$AD277-SUM($AG277:AR277))),0)</f>
        <v>54804.8125</v>
      </c>
      <c r="AT277" s="8">
        <f>IF($O277="Aktif",MAX(0,MIN($AE277,$AD277-SUM($AG277:AS277))),0)</f>
        <v>54804.8125</v>
      </c>
      <c r="AU277" s="8">
        <f>IF($O277="Aktif",MAX(0,MIN($AE277,$AD277-SUM($AG277:AT277))),0)</f>
        <v>54804.8125</v>
      </c>
      <c r="AV277" s="8">
        <f>IF($O277="Aktif",MAX(0,MIN($AE277,$AD277-SUM($AG277:AU277))),0)</f>
        <v>54804.8125</v>
      </c>
      <c r="AW277" s="8">
        <f t="shared" si="33"/>
        <v>876877</v>
      </c>
      <c r="AX277" s="8">
        <f t="shared" si="34"/>
        <v>383633.6875</v>
      </c>
    </row>
    <row r="278" spans="1:50" ht="15" customHeight="1" x14ac:dyDescent="0.35">
      <c r="A278" s="102">
        <v>272</v>
      </c>
      <c r="B278" s="102" t="s">
        <v>586</v>
      </c>
      <c r="C278" s="103">
        <v>210</v>
      </c>
      <c r="D278" s="102" t="s">
        <v>184</v>
      </c>
      <c r="E278" s="102" t="s">
        <v>479</v>
      </c>
      <c r="F278" s="102" t="s">
        <v>947</v>
      </c>
      <c r="G278" s="102" t="s">
        <v>948</v>
      </c>
      <c r="H278" s="102" t="s">
        <v>949</v>
      </c>
      <c r="I278" s="102" t="s">
        <v>90</v>
      </c>
      <c r="J278" s="102"/>
      <c r="K278" s="102" t="s">
        <v>1131</v>
      </c>
      <c r="L278" s="102" t="s">
        <v>1132</v>
      </c>
      <c r="M278" s="102" t="s">
        <v>1025</v>
      </c>
      <c r="N278" s="102" t="s">
        <v>1025</v>
      </c>
      <c r="O278" s="102" t="s">
        <v>383</v>
      </c>
      <c r="P278" s="103">
        <v>1</v>
      </c>
      <c r="Q278" s="105">
        <v>1981982</v>
      </c>
      <c r="R278" s="103">
        <v>48</v>
      </c>
      <c r="S278" s="105">
        <v>41291.291666666701</v>
      </c>
      <c r="T278" s="105">
        <v>701951.95833333302</v>
      </c>
      <c r="U278" s="105">
        <v>41291.291666666701</v>
      </c>
      <c r="V278" s="105">
        <v>41291.291666666701</v>
      </c>
      <c r="W278" s="105">
        <v>41291.291666666701</v>
      </c>
      <c r="X278" s="105">
        <v>41291.291666666701</v>
      </c>
      <c r="Y278" s="105">
        <v>41291.291666666701</v>
      </c>
      <c r="Z278" s="105">
        <v>41291.291666666701</v>
      </c>
      <c r="AA278" s="105">
        <v>41291.291666666701</v>
      </c>
      <c r="AB278" s="105">
        <v>41291.291666666701</v>
      </c>
      <c r="AC278" s="8">
        <f t="shared" si="28"/>
        <v>1032282.2916666665</v>
      </c>
      <c r="AD278" s="8">
        <f t="shared" si="29"/>
        <v>949699.70833333349</v>
      </c>
      <c r="AE278" s="8">
        <f t="shared" si="30"/>
        <v>41291.291666666701</v>
      </c>
      <c r="AF278" s="106">
        <f t="shared" si="31"/>
        <v>22.999999999999986</v>
      </c>
      <c r="AG278" s="8">
        <f t="shared" si="32"/>
        <v>41291.291666666701</v>
      </c>
      <c r="AH278" s="8">
        <f>IF($O278="Aktif",MAX(0,MIN($AE278,$AD278-SUM($AG278:AG278))),0)</f>
        <v>41291.291666666701</v>
      </c>
      <c r="AI278" s="8">
        <f>IF($O278="Aktif",MAX(0,MIN($AE278,$AD278-SUM($AG278:AH278))),0)</f>
        <v>41291.291666666701</v>
      </c>
      <c r="AJ278" s="8">
        <f>IF($O278="Aktif",MAX(0,MIN($AE278,$AD278-SUM($AG278:AI278))),0)</f>
        <v>41291.291666666701</v>
      </c>
      <c r="AK278" s="8">
        <f>IF($O278="Aktif",MAX(0,MIN($AE278,$AD278-SUM($AG278:AJ278))),0)</f>
        <v>41291.291666666701</v>
      </c>
      <c r="AL278" s="8">
        <f>IF($O278="Aktif",MAX(0,MIN($AE278,$AD278-SUM($AG278:AK278))),0)</f>
        <v>41291.291666666701</v>
      </c>
      <c r="AM278" s="8">
        <f>IF($O278="Aktif",MAX(0,MIN($AE278,$AD278-SUM($AG278:AL278))),0)</f>
        <v>41291.291666666701</v>
      </c>
      <c r="AN278" s="8">
        <f>IF($O278="Aktif",MAX(0,MIN($AE278,$AD278-SUM($AG278:AM278))),0)</f>
        <v>41291.291666666701</v>
      </c>
      <c r="AO278" s="8">
        <f>IF($O278="Aktif",MAX(0,MIN($AE278,$AD278-SUM($AG278:AN278))),0)</f>
        <v>41291.291666666701</v>
      </c>
      <c r="AP278" s="8">
        <f>IF($O278="Aktif",MAX(0,MIN($AE278,$AD278-SUM($AG278:AO278))),0)</f>
        <v>41291.291666666701</v>
      </c>
      <c r="AQ278" s="8">
        <f>IF($O278="Aktif",MAX(0,MIN($AE278,$AD278-SUM($AG278:AP278))),0)</f>
        <v>41291.291666666701</v>
      </c>
      <c r="AR278" s="8">
        <f>IF($O278="Aktif",MAX(0,MIN($AE278,$AD278-SUM($AG278:AQ278))),0)</f>
        <v>41291.291666666701</v>
      </c>
      <c r="AS278" s="8">
        <f>IF($O278="Aktif",MAX(0,MIN($AE278,$AD278-SUM($AG278:AR278))),0)</f>
        <v>41291.291666666701</v>
      </c>
      <c r="AT278" s="8">
        <f>IF($O278="Aktif",MAX(0,MIN($AE278,$AD278-SUM($AG278:AS278))),0)</f>
        <v>41291.291666666701</v>
      </c>
      <c r="AU278" s="8">
        <f>IF($O278="Aktif",MAX(0,MIN($AE278,$AD278-SUM($AG278:AT278))),0)</f>
        <v>41291.291666666701</v>
      </c>
      <c r="AV278" s="8">
        <f>IF($O278="Aktif",MAX(0,MIN($AE278,$AD278-SUM($AG278:AU278))),0)</f>
        <v>41291.291666666701</v>
      </c>
      <c r="AW278" s="8">
        <f t="shared" si="33"/>
        <v>660660.66666666721</v>
      </c>
      <c r="AX278" s="8">
        <f t="shared" si="34"/>
        <v>289039.04166666628</v>
      </c>
    </row>
    <row r="279" spans="1:50" ht="15" customHeight="1" x14ac:dyDescent="0.35">
      <c r="A279" s="102">
        <v>273</v>
      </c>
      <c r="B279" s="102" t="s">
        <v>586</v>
      </c>
      <c r="C279" s="103">
        <v>211</v>
      </c>
      <c r="D279" s="102" t="s">
        <v>184</v>
      </c>
      <c r="E279" s="102" t="s">
        <v>479</v>
      </c>
      <c r="F279" s="102" t="s">
        <v>947</v>
      </c>
      <c r="G279" s="102" t="s">
        <v>948</v>
      </c>
      <c r="H279" s="102" t="s">
        <v>949</v>
      </c>
      <c r="I279" s="102" t="s">
        <v>90</v>
      </c>
      <c r="J279" s="102"/>
      <c r="K279" s="102" t="s">
        <v>1133</v>
      </c>
      <c r="L279" s="104">
        <v>45550</v>
      </c>
      <c r="M279" s="102" t="s">
        <v>1134</v>
      </c>
      <c r="N279" s="102" t="s">
        <v>1134</v>
      </c>
      <c r="O279" s="102" t="s">
        <v>383</v>
      </c>
      <c r="P279" s="103">
        <v>1</v>
      </c>
      <c r="Q279" s="105">
        <v>1053153</v>
      </c>
      <c r="R279" s="103">
        <v>48</v>
      </c>
      <c r="S279" s="105">
        <v>21940.6875</v>
      </c>
      <c r="T279" s="105">
        <v>351051</v>
      </c>
      <c r="U279" s="105">
        <v>21940.6875</v>
      </c>
      <c r="V279" s="105">
        <v>21940.6875</v>
      </c>
      <c r="W279" s="105">
        <v>21940.6875</v>
      </c>
      <c r="X279" s="105">
        <v>21940.6875</v>
      </c>
      <c r="Y279" s="105">
        <v>21940.6875</v>
      </c>
      <c r="Z279" s="105">
        <v>21940.6875</v>
      </c>
      <c r="AA279" s="105">
        <v>21940.6875</v>
      </c>
      <c r="AB279" s="105">
        <v>21940.6875</v>
      </c>
      <c r="AC279" s="8">
        <f t="shared" si="28"/>
        <v>526576.5</v>
      </c>
      <c r="AD279" s="8">
        <f t="shared" si="29"/>
        <v>526576.5</v>
      </c>
      <c r="AE279" s="8">
        <f t="shared" si="30"/>
        <v>21940.6875</v>
      </c>
      <c r="AF279" s="106">
        <f t="shared" si="31"/>
        <v>24</v>
      </c>
      <c r="AG279" s="8">
        <f t="shared" si="32"/>
        <v>21940.6875</v>
      </c>
      <c r="AH279" s="8">
        <f>IF($O279="Aktif",MAX(0,MIN($AE279,$AD279-SUM($AG279:AG279))),0)</f>
        <v>21940.6875</v>
      </c>
      <c r="AI279" s="8">
        <f>IF($O279="Aktif",MAX(0,MIN($AE279,$AD279-SUM($AG279:AH279))),0)</f>
        <v>21940.6875</v>
      </c>
      <c r="AJ279" s="8">
        <f>IF($O279="Aktif",MAX(0,MIN($AE279,$AD279-SUM($AG279:AI279))),0)</f>
        <v>21940.6875</v>
      </c>
      <c r="AK279" s="8">
        <f>IF($O279="Aktif",MAX(0,MIN($AE279,$AD279-SUM($AG279:AJ279))),0)</f>
        <v>21940.6875</v>
      </c>
      <c r="AL279" s="8">
        <f>IF($O279="Aktif",MAX(0,MIN($AE279,$AD279-SUM($AG279:AK279))),0)</f>
        <v>21940.6875</v>
      </c>
      <c r="AM279" s="8">
        <f>IF($O279="Aktif",MAX(0,MIN($AE279,$AD279-SUM($AG279:AL279))),0)</f>
        <v>21940.6875</v>
      </c>
      <c r="AN279" s="8">
        <f>IF($O279="Aktif",MAX(0,MIN($AE279,$AD279-SUM($AG279:AM279))),0)</f>
        <v>21940.6875</v>
      </c>
      <c r="AO279" s="8">
        <f>IF($O279="Aktif",MAX(0,MIN($AE279,$AD279-SUM($AG279:AN279))),0)</f>
        <v>21940.6875</v>
      </c>
      <c r="AP279" s="8">
        <f>IF($O279="Aktif",MAX(0,MIN($AE279,$AD279-SUM($AG279:AO279))),0)</f>
        <v>21940.6875</v>
      </c>
      <c r="AQ279" s="8">
        <f>IF($O279="Aktif",MAX(0,MIN($AE279,$AD279-SUM($AG279:AP279))),0)</f>
        <v>21940.6875</v>
      </c>
      <c r="AR279" s="8">
        <f>IF($O279="Aktif",MAX(0,MIN($AE279,$AD279-SUM($AG279:AQ279))),0)</f>
        <v>21940.6875</v>
      </c>
      <c r="AS279" s="8">
        <f>IF($O279="Aktif",MAX(0,MIN($AE279,$AD279-SUM($AG279:AR279))),0)</f>
        <v>21940.6875</v>
      </c>
      <c r="AT279" s="8">
        <f>IF($O279="Aktif",MAX(0,MIN($AE279,$AD279-SUM($AG279:AS279))),0)</f>
        <v>21940.6875</v>
      </c>
      <c r="AU279" s="8">
        <f>IF($O279="Aktif",MAX(0,MIN($AE279,$AD279-SUM($AG279:AT279))),0)</f>
        <v>21940.6875</v>
      </c>
      <c r="AV279" s="8">
        <f>IF($O279="Aktif",MAX(0,MIN($AE279,$AD279-SUM($AG279:AU279))),0)</f>
        <v>21940.6875</v>
      </c>
      <c r="AW279" s="8">
        <f t="shared" si="33"/>
        <v>351051</v>
      </c>
      <c r="AX279" s="8">
        <f t="shared" si="34"/>
        <v>175525.5</v>
      </c>
    </row>
    <row r="280" spans="1:50" ht="15" customHeight="1" x14ac:dyDescent="0.35">
      <c r="A280" s="102">
        <v>274</v>
      </c>
      <c r="B280" s="102" t="s">
        <v>586</v>
      </c>
      <c r="C280" s="103">
        <v>212</v>
      </c>
      <c r="D280" s="102" t="s">
        <v>184</v>
      </c>
      <c r="E280" s="102" t="s">
        <v>479</v>
      </c>
      <c r="F280" s="102" t="s">
        <v>947</v>
      </c>
      <c r="G280" s="102" t="s">
        <v>948</v>
      </c>
      <c r="H280" s="102" t="s">
        <v>949</v>
      </c>
      <c r="I280" s="102" t="s">
        <v>90</v>
      </c>
      <c r="J280" s="102"/>
      <c r="K280" s="102" t="s">
        <v>1135</v>
      </c>
      <c r="L280" s="104">
        <v>45550</v>
      </c>
      <c r="M280" s="102" t="s">
        <v>1136</v>
      </c>
      <c r="N280" s="102" t="s">
        <v>1136</v>
      </c>
      <c r="O280" s="102" t="s">
        <v>383</v>
      </c>
      <c r="P280" s="103">
        <v>1</v>
      </c>
      <c r="Q280" s="105">
        <v>1583020</v>
      </c>
      <c r="R280" s="103">
        <v>48</v>
      </c>
      <c r="S280" s="105">
        <v>32979.583333333299</v>
      </c>
      <c r="T280" s="105">
        <v>527673.33333333302</v>
      </c>
      <c r="U280" s="105">
        <v>32979.583333333299</v>
      </c>
      <c r="V280" s="105">
        <v>32979.583333333299</v>
      </c>
      <c r="W280" s="105">
        <v>32979.583333333299</v>
      </c>
      <c r="X280" s="105">
        <v>32979.583333333299</v>
      </c>
      <c r="Y280" s="105">
        <v>32979.583333333299</v>
      </c>
      <c r="Z280" s="105">
        <v>32979.583333333299</v>
      </c>
      <c r="AA280" s="105">
        <v>32979.583333333299</v>
      </c>
      <c r="AB280" s="105">
        <v>32979.583333333299</v>
      </c>
      <c r="AC280" s="8">
        <f t="shared" si="28"/>
        <v>791509.99999999953</v>
      </c>
      <c r="AD280" s="8">
        <f t="shared" si="29"/>
        <v>791510.00000000047</v>
      </c>
      <c r="AE280" s="8">
        <f t="shared" si="30"/>
        <v>32979.583333333299</v>
      </c>
      <c r="AF280" s="106">
        <f t="shared" si="31"/>
        <v>24.000000000000039</v>
      </c>
      <c r="AG280" s="8">
        <f t="shared" si="32"/>
        <v>32979.583333333299</v>
      </c>
      <c r="AH280" s="8">
        <f>IF($O280="Aktif",MAX(0,MIN($AE280,$AD280-SUM($AG280:AG280))),0)</f>
        <v>32979.583333333299</v>
      </c>
      <c r="AI280" s="8">
        <f>IF($O280="Aktif",MAX(0,MIN($AE280,$AD280-SUM($AG280:AH280))),0)</f>
        <v>32979.583333333299</v>
      </c>
      <c r="AJ280" s="8">
        <f>IF($O280="Aktif",MAX(0,MIN($AE280,$AD280-SUM($AG280:AI280))),0)</f>
        <v>32979.583333333299</v>
      </c>
      <c r="AK280" s="8">
        <f>IF($O280="Aktif",MAX(0,MIN($AE280,$AD280-SUM($AG280:AJ280))),0)</f>
        <v>32979.583333333299</v>
      </c>
      <c r="AL280" s="8">
        <f>IF($O280="Aktif",MAX(0,MIN($AE280,$AD280-SUM($AG280:AK280))),0)</f>
        <v>32979.583333333299</v>
      </c>
      <c r="AM280" s="8">
        <f>IF($O280="Aktif",MAX(0,MIN($AE280,$AD280-SUM($AG280:AL280))),0)</f>
        <v>32979.583333333299</v>
      </c>
      <c r="AN280" s="8">
        <f>IF($O280="Aktif",MAX(0,MIN($AE280,$AD280-SUM($AG280:AM280))),0)</f>
        <v>32979.583333333299</v>
      </c>
      <c r="AO280" s="8">
        <f>IF($O280="Aktif",MAX(0,MIN($AE280,$AD280-SUM($AG280:AN280))),0)</f>
        <v>32979.583333333299</v>
      </c>
      <c r="AP280" s="8">
        <f>IF($O280="Aktif",MAX(0,MIN($AE280,$AD280-SUM($AG280:AO280))),0)</f>
        <v>32979.583333333299</v>
      </c>
      <c r="AQ280" s="8">
        <f>IF($O280="Aktif",MAX(0,MIN($AE280,$AD280-SUM($AG280:AP280))),0)</f>
        <v>32979.583333333299</v>
      </c>
      <c r="AR280" s="8">
        <f>IF($O280="Aktif",MAX(0,MIN($AE280,$AD280-SUM($AG280:AQ280))),0)</f>
        <v>32979.583333333299</v>
      </c>
      <c r="AS280" s="8">
        <f>IF($O280="Aktif",MAX(0,MIN($AE280,$AD280-SUM($AG280:AR280))),0)</f>
        <v>32979.583333333299</v>
      </c>
      <c r="AT280" s="8">
        <f>IF($O280="Aktif",MAX(0,MIN($AE280,$AD280-SUM($AG280:AS280))),0)</f>
        <v>32979.583333333299</v>
      </c>
      <c r="AU280" s="8">
        <f>IF($O280="Aktif",MAX(0,MIN($AE280,$AD280-SUM($AG280:AT280))),0)</f>
        <v>32979.583333333299</v>
      </c>
      <c r="AV280" s="8">
        <f>IF($O280="Aktif",MAX(0,MIN($AE280,$AD280-SUM($AG280:AU280))),0)</f>
        <v>32979.583333333299</v>
      </c>
      <c r="AW280" s="8">
        <f t="shared" si="33"/>
        <v>527673.33333333291</v>
      </c>
      <c r="AX280" s="8">
        <f t="shared" si="34"/>
        <v>263836.66666666756</v>
      </c>
    </row>
    <row r="281" spans="1:50" ht="15" customHeight="1" x14ac:dyDescent="0.35">
      <c r="A281" s="102">
        <v>275</v>
      </c>
      <c r="B281" s="102" t="s">
        <v>586</v>
      </c>
      <c r="C281" s="103">
        <v>213</v>
      </c>
      <c r="D281" s="102" t="s">
        <v>184</v>
      </c>
      <c r="E281" s="102" t="s">
        <v>479</v>
      </c>
      <c r="F281" s="102" t="s">
        <v>947</v>
      </c>
      <c r="G281" s="102" t="s">
        <v>948</v>
      </c>
      <c r="H281" s="102" t="s">
        <v>949</v>
      </c>
      <c r="I281" s="102" t="s">
        <v>90</v>
      </c>
      <c r="J281" s="102"/>
      <c r="K281" s="102" t="s">
        <v>1137</v>
      </c>
      <c r="L281" s="104">
        <v>45550</v>
      </c>
      <c r="M281" s="102" t="s">
        <v>1138</v>
      </c>
      <c r="N281" s="102" t="s">
        <v>1138</v>
      </c>
      <c r="O281" s="102" t="s">
        <v>383</v>
      </c>
      <c r="P281" s="103">
        <v>1</v>
      </c>
      <c r="Q281" s="105">
        <v>2400000</v>
      </c>
      <c r="R281" s="103">
        <v>48</v>
      </c>
      <c r="S281" s="105">
        <v>50000</v>
      </c>
      <c r="T281" s="105">
        <v>800000</v>
      </c>
      <c r="U281" s="105">
        <v>50000</v>
      </c>
      <c r="V281" s="105">
        <v>50000</v>
      </c>
      <c r="W281" s="105">
        <v>50000</v>
      </c>
      <c r="X281" s="105">
        <v>50000</v>
      </c>
      <c r="Y281" s="105">
        <v>50000</v>
      </c>
      <c r="Z281" s="105">
        <v>50000</v>
      </c>
      <c r="AA281" s="105">
        <v>50000</v>
      </c>
      <c r="AB281" s="105">
        <v>50000</v>
      </c>
      <c r="AC281" s="8">
        <f t="shared" si="28"/>
        <v>1200000</v>
      </c>
      <c r="AD281" s="8">
        <f t="shared" si="29"/>
        <v>1200000</v>
      </c>
      <c r="AE281" s="8">
        <f t="shared" si="30"/>
        <v>50000</v>
      </c>
      <c r="AF281" s="106">
        <f t="shared" si="31"/>
        <v>24</v>
      </c>
      <c r="AG281" s="8">
        <f t="shared" si="32"/>
        <v>50000</v>
      </c>
      <c r="AH281" s="8">
        <f>IF($O281="Aktif",MAX(0,MIN($AE281,$AD281-SUM($AG281:AG281))),0)</f>
        <v>50000</v>
      </c>
      <c r="AI281" s="8">
        <f>IF($O281="Aktif",MAX(0,MIN($AE281,$AD281-SUM($AG281:AH281))),0)</f>
        <v>50000</v>
      </c>
      <c r="AJ281" s="8">
        <f>IF($O281="Aktif",MAX(0,MIN($AE281,$AD281-SUM($AG281:AI281))),0)</f>
        <v>50000</v>
      </c>
      <c r="AK281" s="8">
        <f>IF($O281="Aktif",MAX(0,MIN($AE281,$AD281-SUM($AG281:AJ281))),0)</f>
        <v>50000</v>
      </c>
      <c r="AL281" s="8">
        <f>IF($O281="Aktif",MAX(0,MIN($AE281,$AD281-SUM($AG281:AK281))),0)</f>
        <v>50000</v>
      </c>
      <c r="AM281" s="8">
        <f>IF($O281="Aktif",MAX(0,MIN($AE281,$AD281-SUM($AG281:AL281))),0)</f>
        <v>50000</v>
      </c>
      <c r="AN281" s="8">
        <f>IF($O281="Aktif",MAX(0,MIN($AE281,$AD281-SUM($AG281:AM281))),0)</f>
        <v>50000</v>
      </c>
      <c r="AO281" s="8">
        <f>IF($O281="Aktif",MAX(0,MIN($AE281,$AD281-SUM($AG281:AN281))),0)</f>
        <v>50000</v>
      </c>
      <c r="AP281" s="8">
        <f>IF($O281="Aktif",MAX(0,MIN($AE281,$AD281-SUM($AG281:AO281))),0)</f>
        <v>50000</v>
      </c>
      <c r="AQ281" s="8">
        <f>IF($O281="Aktif",MAX(0,MIN($AE281,$AD281-SUM($AG281:AP281))),0)</f>
        <v>50000</v>
      </c>
      <c r="AR281" s="8">
        <f>IF($O281="Aktif",MAX(0,MIN($AE281,$AD281-SUM($AG281:AQ281))),0)</f>
        <v>50000</v>
      </c>
      <c r="AS281" s="8">
        <f>IF($O281="Aktif",MAX(0,MIN($AE281,$AD281-SUM($AG281:AR281))),0)</f>
        <v>50000</v>
      </c>
      <c r="AT281" s="8">
        <f>IF($O281="Aktif",MAX(0,MIN($AE281,$AD281-SUM($AG281:AS281))),0)</f>
        <v>50000</v>
      </c>
      <c r="AU281" s="8">
        <f>IF($O281="Aktif",MAX(0,MIN($AE281,$AD281-SUM($AG281:AT281))),0)</f>
        <v>50000</v>
      </c>
      <c r="AV281" s="8">
        <f>IF($O281="Aktif",MAX(0,MIN($AE281,$AD281-SUM($AG281:AU281))),0)</f>
        <v>50000</v>
      </c>
      <c r="AW281" s="8">
        <f t="shared" si="33"/>
        <v>800000</v>
      </c>
      <c r="AX281" s="8">
        <f t="shared" si="34"/>
        <v>400000</v>
      </c>
    </row>
    <row r="282" spans="1:50" ht="15" customHeight="1" x14ac:dyDescent="0.35">
      <c r="A282" s="102">
        <v>276</v>
      </c>
      <c r="B282" s="102" t="s">
        <v>586</v>
      </c>
      <c r="C282" s="103">
        <v>214</v>
      </c>
      <c r="D282" s="102" t="s">
        <v>184</v>
      </c>
      <c r="E282" s="102" t="s">
        <v>479</v>
      </c>
      <c r="F282" s="102" t="s">
        <v>947</v>
      </c>
      <c r="G282" s="102" t="s">
        <v>948</v>
      </c>
      <c r="H282" s="102" t="s">
        <v>949</v>
      </c>
      <c r="I282" s="102" t="s">
        <v>90</v>
      </c>
      <c r="J282" s="102"/>
      <c r="K282" s="102" t="s">
        <v>1139</v>
      </c>
      <c r="L282" s="104">
        <v>45549</v>
      </c>
      <c r="M282" s="102" t="s">
        <v>1140</v>
      </c>
      <c r="N282" s="102" t="s">
        <v>1140</v>
      </c>
      <c r="O282" s="102" t="s">
        <v>383</v>
      </c>
      <c r="P282" s="103">
        <v>1</v>
      </c>
      <c r="Q282" s="105">
        <v>1666667</v>
      </c>
      <c r="R282" s="103">
        <v>48</v>
      </c>
      <c r="S282" s="105">
        <v>34722.229166666701</v>
      </c>
      <c r="T282" s="105">
        <v>555555.66666666698</v>
      </c>
      <c r="U282" s="105">
        <v>34722.229166666701</v>
      </c>
      <c r="V282" s="105">
        <v>34722.229166666701</v>
      </c>
      <c r="W282" s="105">
        <v>34722.229166666701</v>
      </c>
      <c r="X282" s="105">
        <v>34722.229166666701</v>
      </c>
      <c r="Y282" s="105">
        <v>34722.229166666701</v>
      </c>
      <c r="Z282" s="105">
        <v>34722.229166666701</v>
      </c>
      <c r="AA282" s="105">
        <v>34722.229166666701</v>
      </c>
      <c r="AB282" s="105">
        <v>34722.229166666701</v>
      </c>
      <c r="AC282" s="8">
        <f t="shared" si="28"/>
        <v>833333.50000000047</v>
      </c>
      <c r="AD282" s="8">
        <f t="shared" si="29"/>
        <v>833333.49999999953</v>
      </c>
      <c r="AE282" s="8">
        <f t="shared" si="30"/>
        <v>34722.229166666701</v>
      </c>
      <c r="AF282" s="106">
        <f t="shared" si="31"/>
        <v>23.999999999999964</v>
      </c>
      <c r="AG282" s="8">
        <f t="shared" si="32"/>
        <v>34722.229166666701</v>
      </c>
      <c r="AH282" s="8">
        <f>IF($O282="Aktif",MAX(0,MIN($AE282,$AD282-SUM($AG282:AG282))),0)</f>
        <v>34722.229166666701</v>
      </c>
      <c r="AI282" s="8">
        <f>IF($O282="Aktif",MAX(0,MIN($AE282,$AD282-SUM($AG282:AH282))),0)</f>
        <v>34722.229166666701</v>
      </c>
      <c r="AJ282" s="8">
        <f>IF($O282="Aktif",MAX(0,MIN($AE282,$AD282-SUM($AG282:AI282))),0)</f>
        <v>34722.229166666701</v>
      </c>
      <c r="AK282" s="8">
        <f>IF($O282="Aktif",MAX(0,MIN($AE282,$AD282-SUM($AG282:AJ282))),0)</f>
        <v>34722.229166666701</v>
      </c>
      <c r="AL282" s="8">
        <f>IF($O282="Aktif",MAX(0,MIN($AE282,$AD282-SUM($AG282:AK282))),0)</f>
        <v>34722.229166666701</v>
      </c>
      <c r="AM282" s="8">
        <f>IF($O282="Aktif",MAX(0,MIN($AE282,$AD282-SUM($AG282:AL282))),0)</f>
        <v>34722.229166666701</v>
      </c>
      <c r="AN282" s="8">
        <f>IF($O282="Aktif",MAX(0,MIN($AE282,$AD282-SUM($AG282:AM282))),0)</f>
        <v>34722.229166666701</v>
      </c>
      <c r="AO282" s="8">
        <f>IF($O282="Aktif",MAX(0,MIN($AE282,$AD282-SUM($AG282:AN282))),0)</f>
        <v>34722.229166666701</v>
      </c>
      <c r="AP282" s="8">
        <f>IF($O282="Aktif",MAX(0,MIN($AE282,$AD282-SUM($AG282:AO282))),0)</f>
        <v>34722.229166666701</v>
      </c>
      <c r="AQ282" s="8">
        <f>IF($O282="Aktif",MAX(0,MIN($AE282,$AD282-SUM($AG282:AP282))),0)</f>
        <v>34722.229166666701</v>
      </c>
      <c r="AR282" s="8">
        <f>IF($O282="Aktif",MAX(0,MIN($AE282,$AD282-SUM($AG282:AQ282))),0)</f>
        <v>34722.229166666701</v>
      </c>
      <c r="AS282" s="8">
        <f>IF($O282="Aktif",MAX(0,MIN($AE282,$AD282-SUM($AG282:AR282))),0)</f>
        <v>34722.229166666701</v>
      </c>
      <c r="AT282" s="8">
        <f>IF($O282="Aktif",MAX(0,MIN($AE282,$AD282-SUM($AG282:AS282))),0)</f>
        <v>34722.229166666701</v>
      </c>
      <c r="AU282" s="8">
        <f>IF($O282="Aktif",MAX(0,MIN($AE282,$AD282-SUM($AG282:AT282))),0)</f>
        <v>34722.229166666701</v>
      </c>
      <c r="AV282" s="8">
        <f>IF($O282="Aktif",MAX(0,MIN($AE282,$AD282-SUM($AG282:AU282))),0)</f>
        <v>34722.229166666701</v>
      </c>
      <c r="AW282" s="8">
        <f t="shared" si="33"/>
        <v>555555.66666666709</v>
      </c>
      <c r="AX282" s="8">
        <f t="shared" si="34"/>
        <v>277777.83333333244</v>
      </c>
    </row>
    <row r="283" spans="1:50" ht="15" customHeight="1" x14ac:dyDescent="0.35">
      <c r="A283" s="102">
        <v>277</v>
      </c>
      <c r="B283" s="102" t="s">
        <v>586</v>
      </c>
      <c r="C283" s="103">
        <v>215</v>
      </c>
      <c r="D283" s="102" t="s">
        <v>184</v>
      </c>
      <c r="E283" s="102" t="s">
        <v>479</v>
      </c>
      <c r="F283" s="102" t="s">
        <v>947</v>
      </c>
      <c r="G283" s="102" t="s">
        <v>948</v>
      </c>
      <c r="H283" s="102" t="s">
        <v>949</v>
      </c>
      <c r="I283" s="102" t="s">
        <v>90</v>
      </c>
      <c r="J283" s="102"/>
      <c r="K283" s="102" t="s">
        <v>1141</v>
      </c>
      <c r="L283" s="104">
        <v>45574</v>
      </c>
      <c r="M283" s="102" t="s">
        <v>1142</v>
      </c>
      <c r="N283" s="102" t="s">
        <v>1142</v>
      </c>
      <c r="O283" s="102" t="s">
        <v>383</v>
      </c>
      <c r="P283" s="103">
        <v>1</v>
      </c>
      <c r="Q283" s="105">
        <v>3873874</v>
      </c>
      <c r="R283" s="103">
        <v>48</v>
      </c>
      <c r="S283" s="105">
        <v>80705.708333333299</v>
      </c>
      <c r="T283" s="105">
        <v>1210585.625</v>
      </c>
      <c r="U283" s="105">
        <v>80705.708333333299</v>
      </c>
      <c r="V283" s="105">
        <v>80705.708333333299</v>
      </c>
      <c r="W283" s="105">
        <v>80705.708333333299</v>
      </c>
      <c r="X283" s="105">
        <v>80705.708333333299</v>
      </c>
      <c r="Y283" s="105">
        <v>80705.708333333299</v>
      </c>
      <c r="Z283" s="105">
        <v>80705.708333333299</v>
      </c>
      <c r="AA283" s="105">
        <v>80705.708333333299</v>
      </c>
      <c r="AB283" s="105">
        <v>80705.708333333299</v>
      </c>
      <c r="AC283" s="8">
        <f t="shared" si="28"/>
        <v>1856231.2916666665</v>
      </c>
      <c r="AD283" s="8">
        <f t="shared" si="29"/>
        <v>2017642.7083333335</v>
      </c>
      <c r="AE283" s="8">
        <f t="shared" si="30"/>
        <v>80705.708333333299</v>
      </c>
      <c r="AF283" s="106">
        <f t="shared" si="31"/>
        <v>25.000000000000014</v>
      </c>
      <c r="AG283" s="8">
        <f t="shared" si="32"/>
        <v>80705.708333333299</v>
      </c>
      <c r="AH283" s="8">
        <f>IF($O283="Aktif",MAX(0,MIN($AE283,$AD283-SUM($AG283:AG283))),0)</f>
        <v>80705.708333333299</v>
      </c>
      <c r="AI283" s="8">
        <f>IF($O283="Aktif",MAX(0,MIN($AE283,$AD283-SUM($AG283:AH283))),0)</f>
        <v>80705.708333333299</v>
      </c>
      <c r="AJ283" s="8">
        <f>IF($O283="Aktif",MAX(0,MIN($AE283,$AD283-SUM($AG283:AI283))),0)</f>
        <v>80705.708333333299</v>
      </c>
      <c r="AK283" s="8">
        <f>IF($O283="Aktif",MAX(0,MIN($AE283,$AD283-SUM($AG283:AJ283))),0)</f>
        <v>80705.708333333299</v>
      </c>
      <c r="AL283" s="8">
        <f>IF($O283="Aktif",MAX(0,MIN($AE283,$AD283-SUM($AG283:AK283))),0)</f>
        <v>80705.708333333299</v>
      </c>
      <c r="AM283" s="8">
        <f>IF($O283="Aktif",MAX(0,MIN($AE283,$AD283-SUM($AG283:AL283))),0)</f>
        <v>80705.708333333299</v>
      </c>
      <c r="AN283" s="8">
        <f>IF($O283="Aktif",MAX(0,MIN($AE283,$AD283-SUM($AG283:AM283))),0)</f>
        <v>80705.708333333299</v>
      </c>
      <c r="AO283" s="8">
        <f>IF($O283="Aktif",MAX(0,MIN($AE283,$AD283-SUM($AG283:AN283))),0)</f>
        <v>80705.708333333299</v>
      </c>
      <c r="AP283" s="8">
        <f>IF($O283="Aktif",MAX(0,MIN($AE283,$AD283-SUM($AG283:AO283))),0)</f>
        <v>80705.708333333299</v>
      </c>
      <c r="AQ283" s="8">
        <f>IF($O283="Aktif",MAX(0,MIN($AE283,$AD283-SUM($AG283:AP283))),0)</f>
        <v>80705.708333333299</v>
      </c>
      <c r="AR283" s="8">
        <f>IF($O283="Aktif",MAX(0,MIN($AE283,$AD283-SUM($AG283:AQ283))),0)</f>
        <v>80705.708333333299</v>
      </c>
      <c r="AS283" s="8">
        <f>IF($O283="Aktif",MAX(0,MIN($AE283,$AD283-SUM($AG283:AR283))),0)</f>
        <v>80705.708333333299</v>
      </c>
      <c r="AT283" s="8">
        <f>IF($O283="Aktif",MAX(0,MIN($AE283,$AD283-SUM($AG283:AS283))),0)</f>
        <v>80705.708333333299</v>
      </c>
      <c r="AU283" s="8">
        <f>IF($O283="Aktif",MAX(0,MIN($AE283,$AD283-SUM($AG283:AT283))),0)</f>
        <v>80705.708333333299</v>
      </c>
      <c r="AV283" s="8">
        <f>IF($O283="Aktif",MAX(0,MIN($AE283,$AD283-SUM($AG283:AU283))),0)</f>
        <v>80705.708333333299</v>
      </c>
      <c r="AW283" s="8">
        <f t="shared" si="33"/>
        <v>1291291.3333333326</v>
      </c>
      <c r="AX283" s="8">
        <f t="shared" si="34"/>
        <v>726351.37500000093</v>
      </c>
    </row>
    <row r="284" spans="1:50" ht="15" customHeight="1" x14ac:dyDescent="0.35">
      <c r="A284" s="102">
        <v>278</v>
      </c>
      <c r="B284" s="102" t="s">
        <v>586</v>
      </c>
      <c r="C284" s="103">
        <v>216</v>
      </c>
      <c r="D284" s="102" t="s">
        <v>184</v>
      </c>
      <c r="E284" s="102" t="s">
        <v>479</v>
      </c>
      <c r="F284" s="102" t="s">
        <v>947</v>
      </c>
      <c r="G284" s="102" t="s">
        <v>948</v>
      </c>
      <c r="H284" s="102" t="s">
        <v>949</v>
      </c>
      <c r="I284" s="102" t="s">
        <v>90</v>
      </c>
      <c r="J284" s="102"/>
      <c r="K284" s="102" t="s">
        <v>1143</v>
      </c>
      <c r="L284" s="104">
        <v>45575</v>
      </c>
      <c r="M284" s="102" t="s">
        <v>1144</v>
      </c>
      <c r="N284" s="102" t="s">
        <v>1144</v>
      </c>
      <c r="O284" s="102" t="s">
        <v>383</v>
      </c>
      <c r="P284" s="103">
        <v>1</v>
      </c>
      <c r="Q284" s="105">
        <v>2300000</v>
      </c>
      <c r="R284" s="103">
        <v>48</v>
      </c>
      <c r="S284" s="105">
        <v>47916.666666666701</v>
      </c>
      <c r="T284" s="105">
        <v>718750</v>
      </c>
      <c r="U284" s="105">
        <v>47916.666666666701</v>
      </c>
      <c r="V284" s="105">
        <v>47916.666666666701</v>
      </c>
      <c r="W284" s="105">
        <v>47916.666666666701</v>
      </c>
      <c r="X284" s="105">
        <v>47916.666666666701</v>
      </c>
      <c r="Y284" s="105">
        <v>47916.666666666701</v>
      </c>
      <c r="Z284" s="105">
        <v>47916.666666666701</v>
      </c>
      <c r="AA284" s="105">
        <v>47916.666666666701</v>
      </c>
      <c r="AB284" s="105">
        <v>47916.666666666701</v>
      </c>
      <c r="AC284" s="8">
        <f t="shared" si="28"/>
        <v>1102083.3333333335</v>
      </c>
      <c r="AD284" s="8">
        <f t="shared" si="29"/>
        <v>1197916.6666666665</v>
      </c>
      <c r="AE284" s="8">
        <f t="shared" si="30"/>
        <v>47916.666666666701</v>
      </c>
      <c r="AF284" s="106">
        <f t="shared" si="31"/>
        <v>24.999999999999979</v>
      </c>
      <c r="AG284" s="8">
        <f t="shared" si="32"/>
        <v>47916.666666666701</v>
      </c>
      <c r="AH284" s="8">
        <f>IF($O284="Aktif",MAX(0,MIN($AE284,$AD284-SUM($AG284:AG284))),0)</f>
        <v>47916.666666666701</v>
      </c>
      <c r="AI284" s="8">
        <f>IF($O284="Aktif",MAX(0,MIN($AE284,$AD284-SUM($AG284:AH284))),0)</f>
        <v>47916.666666666701</v>
      </c>
      <c r="AJ284" s="8">
        <f>IF($O284="Aktif",MAX(0,MIN($AE284,$AD284-SUM($AG284:AI284))),0)</f>
        <v>47916.666666666701</v>
      </c>
      <c r="AK284" s="8">
        <f>IF($O284="Aktif",MAX(0,MIN($AE284,$AD284-SUM($AG284:AJ284))),0)</f>
        <v>47916.666666666701</v>
      </c>
      <c r="AL284" s="8">
        <f>IF($O284="Aktif",MAX(0,MIN($AE284,$AD284-SUM($AG284:AK284))),0)</f>
        <v>47916.666666666701</v>
      </c>
      <c r="AM284" s="8">
        <f>IF($O284="Aktif",MAX(0,MIN($AE284,$AD284-SUM($AG284:AL284))),0)</f>
        <v>47916.666666666701</v>
      </c>
      <c r="AN284" s="8">
        <f>IF($O284="Aktif",MAX(0,MIN($AE284,$AD284-SUM($AG284:AM284))),0)</f>
        <v>47916.666666666701</v>
      </c>
      <c r="AO284" s="8">
        <f>IF($O284="Aktif",MAX(0,MIN($AE284,$AD284-SUM($AG284:AN284))),0)</f>
        <v>47916.666666666701</v>
      </c>
      <c r="AP284" s="8">
        <f>IF($O284="Aktif",MAX(0,MIN($AE284,$AD284-SUM($AG284:AO284))),0)</f>
        <v>47916.666666666701</v>
      </c>
      <c r="AQ284" s="8">
        <f>IF($O284="Aktif",MAX(0,MIN($AE284,$AD284-SUM($AG284:AP284))),0)</f>
        <v>47916.666666666701</v>
      </c>
      <c r="AR284" s="8">
        <f>IF($O284="Aktif",MAX(0,MIN($AE284,$AD284-SUM($AG284:AQ284))),0)</f>
        <v>47916.666666666701</v>
      </c>
      <c r="AS284" s="8">
        <f>IF($O284="Aktif",MAX(0,MIN($AE284,$AD284-SUM($AG284:AR284))),0)</f>
        <v>47916.666666666701</v>
      </c>
      <c r="AT284" s="8">
        <f>IF($O284="Aktif",MAX(0,MIN($AE284,$AD284-SUM($AG284:AS284))),0)</f>
        <v>47916.666666666701</v>
      </c>
      <c r="AU284" s="8">
        <f>IF($O284="Aktif",MAX(0,MIN($AE284,$AD284-SUM($AG284:AT284))),0)</f>
        <v>47916.666666666701</v>
      </c>
      <c r="AV284" s="8">
        <f>IF($O284="Aktif",MAX(0,MIN($AE284,$AD284-SUM($AG284:AU284))),0)</f>
        <v>47916.666666666701</v>
      </c>
      <c r="AW284" s="8">
        <f t="shared" si="33"/>
        <v>766666.66666666733</v>
      </c>
      <c r="AX284" s="8">
        <f t="shared" si="34"/>
        <v>431249.99999999919</v>
      </c>
    </row>
    <row r="285" spans="1:50" ht="15" customHeight="1" x14ac:dyDescent="0.35">
      <c r="A285" s="102">
        <v>279</v>
      </c>
      <c r="B285" s="102" t="s">
        <v>586</v>
      </c>
      <c r="C285" s="103">
        <v>217</v>
      </c>
      <c r="D285" s="102" t="s">
        <v>184</v>
      </c>
      <c r="E285" s="102" t="s">
        <v>479</v>
      </c>
      <c r="F285" s="102" t="s">
        <v>947</v>
      </c>
      <c r="G285" s="102" t="s">
        <v>948</v>
      </c>
      <c r="H285" s="102" t="s">
        <v>949</v>
      </c>
      <c r="I285" s="102" t="s">
        <v>90</v>
      </c>
      <c r="J285" s="102"/>
      <c r="K285" s="102" t="s">
        <v>1145</v>
      </c>
      <c r="L285" s="104">
        <v>45575</v>
      </c>
      <c r="M285" s="102" t="s">
        <v>1146</v>
      </c>
      <c r="N285" s="102" t="s">
        <v>1146</v>
      </c>
      <c r="O285" s="102" t="s">
        <v>383</v>
      </c>
      <c r="P285" s="103">
        <v>1</v>
      </c>
      <c r="Q285" s="105">
        <v>2300000</v>
      </c>
      <c r="R285" s="103">
        <v>48</v>
      </c>
      <c r="S285" s="105">
        <v>47916.666666666701</v>
      </c>
      <c r="T285" s="105">
        <v>718750</v>
      </c>
      <c r="U285" s="105">
        <v>47916.666666666701</v>
      </c>
      <c r="V285" s="105">
        <v>47916.666666666701</v>
      </c>
      <c r="W285" s="105">
        <v>47916.666666666701</v>
      </c>
      <c r="X285" s="105">
        <v>47916.666666666701</v>
      </c>
      <c r="Y285" s="105">
        <v>47916.666666666701</v>
      </c>
      <c r="Z285" s="105">
        <v>47916.666666666701</v>
      </c>
      <c r="AA285" s="105">
        <v>47916.666666666701</v>
      </c>
      <c r="AB285" s="105">
        <v>47916.666666666701</v>
      </c>
      <c r="AC285" s="8">
        <f t="shared" si="28"/>
        <v>1102083.3333333335</v>
      </c>
      <c r="AD285" s="8">
        <f t="shared" si="29"/>
        <v>1197916.6666666665</v>
      </c>
      <c r="AE285" s="8">
        <f t="shared" si="30"/>
        <v>47916.666666666701</v>
      </c>
      <c r="AF285" s="106">
        <f t="shared" si="31"/>
        <v>24.999999999999979</v>
      </c>
      <c r="AG285" s="8">
        <f t="shared" si="32"/>
        <v>47916.666666666701</v>
      </c>
      <c r="AH285" s="8">
        <f>IF($O285="Aktif",MAX(0,MIN($AE285,$AD285-SUM($AG285:AG285))),0)</f>
        <v>47916.666666666701</v>
      </c>
      <c r="AI285" s="8">
        <f>IF($O285="Aktif",MAX(0,MIN($AE285,$AD285-SUM($AG285:AH285))),0)</f>
        <v>47916.666666666701</v>
      </c>
      <c r="AJ285" s="8">
        <f>IF($O285="Aktif",MAX(0,MIN($AE285,$AD285-SUM($AG285:AI285))),0)</f>
        <v>47916.666666666701</v>
      </c>
      <c r="AK285" s="8">
        <f>IF($O285="Aktif",MAX(0,MIN($AE285,$AD285-SUM($AG285:AJ285))),0)</f>
        <v>47916.666666666701</v>
      </c>
      <c r="AL285" s="8">
        <f>IF($O285="Aktif",MAX(0,MIN($AE285,$AD285-SUM($AG285:AK285))),0)</f>
        <v>47916.666666666701</v>
      </c>
      <c r="AM285" s="8">
        <f>IF($O285="Aktif",MAX(0,MIN($AE285,$AD285-SUM($AG285:AL285))),0)</f>
        <v>47916.666666666701</v>
      </c>
      <c r="AN285" s="8">
        <f>IF($O285="Aktif",MAX(0,MIN($AE285,$AD285-SUM($AG285:AM285))),0)</f>
        <v>47916.666666666701</v>
      </c>
      <c r="AO285" s="8">
        <f>IF($O285="Aktif",MAX(0,MIN($AE285,$AD285-SUM($AG285:AN285))),0)</f>
        <v>47916.666666666701</v>
      </c>
      <c r="AP285" s="8">
        <f>IF($O285="Aktif",MAX(0,MIN($AE285,$AD285-SUM($AG285:AO285))),0)</f>
        <v>47916.666666666701</v>
      </c>
      <c r="AQ285" s="8">
        <f>IF($O285="Aktif",MAX(0,MIN($AE285,$AD285-SUM($AG285:AP285))),0)</f>
        <v>47916.666666666701</v>
      </c>
      <c r="AR285" s="8">
        <f>IF($O285="Aktif",MAX(0,MIN($AE285,$AD285-SUM($AG285:AQ285))),0)</f>
        <v>47916.666666666701</v>
      </c>
      <c r="AS285" s="8">
        <f>IF($O285="Aktif",MAX(0,MIN($AE285,$AD285-SUM($AG285:AR285))),0)</f>
        <v>47916.666666666701</v>
      </c>
      <c r="AT285" s="8">
        <f>IF($O285="Aktif",MAX(0,MIN($AE285,$AD285-SUM($AG285:AS285))),0)</f>
        <v>47916.666666666701</v>
      </c>
      <c r="AU285" s="8">
        <f>IF($O285="Aktif",MAX(0,MIN($AE285,$AD285-SUM($AG285:AT285))),0)</f>
        <v>47916.666666666701</v>
      </c>
      <c r="AV285" s="8">
        <f>IF($O285="Aktif",MAX(0,MIN($AE285,$AD285-SUM($AG285:AU285))),0)</f>
        <v>47916.666666666701</v>
      </c>
      <c r="AW285" s="8">
        <f t="shared" si="33"/>
        <v>766666.66666666733</v>
      </c>
      <c r="AX285" s="8">
        <f t="shared" si="34"/>
        <v>431249.99999999919</v>
      </c>
    </row>
    <row r="286" spans="1:50" ht="15" customHeight="1" x14ac:dyDescent="0.35">
      <c r="A286" s="102">
        <v>280</v>
      </c>
      <c r="B286" s="102" t="s">
        <v>586</v>
      </c>
      <c r="C286" s="103">
        <v>218</v>
      </c>
      <c r="D286" s="102" t="s">
        <v>184</v>
      </c>
      <c r="E286" s="102" t="s">
        <v>479</v>
      </c>
      <c r="F286" s="102" t="s">
        <v>947</v>
      </c>
      <c r="G286" s="102" t="s">
        <v>948</v>
      </c>
      <c r="H286" s="102" t="s">
        <v>949</v>
      </c>
      <c r="I286" s="102" t="s">
        <v>90</v>
      </c>
      <c r="J286" s="102"/>
      <c r="K286" s="102" t="s">
        <v>1147</v>
      </c>
      <c r="L286" s="104">
        <v>45575</v>
      </c>
      <c r="M286" s="102" t="s">
        <v>1148</v>
      </c>
      <c r="N286" s="102" t="s">
        <v>1148</v>
      </c>
      <c r="O286" s="102" t="s">
        <v>383</v>
      </c>
      <c r="P286" s="103">
        <v>1</v>
      </c>
      <c r="Q286" s="105">
        <v>2300000</v>
      </c>
      <c r="R286" s="103">
        <v>48</v>
      </c>
      <c r="S286" s="105">
        <v>47916.666666666701</v>
      </c>
      <c r="T286" s="105">
        <v>718750</v>
      </c>
      <c r="U286" s="105">
        <v>47916.666666666701</v>
      </c>
      <c r="V286" s="105">
        <v>47916.666666666701</v>
      </c>
      <c r="W286" s="105">
        <v>47916.666666666701</v>
      </c>
      <c r="X286" s="105">
        <v>47916.666666666701</v>
      </c>
      <c r="Y286" s="105">
        <v>47916.666666666701</v>
      </c>
      <c r="Z286" s="105">
        <v>47916.666666666701</v>
      </c>
      <c r="AA286" s="105">
        <v>47916.666666666701</v>
      </c>
      <c r="AB286" s="105">
        <v>47916.666666666701</v>
      </c>
      <c r="AC286" s="8">
        <f t="shared" si="28"/>
        <v>1102083.3333333335</v>
      </c>
      <c r="AD286" s="8">
        <f t="shared" si="29"/>
        <v>1197916.6666666665</v>
      </c>
      <c r="AE286" s="8">
        <f t="shared" si="30"/>
        <v>47916.666666666701</v>
      </c>
      <c r="AF286" s="106">
        <f t="shared" si="31"/>
        <v>24.999999999999979</v>
      </c>
      <c r="AG286" s="8">
        <f t="shared" si="32"/>
        <v>47916.666666666701</v>
      </c>
      <c r="AH286" s="8">
        <f>IF($O286="Aktif",MAX(0,MIN($AE286,$AD286-SUM($AG286:AG286))),0)</f>
        <v>47916.666666666701</v>
      </c>
      <c r="AI286" s="8">
        <f>IF($O286="Aktif",MAX(0,MIN($AE286,$AD286-SUM($AG286:AH286))),0)</f>
        <v>47916.666666666701</v>
      </c>
      <c r="AJ286" s="8">
        <f>IF($O286="Aktif",MAX(0,MIN($AE286,$AD286-SUM($AG286:AI286))),0)</f>
        <v>47916.666666666701</v>
      </c>
      <c r="AK286" s="8">
        <f>IF($O286="Aktif",MAX(0,MIN($AE286,$AD286-SUM($AG286:AJ286))),0)</f>
        <v>47916.666666666701</v>
      </c>
      <c r="AL286" s="8">
        <f>IF($O286="Aktif",MAX(0,MIN($AE286,$AD286-SUM($AG286:AK286))),0)</f>
        <v>47916.666666666701</v>
      </c>
      <c r="AM286" s="8">
        <f>IF($O286="Aktif",MAX(0,MIN($AE286,$AD286-SUM($AG286:AL286))),0)</f>
        <v>47916.666666666701</v>
      </c>
      <c r="AN286" s="8">
        <f>IF($O286="Aktif",MAX(0,MIN($AE286,$AD286-SUM($AG286:AM286))),0)</f>
        <v>47916.666666666701</v>
      </c>
      <c r="AO286" s="8">
        <f>IF($O286="Aktif",MAX(0,MIN($AE286,$AD286-SUM($AG286:AN286))),0)</f>
        <v>47916.666666666701</v>
      </c>
      <c r="AP286" s="8">
        <f>IF($O286="Aktif",MAX(0,MIN($AE286,$AD286-SUM($AG286:AO286))),0)</f>
        <v>47916.666666666701</v>
      </c>
      <c r="AQ286" s="8">
        <f>IF($O286="Aktif",MAX(0,MIN($AE286,$AD286-SUM($AG286:AP286))),0)</f>
        <v>47916.666666666701</v>
      </c>
      <c r="AR286" s="8">
        <f>IF($O286="Aktif",MAX(0,MIN($AE286,$AD286-SUM($AG286:AQ286))),0)</f>
        <v>47916.666666666701</v>
      </c>
      <c r="AS286" s="8">
        <f>IF($O286="Aktif",MAX(0,MIN($AE286,$AD286-SUM($AG286:AR286))),0)</f>
        <v>47916.666666666701</v>
      </c>
      <c r="AT286" s="8">
        <f>IF($O286="Aktif",MAX(0,MIN($AE286,$AD286-SUM($AG286:AS286))),0)</f>
        <v>47916.666666666701</v>
      </c>
      <c r="AU286" s="8">
        <f>IF($O286="Aktif",MAX(0,MIN($AE286,$AD286-SUM($AG286:AT286))),0)</f>
        <v>47916.666666666701</v>
      </c>
      <c r="AV286" s="8">
        <f>IF($O286="Aktif",MAX(0,MIN($AE286,$AD286-SUM($AG286:AU286))),0)</f>
        <v>47916.666666666701</v>
      </c>
      <c r="AW286" s="8">
        <f t="shared" si="33"/>
        <v>766666.66666666733</v>
      </c>
      <c r="AX286" s="8">
        <f t="shared" si="34"/>
        <v>431249.99999999919</v>
      </c>
    </row>
    <row r="287" spans="1:50" ht="15" customHeight="1" x14ac:dyDescent="0.35">
      <c r="A287" s="102">
        <v>281</v>
      </c>
      <c r="B287" s="102" t="s">
        <v>586</v>
      </c>
      <c r="C287" s="103">
        <v>219</v>
      </c>
      <c r="D287" s="102" t="s">
        <v>184</v>
      </c>
      <c r="E287" s="102" t="s">
        <v>479</v>
      </c>
      <c r="F287" s="102" t="s">
        <v>947</v>
      </c>
      <c r="G287" s="102" t="s">
        <v>948</v>
      </c>
      <c r="H287" s="102" t="s">
        <v>949</v>
      </c>
      <c r="I287" s="102" t="s">
        <v>90</v>
      </c>
      <c r="J287" s="102"/>
      <c r="K287" s="102" t="s">
        <v>1149</v>
      </c>
      <c r="L287" s="104">
        <v>45575</v>
      </c>
      <c r="M287" s="102" t="s">
        <v>1150</v>
      </c>
      <c r="N287" s="102" t="s">
        <v>1150</v>
      </c>
      <c r="O287" s="102" t="s">
        <v>383</v>
      </c>
      <c r="P287" s="103">
        <v>1</v>
      </c>
      <c r="Q287" s="105">
        <v>2300000</v>
      </c>
      <c r="R287" s="103">
        <v>48</v>
      </c>
      <c r="S287" s="105">
        <v>47916.666666666701</v>
      </c>
      <c r="T287" s="105">
        <v>718750</v>
      </c>
      <c r="U287" s="105">
        <v>47916.666666666701</v>
      </c>
      <c r="V287" s="105">
        <v>47916.666666666701</v>
      </c>
      <c r="W287" s="105">
        <v>47916.666666666701</v>
      </c>
      <c r="X287" s="105">
        <v>47916.666666666701</v>
      </c>
      <c r="Y287" s="105">
        <v>47916.666666666701</v>
      </c>
      <c r="Z287" s="105">
        <v>47916.666666666701</v>
      </c>
      <c r="AA287" s="105">
        <v>47916.666666666701</v>
      </c>
      <c r="AB287" s="105">
        <v>47916.666666666701</v>
      </c>
      <c r="AC287" s="8">
        <f t="shared" si="28"/>
        <v>1102083.3333333335</v>
      </c>
      <c r="AD287" s="8">
        <f t="shared" si="29"/>
        <v>1197916.6666666665</v>
      </c>
      <c r="AE287" s="8">
        <f t="shared" si="30"/>
        <v>47916.666666666701</v>
      </c>
      <c r="AF287" s="106">
        <f t="shared" si="31"/>
        <v>24.999999999999979</v>
      </c>
      <c r="AG287" s="8">
        <f t="shared" si="32"/>
        <v>47916.666666666701</v>
      </c>
      <c r="AH287" s="8">
        <f>IF($O287="Aktif",MAX(0,MIN($AE287,$AD287-SUM($AG287:AG287))),0)</f>
        <v>47916.666666666701</v>
      </c>
      <c r="AI287" s="8">
        <f>IF($O287="Aktif",MAX(0,MIN($AE287,$AD287-SUM($AG287:AH287))),0)</f>
        <v>47916.666666666701</v>
      </c>
      <c r="AJ287" s="8">
        <f>IF($O287="Aktif",MAX(0,MIN($AE287,$AD287-SUM($AG287:AI287))),0)</f>
        <v>47916.666666666701</v>
      </c>
      <c r="AK287" s="8">
        <f>IF($O287="Aktif",MAX(0,MIN($AE287,$AD287-SUM($AG287:AJ287))),0)</f>
        <v>47916.666666666701</v>
      </c>
      <c r="AL287" s="8">
        <f>IF($O287="Aktif",MAX(0,MIN($AE287,$AD287-SUM($AG287:AK287))),0)</f>
        <v>47916.666666666701</v>
      </c>
      <c r="AM287" s="8">
        <f>IF($O287="Aktif",MAX(0,MIN($AE287,$AD287-SUM($AG287:AL287))),0)</f>
        <v>47916.666666666701</v>
      </c>
      <c r="AN287" s="8">
        <f>IF($O287="Aktif",MAX(0,MIN($AE287,$AD287-SUM($AG287:AM287))),0)</f>
        <v>47916.666666666701</v>
      </c>
      <c r="AO287" s="8">
        <f>IF($O287="Aktif",MAX(0,MIN($AE287,$AD287-SUM($AG287:AN287))),0)</f>
        <v>47916.666666666701</v>
      </c>
      <c r="AP287" s="8">
        <f>IF($O287="Aktif",MAX(0,MIN($AE287,$AD287-SUM($AG287:AO287))),0)</f>
        <v>47916.666666666701</v>
      </c>
      <c r="AQ287" s="8">
        <f>IF($O287="Aktif",MAX(0,MIN($AE287,$AD287-SUM($AG287:AP287))),0)</f>
        <v>47916.666666666701</v>
      </c>
      <c r="AR287" s="8">
        <f>IF($O287="Aktif",MAX(0,MIN($AE287,$AD287-SUM($AG287:AQ287))),0)</f>
        <v>47916.666666666701</v>
      </c>
      <c r="AS287" s="8">
        <f>IF($O287="Aktif",MAX(0,MIN($AE287,$AD287-SUM($AG287:AR287))),0)</f>
        <v>47916.666666666701</v>
      </c>
      <c r="AT287" s="8">
        <f>IF($O287="Aktif",MAX(0,MIN($AE287,$AD287-SUM($AG287:AS287))),0)</f>
        <v>47916.666666666701</v>
      </c>
      <c r="AU287" s="8">
        <f>IF($O287="Aktif",MAX(0,MIN($AE287,$AD287-SUM($AG287:AT287))),0)</f>
        <v>47916.666666666701</v>
      </c>
      <c r="AV287" s="8">
        <f>IF($O287="Aktif",MAX(0,MIN($AE287,$AD287-SUM($AG287:AU287))),0)</f>
        <v>47916.666666666701</v>
      </c>
      <c r="AW287" s="8">
        <f t="shared" si="33"/>
        <v>766666.66666666733</v>
      </c>
      <c r="AX287" s="8">
        <f t="shared" si="34"/>
        <v>431249.99999999919</v>
      </c>
    </row>
    <row r="288" spans="1:50" ht="15" customHeight="1" x14ac:dyDescent="0.35">
      <c r="A288" s="102">
        <v>282</v>
      </c>
      <c r="B288" s="102" t="s">
        <v>586</v>
      </c>
      <c r="C288" s="103">
        <v>220</v>
      </c>
      <c r="D288" s="102" t="s">
        <v>184</v>
      </c>
      <c r="E288" s="102" t="s">
        <v>479</v>
      </c>
      <c r="F288" s="102" t="s">
        <v>947</v>
      </c>
      <c r="G288" s="102" t="s">
        <v>948</v>
      </c>
      <c r="H288" s="102" t="s">
        <v>949</v>
      </c>
      <c r="I288" s="102" t="s">
        <v>90</v>
      </c>
      <c r="J288" s="102"/>
      <c r="K288" s="102" t="s">
        <v>1151</v>
      </c>
      <c r="L288" s="104">
        <v>45575</v>
      </c>
      <c r="M288" s="102" t="s">
        <v>1152</v>
      </c>
      <c r="N288" s="102" t="s">
        <v>1152</v>
      </c>
      <c r="O288" s="102" t="s">
        <v>383</v>
      </c>
      <c r="P288" s="103">
        <v>1</v>
      </c>
      <c r="Q288" s="105">
        <v>2300000</v>
      </c>
      <c r="R288" s="103">
        <v>48</v>
      </c>
      <c r="S288" s="105">
        <v>47916.666666666701</v>
      </c>
      <c r="T288" s="105">
        <v>718750</v>
      </c>
      <c r="U288" s="105">
        <v>47916.666666666701</v>
      </c>
      <c r="V288" s="105">
        <v>47916.666666666701</v>
      </c>
      <c r="W288" s="105">
        <v>47916.666666666701</v>
      </c>
      <c r="X288" s="105">
        <v>47916.666666666701</v>
      </c>
      <c r="Y288" s="105">
        <v>47916.666666666701</v>
      </c>
      <c r="Z288" s="105">
        <v>47916.666666666701</v>
      </c>
      <c r="AA288" s="105">
        <v>47916.666666666701</v>
      </c>
      <c r="AB288" s="105">
        <v>47916.666666666701</v>
      </c>
      <c r="AC288" s="8">
        <f t="shared" si="28"/>
        <v>1102083.3333333335</v>
      </c>
      <c r="AD288" s="8">
        <f t="shared" si="29"/>
        <v>1197916.6666666665</v>
      </c>
      <c r="AE288" s="8">
        <f t="shared" si="30"/>
        <v>47916.666666666701</v>
      </c>
      <c r="AF288" s="106">
        <f t="shared" si="31"/>
        <v>24.999999999999979</v>
      </c>
      <c r="AG288" s="8">
        <f t="shared" si="32"/>
        <v>47916.666666666701</v>
      </c>
      <c r="AH288" s="8">
        <f>IF($O288="Aktif",MAX(0,MIN($AE288,$AD288-SUM($AG288:AG288))),0)</f>
        <v>47916.666666666701</v>
      </c>
      <c r="AI288" s="8">
        <f>IF($O288="Aktif",MAX(0,MIN($AE288,$AD288-SUM($AG288:AH288))),0)</f>
        <v>47916.666666666701</v>
      </c>
      <c r="AJ288" s="8">
        <f>IF($O288="Aktif",MAX(0,MIN($AE288,$AD288-SUM($AG288:AI288))),0)</f>
        <v>47916.666666666701</v>
      </c>
      <c r="AK288" s="8">
        <f>IF($O288="Aktif",MAX(0,MIN($AE288,$AD288-SUM($AG288:AJ288))),0)</f>
        <v>47916.666666666701</v>
      </c>
      <c r="AL288" s="8">
        <f>IF($O288="Aktif",MAX(0,MIN($AE288,$AD288-SUM($AG288:AK288))),0)</f>
        <v>47916.666666666701</v>
      </c>
      <c r="AM288" s="8">
        <f>IF($O288="Aktif",MAX(0,MIN($AE288,$AD288-SUM($AG288:AL288))),0)</f>
        <v>47916.666666666701</v>
      </c>
      <c r="AN288" s="8">
        <f>IF($O288="Aktif",MAX(0,MIN($AE288,$AD288-SUM($AG288:AM288))),0)</f>
        <v>47916.666666666701</v>
      </c>
      <c r="AO288" s="8">
        <f>IF($O288="Aktif",MAX(0,MIN($AE288,$AD288-SUM($AG288:AN288))),0)</f>
        <v>47916.666666666701</v>
      </c>
      <c r="AP288" s="8">
        <f>IF($O288="Aktif",MAX(0,MIN($AE288,$AD288-SUM($AG288:AO288))),0)</f>
        <v>47916.666666666701</v>
      </c>
      <c r="AQ288" s="8">
        <f>IF($O288="Aktif",MAX(0,MIN($AE288,$AD288-SUM($AG288:AP288))),0)</f>
        <v>47916.666666666701</v>
      </c>
      <c r="AR288" s="8">
        <f>IF($O288="Aktif",MAX(0,MIN($AE288,$AD288-SUM($AG288:AQ288))),0)</f>
        <v>47916.666666666701</v>
      </c>
      <c r="AS288" s="8">
        <f>IF($O288="Aktif",MAX(0,MIN($AE288,$AD288-SUM($AG288:AR288))),0)</f>
        <v>47916.666666666701</v>
      </c>
      <c r="AT288" s="8">
        <f>IF($O288="Aktif",MAX(0,MIN($AE288,$AD288-SUM($AG288:AS288))),0)</f>
        <v>47916.666666666701</v>
      </c>
      <c r="AU288" s="8">
        <f>IF($O288="Aktif",MAX(0,MIN($AE288,$AD288-SUM($AG288:AT288))),0)</f>
        <v>47916.666666666701</v>
      </c>
      <c r="AV288" s="8">
        <f>IF($O288="Aktif",MAX(0,MIN($AE288,$AD288-SUM($AG288:AU288))),0)</f>
        <v>47916.666666666701</v>
      </c>
      <c r="AW288" s="8">
        <f t="shared" si="33"/>
        <v>766666.66666666733</v>
      </c>
      <c r="AX288" s="8">
        <f t="shared" si="34"/>
        <v>431249.99999999919</v>
      </c>
    </row>
    <row r="289" spans="1:50" ht="15" customHeight="1" x14ac:dyDescent="0.35">
      <c r="A289" s="102">
        <v>283</v>
      </c>
      <c r="B289" s="102" t="s">
        <v>586</v>
      </c>
      <c r="C289" s="103">
        <v>221</v>
      </c>
      <c r="D289" s="102" t="s">
        <v>184</v>
      </c>
      <c r="E289" s="102" t="s">
        <v>479</v>
      </c>
      <c r="F289" s="102" t="s">
        <v>947</v>
      </c>
      <c r="G289" s="102" t="s">
        <v>948</v>
      </c>
      <c r="H289" s="102" t="s">
        <v>949</v>
      </c>
      <c r="I289" s="102" t="s">
        <v>90</v>
      </c>
      <c r="J289" s="102"/>
      <c r="K289" s="102" t="s">
        <v>1153</v>
      </c>
      <c r="L289" s="104">
        <v>45575</v>
      </c>
      <c r="M289" s="102" t="s">
        <v>1154</v>
      </c>
      <c r="N289" s="102" t="s">
        <v>1154</v>
      </c>
      <c r="O289" s="102" t="s">
        <v>383</v>
      </c>
      <c r="P289" s="103">
        <v>1</v>
      </c>
      <c r="Q289" s="105">
        <v>2300000</v>
      </c>
      <c r="R289" s="103">
        <v>48</v>
      </c>
      <c r="S289" s="105">
        <v>47916.666666666701</v>
      </c>
      <c r="T289" s="105">
        <v>718750</v>
      </c>
      <c r="U289" s="105">
        <v>47916.666666666701</v>
      </c>
      <c r="V289" s="105">
        <v>47916.666666666701</v>
      </c>
      <c r="W289" s="105">
        <v>47916.666666666701</v>
      </c>
      <c r="X289" s="105">
        <v>47916.666666666701</v>
      </c>
      <c r="Y289" s="105">
        <v>47916.666666666701</v>
      </c>
      <c r="Z289" s="105">
        <v>47916.666666666701</v>
      </c>
      <c r="AA289" s="105">
        <v>47916.666666666701</v>
      </c>
      <c r="AB289" s="105">
        <v>47916.666666666701</v>
      </c>
      <c r="AC289" s="8">
        <f t="shared" si="28"/>
        <v>1102083.3333333335</v>
      </c>
      <c r="AD289" s="8">
        <f t="shared" si="29"/>
        <v>1197916.6666666665</v>
      </c>
      <c r="AE289" s="8">
        <f t="shared" si="30"/>
        <v>47916.666666666701</v>
      </c>
      <c r="AF289" s="106">
        <f t="shared" si="31"/>
        <v>24.999999999999979</v>
      </c>
      <c r="AG289" s="8">
        <f t="shared" si="32"/>
        <v>47916.666666666701</v>
      </c>
      <c r="AH289" s="8">
        <f>IF($O289="Aktif",MAX(0,MIN($AE289,$AD289-SUM($AG289:AG289))),0)</f>
        <v>47916.666666666701</v>
      </c>
      <c r="AI289" s="8">
        <f>IF($O289="Aktif",MAX(0,MIN($AE289,$AD289-SUM($AG289:AH289))),0)</f>
        <v>47916.666666666701</v>
      </c>
      <c r="AJ289" s="8">
        <f>IF($O289="Aktif",MAX(0,MIN($AE289,$AD289-SUM($AG289:AI289))),0)</f>
        <v>47916.666666666701</v>
      </c>
      <c r="AK289" s="8">
        <f>IF($O289="Aktif",MAX(0,MIN($AE289,$AD289-SUM($AG289:AJ289))),0)</f>
        <v>47916.666666666701</v>
      </c>
      <c r="AL289" s="8">
        <f>IF($O289="Aktif",MAX(0,MIN($AE289,$AD289-SUM($AG289:AK289))),0)</f>
        <v>47916.666666666701</v>
      </c>
      <c r="AM289" s="8">
        <f>IF($O289="Aktif",MAX(0,MIN($AE289,$AD289-SUM($AG289:AL289))),0)</f>
        <v>47916.666666666701</v>
      </c>
      <c r="AN289" s="8">
        <f>IF($O289="Aktif",MAX(0,MIN($AE289,$AD289-SUM($AG289:AM289))),0)</f>
        <v>47916.666666666701</v>
      </c>
      <c r="AO289" s="8">
        <f>IF($O289="Aktif",MAX(0,MIN($AE289,$AD289-SUM($AG289:AN289))),0)</f>
        <v>47916.666666666701</v>
      </c>
      <c r="AP289" s="8">
        <f>IF($O289="Aktif",MAX(0,MIN($AE289,$AD289-SUM($AG289:AO289))),0)</f>
        <v>47916.666666666701</v>
      </c>
      <c r="AQ289" s="8">
        <f>IF($O289="Aktif",MAX(0,MIN($AE289,$AD289-SUM($AG289:AP289))),0)</f>
        <v>47916.666666666701</v>
      </c>
      <c r="AR289" s="8">
        <f>IF($O289="Aktif",MAX(0,MIN($AE289,$AD289-SUM($AG289:AQ289))),0)</f>
        <v>47916.666666666701</v>
      </c>
      <c r="AS289" s="8">
        <f>IF($O289="Aktif",MAX(0,MIN($AE289,$AD289-SUM($AG289:AR289))),0)</f>
        <v>47916.666666666701</v>
      </c>
      <c r="AT289" s="8">
        <f>IF($O289="Aktif",MAX(0,MIN($AE289,$AD289-SUM($AG289:AS289))),0)</f>
        <v>47916.666666666701</v>
      </c>
      <c r="AU289" s="8">
        <f>IF($O289="Aktif",MAX(0,MIN($AE289,$AD289-SUM($AG289:AT289))),0)</f>
        <v>47916.666666666701</v>
      </c>
      <c r="AV289" s="8">
        <f>IF($O289="Aktif",MAX(0,MIN($AE289,$AD289-SUM($AG289:AU289))),0)</f>
        <v>47916.666666666701</v>
      </c>
      <c r="AW289" s="8">
        <f t="shared" si="33"/>
        <v>766666.66666666733</v>
      </c>
      <c r="AX289" s="8">
        <f t="shared" si="34"/>
        <v>431249.99999999919</v>
      </c>
    </row>
    <row r="290" spans="1:50" ht="15" customHeight="1" x14ac:dyDescent="0.35">
      <c r="A290" s="102">
        <v>284</v>
      </c>
      <c r="B290" s="102" t="s">
        <v>586</v>
      </c>
      <c r="C290" s="103">
        <v>222</v>
      </c>
      <c r="D290" s="102" t="s">
        <v>184</v>
      </c>
      <c r="E290" s="102" t="s">
        <v>479</v>
      </c>
      <c r="F290" s="102" t="s">
        <v>947</v>
      </c>
      <c r="G290" s="102" t="s">
        <v>948</v>
      </c>
      <c r="H290" s="102" t="s">
        <v>949</v>
      </c>
      <c r="I290" s="102" t="s">
        <v>90</v>
      </c>
      <c r="J290" s="102"/>
      <c r="K290" s="102" t="s">
        <v>1155</v>
      </c>
      <c r="L290" s="104">
        <v>45575</v>
      </c>
      <c r="M290" s="102" t="s">
        <v>1156</v>
      </c>
      <c r="N290" s="102" t="s">
        <v>1156</v>
      </c>
      <c r="O290" s="102" t="s">
        <v>383</v>
      </c>
      <c r="P290" s="103">
        <v>1</v>
      </c>
      <c r="Q290" s="105">
        <v>2300000</v>
      </c>
      <c r="R290" s="103">
        <v>48</v>
      </c>
      <c r="S290" s="105">
        <v>47916.666666666701</v>
      </c>
      <c r="T290" s="105">
        <v>718750</v>
      </c>
      <c r="U290" s="105">
        <v>47916.666666666701</v>
      </c>
      <c r="V290" s="105">
        <v>47916.666666666701</v>
      </c>
      <c r="W290" s="105">
        <v>47916.666666666701</v>
      </c>
      <c r="X290" s="105">
        <v>47916.666666666701</v>
      </c>
      <c r="Y290" s="105">
        <v>47916.666666666701</v>
      </c>
      <c r="Z290" s="105">
        <v>47916.666666666701</v>
      </c>
      <c r="AA290" s="105">
        <v>47916.666666666701</v>
      </c>
      <c r="AB290" s="105">
        <v>47916.666666666701</v>
      </c>
      <c r="AC290" s="8">
        <f t="shared" si="28"/>
        <v>1102083.3333333335</v>
      </c>
      <c r="AD290" s="8">
        <f t="shared" si="29"/>
        <v>1197916.6666666665</v>
      </c>
      <c r="AE290" s="8">
        <f t="shared" si="30"/>
        <v>47916.666666666701</v>
      </c>
      <c r="AF290" s="106">
        <f t="shared" si="31"/>
        <v>24.999999999999979</v>
      </c>
      <c r="AG290" s="8">
        <f t="shared" si="32"/>
        <v>47916.666666666701</v>
      </c>
      <c r="AH290" s="8">
        <f>IF($O290="Aktif",MAX(0,MIN($AE290,$AD290-SUM($AG290:AG290))),0)</f>
        <v>47916.666666666701</v>
      </c>
      <c r="AI290" s="8">
        <f>IF($O290="Aktif",MAX(0,MIN($AE290,$AD290-SUM($AG290:AH290))),0)</f>
        <v>47916.666666666701</v>
      </c>
      <c r="AJ290" s="8">
        <f>IF($O290="Aktif",MAX(0,MIN($AE290,$AD290-SUM($AG290:AI290))),0)</f>
        <v>47916.666666666701</v>
      </c>
      <c r="AK290" s="8">
        <f>IF($O290="Aktif",MAX(0,MIN($AE290,$AD290-SUM($AG290:AJ290))),0)</f>
        <v>47916.666666666701</v>
      </c>
      <c r="AL290" s="8">
        <f>IF($O290="Aktif",MAX(0,MIN($AE290,$AD290-SUM($AG290:AK290))),0)</f>
        <v>47916.666666666701</v>
      </c>
      <c r="AM290" s="8">
        <f>IF($O290="Aktif",MAX(0,MIN($AE290,$AD290-SUM($AG290:AL290))),0)</f>
        <v>47916.666666666701</v>
      </c>
      <c r="AN290" s="8">
        <f>IF($O290="Aktif",MAX(0,MIN($AE290,$AD290-SUM($AG290:AM290))),0)</f>
        <v>47916.666666666701</v>
      </c>
      <c r="AO290" s="8">
        <f>IF($O290="Aktif",MAX(0,MIN($AE290,$AD290-SUM($AG290:AN290))),0)</f>
        <v>47916.666666666701</v>
      </c>
      <c r="AP290" s="8">
        <f>IF($O290="Aktif",MAX(0,MIN($AE290,$AD290-SUM($AG290:AO290))),0)</f>
        <v>47916.666666666701</v>
      </c>
      <c r="AQ290" s="8">
        <f>IF($O290="Aktif",MAX(0,MIN($AE290,$AD290-SUM($AG290:AP290))),0)</f>
        <v>47916.666666666701</v>
      </c>
      <c r="AR290" s="8">
        <f>IF($O290="Aktif",MAX(0,MIN($AE290,$AD290-SUM($AG290:AQ290))),0)</f>
        <v>47916.666666666701</v>
      </c>
      <c r="AS290" s="8">
        <f>IF($O290="Aktif",MAX(0,MIN($AE290,$AD290-SUM($AG290:AR290))),0)</f>
        <v>47916.666666666701</v>
      </c>
      <c r="AT290" s="8">
        <f>IF($O290="Aktif",MAX(0,MIN($AE290,$AD290-SUM($AG290:AS290))),0)</f>
        <v>47916.666666666701</v>
      </c>
      <c r="AU290" s="8">
        <f>IF($O290="Aktif",MAX(0,MIN($AE290,$AD290-SUM($AG290:AT290))),0)</f>
        <v>47916.666666666701</v>
      </c>
      <c r="AV290" s="8">
        <f>IF($O290="Aktif",MAX(0,MIN($AE290,$AD290-SUM($AG290:AU290))),0)</f>
        <v>47916.666666666701</v>
      </c>
      <c r="AW290" s="8">
        <f t="shared" si="33"/>
        <v>766666.66666666733</v>
      </c>
      <c r="AX290" s="8">
        <f t="shared" si="34"/>
        <v>431249.99999999919</v>
      </c>
    </row>
    <row r="291" spans="1:50" ht="15" customHeight="1" x14ac:dyDescent="0.35">
      <c r="A291" s="102">
        <v>285</v>
      </c>
      <c r="B291" s="102" t="s">
        <v>586</v>
      </c>
      <c r="C291" s="103">
        <v>223</v>
      </c>
      <c r="D291" s="102" t="s">
        <v>184</v>
      </c>
      <c r="E291" s="102" t="s">
        <v>479</v>
      </c>
      <c r="F291" s="102" t="s">
        <v>947</v>
      </c>
      <c r="G291" s="102" t="s">
        <v>948</v>
      </c>
      <c r="H291" s="102" t="s">
        <v>949</v>
      </c>
      <c r="I291" s="102" t="s">
        <v>90</v>
      </c>
      <c r="J291" s="102"/>
      <c r="K291" s="102" t="s">
        <v>1157</v>
      </c>
      <c r="L291" s="104">
        <v>45575</v>
      </c>
      <c r="M291" s="102" t="s">
        <v>1158</v>
      </c>
      <c r="N291" s="102" t="s">
        <v>1158</v>
      </c>
      <c r="O291" s="102" t="s">
        <v>383</v>
      </c>
      <c r="P291" s="103">
        <v>1</v>
      </c>
      <c r="Q291" s="105">
        <v>2300000</v>
      </c>
      <c r="R291" s="103">
        <v>48</v>
      </c>
      <c r="S291" s="105">
        <v>47916.666666666701</v>
      </c>
      <c r="T291" s="105">
        <v>718750</v>
      </c>
      <c r="U291" s="105">
        <v>47916.666666666701</v>
      </c>
      <c r="V291" s="105">
        <v>47916.666666666701</v>
      </c>
      <c r="W291" s="105">
        <v>47916.666666666701</v>
      </c>
      <c r="X291" s="105">
        <v>47916.666666666701</v>
      </c>
      <c r="Y291" s="105">
        <v>47916.666666666701</v>
      </c>
      <c r="Z291" s="105">
        <v>47916.666666666701</v>
      </c>
      <c r="AA291" s="105">
        <v>47916.666666666701</v>
      </c>
      <c r="AB291" s="105">
        <v>47916.666666666701</v>
      </c>
      <c r="AC291" s="8">
        <f t="shared" si="28"/>
        <v>1102083.3333333335</v>
      </c>
      <c r="AD291" s="8">
        <f t="shared" si="29"/>
        <v>1197916.6666666665</v>
      </c>
      <c r="AE291" s="8">
        <f t="shared" si="30"/>
        <v>47916.666666666701</v>
      </c>
      <c r="AF291" s="106">
        <f t="shared" si="31"/>
        <v>24.999999999999979</v>
      </c>
      <c r="AG291" s="8">
        <f t="shared" si="32"/>
        <v>47916.666666666701</v>
      </c>
      <c r="AH291" s="8">
        <f>IF($O291="Aktif",MAX(0,MIN($AE291,$AD291-SUM($AG291:AG291))),0)</f>
        <v>47916.666666666701</v>
      </c>
      <c r="AI291" s="8">
        <f>IF($O291="Aktif",MAX(0,MIN($AE291,$AD291-SUM($AG291:AH291))),0)</f>
        <v>47916.666666666701</v>
      </c>
      <c r="AJ291" s="8">
        <f>IF($O291="Aktif",MAX(0,MIN($AE291,$AD291-SUM($AG291:AI291))),0)</f>
        <v>47916.666666666701</v>
      </c>
      <c r="AK291" s="8">
        <f>IF($O291="Aktif",MAX(0,MIN($AE291,$AD291-SUM($AG291:AJ291))),0)</f>
        <v>47916.666666666701</v>
      </c>
      <c r="AL291" s="8">
        <f>IF($O291="Aktif",MAX(0,MIN($AE291,$AD291-SUM($AG291:AK291))),0)</f>
        <v>47916.666666666701</v>
      </c>
      <c r="AM291" s="8">
        <f>IF($O291="Aktif",MAX(0,MIN($AE291,$AD291-SUM($AG291:AL291))),0)</f>
        <v>47916.666666666701</v>
      </c>
      <c r="AN291" s="8">
        <f>IF($O291="Aktif",MAX(0,MIN($AE291,$AD291-SUM($AG291:AM291))),0)</f>
        <v>47916.666666666701</v>
      </c>
      <c r="AO291" s="8">
        <f>IF($O291="Aktif",MAX(0,MIN($AE291,$AD291-SUM($AG291:AN291))),0)</f>
        <v>47916.666666666701</v>
      </c>
      <c r="AP291" s="8">
        <f>IF($O291="Aktif",MAX(0,MIN($AE291,$AD291-SUM($AG291:AO291))),0)</f>
        <v>47916.666666666701</v>
      </c>
      <c r="AQ291" s="8">
        <f>IF($O291="Aktif",MAX(0,MIN($AE291,$AD291-SUM($AG291:AP291))),0)</f>
        <v>47916.666666666701</v>
      </c>
      <c r="AR291" s="8">
        <f>IF($O291="Aktif",MAX(0,MIN($AE291,$AD291-SUM($AG291:AQ291))),0)</f>
        <v>47916.666666666701</v>
      </c>
      <c r="AS291" s="8">
        <f>IF($O291="Aktif",MAX(0,MIN($AE291,$AD291-SUM($AG291:AR291))),0)</f>
        <v>47916.666666666701</v>
      </c>
      <c r="AT291" s="8">
        <f>IF($O291="Aktif",MAX(0,MIN($AE291,$AD291-SUM($AG291:AS291))),0)</f>
        <v>47916.666666666701</v>
      </c>
      <c r="AU291" s="8">
        <f>IF($O291="Aktif",MAX(0,MIN($AE291,$AD291-SUM($AG291:AT291))),0)</f>
        <v>47916.666666666701</v>
      </c>
      <c r="AV291" s="8">
        <f>IF($O291="Aktif",MAX(0,MIN($AE291,$AD291-SUM($AG291:AU291))),0)</f>
        <v>47916.666666666701</v>
      </c>
      <c r="AW291" s="8">
        <f t="shared" si="33"/>
        <v>766666.66666666733</v>
      </c>
      <c r="AX291" s="8">
        <f t="shared" si="34"/>
        <v>431249.99999999919</v>
      </c>
    </row>
    <row r="292" spans="1:50" ht="15" customHeight="1" x14ac:dyDescent="0.35">
      <c r="A292" s="102">
        <v>286</v>
      </c>
      <c r="B292" s="102" t="s">
        <v>586</v>
      </c>
      <c r="C292" s="103">
        <v>224</v>
      </c>
      <c r="D292" s="102" t="s">
        <v>184</v>
      </c>
      <c r="E292" s="102" t="s">
        <v>479</v>
      </c>
      <c r="F292" s="102" t="s">
        <v>947</v>
      </c>
      <c r="G292" s="102" t="s">
        <v>948</v>
      </c>
      <c r="H292" s="102" t="s">
        <v>949</v>
      </c>
      <c r="I292" s="102" t="s">
        <v>90</v>
      </c>
      <c r="J292" s="102"/>
      <c r="K292" s="102" t="s">
        <v>1159</v>
      </c>
      <c r="L292" s="104">
        <v>45580</v>
      </c>
      <c r="M292" s="102" t="s">
        <v>1160</v>
      </c>
      <c r="N292" s="102" t="s">
        <v>1160</v>
      </c>
      <c r="O292" s="102" t="s">
        <v>383</v>
      </c>
      <c r="P292" s="103">
        <v>1</v>
      </c>
      <c r="Q292" s="105">
        <v>1981982</v>
      </c>
      <c r="R292" s="103">
        <v>48</v>
      </c>
      <c r="S292" s="105">
        <v>41291.291666666701</v>
      </c>
      <c r="T292" s="105">
        <v>619369.375</v>
      </c>
      <c r="U292" s="105">
        <v>41291.291666666701</v>
      </c>
      <c r="V292" s="105">
        <v>41291.291666666701</v>
      </c>
      <c r="W292" s="105">
        <v>41291.291666666701</v>
      </c>
      <c r="X292" s="105">
        <v>41291.291666666701</v>
      </c>
      <c r="Y292" s="105">
        <v>41291.291666666701</v>
      </c>
      <c r="Z292" s="105">
        <v>41291.291666666701</v>
      </c>
      <c r="AA292" s="105">
        <v>41291.291666666701</v>
      </c>
      <c r="AB292" s="105">
        <v>41291.291666666701</v>
      </c>
      <c r="AC292" s="8">
        <f t="shared" si="28"/>
        <v>949699.70833333349</v>
      </c>
      <c r="AD292" s="8">
        <f t="shared" si="29"/>
        <v>1032282.2916666665</v>
      </c>
      <c r="AE292" s="8">
        <f t="shared" si="30"/>
        <v>41291.291666666701</v>
      </c>
      <c r="AF292" s="106">
        <f t="shared" si="31"/>
        <v>24.999999999999975</v>
      </c>
      <c r="AG292" s="8">
        <f t="shared" si="32"/>
        <v>41291.291666666701</v>
      </c>
      <c r="AH292" s="8">
        <f>IF($O292="Aktif",MAX(0,MIN($AE292,$AD292-SUM($AG292:AG292))),0)</f>
        <v>41291.291666666701</v>
      </c>
      <c r="AI292" s="8">
        <f>IF($O292="Aktif",MAX(0,MIN($AE292,$AD292-SUM($AG292:AH292))),0)</f>
        <v>41291.291666666701</v>
      </c>
      <c r="AJ292" s="8">
        <f>IF($O292="Aktif",MAX(0,MIN($AE292,$AD292-SUM($AG292:AI292))),0)</f>
        <v>41291.291666666701</v>
      </c>
      <c r="AK292" s="8">
        <f>IF($O292="Aktif",MAX(0,MIN($AE292,$AD292-SUM($AG292:AJ292))),0)</f>
        <v>41291.291666666701</v>
      </c>
      <c r="AL292" s="8">
        <f>IF($O292="Aktif",MAX(0,MIN($AE292,$AD292-SUM($AG292:AK292))),0)</f>
        <v>41291.291666666701</v>
      </c>
      <c r="AM292" s="8">
        <f>IF($O292="Aktif",MAX(0,MIN($AE292,$AD292-SUM($AG292:AL292))),0)</f>
        <v>41291.291666666701</v>
      </c>
      <c r="AN292" s="8">
        <f>IF($O292="Aktif",MAX(0,MIN($AE292,$AD292-SUM($AG292:AM292))),0)</f>
        <v>41291.291666666701</v>
      </c>
      <c r="AO292" s="8">
        <f>IF($O292="Aktif",MAX(0,MIN($AE292,$AD292-SUM($AG292:AN292))),0)</f>
        <v>41291.291666666701</v>
      </c>
      <c r="AP292" s="8">
        <f>IF($O292="Aktif",MAX(0,MIN($AE292,$AD292-SUM($AG292:AO292))),0)</f>
        <v>41291.291666666701</v>
      </c>
      <c r="AQ292" s="8">
        <f>IF($O292="Aktif",MAX(0,MIN($AE292,$AD292-SUM($AG292:AP292))),0)</f>
        <v>41291.291666666701</v>
      </c>
      <c r="AR292" s="8">
        <f>IF($O292="Aktif",MAX(0,MIN($AE292,$AD292-SUM($AG292:AQ292))),0)</f>
        <v>41291.291666666701</v>
      </c>
      <c r="AS292" s="8">
        <f>IF($O292="Aktif",MAX(0,MIN($AE292,$AD292-SUM($AG292:AR292))),0)</f>
        <v>41291.291666666701</v>
      </c>
      <c r="AT292" s="8">
        <f>IF($O292="Aktif",MAX(0,MIN($AE292,$AD292-SUM($AG292:AS292))),0)</f>
        <v>41291.291666666701</v>
      </c>
      <c r="AU292" s="8">
        <f>IF($O292="Aktif",MAX(0,MIN($AE292,$AD292-SUM($AG292:AT292))),0)</f>
        <v>41291.291666666701</v>
      </c>
      <c r="AV292" s="8">
        <f>IF($O292="Aktif",MAX(0,MIN($AE292,$AD292-SUM($AG292:AU292))),0)</f>
        <v>41291.291666666701</v>
      </c>
      <c r="AW292" s="8">
        <f t="shared" si="33"/>
        <v>660660.66666666721</v>
      </c>
      <c r="AX292" s="8">
        <f t="shared" si="34"/>
        <v>371621.6249999993</v>
      </c>
    </row>
    <row r="293" spans="1:50" ht="15" customHeight="1" x14ac:dyDescent="0.35">
      <c r="A293" s="102">
        <v>287</v>
      </c>
      <c r="B293" s="102" t="s">
        <v>586</v>
      </c>
      <c r="C293" s="103">
        <v>225</v>
      </c>
      <c r="D293" s="102" t="s">
        <v>184</v>
      </c>
      <c r="E293" s="102" t="s">
        <v>479</v>
      </c>
      <c r="F293" s="102" t="s">
        <v>947</v>
      </c>
      <c r="G293" s="102" t="s">
        <v>948</v>
      </c>
      <c r="H293" s="102" t="s">
        <v>949</v>
      </c>
      <c r="I293" s="102" t="s">
        <v>90</v>
      </c>
      <c r="J293" s="102"/>
      <c r="K293" s="102" t="s">
        <v>1161</v>
      </c>
      <c r="L293" s="104">
        <v>45580</v>
      </c>
      <c r="M293" s="102" t="s">
        <v>1162</v>
      </c>
      <c r="N293" s="102" t="s">
        <v>1162</v>
      </c>
      <c r="O293" s="102" t="s">
        <v>383</v>
      </c>
      <c r="P293" s="103">
        <v>1</v>
      </c>
      <c r="Q293" s="105">
        <v>1215000</v>
      </c>
      <c r="R293" s="103">
        <v>48</v>
      </c>
      <c r="S293" s="105">
        <v>25312.5</v>
      </c>
      <c r="T293" s="105">
        <v>379687.5</v>
      </c>
      <c r="U293" s="105">
        <v>25312.5</v>
      </c>
      <c r="V293" s="105">
        <v>25312.5</v>
      </c>
      <c r="W293" s="105">
        <v>25312.5</v>
      </c>
      <c r="X293" s="105">
        <v>25312.5</v>
      </c>
      <c r="Y293" s="105">
        <v>25312.5</v>
      </c>
      <c r="Z293" s="105">
        <v>25312.5</v>
      </c>
      <c r="AA293" s="105">
        <v>25312.5</v>
      </c>
      <c r="AB293" s="105">
        <v>25312.5</v>
      </c>
      <c r="AC293" s="8">
        <f t="shared" si="28"/>
        <v>582187.5</v>
      </c>
      <c r="AD293" s="8">
        <f t="shared" si="29"/>
        <v>632812.5</v>
      </c>
      <c r="AE293" s="8">
        <f t="shared" si="30"/>
        <v>25312.5</v>
      </c>
      <c r="AF293" s="106">
        <f t="shared" si="31"/>
        <v>25</v>
      </c>
      <c r="AG293" s="8">
        <f t="shared" si="32"/>
        <v>25312.5</v>
      </c>
      <c r="AH293" s="8">
        <f>IF($O293="Aktif",MAX(0,MIN($AE293,$AD293-SUM($AG293:AG293))),0)</f>
        <v>25312.5</v>
      </c>
      <c r="AI293" s="8">
        <f>IF($O293="Aktif",MAX(0,MIN($AE293,$AD293-SUM($AG293:AH293))),0)</f>
        <v>25312.5</v>
      </c>
      <c r="AJ293" s="8">
        <f>IF($O293="Aktif",MAX(0,MIN($AE293,$AD293-SUM($AG293:AI293))),0)</f>
        <v>25312.5</v>
      </c>
      <c r="AK293" s="8">
        <f>IF($O293="Aktif",MAX(0,MIN($AE293,$AD293-SUM($AG293:AJ293))),0)</f>
        <v>25312.5</v>
      </c>
      <c r="AL293" s="8">
        <f>IF($O293="Aktif",MAX(0,MIN($AE293,$AD293-SUM($AG293:AK293))),0)</f>
        <v>25312.5</v>
      </c>
      <c r="AM293" s="8">
        <f>IF($O293="Aktif",MAX(0,MIN($AE293,$AD293-SUM($AG293:AL293))),0)</f>
        <v>25312.5</v>
      </c>
      <c r="AN293" s="8">
        <f>IF($O293="Aktif",MAX(0,MIN($AE293,$AD293-SUM($AG293:AM293))),0)</f>
        <v>25312.5</v>
      </c>
      <c r="AO293" s="8">
        <f>IF($O293="Aktif",MAX(0,MIN($AE293,$AD293-SUM($AG293:AN293))),0)</f>
        <v>25312.5</v>
      </c>
      <c r="AP293" s="8">
        <f>IF($O293="Aktif",MAX(0,MIN($AE293,$AD293-SUM($AG293:AO293))),0)</f>
        <v>25312.5</v>
      </c>
      <c r="AQ293" s="8">
        <f>IF($O293="Aktif",MAX(0,MIN($AE293,$AD293-SUM($AG293:AP293))),0)</f>
        <v>25312.5</v>
      </c>
      <c r="AR293" s="8">
        <f>IF($O293="Aktif",MAX(0,MIN($AE293,$AD293-SUM($AG293:AQ293))),0)</f>
        <v>25312.5</v>
      </c>
      <c r="AS293" s="8">
        <f>IF($O293="Aktif",MAX(0,MIN($AE293,$AD293-SUM($AG293:AR293))),0)</f>
        <v>25312.5</v>
      </c>
      <c r="AT293" s="8">
        <f>IF($O293="Aktif",MAX(0,MIN($AE293,$AD293-SUM($AG293:AS293))),0)</f>
        <v>25312.5</v>
      </c>
      <c r="AU293" s="8">
        <f>IF($O293="Aktif",MAX(0,MIN($AE293,$AD293-SUM($AG293:AT293))),0)</f>
        <v>25312.5</v>
      </c>
      <c r="AV293" s="8">
        <f>IF($O293="Aktif",MAX(0,MIN($AE293,$AD293-SUM($AG293:AU293))),0)</f>
        <v>25312.5</v>
      </c>
      <c r="AW293" s="8">
        <f t="shared" si="33"/>
        <v>405000</v>
      </c>
      <c r="AX293" s="8">
        <f t="shared" si="34"/>
        <v>227812.5</v>
      </c>
    </row>
    <row r="294" spans="1:50" ht="15" customHeight="1" x14ac:dyDescent="0.35">
      <c r="A294" s="102">
        <v>288</v>
      </c>
      <c r="B294" s="102" t="s">
        <v>586</v>
      </c>
      <c r="C294" s="103">
        <v>226</v>
      </c>
      <c r="D294" s="102" t="s">
        <v>184</v>
      </c>
      <c r="E294" s="102" t="s">
        <v>479</v>
      </c>
      <c r="F294" s="102" t="s">
        <v>947</v>
      </c>
      <c r="G294" s="102" t="s">
        <v>948</v>
      </c>
      <c r="H294" s="102" t="s">
        <v>949</v>
      </c>
      <c r="I294" s="102" t="s">
        <v>90</v>
      </c>
      <c r="J294" s="102"/>
      <c r="K294" s="102" t="s">
        <v>1163</v>
      </c>
      <c r="L294" s="104">
        <v>45607</v>
      </c>
      <c r="M294" s="102" t="s">
        <v>1164</v>
      </c>
      <c r="N294" s="102" t="s">
        <v>1164</v>
      </c>
      <c r="O294" s="102" t="s">
        <v>383</v>
      </c>
      <c r="P294" s="103">
        <v>1</v>
      </c>
      <c r="Q294" s="105">
        <v>2657658</v>
      </c>
      <c r="R294" s="103">
        <v>48</v>
      </c>
      <c r="S294" s="105">
        <v>55367.875</v>
      </c>
      <c r="T294" s="105">
        <v>775150.25</v>
      </c>
      <c r="U294" s="105">
        <v>55367.875</v>
      </c>
      <c r="V294" s="105">
        <v>55367.875</v>
      </c>
      <c r="W294" s="105">
        <v>55367.875</v>
      </c>
      <c r="X294" s="105">
        <v>55367.875</v>
      </c>
      <c r="Y294" s="105">
        <v>55367.875</v>
      </c>
      <c r="Z294" s="105">
        <v>55367.875</v>
      </c>
      <c r="AA294" s="105">
        <v>55367.875</v>
      </c>
      <c r="AB294" s="105">
        <v>55367.875</v>
      </c>
      <c r="AC294" s="8">
        <f t="shared" si="28"/>
        <v>1218093.25</v>
      </c>
      <c r="AD294" s="8">
        <f t="shared" si="29"/>
        <v>1439564.75</v>
      </c>
      <c r="AE294" s="8">
        <f t="shared" si="30"/>
        <v>55367.875</v>
      </c>
      <c r="AF294" s="106">
        <f t="shared" si="31"/>
        <v>26</v>
      </c>
      <c r="AG294" s="8">
        <f t="shared" si="32"/>
        <v>55367.875</v>
      </c>
      <c r="AH294" s="8">
        <f>IF($O294="Aktif",MAX(0,MIN($AE294,$AD294-SUM($AG294:AG294))),0)</f>
        <v>55367.875</v>
      </c>
      <c r="AI294" s="8">
        <f>IF($O294="Aktif",MAX(0,MIN($AE294,$AD294-SUM($AG294:AH294))),0)</f>
        <v>55367.875</v>
      </c>
      <c r="AJ294" s="8">
        <f>IF($O294="Aktif",MAX(0,MIN($AE294,$AD294-SUM($AG294:AI294))),0)</f>
        <v>55367.875</v>
      </c>
      <c r="AK294" s="8">
        <f>IF($O294="Aktif",MAX(0,MIN($AE294,$AD294-SUM($AG294:AJ294))),0)</f>
        <v>55367.875</v>
      </c>
      <c r="AL294" s="8">
        <f>IF($O294="Aktif",MAX(0,MIN($AE294,$AD294-SUM($AG294:AK294))),0)</f>
        <v>55367.875</v>
      </c>
      <c r="AM294" s="8">
        <f>IF($O294="Aktif",MAX(0,MIN($AE294,$AD294-SUM($AG294:AL294))),0)</f>
        <v>55367.875</v>
      </c>
      <c r="AN294" s="8">
        <f>IF($O294="Aktif",MAX(0,MIN($AE294,$AD294-SUM($AG294:AM294))),0)</f>
        <v>55367.875</v>
      </c>
      <c r="AO294" s="8">
        <f>IF($O294="Aktif",MAX(0,MIN($AE294,$AD294-SUM($AG294:AN294))),0)</f>
        <v>55367.875</v>
      </c>
      <c r="AP294" s="8">
        <f>IF($O294="Aktif",MAX(0,MIN($AE294,$AD294-SUM($AG294:AO294))),0)</f>
        <v>55367.875</v>
      </c>
      <c r="AQ294" s="8">
        <f>IF($O294="Aktif",MAX(0,MIN($AE294,$AD294-SUM($AG294:AP294))),0)</f>
        <v>55367.875</v>
      </c>
      <c r="AR294" s="8">
        <f>IF($O294="Aktif",MAX(0,MIN($AE294,$AD294-SUM($AG294:AQ294))),0)</f>
        <v>55367.875</v>
      </c>
      <c r="AS294" s="8">
        <f>IF($O294="Aktif",MAX(0,MIN($AE294,$AD294-SUM($AG294:AR294))),0)</f>
        <v>55367.875</v>
      </c>
      <c r="AT294" s="8">
        <f>IF($O294="Aktif",MAX(0,MIN($AE294,$AD294-SUM($AG294:AS294))),0)</f>
        <v>55367.875</v>
      </c>
      <c r="AU294" s="8">
        <f>IF($O294="Aktif",MAX(0,MIN($AE294,$AD294-SUM($AG294:AT294))),0)</f>
        <v>55367.875</v>
      </c>
      <c r="AV294" s="8">
        <f>IF($O294="Aktif",MAX(0,MIN($AE294,$AD294-SUM($AG294:AU294))),0)</f>
        <v>55367.875</v>
      </c>
      <c r="AW294" s="8">
        <f t="shared" si="33"/>
        <v>885886</v>
      </c>
      <c r="AX294" s="8">
        <f t="shared" si="34"/>
        <v>553678.75</v>
      </c>
    </row>
    <row r="295" spans="1:50" ht="15" customHeight="1" x14ac:dyDescent="0.35">
      <c r="A295" s="102">
        <v>289</v>
      </c>
      <c r="B295" s="102" t="s">
        <v>586</v>
      </c>
      <c r="C295" s="103">
        <v>227</v>
      </c>
      <c r="D295" s="102" t="s">
        <v>184</v>
      </c>
      <c r="E295" s="102" t="s">
        <v>479</v>
      </c>
      <c r="F295" s="102" t="s">
        <v>947</v>
      </c>
      <c r="G295" s="102" t="s">
        <v>948</v>
      </c>
      <c r="H295" s="102" t="s">
        <v>949</v>
      </c>
      <c r="I295" s="102" t="s">
        <v>90</v>
      </c>
      <c r="J295" s="102"/>
      <c r="K295" s="102" t="s">
        <v>1165</v>
      </c>
      <c r="L295" s="104">
        <v>45672</v>
      </c>
      <c r="M295" s="102" t="s">
        <v>1066</v>
      </c>
      <c r="N295" s="102" t="s">
        <v>1066</v>
      </c>
      <c r="O295" s="102" t="s">
        <v>383</v>
      </c>
      <c r="P295" s="103">
        <v>1</v>
      </c>
      <c r="Q295" s="105">
        <v>5360360</v>
      </c>
      <c r="R295" s="103">
        <v>48</v>
      </c>
      <c r="S295" s="105">
        <v>111674.16666666701</v>
      </c>
      <c r="T295" s="105">
        <v>1340090</v>
      </c>
      <c r="U295" s="105">
        <v>111674.16666666701</v>
      </c>
      <c r="V295" s="105">
        <v>111674.16666666701</v>
      </c>
      <c r="W295" s="105">
        <v>111674.16666666701</v>
      </c>
      <c r="X295" s="105">
        <v>111674.16666666701</v>
      </c>
      <c r="Y295" s="105">
        <v>111674.16666666701</v>
      </c>
      <c r="Z295" s="105">
        <v>111674.16666666701</v>
      </c>
      <c r="AA295" s="105">
        <v>111674.16666666701</v>
      </c>
      <c r="AB295" s="105">
        <v>111674.16666666701</v>
      </c>
      <c r="AC295" s="8">
        <f t="shared" si="28"/>
        <v>2233483.3333333358</v>
      </c>
      <c r="AD295" s="8">
        <f t="shared" si="29"/>
        <v>3126876.6666666642</v>
      </c>
      <c r="AE295" s="8">
        <f t="shared" si="30"/>
        <v>111674.16666666701</v>
      </c>
      <c r="AF295" s="106">
        <f t="shared" si="31"/>
        <v>27.999999999999893</v>
      </c>
      <c r="AG295" s="8">
        <f t="shared" si="32"/>
        <v>111674.16666666701</v>
      </c>
      <c r="AH295" s="8">
        <f>IF($O295="Aktif",MAX(0,MIN($AE295,$AD295-SUM($AG295:AG295))),0)</f>
        <v>111674.16666666701</v>
      </c>
      <c r="AI295" s="8">
        <f>IF($O295="Aktif",MAX(0,MIN($AE295,$AD295-SUM($AG295:AH295))),0)</f>
        <v>111674.16666666701</v>
      </c>
      <c r="AJ295" s="8">
        <f>IF($O295="Aktif",MAX(0,MIN($AE295,$AD295-SUM($AG295:AI295))),0)</f>
        <v>111674.16666666701</v>
      </c>
      <c r="AK295" s="8">
        <f>IF($O295="Aktif",MAX(0,MIN($AE295,$AD295-SUM($AG295:AJ295))),0)</f>
        <v>111674.16666666701</v>
      </c>
      <c r="AL295" s="8">
        <f>IF($O295="Aktif",MAX(0,MIN($AE295,$AD295-SUM($AG295:AK295))),0)</f>
        <v>111674.16666666701</v>
      </c>
      <c r="AM295" s="8">
        <f>IF($O295="Aktif",MAX(0,MIN($AE295,$AD295-SUM($AG295:AL295))),0)</f>
        <v>111674.16666666701</v>
      </c>
      <c r="AN295" s="8">
        <f>IF($O295="Aktif",MAX(0,MIN($AE295,$AD295-SUM($AG295:AM295))),0)</f>
        <v>111674.16666666701</v>
      </c>
      <c r="AO295" s="8">
        <f>IF($O295="Aktif",MAX(0,MIN($AE295,$AD295-SUM($AG295:AN295))),0)</f>
        <v>111674.16666666701</v>
      </c>
      <c r="AP295" s="8">
        <f>IF($O295="Aktif",MAX(0,MIN($AE295,$AD295-SUM($AG295:AO295))),0)</f>
        <v>111674.16666666701</v>
      </c>
      <c r="AQ295" s="8">
        <f>IF($O295="Aktif",MAX(0,MIN($AE295,$AD295-SUM($AG295:AP295))),0)</f>
        <v>111674.16666666701</v>
      </c>
      <c r="AR295" s="8">
        <f>IF($O295="Aktif",MAX(0,MIN($AE295,$AD295-SUM($AG295:AQ295))),0)</f>
        <v>111674.16666666701</v>
      </c>
      <c r="AS295" s="8">
        <f>IF($O295="Aktif",MAX(0,MIN($AE295,$AD295-SUM($AG295:AR295))),0)</f>
        <v>111674.16666666701</v>
      </c>
      <c r="AT295" s="8">
        <f>IF($O295="Aktif",MAX(0,MIN($AE295,$AD295-SUM($AG295:AS295))),0)</f>
        <v>111674.16666666701</v>
      </c>
      <c r="AU295" s="8">
        <f>IF($O295="Aktif",MAX(0,MIN($AE295,$AD295-SUM($AG295:AT295))),0)</f>
        <v>111674.16666666701</v>
      </c>
      <c r="AV295" s="8">
        <f>IF($O295="Aktif",MAX(0,MIN($AE295,$AD295-SUM($AG295:AU295))),0)</f>
        <v>111674.16666666701</v>
      </c>
      <c r="AW295" s="8">
        <f t="shared" si="33"/>
        <v>1786786.6666666719</v>
      </c>
      <c r="AX295" s="8">
        <f t="shared" si="34"/>
        <v>1340089.9999999923</v>
      </c>
    </row>
    <row r="296" spans="1:50" ht="15" customHeight="1" x14ac:dyDescent="0.35">
      <c r="A296" s="102">
        <v>290</v>
      </c>
      <c r="B296" s="102" t="s">
        <v>586</v>
      </c>
      <c r="C296" s="103">
        <v>228</v>
      </c>
      <c r="D296" s="102" t="s">
        <v>184</v>
      </c>
      <c r="E296" s="102" t="s">
        <v>479</v>
      </c>
      <c r="F296" s="102" t="s">
        <v>947</v>
      </c>
      <c r="G296" s="102" t="s">
        <v>948</v>
      </c>
      <c r="H296" s="102" t="s">
        <v>949</v>
      </c>
      <c r="I296" s="102" t="s">
        <v>90</v>
      </c>
      <c r="J296" s="102"/>
      <c r="K296" s="102" t="s">
        <v>1166</v>
      </c>
      <c r="L296" s="104">
        <v>45703</v>
      </c>
      <c r="M296" s="102" t="s">
        <v>1167</v>
      </c>
      <c r="N296" s="102" t="s">
        <v>1167</v>
      </c>
      <c r="O296" s="102" t="s">
        <v>383</v>
      </c>
      <c r="P296" s="103">
        <v>1</v>
      </c>
      <c r="Q296" s="105">
        <v>2027027</v>
      </c>
      <c r="R296" s="103">
        <v>48</v>
      </c>
      <c r="S296" s="105">
        <v>42229.729166666701</v>
      </c>
      <c r="T296" s="105">
        <v>464527.02083333302</v>
      </c>
      <c r="U296" s="105">
        <v>42229.729166666701</v>
      </c>
      <c r="V296" s="105">
        <v>42229.729166666701</v>
      </c>
      <c r="W296" s="105">
        <v>42229.729166666701</v>
      </c>
      <c r="X296" s="105">
        <v>42229.729166666701</v>
      </c>
      <c r="Y296" s="105">
        <v>42229.729166666701</v>
      </c>
      <c r="Z296" s="105">
        <v>42229.729166666701</v>
      </c>
      <c r="AA296" s="105">
        <v>42229.729166666701</v>
      </c>
      <c r="AB296" s="105">
        <v>42229.729166666701</v>
      </c>
      <c r="AC296" s="8">
        <f t="shared" si="28"/>
        <v>802364.85416666651</v>
      </c>
      <c r="AD296" s="8">
        <f t="shared" si="29"/>
        <v>1224662.1458333335</v>
      </c>
      <c r="AE296" s="8">
        <f t="shared" si="30"/>
        <v>42229.729166666701</v>
      </c>
      <c r="AF296" s="106">
        <f t="shared" si="31"/>
        <v>28.999999999999979</v>
      </c>
      <c r="AG296" s="8">
        <f t="shared" si="32"/>
        <v>42229.729166666701</v>
      </c>
      <c r="AH296" s="8">
        <f>IF($O296="Aktif",MAX(0,MIN($AE296,$AD296-SUM($AG296:AG296))),0)</f>
        <v>42229.729166666701</v>
      </c>
      <c r="AI296" s="8">
        <f>IF($O296="Aktif",MAX(0,MIN($AE296,$AD296-SUM($AG296:AH296))),0)</f>
        <v>42229.729166666701</v>
      </c>
      <c r="AJ296" s="8">
        <f>IF($O296="Aktif",MAX(0,MIN($AE296,$AD296-SUM($AG296:AI296))),0)</f>
        <v>42229.729166666701</v>
      </c>
      <c r="AK296" s="8">
        <f>IF($O296="Aktif",MAX(0,MIN($AE296,$AD296-SUM($AG296:AJ296))),0)</f>
        <v>42229.729166666701</v>
      </c>
      <c r="AL296" s="8">
        <f>IF($O296="Aktif",MAX(0,MIN($AE296,$AD296-SUM($AG296:AK296))),0)</f>
        <v>42229.729166666701</v>
      </c>
      <c r="AM296" s="8">
        <f>IF($O296="Aktif",MAX(0,MIN($AE296,$AD296-SUM($AG296:AL296))),0)</f>
        <v>42229.729166666701</v>
      </c>
      <c r="AN296" s="8">
        <f>IF($O296="Aktif",MAX(0,MIN($AE296,$AD296-SUM($AG296:AM296))),0)</f>
        <v>42229.729166666701</v>
      </c>
      <c r="AO296" s="8">
        <f>IF($O296="Aktif",MAX(0,MIN($AE296,$AD296-SUM($AG296:AN296))),0)</f>
        <v>42229.729166666701</v>
      </c>
      <c r="AP296" s="8">
        <f>IF($O296="Aktif",MAX(0,MIN($AE296,$AD296-SUM($AG296:AO296))),0)</f>
        <v>42229.729166666701</v>
      </c>
      <c r="AQ296" s="8">
        <f>IF($O296="Aktif",MAX(0,MIN($AE296,$AD296-SUM($AG296:AP296))),0)</f>
        <v>42229.729166666701</v>
      </c>
      <c r="AR296" s="8">
        <f>IF($O296="Aktif",MAX(0,MIN($AE296,$AD296-SUM($AG296:AQ296))),0)</f>
        <v>42229.729166666701</v>
      </c>
      <c r="AS296" s="8">
        <f>IF($O296="Aktif",MAX(0,MIN($AE296,$AD296-SUM($AG296:AR296))),0)</f>
        <v>42229.729166666701</v>
      </c>
      <c r="AT296" s="8">
        <f>IF($O296="Aktif",MAX(0,MIN($AE296,$AD296-SUM($AG296:AS296))),0)</f>
        <v>42229.729166666701</v>
      </c>
      <c r="AU296" s="8">
        <f>IF($O296="Aktif",MAX(0,MIN($AE296,$AD296-SUM($AG296:AT296))),0)</f>
        <v>42229.729166666701</v>
      </c>
      <c r="AV296" s="8">
        <f>IF($O296="Aktif",MAX(0,MIN($AE296,$AD296-SUM($AG296:AU296))),0)</f>
        <v>42229.729166666701</v>
      </c>
      <c r="AW296" s="8">
        <f t="shared" si="33"/>
        <v>675675.66666666721</v>
      </c>
      <c r="AX296" s="8">
        <f t="shared" si="34"/>
        <v>548986.47916666628</v>
      </c>
    </row>
    <row r="297" spans="1:50" ht="15" customHeight="1" x14ac:dyDescent="0.35">
      <c r="A297" s="102">
        <v>291</v>
      </c>
      <c r="B297" s="102" t="s">
        <v>586</v>
      </c>
      <c r="C297" s="103">
        <v>229</v>
      </c>
      <c r="D297" s="102" t="s">
        <v>184</v>
      </c>
      <c r="E297" s="102" t="s">
        <v>479</v>
      </c>
      <c r="F297" s="102" t="s">
        <v>947</v>
      </c>
      <c r="G297" s="102" t="s">
        <v>948</v>
      </c>
      <c r="H297" s="102" t="s">
        <v>949</v>
      </c>
      <c r="I297" s="102" t="s">
        <v>90</v>
      </c>
      <c r="J297" s="102"/>
      <c r="K297" s="102" t="s">
        <v>1168</v>
      </c>
      <c r="L297" s="104">
        <v>45703</v>
      </c>
      <c r="M297" s="102" t="s">
        <v>1169</v>
      </c>
      <c r="N297" s="102" t="s">
        <v>1169</v>
      </c>
      <c r="O297" s="102" t="s">
        <v>383</v>
      </c>
      <c r="P297" s="103">
        <v>1</v>
      </c>
      <c r="Q297" s="105">
        <v>2027027</v>
      </c>
      <c r="R297" s="103">
        <v>48</v>
      </c>
      <c r="S297" s="105">
        <v>42229.729166666701</v>
      </c>
      <c r="T297" s="105">
        <v>464527.02083333302</v>
      </c>
      <c r="U297" s="105">
        <v>42229.729166666701</v>
      </c>
      <c r="V297" s="105">
        <v>42229.729166666701</v>
      </c>
      <c r="W297" s="105">
        <v>42229.729166666701</v>
      </c>
      <c r="X297" s="105">
        <v>42229.729166666701</v>
      </c>
      <c r="Y297" s="105">
        <v>42229.729166666701</v>
      </c>
      <c r="Z297" s="105">
        <v>42229.729166666701</v>
      </c>
      <c r="AA297" s="105">
        <v>42229.729166666701</v>
      </c>
      <c r="AB297" s="105">
        <v>42229.729166666701</v>
      </c>
      <c r="AC297" s="8">
        <f t="shared" si="28"/>
        <v>802364.85416666651</v>
      </c>
      <c r="AD297" s="8">
        <f t="shared" si="29"/>
        <v>1224662.1458333335</v>
      </c>
      <c r="AE297" s="8">
        <f t="shared" si="30"/>
        <v>42229.729166666701</v>
      </c>
      <c r="AF297" s="106">
        <f t="shared" si="31"/>
        <v>28.999999999999979</v>
      </c>
      <c r="AG297" s="8">
        <f t="shared" si="32"/>
        <v>42229.729166666701</v>
      </c>
      <c r="AH297" s="8">
        <f>IF($O297="Aktif",MAX(0,MIN($AE297,$AD297-SUM($AG297:AG297))),0)</f>
        <v>42229.729166666701</v>
      </c>
      <c r="AI297" s="8">
        <f>IF($O297="Aktif",MAX(0,MIN($AE297,$AD297-SUM($AG297:AH297))),0)</f>
        <v>42229.729166666701</v>
      </c>
      <c r="AJ297" s="8">
        <f>IF($O297="Aktif",MAX(0,MIN($AE297,$AD297-SUM($AG297:AI297))),0)</f>
        <v>42229.729166666701</v>
      </c>
      <c r="AK297" s="8">
        <f>IF($O297="Aktif",MAX(0,MIN($AE297,$AD297-SUM($AG297:AJ297))),0)</f>
        <v>42229.729166666701</v>
      </c>
      <c r="AL297" s="8">
        <f>IF($O297="Aktif",MAX(0,MIN($AE297,$AD297-SUM($AG297:AK297))),0)</f>
        <v>42229.729166666701</v>
      </c>
      <c r="AM297" s="8">
        <f>IF($O297="Aktif",MAX(0,MIN($AE297,$AD297-SUM($AG297:AL297))),0)</f>
        <v>42229.729166666701</v>
      </c>
      <c r="AN297" s="8">
        <f>IF($O297="Aktif",MAX(0,MIN($AE297,$AD297-SUM($AG297:AM297))),0)</f>
        <v>42229.729166666701</v>
      </c>
      <c r="AO297" s="8">
        <f>IF($O297="Aktif",MAX(0,MIN($AE297,$AD297-SUM($AG297:AN297))),0)</f>
        <v>42229.729166666701</v>
      </c>
      <c r="AP297" s="8">
        <f>IF($O297="Aktif",MAX(0,MIN($AE297,$AD297-SUM($AG297:AO297))),0)</f>
        <v>42229.729166666701</v>
      </c>
      <c r="AQ297" s="8">
        <f>IF($O297="Aktif",MAX(0,MIN($AE297,$AD297-SUM($AG297:AP297))),0)</f>
        <v>42229.729166666701</v>
      </c>
      <c r="AR297" s="8">
        <f>IF($O297="Aktif",MAX(0,MIN($AE297,$AD297-SUM($AG297:AQ297))),0)</f>
        <v>42229.729166666701</v>
      </c>
      <c r="AS297" s="8">
        <f>IF($O297="Aktif",MAX(0,MIN($AE297,$AD297-SUM($AG297:AR297))),0)</f>
        <v>42229.729166666701</v>
      </c>
      <c r="AT297" s="8">
        <f>IF($O297="Aktif",MAX(0,MIN($AE297,$AD297-SUM($AG297:AS297))),0)</f>
        <v>42229.729166666701</v>
      </c>
      <c r="AU297" s="8">
        <f>IF($O297="Aktif",MAX(0,MIN($AE297,$AD297-SUM($AG297:AT297))),0)</f>
        <v>42229.729166666701</v>
      </c>
      <c r="AV297" s="8">
        <f>IF($O297="Aktif",MAX(0,MIN($AE297,$AD297-SUM($AG297:AU297))),0)</f>
        <v>42229.729166666701</v>
      </c>
      <c r="AW297" s="8">
        <f t="shared" si="33"/>
        <v>675675.66666666721</v>
      </c>
      <c r="AX297" s="8">
        <f t="shared" si="34"/>
        <v>548986.47916666628</v>
      </c>
    </row>
    <row r="298" spans="1:50" ht="15" customHeight="1" x14ac:dyDescent="0.35">
      <c r="A298" s="102">
        <v>292</v>
      </c>
      <c r="B298" s="102" t="s">
        <v>586</v>
      </c>
      <c r="C298" s="103">
        <v>230</v>
      </c>
      <c r="D298" s="102" t="s">
        <v>184</v>
      </c>
      <c r="E298" s="102" t="s">
        <v>479</v>
      </c>
      <c r="F298" s="102" t="s">
        <v>947</v>
      </c>
      <c r="G298" s="102" t="s">
        <v>948</v>
      </c>
      <c r="H298" s="102" t="s">
        <v>949</v>
      </c>
      <c r="I298" s="102" t="s">
        <v>90</v>
      </c>
      <c r="J298" s="102"/>
      <c r="K298" s="102" t="s">
        <v>1170</v>
      </c>
      <c r="L298" s="104">
        <v>45703</v>
      </c>
      <c r="M298" s="102" t="s">
        <v>1171</v>
      </c>
      <c r="N298" s="102" t="s">
        <v>1171</v>
      </c>
      <c r="O298" s="102" t="s">
        <v>383</v>
      </c>
      <c r="P298" s="103">
        <v>1</v>
      </c>
      <c r="Q298" s="105">
        <v>4797297</v>
      </c>
      <c r="R298" s="103">
        <v>48</v>
      </c>
      <c r="S298" s="105">
        <v>99943.6875</v>
      </c>
      <c r="T298" s="105">
        <v>1099380.5625</v>
      </c>
      <c r="U298" s="105">
        <v>99943.6875</v>
      </c>
      <c r="V298" s="105">
        <v>99943.6875</v>
      </c>
      <c r="W298" s="105">
        <v>99943.6875</v>
      </c>
      <c r="X298" s="105">
        <v>99943.6875</v>
      </c>
      <c r="Y298" s="105">
        <v>99943.6875</v>
      </c>
      <c r="Z298" s="105">
        <v>99943.6875</v>
      </c>
      <c r="AA298" s="105">
        <v>99943.6875</v>
      </c>
      <c r="AB298" s="105">
        <v>99943.6875</v>
      </c>
      <c r="AC298" s="8">
        <f t="shared" si="28"/>
        <v>1898930.0625</v>
      </c>
      <c r="AD298" s="8">
        <f t="shared" si="29"/>
        <v>2898366.9375</v>
      </c>
      <c r="AE298" s="8">
        <f t="shared" si="30"/>
        <v>99943.6875</v>
      </c>
      <c r="AF298" s="106">
        <f t="shared" si="31"/>
        <v>29</v>
      </c>
      <c r="AG298" s="8">
        <f t="shared" si="32"/>
        <v>99943.6875</v>
      </c>
      <c r="AH298" s="8">
        <f>IF($O298="Aktif",MAX(0,MIN($AE298,$AD298-SUM($AG298:AG298))),0)</f>
        <v>99943.6875</v>
      </c>
      <c r="AI298" s="8">
        <f>IF($O298="Aktif",MAX(0,MIN($AE298,$AD298-SUM($AG298:AH298))),0)</f>
        <v>99943.6875</v>
      </c>
      <c r="AJ298" s="8">
        <f>IF($O298="Aktif",MAX(0,MIN($AE298,$AD298-SUM($AG298:AI298))),0)</f>
        <v>99943.6875</v>
      </c>
      <c r="AK298" s="8">
        <f>IF($O298="Aktif",MAX(0,MIN($AE298,$AD298-SUM($AG298:AJ298))),0)</f>
        <v>99943.6875</v>
      </c>
      <c r="AL298" s="8">
        <f>IF($O298="Aktif",MAX(0,MIN($AE298,$AD298-SUM($AG298:AK298))),0)</f>
        <v>99943.6875</v>
      </c>
      <c r="AM298" s="8">
        <f>IF($O298="Aktif",MAX(0,MIN($AE298,$AD298-SUM($AG298:AL298))),0)</f>
        <v>99943.6875</v>
      </c>
      <c r="AN298" s="8">
        <f>IF($O298="Aktif",MAX(0,MIN($AE298,$AD298-SUM($AG298:AM298))),0)</f>
        <v>99943.6875</v>
      </c>
      <c r="AO298" s="8">
        <f>IF($O298="Aktif",MAX(0,MIN($AE298,$AD298-SUM($AG298:AN298))),0)</f>
        <v>99943.6875</v>
      </c>
      <c r="AP298" s="8">
        <f>IF($O298="Aktif",MAX(0,MIN($AE298,$AD298-SUM($AG298:AO298))),0)</f>
        <v>99943.6875</v>
      </c>
      <c r="AQ298" s="8">
        <f>IF($O298="Aktif",MAX(0,MIN($AE298,$AD298-SUM($AG298:AP298))),0)</f>
        <v>99943.6875</v>
      </c>
      <c r="AR298" s="8">
        <f>IF($O298="Aktif",MAX(0,MIN($AE298,$AD298-SUM($AG298:AQ298))),0)</f>
        <v>99943.6875</v>
      </c>
      <c r="AS298" s="8">
        <f>IF($O298="Aktif",MAX(0,MIN($AE298,$AD298-SUM($AG298:AR298))),0)</f>
        <v>99943.6875</v>
      </c>
      <c r="AT298" s="8">
        <f>IF($O298="Aktif",MAX(0,MIN($AE298,$AD298-SUM($AG298:AS298))),0)</f>
        <v>99943.6875</v>
      </c>
      <c r="AU298" s="8">
        <f>IF($O298="Aktif",MAX(0,MIN($AE298,$AD298-SUM($AG298:AT298))),0)</f>
        <v>99943.6875</v>
      </c>
      <c r="AV298" s="8">
        <f>IF($O298="Aktif",MAX(0,MIN($AE298,$AD298-SUM($AG298:AU298))),0)</f>
        <v>99943.6875</v>
      </c>
      <c r="AW298" s="8">
        <f t="shared" si="33"/>
        <v>1599099</v>
      </c>
      <c r="AX298" s="8">
        <f t="shared" si="34"/>
        <v>1299267.9375</v>
      </c>
    </row>
    <row r="299" spans="1:50" ht="15" customHeight="1" x14ac:dyDescent="0.35">
      <c r="A299" s="102">
        <v>293</v>
      </c>
      <c r="B299" s="102" t="s">
        <v>586</v>
      </c>
      <c r="C299" s="103">
        <v>231</v>
      </c>
      <c r="D299" s="102" t="s">
        <v>184</v>
      </c>
      <c r="E299" s="102" t="s">
        <v>479</v>
      </c>
      <c r="F299" s="102" t="s">
        <v>947</v>
      </c>
      <c r="G299" s="102" t="s">
        <v>948</v>
      </c>
      <c r="H299" s="102" t="s">
        <v>949</v>
      </c>
      <c r="I299" s="102" t="s">
        <v>90</v>
      </c>
      <c r="J299" s="102"/>
      <c r="K299" s="102" t="s">
        <v>1172</v>
      </c>
      <c r="L299" s="104">
        <v>45703</v>
      </c>
      <c r="M299" s="102" t="s">
        <v>1173</v>
      </c>
      <c r="N299" s="102" t="s">
        <v>1173</v>
      </c>
      <c r="O299" s="102" t="s">
        <v>383</v>
      </c>
      <c r="P299" s="103">
        <v>1</v>
      </c>
      <c r="Q299" s="105">
        <v>1529550</v>
      </c>
      <c r="R299" s="103">
        <v>48</v>
      </c>
      <c r="S299" s="105">
        <v>31865.625</v>
      </c>
      <c r="T299" s="105">
        <v>350521.875</v>
      </c>
      <c r="U299" s="105">
        <v>31865.625</v>
      </c>
      <c r="V299" s="105">
        <v>31865.625</v>
      </c>
      <c r="W299" s="105">
        <v>31865.625</v>
      </c>
      <c r="X299" s="105">
        <v>31865.625</v>
      </c>
      <c r="Y299" s="105">
        <v>31865.625</v>
      </c>
      <c r="Z299" s="105">
        <v>31865.625</v>
      </c>
      <c r="AA299" s="105">
        <v>31865.625</v>
      </c>
      <c r="AB299" s="105">
        <v>31865.625</v>
      </c>
      <c r="AC299" s="8">
        <f t="shared" si="28"/>
        <v>605446.875</v>
      </c>
      <c r="AD299" s="8">
        <f t="shared" si="29"/>
        <v>924103.125</v>
      </c>
      <c r="AE299" s="8">
        <f t="shared" si="30"/>
        <v>31865.625</v>
      </c>
      <c r="AF299" s="106">
        <f t="shared" si="31"/>
        <v>29</v>
      </c>
      <c r="AG299" s="8">
        <f t="shared" si="32"/>
        <v>31865.625</v>
      </c>
      <c r="AH299" s="8">
        <f>IF($O299="Aktif",MAX(0,MIN($AE299,$AD299-SUM($AG299:AG299))),0)</f>
        <v>31865.625</v>
      </c>
      <c r="AI299" s="8">
        <f>IF($O299="Aktif",MAX(0,MIN($AE299,$AD299-SUM($AG299:AH299))),0)</f>
        <v>31865.625</v>
      </c>
      <c r="AJ299" s="8">
        <f>IF($O299="Aktif",MAX(0,MIN($AE299,$AD299-SUM($AG299:AI299))),0)</f>
        <v>31865.625</v>
      </c>
      <c r="AK299" s="8">
        <f>IF($O299="Aktif",MAX(0,MIN($AE299,$AD299-SUM($AG299:AJ299))),0)</f>
        <v>31865.625</v>
      </c>
      <c r="AL299" s="8">
        <f>IF($O299="Aktif",MAX(0,MIN($AE299,$AD299-SUM($AG299:AK299))),0)</f>
        <v>31865.625</v>
      </c>
      <c r="AM299" s="8">
        <f>IF($O299="Aktif",MAX(0,MIN($AE299,$AD299-SUM($AG299:AL299))),0)</f>
        <v>31865.625</v>
      </c>
      <c r="AN299" s="8">
        <f>IF($O299="Aktif",MAX(0,MIN($AE299,$AD299-SUM($AG299:AM299))),0)</f>
        <v>31865.625</v>
      </c>
      <c r="AO299" s="8">
        <f>IF($O299="Aktif",MAX(0,MIN($AE299,$AD299-SUM($AG299:AN299))),0)</f>
        <v>31865.625</v>
      </c>
      <c r="AP299" s="8">
        <f>IF($O299="Aktif",MAX(0,MIN($AE299,$AD299-SUM($AG299:AO299))),0)</f>
        <v>31865.625</v>
      </c>
      <c r="AQ299" s="8">
        <f>IF($O299="Aktif",MAX(0,MIN($AE299,$AD299-SUM($AG299:AP299))),0)</f>
        <v>31865.625</v>
      </c>
      <c r="AR299" s="8">
        <f>IF($O299="Aktif",MAX(0,MIN($AE299,$AD299-SUM($AG299:AQ299))),0)</f>
        <v>31865.625</v>
      </c>
      <c r="AS299" s="8">
        <f>IF($O299="Aktif",MAX(0,MIN($AE299,$AD299-SUM($AG299:AR299))),0)</f>
        <v>31865.625</v>
      </c>
      <c r="AT299" s="8">
        <f>IF($O299="Aktif",MAX(0,MIN($AE299,$AD299-SUM($AG299:AS299))),0)</f>
        <v>31865.625</v>
      </c>
      <c r="AU299" s="8">
        <f>IF($O299="Aktif",MAX(0,MIN($AE299,$AD299-SUM($AG299:AT299))),0)</f>
        <v>31865.625</v>
      </c>
      <c r="AV299" s="8">
        <f>IF($O299="Aktif",MAX(0,MIN($AE299,$AD299-SUM($AG299:AU299))),0)</f>
        <v>31865.625</v>
      </c>
      <c r="AW299" s="8">
        <f t="shared" si="33"/>
        <v>509850</v>
      </c>
      <c r="AX299" s="8">
        <f t="shared" si="34"/>
        <v>414253.125</v>
      </c>
    </row>
    <row r="300" spans="1:50" ht="15" customHeight="1" x14ac:dyDescent="0.35">
      <c r="A300" s="102">
        <v>294</v>
      </c>
      <c r="B300" s="102" t="s">
        <v>586</v>
      </c>
      <c r="C300" s="103">
        <v>232</v>
      </c>
      <c r="D300" s="102" t="s">
        <v>184</v>
      </c>
      <c r="E300" s="102" t="s">
        <v>479</v>
      </c>
      <c r="F300" s="102" t="s">
        <v>947</v>
      </c>
      <c r="G300" s="102" t="s">
        <v>948</v>
      </c>
      <c r="H300" s="102" t="s">
        <v>949</v>
      </c>
      <c r="I300" s="102" t="s">
        <v>90</v>
      </c>
      <c r="J300" s="102"/>
      <c r="K300" s="102" t="s">
        <v>1174</v>
      </c>
      <c r="L300" s="104">
        <v>45727</v>
      </c>
      <c r="M300" s="102" t="s">
        <v>1175</v>
      </c>
      <c r="N300" s="102" t="s">
        <v>1175</v>
      </c>
      <c r="O300" s="102" t="s">
        <v>383</v>
      </c>
      <c r="P300" s="103">
        <v>1</v>
      </c>
      <c r="Q300" s="105">
        <v>7800000</v>
      </c>
      <c r="R300" s="103">
        <v>48</v>
      </c>
      <c r="S300" s="105">
        <v>162500</v>
      </c>
      <c r="T300" s="105">
        <v>1625000</v>
      </c>
      <c r="U300" s="105">
        <v>162500</v>
      </c>
      <c r="V300" s="105">
        <v>162500</v>
      </c>
      <c r="W300" s="105">
        <v>162500</v>
      </c>
      <c r="X300" s="105">
        <v>162500</v>
      </c>
      <c r="Y300" s="105">
        <v>162500</v>
      </c>
      <c r="Z300" s="105">
        <v>162500</v>
      </c>
      <c r="AA300" s="105">
        <v>162500</v>
      </c>
      <c r="AB300" s="105">
        <v>162500</v>
      </c>
      <c r="AC300" s="8">
        <f t="shared" si="28"/>
        <v>2925000</v>
      </c>
      <c r="AD300" s="8">
        <f t="shared" si="29"/>
        <v>4875000</v>
      </c>
      <c r="AE300" s="8">
        <f t="shared" si="30"/>
        <v>162500</v>
      </c>
      <c r="AF300" s="106">
        <f t="shared" si="31"/>
        <v>30</v>
      </c>
      <c r="AG300" s="8">
        <f t="shared" si="32"/>
        <v>162500</v>
      </c>
      <c r="AH300" s="8">
        <f>IF($O300="Aktif",MAX(0,MIN($AE300,$AD300-SUM($AG300:AG300))),0)</f>
        <v>162500</v>
      </c>
      <c r="AI300" s="8">
        <f>IF($O300="Aktif",MAX(0,MIN($AE300,$AD300-SUM($AG300:AH300))),0)</f>
        <v>162500</v>
      </c>
      <c r="AJ300" s="8">
        <f>IF($O300="Aktif",MAX(0,MIN($AE300,$AD300-SUM($AG300:AI300))),0)</f>
        <v>162500</v>
      </c>
      <c r="AK300" s="8">
        <f>IF($O300="Aktif",MAX(0,MIN($AE300,$AD300-SUM($AG300:AJ300))),0)</f>
        <v>162500</v>
      </c>
      <c r="AL300" s="8">
        <f>IF($O300="Aktif",MAX(0,MIN($AE300,$AD300-SUM($AG300:AK300))),0)</f>
        <v>162500</v>
      </c>
      <c r="AM300" s="8">
        <f>IF($O300="Aktif",MAX(0,MIN($AE300,$AD300-SUM($AG300:AL300))),0)</f>
        <v>162500</v>
      </c>
      <c r="AN300" s="8">
        <f>IF($O300="Aktif",MAX(0,MIN($AE300,$AD300-SUM($AG300:AM300))),0)</f>
        <v>162500</v>
      </c>
      <c r="AO300" s="8">
        <f>IF($O300="Aktif",MAX(0,MIN($AE300,$AD300-SUM($AG300:AN300))),0)</f>
        <v>162500</v>
      </c>
      <c r="AP300" s="8">
        <f>IF($O300="Aktif",MAX(0,MIN($AE300,$AD300-SUM($AG300:AO300))),0)</f>
        <v>162500</v>
      </c>
      <c r="AQ300" s="8">
        <f>IF($O300="Aktif",MAX(0,MIN($AE300,$AD300-SUM($AG300:AP300))),0)</f>
        <v>162500</v>
      </c>
      <c r="AR300" s="8">
        <f>IF($O300="Aktif",MAX(0,MIN($AE300,$AD300-SUM($AG300:AQ300))),0)</f>
        <v>162500</v>
      </c>
      <c r="AS300" s="8">
        <f>IF($O300="Aktif",MAX(0,MIN($AE300,$AD300-SUM($AG300:AR300))),0)</f>
        <v>162500</v>
      </c>
      <c r="AT300" s="8">
        <f>IF($O300="Aktif",MAX(0,MIN($AE300,$AD300-SUM($AG300:AS300))),0)</f>
        <v>162500</v>
      </c>
      <c r="AU300" s="8">
        <f>IF($O300="Aktif",MAX(0,MIN($AE300,$AD300-SUM($AG300:AT300))),0)</f>
        <v>162500</v>
      </c>
      <c r="AV300" s="8">
        <f>IF($O300="Aktif",MAX(0,MIN($AE300,$AD300-SUM($AG300:AU300))),0)</f>
        <v>162500</v>
      </c>
      <c r="AW300" s="8">
        <f t="shared" si="33"/>
        <v>2600000</v>
      </c>
      <c r="AX300" s="8">
        <f t="shared" si="34"/>
        <v>2275000</v>
      </c>
    </row>
    <row r="301" spans="1:50" ht="15" customHeight="1" x14ac:dyDescent="0.35">
      <c r="A301" s="102">
        <v>295</v>
      </c>
      <c r="B301" s="102" t="s">
        <v>586</v>
      </c>
      <c r="C301" s="103">
        <v>233</v>
      </c>
      <c r="D301" s="102" t="s">
        <v>184</v>
      </c>
      <c r="E301" s="102" t="s">
        <v>479</v>
      </c>
      <c r="F301" s="102" t="s">
        <v>947</v>
      </c>
      <c r="G301" s="102" t="s">
        <v>948</v>
      </c>
      <c r="H301" s="102" t="s">
        <v>949</v>
      </c>
      <c r="I301" s="102" t="s">
        <v>90</v>
      </c>
      <c r="J301" s="102"/>
      <c r="K301" s="102" t="s">
        <v>1176</v>
      </c>
      <c r="L301" s="104">
        <v>45731</v>
      </c>
      <c r="M301" s="102" t="s">
        <v>1177</v>
      </c>
      <c r="N301" s="102" t="s">
        <v>1177</v>
      </c>
      <c r="O301" s="102" t="s">
        <v>383</v>
      </c>
      <c r="P301" s="103">
        <v>1</v>
      </c>
      <c r="Q301" s="105">
        <v>3063063</v>
      </c>
      <c r="R301" s="103">
        <v>48</v>
      </c>
      <c r="S301" s="105">
        <v>63813.8125</v>
      </c>
      <c r="T301" s="105">
        <v>638138.125</v>
      </c>
      <c r="U301" s="105">
        <v>63813.8125</v>
      </c>
      <c r="V301" s="105">
        <v>63813.8125</v>
      </c>
      <c r="W301" s="105">
        <v>63813.8125</v>
      </c>
      <c r="X301" s="105">
        <v>63813.8125</v>
      </c>
      <c r="Y301" s="105">
        <v>63813.8125</v>
      </c>
      <c r="Z301" s="105">
        <v>63813.8125</v>
      </c>
      <c r="AA301" s="105">
        <v>63813.8125</v>
      </c>
      <c r="AB301" s="105">
        <v>63813.8125</v>
      </c>
      <c r="AC301" s="8">
        <f t="shared" si="28"/>
        <v>1148648.625</v>
      </c>
      <c r="AD301" s="8">
        <f t="shared" si="29"/>
        <v>1914414.375</v>
      </c>
      <c r="AE301" s="8">
        <f t="shared" si="30"/>
        <v>63813.8125</v>
      </c>
      <c r="AF301" s="106">
        <f t="shared" si="31"/>
        <v>30</v>
      </c>
      <c r="AG301" s="8">
        <f t="shared" si="32"/>
        <v>63813.8125</v>
      </c>
      <c r="AH301" s="8">
        <f>IF($O301="Aktif",MAX(0,MIN($AE301,$AD301-SUM($AG301:AG301))),0)</f>
        <v>63813.8125</v>
      </c>
      <c r="AI301" s="8">
        <f>IF($O301="Aktif",MAX(0,MIN($AE301,$AD301-SUM($AG301:AH301))),0)</f>
        <v>63813.8125</v>
      </c>
      <c r="AJ301" s="8">
        <f>IF($O301="Aktif",MAX(0,MIN($AE301,$AD301-SUM($AG301:AI301))),0)</f>
        <v>63813.8125</v>
      </c>
      <c r="AK301" s="8">
        <f>IF($O301="Aktif",MAX(0,MIN($AE301,$AD301-SUM($AG301:AJ301))),0)</f>
        <v>63813.8125</v>
      </c>
      <c r="AL301" s="8">
        <f>IF($O301="Aktif",MAX(0,MIN($AE301,$AD301-SUM($AG301:AK301))),0)</f>
        <v>63813.8125</v>
      </c>
      <c r="AM301" s="8">
        <f>IF($O301="Aktif",MAX(0,MIN($AE301,$AD301-SUM($AG301:AL301))),0)</f>
        <v>63813.8125</v>
      </c>
      <c r="AN301" s="8">
        <f>IF($O301="Aktif",MAX(0,MIN($AE301,$AD301-SUM($AG301:AM301))),0)</f>
        <v>63813.8125</v>
      </c>
      <c r="AO301" s="8">
        <f>IF($O301="Aktif",MAX(0,MIN($AE301,$AD301-SUM($AG301:AN301))),0)</f>
        <v>63813.8125</v>
      </c>
      <c r="AP301" s="8">
        <f>IF($O301="Aktif",MAX(0,MIN($AE301,$AD301-SUM($AG301:AO301))),0)</f>
        <v>63813.8125</v>
      </c>
      <c r="AQ301" s="8">
        <f>IF($O301="Aktif",MAX(0,MIN($AE301,$AD301-SUM($AG301:AP301))),0)</f>
        <v>63813.8125</v>
      </c>
      <c r="AR301" s="8">
        <f>IF($O301="Aktif",MAX(0,MIN($AE301,$AD301-SUM($AG301:AQ301))),0)</f>
        <v>63813.8125</v>
      </c>
      <c r="AS301" s="8">
        <f>IF($O301="Aktif",MAX(0,MIN($AE301,$AD301-SUM($AG301:AR301))),0)</f>
        <v>63813.8125</v>
      </c>
      <c r="AT301" s="8">
        <f>IF($O301="Aktif",MAX(0,MIN($AE301,$AD301-SUM($AG301:AS301))),0)</f>
        <v>63813.8125</v>
      </c>
      <c r="AU301" s="8">
        <f>IF($O301="Aktif",MAX(0,MIN($AE301,$AD301-SUM($AG301:AT301))),0)</f>
        <v>63813.8125</v>
      </c>
      <c r="AV301" s="8">
        <f>IF($O301="Aktif",MAX(0,MIN($AE301,$AD301-SUM($AG301:AU301))),0)</f>
        <v>63813.8125</v>
      </c>
      <c r="AW301" s="8">
        <f t="shared" si="33"/>
        <v>1021021</v>
      </c>
      <c r="AX301" s="8">
        <f t="shared" si="34"/>
        <v>893393.375</v>
      </c>
    </row>
    <row r="302" spans="1:50" ht="15" customHeight="1" x14ac:dyDescent="0.35">
      <c r="A302" s="102">
        <v>296</v>
      </c>
      <c r="B302" s="102" t="s">
        <v>586</v>
      </c>
      <c r="C302" s="103">
        <v>234</v>
      </c>
      <c r="D302" s="102" t="s">
        <v>184</v>
      </c>
      <c r="E302" s="102" t="s">
        <v>479</v>
      </c>
      <c r="F302" s="102" t="s">
        <v>947</v>
      </c>
      <c r="G302" s="102" t="s">
        <v>948</v>
      </c>
      <c r="H302" s="102" t="s">
        <v>949</v>
      </c>
      <c r="I302" s="102" t="s">
        <v>90</v>
      </c>
      <c r="J302" s="102"/>
      <c r="K302" s="102" t="s">
        <v>1178</v>
      </c>
      <c r="L302" s="104">
        <v>45731</v>
      </c>
      <c r="M302" s="102" t="s">
        <v>1179</v>
      </c>
      <c r="N302" s="102" t="s">
        <v>1179</v>
      </c>
      <c r="O302" s="102" t="s">
        <v>383</v>
      </c>
      <c r="P302" s="103">
        <v>1</v>
      </c>
      <c r="Q302" s="105">
        <v>8625000</v>
      </c>
      <c r="R302" s="103">
        <v>48</v>
      </c>
      <c r="S302" s="105">
        <v>179687.5</v>
      </c>
      <c r="T302" s="105">
        <v>1796875</v>
      </c>
      <c r="U302" s="105">
        <v>179687.5</v>
      </c>
      <c r="V302" s="105">
        <v>179687.5</v>
      </c>
      <c r="W302" s="105">
        <v>179687.5</v>
      </c>
      <c r="X302" s="105">
        <v>179687.5</v>
      </c>
      <c r="Y302" s="105">
        <v>179687.5</v>
      </c>
      <c r="Z302" s="105">
        <v>179687.5</v>
      </c>
      <c r="AA302" s="105">
        <v>179687.5</v>
      </c>
      <c r="AB302" s="105">
        <v>179687.5</v>
      </c>
      <c r="AC302" s="8">
        <f t="shared" si="28"/>
        <v>3234375</v>
      </c>
      <c r="AD302" s="8">
        <f t="shared" si="29"/>
        <v>5390625</v>
      </c>
      <c r="AE302" s="8">
        <f t="shared" si="30"/>
        <v>179687.5</v>
      </c>
      <c r="AF302" s="106">
        <f t="shared" si="31"/>
        <v>30</v>
      </c>
      <c r="AG302" s="8">
        <f t="shared" si="32"/>
        <v>179687.5</v>
      </c>
      <c r="AH302" s="8">
        <f>IF($O302="Aktif",MAX(0,MIN($AE302,$AD302-SUM($AG302:AG302))),0)</f>
        <v>179687.5</v>
      </c>
      <c r="AI302" s="8">
        <f>IF($O302="Aktif",MAX(0,MIN($AE302,$AD302-SUM($AG302:AH302))),0)</f>
        <v>179687.5</v>
      </c>
      <c r="AJ302" s="8">
        <f>IF($O302="Aktif",MAX(0,MIN($AE302,$AD302-SUM($AG302:AI302))),0)</f>
        <v>179687.5</v>
      </c>
      <c r="AK302" s="8">
        <f>IF($O302="Aktif",MAX(0,MIN($AE302,$AD302-SUM($AG302:AJ302))),0)</f>
        <v>179687.5</v>
      </c>
      <c r="AL302" s="8">
        <f>IF($O302="Aktif",MAX(0,MIN($AE302,$AD302-SUM($AG302:AK302))),0)</f>
        <v>179687.5</v>
      </c>
      <c r="AM302" s="8">
        <f>IF($O302="Aktif",MAX(0,MIN($AE302,$AD302-SUM($AG302:AL302))),0)</f>
        <v>179687.5</v>
      </c>
      <c r="AN302" s="8">
        <f>IF($O302="Aktif",MAX(0,MIN($AE302,$AD302-SUM($AG302:AM302))),0)</f>
        <v>179687.5</v>
      </c>
      <c r="AO302" s="8">
        <f>IF($O302="Aktif",MAX(0,MIN($AE302,$AD302-SUM($AG302:AN302))),0)</f>
        <v>179687.5</v>
      </c>
      <c r="AP302" s="8">
        <f>IF($O302="Aktif",MAX(0,MIN($AE302,$AD302-SUM($AG302:AO302))),0)</f>
        <v>179687.5</v>
      </c>
      <c r="AQ302" s="8">
        <f>IF($O302="Aktif",MAX(0,MIN($AE302,$AD302-SUM($AG302:AP302))),0)</f>
        <v>179687.5</v>
      </c>
      <c r="AR302" s="8">
        <f>IF($O302="Aktif",MAX(0,MIN($AE302,$AD302-SUM($AG302:AQ302))),0)</f>
        <v>179687.5</v>
      </c>
      <c r="AS302" s="8">
        <f>IF($O302="Aktif",MAX(0,MIN($AE302,$AD302-SUM($AG302:AR302))),0)</f>
        <v>179687.5</v>
      </c>
      <c r="AT302" s="8">
        <f>IF($O302="Aktif",MAX(0,MIN($AE302,$AD302-SUM($AG302:AS302))),0)</f>
        <v>179687.5</v>
      </c>
      <c r="AU302" s="8">
        <f>IF($O302="Aktif",MAX(0,MIN($AE302,$AD302-SUM($AG302:AT302))),0)</f>
        <v>179687.5</v>
      </c>
      <c r="AV302" s="8">
        <f>IF($O302="Aktif",MAX(0,MIN($AE302,$AD302-SUM($AG302:AU302))),0)</f>
        <v>179687.5</v>
      </c>
      <c r="AW302" s="8">
        <f t="shared" si="33"/>
        <v>2875000</v>
      </c>
      <c r="AX302" s="8">
        <f t="shared" si="34"/>
        <v>2515625</v>
      </c>
    </row>
    <row r="303" spans="1:50" ht="15" customHeight="1" x14ac:dyDescent="0.35">
      <c r="A303" s="102">
        <v>297</v>
      </c>
      <c r="B303" s="102" t="s">
        <v>586</v>
      </c>
      <c r="C303" s="103">
        <v>235</v>
      </c>
      <c r="D303" s="102" t="s">
        <v>184</v>
      </c>
      <c r="E303" s="102" t="s">
        <v>479</v>
      </c>
      <c r="F303" s="102" t="s">
        <v>947</v>
      </c>
      <c r="G303" s="102" t="s">
        <v>948</v>
      </c>
      <c r="H303" s="102" t="s">
        <v>949</v>
      </c>
      <c r="I303" s="102" t="s">
        <v>90</v>
      </c>
      <c r="J303" s="102"/>
      <c r="K303" s="102" t="s">
        <v>1180</v>
      </c>
      <c r="L303" s="104">
        <v>45731</v>
      </c>
      <c r="M303" s="102" t="s">
        <v>1181</v>
      </c>
      <c r="N303" s="102" t="s">
        <v>1181</v>
      </c>
      <c r="O303" s="102" t="s">
        <v>383</v>
      </c>
      <c r="P303" s="103">
        <v>1</v>
      </c>
      <c r="Q303" s="105">
        <v>8625000</v>
      </c>
      <c r="R303" s="103">
        <v>48</v>
      </c>
      <c r="S303" s="105">
        <v>179687.5</v>
      </c>
      <c r="T303" s="105">
        <v>1796875</v>
      </c>
      <c r="U303" s="105">
        <v>179687.5</v>
      </c>
      <c r="V303" s="105">
        <v>179687.5</v>
      </c>
      <c r="W303" s="105">
        <v>179687.5</v>
      </c>
      <c r="X303" s="105">
        <v>179687.5</v>
      </c>
      <c r="Y303" s="105">
        <v>179687.5</v>
      </c>
      <c r="Z303" s="105">
        <v>179687.5</v>
      </c>
      <c r="AA303" s="105">
        <v>179687.5</v>
      </c>
      <c r="AB303" s="105">
        <v>179687.5</v>
      </c>
      <c r="AC303" s="8">
        <f t="shared" si="28"/>
        <v>3234375</v>
      </c>
      <c r="AD303" s="8">
        <f t="shared" si="29"/>
        <v>5390625</v>
      </c>
      <c r="AE303" s="8">
        <f t="shared" si="30"/>
        <v>179687.5</v>
      </c>
      <c r="AF303" s="106">
        <f t="shared" si="31"/>
        <v>30</v>
      </c>
      <c r="AG303" s="8">
        <f t="shared" si="32"/>
        <v>179687.5</v>
      </c>
      <c r="AH303" s="8">
        <f>IF($O303="Aktif",MAX(0,MIN($AE303,$AD303-SUM($AG303:AG303))),0)</f>
        <v>179687.5</v>
      </c>
      <c r="AI303" s="8">
        <f>IF($O303="Aktif",MAX(0,MIN($AE303,$AD303-SUM($AG303:AH303))),0)</f>
        <v>179687.5</v>
      </c>
      <c r="AJ303" s="8">
        <f>IF($O303="Aktif",MAX(0,MIN($AE303,$AD303-SUM($AG303:AI303))),0)</f>
        <v>179687.5</v>
      </c>
      <c r="AK303" s="8">
        <f>IF($O303="Aktif",MAX(0,MIN($AE303,$AD303-SUM($AG303:AJ303))),0)</f>
        <v>179687.5</v>
      </c>
      <c r="AL303" s="8">
        <f>IF($O303="Aktif",MAX(0,MIN($AE303,$AD303-SUM($AG303:AK303))),0)</f>
        <v>179687.5</v>
      </c>
      <c r="AM303" s="8">
        <f>IF($O303="Aktif",MAX(0,MIN($AE303,$AD303-SUM($AG303:AL303))),0)</f>
        <v>179687.5</v>
      </c>
      <c r="AN303" s="8">
        <f>IF($O303="Aktif",MAX(0,MIN($AE303,$AD303-SUM($AG303:AM303))),0)</f>
        <v>179687.5</v>
      </c>
      <c r="AO303" s="8">
        <f>IF($O303="Aktif",MAX(0,MIN($AE303,$AD303-SUM($AG303:AN303))),0)</f>
        <v>179687.5</v>
      </c>
      <c r="AP303" s="8">
        <f>IF($O303="Aktif",MAX(0,MIN($AE303,$AD303-SUM($AG303:AO303))),0)</f>
        <v>179687.5</v>
      </c>
      <c r="AQ303" s="8">
        <f>IF($O303="Aktif",MAX(0,MIN($AE303,$AD303-SUM($AG303:AP303))),0)</f>
        <v>179687.5</v>
      </c>
      <c r="AR303" s="8">
        <f>IF($O303="Aktif",MAX(0,MIN($AE303,$AD303-SUM($AG303:AQ303))),0)</f>
        <v>179687.5</v>
      </c>
      <c r="AS303" s="8">
        <f>IF($O303="Aktif",MAX(0,MIN($AE303,$AD303-SUM($AG303:AR303))),0)</f>
        <v>179687.5</v>
      </c>
      <c r="AT303" s="8">
        <f>IF($O303="Aktif",MAX(0,MIN($AE303,$AD303-SUM($AG303:AS303))),0)</f>
        <v>179687.5</v>
      </c>
      <c r="AU303" s="8">
        <f>IF($O303="Aktif",MAX(0,MIN($AE303,$AD303-SUM($AG303:AT303))),0)</f>
        <v>179687.5</v>
      </c>
      <c r="AV303" s="8">
        <f>IF($O303="Aktif",MAX(0,MIN($AE303,$AD303-SUM($AG303:AU303))),0)</f>
        <v>179687.5</v>
      </c>
      <c r="AW303" s="8">
        <f t="shared" si="33"/>
        <v>2875000</v>
      </c>
      <c r="AX303" s="8">
        <f t="shared" si="34"/>
        <v>2515625</v>
      </c>
    </row>
    <row r="304" spans="1:50" ht="15" customHeight="1" x14ac:dyDescent="0.35">
      <c r="A304" s="102">
        <v>298</v>
      </c>
      <c r="B304" s="102" t="s">
        <v>586</v>
      </c>
      <c r="C304" s="103">
        <v>236</v>
      </c>
      <c r="D304" s="102" t="s">
        <v>184</v>
      </c>
      <c r="E304" s="102" t="s">
        <v>540</v>
      </c>
      <c r="F304" s="102" t="s">
        <v>872</v>
      </c>
      <c r="G304" s="102" t="s">
        <v>873</v>
      </c>
      <c r="H304" s="102" t="s">
        <v>874</v>
      </c>
      <c r="I304" s="102" t="s">
        <v>90</v>
      </c>
      <c r="J304" s="102"/>
      <c r="K304" s="102" t="s">
        <v>1182</v>
      </c>
      <c r="L304" s="104">
        <v>45728</v>
      </c>
      <c r="M304" s="102" t="s">
        <v>1183</v>
      </c>
      <c r="N304" s="102" t="s">
        <v>1183</v>
      </c>
      <c r="O304" s="102" t="s">
        <v>383</v>
      </c>
      <c r="P304" s="103">
        <v>1</v>
      </c>
      <c r="Q304" s="105">
        <v>7000000</v>
      </c>
      <c r="R304" s="103">
        <v>96</v>
      </c>
      <c r="S304" s="105">
        <v>72916.666666666701</v>
      </c>
      <c r="T304" s="105">
        <v>729166.66666666698</v>
      </c>
      <c r="U304" s="105">
        <v>72916.666666666701</v>
      </c>
      <c r="V304" s="105">
        <v>72916.666666666701</v>
      </c>
      <c r="W304" s="105">
        <v>72916.666666666701</v>
      </c>
      <c r="X304" s="105">
        <v>72916.666666666701</v>
      </c>
      <c r="Y304" s="105">
        <v>72916.666666666701</v>
      </c>
      <c r="Z304" s="105">
        <v>72916.666666666701</v>
      </c>
      <c r="AA304" s="105">
        <v>72916.666666666701</v>
      </c>
      <c r="AB304" s="105">
        <v>72916.666666666701</v>
      </c>
      <c r="AC304" s="8">
        <f t="shared" si="28"/>
        <v>1312500.0000000005</v>
      </c>
      <c r="AD304" s="8">
        <f t="shared" si="29"/>
        <v>5687500</v>
      </c>
      <c r="AE304" s="8">
        <f t="shared" si="30"/>
        <v>72916.666666666701</v>
      </c>
      <c r="AF304" s="106">
        <f t="shared" si="31"/>
        <v>77.999999999999957</v>
      </c>
      <c r="AG304" s="8">
        <f t="shared" si="32"/>
        <v>72916.666666666701</v>
      </c>
      <c r="AH304" s="8">
        <f>IF($O304="Aktif",MAX(0,MIN($AE304,$AD304-SUM($AG304:AG304))),0)</f>
        <v>72916.666666666701</v>
      </c>
      <c r="AI304" s="8">
        <f>IF($O304="Aktif",MAX(0,MIN($AE304,$AD304-SUM($AG304:AH304))),0)</f>
        <v>72916.666666666701</v>
      </c>
      <c r="AJ304" s="8">
        <f>IF($O304="Aktif",MAX(0,MIN($AE304,$AD304-SUM($AG304:AI304))),0)</f>
        <v>72916.666666666701</v>
      </c>
      <c r="AK304" s="8">
        <f>IF($O304="Aktif",MAX(0,MIN($AE304,$AD304-SUM($AG304:AJ304))),0)</f>
        <v>72916.666666666701</v>
      </c>
      <c r="AL304" s="8">
        <f>IF($O304="Aktif",MAX(0,MIN($AE304,$AD304-SUM($AG304:AK304))),0)</f>
        <v>72916.666666666701</v>
      </c>
      <c r="AM304" s="8">
        <f>IF($O304="Aktif",MAX(0,MIN($AE304,$AD304-SUM($AG304:AL304))),0)</f>
        <v>72916.666666666701</v>
      </c>
      <c r="AN304" s="8">
        <f>IF($O304="Aktif",MAX(0,MIN($AE304,$AD304-SUM($AG304:AM304))),0)</f>
        <v>72916.666666666701</v>
      </c>
      <c r="AO304" s="8">
        <f>IF($O304="Aktif",MAX(0,MIN($AE304,$AD304-SUM($AG304:AN304))),0)</f>
        <v>72916.666666666701</v>
      </c>
      <c r="AP304" s="8">
        <f>IF($O304="Aktif",MAX(0,MIN($AE304,$AD304-SUM($AG304:AO304))),0)</f>
        <v>72916.666666666701</v>
      </c>
      <c r="AQ304" s="8">
        <f>IF($O304="Aktif",MAX(0,MIN($AE304,$AD304-SUM($AG304:AP304))),0)</f>
        <v>72916.666666666701</v>
      </c>
      <c r="AR304" s="8">
        <f>IF($O304="Aktif",MAX(0,MIN($AE304,$AD304-SUM($AG304:AQ304))),0)</f>
        <v>72916.666666666701</v>
      </c>
      <c r="AS304" s="8">
        <f>IF($O304="Aktif",MAX(0,MIN($AE304,$AD304-SUM($AG304:AR304))),0)</f>
        <v>72916.666666666701</v>
      </c>
      <c r="AT304" s="8">
        <f>IF($O304="Aktif",MAX(0,MIN($AE304,$AD304-SUM($AG304:AS304))),0)</f>
        <v>72916.666666666701</v>
      </c>
      <c r="AU304" s="8">
        <f>IF($O304="Aktif",MAX(0,MIN($AE304,$AD304-SUM($AG304:AT304))),0)</f>
        <v>72916.666666666701</v>
      </c>
      <c r="AV304" s="8">
        <f>IF($O304="Aktif",MAX(0,MIN($AE304,$AD304-SUM($AG304:AU304))),0)</f>
        <v>72916.666666666701</v>
      </c>
      <c r="AW304" s="8">
        <f t="shared" si="33"/>
        <v>1166666.6666666674</v>
      </c>
      <c r="AX304" s="8">
        <f t="shared" si="34"/>
        <v>4520833.3333333321</v>
      </c>
    </row>
    <row r="305" spans="1:50" ht="15" customHeight="1" x14ac:dyDescent="0.35">
      <c r="A305" s="102">
        <v>299</v>
      </c>
      <c r="B305" s="102" t="s">
        <v>586</v>
      </c>
      <c r="C305" s="103">
        <v>237</v>
      </c>
      <c r="D305" s="102" t="s">
        <v>184</v>
      </c>
      <c r="E305" s="102" t="s">
        <v>540</v>
      </c>
      <c r="F305" s="102" t="s">
        <v>872</v>
      </c>
      <c r="G305" s="102" t="s">
        <v>873</v>
      </c>
      <c r="H305" s="102" t="s">
        <v>874</v>
      </c>
      <c r="I305" s="102" t="s">
        <v>90</v>
      </c>
      <c r="J305" s="102"/>
      <c r="K305" s="102" t="s">
        <v>1184</v>
      </c>
      <c r="L305" s="104">
        <v>45728</v>
      </c>
      <c r="M305" s="102" t="s">
        <v>1185</v>
      </c>
      <c r="N305" s="102" t="s">
        <v>1185</v>
      </c>
      <c r="O305" s="102" t="s">
        <v>383</v>
      </c>
      <c r="P305" s="103">
        <v>1</v>
      </c>
      <c r="Q305" s="105">
        <v>7000000</v>
      </c>
      <c r="R305" s="103">
        <v>96</v>
      </c>
      <c r="S305" s="105">
        <v>72916.666666666701</v>
      </c>
      <c r="T305" s="105">
        <v>729166.66666666698</v>
      </c>
      <c r="U305" s="105">
        <v>72916.666666666701</v>
      </c>
      <c r="V305" s="105">
        <v>72916.666666666701</v>
      </c>
      <c r="W305" s="105">
        <v>72916.666666666701</v>
      </c>
      <c r="X305" s="105">
        <v>72916.666666666701</v>
      </c>
      <c r="Y305" s="105">
        <v>72916.666666666701</v>
      </c>
      <c r="Z305" s="105">
        <v>72916.666666666701</v>
      </c>
      <c r="AA305" s="105">
        <v>72916.666666666701</v>
      </c>
      <c r="AB305" s="105">
        <v>72916.666666666701</v>
      </c>
      <c r="AC305" s="8">
        <f t="shared" si="28"/>
        <v>1312500.0000000005</v>
      </c>
      <c r="AD305" s="8">
        <f t="shared" si="29"/>
        <v>5687500</v>
      </c>
      <c r="AE305" s="8">
        <f t="shared" si="30"/>
        <v>72916.666666666701</v>
      </c>
      <c r="AF305" s="106">
        <f t="shared" si="31"/>
        <v>77.999999999999957</v>
      </c>
      <c r="AG305" s="8">
        <f t="shared" si="32"/>
        <v>72916.666666666701</v>
      </c>
      <c r="AH305" s="8">
        <f>IF($O305="Aktif",MAX(0,MIN($AE305,$AD305-SUM($AG305:AG305))),0)</f>
        <v>72916.666666666701</v>
      </c>
      <c r="AI305" s="8">
        <f>IF($O305="Aktif",MAX(0,MIN($AE305,$AD305-SUM($AG305:AH305))),0)</f>
        <v>72916.666666666701</v>
      </c>
      <c r="AJ305" s="8">
        <f>IF($O305="Aktif",MAX(0,MIN($AE305,$AD305-SUM($AG305:AI305))),0)</f>
        <v>72916.666666666701</v>
      </c>
      <c r="AK305" s="8">
        <f>IF($O305="Aktif",MAX(0,MIN($AE305,$AD305-SUM($AG305:AJ305))),0)</f>
        <v>72916.666666666701</v>
      </c>
      <c r="AL305" s="8">
        <f>IF($O305="Aktif",MAX(0,MIN($AE305,$AD305-SUM($AG305:AK305))),0)</f>
        <v>72916.666666666701</v>
      </c>
      <c r="AM305" s="8">
        <f>IF($O305="Aktif",MAX(0,MIN($AE305,$AD305-SUM($AG305:AL305))),0)</f>
        <v>72916.666666666701</v>
      </c>
      <c r="AN305" s="8">
        <f>IF($O305="Aktif",MAX(0,MIN($AE305,$AD305-SUM($AG305:AM305))),0)</f>
        <v>72916.666666666701</v>
      </c>
      <c r="AO305" s="8">
        <f>IF($O305="Aktif",MAX(0,MIN($AE305,$AD305-SUM($AG305:AN305))),0)</f>
        <v>72916.666666666701</v>
      </c>
      <c r="AP305" s="8">
        <f>IF($O305="Aktif",MAX(0,MIN($AE305,$AD305-SUM($AG305:AO305))),0)</f>
        <v>72916.666666666701</v>
      </c>
      <c r="AQ305" s="8">
        <f>IF($O305="Aktif",MAX(0,MIN($AE305,$AD305-SUM($AG305:AP305))),0)</f>
        <v>72916.666666666701</v>
      </c>
      <c r="AR305" s="8">
        <f>IF($O305="Aktif",MAX(0,MIN($AE305,$AD305-SUM($AG305:AQ305))),0)</f>
        <v>72916.666666666701</v>
      </c>
      <c r="AS305" s="8">
        <f>IF($O305="Aktif",MAX(0,MIN($AE305,$AD305-SUM($AG305:AR305))),0)</f>
        <v>72916.666666666701</v>
      </c>
      <c r="AT305" s="8">
        <f>IF($O305="Aktif",MAX(0,MIN($AE305,$AD305-SUM($AG305:AS305))),0)</f>
        <v>72916.666666666701</v>
      </c>
      <c r="AU305" s="8">
        <f>IF($O305="Aktif",MAX(0,MIN($AE305,$AD305-SUM($AG305:AT305))),0)</f>
        <v>72916.666666666701</v>
      </c>
      <c r="AV305" s="8">
        <f>IF($O305="Aktif",MAX(0,MIN($AE305,$AD305-SUM($AG305:AU305))),0)</f>
        <v>72916.666666666701</v>
      </c>
      <c r="AW305" s="8">
        <f t="shared" si="33"/>
        <v>1166666.6666666674</v>
      </c>
      <c r="AX305" s="8">
        <f t="shared" si="34"/>
        <v>4520833.3333333321</v>
      </c>
    </row>
    <row r="306" spans="1:50" ht="15" customHeight="1" x14ac:dyDescent="0.35">
      <c r="A306" s="102">
        <v>300</v>
      </c>
      <c r="B306" s="102" t="s">
        <v>586</v>
      </c>
      <c r="C306" s="103">
        <v>238</v>
      </c>
      <c r="D306" s="102" t="s">
        <v>184</v>
      </c>
      <c r="E306" s="102" t="s">
        <v>479</v>
      </c>
      <c r="F306" s="102" t="s">
        <v>947</v>
      </c>
      <c r="G306" s="102" t="s">
        <v>948</v>
      </c>
      <c r="H306" s="102" t="s">
        <v>949</v>
      </c>
      <c r="I306" s="102" t="s">
        <v>90</v>
      </c>
      <c r="J306" s="102"/>
      <c r="K306" s="102" t="s">
        <v>1186</v>
      </c>
      <c r="L306" s="104">
        <v>45755</v>
      </c>
      <c r="M306" s="102" t="s">
        <v>1187</v>
      </c>
      <c r="N306" s="102" t="s">
        <v>1187</v>
      </c>
      <c r="O306" s="102" t="s">
        <v>383</v>
      </c>
      <c r="P306" s="103">
        <v>1</v>
      </c>
      <c r="Q306" s="105">
        <v>1500000</v>
      </c>
      <c r="R306" s="103">
        <v>48</v>
      </c>
      <c r="S306" s="105">
        <v>31250</v>
      </c>
      <c r="T306" s="105">
        <v>281250</v>
      </c>
      <c r="U306" s="105">
        <v>31250</v>
      </c>
      <c r="V306" s="105">
        <v>31250</v>
      </c>
      <c r="W306" s="105">
        <v>31250</v>
      </c>
      <c r="X306" s="105">
        <v>31250</v>
      </c>
      <c r="Y306" s="105">
        <v>31250</v>
      </c>
      <c r="Z306" s="105">
        <v>31250</v>
      </c>
      <c r="AA306" s="105">
        <v>31250</v>
      </c>
      <c r="AB306" s="105">
        <v>31250</v>
      </c>
      <c r="AC306" s="8">
        <f t="shared" si="28"/>
        <v>531250</v>
      </c>
      <c r="AD306" s="8">
        <f t="shared" si="29"/>
        <v>968750</v>
      </c>
      <c r="AE306" s="8">
        <f t="shared" si="30"/>
        <v>31250</v>
      </c>
      <c r="AF306" s="106">
        <f t="shared" si="31"/>
        <v>31</v>
      </c>
      <c r="AG306" s="8">
        <f t="shared" si="32"/>
        <v>31250</v>
      </c>
      <c r="AH306" s="8">
        <f>IF($O306="Aktif",MAX(0,MIN($AE306,$AD306-SUM($AG306:AG306))),0)</f>
        <v>31250</v>
      </c>
      <c r="AI306" s="8">
        <f>IF($O306="Aktif",MAX(0,MIN($AE306,$AD306-SUM($AG306:AH306))),0)</f>
        <v>31250</v>
      </c>
      <c r="AJ306" s="8">
        <f>IF($O306="Aktif",MAX(0,MIN($AE306,$AD306-SUM($AG306:AI306))),0)</f>
        <v>31250</v>
      </c>
      <c r="AK306" s="8">
        <f>IF($O306="Aktif",MAX(0,MIN($AE306,$AD306-SUM($AG306:AJ306))),0)</f>
        <v>31250</v>
      </c>
      <c r="AL306" s="8">
        <f>IF($O306="Aktif",MAX(0,MIN($AE306,$AD306-SUM($AG306:AK306))),0)</f>
        <v>31250</v>
      </c>
      <c r="AM306" s="8">
        <f>IF($O306="Aktif",MAX(0,MIN($AE306,$AD306-SUM($AG306:AL306))),0)</f>
        <v>31250</v>
      </c>
      <c r="AN306" s="8">
        <f>IF($O306="Aktif",MAX(0,MIN($AE306,$AD306-SUM($AG306:AM306))),0)</f>
        <v>31250</v>
      </c>
      <c r="AO306" s="8">
        <f>IF($O306="Aktif",MAX(0,MIN($AE306,$AD306-SUM($AG306:AN306))),0)</f>
        <v>31250</v>
      </c>
      <c r="AP306" s="8">
        <f>IF($O306="Aktif",MAX(0,MIN($AE306,$AD306-SUM($AG306:AO306))),0)</f>
        <v>31250</v>
      </c>
      <c r="AQ306" s="8">
        <f>IF($O306="Aktif",MAX(0,MIN($AE306,$AD306-SUM($AG306:AP306))),0)</f>
        <v>31250</v>
      </c>
      <c r="AR306" s="8">
        <f>IF($O306="Aktif",MAX(0,MIN($AE306,$AD306-SUM($AG306:AQ306))),0)</f>
        <v>31250</v>
      </c>
      <c r="AS306" s="8">
        <f>IF($O306="Aktif",MAX(0,MIN($AE306,$AD306-SUM($AG306:AR306))),0)</f>
        <v>31250</v>
      </c>
      <c r="AT306" s="8">
        <f>IF($O306="Aktif",MAX(0,MIN($AE306,$AD306-SUM($AG306:AS306))),0)</f>
        <v>31250</v>
      </c>
      <c r="AU306" s="8">
        <f>IF($O306="Aktif",MAX(0,MIN($AE306,$AD306-SUM($AG306:AT306))),0)</f>
        <v>31250</v>
      </c>
      <c r="AV306" s="8">
        <f>IF($O306="Aktif",MAX(0,MIN($AE306,$AD306-SUM($AG306:AU306))),0)</f>
        <v>31250</v>
      </c>
      <c r="AW306" s="8">
        <f t="shared" si="33"/>
        <v>500000</v>
      </c>
      <c r="AX306" s="8">
        <f t="shared" si="34"/>
        <v>468750</v>
      </c>
    </row>
    <row r="307" spans="1:50" ht="15" customHeight="1" x14ac:dyDescent="0.35">
      <c r="A307" s="102">
        <v>301</v>
      </c>
      <c r="B307" s="102" t="s">
        <v>586</v>
      </c>
      <c r="C307" s="103">
        <v>239</v>
      </c>
      <c r="D307" s="102" t="s">
        <v>184</v>
      </c>
      <c r="E307" s="102" t="s">
        <v>479</v>
      </c>
      <c r="F307" s="102" t="s">
        <v>947</v>
      </c>
      <c r="G307" s="102" t="s">
        <v>948</v>
      </c>
      <c r="H307" s="102" t="s">
        <v>949</v>
      </c>
      <c r="I307" s="102" t="s">
        <v>90</v>
      </c>
      <c r="J307" s="102"/>
      <c r="K307" s="102" t="s">
        <v>1188</v>
      </c>
      <c r="L307" s="104">
        <v>45755</v>
      </c>
      <c r="M307" s="102" t="s">
        <v>1189</v>
      </c>
      <c r="N307" s="102" t="s">
        <v>1189</v>
      </c>
      <c r="O307" s="102" t="s">
        <v>383</v>
      </c>
      <c r="P307" s="103">
        <v>1</v>
      </c>
      <c r="Q307" s="105">
        <v>1200000</v>
      </c>
      <c r="R307" s="103">
        <v>48</v>
      </c>
      <c r="S307" s="105">
        <v>25000</v>
      </c>
      <c r="T307" s="105">
        <v>225000</v>
      </c>
      <c r="U307" s="105">
        <v>25000</v>
      </c>
      <c r="V307" s="105">
        <v>25000</v>
      </c>
      <c r="W307" s="105">
        <v>25000</v>
      </c>
      <c r="X307" s="105">
        <v>25000</v>
      </c>
      <c r="Y307" s="105">
        <v>25000</v>
      </c>
      <c r="Z307" s="105">
        <v>25000</v>
      </c>
      <c r="AA307" s="105">
        <v>25000</v>
      </c>
      <c r="AB307" s="105">
        <v>25000</v>
      </c>
      <c r="AC307" s="8">
        <f t="shared" si="28"/>
        <v>425000</v>
      </c>
      <c r="AD307" s="8">
        <f t="shared" si="29"/>
        <v>775000</v>
      </c>
      <c r="AE307" s="8">
        <f t="shared" si="30"/>
        <v>25000</v>
      </c>
      <c r="AF307" s="106">
        <f t="shared" si="31"/>
        <v>31</v>
      </c>
      <c r="AG307" s="8">
        <f t="shared" si="32"/>
        <v>25000</v>
      </c>
      <c r="AH307" s="8">
        <f>IF($O307="Aktif",MAX(0,MIN($AE307,$AD307-SUM($AG307:AG307))),0)</f>
        <v>25000</v>
      </c>
      <c r="AI307" s="8">
        <f>IF($O307="Aktif",MAX(0,MIN($AE307,$AD307-SUM($AG307:AH307))),0)</f>
        <v>25000</v>
      </c>
      <c r="AJ307" s="8">
        <f>IF($O307="Aktif",MAX(0,MIN($AE307,$AD307-SUM($AG307:AI307))),0)</f>
        <v>25000</v>
      </c>
      <c r="AK307" s="8">
        <f>IF($O307="Aktif",MAX(0,MIN($AE307,$AD307-SUM($AG307:AJ307))),0)</f>
        <v>25000</v>
      </c>
      <c r="AL307" s="8">
        <f>IF($O307="Aktif",MAX(0,MIN($AE307,$AD307-SUM($AG307:AK307))),0)</f>
        <v>25000</v>
      </c>
      <c r="AM307" s="8">
        <f>IF($O307="Aktif",MAX(0,MIN($AE307,$AD307-SUM($AG307:AL307))),0)</f>
        <v>25000</v>
      </c>
      <c r="AN307" s="8">
        <f>IF($O307="Aktif",MAX(0,MIN($AE307,$AD307-SUM($AG307:AM307))),0)</f>
        <v>25000</v>
      </c>
      <c r="AO307" s="8">
        <f>IF($O307="Aktif",MAX(0,MIN($AE307,$AD307-SUM($AG307:AN307))),0)</f>
        <v>25000</v>
      </c>
      <c r="AP307" s="8">
        <f>IF($O307="Aktif",MAX(0,MIN($AE307,$AD307-SUM($AG307:AO307))),0)</f>
        <v>25000</v>
      </c>
      <c r="AQ307" s="8">
        <f>IF($O307="Aktif",MAX(0,MIN($AE307,$AD307-SUM($AG307:AP307))),0)</f>
        <v>25000</v>
      </c>
      <c r="AR307" s="8">
        <f>IF($O307="Aktif",MAX(0,MIN($AE307,$AD307-SUM($AG307:AQ307))),0)</f>
        <v>25000</v>
      </c>
      <c r="AS307" s="8">
        <f>IF($O307="Aktif",MAX(0,MIN($AE307,$AD307-SUM($AG307:AR307))),0)</f>
        <v>25000</v>
      </c>
      <c r="AT307" s="8">
        <f>IF($O307="Aktif",MAX(0,MIN($AE307,$AD307-SUM($AG307:AS307))),0)</f>
        <v>25000</v>
      </c>
      <c r="AU307" s="8">
        <f>IF($O307="Aktif",MAX(0,MIN($AE307,$AD307-SUM($AG307:AT307))),0)</f>
        <v>25000</v>
      </c>
      <c r="AV307" s="8">
        <f>IF($O307="Aktif",MAX(0,MIN($AE307,$AD307-SUM($AG307:AU307))),0)</f>
        <v>25000</v>
      </c>
      <c r="AW307" s="8">
        <f t="shared" si="33"/>
        <v>400000</v>
      </c>
      <c r="AX307" s="8">
        <f t="shared" si="34"/>
        <v>375000</v>
      </c>
    </row>
    <row r="308" spans="1:50" ht="15" customHeight="1" x14ac:dyDescent="0.35">
      <c r="A308" s="102">
        <v>302</v>
      </c>
      <c r="B308" s="102" t="s">
        <v>586</v>
      </c>
      <c r="C308" s="103">
        <v>240</v>
      </c>
      <c r="D308" s="102" t="s">
        <v>184</v>
      </c>
      <c r="E308" s="102" t="s">
        <v>479</v>
      </c>
      <c r="F308" s="102" t="s">
        <v>947</v>
      </c>
      <c r="G308" s="102" t="s">
        <v>948</v>
      </c>
      <c r="H308" s="102" t="s">
        <v>949</v>
      </c>
      <c r="I308" s="102" t="s">
        <v>90</v>
      </c>
      <c r="J308" s="102"/>
      <c r="K308" s="102" t="s">
        <v>1190</v>
      </c>
      <c r="L308" s="104">
        <v>45755</v>
      </c>
      <c r="M308" s="102" t="s">
        <v>1191</v>
      </c>
      <c r="N308" s="102" t="s">
        <v>1191</v>
      </c>
      <c r="O308" s="102" t="s">
        <v>383</v>
      </c>
      <c r="P308" s="103">
        <v>1</v>
      </c>
      <c r="Q308" s="105">
        <v>1200000</v>
      </c>
      <c r="R308" s="103">
        <v>48</v>
      </c>
      <c r="S308" s="105">
        <v>25000</v>
      </c>
      <c r="T308" s="105">
        <v>225000</v>
      </c>
      <c r="U308" s="105">
        <v>25000</v>
      </c>
      <c r="V308" s="105">
        <v>25000</v>
      </c>
      <c r="W308" s="105">
        <v>25000</v>
      </c>
      <c r="X308" s="105">
        <v>25000</v>
      </c>
      <c r="Y308" s="105">
        <v>25000</v>
      </c>
      <c r="Z308" s="105">
        <v>25000</v>
      </c>
      <c r="AA308" s="105">
        <v>25000</v>
      </c>
      <c r="AB308" s="105">
        <v>25000</v>
      </c>
      <c r="AC308" s="8">
        <f t="shared" si="28"/>
        <v>425000</v>
      </c>
      <c r="AD308" s="8">
        <f t="shared" si="29"/>
        <v>775000</v>
      </c>
      <c r="AE308" s="8">
        <f t="shared" si="30"/>
        <v>25000</v>
      </c>
      <c r="AF308" s="106">
        <f t="shared" si="31"/>
        <v>31</v>
      </c>
      <c r="AG308" s="8">
        <f t="shared" si="32"/>
        <v>25000</v>
      </c>
      <c r="AH308" s="8">
        <f>IF($O308="Aktif",MAX(0,MIN($AE308,$AD308-SUM($AG308:AG308))),0)</f>
        <v>25000</v>
      </c>
      <c r="AI308" s="8">
        <f>IF($O308="Aktif",MAX(0,MIN($AE308,$AD308-SUM($AG308:AH308))),0)</f>
        <v>25000</v>
      </c>
      <c r="AJ308" s="8">
        <f>IF($O308="Aktif",MAX(0,MIN($AE308,$AD308-SUM($AG308:AI308))),0)</f>
        <v>25000</v>
      </c>
      <c r="AK308" s="8">
        <f>IF($O308="Aktif",MAX(0,MIN($AE308,$AD308-SUM($AG308:AJ308))),0)</f>
        <v>25000</v>
      </c>
      <c r="AL308" s="8">
        <f>IF($O308="Aktif",MAX(0,MIN($AE308,$AD308-SUM($AG308:AK308))),0)</f>
        <v>25000</v>
      </c>
      <c r="AM308" s="8">
        <f>IF($O308="Aktif",MAX(0,MIN($AE308,$AD308-SUM($AG308:AL308))),0)</f>
        <v>25000</v>
      </c>
      <c r="AN308" s="8">
        <f>IF($O308="Aktif",MAX(0,MIN($AE308,$AD308-SUM($AG308:AM308))),0)</f>
        <v>25000</v>
      </c>
      <c r="AO308" s="8">
        <f>IF($O308="Aktif",MAX(0,MIN($AE308,$AD308-SUM($AG308:AN308))),0)</f>
        <v>25000</v>
      </c>
      <c r="AP308" s="8">
        <f>IF($O308="Aktif",MAX(0,MIN($AE308,$AD308-SUM($AG308:AO308))),0)</f>
        <v>25000</v>
      </c>
      <c r="AQ308" s="8">
        <f>IF($O308="Aktif",MAX(0,MIN($AE308,$AD308-SUM($AG308:AP308))),0)</f>
        <v>25000</v>
      </c>
      <c r="AR308" s="8">
        <f>IF($O308="Aktif",MAX(0,MIN($AE308,$AD308-SUM($AG308:AQ308))),0)</f>
        <v>25000</v>
      </c>
      <c r="AS308" s="8">
        <f>IF($O308="Aktif",MAX(0,MIN($AE308,$AD308-SUM($AG308:AR308))),0)</f>
        <v>25000</v>
      </c>
      <c r="AT308" s="8">
        <f>IF($O308="Aktif",MAX(0,MIN($AE308,$AD308-SUM($AG308:AS308))),0)</f>
        <v>25000</v>
      </c>
      <c r="AU308" s="8">
        <f>IF($O308="Aktif",MAX(0,MIN($AE308,$AD308-SUM($AG308:AT308))),0)</f>
        <v>25000</v>
      </c>
      <c r="AV308" s="8">
        <f>IF($O308="Aktif",MAX(0,MIN($AE308,$AD308-SUM($AG308:AU308))),0)</f>
        <v>25000</v>
      </c>
      <c r="AW308" s="8">
        <f t="shared" si="33"/>
        <v>400000</v>
      </c>
      <c r="AX308" s="8">
        <f t="shared" si="34"/>
        <v>375000</v>
      </c>
    </row>
    <row r="309" spans="1:50" ht="15" customHeight="1" x14ac:dyDescent="0.35">
      <c r="A309" s="102">
        <v>303</v>
      </c>
      <c r="B309" s="102" t="s">
        <v>586</v>
      </c>
      <c r="C309" s="103">
        <v>241</v>
      </c>
      <c r="D309" s="102" t="s">
        <v>184</v>
      </c>
      <c r="E309" s="102" t="s">
        <v>479</v>
      </c>
      <c r="F309" s="102" t="s">
        <v>947</v>
      </c>
      <c r="G309" s="102" t="s">
        <v>948</v>
      </c>
      <c r="H309" s="102" t="s">
        <v>949</v>
      </c>
      <c r="I309" s="102" t="s">
        <v>90</v>
      </c>
      <c r="J309" s="102"/>
      <c r="K309" s="102" t="s">
        <v>1192</v>
      </c>
      <c r="L309" s="104">
        <v>45751</v>
      </c>
      <c r="M309" s="102" t="s">
        <v>1193</v>
      </c>
      <c r="N309" s="102" t="s">
        <v>1193</v>
      </c>
      <c r="O309" s="102" t="s">
        <v>383</v>
      </c>
      <c r="P309" s="103">
        <v>1</v>
      </c>
      <c r="Q309" s="105">
        <v>7536036</v>
      </c>
      <c r="R309" s="103">
        <v>48</v>
      </c>
      <c r="S309" s="105">
        <v>157000.75</v>
      </c>
      <c r="T309" s="105">
        <v>1413006.75</v>
      </c>
      <c r="U309" s="105">
        <v>157000.75</v>
      </c>
      <c r="V309" s="105">
        <v>157000.75</v>
      </c>
      <c r="W309" s="105">
        <v>157000.75</v>
      </c>
      <c r="X309" s="105">
        <v>157000.75</v>
      </c>
      <c r="Y309" s="105">
        <v>157000.75</v>
      </c>
      <c r="Z309" s="105">
        <v>157000.75</v>
      </c>
      <c r="AA309" s="105">
        <v>157000.75</v>
      </c>
      <c r="AB309" s="105">
        <v>157000.75</v>
      </c>
      <c r="AC309" s="8">
        <f t="shared" si="28"/>
        <v>2669012.75</v>
      </c>
      <c r="AD309" s="8">
        <f t="shared" si="29"/>
        <v>4867023.25</v>
      </c>
      <c r="AE309" s="8">
        <f t="shared" si="30"/>
        <v>157000.75</v>
      </c>
      <c r="AF309" s="106">
        <f t="shared" si="31"/>
        <v>31</v>
      </c>
      <c r="AG309" s="8">
        <f t="shared" si="32"/>
        <v>157000.75</v>
      </c>
      <c r="AH309" s="8">
        <f>IF($O309="Aktif",MAX(0,MIN($AE309,$AD309-SUM($AG309:AG309))),0)</f>
        <v>157000.75</v>
      </c>
      <c r="AI309" s="8">
        <f>IF($O309="Aktif",MAX(0,MIN($AE309,$AD309-SUM($AG309:AH309))),0)</f>
        <v>157000.75</v>
      </c>
      <c r="AJ309" s="8">
        <f>IF($O309="Aktif",MAX(0,MIN($AE309,$AD309-SUM($AG309:AI309))),0)</f>
        <v>157000.75</v>
      </c>
      <c r="AK309" s="8">
        <f>IF($O309="Aktif",MAX(0,MIN($AE309,$AD309-SUM($AG309:AJ309))),0)</f>
        <v>157000.75</v>
      </c>
      <c r="AL309" s="8">
        <f>IF($O309="Aktif",MAX(0,MIN($AE309,$AD309-SUM($AG309:AK309))),0)</f>
        <v>157000.75</v>
      </c>
      <c r="AM309" s="8">
        <f>IF($O309="Aktif",MAX(0,MIN($AE309,$AD309-SUM($AG309:AL309))),0)</f>
        <v>157000.75</v>
      </c>
      <c r="AN309" s="8">
        <f>IF($O309="Aktif",MAX(0,MIN($AE309,$AD309-SUM($AG309:AM309))),0)</f>
        <v>157000.75</v>
      </c>
      <c r="AO309" s="8">
        <f>IF($O309="Aktif",MAX(0,MIN($AE309,$AD309-SUM($AG309:AN309))),0)</f>
        <v>157000.75</v>
      </c>
      <c r="AP309" s="8">
        <f>IF($O309="Aktif",MAX(0,MIN($AE309,$AD309-SUM($AG309:AO309))),0)</f>
        <v>157000.75</v>
      </c>
      <c r="AQ309" s="8">
        <f>IF($O309="Aktif",MAX(0,MIN($AE309,$AD309-SUM($AG309:AP309))),0)</f>
        <v>157000.75</v>
      </c>
      <c r="AR309" s="8">
        <f>IF($O309="Aktif",MAX(0,MIN($AE309,$AD309-SUM($AG309:AQ309))),0)</f>
        <v>157000.75</v>
      </c>
      <c r="AS309" s="8">
        <f>IF($O309="Aktif",MAX(0,MIN($AE309,$AD309-SUM($AG309:AR309))),0)</f>
        <v>157000.75</v>
      </c>
      <c r="AT309" s="8">
        <f>IF($O309="Aktif",MAX(0,MIN($AE309,$AD309-SUM($AG309:AS309))),0)</f>
        <v>157000.75</v>
      </c>
      <c r="AU309" s="8">
        <f>IF($O309="Aktif",MAX(0,MIN($AE309,$AD309-SUM($AG309:AT309))),0)</f>
        <v>157000.75</v>
      </c>
      <c r="AV309" s="8">
        <f>IF($O309="Aktif",MAX(0,MIN($AE309,$AD309-SUM($AG309:AU309))),0)</f>
        <v>157000.75</v>
      </c>
      <c r="AW309" s="8">
        <f t="shared" si="33"/>
        <v>2512012</v>
      </c>
      <c r="AX309" s="8">
        <f t="shared" si="34"/>
        <v>2355011.25</v>
      </c>
    </row>
    <row r="310" spans="1:50" ht="15" customHeight="1" x14ac:dyDescent="0.35">
      <c r="A310" s="102">
        <v>304</v>
      </c>
      <c r="B310" s="102" t="s">
        <v>586</v>
      </c>
      <c r="C310" s="103">
        <v>242</v>
      </c>
      <c r="D310" s="102" t="s">
        <v>184</v>
      </c>
      <c r="E310" s="102" t="s">
        <v>479</v>
      </c>
      <c r="F310" s="102" t="s">
        <v>947</v>
      </c>
      <c r="G310" s="102" t="s">
        <v>948</v>
      </c>
      <c r="H310" s="102" t="s">
        <v>949</v>
      </c>
      <c r="I310" s="102" t="s">
        <v>90</v>
      </c>
      <c r="J310" s="102"/>
      <c r="K310" s="102" t="s">
        <v>1194</v>
      </c>
      <c r="L310" s="104">
        <v>45792</v>
      </c>
      <c r="M310" s="102" t="s">
        <v>1195</v>
      </c>
      <c r="N310" s="102" t="s">
        <v>1195</v>
      </c>
      <c r="O310" s="102" t="s">
        <v>383</v>
      </c>
      <c r="P310" s="103">
        <v>1</v>
      </c>
      <c r="Q310" s="105">
        <v>2200000</v>
      </c>
      <c r="R310" s="103">
        <v>48</v>
      </c>
      <c r="S310" s="105">
        <v>45833.333333333299</v>
      </c>
      <c r="T310" s="105">
        <v>366666.66666666698</v>
      </c>
      <c r="U310" s="105">
        <v>45833.333333333299</v>
      </c>
      <c r="V310" s="105">
        <v>45833.333333333299</v>
      </c>
      <c r="W310" s="105">
        <v>45833.333333333299</v>
      </c>
      <c r="X310" s="105">
        <v>45833.333333333299</v>
      </c>
      <c r="Y310" s="105">
        <v>45833.333333333299</v>
      </c>
      <c r="Z310" s="105">
        <v>45833.333333333299</v>
      </c>
      <c r="AA310" s="105">
        <v>45833.333333333299</v>
      </c>
      <c r="AB310" s="105">
        <v>45833.333333333299</v>
      </c>
      <c r="AC310" s="8">
        <f t="shared" si="28"/>
        <v>733333.33333333349</v>
      </c>
      <c r="AD310" s="8">
        <f t="shared" si="29"/>
        <v>1466666.6666666665</v>
      </c>
      <c r="AE310" s="8">
        <f t="shared" si="30"/>
        <v>45833.333333333299</v>
      </c>
      <c r="AF310" s="106">
        <f t="shared" si="31"/>
        <v>32.000000000000021</v>
      </c>
      <c r="AG310" s="8">
        <f t="shared" si="32"/>
        <v>45833.333333333299</v>
      </c>
      <c r="AH310" s="8">
        <f>IF($O310="Aktif",MAX(0,MIN($AE310,$AD310-SUM($AG310:AG310))),0)</f>
        <v>45833.333333333299</v>
      </c>
      <c r="AI310" s="8">
        <f>IF($O310="Aktif",MAX(0,MIN($AE310,$AD310-SUM($AG310:AH310))),0)</f>
        <v>45833.333333333299</v>
      </c>
      <c r="AJ310" s="8">
        <f>IF($O310="Aktif",MAX(0,MIN($AE310,$AD310-SUM($AG310:AI310))),0)</f>
        <v>45833.333333333299</v>
      </c>
      <c r="AK310" s="8">
        <f>IF($O310="Aktif",MAX(0,MIN($AE310,$AD310-SUM($AG310:AJ310))),0)</f>
        <v>45833.333333333299</v>
      </c>
      <c r="AL310" s="8">
        <f>IF($O310="Aktif",MAX(0,MIN($AE310,$AD310-SUM($AG310:AK310))),0)</f>
        <v>45833.333333333299</v>
      </c>
      <c r="AM310" s="8">
        <f>IF($O310="Aktif",MAX(0,MIN($AE310,$AD310-SUM($AG310:AL310))),0)</f>
        <v>45833.333333333299</v>
      </c>
      <c r="AN310" s="8">
        <f>IF($O310="Aktif",MAX(0,MIN($AE310,$AD310-SUM($AG310:AM310))),0)</f>
        <v>45833.333333333299</v>
      </c>
      <c r="AO310" s="8">
        <f>IF($O310="Aktif",MAX(0,MIN($AE310,$AD310-SUM($AG310:AN310))),0)</f>
        <v>45833.333333333299</v>
      </c>
      <c r="AP310" s="8">
        <f>IF($O310="Aktif",MAX(0,MIN($AE310,$AD310-SUM($AG310:AO310))),0)</f>
        <v>45833.333333333299</v>
      </c>
      <c r="AQ310" s="8">
        <f>IF($O310="Aktif",MAX(0,MIN($AE310,$AD310-SUM($AG310:AP310))),0)</f>
        <v>45833.333333333299</v>
      </c>
      <c r="AR310" s="8">
        <f>IF($O310="Aktif",MAX(0,MIN($AE310,$AD310-SUM($AG310:AQ310))),0)</f>
        <v>45833.333333333299</v>
      </c>
      <c r="AS310" s="8">
        <f>IF($O310="Aktif",MAX(0,MIN($AE310,$AD310-SUM($AG310:AR310))),0)</f>
        <v>45833.333333333299</v>
      </c>
      <c r="AT310" s="8">
        <f>IF($O310="Aktif",MAX(0,MIN($AE310,$AD310-SUM($AG310:AS310))),0)</f>
        <v>45833.333333333299</v>
      </c>
      <c r="AU310" s="8">
        <f>IF($O310="Aktif",MAX(0,MIN($AE310,$AD310-SUM($AG310:AT310))),0)</f>
        <v>45833.333333333299</v>
      </c>
      <c r="AV310" s="8">
        <f>IF($O310="Aktif",MAX(0,MIN($AE310,$AD310-SUM($AG310:AU310))),0)</f>
        <v>45833.333333333299</v>
      </c>
      <c r="AW310" s="8">
        <f t="shared" si="33"/>
        <v>733333.33333333267</v>
      </c>
      <c r="AX310" s="8">
        <f t="shared" si="34"/>
        <v>733333.33333333384</v>
      </c>
    </row>
    <row r="311" spans="1:50" ht="15" customHeight="1" x14ac:dyDescent="0.35">
      <c r="A311" s="102">
        <v>305</v>
      </c>
      <c r="B311" s="102" t="s">
        <v>586</v>
      </c>
      <c r="C311" s="103">
        <v>243</v>
      </c>
      <c r="D311" s="102" t="s">
        <v>184</v>
      </c>
      <c r="E311" s="102" t="s">
        <v>479</v>
      </c>
      <c r="F311" s="102" t="s">
        <v>947</v>
      </c>
      <c r="G311" s="102" t="s">
        <v>948</v>
      </c>
      <c r="H311" s="102" t="s">
        <v>949</v>
      </c>
      <c r="I311" s="102" t="s">
        <v>90</v>
      </c>
      <c r="J311" s="102"/>
      <c r="K311" s="102" t="s">
        <v>1196</v>
      </c>
      <c r="L311" s="104">
        <v>45792</v>
      </c>
      <c r="M311" s="102" t="s">
        <v>1197</v>
      </c>
      <c r="N311" s="102" t="s">
        <v>1197</v>
      </c>
      <c r="O311" s="102" t="s">
        <v>383</v>
      </c>
      <c r="P311" s="103">
        <v>1</v>
      </c>
      <c r="Q311" s="105">
        <v>2200000</v>
      </c>
      <c r="R311" s="103">
        <v>48</v>
      </c>
      <c r="S311" s="105">
        <v>45833.333333333299</v>
      </c>
      <c r="T311" s="105">
        <v>366666.66666666698</v>
      </c>
      <c r="U311" s="105">
        <v>45833.333333333299</v>
      </c>
      <c r="V311" s="105">
        <v>45833.333333333299</v>
      </c>
      <c r="W311" s="105">
        <v>45833.333333333299</v>
      </c>
      <c r="X311" s="105">
        <v>45833.333333333299</v>
      </c>
      <c r="Y311" s="105">
        <v>45833.333333333299</v>
      </c>
      <c r="Z311" s="105">
        <v>45833.333333333299</v>
      </c>
      <c r="AA311" s="105">
        <v>45833.333333333299</v>
      </c>
      <c r="AB311" s="105">
        <v>45833.333333333299</v>
      </c>
      <c r="AC311" s="8">
        <f t="shared" si="28"/>
        <v>733333.33333333349</v>
      </c>
      <c r="AD311" s="8">
        <f t="shared" si="29"/>
        <v>1466666.6666666665</v>
      </c>
      <c r="AE311" s="8">
        <f t="shared" si="30"/>
        <v>45833.333333333299</v>
      </c>
      <c r="AF311" s="106">
        <f t="shared" si="31"/>
        <v>32.000000000000021</v>
      </c>
      <c r="AG311" s="8">
        <f t="shared" si="32"/>
        <v>45833.333333333299</v>
      </c>
      <c r="AH311" s="8">
        <f>IF($O311="Aktif",MAX(0,MIN($AE311,$AD311-SUM($AG311:AG311))),0)</f>
        <v>45833.333333333299</v>
      </c>
      <c r="AI311" s="8">
        <f>IF($O311="Aktif",MAX(0,MIN($AE311,$AD311-SUM($AG311:AH311))),0)</f>
        <v>45833.333333333299</v>
      </c>
      <c r="AJ311" s="8">
        <f>IF($O311="Aktif",MAX(0,MIN($AE311,$AD311-SUM($AG311:AI311))),0)</f>
        <v>45833.333333333299</v>
      </c>
      <c r="AK311" s="8">
        <f>IF($O311="Aktif",MAX(0,MIN($AE311,$AD311-SUM($AG311:AJ311))),0)</f>
        <v>45833.333333333299</v>
      </c>
      <c r="AL311" s="8">
        <f>IF($O311="Aktif",MAX(0,MIN($AE311,$AD311-SUM($AG311:AK311))),0)</f>
        <v>45833.333333333299</v>
      </c>
      <c r="AM311" s="8">
        <f>IF($O311="Aktif",MAX(0,MIN($AE311,$AD311-SUM($AG311:AL311))),0)</f>
        <v>45833.333333333299</v>
      </c>
      <c r="AN311" s="8">
        <f>IF($O311="Aktif",MAX(0,MIN($AE311,$AD311-SUM($AG311:AM311))),0)</f>
        <v>45833.333333333299</v>
      </c>
      <c r="AO311" s="8">
        <f>IF($O311="Aktif",MAX(0,MIN($AE311,$AD311-SUM($AG311:AN311))),0)</f>
        <v>45833.333333333299</v>
      </c>
      <c r="AP311" s="8">
        <f>IF($O311="Aktif",MAX(0,MIN($AE311,$AD311-SUM($AG311:AO311))),0)</f>
        <v>45833.333333333299</v>
      </c>
      <c r="AQ311" s="8">
        <f>IF($O311="Aktif",MAX(0,MIN($AE311,$AD311-SUM($AG311:AP311))),0)</f>
        <v>45833.333333333299</v>
      </c>
      <c r="AR311" s="8">
        <f>IF($O311="Aktif",MAX(0,MIN($AE311,$AD311-SUM($AG311:AQ311))),0)</f>
        <v>45833.333333333299</v>
      </c>
      <c r="AS311" s="8">
        <f>IF($O311="Aktif",MAX(0,MIN($AE311,$AD311-SUM($AG311:AR311))),0)</f>
        <v>45833.333333333299</v>
      </c>
      <c r="AT311" s="8">
        <f>IF($O311="Aktif",MAX(0,MIN($AE311,$AD311-SUM($AG311:AS311))),0)</f>
        <v>45833.333333333299</v>
      </c>
      <c r="AU311" s="8">
        <f>IF($O311="Aktif",MAX(0,MIN($AE311,$AD311-SUM($AG311:AT311))),0)</f>
        <v>45833.333333333299</v>
      </c>
      <c r="AV311" s="8">
        <f>IF($O311="Aktif",MAX(0,MIN($AE311,$AD311-SUM($AG311:AU311))),0)</f>
        <v>45833.333333333299</v>
      </c>
      <c r="AW311" s="8">
        <f t="shared" si="33"/>
        <v>733333.33333333267</v>
      </c>
      <c r="AX311" s="8">
        <f t="shared" si="34"/>
        <v>733333.33333333384</v>
      </c>
    </row>
    <row r="312" spans="1:50" ht="15" customHeight="1" x14ac:dyDescent="0.35">
      <c r="A312" s="102">
        <v>306</v>
      </c>
      <c r="B312" s="102" t="s">
        <v>586</v>
      </c>
      <c r="C312" s="103">
        <v>244</v>
      </c>
      <c r="D312" s="102" t="s">
        <v>184</v>
      </c>
      <c r="E312" s="102" t="s">
        <v>479</v>
      </c>
      <c r="F312" s="102" t="s">
        <v>947</v>
      </c>
      <c r="G312" s="102" t="s">
        <v>948</v>
      </c>
      <c r="H312" s="102" t="s">
        <v>949</v>
      </c>
      <c r="I312" s="102" t="s">
        <v>90</v>
      </c>
      <c r="J312" s="102"/>
      <c r="K312" s="102" t="s">
        <v>1198</v>
      </c>
      <c r="L312" s="104">
        <v>45792</v>
      </c>
      <c r="M312" s="102" t="s">
        <v>1177</v>
      </c>
      <c r="N312" s="102" t="s">
        <v>1177</v>
      </c>
      <c r="O312" s="102" t="s">
        <v>383</v>
      </c>
      <c r="P312" s="103">
        <v>1</v>
      </c>
      <c r="Q312" s="105">
        <v>3036036.04</v>
      </c>
      <c r="R312" s="103">
        <v>48</v>
      </c>
      <c r="S312" s="105">
        <v>63250.750833333303</v>
      </c>
      <c r="T312" s="105">
        <v>506006.006666667</v>
      </c>
      <c r="U312" s="105">
        <v>63250.750833333303</v>
      </c>
      <c r="V312" s="105">
        <v>63250.750833333303</v>
      </c>
      <c r="W312" s="105">
        <v>63250.750833333303</v>
      </c>
      <c r="X312" s="105">
        <v>63250.750833333303</v>
      </c>
      <c r="Y312" s="105">
        <v>63250.750833333303</v>
      </c>
      <c r="Z312" s="105">
        <v>63250.750833333303</v>
      </c>
      <c r="AA312" s="105">
        <v>63250.750833333303</v>
      </c>
      <c r="AB312" s="105">
        <v>63250.750833333303</v>
      </c>
      <c r="AC312" s="8">
        <f t="shared" si="28"/>
        <v>1012012.0133333334</v>
      </c>
      <c r="AD312" s="8">
        <f t="shared" si="29"/>
        <v>2024024.0266666666</v>
      </c>
      <c r="AE312" s="8">
        <f t="shared" si="30"/>
        <v>63250.750833333303</v>
      </c>
      <c r="AF312" s="106">
        <f t="shared" si="31"/>
        <v>32.000000000000014</v>
      </c>
      <c r="AG312" s="8">
        <f t="shared" si="32"/>
        <v>63250.750833333303</v>
      </c>
      <c r="AH312" s="8">
        <f>IF($O312="Aktif",MAX(0,MIN($AE312,$AD312-SUM($AG312:AG312))),0)</f>
        <v>63250.750833333303</v>
      </c>
      <c r="AI312" s="8">
        <f>IF($O312="Aktif",MAX(0,MIN($AE312,$AD312-SUM($AG312:AH312))),0)</f>
        <v>63250.750833333303</v>
      </c>
      <c r="AJ312" s="8">
        <f>IF($O312="Aktif",MAX(0,MIN($AE312,$AD312-SUM($AG312:AI312))),0)</f>
        <v>63250.750833333303</v>
      </c>
      <c r="AK312" s="8">
        <f>IF($O312="Aktif",MAX(0,MIN($AE312,$AD312-SUM($AG312:AJ312))),0)</f>
        <v>63250.750833333303</v>
      </c>
      <c r="AL312" s="8">
        <f>IF($O312="Aktif",MAX(0,MIN($AE312,$AD312-SUM($AG312:AK312))),0)</f>
        <v>63250.750833333303</v>
      </c>
      <c r="AM312" s="8">
        <f>IF($O312="Aktif",MAX(0,MIN($AE312,$AD312-SUM($AG312:AL312))),0)</f>
        <v>63250.750833333303</v>
      </c>
      <c r="AN312" s="8">
        <f>IF($O312="Aktif",MAX(0,MIN($AE312,$AD312-SUM($AG312:AM312))),0)</f>
        <v>63250.750833333303</v>
      </c>
      <c r="AO312" s="8">
        <f>IF($O312="Aktif",MAX(0,MIN($AE312,$AD312-SUM($AG312:AN312))),0)</f>
        <v>63250.750833333303</v>
      </c>
      <c r="AP312" s="8">
        <f>IF($O312="Aktif",MAX(0,MIN($AE312,$AD312-SUM($AG312:AO312))),0)</f>
        <v>63250.750833333303</v>
      </c>
      <c r="AQ312" s="8">
        <f>IF($O312="Aktif",MAX(0,MIN($AE312,$AD312-SUM($AG312:AP312))),0)</f>
        <v>63250.750833333303</v>
      </c>
      <c r="AR312" s="8">
        <f>IF($O312="Aktif",MAX(0,MIN($AE312,$AD312-SUM($AG312:AQ312))),0)</f>
        <v>63250.750833333303</v>
      </c>
      <c r="AS312" s="8">
        <f>IF($O312="Aktif",MAX(0,MIN($AE312,$AD312-SUM($AG312:AR312))),0)</f>
        <v>63250.750833333303</v>
      </c>
      <c r="AT312" s="8">
        <f>IF($O312="Aktif",MAX(0,MIN($AE312,$AD312-SUM($AG312:AS312))),0)</f>
        <v>63250.750833333303</v>
      </c>
      <c r="AU312" s="8">
        <f>IF($O312="Aktif",MAX(0,MIN($AE312,$AD312-SUM($AG312:AT312))),0)</f>
        <v>63250.750833333303</v>
      </c>
      <c r="AV312" s="8">
        <f>IF($O312="Aktif",MAX(0,MIN($AE312,$AD312-SUM($AG312:AU312))),0)</f>
        <v>63250.750833333303</v>
      </c>
      <c r="AW312" s="8">
        <f t="shared" si="33"/>
        <v>1012012.0133333332</v>
      </c>
      <c r="AX312" s="8">
        <f t="shared" si="34"/>
        <v>1012012.0133333334</v>
      </c>
    </row>
    <row r="313" spans="1:50" ht="15" customHeight="1" x14ac:dyDescent="0.35">
      <c r="A313" s="102">
        <v>307</v>
      </c>
      <c r="B313" s="102" t="s">
        <v>586</v>
      </c>
      <c r="C313" s="103">
        <v>245</v>
      </c>
      <c r="D313" s="102" t="s">
        <v>184</v>
      </c>
      <c r="E313" s="102" t="s">
        <v>479</v>
      </c>
      <c r="F313" s="102" t="s">
        <v>947</v>
      </c>
      <c r="G313" s="102" t="s">
        <v>948</v>
      </c>
      <c r="H313" s="102" t="s">
        <v>949</v>
      </c>
      <c r="I313" s="102" t="s">
        <v>90</v>
      </c>
      <c r="J313" s="102"/>
      <c r="K313" s="102" t="s">
        <v>1199</v>
      </c>
      <c r="L313" s="104">
        <v>45849</v>
      </c>
      <c r="M313" s="102" t="s">
        <v>1200</v>
      </c>
      <c r="N313" s="102" t="s">
        <v>1200</v>
      </c>
      <c r="O313" s="102" t="s">
        <v>383</v>
      </c>
      <c r="P313" s="103">
        <v>1</v>
      </c>
      <c r="Q313" s="105">
        <v>3700000</v>
      </c>
      <c r="R313" s="103">
        <v>48</v>
      </c>
      <c r="S313" s="105">
        <v>77083.333333333299</v>
      </c>
      <c r="T313" s="105">
        <v>462500</v>
      </c>
      <c r="U313" s="105">
        <v>77083.333333333299</v>
      </c>
      <c r="V313" s="105">
        <v>77083.333333333299</v>
      </c>
      <c r="W313" s="105">
        <v>77083.333333333299</v>
      </c>
      <c r="X313" s="105">
        <v>77083.333333333299</v>
      </c>
      <c r="Y313" s="105">
        <v>77083.333333333299</v>
      </c>
      <c r="Z313" s="105">
        <v>77083.333333333299</v>
      </c>
      <c r="AA313" s="105">
        <v>77083.333333333299</v>
      </c>
      <c r="AB313" s="105">
        <v>77083.333333333299</v>
      </c>
      <c r="AC313" s="8">
        <f t="shared" si="28"/>
        <v>1079166.6666666665</v>
      </c>
      <c r="AD313" s="8">
        <f t="shared" si="29"/>
        <v>2620833.3333333335</v>
      </c>
      <c r="AE313" s="8">
        <f t="shared" si="30"/>
        <v>77083.333333333299</v>
      </c>
      <c r="AF313" s="106">
        <f t="shared" si="31"/>
        <v>34.000000000000014</v>
      </c>
      <c r="AG313" s="8">
        <f t="shared" si="32"/>
        <v>77083.333333333299</v>
      </c>
      <c r="AH313" s="8">
        <f>IF($O313="Aktif",MAX(0,MIN($AE313,$AD313-SUM($AG313:AG313))),0)</f>
        <v>77083.333333333299</v>
      </c>
      <c r="AI313" s="8">
        <f>IF($O313="Aktif",MAX(0,MIN($AE313,$AD313-SUM($AG313:AH313))),0)</f>
        <v>77083.333333333299</v>
      </c>
      <c r="AJ313" s="8">
        <f>IF($O313="Aktif",MAX(0,MIN($AE313,$AD313-SUM($AG313:AI313))),0)</f>
        <v>77083.333333333299</v>
      </c>
      <c r="AK313" s="8">
        <f>IF($O313="Aktif",MAX(0,MIN($AE313,$AD313-SUM($AG313:AJ313))),0)</f>
        <v>77083.333333333299</v>
      </c>
      <c r="AL313" s="8">
        <f>IF($O313="Aktif",MAX(0,MIN($AE313,$AD313-SUM($AG313:AK313))),0)</f>
        <v>77083.333333333299</v>
      </c>
      <c r="AM313" s="8">
        <f>IF($O313="Aktif",MAX(0,MIN($AE313,$AD313-SUM($AG313:AL313))),0)</f>
        <v>77083.333333333299</v>
      </c>
      <c r="AN313" s="8">
        <f>IF($O313="Aktif",MAX(0,MIN($AE313,$AD313-SUM($AG313:AM313))),0)</f>
        <v>77083.333333333299</v>
      </c>
      <c r="AO313" s="8">
        <f>IF($O313="Aktif",MAX(0,MIN($AE313,$AD313-SUM($AG313:AN313))),0)</f>
        <v>77083.333333333299</v>
      </c>
      <c r="AP313" s="8">
        <f>IF($O313="Aktif",MAX(0,MIN($AE313,$AD313-SUM($AG313:AO313))),0)</f>
        <v>77083.333333333299</v>
      </c>
      <c r="AQ313" s="8">
        <f>IF($O313="Aktif",MAX(0,MIN($AE313,$AD313-SUM($AG313:AP313))),0)</f>
        <v>77083.333333333299</v>
      </c>
      <c r="AR313" s="8">
        <f>IF($O313="Aktif",MAX(0,MIN($AE313,$AD313-SUM($AG313:AQ313))),0)</f>
        <v>77083.333333333299</v>
      </c>
      <c r="AS313" s="8">
        <f>IF($O313="Aktif",MAX(0,MIN($AE313,$AD313-SUM($AG313:AR313))),0)</f>
        <v>77083.333333333299</v>
      </c>
      <c r="AT313" s="8">
        <f>IF($O313="Aktif",MAX(0,MIN($AE313,$AD313-SUM($AG313:AS313))),0)</f>
        <v>77083.333333333299</v>
      </c>
      <c r="AU313" s="8">
        <f>IF($O313="Aktif",MAX(0,MIN($AE313,$AD313-SUM($AG313:AT313))),0)</f>
        <v>77083.333333333299</v>
      </c>
      <c r="AV313" s="8">
        <f>IF($O313="Aktif",MAX(0,MIN($AE313,$AD313-SUM($AG313:AU313))),0)</f>
        <v>77083.333333333299</v>
      </c>
      <c r="AW313" s="8">
        <f t="shared" si="33"/>
        <v>1233333.3333333326</v>
      </c>
      <c r="AX313" s="8">
        <f t="shared" si="34"/>
        <v>1387500.0000000009</v>
      </c>
    </row>
    <row r="314" spans="1:50" ht="15" customHeight="1" x14ac:dyDescent="0.35">
      <c r="A314" s="102">
        <v>308</v>
      </c>
      <c r="B314" s="102" t="s">
        <v>586</v>
      </c>
      <c r="C314" s="103">
        <v>246</v>
      </c>
      <c r="D314" s="102" t="s">
        <v>184</v>
      </c>
      <c r="E314" s="102" t="s">
        <v>479</v>
      </c>
      <c r="F314" s="102" t="s">
        <v>947</v>
      </c>
      <c r="G314" s="102" t="s">
        <v>948</v>
      </c>
      <c r="H314" s="102" t="s">
        <v>949</v>
      </c>
      <c r="I314" s="102" t="s">
        <v>90</v>
      </c>
      <c r="J314" s="102"/>
      <c r="K314" s="102" t="s">
        <v>1201</v>
      </c>
      <c r="L314" s="104">
        <v>45849</v>
      </c>
      <c r="M314" s="102" t="s">
        <v>1202</v>
      </c>
      <c r="N314" s="102" t="s">
        <v>1202</v>
      </c>
      <c r="O314" s="102" t="s">
        <v>383</v>
      </c>
      <c r="P314" s="103">
        <v>1</v>
      </c>
      <c r="Q314" s="105">
        <v>1400000</v>
      </c>
      <c r="R314" s="103">
        <v>48</v>
      </c>
      <c r="S314" s="105">
        <v>29166.666666666701</v>
      </c>
      <c r="T314" s="105">
        <v>175000</v>
      </c>
      <c r="U314" s="105">
        <v>29166.666666666701</v>
      </c>
      <c r="V314" s="105">
        <v>29166.666666666701</v>
      </c>
      <c r="W314" s="105">
        <v>29166.666666666701</v>
      </c>
      <c r="X314" s="105">
        <v>29166.666666666701</v>
      </c>
      <c r="Y314" s="105">
        <v>29166.666666666701</v>
      </c>
      <c r="Z314" s="105">
        <v>29166.666666666701</v>
      </c>
      <c r="AA314" s="105">
        <v>29166.666666666701</v>
      </c>
      <c r="AB314" s="105">
        <v>29166.666666666701</v>
      </c>
      <c r="AC314" s="8">
        <f t="shared" si="28"/>
        <v>408333.33333333355</v>
      </c>
      <c r="AD314" s="8">
        <f t="shared" si="29"/>
        <v>991666.66666666651</v>
      </c>
      <c r="AE314" s="8">
        <f t="shared" si="30"/>
        <v>29166.666666666701</v>
      </c>
      <c r="AF314" s="106">
        <f t="shared" si="31"/>
        <v>33.999999999999957</v>
      </c>
      <c r="AG314" s="8">
        <f t="shared" si="32"/>
        <v>29166.666666666701</v>
      </c>
      <c r="AH314" s="8">
        <f>IF($O314="Aktif",MAX(0,MIN($AE314,$AD314-SUM($AG314:AG314))),0)</f>
        <v>29166.666666666701</v>
      </c>
      <c r="AI314" s="8">
        <f>IF($O314="Aktif",MAX(0,MIN($AE314,$AD314-SUM($AG314:AH314))),0)</f>
        <v>29166.666666666701</v>
      </c>
      <c r="AJ314" s="8">
        <f>IF($O314="Aktif",MAX(0,MIN($AE314,$AD314-SUM($AG314:AI314))),0)</f>
        <v>29166.666666666701</v>
      </c>
      <c r="AK314" s="8">
        <f>IF($O314="Aktif",MAX(0,MIN($AE314,$AD314-SUM($AG314:AJ314))),0)</f>
        <v>29166.666666666701</v>
      </c>
      <c r="AL314" s="8">
        <f>IF($O314="Aktif",MAX(0,MIN($AE314,$AD314-SUM($AG314:AK314))),0)</f>
        <v>29166.666666666701</v>
      </c>
      <c r="AM314" s="8">
        <f>IF($O314="Aktif",MAX(0,MIN($AE314,$AD314-SUM($AG314:AL314))),0)</f>
        <v>29166.666666666701</v>
      </c>
      <c r="AN314" s="8">
        <f>IF($O314="Aktif",MAX(0,MIN($AE314,$AD314-SUM($AG314:AM314))),0)</f>
        <v>29166.666666666701</v>
      </c>
      <c r="AO314" s="8">
        <f>IF($O314="Aktif",MAX(0,MIN($AE314,$AD314-SUM($AG314:AN314))),0)</f>
        <v>29166.666666666701</v>
      </c>
      <c r="AP314" s="8">
        <f>IF($O314="Aktif",MAX(0,MIN($AE314,$AD314-SUM($AG314:AO314))),0)</f>
        <v>29166.666666666701</v>
      </c>
      <c r="AQ314" s="8">
        <f>IF($O314="Aktif",MAX(0,MIN($AE314,$AD314-SUM($AG314:AP314))),0)</f>
        <v>29166.666666666701</v>
      </c>
      <c r="AR314" s="8">
        <f>IF($O314="Aktif",MAX(0,MIN($AE314,$AD314-SUM($AG314:AQ314))),0)</f>
        <v>29166.666666666701</v>
      </c>
      <c r="AS314" s="8">
        <f>IF($O314="Aktif",MAX(0,MIN($AE314,$AD314-SUM($AG314:AR314))),0)</f>
        <v>29166.666666666701</v>
      </c>
      <c r="AT314" s="8">
        <f>IF($O314="Aktif",MAX(0,MIN($AE314,$AD314-SUM($AG314:AS314))),0)</f>
        <v>29166.666666666701</v>
      </c>
      <c r="AU314" s="8">
        <f>IF($O314="Aktif",MAX(0,MIN($AE314,$AD314-SUM($AG314:AT314))),0)</f>
        <v>29166.666666666701</v>
      </c>
      <c r="AV314" s="8">
        <f>IF($O314="Aktif",MAX(0,MIN($AE314,$AD314-SUM($AG314:AU314))),0)</f>
        <v>29166.666666666701</v>
      </c>
      <c r="AW314" s="8">
        <f t="shared" si="33"/>
        <v>466666.66666666704</v>
      </c>
      <c r="AX314" s="8">
        <f t="shared" si="34"/>
        <v>524999.99999999953</v>
      </c>
    </row>
    <row r="315" spans="1:50" ht="15" customHeight="1" x14ac:dyDescent="0.35">
      <c r="A315" s="102">
        <v>309</v>
      </c>
      <c r="B315" s="102" t="s">
        <v>586</v>
      </c>
      <c r="C315" s="103">
        <v>247</v>
      </c>
      <c r="D315" s="102" t="s">
        <v>184</v>
      </c>
      <c r="E315" s="102" t="s">
        <v>479</v>
      </c>
      <c r="F315" s="102" t="s">
        <v>947</v>
      </c>
      <c r="G315" s="102" t="s">
        <v>948</v>
      </c>
      <c r="H315" s="102" t="s">
        <v>949</v>
      </c>
      <c r="I315" s="102" t="s">
        <v>90</v>
      </c>
      <c r="J315" s="102"/>
      <c r="K315" s="102" t="s">
        <v>1203</v>
      </c>
      <c r="L315" s="104">
        <v>45849</v>
      </c>
      <c r="M315" s="102" t="s">
        <v>1204</v>
      </c>
      <c r="N315" s="102" t="s">
        <v>1204</v>
      </c>
      <c r="O315" s="102" t="s">
        <v>383</v>
      </c>
      <c r="P315" s="103">
        <v>1</v>
      </c>
      <c r="Q315" s="105">
        <v>1400000</v>
      </c>
      <c r="R315" s="103">
        <v>48</v>
      </c>
      <c r="S315" s="105">
        <v>29166.666666666701</v>
      </c>
      <c r="T315" s="105">
        <v>175000</v>
      </c>
      <c r="U315" s="105">
        <v>29166.666666666701</v>
      </c>
      <c r="V315" s="105">
        <v>29166.666666666701</v>
      </c>
      <c r="W315" s="105">
        <v>29166.666666666701</v>
      </c>
      <c r="X315" s="105">
        <v>29166.666666666701</v>
      </c>
      <c r="Y315" s="105">
        <v>29166.666666666701</v>
      </c>
      <c r="Z315" s="105">
        <v>29166.666666666701</v>
      </c>
      <c r="AA315" s="105">
        <v>29166.666666666701</v>
      </c>
      <c r="AB315" s="105">
        <v>29166.666666666701</v>
      </c>
      <c r="AC315" s="8">
        <f t="shared" si="28"/>
        <v>408333.33333333355</v>
      </c>
      <c r="AD315" s="8">
        <f t="shared" si="29"/>
        <v>991666.66666666651</v>
      </c>
      <c r="AE315" s="8">
        <f t="shared" si="30"/>
        <v>29166.666666666701</v>
      </c>
      <c r="AF315" s="106">
        <f t="shared" si="31"/>
        <v>33.999999999999957</v>
      </c>
      <c r="AG315" s="8">
        <f t="shared" si="32"/>
        <v>29166.666666666701</v>
      </c>
      <c r="AH315" s="8">
        <f>IF($O315="Aktif",MAX(0,MIN($AE315,$AD315-SUM($AG315:AG315))),0)</f>
        <v>29166.666666666701</v>
      </c>
      <c r="AI315" s="8">
        <f>IF($O315="Aktif",MAX(0,MIN($AE315,$AD315-SUM($AG315:AH315))),0)</f>
        <v>29166.666666666701</v>
      </c>
      <c r="AJ315" s="8">
        <f>IF($O315="Aktif",MAX(0,MIN($AE315,$AD315-SUM($AG315:AI315))),0)</f>
        <v>29166.666666666701</v>
      </c>
      <c r="AK315" s="8">
        <f>IF($O315="Aktif",MAX(0,MIN($AE315,$AD315-SUM($AG315:AJ315))),0)</f>
        <v>29166.666666666701</v>
      </c>
      <c r="AL315" s="8">
        <f>IF($O315="Aktif",MAX(0,MIN($AE315,$AD315-SUM($AG315:AK315))),0)</f>
        <v>29166.666666666701</v>
      </c>
      <c r="AM315" s="8">
        <f>IF($O315="Aktif",MAX(0,MIN($AE315,$AD315-SUM($AG315:AL315))),0)</f>
        <v>29166.666666666701</v>
      </c>
      <c r="AN315" s="8">
        <f>IF($O315="Aktif",MAX(0,MIN($AE315,$AD315-SUM($AG315:AM315))),0)</f>
        <v>29166.666666666701</v>
      </c>
      <c r="AO315" s="8">
        <f>IF($O315="Aktif",MAX(0,MIN($AE315,$AD315-SUM($AG315:AN315))),0)</f>
        <v>29166.666666666701</v>
      </c>
      <c r="AP315" s="8">
        <f>IF($O315="Aktif",MAX(0,MIN($AE315,$AD315-SUM($AG315:AO315))),0)</f>
        <v>29166.666666666701</v>
      </c>
      <c r="AQ315" s="8">
        <f>IF($O315="Aktif",MAX(0,MIN($AE315,$AD315-SUM($AG315:AP315))),0)</f>
        <v>29166.666666666701</v>
      </c>
      <c r="AR315" s="8">
        <f>IF($O315="Aktif",MAX(0,MIN($AE315,$AD315-SUM($AG315:AQ315))),0)</f>
        <v>29166.666666666701</v>
      </c>
      <c r="AS315" s="8">
        <f>IF($O315="Aktif",MAX(0,MIN($AE315,$AD315-SUM($AG315:AR315))),0)</f>
        <v>29166.666666666701</v>
      </c>
      <c r="AT315" s="8">
        <f>IF($O315="Aktif",MAX(0,MIN($AE315,$AD315-SUM($AG315:AS315))),0)</f>
        <v>29166.666666666701</v>
      </c>
      <c r="AU315" s="8">
        <f>IF($O315="Aktif",MAX(0,MIN($AE315,$AD315-SUM($AG315:AT315))),0)</f>
        <v>29166.666666666701</v>
      </c>
      <c r="AV315" s="8">
        <f>IF($O315="Aktif",MAX(0,MIN($AE315,$AD315-SUM($AG315:AU315))),0)</f>
        <v>29166.666666666701</v>
      </c>
      <c r="AW315" s="8">
        <f t="shared" si="33"/>
        <v>466666.66666666704</v>
      </c>
      <c r="AX315" s="8">
        <f t="shared" si="34"/>
        <v>524999.99999999953</v>
      </c>
    </row>
    <row r="316" spans="1:50" ht="15" customHeight="1" x14ac:dyDescent="0.35">
      <c r="A316" s="102">
        <v>310</v>
      </c>
      <c r="B316" s="102" t="s">
        <v>586</v>
      </c>
      <c r="C316" s="103">
        <v>248</v>
      </c>
      <c r="D316" s="102" t="s">
        <v>184</v>
      </c>
      <c r="E316" s="102" t="s">
        <v>479</v>
      </c>
      <c r="F316" s="102" t="s">
        <v>947</v>
      </c>
      <c r="G316" s="102" t="s">
        <v>948</v>
      </c>
      <c r="H316" s="102" t="s">
        <v>949</v>
      </c>
      <c r="I316" s="102" t="s">
        <v>90</v>
      </c>
      <c r="J316" s="102"/>
      <c r="K316" s="102" t="s">
        <v>1205</v>
      </c>
      <c r="L316" s="104">
        <v>45848</v>
      </c>
      <c r="M316" s="102" t="s">
        <v>1206</v>
      </c>
      <c r="N316" s="102" t="s">
        <v>1206</v>
      </c>
      <c r="O316" s="102" t="s">
        <v>383</v>
      </c>
      <c r="P316" s="103">
        <v>1</v>
      </c>
      <c r="Q316" s="105">
        <v>1498116</v>
      </c>
      <c r="R316" s="103">
        <v>48</v>
      </c>
      <c r="S316" s="105">
        <v>31210.75</v>
      </c>
      <c r="T316" s="105">
        <v>187264.5</v>
      </c>
      <c r="U316" s="105">
        <v>31210.75</v>
      </c>
      <c r="V316" s="105">
        <v>31210.75</v>
      </c>
      <c r="W316" s="105">
        <v>31210.75</v>
      </c>
      <c r="X316" s="105">
        <v>31210.75</v>
      </c>
      <c r="Y316" s="105">
        <v>31210.75</v>
      </c>
      <c r="Z316" s="105">
        <v>31210.75</v>
      </c>
      <c r="AA316" s="105">
        <v>31210.75</v>
      </c>
      <c r="AB316" s="105">
        <v>31210.75</v>
      </c>
      <c r="AC316" s="8">
        <f t="shared" si="28"/>
        <v>436950.5</v>
      </c>
      <c r="AD316" s="8">
        <f t="shared" si="29"/>
        <v>1061165.5</v>
      </c>
      <c r="AE316" s="8">
        <f t="shared" si="30"/>
        <v>31210.75</v>
      </c>
      <c r="AF316" s="106">
        <f t="shared" si="31"/>
        <v>34</v>
      </c>
      <c r="AG316" s="8">
        <f t="shared" si="32"/>
        <v>31210.75</v>
      </c>
      <c r="AH316" s="8">
        <f>IF($O316="Aktif",MAX(0,MIN($AE316,$AD316-SUM($AG316:AG316))),0)</f>
        <v>31210.75</v>
      </c>
      <c r="AI316" s="8">
        <f>IF($O316="Aktif",MAX(0,MIN($AE316,$AD316-SUM($AG316:AH316))),0)</f>
        <v>31210.75</v>
      </c>
      <c r="AJ316" s="8">
        <f>IF($O316="Aktif",MAX(0,MIN($AE316,$AD316-SUM($AG316:AI316))),0)</f>
        <v>31210.75</v>
      </c>
      <c r="AK316" s="8">
        <f>IF($O316="Aktif",MAX(0,MIN($AE316,$AD316-SUM($AG316:AJ316))),0)</f>
        <v>31210.75</v>
      </c>
      <c r="AL316" s="8">
        <f>IF($O316="Aktif",MAX(0,MIN($AE316,$AD316-SUM($AG316:AK316))),0)</f>
        <v>31210.75</v>
      </c>
      <c r="AM316" s="8">
        <f>IF($O316="Aktif",MAX(0,MIN($AE316,$AD316-SUM($AG316:AL316))),0)</f>
        <v>31210.75</v>
      </c>
      <c r="AN316" s="8">
        <f>IF($O316="Aktif",MAX(0,MIN($AE316,$AD316-SUM($AG316:AM316))),0)</f>
        <v>31210.75</v>
      </c>
      <c r="AO316" s="8">
        <f>IF($O316="Aktif",MAX(0,MIN($AE316,$AD316-SUM($AG316:AN316))),0)</f>
        <v>31210.75</v>
      </c>
      <c r="AP316" s="8">
        <f>IF($O316="Aktif",MAX(0,MIN($AE316,$AD316-SUM($AG316:AO316))),0)</f>
        <v>31210.75</v>
      </c>
      <c r="AQ316" s="8">
        <f>IF($O316="Aktif",MAX(0,MIN($AE316,$AD316-SUM($AG316:AP316))),0)</f>
        <v>31210.75</v>
      </c>
      <c r="AR316" s="8">
        <f>IF($O316="Aktif",MAX(0,MIN($AE316,$AD316-SUM($AG316:AQ316))),0)</f>
        <v>31210.75</v>
      </c>
      <c r="AS316" s="8">
        <f>IF($O316="Aktif",MAX(0,MIN($AE316,$AD316-SUM($AG316:AR316))),0)</f>
        <v>31210.75</v>
      </c>
      <c r="AT316" s="8">
        <f>IF($O316="Aktif",MAX(0,MIN($AE316,$AD316-SUM($AG316:AS316))),0)</f>
        <v>31210.75</v>
      </c>
      <c r="AU316" s="8">
        <f>IF($O316="Aktif",MAX(0,MIN($AE316,$AD316-SUM($AG316:AT316))),0)</f>
        <v>31210.75</v>
      </c>
      <c r="AV316" s="8">
        <f>IF($O316="Aktif",MAX(0,MIN($AE316,$AD316-SUM($AG316:AU316))),0)</f>
        <v>31210.75</v>
      </c>
      <c r="AW316" s="8">
        <f t="shared" si="33"/>
        <v>499372</v>
      </c>
      <c r="AX316" s="8">
        <f t="shared" si="34"/>
        <v>561793.5</v>
      </c>
    </row>
    <row r="317" spans="1:50" ht="15" customHeight="1" x14ac:dyDescent="0.35">
      <c r="A317" s="102">
        <v>311</v>
      </c>
      <c r="B317" s="102" t="s">
        <v>586</v>
      </c>
      <c r="C317" s="103">
        <v>249</v>
      </c>
      <c r="D317" s="102" t="s">
        <v>184</v>
      </c>
      <c r="E317" s="102" t="s">
        <v>479</v>
      </c>
      <c r="F317" s="102" t="s">
        <v>947</v>
      </c>
      <c r="G317" s="102" t="s">
        <v>948</v>
      </c>
      <c r="H317" s="102" t="s">
        <v>949</v>
      </c>
      <c r="I317" s="102" t="s">
        <v>90</v>
      </c>
      <c r="J317" s="102"/>
      <c r="K317" s="102" t="s">
        <v>1207</v>
      </c>
      <c r="L317" s="104">
        <v>45848</v>
      </c>
      <c r="M317" s="102" t="s">
        <v>1208</v>
      </c>
      <c r="N317" s="102" t="s">
        <v>1208</v>
      </c>
      <c r="O317" s="102" t="s">
        <v>383</v>
      </c>
      <c r="P317" s="103">
        <v>1</v>
      </c>
      <c r="Q317" s="105">
        <v>1498116</v>
      </c>
      <c r="R317" s="103">
        <v>48</v>
      </c>
      <c r="S317" s="105">
        <v>31210.75</v>
      </c>
      <c r="T317" s="105">
        <v>187264.5</v>
      </c>
      <c r="U317" s="105">
        <v>31210.75</v>
      </c>
      <c r="V317" s="105">
        <v>31210.75</v>
      </c>
      <c r="W317" s="105">
        <v>31210.75</v>
      </c>
      <c r="X317" s="105">
        <v>31210.75</v>
      </c>
      <c r="Y317" s="105">
        <v>31210.75</v>
      </c>
      <c r="Z317" s="105">
        <v>31210.75</v>
      </c>
      <c r="AA317" s="105">
        <v>31210.75</v>
      </c>
      <c r="AB317" s="105">
        <v>31210.75</v>
      </c>
      <c r="AC317" s="8">
        <f t="shared" si="28"/>
        <v>436950.5</v>
      </c>
      <c r="AD317" s="8">
        <f t="shared" si="29"/>
        <v>1061165.5</v>
      </c>
      <c r="AE317" s="8">
        <f t="shared" si="30"/>
        <v>31210.75</v>
      </c>
      <c r="AF317" s="106">
        <f t="shared" si="31"/>
        <v>34</v>
      </c>
      <c r="AG317" s="8">
        <f t="shared" si="32"/>
        <v>31210.75</v>
      </c>
      <c r="AH317" s="8">
        <f>IF($O317="Aktif",MAX(0,MIN($AE317,$AD317-SUM($AG317:AG317))),0)</f>
        <v>31210.75</v>
      </c>
      <c r="AI317" s="8">
        <f>IF($O317="Aktif",MAX(0,MIN($AE317,$AD317-SUM($AG317:AH317))),0)</f>
        <v>31210.75</v>
      </c>
      <c r="AJ317" s="8">
        <f>IF($O317="Aktif",MAX(0,MIN($AE317,$AD317-SUM($AG317:AI317))),0)</f>
        <v>31210.75</v>
      </c>
      <c r="AK317" s="8">
        <f>IF($O317="Aktif",MAX(0,MIN($AE317,$AD317-SUM($AG317:AJ317))),0)</f>
        <v>31210.75</v>
      </c>
      <c r="AL317" s="8">
        <f>IF($O317="Aktif",MAX(0,MIN($AE317,$AD317-SUM($AG317:AK317))),0)</f>
        <v>31210.75</v>
      </c>
      <c r="AM317" s="8">
        <f>IF($O317="Aktif",MAX(0,MIN($AE317,$AD317-SUM($AG317:AL317))),0)</f>
        <v>31210.75</v>
      </c>
      <c r="AN317" s="8">
        <f>IF($O317="Aktif",MAX(0,MIN($AE317,$AD317-SUM($AG317:AM317))),0)</f>
        <v>31210.75</v>
      </c>
      <c r="AO317" s="8">
        <f>IF($O317="Aktif",MAX(0,MIN($AE317,$AD317-SUM($AG317:AN317))),0)</f>
        <v>31210.75</v>
      </c>
      <c r="AP317" s="8">
        <f>IF($O317="Aktif",MAX(0,MIN($AE317,$AD317-SUM($AG317:AO317))),0)</f>
        <v>31210.75</v>
      </c>
      <c r="AQ317" s="8">
        <f>IF($O317="Aktif",MAX(0,MIN($AE317,$AD317-SUM($AG317:AP317))),0)</f>
        <v>31210.75</v>
      </c>
      <c r="AR317" s="8">
        <f>IF($O317="Aktif",MAX(0,MIN($AE317,$AD317-SUM($AG317:AQ317))),0)</f>
        <v>31210.75</v>
      </c>
      <c r="AS317" s="8">
        <f>IF($O317="Aktif",MAX(0,MIN($AE317,$AD317-SUM($AG317:AR317))),0)</f>
        <v>31210.75</v>
      </c>
      <c r="AT317" s="8">
        <f>IF($O317="Aktif",MAX(0,MIN($AE317,$AD317-SUM($AG317:AS317))),0)</f>
        <v>31210.75</v>
      </c>
      <c r="AU317" s="8">
        <f>IF($O317="Aktif",MAX(0,MIN($AE317,$AD317-SUM($AG317:AT317))),0)</f>
        <v>31210.75</v>
      </c>
      <c r="AV317" s="8">
        <f>IF($O317="Aktif",MAX(0,MIN($AE317,$AD317-SUM($AG317:AU317))),0)</f>
        <v>31210.75</v>
      </c>
      <c r="AW317" s="8">
        <f t="shared" si="33"/>
        <v>499372</v>
      </c>
      <c r="AX317" s="8">
        <f t="shared" si="34"/>
        <v>561793.5</v>
      </c>
    </row>
    <row r="318" spans="1:50" ht="15" customHeight="1" x14ac:dyDescent="0.35">
      <c r="A318" s="102">
        <v>312</v>
      </c>
      <c r="B318" s="102" t="s">
        <v>586</v>
      </c>
      <c r="C318" s="103">
        <v>250</v>
      </c>
      <c r="D318" s="102" t="s">
        <v>184</v>
      </c>
      <c r="E318" s="102" t="s">
        <v>479</v>
      </c>
      <c r="F318" s="102" t="s">
        <v>947</v>
      </c>
      <c r="G318" s="102" t="s">
        <v>948</v>
      </c>
      <c r="H318" s="102" t="s">
        <v>949</v>
      </c>
      <c r="I318" s="102" t="s">
        <v>90</v>
      </c>
      <c r="J318" s="102"/>
      <c r="K318" s="102" t="s">
        <v>1209</v>
      </c>
      <c r="L318" s="104">
        <v>45840</v>
      </c>
      <c r="M318" s="102" t="s">
        <v>1210</v>
      </c>
      <c r="N318" s="102" t="s">
        <v>1210</v>
      </c>
      <c r="O318" s="102" t="s">
        <v>383</v>
      </c>
      <c r="P318" s="103">
        <v>1</v>
      </c>
      <c r="Q318" s="105">
        <v>2522523</v>
      </c>
      <c r="R318" s="103">
        <v>48</v>
      </c>
      <c r="S318" s="105">
        <v>52552.5625</v>
      </c>
      <c r="T318" s="105">
        <v>315315.375</v>
      </c>
      <c r="U318" s="105">
        <v>52552.5625</v>
      </c>
      <c r="V318" s="105">
        <v>52552.5625</v>
      </c>
      <c r="W318" s="105">
        <v>52552.5625</v>
      </c>
      <c r="X318" s="105">
        <v>52552.5625</v>
      </c>
      <c r="Y318" s="105">
        <v>52552.5625</v>
      </c>
      <c r="Z318" s="105">
        <v>52552.5625</v>
      </c>
      <c r="AA318" s="105">
        <v>52552.5625</v>
      </c>
      <c r="AB318" s="105">
        <v>52552.5625</v>
      </c>
      <c r="AC318" s="8">
        <f t="shared" si="28"/>
        <v>735735.875</v>
      </c>
      <c r="AD318" s="8">
        <f t="shared" si="29"/>
        <v>1786787.125</v>
      </c>
      <c r="AE318" s="8">
        <f t="shared" si="30"/>
        <v>52552.5625</v>
      </c>
      <c r="AF318" s="106">
        <f t="shared" si="31"/>
        <v>34</v>
      </c>
      <c r="AG318" s="8">
        <f t="shared" si="32"/>
        <v>52552.5625</v>
      </c>
      <c r="AH318" s="8">
        <f>IF($O318="Aktif",MAX(0,MIN($AE318,$AD318-SUM($AG318:AG318))),0)</f>
        <v>52552.5625</v>
      </c>
      <c r="AI318" s="8">
        <f>IF($O318="Aktif",MAX(0,MIN($AE318,$AD318-SUM($AG318:AH318))),0)</f>
        <v>52552.5625</v>
      </c>
      <c r="AJ318" s="8">
        <f>IF($O318="Aktif",MAX(0,MIN($AE318,$AD318-SUM($AG318:AI318))),0)</f>
        <v>52552.5625</v>
      </c>
      <c r="AK318" s="8">
        <f>IF($O318="Aktif",MAX(0,MIN($AE318,$AD318-SUM($AG318:AJ318))),0)</f>
        <v>52552.5625</v>
      </c>
      <c r="AL318" s="8">
        <f>IF($O318="Aktif",MAX(0,MIN($AE318,$AD318-SUM($AG318:AK318))),0)</f>
        <v>52552.5625</v>
      </c>
      <c r="AM318" s="8">
        <f>IF($O318="Aktif",MAX(0,MIN($AE318,$AD318-SUM($AG318:AL318))),0)</f>
        <v>52552.5625</v>
      </c>
      <c r="AN318" s="8">
        <f>IF($O318="Aktif",MAX(0,MIN($AE318,$AD318-SUM($AG318:AM318))),0)</f>
        <v>52552.5625</v>
      </c>
      <c r="AO318" s="8">
        <f>IF($O318="Aktif",MAX(0,MIN($AE318,$AD318-SUM($AG318:AN318))),0)</f>
        <v>52552.5625</v>
      </c>
      <c r="AP318" s="8">
        <f>IF($O318="Aktif",MAX(0,MIN($AE318,$AD318-SUM($AG318:AO318))),0)</f>
        <v>52552.5625</v>
      </c>
      <c r="AQ318" s="8">
        <f>IF($O318="Aktif",MAX(0,MIN($AE318,$AD318-SUM($AG318:AP318))),0)</f>
        <v>52552.5625</v>
      </c>
      <c r="AR318" s="8">
        <f>IF($O318="Aktif",MAX(0,MIN($AE318,$AD318-SUM($AG318:AQ318))),0)</f>
        <v>52552.5625</v>
      </c>
      <c r="AS318" s="8">
        <f>IF($O318="Aktif",MAX(0,MIN($AE318,$AD318-SUM($AG318:AR318))),0)</f>
        <v>52552.5625</v>
      </c>
      <c r="AT318" s="8">
        <f>IF($O318="Aktif",MAX(0,MIN($AE318,$AD318-SUM($AG318:AS318))),0)</f>
        <v>52552.5625</v>
      </c>
      <c r="AU318" s="8">
        <f>IF($O318="Aktif",MAX(0,MIN($AE318,$AD318-SUM($AG318:AT318))),0)</f>
        <v>52552.5625</v>
      </c>
      <c r="AV318" s="8">
        <f>IF($O318="Aktif",MAX(0,MIN($AE318,$AD318-SUM($AG318:AU318))),0)</f>
        <v>52552.5625</v>
      </c>
      <c r="AW318" s="8">
        <f t="shared" si="33"/>
        <v>840841</v>
      </c>
      <c r="AX318" s="8">
        <f t="shared" si="34"/>
        <v>945946.125</v>
      </c>
    </row>
    <row r="319" spans="1:50" ht="15" customHeight="1" x14ac:dyDescent="0.35">
      <c r="A319" s="102">
        <v>313</v>
      </c>
      <c r="B319" s="102" t="s">
        <v>586</v>
      </c>
      <c r="C319" s="103">
        <v>251</v>
      </c>
      <c r="D319" s="102" t="s">
        <v>184</v>
      </c>
      <c r="E319" s="102" t="s">
        <v>479</v>
      </c>
      <c r="F319" s="102" t="s">
        <v>947</v>
      </c>
      <c r="G319" s="102" t="s">
        <v>948</v>
      </c>
      <c r="H319" s="102" t="s">
        <v>949</v>
      </c>
      <c r="I319" s="102" t="s">
        <v>90</v>
      </c>
      <c r="J319" s="102"/>
      <c r="K319" s="102" t="s">
        <v>1211</v>
      </c>
      <c r="L319" s="104">
        <v>45853</v>
      </c>
      <c r="M319" s="102" t="s">
        <v>1212</v>
      </c>
      <c r="N319" s="102" t="s">
        <v>1212</v>
      </c>
      <c r="O319" s="102" t="s">
        <v>383</v>
      </c>
      <c r="P319" s="103">
        <v>1</v>
      </c>
      <c r="Q319" s="105">
        <v>6351351</v>
      </c>
      <c r="R319" s="103">
        <v>48</v>
      </c>
      <c r="S319" s="105">
        <v>132319.8125</v>
      </c>
      <c r="T319" s="105">
        <v>793918.875</v>
      </c>
      <c r="U319" s="105">
        <v>132319.8125</v>
      </c>
      <c r="V319" s="105">
        <v>132319.8125</v>
      </c>
      <c r="W319" s="105">
        <v>132319.8125</v>
      </c>
      <c r="X319" s="105">
        <v>132319.8125</v>
      </c>
      <c r="Y319" s="105">
        <v>132319.8125</v>
      </c>
      <c r="Z319" s="105">
        <v>132319.8125</v>
      </c>
      <c r="AA319" s="105">
        <v>132319.8125</v>
      </c>
      <c r="AB319" s="105">
        <v>132319.8125</v>
      </c>
      <c r="AC319" s="8">
        <f t="shared" si="28"/>
        <v>1852477.375</v>
      </c>
      <c r="AD319" s="8">
        <f t="shared" si="29"/>
        <v>4498873.625</v>
      </c>
      <c r="AE319" s="8">
        <f t="shared" si="30"/>
        <v>132319.8125</v>
      </c>
      <c r="AF319" s="106">
        <f t="shared" si="31"/>
        <v>34</v>
      </c>
      <c r="AG319" s="8">
        <f t="shared" si="32"/>
        <v>132319.8125</v>
      </c>
      <c r="AH319" s="8">
        <f>IF($O319="Aktif",MAX(0,MIN($AE319,$AD319-SUM($AG319:AG319))),0)</f>
        <v>132319.8125</v>
      </c>
      <c r="AI319" s="8">
        <f>IF($O319="Aktif",MAX(0,MIN($AE319,$AD319-SUM($AG319:AH319))),0)</f>
        <v>132319.8125</v>
      </c>
      <c r="AJ319" s="8">
        <f>IF($O319="Aktif",MAX(0,MIN($AE319,$AD319-SUM($AG319:AI319))),0)</f>
        <v>132319.8125</v>
      </c>
      <c r="AK319" s="8">
        <f>IF($O319="Aktif",MAX(0,MIN($AE319,$AD319-SUM($AG319:AJ319))),0)</f>
        <v>132319.8125</v>
      </c>
      <c r="AL319" s="8">
        <f>IF($O319="Aktif",MAX(0,MIN($AE319,$AD319-SUM($AG319:AK319))),0)</f>
        <v>132319.8125</v>
      </c>
      <c r="AM319" s="8">
        <f>IF($O319="Aktif",MAX(0,MIN($AE319,$AD319-SUM($AG319:AL319))),0)</f>
        <v>132319.8125</v>
      </c>
      <c r="AN319" s="8">
        <f>IF($O319="Aktif",MAX(0,MIN($AE319,$AD319-SUM($AG319:AM319))),0)</f>
        <v>132319.8125</v>
      </c>
      <c r="AO319" s="8">
        <f>IF($O319="Aktif",MAX(0,MIN($AE319,$AD319-SUM($AG319:AN319))),0)</f>
        <v>132319.8125</v>
      </c>
      <c r="AP319" s="8">
        <f>IF($O319="Aktif",MAX(0,MIN($AE319,$AD319-SUM($AG319:AO319))),0)</f>
        <v>132319.8125</v>
      </c>
      <c r="AQ319" s="8">
        <f>IF($O319="Aktif",MAX(0,MIN($AE319,$AD319-SUM($AG319:AP319))),0)</f>
        <v>132319.8125</v>
      </c>
      <c r="AR319" s="8">
        <f>IF($O319="Aktif",MAX(0,MIN($AE319,$AD319-SUM($AG319:AQ319))),0)</f>
        <v>132319.8125</v>
      </c>
      <c r="AS319" s="8">
        <f>IF($O319="Aktif",MAX(0,MIN($AE319,$AD319-SUM($AG319:AR319))),0)</f>
        <v>132319.8125</v>
      </c>
      <c r="AT319" s="8">
        <f>IF($O319="Aktif",MAX(0,MIN($AE319,$AD319-SUM($AG319:AS319))),0)</f>
        <v>132319.8125</v>
      </c>
      <c r="AU319" s="8">
        <f>IF($O319="Aktif",MAX(0,MIN($AE319,$AD319-SUM($AG319:AT319))),0)</f>
        <v>132319.8125</v>
      </c>
      <c r="AV319" s="8">
        <f>IF($O319="Aktif",MAX(0,MIN($AE319,$AD319-SUM($AG319:AU319))),0)</f>
        <v>132319.8125</v>
      </c>
      <c r="AW319" s="8">
        <f t="shared" si="33"/>
        <v>2117117</v>
      </c>
      <c r="AX319" s="8">
        <f t="shared" si="34"/>
        <v>2381756.625</v>
      </c>
    </row>
    <row r="320" spans="1:50" ht="15" customHeight="1" x14ac:dyDescent="0.35">
      <c r="A320" s="102">
        <v>314</v>
      </c>
      <c r="B320" s="102" t="s">
        <v>586</v>
      </c>
      <c r="C320" s="103">
        <v>252</v>
      </c>
      <c r="D320" s="102" t="s">
        <v>184</v>
      </c>
      <c r="E320" s="102" t="s">
        <v>479</v>
      </c>
      <c r="F320" s="102" t="s">
        <v>947</v>
      </c>
      <c r="G320" s="102" t="s">
        <v>948</v>
      </c>
      <c r="H320" s="102" t="s">
        <v>949</v>
      </c>
      <c r="I320" s="102" t="s">
        <v>90</v>
      </c>
      <c r="J320" s="102"/>
      <c r="K320" s="102" t="s">
        <v>1213</v>
      </c>
      <c r="L320" s="104">
        <v>45875</v>
      </c>
      <c r="M320" s="102" t="s">
        <v>1214</v>
      </c>
      <c r="N320" s="102"/>
      <c r="O320" s="102" t="s">
        <v>383</v>
      </c>
      <c r="P320" s="103">
        <v>1</v>
      </c>
      <c r="Q320" s="105">
        <v>2550000</v>
      </c>
      <c r="R320" s="103">
        <v>48</v>
      </c>
      <c r="S320" s="105">
        <v>53125</v>
      </c>
      <c r="T320" s="105">
        <v>265625</v>
      </c>
      <c r="U320" s="105">
        <v>53125</v>
      </c>
      <c r="V320" s="105">
        <v>53125</v>
      </c>
      <c r="W320" s="105">
        <v>53125</v>
      </c>
      <c r="X320" s="105">
        <v>53125</v>
      </c>
      <c r="Y320" s="105">
        <v>53125</v>
      </c>
      <c r="Z320" s="105">
        <v>53125</v>
      </c>
      <c r="AA320" s="105">
        <v>53125</v>
      </c>
      <c r="AB320" s="105">
        <v>53125</v>
      </c>
      <c r="AC320" s="8">
        <f t="shared" si="28"/>
        <v>690625</v>
      </c>
      <c r="AD320" s="8">
        <f t="shared" si="29"/>
        <v>1859375</v>
      </c>
      <c r="AE320" s="8">
        <f t="shared" si="30"/>
        <v>53125</v>
      </c>
      <c r="AF320" s="106">
        <f t="shared" si="31"/>
        <v>35</v>
      </c>
      <c r="AG320" s="8">
        <f t="shared" si="32"/>
        <v>53125</v>
      </c>
      <c r="AH320" s="8">
        <f>IF($O320="Aktif",MAX(0,MIN($AE320,$AD320-SUM($AG320:AG320))),0)</f>
        <v>53125</v>
      </c>
      <c r="AI320" s="8">
        <f>IF($O320="Aktif",MAX(0,MIN($AE320,$AD320-SUM($AG320:AH320))),0)</f>
        <v>53125</v>
      </c>
      <c r="AJ320" s="8">
        <f>IF($O320="Aktif",MAX(0,MIN($AE320,$AD320-SUM($AG320:AI320))),0)</f>
        <v>53125</v>
      </c>
      <c r="AK320" s="8">
        <f>IF($O320="Aktif",MAX(0,MIN($AE320,$AD320-SUM($AG320:AJ320))),0)</f>
        <v>53125</v>
      </c>
      <c r="AL320" s="8">
        <f>IF($O320="Aktif",MAX(0,MIN($AE320,$AD320-SUM($AG320:AK320))),0)</f>
        <v>53125</v>
      </c>
      <c r="AM320" s="8">
        <f>IF($O320="Aktif",MAX(0,MIN($AE320,$AD320-SUM($AG320:AL320))),0)</f>
        <v>53125</v>
      </c>
      <c r="AN320" s="8">
        <f>IF($O320="Aktif",MAX(0,MIN($AE320,$AD320-SUM($AG320:AM320))),0)</f>
        <v>53125</v>
      </c>
      <c r="AO320" s="8">
        <f>IF($O320="Aktif",MAX(0,MIN($AE320,$AD320-SUM($AG320:AN320))),0)</f>
        <v>53125</v>
      </c>
      <c r="AP320" s="8">
        <f>IF($O320="Aktif",MAX(0,MIN($AE320,$AD320-SUM($AG320:AO320))),0)</f>
        <v>53125</v>
      </c>
      <c r="AQ320" s="8">
        <f>IF($O320="Aktif",MAX(0,MIN($AE320,$AD320-SUM($AG320:AP320))),0)</f>
        <v>53125</v>
      </c>
      <c r="AR320" s="8">
        <f>IF($O320="Aktif",MAX(0,MIN($AE320,$AD320-SUM($AG320:AQ320))),0)</f>
        <v>53125</v>
      </c>
      <c r="AS320" s="8">
        <f>IF($O320="Aktif",MAX(0,MIN($AE320,$AD320-SUM($AG320:AR320))),0)</f>
        <v>53125</v>
      </c>
      <c r="AT320" s="8">
        <f>IF($O320="Aktif",MAX(0,MIN($AE320,$AD320-SUM($AG320:AS320))),0)</f>
        <v>53125</v>
      </c>
      <c r="AU320" s="8">
        <f>IF($O320="Aktif",MAX(0,MIN($AE320,$AD320-SUM($AG320:AT320))),0)</f>
        <v>53125</v>
      </c>
      <c r="AV320" s="8">
        <f>IF($O320="Aktif",MAX(0,MIN($AE320,$AD320-SUM($AG320:AU320))),0)</f>
        <v>53125</v>
      </c>
      <c r="AW320" s="8">
        <f t="shared" si="33"/>
        <v>850000</v>
      </c>
      <c r="AX320" s="8">
        <f t="shared" si="34"/>
        <v>1009375</v>
      </c>
    </row>
    <row r="321" spans="1:50" ht="15" customHeight="1" x14ac:dyDescent="0.35">
      <c r="A321" s="102">
        <v>315</v>
      </c>
      <c r="B321" s="102" t="s">
        <v>586</v>
      </c>
      <c r="C321" s="103">
        <v>253</v>
      </c>
      <c r="D321" s="102" t="s">
        <v>184</v>
      </c>
      <c r="E321" s="102" t="s">
        <v>479</v>
      </c>
      <c r="F321" s="102" t="s">
        <v>947</v>
      </c>
      <c r="G321" s="102" t="s">
        <v>948</v>
      </c>
      <c r="H321" s="102" t="s">
        <v>949</v>
      </c>
      <c r="I321" s="102" t="s">
        <v>90</v>
      </c>
      <c r="J321" s="102"/>
      <c r="K321" s="102" t="s">
        <v>1215</v>
      </c>
      <c r="L321" s="104">
        <v>45875</v>
      </c>
      <c r="M321" s="102" t="s">
        <v>1216</v>
      </c>
      <c r="N321" s="102"/>
      <c r="O321" s="102" t="s">
        <v>383</v>
      </c>
      <c r="P321" s="103">
        <v>1</v>
      </c>
      <c r="Q321" s="105">
        <v>2550000</v>
      </c>
      <c r="R321" s="103">
        <v>48</v>
      </c>
      <c r="S321" s="105">
        <v>53125</v>
      </c>
      <c r="T321" s="105">
        <v>265625</v>
      </c>
      <c r="U321" s="105">
        <v>53125</v>
      </c>
      <c r="V321" s="105">
        <v>53125</v>
      </c>
      <c r="W321" s="105">
        <v>53125</v>
      </c>
      <c r="X321" s="105">
        <v>53125</v>
      </c>
      <c r="Y321" s="105">
        <v>53125</v>
      </c>
      <c r="Z321" s="105">
        <v>53125</v>
      </c>
      <c r="AA321" s="105">
        <v>53125</v>
      </c>
      <c r="AB321" s="105">
        <v>53125</v>
      </c>
      <c r="AC321" s="8">
        <f t="shared" si="28"/>
        <v>690625</v>
      </c>
      <c r="AD321" s="8">
        <f t="shared" si="29"/>
        <v>1859375</v>
      </c>
      <c r="AE321" s="8">
        <f t="shared" si="30"/>
        <v>53125</v>
      </c>
      <c r="AF321" s="106">
        <f t="shared" si="31"/>
        <v>35</v>
      </c>
      <c r="AG321" s="8">
        <f t="shared" si="32"/>
        <v>53125</v>
      </c>
      <c r="AH321" s="8">
        <f>IF($O321="Aktif",MAX(0,MIN($AE321,$AD321-SUM($AG321:AG321))),0)</f>
        <v>53125</v>
      </c>
      <c r="AI321" s="8">
        <f>IF($O321="Aktif",MAX(0,MIN($AE321,$AD321-SUM($AG321:AH321))),0)</f>
        <v>53125</v>
      </c>
      <c r="AJ321" s="8">
        <f>IF($O321="Aktif",MAX(0,MIN($AE321,$AD321-SUM($AG321:AI321))),0)</f>
        <v>53125</v>
      </c>
      <c r="AK321" s="8">
        <f>IF($O321="Aktif",MAX(0,MIN($AE321,$AD321-SUM($AG321:AJ321))),0)</f>
        <v>53125</v>
      </c>
      <c r="AL321" s="8">
        <f>IF($O321="Aktif",MAX(0,MIN($AE321,$AD321-SUM($AG321:AK321))),0)</f>
        <v>53125</v>
      </c>
      <c r="AM321" s="8">
        <f>IF($O321="Aktif",MAX(0,MIN($AE321,$AD321-SUM($AG321:AL321))),0)</f>
        <v>53125</v>
      </c>
      <c r="AN321" s="8">
        <f>IF($O321="Aktif",MAX(0,MIN($AE321,$AD321-SUM($AG321:AM321))),0)</f>
        <v>53125</v>
      </c>
      <c r="AO321" s="8">
        <f>IF($O321="Aktif",MAX(0,MIN($AE321,$AD321-SUM($AG321:AN321))),0)</f>
        <v>53125</v>
      </c>
      <c r="AP321" s="8">
        <f>IF($O321="Aktif",MAX(0,MIN($AE321,$AD321-SUM($AG321:AO321))),0)</f>
        <v>53125</v>
      </c>
      <c r="AQ321" s="8">
        <f>IF($O321="Aktif",MAX(0,MIN($AE321,$AD321-SUM($AG321:AP321))),0)</f>
        <v>53125</v>
      </c>
      <c r="AR321" s="8">
        <f>IF($O321="Aktif",MAX(0,MIN($AE321,$AD321-SUM($AG321:AQ321))),0)</f>
        <v>53125</v>
      </c>
      <c r="AS321" s="8">
        <f>IF($O321="Aktif",MAX(0,MIN($AE321,$AD321-SUM($AG321:AR321))),0)</f>
        <v>53125</v>
      </c>
      <c r="AT321" s="8">
        <f>IF($O321="Aktif",MAX(0,MIN($AE321,$AD321-SUM($AG321:AS321))),0)</f>
        <v>53125</v>
      </c>
      <c r="AU321" s="8">
        <f>IF($O321="Aktif",MAX(0,MIN($AE321,$AD321-SUM($AG321:AT321))),0)</f>
        <v>53125</v>
      </c>
      <c r="AV321" s="8">
        <f>IF($O321="Aktif",MAX(0,MIN($AE321,$AD321-SUM($AG321:AU321))),0)</f>
        <v>53125</v>
      </c>
      <c r="AW321" s="8">
        <f t="shared" si="33"/>
        <v>850000</v>
      </c>
      <c r="AX321" s="8">
        <f t="shared" si="34"/>
        <v>1009375</v>
      </c>
    </row>
    <row r="322" spans="1:50" ht="15" customHeight="1" x14ac:dyDescent="0.35">
      <c r="A322" s="102">
        <v>316</v>
      </c>
      <c r="B322" s="102" t="s">
        <v>586</v>
      </c>
      <c r="C322" s="103">
        <v>254</v>
      </c>
      <c r="D322" s="102" t="s">
        <v>184</v>
      </c>
      <c r="E322" s="102" t="s">
        <v>479</v>
      </c>
      <c r="F322" s="102" t="s">
        <v>947</v>
      </c>
      <c r="G322" s="102" t="s">
        <v>948</v>
      </c>
      <c r="H322" s="102" t="s">
        <v>949</v>
      </c>
      <c r="I322" s="102" t="s">
        <v>90</v>
      </c>
      <c r="J322" s="102"/>
      <c r="K322" s="102" t="s">
        <v>1217</v>
      </c>
      <c r="L322" s="104">
        <v>45910</v>
      </c>
      <c r="M322" s="102" t="s">
        <v>1160</v>
      </c>
      <c r="N322" s="102"/>
      <c r="O322" s="102" t="s">
        <v>383</v>
      </c>
      <c r="P322" s="103">
        <v>1</v>
      </c>
      <c r="Q322" s="105">
        <v>1824324</v>
      </c>
      <c r="R322" s="103">
        <v>48</v>
      </c>
      <c r="S322" s="105">
        <v>38006.75</v>
      </c>
      <c r="T322" s="105">
        <v>152027</v>
      </c>
      <c r="U322" s="105">
        <v>38006.75</v>
      </c>
      <c r="V322" s="105">
        <v>38006.75</v>
      </c>
      <c r="W322" s="105">
        <v>38006.75</v>
      </c>
      <c r="X322" s="105">
        <v>38006.75</v>
      </c>
      <c r="Y322" s="105">
        <v>38006.75</v>
      </c>
      <c r="Z322" s="105">
        <v>38006.75</v>
      </c>
      <c r="AA322" s="105">
        <v>38006.75</v>
      </c>
      <c r="AB322" s="105">
        <v>38006.75</v>
      </c>
      <c r="AC322" s="8">
        <f t="shared" si="28"/>
        <v>456081</v>
      </c>
      <c r="AD322" s="8">
        <f t="shared" si="29"/>
        <v>1368243</v>
      </c>
      <c r="AE322" s="8">
        <f t="shared" si="30"/>
        <v>38006.75</v>
      </c>
      <c r="AF322" s="106">
        <f t="shared" si="31"/>
        <v>36</v>
      </c>
      <c r="AG322" s="8">
        <f t="shared" si="32"/>
        <v>38006.75</v>
      </c>
      <c r="AH322" s="8">
        <f>IF($O322="Aktif",MAX(0,MIN($AE322,$AD322-SUM($AG322:AG322))),0)</f>
        <v>38006.75</v>
      </c>
      <c r="AI322" s="8">
        <f>IF($O322="Aktif",MAX(0,MIN($AE322,$AD322-SUM($AG322:AH322))),0)</f>
        <v>38006.75</v>
      </c>
      <c r="AJ322" s="8">
        <f>IF($O322="Aktif",MAX(0,MIN($AE322,$AD322-SUM($AG322:AI322))),0)</f>
        <v>38006.75</v>
      </c>
      <c r="AK322" s="8">
        <f>IF($O322="Aktif",MAX(0,MIN($AE322,$AD322-SUM($AG322:AJ322))),0)</f>
        <v>38006.75</v>
      </c>
      <c r="AL322" s="8">
        <f>IF($O322="Aktif",MAX(0,MIN($AE322,$AD322-SUM($AG322:AK322))),0)</f>
        <v>38006.75</v>
      </c>
      <c r="AM322" s="8">
        <f>IF($O322="Aktif",MAX(0,MIN($AE322,$AD322-SUM($AG322:AL322))),0)</f>
        <v>38006.75</v>
      </c>
      <c r="AN322" s="8">
        <f>IF($O322="Aktif",MAX(0,MIN($AE322,$AD322-SUM($AG322:AM322))),0)</f>
        <v>38006.75</v>
      </c>
      <c r="AO322" s="8">
        <f>IF($O322="Aktif",MAX(0,MIN($AE322,$AD322-SUM($AG322:AN322))),0)</f>
        <v>38006.75</v>
      </c>
      <c r="AP322" s="8">
        <f>IF($O322="Aktif",MAX(0,MIN($AE322,$AD322-SUM($AG322:AO322))),0)</f>
        <v>38006.75</v>
      </c>
      <c r="AQ322" s="8">
        <f>IF($O322="Aktif",MAX(0,MIN($AE322,$AD322-SUM($AG322:AP322))),0)</f>
        <v>38006.75</v>
      </c>
      <c r="AR322" s="8">
        <f>IF($O322="Aktif",MAX(0,MIN($AE322,$AD322-SUM($AG322:AQ322))),0)</f>
        <v>38006.75</v>
      </c>
      <c r="AS322" s="8">
        <f>IF($O322="Aktif",MAX(0,MIN($AE322,$AD322-SUM($AG322:AR322))),0)</f>
        <v>38006.75</v>
      </c>
      <c r="AT322" s="8">
        <f>IF($O322="Aktif",MAX(0,MIN($AE322,$AD322-SUM($AG322:AS322))),0)</f>
        <v>38006.75</v>
      </c>
      <c r="AU322" s="8">
        <f>IF($O322="Aktif",MAX(0,MIN($AE322,$AD322-SUM($AG322:AT322))),0)</f>
        <v>38006.75</v>
      </c>
      <c r="AV322" s="8">
        <f>IF($O322="Aktif",MAX(0,MIN($AE322,$AD322-SUM($AG322:AU322))),0)</f>
        <v>38006.75</v>
      </c>
      <c r="AW322" s="8">
        <f t="shared" si="33"/>
        <v>608108</v>
      </c>
      <c r="AX322" s="8">
        <f t="shared" si="34"/>
        <v>760135</v>
      </c>
    </row>
    <row r="323" spans="1:50" ht="15" customHeight="1" x14ac:dyDescent="0.35">
      <c r="A323" s="102">
        <v>317</v>
      </c>
      <c r="B323" s="102" t="s">
        <v>586</v>
      </c>
      <c r="C323" s="103">
        <v>255</v>
      </c>
      <c r="D323" s="102" t="s">
        <v>184</v>
      </c>
      <c r="E323" s="102" t="s">
        <v>479</v>
      </c>
      <c r="F323" s="102" t="s">
        <v>947</v>
      </c>
      <c r="G323" s="102" t="s">
        <v>948</v>
      </c>
      <c r="H323" s="102" t="s">
        <v>949</v>
      </c>
      <c r="I323" s="102" t="s">
        <v>90</v>
      </c>
      <c r="J323" s="102"/>
      <c r="K323" s="102" t="s">
        <v>1218</v>
      </c>
      <c r="L323" s="104">
        <v>45945</v>
      </c>
      <c r="M323" s="102" t="s">
        <v>1219</v>
      </c>
      <c r="N323" s="102"/>
      <c r="O323" s="102" t="s">
        <v>383</v>
      </c>
      <c r="P323" s="103">
        <v>1</v>
      </c>
      <c r="Q323" s="105">
        <v>1018700</v>
      </c>
      <c r="R323" s="103">
        <v>48</v>
      </c>
      <c r="S323" s="105">
        <v>21222.916666666701</v>
      </c>
      <c r="T323" s="105">
        <v>63668.75</v>
      </c>
      <c r="U323" s="105">
        <v>21222.916666666701</v>
      </c>
      <c r="V323" s="105">
        <v>21222.916666666701</v>
      </c>
      <c r="W323" s="105">
        <v>21222.916666666701</v>
      </c>
      <c r="X323" s="105">
        <v>21222.916666666701</v>
      </c>
      <c r="Y323" s="105">
        <v>21222.916666666701</v>
      </c>
      <c r="Z323" s="105">
        <v>21222.916666666701</v>
      </c>
      <c r="AA323" s="105">
        <v>21222.916666666701</v>
      </c>
      <c r="AB323" s="105">
        <v>21222.916666666701</v>
      </c>
      <c r="AC323" s="8">
        <f t="shared" si="28"/>
        <v>233452.0833333336</v>
      </c>
      <c r="AD323" s="8">
        <f t="shared" si="29"/>
        <v>785247.9166666664</v>
      </c>
      <c r="AE323" s="8">
        <f t="shared" si="30"/>
        <v>21222.916666666701</v>
      </c>
      <c r="AF323" s="106">
        <f t="shared" si="31"/>
        <v>36.999999999999929</v>
      </c>
      <c r="AG323" s="8">
        <f t="shared" si="32"/>
        <v>21222.916666666701</v>
      </c>
      <c r="AH323" s="8">
        <f>IF($O323="Aktif",MAX(0,MIN($AE323,$AD323-SUM($AG323:AG323))),0)</f>
        <v>21222.916666666701</v>
      </c>
      <c r="AI323" s="8">
        <f>IF($O323="Aktif",MAX(0,MIN($AE323,$AD323-SUM($AG323:AH323))),0)</f>
        <v>21222.916666666701</v>
      </c>
      <c r="AJ323" s="8">
        <f>IF($O323="Aktif",MAX(0,MIN($AE323,$AD323-SUM($AG323:AI323))),0)</f>
        <v>21222.916666666701</v>
      </c>
      <c r="AK323" s="8">
        <f>IF($O323="Aktif",MAX(0,MIN($AE323,$AD323-SUM($AG323:AJ323))),0)</f>
        <v>21222.916666666701</v>
      </c>
      <c r="AL323" s="8">
        <f>IF($O323="Aktif",MAX(0,MIN($AE323,$AD323-SUM($AG323:AK323))),0)</f>
        <v>21222.916666666701</v>
      </c>
      <c r="AM323" s="8">
        <f>IF($O323="Aktif",MAX(0,MIN($AE323,$AD323-SUM($AG323:AL323))),0)</f>
        <v>21222.916666666701</v>
      </c>
      <c r="AN323" s="8">
        <f>IF($O323="Aktif",MAX(0,MIN($AE323,$AD323-SUM($AG323:AM323))),0)</f>
        <v>21222.916666666701</v>
      </c>
      <c r="AO323" s="8">
        <f>IF($O323="Aktif",MAX(0,MIN($AE323,$AD323-SUM($AG323:AN323))),0)</f>
        <v>21222.916666666701</v>
      </c>
      <c r="AP323" s="8">
        <f>IF($O323="Aktif",MAX(0,MIN($AE323,$AD323-SUM($AG323:AO323))),0)</f>
        <v>21222.916666666701</v>
      </c>
      <c r="AQ323" s="8">
        <f>IF($O323="Aktif",MAX(0,MIN($AE323,$AD323-SUM($AG323:AP323))),0)</f>
        <v>21222.916666666701</v>
      </c>
      <c r="AR323" s="8">
        <f>IF($O323="Aktif",MAX(0,MIN($AE323,$AD323-SUM($AG323:AQ323))),0)</f>
        <v>21222.916666666701</v>
      </c>
      <c r="AS323" s="8">
        <f>IF($O323="Aktif",MAX(0,MIN($AE323,$AD323-SUM($AG323:AR323))),0)</f>
        <v>21222.916666666701</v>
      </c>
      <c r="AT323" s="8">
        <f>IF($O323="Aktif",MAX(0,MIN($AE323,$AD323-SUM($AG323:AS323))),0)</f>
        <v>21222.916666666701</v>
      </c>
      <c r="AU323" s="8">
        <f>IF($O323="Aktif",MAX(0,MIN($AE323,$AD323-SUM($AG323:AT323))),0)</f>
        <v>21222.916666666701</v>
      </c>
      <c r="AV323" s="8">
        <f>IF($O323="Aktif",MAX(0,MIN($AE323,$AD323-SUM($AG323:AU323))),0)</f>
        <v>21222.916666666701</v>
      </c>
      <c r="AW323" s="8">
        <f t="shared" si="33"/>
        <v>339566.66666666709</v>
      </c>
      <c r="AX323" s="8">
        <f t="shared" si="34"/>
        <v>445681.2499999993</v>
      </c>
    </row>
    <row r="324" spans="1:50" ht="15" customHeight="1" x14ac:dyDescent="0.35">
      <c r="A324" s="102">
        <v>318</v>
      </c>
      <c r="B324" s="102" t="s">
        <v>586</v>
      </c>
      <c r="C324" s="103">
        <v>256</v>
      </c>
      <c r="D324" s="102" t="s">
        <v>184</v>
      </c>
      <c r="E324" s="102" t="s">
        <v>479</v>
      </c>
      <c r="F324" s="102" t="s">
        <v>947</v>
      </c>
      <c r="G324" s="102" t="s">
        <v>948</v>
      </c>
      <c r="H324" s="102" t="s">
        <v>949</v>
      </c>
      <c r="I324" s="102" t="s">
        <v>90</v>
      </c>
      <c r="J324" s="102"/>
      <c r="K324" s="102" t="s">
        <v>1220</v>
      </c>
      <c r="L324" s="104">
        <v>45973</v>
      </c>
      <c r="M324" s="102" t="s">
        <v>1221</v>
      </c>
      <c r="N324" s="102" t="s">
        <v>1221</v>
      </c>
      <c r="O324" s="102" t="s">
        <v>383</v>
      </c>
      <c r="P324" s="103">
        <v>1</v>
      </c>
      <c r="Q324" s="105">
        <v>3918919</v>
      </c>
      <c r="R324" s="103">
        <v>48</v>
      </c>
      <c r="S324" s="105">
        <v>81644.145833333299</v>
      </c>
      <c r="T324" s="105">
        <v>163288.29166666701</v>
      </c>
      <c r="U324" s="105">
        <v>81644.145833333299</v>
      </c>
      <c r="V324" s="105">
        <v>81644.145833333299</v>
      </c>
      <c r="W324" s="105">
        <v>81644.145833333299</v>
      </c>
      <c r="X324" s="105">
        <v>81644.145833333299</v>
      </c>
      <c r="Y324" s="105">
        <v>81644.145833333299</v>
      </c>
      <c r="Z324" s="105">
        <v>81644.145833333299</v>
      </c>
      <c r="AA324" s="105">
        <v>81644.145833333299</v>
      </c>
      <c r="AB324" s="105">
        <v>81644.145833333299</v>
      </c>
      <c r="AC324" s="8">
        <f t="shared" si="28"/>
        <v>816441.45833333337</v>
      </c>
      <c r="AD324" s="8">
        <f t="shared" si="29"/>
        <v>3102477.5416666665</v>
      </c>
      <c r="AE324" s="8">
        <f t="shared" si="30"/>
        <v>81644.145833333299</v>
      </c>
      <c r="AF324" s="106">
        <f t="shared" si="31"/>
        <v>38.000000000000014</v>
      </c>
      <c r="AG324" s="8">
        <f t="shared" si="32"/>
        <v>81644.145833333299</v>
      </c>
      <c r="AH324" s="8">
        <f>IF($O324="Aktif",MAX(0,MIN($AE324,$AD324-SUM($AG324:AG324))),0)</f>
        <v>81644.145833333299</v>
      </c>
      <c r="AI324" s="8">
        <f>IF($O324="Aktif",MAX(0,MIN($AE324,$AD324-SUM($AG324:AH324))),0)</f>
        <v>81644.145833333299</v>
      </c>
      <c r="AJ324" s="8">
        <f>IF($O324="Aktif",MAX(0,MIN($AE324,$AD324-SUM($AG324:AI324))),0)</f>
        <v>81644.145833333299</v>
      </c>
      <c r="AK324" s="8">
        <f>IF($O324="Aktif",MAX(0,MIN($AE324,$AD324-SUM($AG324:AJ324))),0)</f>
        <v>81644.145833333299</v>
      </c>
      <c r="AL324" s="8">
        <f>IF($O324="Aktif",MAX(0,MIN($AE324,$AD324-SUM($AG324:AK324))),0)</f>
        <v>81644.145833333299</v>
      </c>
      <c r="AM324" s="8">
        <f>IF($O324="Aktif",MAX(0,MIN($AE324,$AD324-SUM($AG324:AL324))),0)</f>
        <v>81644.145833333299</v>
      </c>
      <c r="AN324" s="8">
        <f>IF($O324="Aktif",MAX(0,MIN($AE324,$AD324-SUM($AG324:AM324))),0)</f>
        <v>81644.145833333299</v>
      </c>
      <c r="AO324" s="8">
        <f>IF($O324="Aktif",MAX(0,MIN($AE324,$AD324-SUM($AG324:AN324))),0)</f>
        <v>81644.145833333299</v>
      </c>
      <c r="AP324" s="8">
        <f>IF($O324="Aktif",MAX(0,MIN($AE324,$AD324-SUM($AG324:AO324))),0)</f>
        <v>81644.145833333299</v>
      </c>
      <c r="AQ324" s="8">
        <f>IF($O324="Aktif",MAX(0,MIN($AE324,$AD324-SUM($AG324:AP324))),0)</f>
        <v>81644.145833333299</v>
      </c>
      <c r="AR324" s="8">
        <f>IF($O324="Aktif",MAX(0,MIN($AE324,$AD324-SUM($AG324:AQ324))),0)</f>
        <v>81644.145833333299</v>
      </c>
      <c r="AS324" s="8">
        <f>IF($O324="Aktif",MAX(0,MIN($AE324,$AD324-SUM($AG324:AR324))),0)</f>
        <v>81644.145833333299</v>
      </c>
      <c r="AT324" s="8">
        <f>IF($O324="Aktif",MAX(0,MIN($AE324,$AD324-SUM($AG324:AS324))),0)</f>
        <v>81644.145833333299</v>
      </c>
      <c r="AU324" s="8">
        <f>IF($O324="Aktif",MAX(0,MIN($AE324,$AD324-SUM($AG324:AT324))),0)</f>
        <v>81644.145833333299</v>
      </c>
      <c r="AV324" s="8">
        <f>IF($O324="Aktif",MAX(0,MIN($AE324,$AD324-SUM($AG324:AU324))),0)</f>
        <v>81644.145833333299</v>
      </c>
      <c r="AW324" s="8">
        <f t="shared" si="33"/>
        <v>1306306.3333333326</v>
      </c>
      <c r="AX324" s="8">
        <f t="shared" si="34"/>
        <v>1796171.208333334</v>
      </c>
    </row>
    <row r="325" spans="1:50" ht="15" customHeight="1" x14ac:dyDescent="0.35">
      <c r="A325" s="102">
        <v>319</v>
      </c>
      <c r="B325" s="102" t="s">
        <v>586</v>
      </c>
      <c r="C325" s="103">
        <v>257</v>
      </c>
      <c r="D325" s="102" t="s">
        <v>184</v>
      </c>
      <c r="E325" s="102" t="s">
        <v>479</v>
      </c>
      <c r="F325" s="102" t="s">
        <v>947</v>
      </c>
      <c r="G325" s="102" t="s">
        <v>948</v>
      </c>
      <c r="H325" s="102" t="s">
        <v>949</v>
      </c>
      <c r="I325" s="102" t="s">
        <v>90</v>
      </c>
      <c r="J325" s="102"/>
      <c r="K325" s="102" t="s">
        <v>1222</v>
      </c>
      <c r="L325" s="104">
        <v>45976</v>
      </c>
      <c r="M325" s="102" t="s">
        <v>1223</v>
      </c>
      <c r="N325" s="102" t="s">
        <v>1223</v>
      </c>
      <c r="O325" s="102" t="s">
        <v>383</v>
      </c>
      <c r="P325" s="103">
        <v>1</v>
      </c>
      <c r="Q325" s="105">
        <v>2454955</v>
      </c>
      <c r="R325" s="103">
        <v>48</v>
      </c>
      <c r="S325" s="105">
        <v>51144.895833333299</v>
      </c>
      <c r="T325" s="105">
        <v>102289.79166666701</v>
      </c>
      <c r="U325" s="105">
        <v>51144.895833333299</v>
      </c>
      <c r="V325" s="105">
        <v>51144.895833333299</v>
      </c>
      <c r="W325" s="105">
        <v>51144.895833333299</v>
      </c>
      <c r="X325" s="105">
        <v>51144.895833333299</v>
      </c>
      <c r="Y325" s="105">
        <v>51144.895833333299</v>
      </c>
      <c r="Z325" s="105">
        <v>51144.895833333299</v>
      </c>
      <c r="AA325" s="105">
        <v>51144.895833333299</v>
      </c>
      <c r="AB325" s="105">
        <v>51144.895833333299</v>
      </c>
      <c r="AC325" s="8">
        <f t="shared" si="28"/>
        <v>511448.95833333349</v>
      </c>
      <c r="AD325" s="8">
        <f t="shared" si="29"/>
        <v>1943506.0416666665</v>
      </c>
      <c r="AE325" s="8">
        <f t="shared" si="30"/>
        <v>51144.895833333299</v>
      </c>
      <c r="AF325" s="106">
        <f t="shared" si="31"/>
        <v>38.000000000000021</v>
      </c>
      <c r="AG325" s="8">
        <f t="shared" si="32"/>
        <v>51144.895833333299</v>
      </c>
      <c r="AH325" s="8">
        <f>IF($O325="Aktif",MAX(0,MIN($AE325,$AD325-SUM($AG325:AG325))),0)</f>
        <v>51144.895833333299</v>
      </c>
      <c r="AI325" s="8">
        <f>IF($O325="Aktif",MAX(0,MIN($AE325,$AD325-SUM($AG325:AH325))),0)</f>
        <v>51144.895833333299</v>
      </c>
      <c r="AJ325" s="8">
        <f>IF($O325="Aktif",MAX(0,MIN($AE325,$AD325-SUM($AG325:AI325))),0)</f>
        <v>51144.895833333299</v>
      </c>
      <c r="AK325" s="8">
        <f>IF($O325="Aktif",MAX(0,MIN($AE325,$AD325-SUM($AG325:AJ325))),0)</f>
        <v>51144.895833333299</v>
      </c>
      <c r="AL325" s="8">
        <f>IF($O325="Aktif",MAX(0,MIN($AE325,$AD325-SUM($AG325:AK325))),0)</f>
        <v>51144.895833333299</v>
      </c>
      <c r="AM325" s="8">
        <f>IF($O325="Aktif",MAX(0,MIN($AE325,$AD325-SUM($AG325:AL325))),0)</f>
        <v>51144.895833333299</v>
      </c>
      <c r="AN325" s="8">
        <f>IF($O325="Aktif",MAX(0,MIN($AE325,$AD325-SUM($AG325:AM325))),0)</f>
        <v>51144.895833333299</v>
      </c>
      <c r="AO325" s="8">
        <f>IF($O325="Aktif",MAX(0,MIN($AE325,$AD325-SUM($AG325:AN325))),0)</f>
        <v>51144.895833333299</v>
      </c>
      <c r="AP325" s="8">
        <f>IF($O325="Aktif",MAX(0,MIN($AE325,$AD325-SUM($AG325:AO325))),0)</f>
        <v>51144.895833333299</v>
      </c>
      <c r="AQ325" s="8">
        <f>IF($O325="Aktif",MAX(0,MIN($AE325,$AD325-SUM($AG325:AP325))),0)</f>
        <v>51144.895833333299</v>
      </c>
      <c r="AR325" s="8">
        <f>IF($O325="Aktif",MAX(0,MIN($AE325,$AD325-SUM($AG325:AQ325))),0)</f>
        <v>51144.895833333299</v>
      </c>
      <c r="AS325" s="8">
        <f>IF($O325="Aktif",MAX(0,MIN($AE325,$AD325-SUM($AG325:AR325))),0)</f>
        <v>51144.895833333299</v>
      </c>
      <c r="AT325" s="8">
        <f>IF($O325="Aktif",MAX(0,MIN($AE325,$AD325-SUM($AG325:AS325))),0)</f>
        <v>51144.895833333299</v>
      </c>
      <c r="AU325" s="8">
        <f>IF($O325="Aktif",MAX(0,MIN($AE325,$AD325-SUM($AG325:AT325))),0)</f>
        <v>51144.895833333299</v>
      </c>
      <c r="AV325" s="8">
        <f>IF($O325="Aktif",MAX(0,MIN($AE325,$AD325-SUM($AG325:AU325))),0)</f>
        <v>51144.895833333299</v>
      </c>
      <c r="AW325" s="8">
        <f t="shared" si="33"/>
        <v>818318.33333333267</v>
      </c>
      <c r="AX325" s="8">
        <f t="shared" si="34"/>
        <v>1125187.708333334</v>
      </c>
    </row>
    <row r="326" spans="1:50" ht="15" customHeight="1" x14ac:dyDescent="0.35">
      <c r="A326" s="102">
        <v>320</v>
      </c>
      <c r="B326" s="102" t="s">
        <v>586</v>
      </c>
      <c r="C326" s="103">
        <v>258</v>
      </c>
      <c r="D326" s="102" t="s">
        <v>184</v>
      </c>
      <c r="E326" s="102" t="s">
        <v>479</v>
      </c>
      <c r="F326" s="102" t="s">
        <v>947</v>
      </c>
      <c r="G326" s="102" t="s">
        <v>948</v>
      </c>
      <c r="H326" s="102" t="s">
        <v>949</v>
      </c>
      <c r="I326" s="102" t="s">
        <v>90</v>
      </c>
      <c r="J326" s="102"/>
      <c r="K326" s="102" t="s">
        <v>1224</v>
      </c>
      <c r="L326" s="104">
        <v>45976</v>
      </c>
      <c r="M326" s="102" t="s">
        <v>1225</v>
      </c>
      <c r="N326" s="102" t="s">
        <v>1225</v>
      </c>
      <c r="O326" s="102" t="s">
        <v>383</v>
      </c>
      <c r="P326" s="103">
        <v>1</v>
      </c>
      <c r="Q326" s="105">
        <v>2454955</v>
      </c>
      <c r="R326" s="103">
        <v>48</v>
      </c>
      <c r="S326" s="105">
        <v>51144.895833333299</v>
      </c>
      <c r="T326" s="105">
        <v>102289.79166666701</v>
      </c>
      <c r="U326" s="105">
        <v>51144.895833333299</v>
      </c>
      <c r="V326" s="105">
        <v>51144.895833333299</v>
      </c>
      <c r="W326" s="105">
        <v>51144.895833333299</v>
      </c>
      <c r="X326" s="105">
        <v>51144.895833333299</v>
      </c>
      <c r="Y326" s="105">
        <v>51144.895833333299</v>
      </c>
      <c r="Z326" s="105">
        <v>51144.895833333299</v>
      </c>
      <c r="AA326" s="105">
        <v>51144.895833333299</v>
      </c>
      <c r="AB326" s="105">
        <v>51144.895833333299</v>
      </c>
      <c r="AC326" s="8">
        <f t="shared" si="28"/>
        <v>511448.95833333349</v>
      </c>
      <c r="AD326" s="8">
        <f t="shared" si="29"/>
        <v>1943506.0416666665</v>
      </c>
      <c r="AE326" s="8">
        <f t="shared" si="30"/>
        <v>51144.895833333299</v>
      </c>
      <c r="AF326" s="106">
        <f t="shared" si="31"/>
        <v>38.000000000000021</v>
      </c>
      <c r="AG326" s="8">
        <f t="shared" si="32"/>
        <v>51144.895833333299</v>
      </c>
      <c r="AH326" s="8">
        <f>IF($O326="Aktif",MAX(0,MIN($AE326,$AD326-SUM($AG326:AG326))),0)</f>
        <v>51144.895833333299</v>
      </c>
      <c r="AI326" s="8">
        <f>IF($O326="Aktif",MAX(0,MIN($AE326,$AD326-SUM($AG326:AH326))),0)</f>
        <v>51144.895833333299</v>
      </c>
      <c r="AJ326" s="8">
        <f>IF($O326="Aktif",MAX(0,MIN($AE326,$AD326-SUM($AG326:AI326))),0)</f>
        <v>51144.895833333299</v>
      </c>
      <c r="AK326" s="8">
        <f>IF($O326="Aktif",MAX(0,MIN($AE326,$AD326-SUM($AG326:AJ326))),0)</f>
        <v>51144.895833333299</v>
      </c>
      <c r="AL326" s="8">
        <f>IF($O326="Aktif",MAX(0,MIN($AE326,$AD326-SUM($AG326:AK326))),0)</f>
        <v>51144.895833333299</v>
      </c>
      <c r="AM326" s="8">
        <f>IF($O326="Aktif",MAX(0,MIN($AE326,$AD326-SUM($AG326:AL326))),0)</f>
        <v>51144.895833333299</v>
      </c>
      <c r="AN326" s="8">
        <f>IF($O326="Aktif",MAX(0,MIN($AE326,$AD326-SUM($AG326:AM326))),0)</f>
        <v>51144.895833333299</v>
      </c>
      <c r="AO326" s="8">
        <f>IF($O326="Aktif",MAX(0,MIN($AE326,$AD326-SUM($AG326:AN326))),0)</f>
        <v>51144.895833333299</v>
      </c>
      <c r="AP326" s="8">
        <f>IF($O326="Aktif",MAX(0,MIN($AE326,$AD326-SUM($AG326:AO326))),0)</f>
        <v>51144.895833333299</v>
      </c>
      <c r="AQ326" s="8">
        <f>IF($O326="Aktif",MAX(0,MIN($AE326,$AD326-SUM($AG326:AP326))),0)</f>
        <v>51144.895833333299</v>
      </c>
      <c r="AR326" s="8">
        <f>IF($O326="Aktif",MAX(0,MIN($AE326,$AD326-SUM($AG326:AQ326))),0)</f>
        <v>51144.895833333299</v>
      </c>
      <c r="AS326" s="8">
        <f>IF($O326="Aktif",MAX(0,MIN($AE326,$AD326-SUM($AG326:AR326))),0)</f>
        <v>51144.895833333299</v>
      </c>
      <c r="AT326" s="8">
        <f>IF($O326="Aktif",MAX(0,MIN($AE326,$AD326-SUM($AG326:AS326))),0)</f>
        <v>51144.895833333299</v>
      </c>
      <c r="AU326" s="8">
        <f>IF($O326="Aktif",MAX(0,MIN($AE326,$AD326-SUM($AG326:AT326))),0)</f>
        <v>51144.895833333299</v>
      </c>
      <c r="AV326" s="8">
        <f>IF($O326="Aktif",MAX(0,MIN($AE326,$AD326-SUM($AG326:AU326))),0)</f>
        <v>51144.895833333299</v>
      </c>
      <c r="AW326" s="8">
        <f t="shared" si="33"/>
        <v>818318.33333333267</v>
      </c>
      <c r="AX326" s="8">
        <f t="shared" si="34"/>
        <v>1125187.708333334</v>
      </c>
    </row>
    <row r="327" spans="1:50" ht="15" customHeight="1" x14ac:dyDescent="0.35">
      <c r="A327" s="102">
        <v>321</v>
      </c>
      <c r="B327" s="102" t="s">
        <v>586</v>
      </c>
      <c r="C327" s="103">
        <v>259</v>
      </c>
      <c r="D327" s="102" t="s">
        <v>184</v>
      </c>
      <c r="E327" s="102" t="s">
        <v>479</v>
      </c>
      <c r="F327" s="102" t="s">
        <v>947</v>
      </c>
      <c r="G327" s="102" t="s">
        <v>948</v>
      </c>
      <c r="H327" s="102" t="s">
        <v>949</v>
      </c>
      <c r="I327" s="102" t="s">
        <v>90</v>
      </c>
      <c r="J327" s="102"/>
      <c r="K327" s="102" t="s">
        <v>1226</v>
      </c>
      <c r="L327" s="104">
        <v>45976</v>
      </c>
      <c r="M327" s="102" t="s">
        <v>1227</v>
      </c>
      <c r="N327" s="102" t="s">
        <v>1227</v>
      </c>
      <c r="O327" s="102" t="s">
        <v>383</v>
      </c>
      <c r="P327" s="103">
        <v>1</v>
      </c>
      <c r="Q327" s="105">
        <v>3558558.55</v>
      </c>
      <c r="R327" s="103">
        <v>48</v>
      </c>
      <c r="S327" s="105">
        <v>74136.636458333305</v>
      </c>
      <c r="T327" s="105">
        <v>148273.27291666699</v>
      </c>
      <c r="U327" s="105">
        <v>74136.636458333305</v>
      </c>
      <c r="V327" s="105">
        <v>74136.636458333305</v>
      </c>
      <c r="W327" s="105">
        <v>74136.636458333305</v>
      </c>
      <c r="X327" s="105">
        <v>74136.636458333305</v>
      </c>
      <c r="Y327" s="105">
        <v>74136.636458333305</v>
      </c>
      <c r="Z327" s="105">
        <v>74136.636458333305</v>
      </c>
      <c r="AA327" s="105">
        <v>74136.636458333305</v>
      </c>
      <c r="AB327" s="105">
        <v>74136.636458333305</v>
      </c>
      <c r="AC327" s="8">
        <f t="shared" ref="AC327:AC390" si="35">T327+SUM(U327:AB327)</f>
        <v>741366.36458333349</v>
      </c>
      <c r="AD327" s="8">
        <f t="shared" ref="AD327:AD390" si="36">Q327-AC327</f>
        <v>2817192.1854166663</v>
      </c>
      <c r="AE327" s="8">
        <f t="shared" ref="AE327:AE390" si="37">IF(O327="Aktif",AB327,0)</f>
        <v>74136.636458333305</v>
      </c>
      <c r="AF327" s="106">
        <f t="shared" ref="AF327:AF390" si="38">IF(AE327&gt;0,MAX(0,AD327)/AE327,0)</f>
        <v>38.000000000000007</v>
      </c>
      <c r="AG327" s="8">
        <f t="shared" ref="AG327:AG390" si="39">IF($O327="Aktif",MAX(0,MIN($AE327,$AD327-0)),0)</f>
        <v>74136.636458333305</v>
      </c>
      <c r="AH327" s="8">
        <f>IF($O327="Aktif",MAX(0,MIN($AE327,$AD327-SUM($AG327:AG327))),0)</f>
        <v>74136.636458333305</v>
      </c>
      <c r="AI327" s="8">
        <f>IF($O327="Aktif",MAX(0,MIN($AE327,$AD327-SUM($AG327:AH327))),0)</f>
        <v>74136.636458333305</v>
      </c>
      <c r="AJ327" s="8">
        <f>IF($O327="Aktif",MAX(0,MIN($AE327,$AD327-SUM($AG327:AI327))),0)</f>
        <v>74136.636458333305</v>
      </c>
      <c r="AK327" s="8">
        <f>IF($O327="Aktif",MAX(0,MIN($AE327,$AD327-SUM($AG327:AJ327))),0)</f>
        <v>74136.636458333305</v>
      </c>
      <c r="AL327" s="8">
        <f>IF($O327="Aktif",MAX(0,MIN($AE327,$AD327-SUM($AG327:AK327))),0)</f>
        <v>74136.636458333305</v>
      </c>
      <c r="AM327" s="8">
        <f>IF($O327="Aktif",MAX(0,MIN($AE327,$AD327-SUM($AG327:AL327))),0)</f>
        <v>74136.636458333305</v>
      </c>
      <c r="AN327" s="8">
        <f>IF($O327="Aktif",MAX(0,MIN($AE327,$AD327-SUM($AG327:AM327))),0)</f>
        <v>74136.636458333305</v>
      </c>
      <c r="AO327" s="8">
        <f>IF($O327="Aktif",MAX(0,MIN($AE327,$AD327-SUM($AG327:AN327))),0)</f>
        <v>74136.636458333305</v>
      </c>
      <c r="AP327" s="8">
        <f>IF($O327="Aktif",MAX(0,MIN($AE327,$AD327-SUM($AG327:AO327))),0)</f>
        <v>74136.636458333305</v>
      </c>
      <c r="AQ327" s="8">
        <f>IF($O327="Aktif",MAX(0,MIN($AE327,$AD327-SUM($AG327:AP327))),0)</f>
        <v>74136.636458333305</v>
      </c>
      <c r="AR327" s="8">
        <f>IF($O327="Aktif",MAX(0,MIN($AE327,$AD327-SUM($AG327:AQ327))),0)</f>
        <v>74136.636458333305</v>
      </c>
      <c r="AS327" s="8">
        <f>IF($O327="Aktif",MAX(0,MIN($AE327,$AD327-SUM($AG327:AR327))),0)</f>
        <v>74136.636458333305</v>
      </c>
      <c r="AT327" s="8">
        <f>IF($O327="Aktif",MAX(0,MIN($AE327,$AD327-SUM($AG327:AS327))),0)</f>
        <v>74136.636458333305</v>
      </c>
      <c r="AU327" s="8">
        <f>IF($O327="Aktif",MAX(0,MIN($AE327,$AD327-SUM($AG327:AT327))),0)</f>
        <v>74136.636458333305</v>
      </c>
      <c r="AV327" s="8">
        <f>IF($O327="Aktif",MAX(0,MIN($AE327,$AD327-SUM($AG327:AU327))),0)</f>
        <v>74136.636458333305</v>
      </c>
      <c r="AW327" s="8">
        <f t="shared" ref="AW327:AW390" si="40">SUM(AG327:AV327)</f>
        <v>1186186.1833333331</v>
      </c>
      <c r="AX327" s="8">
        <f t="shared" ref="AX327:AX390" si="41">AD327-AW327</f>
        <v>1631006.0020833332</v>
      </c>
    </row>
    <row r="328" spans="1:50" ht="15" customHeight="1" x14ac:dyDescent="0.35">
      <c r="A328" s="102">
        <v>322</v>
      </c>
      <c r="B328" s="102" t="s">
        <v>586</v>
      </c>
      <c r="C328" s="103">
        <v>260</v>
      </c>
      <c r="D328" s="102" t="s">
        <v>184</v>
      </c>
      <c r="E328" s="102" t="s">
        <v>479</v>
      </c>
      <c r="F328" s="102" t="s">
        <v>947</v>
      </c>
      <c r="G328" s="102" t="s">
        <v>948</v>
      </c>
      <c r="H328" s="102" t="s">
        <v>949</v>
      </c>
      <c r="I328" s="102" t="s">
        <v>90</v>
      </c>
      <c r="J328" s="102"/>
      <c r="K328" s="102" t="s">
        <v>1228</v>
      </c>
      <c r="L328" s="104">
        <v>46006</v>
      </c>
      <c r="M328" s="102" t="s">
        <v>1229</v>
      </c>
      <c r="N328" s="102" t="s">
        <v>1229</v>
      </c>
      <c r="O328" s="102" t="s">
        <v>383</v>
      </c>
      <c r="P328" s="103">
        <v>1</v>
      </c>
      <c r="Q328" s="105">
        <v>4144144</v>
      </c>
      <c r="R328" s="103">
        <v>48</v>
      </c>
      <c r="S328" s="105">
        <v>86336.333333333299</v>
      </c>
      <c r="T328" s="105">
        <v>86336.333333333299</v>
      </c>
      <c r="U328" s="105">
        <v>86336.333333333299</v>
      </c>
      <c r="V328" s="105">
        <v>86336.333333333299</v>
      </c>
      <c r="W328" s="105">
        <v>86336.333333333299</v>
      </c>
      <c r="X328" s="105">
        <v>86336.333333333299</v>
      </c>
      <c r="Y328" s="105">
        <v>86336.333333333299</v>
      </c>
      <c r="Z328" s="105">
        <v>86336.333333333299</v>
      </c>
      <c r="AA328" s="105">
        <v>86336.333333333299</v>
      </c>
      <c r="AB328" s="105">
        <v>86336.333333333299</v>
      </c>
      <c r="AC328" s="8">
        <f t="shared" si="35"/>
        <v>777026.99999999965</v>
      </c>
      <c r="AD328" s="8">
        <f t="shared" si="36"/>
        <v>3367117.0000000005</v>
      </c>
      <c r="AE328" s="8">
        <f t="shared" si="37"/>
        <v>86336.333333333299</v>
      </c>
      <c r="AF328" s="106">
        <f t="shared" si="38"/>
        <v>39.000000000000021</v>
      </c>
      <c r="AG328" s="8">
        <f t="shared" si="39"/>
        <v>86336.333333333299</v>
      </c>
      <c r="AH328" s="8">
        <f>IF($O328="Aktif",MAX(0,MIN($AE328,$AD328-SUM($AG328:AG328))),0)</f>
        <v>86336.333333333299</v>
      </c>
      <c r="AI328" s="8">
        <f>IF($O328="Aktif",MAX(0,MIN($AE328,$AD328-SUM($AG328:AH328))),0)</f>
        <v>86336.333333333299</v>
      </c>
      <c r="AJ328" s="8">
        <f>IF($O328="Aktif",MAX(0,MIN($AE328,$AD328-SUM($AG328:AI328))),0)</f>
        <v>86336.333333333299</v>
      </c>
      <c r="AK328" s="8">
        <f>IF($O328="Aktif",MAX(0,MIN($AE328,$AD328-SUM($AG328:AJ328))),0)</f>
        <v>86336.333333333299</v>
      </c>
      <c r="AL328" s="8">
        <f>IF($O328="Aktif",MAX(0,MIN($AE328,$AD328-SUM($AG328:AK328))),0)</f>
        <v>86336.333333333299</v>
      </c>
      <c r="AM328" s="8">
        <f>IF($O328="Aktif",MAX(0,MIN($AE328,$AD328-SUM($AG328:AL328))),0)</f>
        <v>86336.333333333299</v>
      </c>
      <c r="AN328" s="8">
        <f>IF($O328="Aktif",MAX(0,MIN($AE328,$AD328-SUM($AG328:AM328))),0)</f>
        <v>86336.333333333299</v>
      </c>
      <c r="AO328" s="8">
        <f>IF($O328="Aktif",MAX(0,MIN($AE328,$AD328-SUM($AG328:AN328))),0)</f>
        <v>86336.333333333299</v>
      </c>
      <c r="AP328" s="8">
        <f>IF($O328="Aktif",MAX(0,MIN($AE328,$AD328-SUM($AG328:AO328))),0)</f>
        <v>86336.333333333299</v>
      </c>
      <c r="AQ328" s="8">
        <f>IF($O328="Aktif",MAX(0,MIN($AE328,$AD328-SUM($AG328:AP328))),0)</f>
        <v>86336.333333333299</v>
      </c>
      <c r="AR328" s="8">
        <f>IF($O328="Aktif",MAX(0,MIN($AE328,$AD328-SUM($AG328:AQ328))),0)</f>
        <v>86336.333333333299</v>
      </c>
      <c r="AS328" s="8">
        <f>IF($O328="Aktif",MAX(0,MIN($AE328,$AD328-SUM($AG328:AR328))),0)</f>
        <v>86336.333333333299</v>
      </c>
      <c r="AT328" s="8">
        <f>IF($O328="Aktif",MAX(0,MIN($AE328,$AD328-SUM($AG328:AS328))),0)</f>
        <v>86336.333333333299</v>
      </c>
      <c r="AU328" s="8">
        <f>IF($O328="Aktif",MAX(0,MIN($AE328,$AD328-SUM($AG328:AT328))),0)</f>
        <v>86336.333333333299</v>
      </c>
      <c r="AV328" s="8">
        <f>IF($O328="Aktif",MAX(0,MIN($AE328,$AD328-SUM($AG328:AU328))),0)</f>
        <v>86336.333333333299</v>
      </c>
      <c r="AW328" s="8">
        <f t="shared" si="40"/>
        <v>1381381.3333333326</v>
      </c>
      <c r="AX328" s="8">
        <f t="shared" si="41"/>
        <v>1985735.6666666679</v>
      </c>
    </row>
    <row r="329" spans="1:50" ht="15" customHeight="1" x14ac:dyDescent="0.35">
      <c r="A329" s="102">
        <v>323</v>
      </c>
      <c r="B329" s="102" t="s">
        <v>586</v>
      </c>
      <c r="C329" s="103">
        <v>261</v>
      </c>
      <c r="D329" s="102" t="s">
        <v>184</v>
      </c>
      <c r="E329" s="102" t="s">
        <v>479</v>
      </c>
      <c r="F329" s="102" t="s">
        <v>947</v>
      </c>
      <c r="G329" s="102" t="s">
        <v>948</v>
      </c>
      <c r="H329" s="102" t="s">
        <v>949</v>
      </c>
      <c r="I329" s="102" t="s">
        <v>90</v>
      </c>
      <c r="J329" s="102"/>
      <c r="K329" s="102" t="s">
        <v>1230</v>
      </c>
      <c r="L329" s="104">
        <v>45997</v>
      </c>
      <c r="M329" s="102" t="s">
        <v>1231</v>
      </c>
      <c r="N329" s="102" t="s">
        <v>1231</v>
      </c>
      <c r="O329" s="102" t="s">
        <v>383</v>
      </c>
      <c r="P329" s="103">
        <v>1</v>
      </c>
      <c r="Q329" s="105">
        <v>7117117.1200000001</v>
      </c>
      <c r="R329" s="103">
        <v>48</v>
      </c>
      <c r="S329" s="105">
        <v>148273.273333333</v>
      </c>
      <c r="T329" s="105">
        <v>148273.273333333</v>
      </c>
      <c r="U329" s="105">
        <v>148273.273333333</v>
      </c>
      <c r="V329" s="105">
        <v>148273.273333333</v>
      </c>
      <c r="W329" s="105">
        <v>148273.273333333</v>
      </c>
      <c r="X329" s="105">
        <v>148273.273333333</v>
      </c>
      <c r="Y329" s="105">
        <v>148273.273333333</v>
      </c>
      <c r="Z329" s="105">
        <v>148273.273333333</v>
      </c>
      <c r="AA329" s="105">
        <v>148273.273333333</v>
      </c>
      <c r="AB329" s="105">
        <v>148273.273333333</v>
      </c>
      <c r="AC329" s="8">
        <f t="shared" si="35"/>
        <v>1334459.4599999969</v>
      </c>
      <c r="AD329" s="8">
        <f t="shared" si="36"/>
        <v>5782657.6600000029</v>
      </c>
      <c r="AE329" s="8">
        <f t="shared" si="37"/>
        <v>148273.273333333</v>
      </c>
      <c r="AF329" s="106">
        <f t="shared" si="38"/>
        <v>39.000000000000107</v>
      </c>
      <c r="AG329" s="8">
        <f t="shared" si="39"/>
        <v>148273.273333333</v>
      </c>
      <c r="AH329" s="8">
        <f>IF($O329="Aktif",MAX(0,MIN($AE329,$AD329-SUM($AG329:AG329))),0)</f>
        <v>148273.273333333</v>
      </c>
      <c r="AI329" s="8">
        <f>IF($O329="Aktif",MAX(0,MIN($AE329,$AD329-SUM($AG329:AH329))),0)</f>
        <v>148273.273333333</v>
      </c>
      <c r="AJ329" s="8">
        <f>IF($O329="Aktif",MAX(0,MIN($AE329,$AD329-SUM($AG329:AI329))),0)</f>
        <v>148273.273333333</v>
      </c>
      <c r="AK329" s="8">
        <f>IF($O329="Aktif",MAX(0,MIN($AE329,$AD329-SUM($AG329:AJ329))),0)</f>
        <v>148273.273333333</v>
      </c>
      <c r="AL329" s="8">
        <f>IF($O329="Aktif",MAX(0,MIN($AE329,$AD329-SUM($AG329:AK329))),0)</f>
        <v>148273.273333333</v>
      </c>
      <c r="AM329" s="8">
        <f>IF($O329="Aktif",MAX(0,MIN($AE329,$AD329-SUM($AG329:AL329))),0)</f>
        <v>148273.273333333</v>
      </c>
      <c r="AN329" s="8">
        <f>IF($O329="Aktif",MAX(0,MIN($AE329,$AD329-SUM($AG329:AM329))),0)</f>
        <v>148273.273333333</v>
      </c>
      <c r="AO329" s="8">
        <f>IF($O329="Aktif",MAX(0,MIN($AE329,$AD329-SUM($AG329:AN329))),0)</f>
        <v>148273.273333333</v>
      </c>
      <c r="AP329" s="8">
        <f>IF($O329="Aktif",MAX(0,MIN($AE329,$AD329-SUM($AG329:AO329))),0)</f>
        <v>148273.273333333</v>
      </c>
      <c r="AQ329" s="8">
        <f>IF($O329="Aktif",MAX(0,MIN($AE329,$AD329-SUM($AG329:AP329))),0)</f>
        <v>148273.273333333</v>
      </c>
      <c r="AR329" s="8">
        <f>IF($O329="Aktif",MAX(0,MIN($AE329,$AD329-SUM($AG329:AQ329))),0)</f>
        <v>148273.273333333</v>
      </c>
      <c r="AS329" s="8">
        <f>IF($O329="Aktif",MAX(0,MIN($AE329,$AD329-SUM($AG329:AR329))),0)</f>
        <v>148273.273333333</v>
      </c>
      <c r="AT329" s="8">
        <f>IF($O329="Aktif",MAX(0,MIN($AE329,$AD329-SUM($AG329:AS329))),0)</f>
        <v>148273.273333333</v>
      </c>
      <c r="AU329" s="8">
        <f>IF($O329="Aktif",MAX(0,MIN($AE329,$AD329-SUM($AG329:AT329))),0)</f>
        <v>148273.273333333</v>
      </c>
      <c r="AV329" s="8">
        <f>IF($O329="Aktif",MAX(0,MIN($AE329,$AD329-SUM($AG329:AU329))),0)</f>
        <v>148273.273333333</v>
      </c>
      <c r="AW329" s="8">
        <f t="shared" si="40"/>
        <v>2372372.3733333279</v>
      </c>
      <c r="AX329" s="8">
        <f t="shared" si="41"/>
        <v>3410285.286666675</v>
      </c>
    </row>
    <row r="330" spans="1:50" ht="15" customHeight="1" x14ac:dyDescent="0.35">
      <c r="A330" s="102">
        <v>324</v>
      </c>
      <c r="B330" s="102" t="s">
        <v>586</v>
      </c>
      <c r="C330" s="103">
        <v>262</v>
      </c>
      <c r="D330" s="102" t="s">
        <v>184</v>
      </c>
      <c r="E330" s="102" t="s">
        <v>479</v>
      </c>
      <c r="F330" s="102" t="s">
        <v>947</v>
      </c>
      <c r="G330" s="102" t="s">
        <v>948</v>
      </c>
      <c r="H330" s="102" t="s">
        <v>949</v>
      </c>
      <c r="I330" s="102" t="s">
        <v>90</v>
      </c>
      <c r="J330" s="102"/>
      <c r="K330" s="102" t="s">
        <v>1232</v>
      </c>
      <c r="L330" s="104">
        <v>46035</v>
      </c>
      <c r="M330" s="102" t="s">
        <v>1233</v>
      </c>
      <c r="N330" s="102" t="s">
        <v>1233</v>
      </c>
      <c r="O330" s="102" t="s">
        <v>383</v>
      </c>
      <c r="P330" s="103">
        <v>1</v>
      </c>
      <c r="Q330" s="105">
        <v>2833333</v>
      </c>
      <c r="R330" s="103">
        <v>48</v>
      </c>
      <c r="S330" s="105">
        <v>59027.770833333299</v>
      </c>
      <c r="T330" s="105">
        <v>0</v>
      </c>
      <c r="U330" s="105">
        <v>59027.770833333299</v>
      </c>
      <c r="V330" s="105">
        <v>59027.770833333299</v>
      </c>
      <c r="W330" s="105">
        <v>59027.770833333299</v>
      </c>
      <c r="X330" s="105">
        <v>59027.770833333299</v>
      </c>
      <c r="Y330" s="105">
        <v>59027.770833333299</v>
      </c>
      <c r="Z330" s="105">
        <v>59027.770833333299</v>
      </c>
      <c r="AA330" s="105">
        <v>59027.770833333299</v>
      </c>
      <c r="AB330" s="105">
        <v>59027.770833333299</v>
      </c>
      <c r="AC330" s="8">
        <f t="shared" si="35"/>
        <v>472222.16666666645</v>
      </c>
      <c r="AD330" s="8">
        <f t="shared" si="36"/>
        <v>2361110.8333333335</v>
      </c>
      <c r="AE330" s="8">
        <f t="shared" si="37"/>
        <v>59027.770833333299</v>
      </c>
      <c r="AF330" s="106">
        <f t="shared" si="38"/>
        <v>40.000000000000028</v>
      </c>
      <c r="AG330" s="8">
        <f t="shared" si="39"/>
        <v>59027.770833333299</v>
      </c>
      <c r="AH330" s="8">
        <f>IF($O330="Aktif",MAX(0,MIN($AE330,$AD330-SUM($AG330:AG330))),0)</f>
        <v>59027.770833333299</v>
      </c>
      <c r="AI330" s="8">
        <f>IF($O330="Aktif",MAX(0,MIN($AE330,$AD330-SUM($AG330:AH330))),0)</f>
        <v>59027.770833333299</v>
      </c>
      <c r="AJ330" s="8">
        <f>IF($O330="Aktif",MAX(0,MIN($AE330,$AD330-SUM($AG330:AI330))),0)</f>
        <v>59027.770833333299</v>
      </c>
      <c r="AK330" s="8">
        <f>IF($O330="Aktif",MAX(0,MIN($AE330,$AD330-SUM($AG330:AJ330))),0)</f>
        <v>59027.770833333299</v>
      </c>
      <c r="AL330" s="8">
        <f>IF($O330="Aktif",MAX(0,MIN($AE330,$AD330-SUM($AG330:AK330))),0)</f>
        <v>59027.770833333299</v>
      </c>
      <c r="AM330" s="8">
        <f>IF($O330="Aktif",MAX(0,MIN($AE330,$AD330-SUM($AG330:AL330))),0)</f>
        <v>59027.770833333299</v>
      </c>
      <c r="AN330" s="8">
        <f>IF($O330="Aktif",MAX(0,MIN($AE330,$AD330-SUM($AG330:AM330))),0)</f>
        <v>59027.770833333299</v>
      </c>
      <c r="AO330" s="8">
        <f>IF($O330="Aktif",MAX(0,MIN($AE330,$AD330-SUM($AG330:AN330))),0)</f>
        <v>59027.770833333299</v>
      </c>
      <c r="AP330" s="8">
        <f>IF($O330="Aktif",MAX(0,MIN($AE330,$AD330-SUM($AG330:AO330))),0)</f>
        <v>59027.770833333299</v>
      </c>
      <c r="AQ330" s="8">
        <f>IF($O330="Aktif",MAX(0,MIN($AE330,$AD330-SUM($AG330:AP330))),0)</f>
        <v>59027.770833333299</v>
      </c>
      <c r="AR330" s="8">
        <f>IF($O330="Aktif",MAX(0,MIN($AE330,$AD330-SUM($AG330:AQ330))),0)</f>
        <v>59027.770833333299</v>
      </c>
      <c r="AS330" s="8">
        <f>IF($O330="Aktif",MAX(0,MIN($AE330,$AD330-SUM($AG330:AR330))),0)</f>
        <v>59027.770833333299</v>
      </c>
      <c r="AT330" s="8">
        <f>IF($O330="Aktif",MAX(0,MIN($AE330,$AD330-SUM($AG330:AS330))),0)</f>
        <v>59027.770833333299</v>
      </c>
      <c r="AU330" s="8">
        <f>IF($O330="Aktif",MAX(0,MIN($AE330,$AD330-SUM($AG330:AT330))),0)</f>
        <v>59027.770833333299</v>
      </c>
      <c r="AV330" s="8">
        <f>IF($O330="Aktif",MAX(0,MIN($AE330,$AD330-SUM($AG330:AU330))),0)</f>
        <v>59027.770833333299</v>
      </c>
      <c r="AW330" s="8">
        <f t="shared" si="40"/>
        <v>944444.33333333256</v>
      </c>
      <c r="AX330" s="8">
        <f t="shared" si="41"/>
        <v>1416666.5000000009</v>
      </c>
    </row>
    <row r="331" spans="1:50" ht="15" customHeight="1" x14ac:dyDescent="0.35">
      <c r="A331" s="102">
        <v>325</v>
      </c>
      <c r="B331" s="102" t="s">
        <v>586</v>
      </c>
      <c r="C331" s="103">
        <v>263</v>
      </c>
      <c r="D331" s="102" t="s">
        <v>184</v>
      </c>
      <c r="E331" s="102" t="s">
        <v>479</v>
      </c>
      <c r="F331" s="102" t="s">
        <v>947</v>
      </c>
      <c r="G331" s="102" t="s">
        <v>948</v>
      </c>
      <c r="H331" s="102" t="s">
        <v>949</v>
      </c>
      <c r="I331" s="102" t="s">
        <v>90</v>
      </c>
      <c r="J331" s="102"/>
      <c r="K331" s="102" t="s">
        <v>1234</v>
      </c>
      <c r="L331" s="104">
        <v>46035</v>
      </c>
      <c r="M331" s="102" t="s">
        <v>1235</v>
      </c>
      <c r="N331" s="102" t="s">
        <v>1235</v>
      </c>
      <c r="O331" s="102" t="s">
        <v>383</v>
      </c>
      <c r="P331" s="103">
        <v>1</v>
      </c>
      <c r="Q331" s="105">
        <v>2833333</v>
      </c>
      <c r="R331" s="103">
        <v>48</v>
      </c>
      <c r="S331" s="105">
        <v>59027.770833333299</v>
      </c>
      <c r="T331" s="105">
        <v>0</v>
      </c>
      <c r="U331" s="105">
        <v>59027.770833333299</v>
      </c>
      <c r="V331" s="105">
        <v>59027.770833333299</v>
      </c>
      <c r="W331" s="105">
        <v>59027.770833333299</v>
      </c>
      <c r="X331" s="105">
        <v>59027.770833333299</v>
      </c>
      <c r="Y331" s="105">
        <v>59027.770833333299</v>
      </c>
      <c r="Z331" s="105">
        <v>59027.770833333299</v>
      </c>
      <c r="AA331" s="105">
        <v>59027.770833333299</v>
      </c>
      <c r="AB331" s="105">
        <v>59027.770833333299</v>
      </c>
      <c r="AC331" s="8">
        <f t="shared" si="35"/>
        <v>472222.16666666645</v>
      </c>
      <c r="AD331" s="8">
        <f t="shared" si="36"/>
        <v>2361110.8333333335</v>
      </c>
      <c r="AE331" s="8">
        <f t="shared" si="37"/>
        <v>59027.770833333299</v>
      </c>
      <c r="AF331" s="106">
        <f t="shared" si="38"/>
        <v>40.000000000000028</v>
      </c>
      <c r="AG331" s="8">
        <f t="shared" si="39"/>
        <v>59027.770833333299</v>
      </c>
      <c r="AH331" s="8">
        <f>IF($O331="Aktif",MAX(0,MIN($AE331,$AD331-SUM($AG331:AG331))),0)</f>
        <v>59027.770833333299</v>
      </c>
      <c r="AI331" s="8">
        <f>IF($O331="Aktif",MAX(0,MIN($AE331,$AD331-SUM($AG331:AH331))),0)</f>
        <v>59027.770833333299</v>
      </c>
      <c r="AJ331" s="8">
        <f>IF($O331="Aktif",MAX(0,MIN($AE331,$AD331-SUM($AG331:AI331))),0)</f>
        <v>59027.770833333299</v>
      </c>
      <c r="AK331" s="8">
        <f>IF($O331="Aktif",MAX(0,MIN($AE331,$AD331-SUM($AG331:AJ331))),0)</f>
        <v>59027.770833333299</v>
      </c>
      <c r="AL331" s="8">
        <f>IF($O331="Aktif",MAX(0,MIN($AE331,$AD331-SUM($AG331:AK331))),0)</f>
        <v>59027.770833333299</v>
      </c>
      <c r="AM331" s="8">
        <f>IF($O331="Aktif",MAX(0,MIN($AE331,$AD331-SUM($AG331:AL331))),0)</f>
        <v>59027.770833333299</v>
      </c>
      <c r="AN331" s="8">
        <f>IF($O331="Aktif",MAX(0,MIN($AE331,$AD331-SUM($AG331:AM331))),0)</f>
        <v>59027.770833333299</v>
      </c>
      <c r="AO331" s="8">
        <f>IF($O331="Aktif",MAX(0,MIN($AE331,$AD331-SUM($AG331:AN331))),0)</f>
        <v>59027.770833333299</v>
      </c>
      <c r="AP331" s="8">
        <f>IF($O331="Aktif",MAX(0,MIN($AE331,$AD331-SUM($AG331:AO331))),0)</f>
        <v>59027.770833333299</v>
      </c>
      <c r="AQ331" s="8">
        <f>IF($O331="Aktif",MAX(0,MIN($AE331,$AD331-SUM($AG331:AP331))),0)</f>
        <v>59027.770833333299</v>
      </c>
      <c r="AR331" s="8">
        <f>IF($O331="Aktif",MAX(0,MIN($AE331,$AD331-SUM($AG331:AQ331))),0)</f>
        <v>59027.770833333299</v>
      </c>
      <c r="AS331" s="8">
        <f>IF($O331="Aktif",MAX(0,MIN($AE331,$AD331-SUM($AG331:AR331))),0)</f>
        <v>59027.770833333299</v>
      </c>
      <c r="AT331" s="8">
        <f>IF($O331="Aktif",MAX(0,MIN($AE331,$AD331-SUM($AG331:AS331))),0)</f>
        <v>59027.770833333299</v>
      </c>
      <c r="AU331" s="8">
        <f>IF($O331="Aktif",MAX(0,MIN($AE331,$AD331-SUM($AG331:AT331))),0)</f>
        <v>59027.770833333299</v>
      </c>
      <c r="AV331" s="8">
        <f>IF($O331="Aktif",MAX(0,MIN($AE331,$AD331-SUM($AG331:AU331))),0)</f>
        <v>59027.770833333299</v>
      </c>
      <c r="AW331" s="8">
        <f t="shared" si="40"/>
        <v>944444.33333333256</v>
      </c>
      <c r="AX331" s="8">
        <f t="shared" si="41"/>
        <v>1416666.5000000009</v>
      </c>
    </row>
    <row r="332" spans="1:50" ht="15" customHeight="1" x14ac:dyDescent="0.35">
      <c r="A332" s="102">
        <v>326</v>
      </c>
      <c r="B332" s="102" t="s">
        <v>586</v>
      </c>
      <c r="C332" s="103">
        <v>264</v>
      </c>
      <c r="D332" s="102" t="s">
        <v>184</v>
      </c>
      <c r="E332" s="102" t="s">
        <v>479</v>
      </c>
      <c r="F332" s="102" t="s">
        <v>947</v>
      </c>
      <c r="G332" s="102" t="s">
        <v>948</v>
      </c>
      <c r="H332" s="102" t="s">
        <v>949</v>
      </c>
      <c r="I332" s="102" t="s">
        <v>90</v>
      </c>
      <c r="J332" s="102"/>
      <c r="K332" s="102" t="s">
        <v>1236</v>
      </c>
      <c r="L332" s="104">
        <v>46035</v>
      </c>
      <c r="M332" s="102" t="s">
        <v>1237</v>
      </c>
      <c r="N332" s="102" t="s">
        <v>1237</v>
      </c>
      <c r="O332" s="102" t="s">
        <v>383</v>
      </c>
      <c r="P332" s="103">
        <v>1</v>
      </c>
      <c r="Q332" s="105">
        <v>2833333</v>
      </c>
      <c r="R332" s="103">
        <v>48</v>
      </c>
      <c r="S332" s="105">
        <v>59027.770833333299</v>
      </c>
      <c r="T332" s="105">
        <v>0</v>
      </c>
      <c r="U332" s="105">
        <v>59027.770833333299</v>
      </c>
      <c r="V332" s="105">
        <v>59027.770833333299</v>
      </c>
      <c r="W332" s="105">
        <v>59027.770833333299</v>
      </c>
      <c r="X332" s="105">
        <v>59027.770833333299</v>
      </c>
      <c r="Y332" s="105">
        <v>59027.770833333299</v>
      </c>
      <c r="Z332" s="105">
        <v>59027.770833333299</v>
      </c>
      <c r="AA332" s="105">
        <v>59027.770833333299</v>
      </c>
      <c r="AB332" s="105">
        <v>59027.770833333299</v>
      </c>
      <c r="AC332" s="8">
        <f t="shared" si="35"/>
        <v>472222.16666666645</v>
      </c>
      <c r="AD332" s="8">
        <f t="shared" si="36"/>
        <v>2361110.8333333335</v>
      </c>
      <c r="AE332" s="8">
        <f t="shared" si="37"/>
        <v>59027.770833333299</v>
      </c>
      <c r="AF332" s="106">
        <f t="shared" si="38"/>
        <v>40.000000000000028</v>
      </c>
      <c r="AG332" s="8">
        <f t="shared" si="39"/>
        <v>59027.770833333299</v>
      </c>
      <c r="AH332" s="8">
        <f>IF($O332="Aktif",MAX(0,MIN($AE332,$AD332-SUM($AG332:AG332))),0)</f>
        <v>59027.770833333299</v>
      </c>
      <c r="AI332" s="8">
        <f>IF($O332="Aktif",MAX(0,MIN($AE332,$AD332-SUM($AG332:AH332))),0)</f>
        <v>59027.770833333299</v>
      </c>
      <c r="AJ332" s="8">
        <f>IF($O332="Aktif",MAX(0,MIN($AE332,$AD332-SUM($AG332:AI332))),0)</f>
        <v>59027.770833333299</v>
      </c>
      <c r="AK332" s="8">
        <f>IF($O332="Aktif",MAX(0,MIN($AE332,$AD332-SUM($AG332:AJ332))),0)</f>
        <v>59027.770833333299</v>
      </c>
      <c r="AL332" s="8">
        <f>IF($O332="Aktif",MAX(0,MIN($AE332,$AD332-SUM($AG332:AK332))),0)</f>
        <v>59027.770833333299</v>
      </c>
      <c r="AM332" s="8">
        <f>IF($O332="Aktif",MAX(0,MIN($AE332,$AD332-SUM($AG332:AL332))),0)</f>
        <v>59027.770833333299</v>
      </c>
      <c r="AN332" s="8">
        <f>IF($O332="Aktif",MAX(0,MIN($AE332,$AD332-SUM($AG332:AM332))),0)</f>
        <v>59027.770833333299</v>
      </c>
      <c r="AO332" s="8">
        <f>IF($O332="Aktif",MAX(0,MIN($AE332,$AD332-SUM($AG332:AN332))),0)</f>
        <v>59027.770833333299</v>
      </c>
      <c r="AP332" s="8">
        <f>IF($O332="Aktif",MAX(0,MIN($AE332,$AD332-SUM($AG332:AO332))),0)</f>
        <v>59027.770833333299</v>
      </c>
      <c r="AQ332" s="8">
        <f>IF($O332="Aktif",MAX(0,MIN($AE332,$AD332-SUM($AG332:AP332))),0)</f>
        <v>59027.770833333299</v>
      </c>
      <c r="AR332" s="8">
        <f>IF($O332="Aktif",MAX(0,MIN($AE332,$AD332-SUM($AG332:AQ332))),0)</f>
        <v>59027.770833333299</v>
      </c>
      <c r="AS332" s="8">
        <f>IF($O332="Aktif",MAX(0,MIN($AE332,$AD332-SUM($AG332:AR332))),0)</f>
        <v>59027.770833333299</v>
      </c>
      <c r="AT332" s="8">
        <f>IF($O332="Aktif",MAX(0,MIN($AE332,$AD332-SUM($AG332:AS332))),0)</f>
        <v>59027.770833333299</v>
      </c>
      <c r="AU332" s="8">
        <f>IF($O332="Aktif",MAX(0,MIN($AE332,$AD332-SUM($AG332:AT332))),0)</f>
        <v>59027.770833333299</v>
      </c>
      <c r="AV332" s="8">
        <f>IF($O332="Aktif",MAX(0,MIN($AE332,$AD332-SUM($AG332:AU332))),0)</f>
        <v>59027.770833333299</v>
      </c>
      <c r="AW332" s="8">
        <f t="shared" si="40"/>
        <v>944444.33333333256</v>
      </c>
      <c r="AX332" s="8">
        <f t="shared" si="41"/>
        <v>1416666.5000000009</v>
      </c>
    </row>
    <row r="333" spans="1:50" ht="15" customHeight="1" x14ac:dyDescent="0.35">
      <c r="A333" s="102">
        <v>327</v>
      </c>
      <c r="B333" s="102" t="s">
        <v>586</v>
      </c>
      <c r="C333" s="103">
        <v>265</v>
      </c>
      <c r="D333" s="102" t="s">
        <v>184</v>
      </c>
      <c r="E333" s="102" t="s">
        <v>479</v>
      </c>
      <c r="F333" s="102" t="s">
        <v>947</v>
      </c>
      <c r="G333" s="102" t="s">
        <v>948</v>
      </c>
      <c r="H333" s="102" t="s">
        <v>949</v>
      </c>
      <c r="I333" s="102" t="s">
        <v>90</v>
      </c>
      <c r="J333" s="102"/>
      <c r="K333" s="102" t="s">
        <v>1238</v>
      </c>
      <c r="L333" s="104">
        <v>46030</v>
      </c>
      <c r="M333" s="102" t="s">
        <v>1239</v>
      </c>
      <c r="N333" s="102" t="s">
        <v>1239</v>
      </c>
      <c r="O333" s="102" t="s">
        <v>383</v>
      </c>
      <c r="P333" s="103">
        <v>1</v>
      </c>
      <c r="Q333" s="105">
        <v>6966667</v>
      </c>
      <c r="R333" s="103">
        <v>48</v>
      </c>
      <c r="S333" s="105">
        <v>145138.89583333299</v>
      </c>
      <c r="T333" s="105">
        <v>0</v>
      </c>
      <c r="U333" s="105">
        <v>145138.89583333299</v>
      </c>
      <c r="V333" s="105">
        <v>145138.89583333299</v>
      </c>
      <c r="W333" s="105">
        <v>145138.89583333299</v>
      </c>
      <c r="X333" s="105">
        <v>145138.89583333299</v>
      </c>
      <c r="Y333" s="105">
        <v>145138.89583333299</v>
      </c>
      <c r="Z333" s="105">
        <v>145138.89583333299</v>
      </c>
      <c r="AA333" s="105">
        <v>145138.89583333299</v>
      </c>
      <c r="AB333" s="105">
        <v>145138.89583333299</v>
      </c>
      <c r="AC333" s="8">
        <f t="shared" si="35"/>
        <v>1161111.166666664</v>
      </c>
      <c r="AD333" s="8">
        <f t="shared" si="36"/>
        <v>5805555.8333333358</v>
      </c>
      <c r="AE333" s="8">
        <f t="shared" si="37"/>
        <v>145138.89583333299</v>
      </c>
      <c r="AF333" s="106">
        <f t="shared" si="38"/>
        <v>40.000000000000114</v>
      </c>
      <c r="AG333" s="8">
        <f t="shared" si="39"/>
        <v>145138.89583333299</v>
      </c>
      <c r="AH333" s="8">
        <f>IF($O333="Aktif",MAX(0,MIN($AE333,$AD333-SUM($AG333:AG333))),0)</f>
        <v>145138.89583333299</v>
      </c>
      <c r="AI333" s="8">
        <f>IF($O333="Aktif",MAX(0,MIN($AE333,$AD333-SUM($AG333:AH333))),0)</f>
        <v>145138.89583333299</v>
      </c>
      <c r="AJ333" s="8">
        <f>IF($O333="Aktif",MAX(0,MIN($AE333,$AD333-SUM($AG333:AI333))),0)</f>
        <v>145138.89583333299</v>
      </c>
      <c r="AK333" s="8">
        <f>IF($O333="Aktif",MAX(0,MIN($AE333,$AD333-SUM($AG333:AJ333))),0)</f>
        <v>145138.89583333299</v>
      </c>
      <c r="AL333" s="8">
        <f>IF($O333="Aktif",MAX(0,MIN($AE333,$AD333-SUM($AG333:AK333))),0)</f>
        <v>145138.89583333299</v>
      </c>
      <c r="AM333" s="8">
        <f>IF($O333="Aktif",MAX(0,MIN($AE333,$AD333-SUM($AG333:AL333))),0)</f>
        <v>145138.89583333299</v>
      </c>
      <c r="AN333" s="8">
        <f>IF($O333="Aktif",MAX(0,MIN($AE333,$AD333-SUM($AG333:AM333))),0)</f>
        <v>145138.89583333299</v>
      </c>
      <c r="AO333" s="8">
        <f>IF($O333="Aktif",MAX(0,MIN($AE333,$AD333-SUM($AG333:AN333))),0)</f>
        <v>145138.89583333299</v>
      </c>
      <c r="AP333" s="8">
        <f>IF($O333="Aktif",MAX(0,MIN($AE333,$AD333-SUM($AG333:AO333))),0)</f>
        <v>145138.89583333299</v>
      </c>
      <c r="AQ333" s="8">
        <f>IF($O333="Aktif",MAX(0,MIN($AE333,$AD333-SUM($AG333:AP333))),0)</f>
        <v>145138.89583333299</v>
      </c>
      <c r="AR333" s="8">
        <f>IF($O333="Aktif",MAX(0,MIN($AE333,$AD333-SUM($AG333:AQ333))),0)</f>
        <v>145138.89583333299</v>
      </c>
      <c r="AS333" s="8">
        <f>IF($O333="Aktif",MAX(0,MIN($AE333,$AD333-SUM($AG333:AR333))),0)</f>
        <v>145138.89583333299</v>
      </c>
      <c r="AT333" s="8">
        <f>IF($O333="Aktif",MAX(0,MIN($AE333,$AD333-SUM($AG333:AS333))),0)</f>
        <v>145138.89583333299</v>
      </c>
      <c r="AU333" s="8">
        <f>IF($O333="Aktif",MAX(0,MIN($AE333,$AD333-SUM($AG333:AT333))),0)</f>
        <v>145138.89583333299</v>
      </c>
      <c r="AV333" s="8">
        <f>IF($O333="Aktif",MAX(0,MIN($AE333,$AD333-SUM($AG333:AU333))),0)</f>
        <v>145138.89583333299</v>
      </c>
      <c r="AW333" s="8">
        <f t="shared" si="40"/>
        <v>2322222.3333333279</v>
      </c>
      <c r="AX333" s="8">
        <f t="shared" si="41"/>
        <v>3483333.5000000079</v>
      </c>
    </row>
    <row r="334" spans="1:50" ht="15" customHeight="1" x14ac:dyDescent="0.35">
      <c r="A334" s="102">
        <v>328</v>
      </c>
      <c r="B334" s="102" t="s">
        <v>586</v>
      </c>
      <c r="C334" s="103">
        <v>266</v>
      </c>
      <c r="D334" s="102" t="s">
        <v>184</v>
      </c>
      <c r="E334" s="102" t="s">
        <v>479</v>
      </c>
      <c r="F334" s="102" t="s">
        <v>947</v>
      </c>
      <c r="G334" s="102" t="s">
        <v>948</v>
      </c>
      <c r="H334" s="102" t="s">
        <v>949</v>
      </c>
      <c r="I334" s="102" t="s">
        <v>90</v>
      </c>
      <c r="J334" s="102"/>
      <c r="K334" s="102" t="s">
        <v>1240</v>
      </c>
      <c r="L334" s="104">
        <v>46030</v>
      </c>
      <c r="M334" s="102" t="s">
        <v>1241</v>
      </c>
      <c r="N334" s="102" t="s">
        <v>1241</v>
      </c>
      <c r="O334" s="102" t="s">
        <v>383</v>
      </c>
      <c r="P334" s="103">
        <v>1</v>
      </c>
      <c r="Q334" s="105">
        <v>3225225</v>
      </c>
      <c r="R334" s="103">
        <v>48</v>
      </c>
      <c r="S334" s="105">
        <v>67192.1875</v>
      </c>
      <c r="T334" s="105">
        <v>0</v>
      </c>
      <c r="U334" s="105">
        <v>67192.1875</v>
      </c>
      <c r="V334" s="105">
        <v>67192.1875</v>
      </c>
      <c r="W334" s="105">
        <v>67192.1875</v>
      </c>
      <c r="X334" s="105">
        <v>67192.1875</v>
      </c>
      <c r="Y334" s="105">
        <v>67192.1875</v>
      </c>
      <c r="Z334" s="105">
        <v>67192.1875</v>
      </c>
      <c r="AA334" s="105">
        <v>67192.1875</v>
      </c>
      <c r="AB334" s="105">
        <v>67192.1875</v>
      </c>
      <c r="AC334" s="8">
        <f t="shared" si="35"/>
        <v>537537.5</v>
      </c>
      <c r="AD334" s="8">
        <f t="shared" si="36"/>
        <v>2687687.5</v>
      </c>
      <c r="AE334" s="8">
        <f t="shared" si="37"/>
        <v>67192.1875</v>
      </c>
      <c r="AF334" s="106">
        <f t="shared" si="38"/>
        <v>40</v>
      </c>
      <c r="AG334" s="8">
        <f t="shared" si="39"/>
        <v>67192.1875</v>
      </c>
      <c r="AH334" s="8">
        <f>IF($O334="Aktif",MAX(0,MIN($AE334,$AD334-SUM($AG334:AG334))),0)</f>
        <v>67192.1875</v>
      </c>
      <c r="AI334" s="8">
        <f>IF($O334="Aktif",MAX(0,MIN($AE334,$AD334-SUM($AG334:AH334))),0)</f>
        <v>67192.1875</v>
      </c>
      <c r="AJ334" s="8">
        <f>IF($O334="Aktif",MAX(0,MIN($AE334,$AD334-SUM($AG334:AI334))),0)</f>
        <v>67192.1875</v>
      </c>
      <c r="AK334" s="8">
        <f>IF($O334="Aktif",MAX(0,MIN($AE334,$AD334-SUM($AG334:AJ334))),0)</f>
        <v>67192.1875</v>
      </c>
      <c r="AL334" s="8">
        <f>IF($O334="Aktif",MAX(0,MIN($AE334,$AD334-SUM($AG334:AK334))),0)</f>
        <v>67192.1875</v>
      </c>
      <c r="AM334" s="8">
        <f>IF($O334="Aktif",MAX(0,MIN($AE334,$AD334-SUM($AG334:AL334))),0)</f>
        <v>67192.1875</v>
      </c>
      <c r="AN334" s="8">
        <f>IF($O334="Aktif",MAX(0,MIN($AE334,$AD334-SUM($AG334:AM334))),0)</f>
        <v>67192.1875</v>
      </c>
      <c r="AO334" s="8">
        <f>IF($O334="Aktif",MAX(0,MIN($AE334,$AD334-SUM($AG334:AN334))),0)</f>
        <v>67192.1875</v>
      </c>
      <c r="AP334" s="8">
        <f>IF($O334="Aktif",MAX(0,MIN($AE334,$AD334-SUM($AG334:AO334))),0)</f>
        <v>67192.1875</v>
      </c>
      <c r="AQ334" s="8">
        <f>IF($O334="Aktif",MAX(0,MIN($AE334,$AD334-SUM($AG334:AP334))),0)</f>
        <v>67192.1875</v>
      </c>
      <c r="AR334" s="8">
        <f>IF($O334="Aktif",MAX(0,MIN($AE334,$AD334-SUM($AG334:AQ334))),0)</f>
        <v>67192.1875</v>
      </c>
      <c r="AS334" s="8">
        <f>IF($O334="Aktif",MAX(0,MIN($AE334,$AD334-SUM($AG334:AR334))),0)</f>
        <v>67192.1875</v>
      </c>
      <c r="AT334" s="8">
        <f>IF($O334="Aktif",MAX(0,MIN($AE334,$AD334-SUM($AG334:AS334))),0)</f>
        <v>67192.1875</v>
      </c>
      <c r="AU334" s="8">
        <f>IF($O334="Aktif",MAX(0,MIN($AE334,$AD334-SUM($AG334:AT334))),0)</f>
        <v>67192.1875</v>
      </c>
      <c r="AV334" s="8">
        <f>IF($O334="Aktif",MAX(0,MIN($AE334,$AD334-SUM($AG334:AU334))),0)</f>
        <v>67192.1875</v>
      </c>
      <c r="AW334" s="8">
        <f t="shared" si="40"/>
        <v>1075075</v>
      </c>
      <c r="AX334" s="8">
        <f t="shared" si="41"/>
        <v>1612612.5</v>
      </c>
    </row>
    <row r="335" spans="1:50" ht="15" customHeight="1" x14ac:dyDescent="0.35">
      <c r="A335" s="102">
        <v>329</v>
      </c>
      <c r="B335" s="102" t="s">
        <v>586</v>
      </c>
      <c r="C335" s="103">
        <v>267</v>
      </c>
      <c r="D335" s="102" t="s">
        <v>184</v>
      </c>
      <c r="E335" s="102" t="s">
        <v>479</v>
      </c>
      <c r="F335" s="102" t="s">
        <v>947</v>
      </c>
      <c r="G335" s="102" t="s">
        <v>948</v>
      </c>
      <c r="H335" s="102" t="s">
        <v>949</v>
      </c>
      <c r="I335" s="102" t="s">
        <v>90</v>
      </c>
      <c r="J335" s="102"/>
      <c r="K335" s="102" t="s">
        <v>1242</v>
      </c>
      <c r="L335" s="104">
        <v>46037</v>
      </c>
      <c r="M335" s="102" t="s">
        <v>1243</v>
      </c>
      <c r="N335" s="102" t="s">
        <v>1243</v>
      </c>
      <c r="O335" s="102" t="s">
        <v>383</v>
      </c>
      <c r="P335" s="103">
        <v>1</v>
      </c>
      <c r="Q335" s="105">
        <v>4050000</v>
      </c>
      <c r="R335" s="103">
        <v>48</v>
      </c>
      <c r="S335" s="105">
        <v>84375</v>
      </c>
      <c r="T335" s="105">
        <v>0</v>
      </c>
      <c r="U335" s="105">
        <v>84375</v>
      </c>
      <c r="V335" s="105">
        <v>84375</v>
      </c>
      <c r="W335" s="105">
        <v>84375</v>
      </c>
      <c r="X335" s="105">
        <v>84375</v>
      </c>
      <c r="Y335" s="105">
        <v>84375</v>
      </c>
      <c r="Z335" s="105">
        <v>84375</v>
      </c>
      <c r="AA335" s="105">
        <v>84375</v>
      </c>
      <c r="AB335" s="105">
        <v>84375</v>
      </c>
      <c r="AC335" s="8">
        <f t="shared" si="35"/>
        <v>675000</v>
      </c>
      <c r="AD335" s="8">
        <f t="shared" si="36"/>
        <v>3375000</v>
      </c>
      <c r="AE335" s="8">
        <f t="shared" si="37"/>
        <v>84375</v>
      </c>
      <c r="AF335" s="106">
        <f t="shared" si="38"/>
        <v>40</v>
      </c>
      <c r="AG335" s="8">
        <f t="shared" si="39"/>
        <v>84375</v>
      </c>
      <c r="AH335" s="8">
        <f>IF($O335="Aktif",MAX(0,MIN($AE335,$AD335-SUM($AG335:AG335))),0)</f>
        <v>84375</v>
      </c>
      <c r="AI335" s="8">
        <f>IF($O335="Aktif",MAX(0,MIN($AE335,$AD335-SUM($AG335:AH335))),0)</f>
        <v>84375</v>
      </c>
      <c r="AJ335" s="8">
        <f>IF($O335="Aktif",MAX(0,MIN($AE335,$AD335-SUM($AG335:AI335))),0)</f>
        <v>84375</v>
      </c>
      <c r="AK335" s="8">
        <f>IF($O335="Aktif",MAX(0,MIN($AE335,$AD335-SUM($AG335:AJ335))),0)</f>
        <v>84375</v>
      </c>
      <c r="AL335" s="8">
        <f>IF($O335="Aktif",MAX(0,MIN($AE335,$AD335-SUM($AG335:AK335))),0)</f>
        <v>84375</v>
      </c>
      <c r="AM335" s="8">
        <f>IF($O335="Aktif",MAX(0,MIN($AE335,$AD335-SUM($AG335:AL335))),0)</f>
        <v>84375</v>
      </c>
      <c r="AN335" s="8">
        <f>IF($O335="Aktif",MAX(0,MIN($AE335,$AD335-SUM($AG335:AM335))),0)</f>
        <v>84375</v>
      </c>
      <c r="AO335" s="8">
        <f>IF($O335="Aktif",MAX(0,MIN($AE335,$AD335-SUM($AG335:AN335))),0)</f>
        <v>84375</v>
      </c>
      <c r="AP335" s="8">
        <f>IF($O335="Aktif",MAX(0,MIN($AE335,$AD335-SUM($AG335:AO335))),0)</f>
        <v>84375</v>
      </c>
      <c r="AQ335" s="8">
        <f>IF($O335="Aktif",MAX(0,MIN($AE335,$AD335-SUM($AG335:AP335))),0)</f>
        <v>84375</v>
      </c>
      <c r="AR335" s="8">
        <f>IF($O335="Aktif",MAX(0,MIN($AE335,$AD335-SUM($AG335:AQ335))),0)</f>
        <v>84375</v>
      </c>
      <c r="AS335" s="8">
        <f>IF($O335="Aktif",MAX(0,MIN($AE335,$AD335-SUM($AG335:AR335))),0)</f>
        <v>84375</v>
      </c>
      <c r="AT335" s="8">
        <f>IF($O335="Aktif",MAX(0,MIN($AE335,$AD335-SUM($AG335:AS335))),0)</f>
        <v>84375</v>
      </c>
      <c r="AU335" s="8">
        <f>IF($O335="Aktif",MAX(0,MIN($AE335,$AD335-SUM($AG335:AT335))),0)</f>
        <v>84375</v>
      </c>
      <c r="AV335" s="8">
        <f>IF($O335="Aktif",MAX(0,MIN($AE335,$AD335-SUM($AG335:AU335))),0)</f>
        <v>84375</v>
      </c>
      <c r="AW335" s="8">
        <f t="shared" si="40"/>
        <v>1350000</v>
      </c>
      <c r="AX335" s="8">
        <f t="shared" si="41"/>
        <v>2025000</v>
      </c>
    </row>
    <row r="336" spans="1:50" ht="15" customHeight="1" x14ac:dyDescent="0.35">
      <c r="A336" s="102">
        <v>330</v>
      </c>
      <c r="B336" s="102" t="s">
        <v>586</v>
      </c>
      <c r="C336" s="103">
        <v>268</v>
      </c>
      <c r="D336" s="102" t="s">
        <v>184</v>
      </c>
      <c r="E336" s="102" t="s">
        <v>479</v>
      </c>
      <c r="F336" s="102" t="s">
        <v>947</v>
      </c>
      <c r="G336" s="102" t="s">
        <v>948</v>
      </c>
      <c r="H336" s="102" t="s">
        <v>949</v>
      </c>
      <c r="I336" s="102" t="s">
        <v>90</v>
      </c>
      <c r="J336" s="102"/>
      <c r="K336" s="102" t="s">
        <v>1244</v>
      </c>
      <c r="L336" s="104">
        <v>46031</v>
      </c>
      <c r="M336" s="102" t="s">
        <v>1245</v>
      </c>
      <c r="N336" s="102" t="s">
        <v>1245</v>
      </c>
      <c r="O336" s="102" t="s">
        <v>383</v>
      </c>
      <c r="P336" s="103">
        <v>1</v>
      </c>
      <c r="Q336" s="105">
        <v>2727800</v>
      </c>
      <c r="R336" s="103">
        <v>48</v>
      </c>
      <c r="S336" s="105">
        <v>56829.166666666701</v>
      </c>
      <c r="T336" s="105">
        <v>0</v>
      </c>
      <c r="U336" s="105">
        <v>56829.166666666701</v>
      </c>
      <c r="V336" s="105">
        <v>56829.166666666701</v>
      </c>
      <c r="W336" s="105">
        <v>56829.166666666701</v>
      </c>
      <c r="X336" s="105">
        <v>56829.166666666701</v>
      </c>
      <c r="Y336" s="105">
        <v>56829.166666666701</v>
      </c>
      <c r="Z336" s="105">
        <v>56829.166666666701</v>
      </c>
      <c r="AA336" s="105">
        <v>56829.166666666701</v>
      </c>
      <c r="AB336" s="105">
        <v>56829.166666666701</v>
      </c>
      <c r="AC336" s="8">
        <f t="shared" si="35"/>
        <v>454633.33333333355</v>
      </c>
      <c r="AD336" s="8">
        <f t="shared" si="36"/>
        <v>2273166.6666666665</v>
      </c>
      <c r="AE336" s="8">
        <f t="shared" si="37"/>
        <v>56829.166666666701</v>
      </c>
      <c r="AF336" s="106">
        <f t="shared" si="38"/>
        <v>39.999999999999972</v>
      </c>
      <c r="AG336" s="8">
        <f t="shared" si="39"/>
        <v>56829.166666666701</v>
      </c>
      <c r="AH336" s="8">
        <f>IF($O336="Aktif",MAX(0,MIN($AE336,$AD336-SUM($AG336:AG336))),0)</f>
        <v>56829.166666666701</v>
      </c>
      <c r="AI336" s="8">
        <f>IF($O336="Aktif",MAX(0,MIN($AE336,$AD336-SUM($AG336:AH336))),0)</f>
        <v>56829.166666666701</v>
      </c>
      <c r="AJ336" s="8">
        <f>IF($O336="Aktif",MAX(0,MIN($AE336,$AD336-SUM($AG336:AI336))),0)</f>
        <v>56829.166666666701</v>
      </c>
      <c r="AK336" s="8">
        <f>IF($O336="Aktif",MAX(0,MIN($AE336,$AD336-SUM($AG336:AJ336))),0)</f>
        <v>56829.166666666701</v>
      </c>
      <c r="AL336" s="8">
        <f>IF($O336="Aktif",MAX(0,MIN($AE336,$AD336-SUM($AG336:AK336))),0)</f>
        <v>56829.166666666701</v>
      </c>
      <c r="AM336" s="8">
        <f>IF($O336="Aktif",MAX(0,MIN($AE336,$AD336-SUM($AG336:AL336))),0)</f>
        <v>56829.166666666701</v>
      </c>
      <c r="AN336" s="8">
        <f>IF($O336="Aktif",MAX(0,MIN($AE336,$AD336-SUM($AG336:AM336))),0)</f>
        <v>56829.166666666701</v>
      </c>
      <c r="AO336" s="8">
        <f>IF($O336="Aktif",MAX(0,MIN($AE336,$AD336-SUM($AG336:AN336))),0)</f>
        <v>56829.166666666701</v>
      </c>
      <c r="AP336" s="8">
        <f>IF($O336="Aktif",MAX(0,MIN($AE336,$AD336-SUM($AG336:AO336))),0)</f>
        <v>56829.166666666701</v>
      </c>
      <c r="AQ336" s="8">
        <f>IF($O336="Aktif",MAX(0,MIN($AE336,$AD336-SUM($AG336:AP336))),0)</f>
        <v>56829.166666666701</v>
      </c>
      <c r="AR336" s="8">
        <f>IF($O336="Aktif",MAX(0,MIN($AE336,$AD336-SUM($AG336:AQ336))),0)</f>
        <v>56829.166666666701</v>
      </c>
      <c r="AS336" s="8">
        <f>IF($O336="Aktif",MAX(0,MIN($AE336,$AD336-SUM($AG336:AR336))),0)</f>
        <v>56829.166666666701</v>
      </c>
      <c r="AT336" s="8">
        <f>IF($O336="Aktif",MAX(0,MIN($AE336,$AD336-SUM($AG336:AS336))),0)</f>
        <v>56829.166666666701</v>
      </c>
      <c r="AU336" s="8">
        <f>IF($O336="Aktif",MAX(0,MIN($AE336,$AD336-SUM($AG336:AT336))),0)</f>
        <v>56829.166666666701</v>
      </c>
      <c r="AV336" s="8">
        <f>IF($O336="Aktif",MAX(0,MIN($AE336,$AD336-SUM($AG336:AU336))),0)</f>
        <v>56829.166666666701</v>
      </c>
      <c r="AW336" s="8">
        <f t="shared" si="40"/>
        <v>909266.66666666744</v>
      </c>
      <c r="AX336" s="8">
        <f t="shared" si="41"/>
        <v>1363899.9999999991</v>
      </c>
    </row>
    <row r="337" spans="1:50" ht="15" customHeight="1" x14ac:dyDescent="0.35">
      <c r="A337" s="102">
        <v>331</v>
      </c>
      <c r="B337" s="102" t="s">
        <v>586</v>
      </c>
      <c r="C337" s="103">
        <v>269</v>
      </c>
      <c r="D337" s="102" t="s">
        <v>184</v>
      </c>
      <c r="E337" s="102" t="s">
        <v>479</v>
      </c>
      <c r="F337" s="102" t="s">
        <v>947</v>
      </c>
      <c r="G337" s="102" t="s">
        <v>948</v>
      </c>
      <c r="H337" s="102" t="s">
        <v>949</v>
      </c>
      <c r="I337" s="102" t="s">
        <v>90</v>
      </c>
      <c r="J337" s="102"/>
      <c r="K337" s="102" t="s">
        <v>1246</v>
      </c>
      <c r="L337" s="104">
        <v>46037</v>
      </c>
      <c r="M337" s="102" t="s">
        <v>1247</v>
      </c>
      <c r="N337" s="102" t="s">
        <v>1247</v>
      </c>
      <c r="O337" s="102" t="s">
        <v>383</v>
      </c>
      <c r="P337" s="103">
        <v>1</v>
      </c>
      <c r="Q337" s="105">
        <v>5405405</v>
      </c>
      <c r="R337" s="103">
        <v>48</v>
      </c>
      <c r="S337" s="105">
        <v>112612.60416666701</v>
      </c>
      <c r="T337" s="105">
        <v>0</v>
      </c>
      <c r="U337" s="105">
        <v>112612.60416666701</v>
      </c>
      <c r="V337" s="105">
        <v>112612.60416666701</v>
      </c>
      <c r="W337" s="105">
        <v>112612.60416666701</v>
      </c>
      <c r="X337" s="105">
        <v>112612.60416666701</v>
      </c>
      <c r="Y337" s="105">
        <v>112612.60416666701</v>
      </c>
      <c r="Z337" s="105">
        <v>112612.60416666701</v>
      </c>
      <c r="AA337" s="105">
        <v>112612.60416666701</v>
      </c>
      <c r="AB337" s="105">
        <v>112612.60416666701</v>
      </c>
      <c r="AC337" s="8">
        <f t="shared" si="35"/>
        <v>900900.83333333593</v>
      </c>
      <c r="AD337" s="8">
        <f t="shared" si="36"/>
        <v>4504504.1666666642</v>
      </c>
      <c r="AE337" s="8">
        <f t="shared" si="37"/>
        <v>112612.60416666701</v>
      </c>
      <c r="AF337" s="106">
        <f t="shared" si="38"/>
        <v>39.999999999999858</v>
      </c>
      <c r="AG337" s="8">
        <f t="shared" si="39"/>
        <v>112612.60416666701</v>
      </c>
      <c r="AH337" s="8">
        <f>IF($O337="Aktif",MAX(0,MIN($AE337,$AD337-SUM($AG337:AG337))),0)</f>
        <v>112612.60416666701</v>
      </c>
      <c r="AI337" s="8">
        <f>IF($O337="Aktif",MAX(0,MIN($AE337,$AD337-SUM($AG337:AH337))),0)</f>
        <v>112612.60416666701</v>
      </c>
      <c r="AJ337" s="8">
        <f>IF($O337="Aktif",MAX(0,MIN($AE337,$AD337-SUM($AG337:AI337))),0)</f>
        <v>112612.60416666701</v>
      </c>
      <c r="AK337" s="8">
        <f>IF($O337="Aktif",MAX(0,MIN($AE337,$AD337-SUM($AG337:AJ337))),0)</f>
        <v>112612.60416666701</v>
      </c>
      <c r="AL337" s="8">
        <f>IF($O337="Aktif",MAX(0,MIN($AE337,$AD337-SUM($AG337:AK337))),0)</f>
        <v>112612.60416666701</v>
      </c>
      <c r="AM337" s="8">
        <f>IF($O337="Aktif",MAX(0,MIN($AE337,$AD337-SUM($AG337:AL337))),0)</f>
        <v>112612.60416666701</v>
      </c>
      <c r="AN337" s="8">
        <f>IF($O337="Aktif",MAX(0,MIN($AE337,$AD337-SUM($AG337:AM337))),0)</f>
        <v>112612.60416666701</v>
      </c>
      <c r="AO337" s="8">
        <f>IF($O337="Aktif",MAX(0,MIN($AE337,$AD337-SUM($AG337:AN337))),0)</f>
        <v>112612.60416666701</v>
      </c>
      <c r="AP337" s="8">
        <f>IF($O337="Aktif",MAX(0,MIN($AE337,$AD337-SUM($AG337:AO337))),0)</f>
        <v>112612.60416666701</v>
      </c>
      <c r="AQ337" s="8">
        <f>IF($O337="Aktif",MAX(0,MIN($AE337,$AD337-SUM($AG337:AP337))),0)</f>
        <v>112612.60416666701</v>
      </c>
      <c r="AR337" s="8">
        <f>IF($O337="Aktif",MAX(0,MIN($AE337,$AD337-SUM($AG337:AQ337))),0)</f>
        <v>112612.60416666701</v>
      </c>
      <c r="AS337" s="8">
        <f>IF($O337="Aktif",MAX(0,MIN($AE337,$AD337-SUM($AG337:AR337))),0)</f>
        <v>112612.60416666701</v>
      </c>
      <c r="AT337" s="8">
        <f>IF($O337="Aktif",MAX(0,MIN($AE337,$AD337-SUM($AG337:AS337))),0)</f>
        <v>112612.60416666701</v>
      </c>
      <c r="AU337" s="8">
        <f>IF($O337="Aktif",MAX(0,MIN($AE337,$AD337-SUM($AG337:AT337))),0)</f>
        <v>112612.60416666701</v>
      </c>
      <c r="AV337" s="8">
        <f>IF($O337="Aktif",MAX(0,MIN($AE337,$AD337-SUM($AG337:AU337))),0)</f>
        <v>112612.60416666701</v>
      </c>
      <c r="AW337" s="8">
        <f t="shared" si="40"/>
        <v>1801801.6666666719</v>
      </c>
      <c r="AX337" s="8">
        <f t="shared" si="41"/>
        <v>2702702.4999999925</v>
      </c>
    </row>
    <row r="338" spans="1:50" ht="15" customHeight="1" x14ac:dyDescent="0.35">
      <c r="A338" s="102">
        <v>332</v>
      </c>
      <c r="B338" s="102" t="s">
        <v>586</v>
      </c>
      <c r="C338" s="103">
        <v>270</v>
      </c>
      <c r="D338" s="102" t="s">
        <v>184</v>
      </c>
      <c r="E338" s="102" t="s">
        <v>479</v>
      </c>
      <c r="F338" s="102" t="s">
        <v>947</v>
      </c>
      <c r="G338" s="102" t="s">
        <v>948</v>
      </c>
      <c r="H338" s="102" t="s">
        <v>949</v>
      </c>
      <c r="I338" s="102" t="s">
        <v>90</v>
      </c>
      <c r="J338" s="102"/>
      <c r="K338" s="102" t="s">
        <v>1248</v>
      </c>
      <c r="L338" s="104">
        <v>46037</v>
      </c>
      <c r="M338" s="102" t="s">
        <v>1249</v>
      </c>
      <c r="N338" s="102" t="s">
        <v>1249</v>
      </c>
      <c r="O338" s="102" t="s">
        <v>383</v>
      </c>
      <c r="P338" s="103">
        <v>1</v>
      </c>
      <c r="Q338" s="105">
        <v>1500000</v>
      </c>
      <c r="R338" s="103">
        <v>48</v>
      </c>
      <c r="S338" s="105">
        <v>31250</v>
      </c>
      <c r="T338" s="105">
        <v>0</v>
      </c>
      <c r="U338" s="105">
        <v>31250</v>
      </c>
      <c r="V338" s="105">
        <v>31250</v>
      </c>
      <c r="W338" s="105">
        <v>31250</v>
      </c>
      <c r="X338" s="105">
        <v>31250</v>
      </c>
      <c r="Y338" s="105">
        <v>31250</v>
      </c>
      <c r="Z338" s="105">
        <v>31250</v>
      </c>
      <c r="AA338" s="105">
        <v>31250</v>
      </c>
      <c r="AB338" s="105">
        <v>31250</v>
      </c>
      <c r="AC338" s="8">
        <f t="shared" si="35"/>
        <v>250000</v>
      </c>
      <c r="AD338" s="8">
        <f t="shared" si="36"/>
        <v>1250000</v>
      </c>
      <c r="AE338" s="8">
        <f t="shared" si="37"/>
        <v>31250</v>
      </c>
      <c r="AF338" s="106">
        <f t="shared" si="38"/>
        <v>40</v>
      </c>
      <c r="AG338" s="8">
        <f t="shared" si="39"/>
        <v>31250</v>
      </c>
      <c r="AH338" s="8">
        <f>IF($O338="Aktif",MAX(0,MIN($AE338,$AD338-SUM($AG338:AG338))),0)</f>
        <v>31250</v>
      </c>
      <c r="AI338" s="8">
        <f>IF($O338="Aktif",MAX(0,MIN($AE338,$AD338-SUM($AG338:AH338))),0)</f>
        <v>31250</v>
      </c>
      <c r="AJ338" s="8">
        <f>IF($O338="Aktif",MAX(0,MIN($AE338,$AD338-SUM($AG338:AI338))),0)</f>
        <v>31250</v>
      </c>
      <c r="AK338" s="8">
        <f>IF($O338="Aktif",MAX(0,MIN($AE338,$AD338-SUM($AG338:AJ338))),0)</f>
        <v>31250</v>
      </c>
      <c r="AL338" s="8">
        <f>IF($O338="Aktif",MAX(0,MIN($AE338,$AD338-SUM($AG338:AK338))),0)</f>
        <v>31250</v>
      </c>
      <c r="AM338" s="8">
        <f>IF($O338="Aktif",MAX(0,MIN($AE338,$AD338-SUM($AG338:AL338))),0)</f>
        <v>31250</v>
      </c>
      <c r="AN338" s="8">
        <f>IF($O338="Aktif",MAX(0,MIN($AE338,$AD338-SUM($AG338:AM338))),0)</f>
        <v>31250</v>
      </c>
      <c r="AO338" s="8">
        <f>IF($O338="Aktif",MAX(0,MIN($AE338,$AD338-SUM($AG338:AN338))),0)</f>
        <v>31250</v>
      </c>
      <c r="AP338" s="8">
        <f>IF($O338="Aktif",MAX(0,MIN($AE338,$AD338-SUM($AG338:AO338))),0)</f>
        <v>31250</v>
      </c>
      <c r="AQ338" s="8">
        <f>IF($O338="Aktif",MAX(0,MIN($AE338,$AD338-SUM($AG338:AP338))),0)</f>
        <v>31250</v>
      </c>
      <c r="AR338" s="8">
        <f>IF($O338="Aktif",MAX(0,MIN($AE338,$AD338-SUM($AG338:AQ338))),0)</f>
        <v>31250</v>
      </c>
      <c r="AS338" s="8">
        <f>IF($O338="Aktif",MAX(0,MIN($AE338,$AD338-SUM($AG338:AR338))),0)</f>
        <v>31250</v>
      </c>
      <c r="AT338" s="8">
        <f>IF($O338="Aktif",MAX(0,MIN($AE338,$AD338-SUM($AG338:AS338))),0)</f>
        <v>31250</v>
      </c>
      <c r="AU338" s="8">
        <f>IF($O338="Aktif",MAX(0,MIN($AE338,$AD338-SUM($AG338:AT338))),0)</f>
        <v>31250</v>
      </c>
      <c r="AV338" s="8">
        <f>IF($O338="Aktif",MAX(0,MIN($AE338,$AD338-SUM($AG338:AU338))),0)</f>
        <v>31250</v>
      </c>
      <c r="AW338" s="8">
        <f t="shared" si="40"/>
        <v>500000</v>
      </c>
      <c r="AX338" s="8">
        <f t="shared" si="41"/>
        <v>750000</v>
      </c>
    </row>
    <row r="339" spans="1:50" ht="15" customHeight="1" x14ac:dyDescent="0.35">
      <c r="A339" s="102">
        <v>333</v>
      </c>
      <c r="B339" s="102" t="s">
        <v>586</v>
      </c>
      <c r="C339" s="103">
        <v>271</v>
      </c>
      <c r="D339" s="102" t="s">
        <v>184</v>
      </c>
      <c r="E339" s="102" t="s">
        <v>479</v>
      </c>
      <c r="F339" s="102" t="s">
        <v>947</v>
      </c>
      <c r="G339" s="102" t="s">
        <v>948</v>
      </c>
      <c r="H339" s="102" t="s">
        <v>949</v>
      </c>
      <c r="I339" s="102" t="s">
        <v>90</v>
      </c>
      <c r="J339" s="102"/>
      <c r="K339" s="102" t="s">
        <v>1250</v>
      </c>
      <c r="L339" s="104">
        <v>46037</v>
      </c>
      <c r="M339" s="102" t="s">
        <v>1251</v>
      </c>
      <c r="N339" s="102" t="s">
        <v>1251</v>
      </c>
      <c r="O339" s="102" t="s">
        <v>383</v>
      </c>
      <c r="P339" s="103">
        <v>1</v>
      </c>
      <c r="Q339" s="105">
        <v>7162162.1600000001</v>
      </c>
      <c r="R339" s="103">
        <v>48</v>
      </c>
      <c r="S339" s="105">
        <v>149211.71166666699</v>
      </c>
      <c r="T339" s="105">
        <v>0</v>
      </c>
      <c r="U339" s="105">
        <v>149211.71166666699</v>
      </c>
      <c r="V339" s="105">
        <v>149211.71166666699</v>
      </c>
      <c r="W339" s="105">
        <v>149211.71166666699</v>
      </c>
      <c r="X339" s="105">
        <v>149211.71166666699</v>
      </c>
      <c r="Y339" s="105">
        <v>149211.71166666699</v>
      </c>
      <c r="Z339" s="105">
        <v>149211.71166666699</v>
      </c>
      <c r="AA339" s="105">
        <v>149211.71166666699</v>
      </c>
      <c r="AB339" s="105">
        <v>149211.71166666699</v>
      </c>
      <c r="AC339" s="8">
        <f t="shared" si="35"/>
        <v>1193693.6933333359</v>
      </c>
      <c r="AD339" s="8">
        <f t="shared" si="36"/>
        <v>5968468.466666664</v>
      </c>
      <c r="AE339" s="8">
        <f t="shared" si="37"/>
        <v>149211.71166666699</v>
      </c>
      <c r="AF339" s="106">
        <f t="shared" si="38"/>
        <v>39.999999999999893</v>
      </c>
      <c r="AG339" s="8">
        <f t="shared" si="39"/>
        <v>149211.71166666699</v>
      </c>
      <c r="AH339" s="8">
        <f>IF($O339="Aktif",MAX(0,MIN($AE339,$AD339-SUM($AG339:AG339))),0)</f>
        <v>149211.71166666699</v>
      </c>
      <c r="AI339" s="8">
        <f>IF($O339="Aktif",MAX(0,MIN($AE339,$AD339-SUM($AG339:AH339))),0)</f>
        <v>149211.71166666699</v>
      </c>
      <c r="AJ339" s="8">
        <f>IF($O339="Aktif",MAX(0,MIN($AE339,$AD339-SUM($AG339:AI339))),0)</f>
        <v>149211.71166666699</v>
      </c>
      <c r="AK339" s="8">
        <f>IF($O339="Aktif",MAX(0,MIN($AE339,$AD339-SUM($AG339:AJ339))),0)</f>
        <v>149211.71166666699</v>
      </c>
      <c r="AL339" s="8">
        <f>IF($O339="Aktif",MAX(0,MIN($AE339,$AD339-SUM($AG339:AK339))),0)</f>
        <v>149211.71166666699</v>
      </c>
      <c r="AM339" s="8">
        <f>IF($O339="Aktif",MAX(0,MIN($AE339,$AD339-SUM($AG339:AL339))),0)</f>
        <v>149211.71166666699</v>
      </c>
      <c r="AN339" s="8">
        <f>IF($O339="Aktif",MAX(0,MIN($AE339,$AD339-SUM($AG339:AM339))),0)</f>
        <v>149211.71166666699</v>
      </c>
      <c r="AO339" s="8">
        <f>IF($O339="Aktif",MAX(0,MIN($AE339,$AD339-SUM($AG339:AN339))),0)</f>
        <v>149211.71166666699</v>
      </c>
      <c r="AP339" s="8">
        <f>IF($O339="Aktif",MAX(0,MIN($AE339,$AD339-SUM($AG339:AO339))),0)</f>
        <v>149211.71166666699</v>
      </c>
      <c r="AQ339" s="8">
        <f>IF($O339="Aktif",MAX(0,MIN($AE339,$AD339-SUM($AG339:AP339))),0)</f>
        <v>149211.71166666699</v>
      </c>
      <c r="AR339" s="8">
        <f>IF($O339="Aktif",MAX(0,MIN($AE339,$AD339-SUM($AG339:AQ339))),0)</f>
        <v>149211.71166666699</v>
      </c>
      <c r="AS339" s="8">
        <f>IF($O339="Aktif",MAX(0,MIN($AE339,$AD339-SUM($AG339:AR339))),0)</f>
        <v>149211.71166666699</v>
      </c>
      <c r="AT339" s="8">
        <f>IF($O339="Aktif",MAX(0,MIN($AE339,$AD339-SUM($AG339:AS339))),0)</f>
        <v>149211.71166666699</v>
      </c>
      <c r="AU339" s="8">
        <f>IF($O339="Aktif",MAX(0,MIN($AE339,$AD339-SUM($AG339:AT339))),0)</f>
        <v>149211.71166666699</v>
      </c>
      <c r="AV339" s="8">
        <f>IF($O339="Aktif",MAX(0,MIN($AE339,$AD339-SUM($AG339:AU339))),0)</f>
        <v>149211.71166666699</v>
      </c>
      <c r="AW339" s="8">
        <f t="shared" si="40"/>
        <v>2387387.3866666714</v>
      </c>
      <c r="AX339" s="8">
        <f t="shared" si="41"/>
        <v>3581081.0799999926</v>
      </c>
    </row>
    <row r="340" spans="1:50" ht="15" customHeight="1" x14ac:dyDescent="0.35">
      <c r="A340" s="102">
        <v>334</v>
      </c>
      <c r="B340" s="102" t="s">
        <v>586</v>
      </c>
      <c r="C340" s="103">
        <v>272</v>
      </c>
      <c r="D340" s="102" t="s">
        <v>184</v>
      </c>
      <c r="E340" s="102" t="s">
        <v>479</v>
      </c>
      <c r="F340" s="102" t="s">
        <v>947</v>
      </c>
      <c r="G340" s="102" t="s">
        <v>948</v>
      </c>
      <c r="H340" s="102" t="s">
        <v>949</v>
      </c>
      <c r="I340" s="102" t="s">
        <v>90</v>
      </c>
      <c r="J340" s="102"/>
      <c r="K340" s="102" t="s">
        <v>1252</v>
      </c>
      <c r="L340" s="104">
        <v>46037</v>
      </c>
      <c r="M340" s="102" t="s">
        <v>1253</v>
      </c>
      <c r="N340" s="102" t="s">
        <v>1253</v>
      </c>
      <c r="O340" s="102" t="s">
        <v>383</v>
      </c>
      <c r="P340" s="103">
        <v>1</v>
      </c>
      <c r="Q340" s="105">
        <v>1436936.94</v>
      </c>
      <c r="R340" s="103">
        <v>48</v>
      </c>
      <c r="S340" s="105">
        <v>29936.186249999999</v>
      </c>
      <c r="T340" s="105">
        <v>0</v>
      </c>
      <c r="U340" s="105">
        <v>29936.186249999999</v>
      </c>
      <c r="V340" s="105">
        <v>29936.186249999999</v>
      </c>
      <c r="W340" s="105">
        <v>29936.186249999999</v>
      </c>
      <c r="X340" s="105">
        <v>29936.186249999999</v>
      </c>
      <c r="Y340" s="105">
        <v>29936.186249999999</v>
      </c>
      <c r="Z340" s="105">
        <v>29936.186249999999</v>
      </c>
      <c r="AA340" s="105">
        <v>29936.186249999999</v>
      </c>
      <c r="AB340" s="105">
        <v>29936.186249999999</v>
      </c>
      <c r="AC340" s="8">
        <f t="shared" si="35"/>
        <v>239489.49</v>
      </c>
      <c r="AD340" s="8">
        <f t="shared" si="36"/>
        <v>1197447.45</v>
      </c>
      <c r="AE340" s="8">
        <f t="shared" si="37"/>
        <v>29936.186249999999</v>
      </c>
      <c r="AF340" s="106">
        <f t="shared" si="38"/>
        <v>40</v>
      </c>
      <c r="AG340" s="8">
        <f t="shared" si="39"/>
        <v>29936.186249999999</v>
      </c>
      <c r="AH340" s="8">
        <f>IF($O340="Aktif",MAX(0,MIN($AE340,$AD340-SUM($AG340:AG340))),0)</f>
        <v>29936.186249999999</v>
      </c>
      <c r="AI340" s="8">
        <f>IF($O340="Aktif",MAX(0,MIN($AE340,$AD340-SUM($AG340:AH340))),0)</f>
        <v>29936.186249999999</v>
      </c>
      <c r="AJ340" s="8">
        <f>IF($O340="Aktif",MAX(0,MIN($AE340,$AD340-SUM($AG340:AI340))),0)</f>
        <v>29936.186249999999</v>
      </c>
      <c r="AK340" s="8">
        <f>IF($O340="Aktif",MAX(0,MIN($AE340,$AD340-SUM($AG340:AJ340))),0)</f>
        <v>29936.186249999999</v>
      </c>
      <c r="AL340" s="8">
        <f>IF($O340="Aktif",MAX(0,MIN($AE340,$AD340-SUM($AG340:AK340))),0)</f>
        <v>29936.186249999999</v>
      </c>
      <c r="AM340" s="8">
        <f>IF($O340="Aktif",MAX(0,MIN($AE340,$AD340-SUM($AG340:AL340))),0)</f>
        <v>29936.186249999999</v>
      </c>
      <c r="AN340" s="8">
        <f>IF($O340="Aktif",MAX(0,MIN($AE340,$AD340-SUM($AG340:AM340))),0)</f>
        <v>29936.186249999999</v>
      </c>
      <c r="AO340" s="8">
        <f>IF($O340="Aktif",MAX(0,MIN($AE340,$AD340-SUM($AG340:AN340))),0)</f>
        <v>29936.186249999999</v>
      </c>
      <c r="AP340" s="8">
        <f>IF($O340="Aktif",MAX(0,MIN($AE340,$AD340-SUM($AG340:AO340))),0)</f>
        <v>29936.186249999999</v>
      </c>
      <c r="AQ340" s="8">
        <f>IF($O340="Aktif",MAX(0,MIN($AE340,$AD340-SUM($AG340:AP340))),0)</f>
        <v>29936.186249999999</v>
      </c>
      <c r="AR340" s="8">
        <f>IF($O340="Aktif",MAX(0,MIN($AE340,$AD340-SUM($AG340:AQ340))),0)</f>
        <v>29936.186249999999</v>
      </c>
      <c r="AS340" s="8">
        <f>IF($O340="Aktif",MAX(0,MIN($AE340,$AD340-SUM($AG340:AR340))),0)</f>
        <v>29936.186249999999</v>
      </c>
      <c r="AT340" s="8">
        <f>IF($O340="Aktif",MAX(0,MIN($AE340,$AD340-SUM($AG340:AS340))),0)</f>
        <v>29936.186249999999</v>
      </c>
      <c r="AU340" s="8">
        <f>IF($O340="Aktif",MAX(0,MIN($AE340,$AD340-SUM($AG340:AT340))),0)</f>
        <v>29936.186249999999</v>
      </c>
      <c r="AV340" s="8">
        <f>IF($O340="Aktif",MAX(0,MIN($AE340,$AD340-SUM($AG340:AU340))),0)</f>
        <v>29936.186249999999</v>
      </c>
      <c r="AW340" s="8">
        <f t="shared" si="40"/>
        <v>478978.98000000021</v>
      </c>
      <c r="AX340" s="8">
        <f t="shared" si="41"/>
        <v>718468.46999999974</v>
      </c>
    </row>
    <row r="341" spans="1:50" ht="15" customHeight="1" x14ac:dyDescent="0.35">
      <c r="A341" s="102">
        <v>335</v>
      </c>
      <c r="B341" s="102" t="s">
        <v>586</v>
      </c>
      <c r="C341" s="103">
        <v>273</v>
      </c>
      <c r="D341" s="102" t="s">
        <v>184</v>
      </c>
      <c r="E341" s="102" t="s">
        <v>479</v>
      </c>
      <c r="F341" s="102" t="s">
        <v>947</v>
      </c>
      <c r="G341" s="102" t="s">
        <v>948</v>
      </c>
      <c r="H341" s="102" t="s">
        <v>949</v>
      </c>
      <c r="I341" s="102" t="s">
        <v>90</v>
      </c>
      <c r="J341" s="102"/>
      <c r="K341" s="102" t="s">
        <v>1254</v>
      </c>
      <c r="L341" s="104">
        <v>46067</v>
      </c>
      <c r="M341" s="102" t="s">
        <v>1241</v>
      </c>
      <c r="N341" s="102" t="s">
        <v>1241</v>
      </c>
      <c r="O341" s="102" t="s">
        <v>383</v>
      </c>
      <c r="P341" s="103">
        <v>1</v>
      </c>
      <c r="Q341" s="105">
        <v>3229729.73</v>
      </c>
      <c r="R341" s="103">
        <v>48</v>
      </c>
      <c r="S341" s="105">
        <v>67286.036041666695</v>
      </c>
      <c r="T341" s="105">
        <v>0</v>
      </c>
      <c r="U341" s="105">
        <v>0</v>
      </c>
      <c r="V341" s="105">
        <v>67286.036041666695</v>
      </c>
      <c r="W341" s="105">
        <v>67286.036041666695</v>
      </c>
      <c r="X341" s="105">
        <v>67286.036041666695</v>
      </c>
      <c r="Y341" s="105">
        <v>67286.036041666695</v>
      </c>
      <c r="Z341" s="105">
        <v>67286.036041666695</v>
      </c>
      <c r="AA341" s="105">
        <v>67286.036041666695</v>
      </c>
      <c r="AB341" s="105">
        <v>67286.036041666695</v>
      </c>
      <c r="AC341" s="8">
        <f t="shared" si="35"/>
        <v>471002.25229166687</v>
      </c>
      <c r="AD341" s="8">
        <f t="shared" si="36"/>
        <v>2758727.4777083332</v>
      </c>
      <c r="AE341" s="8">
        <f t="shared" si="37"/>
        <v>67286.036041666695</v>
      </c>
      <c r="AF341" s="106">
        <f t="shared" si="38"/>
        <v>40.999999999999979</v>
      </c>
      <c r="AG341" s="8">
        <f t="shared" si="39"/>
        <v>67286.036041666695</v>
      </c>
      <c r="AH341" s="8">
        <f>IF($O341="Aktif",MAX(0,MIN($AE341,$AD341-SUM($AG341:AG341))),0)</f>
        <v>67286.036041666695</v>
      </c>
      <c r="AI341" s="8">
        <f>IF($O341="Aktif",MAX(0,MIN($AE341,$AD341-SUM($AG341:AH341))),0)</f>
        <v>67286.036041666695</v>
      </c>
      <c r="AJ341" s="8">
        <f>IF($O341="Aktif",MAX(0,MIN($AE341,$AD341-SUM($AG341:AI341))),0)</f>
        <v>67286.036041666695</v>
      </c>
      <c r="AK341" s="8">
        <f>IF($O341="Aktif",MAX(0,MIN($AE341,$AD341-SUM($AG341:AJ341))),0)</f>
        <v>67286.036041666695</v>
      </c>
      <c r="AL341" s="8">
        <f>IF($O341="Aktif",MAX(0,MIN($AE341,$AD341-SUM($AG341:AK341))),0)</f>
        <v>67286.036041666695</v>
      </c>
      <c r="AM341" s="8">
        <f>IF($O341="Aktif",MAX(0,MIN($AE341,$AD341-SUM($AG341:AL341))),0)</f>
        <v>67286.036041666695</v>
      </c>
      <c r="AN341" s="8">
        <f>IF($O341="Aktif",MAX(0,MIN($AE341,$AD341-SUM($AG341:AM341))),0)</f>
        <v>67286.036041666695</v>
      </c>
      <c r="AO341" s="8">
        <f>IF($O341="Aktif",MAX(0,MIN($AE341,$AD341-SUM($AG341:AN341))),0)</f>
        <v>67286.036041666695</v>
      </c>
      <c r="AP341" s="8">
        <f>IF($O341="Aktif",MAX(0,MIN($AE341,$AD341-SUM($AG341:AO341))),0)</f>
        <v>67286.036041666695</v>
      </c>
      <c r="AQ341" s="8">
        <f>IF($O341="Aktif",MAX(0,MIN($AE341,$AD341-SUM($AG341:AP341))),0)</f>
        <v>67286.036041666695</v>
      </c>
      <c r="AR341" s="8">
        <f>IF($O341="Aktif",MAX(0,MIN($AE341,$AD341-SUM($AG341:AQ341))),0)</f>
        <v>67286.036041666695</v>
      </c>
      <c r="AS341" s="8">
        <f>IF($O341="Aktif",MAX(0,MIN($AE341,$AD341-SUM($AG341:AR341))),0)</f>
        <v>67286.036041666695</v>
      </c>
      <c r="AT341" s="8">
        <f>IF($O341="Aktif",MAX(0,MIN($AE341,$AD341-SUM($AG341:AS341))),0)</f>
        <v>67286.036041666695</v>
      </c>
      <c r="AU341" s="8">
        <f>IF($O341="Aktif",MAX(0,MIN($AE341,$AD341-SUM($AG341:AT341))),0)</f>
        <v>67286.036041666695</v>
      </c>
      <c r="AV341" s="8">
        <f>IF($O341="Aktif",MAX(0,MIN($AE341,$AD341-SUM($AG341:AU341))),0)</f>
        <v>67286.036041666695</v>
      </c>
      <c r="AW341" s="8">
        <f t="shared" si="40"/>
        <v>1076576.5766666676</v>
      </c>
      <c r="AX341" s="8">
        <f t="shared" si="41"/>
        <v>1682150.9010416656</v>
      </c>
    </row>
    <row r="342" spans="1:50" ht="15" customHeight="1" x14ac:dyDescent="0.35">
      <c r="A342" s="102">
        <v>336</v>
      </c>
      <c r="B342" s="102" t="s">
        <v>586</v>
      </c>
      <c r="C342" s="103">
        <v>274</v>
      </c>
      <c r="D342" s="102" t="s">
        <v>184</v>
      </c>
      <c r="E342" s="102" t="s">
        <v>479</v>
      </c>
      <c r="F342" s="102" t="s">
        <v>947</v>
      </c>
      <c r="G342" s="102" t="s">
        <v>948</v>
      </c>
      <c r="H342" s="102" t="s">
        <v>949</v>
      </c>
      <c r="I342" s="102" t="s">
        <v>90</v>
      </c>
      <c r="J342" s="102"/>
      <c r="K342" s="102" t="s">
        <v>1255</v>
      </c>
      <c r="L342" s="104">
        <v>46094</v>
      </c>
      <c r="M342" s="102" t="s">
        <v>1256</v>
      </c>
      <c r="N342" s="102" t="s">
        <v>1256</v>
      </c>
      <c r="O342" s="102" t="s">
        <v>383</v>
      </c>
      <c r="P342" s="103">
        <v>1</v>
      </c>
      <c r="Q342" s="105">
        <v>1824324</v>
      </c>
      <c r="R342" s="103">
        <v>48</v>
      </c>
      <c r="S342" s="105">
        <v>38006.75</v>
      </c>
      <c r="T342" s="105">
        <v>0</v>
      </c>
      <c r="U342" s="105">
        <v>0</v>
      </c>
      <c r="V342" s="105">
        <v>0</v>
      </c>
      <c r="W342" s="105">
        <v>38006.75</v>
      </c>
      <c r="X342" s="105">
        <v>38006.75</v>
      </c>
      <c r="Y342" s="105">
        <v>38006.75</v>
      </c>
      <c r="Z342" s="105">
        <v>38006.75</v>
      </c>
      <c r="AA342" s="105">
        <v>38006.75</v>
      </c>
      <c r="AB342" s="105">
        <v>38006.75</v>
      </c>
      <c r="AC342" s="8">
        <f t="shared" si="35"/>
        <v>228040.5</v>
      </c>
      <c r="AD342" s="8">
        <f t="shared" si="36"/>
        <v>1596283.5</v>
      </c>
      <c r="AE342" s="8">
        <f t="shared" si="37"/>
        <v>38006.75</v>
      </c>
      <c r="AF342" s="106">
        <f t="shared" si="38"/>
        <v>42</v>
      </c>
      <c r="AG342" s="8">
        <f t="shared" si="39"/>
        <v>38006.75</v>
      </c>
      <c r="AH342" s="8">
        <f>IF($O342="Aktif",MAX(0,MIN($AE342,$AD342-SUM($AG342:AG342))),0)</f>
        <v>38006.75</v>
      </c>
      <c r="AI342" s="8">
        <f>IF($O342="Aktif",MAX(0,MIN($AE342,$AD342-SUM($AG342:AH342))),0)</f>
        <v>38006.75</v>
      </c>
      <c r="AJ342" s="8">
        <f>IF($O342="Aktif",MAX(0,MIN($AE342,$AD342-SUM($AG342:AI342))),0)</f>
        <v>38006.75</v>
      </c>
      <c r="AK342" s="8">
        <f>IF($O342="Aktif",MAX(0,MIN($AE342,$AD342-SUM($AG342:AJ342))),0)</f>
        <v>38006.75</v>
      </c>
      <c r="AL342" s="8">
        <f>IF($O342="Aktif",MAX(0,MIN($AE342,$AD342-SUM($AG342:AK342))),0)</f>
        <v>38006.75</v>
      </c>
      <c r="AM342" s="8">
        <f>IF($O342="Aktif",MAX(0,MIN($AE342,$AD342-SUM($AG342:AL342))),0)</f>
        <v>38006.75</v>
      </c>
      <c r="AN342" s="8">
        <f>IF($O342="Aktif",MAX(0,MIN($AE342,$AD342-SUM($AG342:AM342))),0)</f>
        <v>38006.75</v>
      </c>
      <c r="AO342" s="8">
        <f>IF($O342="Aktif",MAX(0,MIN($AE342,$AD342-SUM($AG342:AN342))),0)</f>
        <v>38006.75</v>
      </c>
      <c r="AP342" s="8">
        <f>IF($O342="Aktif",MAX(0,MIN($AE342,$AD342-SUM($AG342:AO342))),0)</f>
        <v>38006.75</v>
      </c>
      <c r="AQ342" s="8">
        <f>IF($O342="Aktif",MAX(0,MIN($AE342,$AD342-SUM($AG342:AP342))),0)</f>
        <v>38006.75</v>
      </c>
      <c r="AR342" s="8">
        <f>IF($O342="Aktif",MAX(0,MIN($AE342,$AD342-SUM($AG342:AQ342))),0)</f>
        <v>38006.75</v>
      </c>
      <c r="AS342" s="8">
        <f>IF($O342="Aktif",MAX(0,MIN($AE342,$AD342-SUM($AG342:AR342))),0)</f>
        <v>38006.75</v>
      </c>
      <c r="AT342" s="8">
        <f>IF($O342="Aktif",MAX(0,MIN($AE342,$AD342-SUM($AG342:AS342))),0)</f>
        <v>38006.75</v>
      </c>
      <c r="AU342" s="8">
        <f>IF($O342="Aktif",MAX(0,MIN($AE342,$AD342-SUM($AG342:AT342))),0)</f>
        <v>38006.75</v>
      </c>
      <c r="AV342" s="8">
        <f>IF($O342="Aktif",MAX(0,MIN($AE342,$AD342-SUM($AG342:AU342))),0)</f>
        <v>38006.75</v>
      </c>
      <c r="AW342" s="8">
        <f t="shared" si="40"/>
        <v>608108</v>
      </c>
      <c r="AX342" s="8">
        <f t="shared" si="41"/>
        <v>988175.5</v>
      </c>
    </row>
    <row r="343" spans="1:50" ht="15" customHeight="1" x14ac:dyDescent="0.35">
      <c r="A343" s="102">
        <v>337</v>
      </c>
      <c r="B343" s="102" t="s">
        <v>586</v>
      </c>
      <c r="C343" s="103">
        <v>275</v>
      </c>
      <c r="D343" s="102" t="s">
        <v>184</v>
      </c>
      <c r="E343" s="102" t="s">
        <v>479</v>
      </c>
      <c r="F343" s="102" t="s">
        <v>947</v>
      </c>
      <c r="G343" s="102" t="s">
        <v>948</v>
      </c>
      <c r="H343" s="102" t="s">
        <v>949</v>
      </c>
      <c r="I343" s="102" t="s">
        <v>90</v>
      </c>
      <c r="J343" s="102"/>
      <c r="K343" s="102" t="s">
        <v>1257</v>
      </c>
      <c r="L343" s="104">
        <v>46091</v>
      </c>
      <c r="M343" s="102" t="s">
        <v>1258</v>
      </c>
      <c r="N343" s="102" t="s">
        <v>1258</v>
      </c>
      <c r="O343" s="102" t="s">
        <v>383</v>
      </c>
      <c r="P343" s="103">
        <v>1</v>
      </c>
      <c r="Q343" s="105">
        <v>2207207</v>
      </c>
      <c r="R343" s="103">
        <v>48</v>
      </c>
      <c r="S343" s="105">
        <v>45983.479166666701</v>
      </c>
      <c r="T343" s="105">
        <v>0</v>
      </c>
      <c r="U343" s="105">
        <v>0</v>
      </c>
      <c r="V343" s="105">
        <v>0</v>
      </c>
      <c r="W343" s="105">
        <v>45983.479166666701</v>
      </c>
      <c r="X343" s="105">
        <v>45983.479166666701</v>
      </c>
      <c r="Y343" s="105">
        <v>45983.479166666701</v>
      </c>
      <c r="Z343" s="105">
        <v>45983.479166666701</v>
      </c>
      <c r="AA343" s="105">
        <v>45983.479166666701</v>
      </c>
      <c r="AB343" s="105">
        <v>45983.479166666701</v>
      </c>
      <c r="AC343" s="8">
        <f t="shared" si="35"/>
        <v>275900.87500000017</v>
      </c>
      <c r="AD343" s="8">
        <f t="shared" si="36"/>
        <v>1931306.1249999998</v>
      </c>
      <c r="AE343" s="8">
        <f t="shared" si="37"/>
        <v>45983.479166666701</v>
      </c>
      <c r="AF343" s="106">
        <f t="shared" si="38"/>
        <v>41.999999999999964</v>
      </c>
      <c r="AG343" s="8">
        <f t="shared" si="39"/>
        <v>45983.479166666701</v>
      </c>
      <c r="AH343" s="8">
        <f>IF($O343="Aktif",MAX(0,MIN($AE343,$AD343-SUM($AG343:AG343))),0)</f>
        <v>45983.479166666701</v>
      </c>
      <c r="AI343" s="8">
        <f>IF($O343="Aktif",MAX(0,MIN($AE343,$AD343-SUM($AG343:AH343))),0)</f>
        <v>45983.479166666701</v>
      </c>
      <c r="AJ343" s="8">
        <f>IF($O343="Aktif",MAX(0,MIN($AE343,$AD343-SUM($AG343:AI343))),0)</f>
        <v>45983.479166666701</v>
      </c>
      <c r="AK343" s="8">
        <f>IF($O343="Aktif",MAX(0,MIN($AE343,$AD343-SUM($AG343:AJ343))),0)</f>
        <v>45983.479166666701</v>
      </c>
      <c r="AL343" s="8">
        <f>IF($O343="Aktif",MAX(0,MIN($AE343,$AD343-SUM($AG343:AK343))),0)</f>
        <v>45983.479166666701</v>
      </c>
      <c r="AM343" s="8">
        <f>IF($O343="Aktif",MAX(0,MIN($AE343,$AD343-SUM($AG343:AL343))),0)</f>
        <v>45983.479166666701</v>
      </c>
      <c r="AN343" s="8">
        <f>IF($O343="Aktif",MAX(0,MIN($AE343,$AD343-SUM($AG343:AM343))),0)</f>
        <v>45983.479166666701</v>
      </c>
      <c r="AO343" s="8">
        <f>IF($O343="Aktif",MAX(0,MIN($AE343,$AD343-SUM($AG343:AN343))),0)</f>
        <v>45983.479166666701</v>
      </c>
      <c r="AP343" s="8">
        <f>IF($O343="Aktif",MAX(0,MIN($AE343,$AD343-SUM($AG343:AO343))),0)</f>
        <v>45983.479166666701</v>
      </c>
      <c r="AQ343" s="8">
        <f>IF($O343="Aktif",MAX(0,MIN($AE343,$AD343-SUM($AG343:AP343))),0)</f>
        <v>45983.479166666701</v>
      </c>
      <c r="AR343" s="8">
        <f>IF($O343="Aktif",MAX(0,MIN($AE343,$AD343-SUM($AG343:AQ343))),0)</f>
        <v>45983.479166666701</v>
      </c>
      <c r="AS343" s="8">
        <f>IF($O343="Aktif",MAX(0,MIN($AE343,$AD343-SUM($AG343:AR343))),0)</f>
        <v>45983.479166666701</v>
      </c>
      <c r="AT343" s="8">
        <f>IF($O343="Aktif",MAX(0,MIN($AE343,$AD343-SUM($AG343:AS343))),0)</f>
        <v>45983.479166666701</v>
      </c>
      <c r="AU343" s="8">
        <f>IF($O343="Aktif",MAX(0,MIN($AE343,$AD343-SUM($AG343:AT343))),0)</f>
        <v>45983.479166666701</v>
      </c>
      <c r="AV343" s="8">
        <f>IF($O343="Aktif",MAX(0,MIN($AE343,$AD343-SUM($AG343:AU343))),0)</f>
        <v>45983.479166666701</v>
      </c>
      <c r="AW343" s="8">
        <f t="shared" si="40"/>
        <v>735735.66666666733</v>
      </c>
      <c r="AX343" s="8">
        <f t="shared" si="41"/>
        <v>1195570.4583333326</v>
      </c>
    </row>
    <row r="344" spans="1:50" ht="15" customHeight="1" x14ac:dyDescent="0.35">
      <c r="A344" s="102">
        <v>338</v>
      </c>
      <c r="B344" s="102" t="s">
        <v>586</v>
      </c>
      <c r="C344" s="103">
        <v>276</v>
      </c>
      <c r="D344" s="102" t="s">
        <v>184</v>
      </c>
      <c r="E344" s="102" t="s">
        <v>479</v>
      </c>
      <c r="F344" s="102" t="s">
        <v>947</v>
      </c>
      <c r="G344" s="102" t="s">
        <v>948</v>
      </c>
      <c r="H344" s="102" t="s">
        <v>949</v>
      </c>
      <c r="I344" s="102" t="s">
        <v>90</v>
      </c>
      <c r="J344" s="102"/>
      <c r="K344" s="102" t="s">
        <v>1259</v>
      </c>
      <c r="L344" s="104">
        <v>46092</v>
      </c>
      <c r="M344" s="102" t="s">
        <v>1260</v>
      </c>
      <c r="N344" s="102" t="s">
        <v>1260</v>
      </c>
      <c r="O344" s="102" t="s">
        <v>383</v>
      </c>
      <c r="P344" s="103">
        <v>1</v>
      </c>
      <c r="Q344" s="105">
        <v>6306306.3099999996</v>
      </c>
      <c r="R344" s="103">
        <v>48</v>
      </c>
      <c r="S344" s="105">
        <v>131381.38145833299</v>
      </c>
      <c r="T344" s="105">
        <v>0</v>
      </c>
      <c r="U344" s="105">
        <v>0</v>
      </c>
      <c r="V344" s="105">
        <v>0</v>
      </c>
      <c r="W344" s="105">
        <v>131381.38145833299</v>
      </c>
      <c r="X344" s="105">
        <v>131381.38145833299</v>
      </c>
      <c r="Y344" s="105">
        <v>131381.38145833299</v>
      </c>
      <c r="Z344" s="105">
        <v>131381.38145833299</v>
      </c>
      <c r="AA344" s="105">
        <v>131381.38145833299</v>
      </c>
      <c r="AB344" s="105">
        <v>131381.38145833299</v>
      </c>
      <c r="AC344" s="8">
        <f t="shared" si="35"/>
        <v>788288.28874999797</v>
      </c>
      <c r="AD344" s="8">
        <f t="shared" si="36"/>
        <v>5518018.0212500021</v>
      </c>
      <c r="AE344" s="8">
        <f t="shared" si="37"/>
        <v>131381.38145833299</v>
      </c>
      <c r="AF344" s="106">
        <f t="shared" si="38"/>
        <v>42.000000000000121</v>
      </c>
      <c r="AG344" s="8">
        <f t="shared" si="39"/>
        <v>131381.38145833299</v>
      </c>
      <c r="AH344" s="8">
        <f>IF($O344="Aktif",MAX(0,MIN($AE344,$AD344-SUM($AG344:AG344))),0)</f>
        <v>131381.38145833299</v>
      </c>
      <c r="AI344" s="8">
        <f>IF($O344="Aktif",MAX(0,MIN($AE344,$AD344-SUM($AG344:AH344))),0)</f>
        <v>131381.38145833299</v>
      </c>
      <c r="AJ344" s="8">
        <f>IF($O344="Aktif",MAX(0,MIN($AE344,$AD344-SUM($AG344:AI344))),0)</f>
        <v>131381.38145833299</v>
      </c>
      <c r="AK344" s="8">
        <f>IF($O344="Aktif",MAX(0,MIN($AE344,$AD344-SUM($AG344:AJ344))),0)</f>
        <v>131381.38145833299</v>
      </c>
      <c r="AL344" s="8">
        <f>IF($O344="Aktif",MAX(0,MIN($AE344,$AD344-SUM($AG344:AK344))),0)</f>
        <v>131381.38145833299</v>
      </c>
      <c r="AM344" s="8">
        <f>IF($O344="Aktif",MAX(0,MIN($AE344,$AD344-SUM($AG344:AL344))),0)</f>
        <v>131381.38145833299</v>
      </c>
      <c r="AN344" s="8">
        <f>IF($O344="Aktif",MAX(0,MIN($AE344,$AD344-SUM($AG344:AM344))),0)</f>
        <v>131381.38145833299</v>
      </c>
      <c r="AO344" s="8">
        <f>IF($O344="Aktif",MAX(0,MIN($AE344,$AD344-SUM($AG344:AN344))),0)</f>
        <v>131381.38145833299</v>
      </c>
      <c r="AP344" s="8">
        <f>IF($O344="Aktif",MAX(0,MIN($AE344,$AD344-SUM($AG344:AO344))),0)</f>
        <v>131381.38145833299</v>
      </c>
      <c r="AQ344" s="8">
        <f>IF($O344="Aktif",MAX(0,MIN($AE344,$AD344-SUM($AG344:AP344))),0)</f>
        <v>131381.38145833299</v>
      </c>
      <c r="AR344" s="8">
        <f>IF($O344="Aktif",MAX(0,MIN($AE344,$AD344-SUM($AG344:AQ344))),0)</f>
        <v>131381.38145833299</v>
      </c>
      <c r="AS344" s="8">
        <f>IF($O344="Aktif",MAX(0,MIN($AE344,$AD344-SUM($AG344:AR344))),0)</f>
        <v>131381.38145833299</v>
      </c>
      <c r="AT344" s="8">
        <f>IF($O344="Aktif",MAX(0,MIN($AE344,$AD344-SUM($AG344:AS344))),0)</f>
        <v>131381.38145833299</v>
      </c>
      <c r="AU344" s="8">
        <f>IF($O344="Aktif",MAX(0,MIN($AE344,$AD344-SUM($AG344:AT344))),0)</f>
        <v>131381.38145833299</v>
      </c>
      <c r="AV344" s="8">
        <f>IF($O344="Aktif",MAX(0,MIN($AE344,$AD344-SUM($AG344:AU344))),0)</f>
        <v>131381.38145833299</v>
      </c>
      <c r="AW344" s="8">
        <f t="shared" si="40"/>
        <v>2102102.1033333279</v>
      </c>
      <c r="AX344" s="8">
        <f t="shared" si="41"/>
        <v>3415915.9179166742</v>
      </c>
    </row>
    <row r="345" spans="1:50" ht="15" customHeight="1" x14ac:dyDescent="0.35">
      <c r="A345" s="102">
        <v>339</v>
      </c>
      <c r="B345" s="102" t="s">
        <v>586</v>
      </c>
      <c r="C345" s="103">
        <v>277</v>
      </c>
      <c r="D345" s="102" t="s">
        <v>184</v>
      </c>
      <c r="E345" s="102" t="s">
        <v>479</v>
      </c>
      <c r="F345" s="102" t="s">
        <v>947</v>
      </c>
      <c r="G345" s="102" t="s">
        <v>948</v>
      </c>
      <c r="H345" s="102" t="s">
        <v>949</v>
      </c>
      <c r="I345" s="102" t="s">
        <v>90</v>
      </c>
      <c r="J345" s="102"/>
      <c r="K345" s="102" t="s">
        <v>1261</v>
      </c>
      <c r="L345" s="104">
        <v>46094</v>
      </c>
      <c r="M345" s="102" t="s">
        <v>1262</v>
      </c>
      <c r="N345" s="102" t="s">
        <v>1262</v>
      </c>
      <c r="O345" s="102" t="s">
        <v>383</v>
      </c>
      <c r="P345" s="103">
        <v>1</v>
      </c>
      <c r="Q345" s="105">
        <v>1498116</v>
      </c>
      <c r="R345" s="103">
        <v>48</v>
      </c>
      <c r="S345" s="105">
        <v>31210.75</v>
      </c>
      <c r="T345" s="105">
        <v>0</v>
      </c>
      <c r="U345" s="105">
        <v>0</v>
      </c>
      <c r="V345" s="105">
        <v>0</v>
      </c>
      <c r="W345" s="105">
        <v>31210.75</v>
      </c>
      <c r="X345" s="105">
        <v>31210.75</v>
      </c>
      <c r="Y345" s="105">
        <v>31210.75</v>
      </c>
      <c r="Z345" s="105">
        <v>31210.75</v>
      </c>
      <c r="AA345" s="105">
        <v>31210.75</v>
      </c>
      <c r="AB345" s="105">
        <v>31210.75</v>
      </c>
      <c r="AC345" s="8">
        <f t="shared" si="35"/>
        <v>187264.5</v>
      </c>
      <c r="AD345" s="8">
        <f t="shared" si="36"/>
        <v>1310851.5</v>
      </c>
      <c r="AE345" s="8">
        <f t="shared" si="37"/>
        <v>31210.75</v>
      </c>
      <c r="AF345" s="106">
        <f t="shared" si="38"/>
        <v>42</v>
      </c>
      <c r="AG345" s="8">
        <f t="shared" si="39"/>
        <v>31210.75</v>
      </c>
      <c r="AH345" s="8">
        <f>IF($O345="Aktif",MAX(0,MIN($AE345,$AD345-SUM($AG345:AG345))),0)</f>
        <v>31210.75</v>
      </c>
      <c r="AI345" s="8">
        <f>IF($O345="Aktif",MAX(0,MIN($AE345,$AD345-SUM($AG345:AH345))),0)</f>
        <v>31210.75</v>
      </c>
      <c r="AJ345" s="8">
        <f>IF($O345="Aktif",MAX(0,MIN($AE345,$AD345-SUM($AG345:AI345))),0)</f>
        <v>31210.75</v>
      </c>
      <c r="AK345" s="8">
        <f>IF($O345="Aktif",MAX(0,MIN($AE345,$AD345-SUM($AG345:AJ345))),0)</f>
        <v>31210.75</v>
      </c>
      <c r="AL345" s="8">
        <f>IF($O345="Aktif",MAX(0,MIN($AE345,$AD345-SUM($AG345:AK345))),0)</f>
        <v>31210.75</v>
      </c>
      <c r="AM345" s="8">
        <f>IF($O345="Aktif",MAX(0,MIN($AE345,$AD345-SUM($AG345:AL345))),0)</f>
        <v>31210.75</v>
      </c>
      <c r="AN345" s="8">
        <f>IF($O345="Aktif",MAX(0,MIN($AE345,$AD345-SUM($AG345:AM345))),0)</f>
        <v>31210.75</v>
      </c>
      <c r="AO345" s="8">
        <f>IF($O345="Aktif",MAX(0,MIN($AE345,$AD345-SUM($AG345:AN345))),0)</f>
        <v>31210.75</v>
      </c>
      <c r="AP345" s="8">
        <f>IF($O345="Aktif",MAX(0,MIN($AE345,$AD345-SUM($AG345:AO345))),0)</f>
        <v>31210.75</v>
      </c>
      <c r="AQ345" s="8">
        <f>IF($O345="Aktif",MAX(0,MIN($AE345,$AD345-SUM($AG345:AP345))),0)</f>
        <v>31210.75</v>
      </c>
      <c r="AR345" s="8">
        <f>IF($O345="Aktif",MAX(0,MIN($AE345,$AD345-SUM($AG345:AQ345))),0)</f>
        <v>31210.75</v>
      </c>
      <c r="AS345" s="8">
        <f>IF($O345="Aktif",MAX(0,MIN($AE345,$AD345-SUM($AG345:AR345))),0)</f>
        <v>31210.75</v>
      </c>
      <c r="AT345" s="8">
        <f>IF($O345="Aktif",MAX(0,MIN($AE345,$AD345-SUM($AG345:AS345))),0)</f>
        <v>31210.75</v>
      </c>
      <c r="AU345" s="8">
        <f>IF($O345="Aktif",MAX(0,MIN($AE345,$AD345-SUM($AG345:AT345))),0)</f>
        <v>31210.75</v>
      </c>
      <c r="AV345" s="8">
        <f>IF($O345="Aktif",MAX(0,MIN($AE345,$AD345-SUM($AG345:AU345))),0)</f>
        <v>31210.75</v>
      </c>
      <c r="AW345" s="8">
        <f t="shared" si="40"/>
        <v>499372</v>
      </c>
      <c r="AX345" s="8">
        <f t="shared" si="41"/>
        <v>811479.5</v>
      </c>
    </row>
    <row r="346" spans="1:50" ht="15" customHeight="1" x14ac:dyDescent="0.35">
      <c r="A346" s="102">
        <v>340</v>
      </c>
      <c r="B346" s="102" t="s">
        <v>586</v>
      </c>
      <c r="C346" s="103">
        <v>278</v>
      </c>
      <c r="D346" s="102" t="s">
        <v>184</v>
      </c>
      <c r="E346" s="102" t="s">
        <v>479</v>
      </c>
      <c r="F346" s="102" t="s">
        <v>947</v>
      </c>
      <c r="G346" s="102" t="s">
        <v>948</v>
      </c>
      <c r="H346" s="102" t="s">
        <v>949</v>
      </c>
      <c r="I346" s="102" t="s">
        <v>90</v>
      </c>
      <c r="J346" s="102"/>
      <c r="K346" s="102" t="s">
        <v>1263</v>
      </c>
      <c r="L346" s="104">
        <v>46094</v>
      </c>
      <c r="M346" s="102" t="s">
        <v>1264</v>
      </c>
      <c r="N346" s="102" t="s">
        <v>1264</v>
      </c>
      <c r="O346" s="102" t="s">
        <v>383</v>
      </c>
      <c r="P346" s="103">
        <v>1</v>
      </c>
      <c r="Q346" s="105">
        <v>1498116</v>
      </c>
      <c r="R346" s="103">
        <v>48</v>
      </c>
      <c r="S346" s="105">
        <v>31210.75</v>
      </c>
      <c r="T346" s="105">
        <v>0</v>
      </c>
      <c r="U346" s="105">
        <v>0</v>
      </c>
      <c r="V346" s="105">
        <v>0</v>
      </c>
      <c r="W346" s="105">
        <v>31210.75</v>
      </c>
      <c r="X346" s="105">
        <v>31210.75</v>
      </c>
      <c r="Y346" s="105">
        <v>31210.75</v>
      </c>
      <c r="Z346" s="105">
        <v>31210.75</v>
      </c>
      <c r="AA346" s="105">
        <v>31210.75</v>
      </c>
      <c r="AB346" s="105">
        <v>31210.75</v>
      </c>
      <c r="AC346" s="8">
        <f t="shared" si="35"/>
        <v>187264.5</v>
      </c>
      <c r="AD346" s="8">
        <f t="shared" si="36"/>
        <v>1310851.5</v>
      </c>
      <c r="AE346" s="8">
        <f t="shared" si="37"/>
        <v>31210.75</v>
      </c>
      <c r="AF346" s="106">
        <f t="shared" si="38"/>
        <v>42</v>
      </c>
      <c r="AG346" s="8">
        <f t="shared" si="39"/>
        <v>31210.75</v>
      </c>
      <c r="AH346" s="8">
        <f>IF($O346="Aktif",MAX(0,MIN($AE346,$AD346-SUM($AG346:AG346))),0)</f>
        <v>31210.75</v>
      </c>
      <c r="AI346" s="8">
        <f>IF($O346="Aktif",MAX(0,MIN($AE346,$AD346-SUM($AG346:AH346))),0)</f>
        <v>31210.75</v>
      </c>
      <c r="AJ346" s="8">
        <f>IF($O346="Aktif",MAX(0,MIN($AE346,$AD346-SUM($AG346:AI346))),0)</f>
        <v>31210.75</v>
      </c>
      <c r="AK346" s="8">
        <f>IF($O346="Aktif",MAX(0,MIN($AE346,$AD346-SUM($AG346:AJ346))),0)</f>
        <v>31210.75</v>
      </c>
      <c r="AL346" s="8">
        <f>IF($O346="Aktif",MAX(0,MIN($AE346,$AD346-SUM($AG346:AK346))),0)</f>
        <v>31210.75</v>
      </c>
      <c r="AM346" s="8">
        <f>IF($O346="Aktif",MAX(0,MIN($AE346,$AD346-SUM($AG346:AL346))),0)</f>
        <v>31210.75</v>
      </c>
      <c r="AN346" s="8">
        <f>IF($O346="Aktif",MAX(0,MIN($AE346,$AD346-SUM($AG346:AM346))),0)</f>
        <v>31210.75</v>
      </c>
      <c r="AO346" s="8">
        <f>IF($O346="Aktif",MAX(0,MIN($AE346,$AD346-SUM($AG346:AN346))),0)</f>
        <v>31210.75</v>
      </c>
      <c r="AP346" s="8">
        <f>IF($O346="Aktif",MAX(0,MIN($AE346,$AD346-SUM($AG346:AO346))),0)</f>
        <v>31210.75</v>
      </c>
      <c r="AQ346" s="8">
        <f>IF($O346="Aktif",MAX(0,MIN($AE346,$AD346-SUM($AG346:AP346))),0)</f>
        <v>31210.75</v>
      </c>
      <c r="AR346" s="8">
        <f>IF($O346="Aktif",MAX(0,MIN($AE346,$AD346-SUM($AG346:AQ346))),0)</f>
        <v>31210.75</v>
      </c>
      <c r="AS346" s="8">
        <f>IF($O346="Aktif",MAX(0,MIN($AE346,$AD346-SUM($AG346:AR346))),0)</f>
        <v>31210.75</v>
      </c>
      <c r="AT346" s="8">
        <f>IF($O346="Aktif",MAX(0,MIN($AE346,$AD346-SUM($AG346:AS346))),0)</f>
        <v>31210.75</v>
      </c>
      <c r="AU346" s="8">
        <f>IF($O346="Aktif",MAX(0,MIN($AE346,$AD346-SUM($AG346:AT346))),0)</f>
        <v>31210.75</v>
      </c>
      <c r="AV346" s="8">
        <f>IF($O346="Aktif",MAX(0,MIN($AE346,$AD346-SUM($AG346:AU346))),0)</f>
        <v>31210.75</v>
      </c>
      <c r="AW346" s="8">
        <f t="shared" si="40"/>
        <v>499372</v>
      </c>
      <c r="AX346" s="8">
        <f t="shared" si="41"/>
        <v>811479.5</v>
      </c>
    </row>
    <row r="347" spans="1:50" ht="15" customHeight="1" x14ac:dyDescent="0.35">
      <c r="A347" s="102">
        <v>341</v>
      </c>
      <c r="B347" s="102" t="s">
        <v>586</v>
      </c>
      <c r="C347" s="103">
        <v>279</v>
      </c>
      <c r="D347" s="102" t="s">
        <v>184</v>
      </c>
      <c r="E347" s="102" t="s">
        <v>479</v>
      </c>
      <c r="F347" s="102" t="s">
        <v>947</v>
      </c>
      <c r="G347" s="102" t="s">
        <v>948</v>
      </c>
      <c r="H347" s="102" t="s">
        <v>949</v>
      </c>
      <c r="I347" s="102" t="s">
        <v>90</v>
      </c>
      <c r="J347" s="102"/>
      <c r="K347" s="102" t="s">
        <v>1265</v>
      </c>
      <c r="L347" s="104">
        <v>46118</v>
      </c>
      <c r="M347" s="102" t="s">
        <v>1266</v>
      </c>
      <c r="N347" s="102" t="s">
        <v>1266</v>
      </c>
      <c r="O347" s="102" t="s">
        <v>383</v>
      </c>
      <c r="P347" s="103">
        <v>1</v>
      </c>
      <c r="Q347" s="105">
        <v>1218100</v>
      </c>
      <c r="R347" s="103">
        <v>48</v>
      </c>
      <c r="S347" s="105">
        <v>25377.083333333299</v>
      </c>
      <c r="T347" s="105">
        <v>0</v>
      </c>
      <c r="U347" s="105">
        <v>0</v>
      </c>
      <c r="V347" s="105">
        <v>0</v>
      </c>
      <c r="W347" s="105">
        <v>0</v>
      </c>
      <c r="X347" s="105">
        <v>25377.083333333299</v>
      </c>
      <c r="Y347" s="105">
        <v>25377.083333333299</v>
      </c>
      <c r="Z347" s="105">
        <v>25377.083333333299</v>
      </c>
      <c r="AA347" s="105">
        <v>25377.083333333299</v>
      </c>
      <c r="AB347" s="105">
        <v>25377.083333333299</v>
      </c>
      <c r="AC347" s="8">
        <f t="shared" si="35"/>
        <v>126885.4166666665</v>
      </c>
      <c r="AD347" s="8">
        <f t="shared" si="36"/>
        <v>1091214.5833333335</v>
      </c>
      <c r="AE347" s="8">
        <f t="shared" si="37"/>
        <v>25377.083333333299</v>
      </c>
      <c r="AF347" s="106">
        <f t="shared" si="38"/>
        <v>43.000000000000064</v>
      </c>
      <c r="AG347" s="8">
        <f t="shared" si="39"/>
        <v>25377.083333333299</v>
      </c>
      <c r="AH347" s="8">
        <f>IF($O347="Aktif",MAX(0,MIN($AE347,$AD347-SUM($AG347:AG347))),0)</f>
        <v>25377.083333333299</v>
      </c>
      <c r="AI347" s="8">
        <f>IF($O347="Aktif",MAX(0,MIN($AE347,$AD347-SUM($AG347:AH347))),0)</f>
        <v>25377.083333333299</v>
      </c>
      <c r="AJ347" s="8">
        <f>IF($O347="Aktif",MAX(0,MIN($AE347,$AD347-SUM($AG347:AI347))),0)</f>
        <v>25377.083333333299</v>
      </c>
      <c r="AK347" s="8">
        <f>IF($O347="Aktif",MAX(0,MIN($AE347,$AD347-SUM($AG347:AJ347))),0)</f>
        <v>25377.083333333299</v>
      </c>
      <c r="AL347" s="8">
        <f>IF($O347="Aktif",MAX(0,MIN($AE347,$AD347-SUM($AG347:AK347))),0)</f>
        <v>25377.083333333299</v>
      </c>
      <c r="AM347" s="8">
        <f>IF($O347="Aktif",MAX(0,MIN($AE347,$AD347-SUM($AG347:AL347))),0)</f>
        <v>25377.083333333299</v>
      </c>
      <c r="AN347" s="8">
        <f>IF($O347="Aktif",MAX(0,MIN($AE347,$AD347-SUM($AG347:AM347))),0)</f>
        <v>25377.083333333299</v>
      </c>
      <c r="AO347" s="8">
        <f>IF($O347="Aktif",MAX(0,MIN($AE347,$AD347-SUM($AG347:AN347))),0)</f>
        <v>25377.083333333299</v>
      </c>
      <c r="AP347" s="8">
        <f>IF($O347="Aktif",MAX(0,MIN($AE347,$AD347-SUM($AG347:AO347))),0)</f>
        <v>25377.083333333299</v>
      </c>
      <c r="AQ347" s="8">
        <f>IF($O347="Aktif",MAX(0,MIN($AE347,$AD347-SUM($AG347:AP347))),0)</f>
        <v>25377.083333333299</v>
      </c>
      <c r="AR347" s="8">
        <f>IF($O347="Aktif",MAX(0,MIN($AE347,$AD347-SUM($AG347:AQ347))),0)</f>
        <v>25377.083333333299</v>
      </c>
      <c r="AS347" s="8">
        <f>IF($O347="Aktif",MAX(0,MIN($AE347,$AD347-SUM($AG347:AR347))),0)</f>
        <v>25377.083333333299</v>
      </c>
      <c r="AT347" s="8">
        <f>IF($O347="Aktif",MAX(0,MIN($AE347,$AD347-SUM($AG347:AS347))),0)</f>
        <v>25377.083333333299</v>
      </c>
      <c r="AU347" s="8">
        <f>IF($O347="Aktif",MAX(0,MIN($AE347,$AD347-SUM($AG347:AT347))),0)</f>
        <v>25377.083333333299</v>
      </c>
      <c r="AV347" s="8">
        <f>IF($O347="Aktif",MAX(0,MIN($AE347,$AD347-SUM($AG347:AU347))),0)</f>
        <v>25377.083333333299</v>
      </c>
      <c r="AW347" s="8">
        <f t="shared" si="40"/>
        <v>406033.33333333291</v>
      </c>
      <c r="AX347" s="8">
        <f t="shared" si="41"/>
        <v>685181.25000000058</v>
      </c>
    </row>
    <row r="348" spans="1:50" ht="15" customHeight="1" x14ac:dyDescent="0.35">
      <c r="A348" s="102">
        <v>342</v>
      </c>
      <c r="B348" s="102" t="s">
        <v>586</v>
      </c>
      <c r="C348" s="103">
        <v>280</v>
      </c>
      <c r="D348" s="102" t="s">
        <v>184</v>
      </c>
      <c r="E348" s="102" t="s">
        <v>479</v>
      </c>
      <c r="F348" s="102" t="s">
        <v>947</v>
      </c>
      <c r="G348" s="102" t="s">
        <v>948</v>
      </c>
      <c r="H348" s="102" t="s">
        <v>949</v>
      </c>
      <c r="I348" s="102" t="s">
        <v>90</v>
      </c>
      <c r="J348" s="102"/>
      <c r="K348" s="102" t="s">
        <v>1267</v>
      </c>
      <c r="L348" s="102" t="s">
        <v>1268</v>
      </c>
      <c r="M348" s="102" t="s">
        <v>1269</v>
      </c>
      <c r="N348" s="102" t="s">
        <v>1269</v>
      </c>
      <c r="O348" s="102" t="s">
        <v>383</v>
      </c>
      <c r="P348" s="103">
        <v>1</v>
      </c>
      <c r="Q348" s="105">
        <v>1824324</v>
      </c>
      <c r="R348" s="103">
        <v>48</v>
      </c>
      <c r="S348" s="105">
        <v>38006.75</v>
      </c>
      <c r="T348" s="105">
        <v>0</v>
      </c>
      <c r="U348" s="105">
        <v>0</v>
      </c>
      <c r="V348" s="105">
        <v>0</v>
      </c>
      <c r="W348" s="105">
        <v>0</v>
      </c>
      <c r="X348" s="105">
        <v>0</v>
      </c>
      <c r="Y348" s="105">
        <v>38006.75</v>
      </c>
      <c r="Z348" s="105">
        <v>38006.75</v>
      </c>
      <c r="AA348" s="105">
        <v>38006.75</v>
      </c>
      <c r="AB348" s="105">
        <v>38006.75</v>
      </c>
      <c r="AC348" s="8">
        <f t="shared" si="35"/>
        <v>152027</v>
      </c>
      <c r="AD348" s="8">
        <f t="shared" si="36"/>
        <v>1672297</v>
      </c>
      <c r="AE348" s="8">
        <f t="shared" si="37"/>
        <v>38006.75</v>
      </c>
      <c r="AF348" s="106">
        <f t="shared" si="38"/>
        <v>44</v>
      </c>
      <c r="AG348" s="8">
        <f t="shared" si="39"/>
        <v>38006.75</v>
      </c>
      <c r="AH348" s="8">
        <f>IF($O348="Aktif",MAX(0,MIN($AE348,$AD348-SUM($AG348:AG348))),0)</f>
        <v>38006.75</v>
      </c>
      <c r="AI348" s="8">
        <f>IF($O348="Aktif",MAX(0,MIN($AE348,$AD348-SUM($AG348:AH348))),0)</f>
        <v>38006.75</v>
      </c>
      <c r="AJ348" s="8">
        <f>IF($O348="Aktif",MAX(0,MIN($AE348,$AD348-SUM($AG348:AI348))),0)</f>
        <v>38006.75</v>
      </c>
      <c r="AK348" s="8">
        <f>IF($O348="Aktif",MAX(0,MIN($AE348,$AD348-SUM($AG348:AJ348))),0)</f>
        <v>38006.75</v>
      </c>
      <c r="AL348" s="8">
        <f>IF($O348="Aktif",MAX(0,MIN($AE348,$AD348-SUM($AG348:AK348))),0)</f>
        <v>38006.75</v>
      </c>
      <c r="AM348" s="8">
        <f>IF($O348="Aktif",MAX(0,MIN($AE348,$AD348-SUM($AG348:AL348))),0)</f>
        <v>38006.75</v>
      </c>
      <c r="AN348" s="8">
        <f>IF($O348="Aktif",MAX(0,MIN($AE348,$AD348-SUM($AG348:AM348))),0)</f>
        <v>38006.75</v>
      </c>
      <c r="AO348" s="8">
        <f>IF($O348="Aktif",MAX(0,MIN($AE348,$AD348-SUM($AG348:AN348))),0)</f>
        <v>38006.75</v>
      </c>
      <c r="AP348" s="8">
        <f>IF($O348="Aktif",MAX(0,MIN($AE348,$AD348-SUM($AG348:AO348))),0)</f>
        <v>38006.75</v>
      </c>
      <c r="AQ348" s="8">
        <f>IF($O348="Aktif",MAX(0,MIN($AE348,$AD348-SUM($AG348:AP348))),0)</f>
        <v>38006.75</v>
      </c>
      <c r="AR348" s="8">
        <f>IF($O348="Aktif",MAX(0,MIN($AE348,$AD348-SUM($AG348:AQ348))),0)</f>
        <v>38006.75</v>
      </c>
      <c r="AS348" s="8">
        <f>IF($O348="Aktif",MAX(0,MIN($AE348,$AD348-SUM($AG348:AR348))),0)</f>
        <v>38006.75</v>
      </c>
      <c r="AT348" s="8">
        <f>IF($O348="Aktif",MAX(0,MIN($AE348,$AD348-SUM($AG348:AS348))),0)</f>
        <v>38006.75</v>
      </c>
      <c r="AU348" s="8">
        <f>IF($O348="Aktif",MAX(0,MIN($AE348,$AD348-SUM($AG348:AT348))),0)</f>
        <v>38006.75</v>
      </c>
      <c r="AV348" s="8">
        <f>IF($O348="Aktif",MAX(0,MIN($AE348,$AD348-SUM($AG348:AU348))),0)</f>
        <v>38006.75</v>
      </c>
      <c r="AW348" s="8">
        <f t="shared" si="40"/>
        <v>608108</v>
      </c>
      <c r="AX348" s="8">
        <f t="shared" si="41"/>
        <v>1064189</v>
      </c>
    </row>
    <row r="349" spans="1:50" ht="15" customHeight="1" x14ac:dyDescent="0.35">
      <c r="A349" s="102">
        <v>343</v>
      </c>
      <c r="B349" s="102" t="s">
        <v>586</v>
      </c>
      <c r="C349" s="103">
        <v>281</v>
      </c>
      <c r="D349" s="102" t="s">
        <v>184</v>
      </c>
      <c r="E349" s="102" t="s">
        <v>479</v>
      </c>
      <c r="F349" s="102" t="s">
        <v>947</v>
      </c>
      <c r="G349" s="102" t="s">
        <v>948</v>
      </c>
      <c r="H349" s="102" t="s">
        <v>949</v>
      </c>
      <c r="I349" s="102" t="s">
        <v>90</v>
      </c>
      <c r="J349" s="102"/>
      <c r="K349" s="102" t="s">
        <v>1270</v>
      </c>
      <c r="L349" s="102" t="s">
        <v>1268</v>
      </c>
      <c r="M349" s="102" t="s">
        <v>1271</v>
      </c>
      <c r="N349" s="102" t="s">
        <v>1271</v>
      </c>
      <c r="O349" s="102" t="s">
        <v>383</v>
      </c>
      <c r="P349" s="103">
        <v>1</v>
      </c>
      <c r="Q349" s="105">
        <v>1650000</v>
      </c>
      <c r="R349" s="103">
        <v>48</v>
      </c>
      <c r="S349" s="105">
        <v>34375</v>
      </c>
      <c r="T349" s="105">
        <v>0</v>
      </c>
      <c r="U349" s="105">
        <v>0</v>
      </c>
      <c r="V349" s="105">
        <v>0</v>
      </c>
      <c r="W349" s="105">
        <v>0</v>
      </c>
      <c r="X349" s="105">
        <v>0</v>
      </c>
      <c r="Y349" s="105">
        <v>34375</v>
      </c>
      <c r="Z349" s="105">
        <v>34375</v>
      </c>
      <c r="AA349" s="105">
        <v>34375</v>
      </c>
      <c r="AB349" s="105">
        <v>34375</v>
      </c>
      <c r="AC349" s="8">
        <f t="shared" si="35"/>
        <v>137500</v>
      </c>
      <c r="AD349" s="8">
        <f t="shared" si="36"/>
        <v>1512500</v>
      </c>
      <c r="AE349" s="8">
        <f t="shared" si="37"/>
        <v>34375</v>
      </c>
      <c r="AF349" s="106">
        <f t="shared" si="38"/>
        <v>44</v>
      </c>
      <c r="AG349" s="8">
        <f t="shared" si="39"/>
        <v>34375</v>
      </c>
      <c r="AH349" s="8">
        <f>IF($O349="Aktif",MAX(0,MIN($AE349,$AD349-SUM($AG349:AG349))),0)</f>
        <v>34375</v>
      </c>
      <c r="AI349" s="8">
        <f>IF($O349="Aktif",MAX(0,MIN($AE349,$AD349-SUM($AG349:AH349))),0)</f>
        <v>34375</v>
      </c>
      <c r="AJ349" s="8">
        <f>IF($O349="Aktif",MAX(0,MIN($AE349,$AD349-SUM($AG349:AI349))),0)</f>
        <v>34375</v>
      </c>
      <c r="AK349" s="8">
        <f>IF($O349="Aktif",MAX(0,MIN($AE349,$AD349-SUM($AG349:AJ349))),0)</f>
        <v>34375</v>
      </c>
      <c r="AL349" s="8">
        <f>IF($O349="Aktif",MAX(0,MIN($AE349,$AD349-SUM($AG349:AK349))),0)</f>
        <v>34375</v>
      </c>
      <c r="AM349" s="8">
        <f>IF($O349="Aktif",MAX(0,MIN($AE349,$AD349-SUM($AG349:AL349))),0)</f>
        <v>34375</v>
      </c>
      <c r="AN349" s="8">
        <f>IF($O349="Aktif",MAX(0,MIN($AE349,$AD349-SUM($AG349:AM349))),0)</f>
        <v>34375</v>
      </c>
      <c r="AO349" s="8">
        <f>IF($O349="Aktif",MAX(0,MIN($AE349,$AD349-SUM($AG349:AN349))),0)</f>
        <v>34375</v>
      </c>
      <c r="AP349" s="8">
        <f>IF($O349="Aktif",MAX(0,MIN($AE349,$AD349-SUM($AG349:AO349))),0)</f>
        <v>34375</v>
      </c>
      <c r="AQ349" s="8">
        <f>IF($O349="Aktif",MAX(0,MIN($AE349,$AD349-SUM($AG349:AP349))),0)</f>
        <v>34375</v>
      </c>
      <c r="AR349" s="8">
        <f>IF($O349="Aktif",MAX(0,MIN($AE349,$AD349-SUM($AG349:AQ349))),0)</f>
        <v>34375</v>
      </c>
      <c r="AS349" s="8">
        <f>IF($O349="Aktif",MAX(0,MIN($AE349,$AD349-SUM($AG349:AR349))),0)</f>
        <v>34375</v>
      </c>
      <c r="AT349" s="8">
        <f>IF($O349="Aktif",MAX(0,MIN($AE349,$AD349-SUM($AG349:AS349))),0)</f>
        <v>34375</v>
      </c>
      <c r="AU349" s="8">
        <f>IF($O349="Aktif",MAX(0,MIN($AE349,$AD349-SUM($AG349:AT349))),0)</f>
        <v>34375</v>
      </c>
      <c r="AV349" s="8">
        <f>IF($O349="Aktif",MAX(0,MIN($AE349,$AD349-SUM($AG349:AU349))),0)</f>
        <v>34375</v>
      </c>
      <c r="AW349" s="8">
        <f t="shared" si="40"/>
        <v>550000</v>
      </c>
      <c r="AX349" s="8">
        <f t="shared" si="41"/>
        <v>962500</v>
      </c>
    </row>
    <row r="350" spans="1:50" ht="15" customHeight="1" x14ac:dyDescent="0.35">
      <c r="A350" s="102">
        <v>344</v>
      </c>
      <c r="B350" s="102" t="s">
        <v>586</v>
      </c>
      <c r="C350" s="103">
        <v>282</v>
      </c>
      <c r="D350" s="102" t="s">
        <v>184</v>
      </c>
      <c r="E350" s="102" t="s">
        <v>479</v>
      </c>
      <c r="F350" s="102" t="s">
        <v>947</v>
      </c>
      <c r="G350" s="102" t="s">
        <v>948</v>
      </c>
      <c r="H350" s="102" t="s">
        <v>949</v>
      </c>
      <c r="I350" s="102" t="s">
        <v>90</v>
      </c>
      <c r="J350" s="102"/>
      <c r="K350" s="102" t="s">
        <v>1272</v>
      </c>
      <c r="L350" s="104">
        <v>46188</v>
      </c>
      <c r="M350" s="102" t="s">
        <v>1273</v>
      </c>
      <c r="N350" s="102" t="s">
        <v>1273</v>
      </c>
      <c r="O350" s="102" t="s">
        <v>383</v>
      </c>
      <c r="P350" s="103">
        <v>1</v>
      </c>
      <c r="Q350" s="105">
        <v>2297297</v>
      </c>
      <c r="R350" s="103">
        <v>48</v>
      </c>
      <c r="S350" s="105">
        <v>47860.354166666701</v>
      </c>
      <c r="T350" s="105">
        <v>0</v>
      </c>
      <c r="U350" s="105">
        <v>0</v>
      </c>
      <c r="V350" s="105">
        <v>0</v>
      </c>
      <c r="W350" s="105">
        <v>0</v>
      </c>
      <c r="X350" s="105">
        <v>0</v>
      </c>
      <c r="Y350" s="105">
        <v>0</v>
      </c>
      <c r="Z350" s="105">
        <v>47860.354166666701</v>
      </c>
      <c r="AA350" s="105">
        <v>47860.354166666701</v>
      </c>
      <c r="AB350" s="105">
        <v>47860.354166666701</v>
      </c>
      <c r="AC350" s="8">
        <f t="shared" si="35"/>
        <v>143581.06250000012</v>
      </c>
      <c r="AD350" s="8">
        <f t="shared" si="36"/>
        <v>2153715.9375</v>
      </c>
      <c r="AE350" s="8">
        <f t="shared" si="37"/>
        <v>47860.354166666701</v>
      </c>
      <c r="AF350" s="106">
        <f t="shared" si="38"/>
        <v>44.999999999999972</v>
      </c>
      <c r="AG350" s="8">
        <f t="shared" si="39"/>
        <v>47860.354166666701</v>
      </c>
      <c r="AH350" s="8">
        <f>IF($O350="Aktif",MAX(0,MIN($AE350,$AD350-SUM($AG350:AG350))),0)</f>
        <v>47860.354166666701</v>
      </c>
      <c r="AI350" s="8">
        <f>IF($O350="Aktif",MAX(0,MIN($AE350,$AD350-SUM($AG350:AH350))),0)</f>
        <v>47860.354166666701</v>
      </c>
      <c r="AJ350" s="8">
        <f>IF($O350="Aktif",MAX(0,MIN($AE350,$AD350-SUM($AG350:AI350))),0)</f>
        <v>47860.354166666701</v>
      </c>
      <c r="AK350" s="8">
        <f>IF($O350="Aktif",MAX(0,MIN($AE350,$AD350-SUM($AG350:AJ350))),0)</f>
        <v>47860.354166666701</v>
      </c>
      <c r="AL350" s="8">
        <f>IF($O350="Aktif",MAX(0,MIN($AE350,$AD350-SUM($AG350:AK350))),0)</f>
        <v>47860.354166666701</v>
      </c>
      <c r="AM350" s="8">
        <f>IF($O350="Aktif",MAX(0,MIN($AE350,$AD350-SUM($AG350:AL350))),0)</f>
        <v>47860.354166666701</v>
      </c>
      <c r="AN350" s="8">
        <f>IF($O350="Aktif",MAX(0,MIN($AE350,$AD350-SUM($AG350:AM350))),0)</f>
        <v>47860.354166666701</v>
      </c>
      <c r="AO350" s="8">
        <f>IF($O350="Aktif",MAX(0,MIN($AE350,$AD350-SUM($AG350:AN350))),0)</f>
        <v>47860.354166666701</v>
      </c>
      <c r="AP350" s="8">
        <f>IF($O350="Aktif",MAX(0,MIN($AE350,$AD350-SUM($AG350:AO350))),0)</f>
        <v>47860.354166666701</v>
      </c>
      <c r="AQ350" s="8">
        <f>IF($O350="Aktif",MAX(0,MIN($AE350,$AD350-SUM($AG350:AP350))),0)</f>
        <v>47860.354166666701</v>
      </c>
      <c r="AR350" s="8">
        <f>IF($O350="Aktif",MAX(0,MIN($AE350,$AD350-SUM($AG350:AQ350))),0)</f>
        <v>47860.354166666701</v>
      </c>
      <c r="AS350" s="8">
        <f>IF($O350="Aktif",MAX(0,MIN($AE350,$AD350-SUM($AG350:AR350))),0)</f>
        <v>47860.354166666701</v>
      </c>
      <c r="AT350" s="8">
        <f>IF($O350="Aktif",MAX(0,MIN($AE350,$AD350-SUM($AG350:AS350))),0)</f>
        <v>47860.354166666701</v>
      </c>
      <c r="AU350" s="8">
        <f>IF($O350="Aktif",MAX(0,MIN($AE350,$AD350-SUM($AG350:AT350))),0)</f>
        <v>47860.354166666701</v>
      </c>
      <c r="AV350" s="8">
        <f>IF($O350="Aktif",MAX(0,MIN($AE350,$AD350-SUM($AG350:AU350))),0)</f>
        <v>47860.354166666701</v>
      </c>
      <c r="AW350" s="8">
        <f t="shared" si="40"/>
        <v>765765.66666666733</v>
      </c>
      <c r="AX350" s="8">
        <f t="shared" si="41"/>
        <v>1387950.2708333326</v>
      </c>
    </row>
    <row r="351" spans="1:50" ht="15" customHeight="1" x14ac:dyDescent="0.35">
      <c r="A351" s="102">
        <v>345</v>
      </c>
      <c r="B351" s="102" t="s">
        <v>586</v>
      </c>
      <c r="C351" s="103">
        <v>283</v>
      </c>
      <c r="D351" s="102" t="s">
        <v>184</v>
      </c>
      <c r="E351" s="102" t="s">
        <v>479</v>
      </c>
      <c r="F351" s="102" t="s">
        <v>947</v>
      </c>
      <c r="G351" s="102" t="s">
        <v>948</v>
      </c>
      <c r="H351" s="102" t="s">
        <v>949</v>
      </c>
      <c r="I351" s="102" t="s">
        <v>90</v>
      </c>
      <c r="J351" s="102"/>
      <c r="K351" s="102" t="s">
        <v>1274</v>
      </c>
      <c r="L351" s="104">
        <v>46188</v>
      </c>
      <c r="M351" s="102" t="s">
        <v>1275</v>
      </c>
      <c r="N351" s="102" t="s">
        <v>1275</v>
      </c>
      <c r="O351" s="102" t="s">
        <v>383</v>
      </c>
      <c r="P351" s="103">
        <v>1</v>
      </c>
      <c r="Q351" s="105">
        <v>5495496</v>
      </c>
      <c r="R351" s="103">
        <v>48</v>
      </c>
      <c r="S351" s="105">
        <v>114489.5</v>
      </c>
      <c r="T351" s="105">
        <v>0</v>
      </c>
      <c r="U351" s="105">
        <v>0</v>
      </c>
      <c r="V351" s="105">
        <v>0</v>
      </c>
      <c r="W351" s="105">
        <v>0</v>
      </c>
      <c r="X351" s="105">
        <v>0</v>
      </c>
      <c r="Y351" s="105">
        <v>0</v>
      </c>
      <c r="Z351" s="105">
        <v>114489.5</v>
      </c>
      <c r="AA351" s="105">
        <v>114489.5</v>
      </c>
      <c r="AB351" s="105">
        <v>114489.5</v>
      </c>
      <c r="AC351" s="8">
        <f t="shared" si="35"/>
        <v>343468.5</v>
      </c>
      <c r="AD351" s="8">
        <f t="shared" si="36"/>
        <v>5152027.5</v>
      </c>
      <c r="AE351" s="8">
        <f t="shared" si="37"/>
        <v>114489.5</v>
      </c>
      <c r="AF351" s="106">
        <f t="shared" si="38"/>
        <v>45</v>
      </c>
      <c r="AG351" s="8">
        <f t="shared" si="39"/>
        <v>114489.5</v>
      </c>
      <c r="AH351" s="8">
        <f>IF($O351="Aktif",MAX(0,MIN($AE351,$AD351-SUM($AG351:AG351))),0)</f>
        <v>114489.5</v>
      </c>
      <c r="AI351" s="8">
        <f>IF($O351="Aktif",MAX(0,MIN($AE351,$AD351-SUM($AG351:AH351))),0)</f>
        <v>114489.5</v>
      </c>
      <c r="AJ351" s="8">
        <f>IF($O351="Aktif",MAX(0,MIN($AE351,$AD351-SUM($AG351:AI351))),0)</f>
        <v>114489.5</v>
      </c>
      <c r="AK351" s="8">
        <f>IF($O351="Aktif",MAX(0,MIN($AE351,$AD351-SUM($AG351:AJ351))),0)</f>
        <v>114489.5</v>
      </c>
      <c r="AL351" s="8">
        <f>IF($O351="Aktif",MAX(0,MIN($AE351,$AD351-SUM($AG351:AK351))),0)</f>
        <v>114489.5</v>
      </c>
      <c r="AM351" s="8">
        <f>IF($O351="Aktif",MAX(0,MIN($AE351,$AD351-SUM($AG351:AL351))),0)</f>
        <v>114489.5</v>
      </c>
      <c r="AN351" s="8">
        <f>IF($O351="Aktif",MAX(0,MIN($AE351,$AD351-SUM($AG351:AM351))),0)</f>
        <v>114489.5</v>
      </c>
      <c r="AO351" s="8">
        <f>IF($O351="Aktif",MAX(0,MIN($AE351,$AD351-SUM($AG351:AN351))),0)</f>
        <v>114489.5</v>
      </c>
      <c r="AP351" s="8">
        <f>IF($O351="Aktif",MAX(0,MIN($AE351,$AD351-SUM($AG351:AO351))),0)</f>
        <v>114489.5</v>
      </c>
      <c r="AQ351" s="8">
        <f>IF($O351="Aktif",MAX(0,MIN($AE351,$AD351-SUM($AG351:AP351))),0)</f>
        <v>114489.5</v>
      </c>
      <c r="AR351" s="8">
        <f>IF($O351="Aktif",MAX(0,MIN($AE351,$AD351-SUM($AG351:AQ351))),0)</f>
        <v>114489.5</v>
      </c>
      <c r="AS351" s="8">
        <f>IF($O351="Aktif",MAX(0,MIN($AE351,$AD351-SUM($AG351:AR351))),0)</f>
        <v>114489.5</v>
      </c>
      <c r="AT351" s="8">
        <f>IF($O351="Aktif",MAX(0,MIN($AE351,$AD351-SUM($AG351:AS351))),0)</f>
        <v>114489.5</v>
      </c>
      <c r="AU351" s="8">
        <f>IF($O351="Aktif",MAX(0,MIN($AE351,$AD351-SUM($AG351:AT351))),0)</f>
        <v>114489.5</v>
      </c>
      <c r="AV351" s="8">
        <f>IF($O351="Aktif",MAX(0,MIN($AE351,$AD351-SUM($AG351:AU351))),0)</f>
        <v>114489.5</v>
      </c>
      <c r="AW351" s="8">
        <f t="shared" si="40"/>
        <v>1831832</v>
      </c>
      <c r="AX351" s="8">
        <f t="shared" si="41"/>
        <v>3320195.5</v>
      </c>
    </row>
    <row r="352" spans="1:50" ht="15" customHeight="1" x14ac:dyDescent="0.35">
      <c r="A352" s="102">
        <v>346</v>
      </c>
      <c r="B352" s="102" t="s">
        <v>586</v>
      </c>
      <c r="C352" s="103">
        <v>284</v>
      </c>
      <c r="D352" s="102" t="s">
        <v>184</v>
      </c>
      <c r="E352" s="102" t="s">
        <v>479</v>
      </c>
      <c r="F352" s="102" t="s">
        <v>947</v>
      </c>
      <c r="G352" s="102" t="s">
        <v>948</v>
      </c>
      <c r="H352" s="102" t="s">
        <v>949</v>
      </c>
      <c r="I352" s="102" t="s">
        <v>90</v>
      </c>
      <c r="J352" s="102"/>
      <c r="K352" s="102" t="s">
        <v>1276</v>
      </c>
      <c r="L352" s="102" t="s">
        <v>1277</v>
      </c>
      <c r="M352" s="102" t="s">
        <v>1278</v>
      </c>
      <c r="N352" s="102" t="s">
        <v>1278</v>
      </c>
      <c r="O352" s="102" t="s">
        <v>383</v>
      </c>
      <c r="P352" s="103">
        <v>1</v>
      </c>
      <c r="Q352" s="105">
        <v>12015315</v>
      </c>
      <c r="R352" s="103">
        <v>48</v>
      </c>
      <c r="S352" s="105">
        <v>250319.0625</v>
      </c>
      <c r="T352" s="105">
        <v>0</v>
      </c>
      <c r="U352" s="105">
        <v>0</v>
      </c>
      <c r="V352" s="105">
        <v>0</v>
      </c>
      <c r="W352" s="105">
        <v>0</v>
      </c>
      <c r="X352" s="105">
        <v>0</v>
      </c>
      <c r="Y352" s="105">
        <v>0</v>
      </c>
      <c r="Z352" s="105">
        <v>0</v>
      </c>
      <c r="AA352" s="105">
        <v>250319.0625</v>
      </c>
      <c r="AB352" s="105">
        <v>250319.0625</v>
      </c>
      <c r="AC352" s="8">
        <f t="shared" si="35"/>
        <v>500638.125</v>
      </c>
      <c r="AD352" s="8">
        <f t="shared" si="36"/>
        <v>11514676.875</v>
      </c>
      <c r="AE352" s="8">
        <f t="shared" si="37"/>
        <v>250319.0625</v>
      </c>
      <c r="AF352" s="106">
        <f t="shared" si="38"/>
        <v>46</v>
      </c>
      <c r="AG352" s="8">
        <f t="shared" si="39"/>
        <v>250319.0625</v>
      </c>
      <c r="AH352" s="8">
        <f>IF($O352="Aktif",MAX(0,MIN($AE352,$AD352-SUM($AG352:AG352))),0)</f>
        <v>250319.0625</v>
      </c>
      <c r="AI352" s="8">
        <f>IF($O352="Aktif",MAX(0,MIN($AE352,$AD352-SUM($AG352:AH352))),0)</f>
        <v>250319.0625</v>
      </c>
      <c r="AJ352" s="8">
        <f>IF($O352="Aktif",MAX(0,MIN($AE352,$AD352-SUM($AG352:AI352))),0)</f>
        <v>250319.0625</v>
      </c>
      <c r="AK352" s="8">
        <f>IF($O352="Aktif",MAX(0,MIN($AE352,$AD352-SUM($AG352:AJ352))),0)</f>
        <v>250319.0625</v>
      </c>
      <c r="AL352" s="8">
        <f>IF($O352="Aktif",MAX(0,MIN($AE352,$AD352-SUM($AG352:AK352))),0)</f>
        <v>250319.0625</v>
      </c>
      <c r="AM352" s="8">
        <f>IF($O352="Aktif",MAX(0,MIN($AE352,$AD352-SUM($AG352:AL352))),0)</f>
        <v>250319.0625</v>
      </c>
      <c r="AN352" s="8">
        <f>IF($O352="Aktif",MAX(0,MIN($AE352,$AD352-SUM($AG352:AM352))),0)</f>
        <v>250319.0625</v>
      </c>
      <c r="AO352" s="8">
        <f>IF($O352="Aktif",MAX(0,MIN($AE352,$AD352-SUM($AG352:AN352))),0)</f>
        <v>250319.0625</v>
      </c>
      <c r="AP352" s="8">
        <f>IF($O352="Aktif",MAX(0,MIN($AE352,$AD352-SUM($AG352:AO352))),0)</f>
        <v>250319.0625</v>
      </c>
      <c r="AQ352" s="8">
        <f>IF($O352="Aktif",MAX(0,MIN($AE352,$AD352-SUM($AG352:AP352))),0)</f>
        <v>250319.0625</v>
      </c>
      <c r="AR352" s="8">
        <f>IF($O352="Aktif",MAX(0,MIN($AE352,$AD352-SUM($AG352:AQ352))),0)</f>
        <v>250319.0625</v>
      </c>
      <c r="AS352" s="8">
        <f>IF($O352="Aktif",MAX(0,MIN($AE352,$AD352-SUM($AG352:AR352))),0)</f>
        <v>250319.0625</v>
      </c>
      <c r="AT352" s="8">
        <f>IF($O352="Aktif",MAX(0,MIN($AE352,$AD352-SUM($AG352:AS352))),0)</f>
        <v>250319.0625</v>
      </c>
      <c r="AU352" s="8">
        <f>IF($O352="Aktif",MAX(0,MIN($AE352,$AD352-SUM($AG352:AT352))),0)</f>
        <v>250319.0625</v>
      </c>
      <c r="AV352" s="8">
        <f>IF($O352="Aktif",MAX(0,MIN($AE352,$AD352-SUM($AG352:AU352))),0)</f>
        <v>250319.0625</v>
      </c>
      <c r="AW352" s="8">
        <f t="shared" si="40"/>
        <v>4005105</v>
      </c>
      <c r="AX352" s="8">
        <f t="shared" si="41"/>
        <v>7509571.875</v>
      </c>
    </row>
    <row r="353" spans="1:50" ht="15" customHeight="1" x14ac:dyDescent="0.35">
      <c r="A353" s="102">
        <v>347</v>
      </c>
      <c r="B353" s="102" t="s">
        <v>586</v>
      </c>
      <c r="C353" s="103">
        <v>285</v>
      </c>
      <c r="D353" s="102" t="s">
        <v>184</v>
      </c>
      <c r="E353" s="102" t="s">
        <v>479</v>
      </c>
      <c r="F353" s="102" t="s">
        <v>947</v>
      </c>
      <c r="G353" s="102" t="s">
        <v>948</v>
      </c>
      <c r="H353" s="102" t="s">
        <v>949</v>
      </c>
      <c r="I353" s="102" t="s">
        <v>90</v>
      </c>
      <c r="J353" s="102"/>
      <c r="K353" s="102" t="s">
        <v>1279</v>
      </c>
      <c r="L353" s="102" t="s">
        <v>1280</v>
      </c>
      <c r="M353" s="102" t="s">
        <v>1281</v>
      </c>
      <c r="N353" s="102" t="s">
        <v>1281</v>
      </c>
      <c r="O353" s="102" t="s">
        <v>383</v>
      </c>
      <c r="P353" s="103">
        <v>1</v>
      </c>
      <c r="Q353" s="105">
        <v>3981081</v>
      </c>
      <c r="R353" s="103">
        <v>48</v>
      </c>
      <c r="S353" s="105">
        <v>82939.1875</v>
      </c>
      <c r="T353" s="105">
        <v>0</v>
      </c>
      <c r="U353" s="105">
        <v>0</v>
      </c>
      <c r="V353" s="105">
        <v>0</v>
      </c>
      <c r="W353" s="105">
        <v>0</v>
      </c>
      <c r="X353" s="105">
        <v>0</v>
      </c>
      <c r="Y353" s="105">
        <v>0</v>
      </c>
      <c r="Z353" s="105">
        <v>0</v>
      </c>
      <c r="AA353" s="105">
        <v>82939.1875</v>
      </c>
      <c r="AB353" s="105">
        <v>82939.1875</v>
      </c>
      <c r="AC353" s="8">
        <f t="shared" si="35"/>
        <v>165878.375</v>
      </c>
      <c r="AD353" s="8">
        <f t="shared" si="36"/>
        <v>3815202.625</v>
      </c>
      <c r="AE353" s="8">
        <f t="shared" si="37"/>
        <v>82939.1875</v>
      </c>
      <c r="AF353" s="106">
        <f t="shared" si="38"/>
        <v>46</v>
      </c>
      <c r="AG353" s="8">
        <f t="shared" si="39"/>
        <v>82939.1875</v>
      </c>
      <c r="AH353" s="8">
        <f>IF($O353="Aktif",MAX(0,MIN($AE353,$AD353-SUM($AG353:AG353))),0)</f>
        <v>82939.1875</v>
      </c>
      <c r="AI353" s="8">
        <f>IF($O353="Aktif",MAX(0,MIN($AE353,$AD353-SUM($AG353:AH353))),0)</f>
        <v>82939.1875</v>
      </c>
      <c r="AJ353" s="8">
        <f>IF($O353="Aktif",MAX(0,MIN($AE353,$AD353-SUM($AG353:AI353))),0)</f>
        <v>82939.1875</v>
      </c>
      <c r="AK353" s="8">
        <f>IF($O353="Aktif",MAX(0,MIN($AE353,$AD353-SUM($AG353:AJ353))),0)</f>
        <v>82939.1875</v>
      </c>
      <c r="AL353" s="8">
        <f>IF($O353="Aktif",MAX(0,MIN($AE353,$AD353-SUM($AG353:AK353))),0)</f>
        <v>82939.1875</v>
      </c>
      <c r="AM353" s="8">
        <f>IF($O353="Aktif",MAX(0,MIN($AE353,$AD353-SUM($AG353:AL353))),0)</f>
        <v>82939.1875</v>
      </c>
      <c r="AN353" s="8">
        <f>IF($O353="Aktif",MAX(0,MIN($AE353,$AD353-SUM($AG353:AM353))),0)</f>
        <v>82939.1875</v>
      </c>
      <c r="AO353" s="8">
        <f>IF($O353="Aktif",MAX(0,MIN($AE353,$AD353-SUM($AG353:AN353))),0)</f>
        <v>82939.1875</v>
      </c>
      <c r="AP353" s="8">
        <f>IF($O353="Aktif",MAX(0,MIN($AE353,$AD353-SUM($AG353:AO353))),0)</f>
        <v>82939.1875</v>
      </c>
      <c r="AQ353" s="8">
        <f>IF($O353="Aktif",MAX(0,MIN($AE353,$AD353-SUM($AG353:AP353))),0)</f>
        <v>82939.1875</v>
      </c>
      <c r="AR353" s="8">
        <f>IF($O353="Aktif",MAX(0,MIN($AE353,$AD353-SUM($AG353:AQ353))),0)</f>
        <v>82939.1875</v>
      </c>
      <c r="AS353" s="8">
        <f>IF($O353="Aktif",MAX(0,MIN($AE353,$AD353-SUM($AG353:AR353))),0)</f>
        <v>82939.1875</v>
      </c>
      <c r="AT353" s="8">
        <f>IF($O353="Aktif",MAX(0,MIN($AE353,$AD353-SUM($AG353:AS353))),0)</f>
        <v>82939.1875</v>
      </c>
      <c r="AU353" s="8">
        <f>IF($O353="Aktif",MAX(0,MIN($AE353,$AD353-SUM($AG353:AT353))),0)</f>
        <v>82939.1875</v>
      </c>
      <c r="AV353" s="8">
        <f>IF($O353="Aktif",MAX(0,MIN($AE353,$AD353-SUM($AG353:AU353))),0)</f>
        <v>82939.1875</v>
      </c>
      <c r="AW353" s="8">
        <f t="shared" si="40"/>
        <v>1327027</v>
      </c>
      <c r="AX353" s="8">
        <f t="shared" si="41"/>
        <v>2488175.625</v>
      </c>
    </row>
    <row r="354" spans="1:50" ht="15" customHeight="1" x14ac:dyDescent="0.35">
      <c r="A354" s="102">
        <v>348</v>
      </c>
      <c r="B354" s="102" t="s">
        <v>586</v>
      </c>
      <c r="C354" s="103">
        <v>286</v>
      </c>
      <c r="D354" s="102" t="s">
        <v>184</v>
      </c>
      <c r="E354" s="102" t="s">
        <v>479</v>
      </c>
      <c r="F354" s="102" t="s">
        <v>947</v>
      </c>
      <c r="G354" s="102" t="s">
        <v>948</v>
      </c>
      <c r="H354" s="102" t="s">
        <v>949</v>
      </c>
      <c r="I354" s="102" t="s">
        <v>90</v>
      </c>
      <c r="J354" s="102"/>
      <c r="K354" s="102" t="s">
        <v>1282</v>
      </c>
      <c r="L354" s="104">
        <v>46218</v>
      </c>
      <c r="M354" s="102" t="s">
        <v>1283</v>
      </c>
      <c r="N354" s="102" t="s">
        <v>1283</v>
      </c>
      <c r="O354" s="102" t="s">
        <v>383</v>
      </c>
      <c r="P354" s="103">
        <v>1</v>
      </c>
      <c r="Q354" s="105">
        <v>3175676</v>
      </c>
      <c r="R354" s="103">
        <v>48</v>
      </c>
      <c r="S354" s="105">
        <v>66159.916666666701</v>
      </c>
      <c r="T354" s="105">
        <v>0</v>
      </c>
      <c r="U354" s="105">
        <v>0</v>
      </c>
      <c r="V354" s="105">
        <v>0</v>
      </c>
      <c r="W354" s="105">
        <v>0</v>
      </c>
      <c r="X354" s="105">
        <v>0</v>
      </c>
      <c r="Y354" s="105">
        <v>0</v>
      </c>
      <c r="Z354" s="105">
        <v>0</v>
      </c>
      <c r="AA354" s="105">
        <v>66159.916666666701</v>
      </c>
      <c r="AB354" s="105">
        <v>66159.916666666701</v>
      </c>
      <c r="AC354" s="8">
        <f t="shared" si="35"/>
        <v>132319.8333333334</v>
      </c>
      <c r="AD354" s="8">
        <f t="shared" si="36"/>
        <v>3043356.1666666665</v>
      </c>
      <c r="AE354" s="8">
        <f t="shared" si="37"/>
        <v>66159.916666666701</v>
      </c>
      <c r="AF354" s="106">
        <f t="shared" si="38"/>
        <v>45.999999999999972</v>
      </c>
      <c r="AG354" s="8">
        <f t="shared" si="39"/>
        <v>66159.916666666701</v>
      </c>
      <c r="AH354" s="8">
        <f>IF($O354="Aktif",MAX(0,MIN($AE354,$AD354-SUM($AG354:AG354))),0)</f>
        <v>66159.916666666701</v>
      </c>
      <c r="AI354" s="8">
        <f>IF($O354="Aktif",MAX(0,MIN($AE354,$AD354-SUM($AG354:AH354))),0)</f>
        <v>66159.916666666701</v>
      </c>
      <c r="AJ354" s="8">
        <f>IF($O354="Aktif",MAX(0,MIN($AE354,$AD354-SUM($AG354:AI354))),0)</f>
        <v>66159.916666666701</v>
      </c>
      <c r="AK354" s="8">
        <f>IF($O354="Aktif",MAX(0,MIN($AE354,$AD354-SUM($AG354:AJ354))),0)</f>
        <v>66159.916666666701</v>
      </c>
      <c r="AL354" s="8">
        <f>IF($O354="Aktif",MAX(0,MIN($AE354,$AD354-SUM($AG354:AK354))),0)</f>
        <v>66159.916666666701</v>
      </c>
      <c r="AM354" s="8">
        <f>IF($O354="Aktif",MAX(0,MIN($AE354,$AD354-SUM($AG354:AL354))),0)</f>
        <v>66159.916666666701</v>
      </c>
      <c r="AN354" s="8">
        <f>IF($O354="Aktif",MAX(0,MIN($AE354,$AD354-SUM($AG354:AM354))),0)</f>
        <v>66159.916666666701</v>
      </c>
      <c r="AO354" s="8">
        <f>IF($O354="Aktif",MAX(0,MIN($AE354,$AD354-SUM($AG354:AN354))),0)</f>
        <v>66159.916666666701</v>
      </c>
      <c r="AP354" s="8">
        <f>IF($O354="Aktif",MAX(0,MIN($AE354,$AD354-SUM($AG354:AO354))),0)</f>
        <v>66159.916666666701</v>
      </c>
      <c r="AQ354" s="8">
        <f>IF($O354="Aktif",MAX(0,MIN($AE354,$AD354-SUM($AG354:AP354))),0)</f>
        <v>66159.916666666701</v>
      </c>
      <c r="AR354" s="8">
        <f>IF($O354="Aktif",MAX(0,MIN($AE354,$AD354-SUM($AG354:AQ354))),0)</f>
        <v>66159.916666666701</v>
      </c>
      <c r="AS354" s="8">
        <f>IF($O354="Aktif",MAX(0,MIN($AE354,$AD354-SUM($AG354:AR354))),0)</f>
        <v>66159.916666666701</v>
      </c>
      <c r="AT354" s="8">
        <f>IF($O354="Aktif",MAX(0,MIN($AE354,$AD354-SUM($AG354:AS354))),0)</f>
        <v>66159.916666666701</v>
      </c>
      <c r="AU354" s="8">
        <f>IF($O354="Aktif",MAX(0,MIN($AE354,$AD354-SUM($AG354:AT354))),0)</f>
        <v>66159.916666666701</v>
      </c>
      <c r="AV354" s="8">
        <f>IF($O354="Aktif",MAX(0,MIN($AE354,$AD354-SUM($AG354:AU354))),0)</f>
        <v>66159.916666666701</v>
      </c>
      <c r="AW354" s="8">
        <f t="shared" si="40"/>
        <v>1058558.6666666674</v>
      </c>
      <c r="AX354" s="8">
        <f t="shared" si="41"/>
        <v>1984797.4999999991</v>
      </c>
    </row>
    <row r="355" spans="1:50" ht="15" customHeight="1" x14ac:dyDescent="0.35">
      <c r="A355" s="102">
        <v>349</v>
      </c>
      <c r="B355" s="102" t="s">
        <v>586</v>
      </c>
      <c r="C355" s="103">
        <v>287</v>
      </c>
      <c r="D355" s="102" t="s">
        <v>184</v>
      </c>
      <c r="E355" s="102" t="s">
        <v>479</v>
      </c>
      <c r="F355" s="102" t="s">
        <v>947</v>
      </c>
      <c r="G355" s="102" t="s">
        <v>948</v>
      </c>
      <c r="H355" s="102" t="s">
        <v>949</v>
      </c>
      <c r="I355" s="102" t="s">
        <v>90</v>
      </c>
      <c r="J355" s="102"/>
      <c r="K355" s="102" t="s">
        <v>1284</v>
      </c>
      <c r="L355" s="104">
        <v>46218</v>
      </c>
      <c r="M355" s="102" t="s">
        <v>1285</v>
      </c>
      <c r="N355" s="102" t="s">
        <v>1285</v>
      </c>
      <c r="O355" s="102" t="s">
        <v>383</v>
      </c>
      <c r="P355" s="103">
        <v>1</v>
      </c>
      <c r="Q355" s="105">
        <v>5630630</v>
      </c>
      <c r="R355" s="103">
        <v>48</v>
      </c>
      <c r="S355" s="105">
        <v>117304.79166666701</v>
      </c>
      <c r="T355" s="105">
        <v>0</v>
      </c>
      <c r="U355" s="105">
        <v>0</v>
      </c>
      <c r="V355" s="105">
        <v>0</v>
      </c>
      <c r="W355" s="105">
        <v>0</v>
      </c>
      <c r="X355" s="105">
        <v>0</v>
      </c>
      <c r="Y355" s="105">
        <v>0</v>
      </c>
      <c r="Z355" s="105">
        <v>0</v>
      </c>
      <c r="AA355" s="105">
        <v>117304.79166666701</v>
      </c>
      <c r="AB355" s="105">
        <v>117304.79166666701</v>
      </c>
      <c r="AC355" s="8">
        <f t="shared" si="35"/>
        <v>234609.58333333401</v>
      </c>
      <c r="AD355" s="8">
        <f t="shared" si="36"/>
        <v>5396020.416666666</v>
      </c>
      <c r="AE355" s="8">
        <f t="shared" si="37"/>
        <v>117304.79166666701</v>
      </c>
      <c r="AF355" s="106">
        <f t="shared" si="38"/>
        <v>45.999999999999865</v>
      </c>
      <c r="AG355" s="8">
        <f t="shared" si="39"/>
        <v>117304.79166666701</v>
      </c>
      <c r="AH355" s="8">
        <f>IF($O355="Aktif",MAX(0,MIN($AE355,$AD355-SUM($AG355:AG355))),0)</f>
        <v>117304.79166666701</v>
      </c>
      <c r="AI355" s="8">
        <f>IF($O355="Aktif",MAX(0,MIN($AE355,$AD355-SUM($AG355:AH355))),0)</f>
        <v>117304.79166666701</v>
      </c>
      <c r="AJ355" s="8">
        <f>IF($O355="Aktif",MAX(0,MIN($AE355,$AD355-SUM($AG355:AI355))),0)</f>
        <v>117304.79166666701</v>
      </c>
      <c r="AK355" s="8">
        <f>IF($O355="Aktif",MAX(0,MIN($AE355,$AD355-SUM($AG355:AJ355))),0)</f>
        <v>117304.79166666701</v>
      </c>
      <c r="AL355" s="8">
        <f>IF($O355="Aktif",MAX(0,MIN($AE355,$AD355-SUM($AG355:AK355))),0)</f>
        <v>117304.79166666701</v>
      </c>
      <c r="AM355" s="8">
        <f>IF($O355="Aktif",MAX(0,MIN($AE355,$AD355-SUM($AG355:AL355))),0)</f>
        <v>117304.79166666701</v>
      </c>
      <c r="AN355" s="8">
        <f>IF($O355="Aktif",MAX(0,MIN($AE355,$AD355-SUM($AG355:AM355))),0)</f>
        <v>117304.79166666701</v>
      </c>
      <c r="AO355" s="8">
        <f>IF($O355="Aktif",MAX(0,MIN($AE355,$AD355-SUM($AG355:AN355))),0)</f>
        <v>117304.79166666701</v>
      </c>
      <c r="AP355" s="8">
        <f>IF($O355="Aktif",MAX(0,MIN($AE355,$AD355-SUM($AG355:AO355))),0)</f>
        <v>117304.79166666701</v>
      </c>
      <c r="AQ355" s="8">
        <f>IF($O355="Aktif",MAX(0,MIN($AE355,$AD355-SUM($AG355:AP355))),0)</f>
        <v>117304.79166666701</v>
      </c>
      <c r="AR355" s="8">
        <f>IF($O355="Aktif",MAX(0,MIN($AE355,$AD355-SUM($AG355:AQ355))),0)</f>
        <v>117304.79166666701</v>
      </c>
      <c r="AS355" s="8">
        <f>IF($O355="Aktif",MAX(0,MIN($AE355,$AD355-SUM($AG355:AR355))),0)</f>
        <v>117304.79166666701</v>
      </c>
      <c r="AT355" s="8">
        <f>IF($O355="Aktif",MAX(0,MIN($AE355,$AD355-SUM($AG355:AS355))),0)</f>
        <v>117304.79166666701</v>
      </c>
      <c r="AU355" s="8">
        <f>IF($O355="Aktif",MAX(0,MIN($AE355,$AD355-SUM($AG355:AT355))),0)</f>
        <v>117304.79166666701</v>
      </c>
      <c r="AV355" s="8">
        <f>IF($O355="Aktif",MAX(0,MIN($AE355,$AD355-SUM($AG355:AU355))),0)</f>
        <v>117304.79166666701</v>
      </c>
      <c r="AW355" s="8">
        <f t="shared" si="40"/>
        <v>1876876.6666666719</v>
      </c>
      <c r="AX355" s="8">
        <f t="shared" si="41"/>
        <v>3519143.7499999944</v>
      </c>
    </row>
    <row r="356" spans="1:50" ht="15" customHeight="1" x14ac:dyDescent="0.35">
      <c r="A356" s="102">
        <v>350</v>
      </c>
      <c r="B356" s="102" t="s">
        <v>586</v>
      </c>
      <c r="C356" s="103">
        <v>288</v>
      </c>
      <c r="D356" s="102" t="s">
        <v>184</v>
      </c>
      <c r="E356" s="102" t="s">
        <v>479</v>
      </c>
      <c r="F356" s="102" t="s">
        <v>947</v>
      </c>
      <c r="G356" s="102" t="s">
        <v>948</v>
      </c>
      <c r="H356" s="102" t="s">
        <v>949</v>
      </c>
      <c r="I356" s="102" t="s">
        <v>90</v>
      </c>
      <c r="J356" s="102"/>
      <c r="K356" s="102" t="s">
        <v>1286</v>
      </c>
      <c r="L356" s="104">
        <v>46217</v>
      </c>
      <c r="M356" s="102" t="s">
        <v>1287</v>
      </c>
      <c r="N356" s="102" t="s">
        <v>1287</v>
      </c>
      <c r="O356" s="102" t="s">
        <v>383</v>
      </c>
      <c r="P356" s="103">
        <v>1</v>
      </c>
      <c r="Q356" s="105">
        <v>11081081</v>
      </c>
      <c r="R356" s="103">
        <v>48</v>
      </c>
      <c r="S356" s="105">
        <v>230855.85416666701</v>
      </c>
      <c r="T356" s="105">
        <v>0</v>
      </c>
      <c r="U356" s="105">
        <v>0</v>
      </c>
      <c r="V356" s="105">
        <v>0</v>
      </c>
      <c r="W356" s="105">
        <v>0</v>
      </c>
      <c r="X356" s="105">
        <v>0</v>
      </c>
      <c r="Y356" s="105">
        <v>0</v>
      </c>
      <c r="Z356" s="105">
        <v>0</v>
      </c>
      <c r="AA356" s="105">
        <v>230855.85416666701</v>
      </c>
      <c r="AB356" s="105">
        <v>230855.85416666701</v>
      </c>
      <c r="AC356" s="8">
        <f t="shared" si="35"/>
        <v>461711.70833333401</v>
      </c>
      <c r="AD356" s="8">
        <f t="shared" si="36"/>
        <v>10619369.291666666</v>
      </c>
      <c r="AE356" s="8">
        <f t="shared" si="37"/>
        <v>230855.85416666701</v>
      </c>
      <c r="AF356" s="106">
        <f t="shared" si="38"/>
        <v>45.999999999999929</v>
      </c>
      <c r="AG356" s="8">
        <f t="shared" si="39"/>
        <v>230855.85416666701</v>
      </c>
      <c r="AH356" s="8">
        <f>IF($O356="Aktif",MAX(0,MIN($AE356,$AD356-SUM($AG356:AG356))),0)</f>
        <v>230855.85416666701</v>
      </c>
      <c r="AI356" s="8">
        <f>IF($O356="Aktif",MAX(0,MIN($AE356,$AD356-SUM($AG356:AH356))),0)</f>
        <v>230855.85416666701</v>
      </c>
      <c r="AJ356" s="8">
        <f>IF($O356="Aktif",MAX(0,MIN($AE356,$AD356-SUM($AG356:AI356))),0)</f>
        <v>230855.85416666701</v>
      </c>
      <c r="AK356" s="8">
        <f>IF($O356="Aktif",MAX(0,MIN($AE356,$AD356-SUM($AG356:AJ356))),0)</f>
        <v>230855.85416666701</v>
      </c>
      <c r="AL356" s="8">
        <f>IF($O356="Aktif",MAX(0,MIN($AE356,$AD356-SUM($AG356:AK356))),0)</f>
        <v>230855.85416666701</v>
      </c>
      <c r="AM356" s="8">
        <f>IF($O356="Aktif",MAX(0,MIN($AE356,$AD356-SUM($AG356:AL356))),0)</f>
        <v>230855.85416666701</v>
      </c>
      <c r="AN356" s="8">
        <f>IF($O356="Aktif",MAX(0,MIN($AE356,$AD356-SUM($AG356:AM356))),0)</f>
        <v>230855.85416666701</v>
      </c>
      <c r="AO356" s="8">
        <f>IF($O356="Aktif",MAX(0,MIN($AE356,$AD356-SUM($AG356:AN356))),0)</f>
        <v>230855.85416666701</v>
      </c>
      <c r="AP356" s="8">
        <f>IF($O356="Aktif",MAX(0,MIN($AE356,$AD356-SUM($AG356:AO356))),0)</f>
        <v>230855.85416666701</v>
      </c>
      <c r="AQ356" s="8">
        <f>IF($O356="Aktif",MAX(0,MIN($AE356,$AD356-SUM($AG356:AP356))),0)</f>
        <v>230855.85416666701</v>
      </c>
      <c r="AR356" s="8">
        <f>IF($O356="Aktif",MAX(0,MIN($AE356,$AD356-SUM($AG356:AQ356))),0)</f>
        <v>230855.85416666701</v>
      </c>
      <c r="AS356" s="8">
        <f>IF($O356="Aktif",MAX(0,MIN($AE356,$AD356-SUM($AG356:AR356))),0)</f>
        <v>230855.85416666701</v>
      </c>
      <c r="AT356" s="8">
        <f>IF($O356="Aktif",MAX(0,MIN($AE356,$AD356-SUM($AG356:AS356))),0)</f>
        <v>230855.85416666701</v>
      </c>
      <c r="AU356" s="8">
        <f>IF($O356="Aktif",MAX(0,MIN($AE356,$AD356-SUM($AG356:AT356))),0)</f>
        <v>230855.85416666701</v>
      </c>
      <c r="AV356" s="8">
        <f>IF($O356="Aktif",MAX(0,MIN($AE356,$AD356-SUM($AG356:AU356))),0)</f>
        <v>230855.85416666701</v>
      </c>
      <c r="AW356" s="8">
        <f t="shared" si="40"/>
        <v>3693693.6666666721</v>
      </c>
      <c r="AX356" s="8">
        <f t="shared" si="41"/>
        <v>6925675.6249999944</v>
      </c>
    </row>
    <row r="357" spans="1:50" ht="15" customHeight="1" x14ac:dyDescent="0.35">
      <c r="A357" s="102">
        <v>351</v>
      </c>
      <c r="B357" s="102" t="s">
        <v>586</v>
      </c>
      <c r="C357" s="103">
        <v>289</v>
      </c>
      <c r="D357" s="102" t="s">
        <v>184</v>
      </c>
      <c r="E357" s="102" t="s">
        <v>479</v>
      </c>
      <c r="F357" s="102" t="s">
        <v>947</v>
      </c>
      <c r="G357" s="102" t="s">
        <v>948</v>
      </c>
      <c r="H357" s="102" t="s">
        <v>949</v>
      </c>
      <c r="I357" s="102" t="s">
        <v>90</v>
      </c>
      <c r="J357" s="102"/>
      <c r="K357" s="102" t="s">
        <v>1288</v>
      </c>
      <c r="L357" s="104">
        <v>46218</v>
      </c>
      <c r="M357" s="102" t="s">
        <v>1289</v>
      </c>
      <c r="N357" s="102" t="s">
        <v>1289</v>
      </c>
      <c r="O357" s="102" t="s">
        <v>383</v>
      </c>
      <c r="P357" s="103">
        <v>1</v>
      </c>
      <c r="Q357" s="105">
        <v>2000000</v>
      </c>
      <c r="R357" s="103">
        <v>48</v>
      </c>
      <c r="S357" s="105">
        <v>41666.666666666701</v>
      </c>
      <c r="T357" s="105">
        <v>0</v>
      </c>
      <c r="U357" s="105">
        <v>0</v>
      </c>
      <c r="V357" s="105">
        <v>0</v>
      </c>
      <c r="W357" s="105">
        <v>0</v>
      </c>
      <c r="X357" s="105">
        <v>0</v>
      </c>
      <c r="Y357" s="105">
        <v>0</v>
      </c>
      <c r="Z357" s="105">
        <v>0</v>
      </c>
      <c r="AA357" s="105">
        <v>41666.666666666701</v>
      </c>
      <c r="AB357" s="105">
        <v>41666.666666666701</v>
      </c>
      <c r="AC357" s="8">
        <f t="shared" si="35"/>
        <v>83333.333333333401</v>
      </c>
      <c r="AD357" s="8">
        <f t="shared" si="36"/>
        <v>1916666.6666666665</v>
      </c>
      <c r="AE357" s="8">
        <f t="shared" si="37"/>
        <v>41666.666666666701</v>
      </c>
      <c r="AF357" s="106">
        <f t="shared" si="38"/>
        <v>45.999999999999957</v>
      </c>
      <c r="AG357" s="8">
        <f t="shared" si="39"/>
        <v>41666.666666666701</v>
      </c>
      <c r="AH357" s="8">
        <f>IF($O357="Aktif",MAX(0,MIN($AE357,$AD357-SUM($AG357:AG357))),0)</f>
        <v>41666.666666666701</v>
      </c>
      <c r="AI357" s="8">
        <f>IF($O357="Aktif",MAX(0,MIN($AE357,$AD357-SUM($AG357:AH357))),0)</f>
        <v>41666.666666666701</v>
      </c>
      <c r="AJ357" s="8">
        <f>IF($O357="Aktif",MAX(0,MIN($AE357,$AD357-SUM($AG357:AI357))),0)</f>
        <v>41666.666666666701</v>
      </c>
      <c r="AK357" s="8">
        <f>IF($O357="Aktif",MAX(0,MIN($AE357,$AD357-SUM($AG357:AJ357))),0)</f>
        <v>41666.666666666701</v>
      </c>
      <c r="AL357" s="8">
        <f>IF($O357="Aktif",MAX(0,MIN($AE357,$AD357-SUM($AG357:AK357))),0)</f>
        <v>41666.666666666701</v>
      </c>
      <c r="AM357" s="8">
        <f>IF($O357="Aktif",MAX(0,MIN($AE357,$AD357-SUM($AG357:AL357))),0)</f>
        <v>41666.666666666701</v>
      </c>
      <c r="AN357" s="8">
        <f>IF($O357="Aktif",MAX(0,MIN($AE357,$AD357-SUM($AG357:AM357))),0)</f>
        <v>41666.666666666701</v>
      </c>
      <c r="AO357" s="8">
        <f>IF($O357="Aktif",MAX(0,MIN($AE357,$AD357-SUM($AG357:AN357))),0)</f>
        <v>41666.666666666701</v>
      </c>
      <c r="AP357" s="8">
        <f>IF($O357="Aktif",MAX(0,MIN($AE357,$AD357-SUM($AG357:AO357))),0)</f>
        <v>41666.666666666701</v>
      </c>
      <c r="AQ357" s="8">
        <f>IF($O357="Aktif",MAX(0,MIN($AE357,$AD357-SUM($AG357:AP357))),0)</f>
        <v>41666.666666666701</v>
      </c>
      <c r="AR357" s="8">
        <f>IF($O357="Aktif",MAX(0,MIN($AE357,$AD357-SUM($AG357:AQ357))),0)</f>
        <v>41666.666666666701</v>
      </c>
      <c r="AS357" s="8">
        <f>IF($O357="Aktif",MAX(0,MIN($AE357,$AD357-SUM($AG357:AR357))),0)</f>
        <v>41666.666666666701</v>
      </c>
      <c r="AT357" s="8">
        <f>IF($O357="Aktif",MAX(0,MIN($AE357,$AD357-SUM($AG357:AS357))),0)</f>
        <v>41666.666666666701</v>
      </c>
      <c r="AU357" s="8">
        <f>IF($O357="Aktif",MAX(0,MIN($AE357,$AD357-SUM($AG357:AT357))),0)</f>
        <v>41666.666666666701</v>
      </c>
      <c r="AV357" s="8">
        <f>IF($O357="Aktif",MAX(0,MIN($AE357,$AD357-SUM($AG357:AU357))),0)</f>
        <v>41666.666666666701</v>
      </c>
      <c r="AW357" s="8">
        <f t="shared" si="40"/>
        <v>666666.66666666721</v>
      </c>
      <c r="AX357" s="8">
        <f t="shared" si="41"/>
        <v>1249999.9999999993</v>
      </c>
    </row>
    <row r="358" spans="1:50" ht="15" customHeight="1" x14ac:dyDescent="0.35">
      <c r="A358" s="102">
        <v>352</v>
      </c>
      <c r="B358" s="102" t="s">
        <v>586</v>
      </c>
      <c r="C358" s="103">
        <v>290</v>
      </c>
      <c r="D358" s="102" t="s">
        <v>184</v>
      </c>
      <c r="E358" s="102" t="s">
        <v>479</v>
      </c>
      <c r="F358" s="102" t="s">
        <v>947</v>
      </c>
      <c r="G358" s="102" t="s">
        <v>948</v>
      </c>
      <c r="H358" s="102" t="s">
        <v>949</v>
      </c>
      <c r="I358" s="102" t="s">
        <v>90</v>
      </c>
      <c r="J358" s="102"/>
      <c r="K358" s="102" t="s">
        <v>1290</v>
      </c>
      <c r="L358" s="104">
        <v>46237</v>
      </c>
      <c r="M358" s="102" t="s">
        <v>1291</v>
      </c>
      <c r="N358" s="102" t="s">
        <v>1291</v>
      </c>
      <c r="O358" s="102" t="s">
        <v>383</v>
      </c>
      <c r="P358" s="103">
        <v>1</v>
      </c>
      <c r="Q358" s="105">
        <v>1530631</v>
      </c>
      <c r="R358" s="103">
        <v>48</v>
      </c>
      <c r="S358" s="105">
        <v>31888.145833333299</v>
      </c>
      <c r="T358" s="105">
        <v>0</v>
      </c>
      <c r="U358" s="105">
        <v>0</v>
      </c>
      <c r="V358" s="105">
        <v>0</v>
      </c>
      <c r="W358" s="105">
        <v>0</v>
      </c>
      <c r="X358" s="105">
        <v>0</v>
      </c>
      <c r="Y358" s="105">
        <v>0</v>
      </c>
      <c r="Z358" s="105">
        <v>0</v>
      </c>
      <c r="AA358" s="105">
        <v>0</v>
      </c>
      <c r="AB358" s="105">
        <v>31888.145833333299</v>
      </c>
      <c r="AC358" s="8">
        <f t="shared" si="35"/>
        <v>31888.145833333299</v>
      </c>
      <c r="AD358" s="8">
        <f t="shared" si="36"/>
        <v>1498742.8541666667</v>
      </c>
      <c r="AE358" s="8">
        <f t="shared" si="37"/>
        <v>31888.145833333299</v>
      </c>
      <c r="AF358" s="106">
        <f t="shared" si="38"/>
        <v>47.00000000000005</v>
      </c>
      <c r="AG358" s="8">
        <f t="shared" si="39"/>
        <v>31888.145833333299</v>
      </c>
      <c r="AH358" s="8">
        <f>IF($O358="Aktif",MAX(0,MIN($AE358,$AD358-SUM($AG358:AG358))),0)</f>
        <v>31888.145833333299</v>
      </c>
      <c r="AI358" s="8">
        <f>IF($O358="Aktif",MAX(0,MIN($AE358,$AD358-SUM($AG358:AH358))),0)</f>
        <v>31888.145833333299</v>
      </c>
      <c r="AJ358" s="8">
        <f>IF($O358="Aktif",MAX(0,MIN($AE358,$AD358-SUM($AG358:AI358))),0)</f>
        <v>31888.145833333299</v>
      </c>
      <c r="AK358" s="8">
        <f>IF($O358="Aktif",MAX(0,MIN($AE358,$AD358-SUM($AG358:AJ358))),0)</f>
        <v>31888.145833333299</v>
      </c>
      <c r="AL358" s="8">
        <f>IF($O358="Aktif",MAX(0,MIN($AE358,$AD358-SUM($AG358:AK358))),0)</f>
        <v>31888.145833333299</v>
      </c>
      <c r="AM358" s="8">
        <f>IF($O358="Aktif",MAX(0,MIN($AE358,$AD358-SUM($AG358:AL358))),0)</f>
        <v>31888.145833333299</v>
      </c>
      <c r="AN358" s="8">
        <f>IF($O358="Aktif",MAX(0,MIN($AE358,$AD358-SUM($AG358:AM358))),0)</f>
        <v>31888.145833333299</v>
      </c>
      <c r="AO358" s="8">
        <f>IF($O358="Aktif",MAX(0,MIN($AE358,$AD358-SUM($AG358:AN358))),0)</f>
        <v>31888.145833333299</v>
      </c>
      <c r="AP358" s="8">
        <f>IF($O358="Aktif",MAX(0,MIN($AE358,$AD358-SUM($AG358:AO358))),0)</f>
        <v>31888.145833333299</v>
      </c>
      <c r="AQ358" s="8">
        <f>IF($O358="Aktif",MAX(0,MIN($AE358,$AD358-SUM($AG358:AP358))),0)</f>
        <v>31888.145833333299</v>
      </c>
      <c r="AR358" s="8">
        <f>IF($O358="Aktif",MAX(0,MIN($AE358,$AD358-SUM($AG358:AQ358))),0)</f>
        <v>31888.145833333299</v>
      </c>
      <c r="AS358" s="8">
        <f>IF($O358="Aktif",MAX(0,MIN($AE358,$AD358-SUM($AG358:AR358))),0)</f>
        <v>31888.145833333299</v>
      </c>
      <c r="AT358" s="8">
        <f>IF($O358="Aktif",MAX(0,MIN($AE358,$AD358-SUM($AG358:AS358))),0)</f>
        <v>31888.145833333299</v>
      </c>
      <c r="AU358" s="8">
        <f>IF($O358="Aktif",MAX(0,MIN($AE358,$AD358-SUM($AG358:AT358))),0)</f>
        <v>31888.145833333299</v>
      </c>
      <c r="AV358" s="8">
        <f>IF($O358="Aktif",MAX(0,MIN($AE358,$AD358-SUM($AG358:AU358))),0)</f>
        <v>31888.145833333299</v>
      </c>
      <c r="AW358" s="8">
        <f t="shared" si="40"/>
        <v>510210.33333333296</v>
      </c>
      <c r="AX358" s="8">
        <f t="shared" si="41"/>
        <v>988532.52083333372</v>
      </c>
    </row>
    <row r="359" spans="1:50" ht="15" customHeight="1" x14ac:dyDescent="0.35">
      <c r="A359" s="102">
        <v>353</v>
      </c>
      <c r="B359" s="102" t="s">
        <v>586</v>
      </c>
      <c r="C359" s="103">
        <v>291</v>
      </c>
      <c r="D359" s="102" t="s">
        <v>184</v>
      </c>
      <c r="E359" s="102" t="s">
        <v>479</v>
      </c>
      <c r="F359" s="102" t="s">
        <v>947</v>
      </c>
      <c r="G359" s="102" t="s">
        <v>948</v>
      </c>
      <c r="H359" s="102" t="s">
        <v>949</v>
      </c>
      <c r="I359" s="102" t="s">
        <v>90</v>
      </c>
      <c r="J359" s="102"/>
      <c r="K359" s="102" t="s">
        <v>1292</v>
      </c>
      <c r="L359" s="104">
        <v>46249</v>
      </c>
      <c r="M359" s="102" t="s">
        <v>1293</v>
      </c>
      <c r="N359" s="102" t="s">
        <v>1293</v>
      </c>
      <c r="O359" s="102" t="s">
        <v>383</v>
      </c>
      <c r="P359" s="103">
        <v>1</v>
      </c>
      <c r="Q359" s="105">
        <v>1050000</v>
      </c>
      <c r="R359" s="103">
        <v>48</v>
      </c>
      <c r="S359" s="105">
        <v>21875</v>
      </c>
      <c r="T359" s="105">
        <v>0</v>
      </c>
      <c r="U359" s="105">
        <v>0</v>
      </c>
      <c r="V359" s="105">
        <v>0</v>
      </c>
      <c r="W359" s="105">
        <v>0</v>
      </c>
      <c r="X359" s="105">
        <v>0</v>
      </c>
      <c r="Y359" s="105">
        <v>0</v>
      </c>
      <c r="Z359" s="105">
        <v>0</v>
      </c>
      <c r="AA359" s="105">
        <v>0</v>
      </c>
      <c r="AB359" s="105">
        <v>21875</v>
      </c>
      <c r="AC359" s="8">
        <f t="shared" si="35"/>
        <v>21875</v>
      </c>
      <c r="AD359" s="8">
        <f t="shared" si="36"/>
        <v>1028125</v>
      </c>
      <c r="AE359" s="8">
        <f t="shared" si="37"/>
        <v>21875</v>
      </c>
      <c r="AF359" s="106">
        <f t="shared" si="38"/>
        <v>47</v>
      </c>
      <c r="AG359" s="8">
        <f t="shared" si="39"/>
        <v>21875</v>
      </c>
      <c r="AH359" s="8">
        <f>IF($O359="Aktif",MAX(0,MIN($AE359,$AD359-SUM($AG359:AG359))),0)</f>
        <v>21875</v>
      </c>
      <c r="AI359" s="8">
        <f>IF($O359="Aktif",MAX(0,MIN($AE359,$AD359-SUM($AG359:AH359))),0)</f>
        <v>21875</v>
      </c>
      <c r="AJ359" s="8">
        <f>IF($O359="Aktif",MAX(0,MIN($AE359,$AD359-SUM($AG359:AI359))),0)</f>
        <v>21875</v>
      </c>
      <c r="AK359" s="8">
        <f>IF($O359="Aktif",MAX(0,MIN($AE359,$AD359-SUM($AG359:AJ359))),0)</f>
        <v>21875</v>
      </c>
      <c r="AL359" s="8">
        <f>IF($O359="Aktif",MAX(0,MIN($AE359,$AD359-SUM($AG359:AK359))),0)</f>
        <v>21875</v>
      </c>
      <c r="AM359" s="8">
        <f>IF($O359="Aktif",MAX(0,MIN($AE359,$AD359-SUM($AG359:AL359))),0)</f>
        <v>21875</v>
      </c>
      <c r="AN359" s="8">
        <f>IF($O359="Aktif",MAX(0,MIN($AE359,$AD359-SUM($AG359:AM359))),0)</f>
        <v>21875</v>
      </c>
      <c r="AO359" s="8">
        <f>IF($O359="Aktif",MAX(0,MIN($AE359,$AD359-SUM($AG359:AN359))),0)</f>
        <v>21875</v>
      </c>
      <c r="AP359" s="8">
        <f>IF($O359="Aktif",MAX(0,MIN($AE359,$AD359-SUM($AG359:AO359))),0)</f>
        <v>21875</v>
      </c>
      <c r="AQ359" s="8">
        <f>IF($O359="Aktif",MAX(0,MIN($AE359,$AD359-SUM($AG359:AP359))),0)</f>
        <v>21875</v>
      </c>
      <c r="AR359" s="8">
        <f>IF($O359="Aktif",MAX(0,MIN($AE359,$AD359-SUM($AG359:AQ359))),0)</f>
        <v>21875</v>
      </c>
      <c r="AS359" s="8">
        <f>IF($O359="Aktif",MAX(0,MIN($AE359,$AD359-SUM($AG359:AR359))),0)</f>
        <v>21875</v>
      </c>
      <c r="AT359" s="8">
        <f>IF($O359="Aktif",MAX(0,MIN($AE359,$AD359-SUM($AG359:AS359))),0)</f>
        <v>21875</v>
      </c>
      <c r="AU359" s="8">
        <f>IF($O359="Aktif",MAX(0,MIN($AE359,$AD359-SUM($AG359:AT359))),0)</f>
        <v>21875</v>
      </c>
      <c r="AV359" s="8">
        <f>IF($O359="Aktif",MAX(0,MIN($AE359,$AD359-SUM($AG359:AU359))),0)</f>
        <v>21875</v>
      </c>
      <c r="AW359" s="8">
        <f t="shared" si="40"/>
        <v>350000</v>
      </c>
      <c r="AX359" s="8">
        <f t="shared" si="41"/>
        <v>678125</v>
      </c>
    </row>
    <row r="360" spans="1:50" ht="15" customHeight="1" x14ac:dyDescent="0.35">
      <c r="A360" s="102">
        <v>354</v>
      </c>
      <c r="B360" s="102" t="s">
        <v>586</v>
      </c>
      <c r="C360" s="103">
        <v>292</v>
      </c>
      <c r="D360" s="102" t="s">
        <v>184</v>
      </c>
      <c r="E360" s="102" t="s">
        <v>479</v>
      </c>
      <c r="F360" s="102" t="s">
        <v>947</v>
      </c>
      <c r="G360" s="102" t="s">
        <v>948</v>
      </c>
      <c r="H360" s="102" t="s">
        <v>949</v>
      </c>
      <c r="I360" s="102" t="s">
        <v>90</v>
      </c>
      <c r="J360" s="102"/>
      <c r="K360" s="102" t="s">
        <v>1294</v>
      </c>
      <c r="L360" s="104">
        <v>46249</v>
      </c>
      <c r="M360" s="102" t="s">
        <v>1295</v>
      </c>
      <c r="N360" s="102" t="s">
        <v>1295</v>
      </c>
      <c r="O360" s="102" t="s">
        <v>383</v>
      </c>
      <c r="P360" s="103">
        <v>1</v>
      </c>
      <c r="Q360" s="105">
        <v>1200000</v>
      </c>
      <c r="R360" s="103">
        <v>48</v>
      </c>
      <c r="S360" s="105">
        <v>25000</v>
      </c>
      <c r="T360" s="105">
        <v>0</v>
      </c>
      <c r="U360" s="105">
        <v>0</v>
      </c>
      <c r="V360" s="105">
        <v>0</v>
      </c>
      <c r="W360" s="105">
        <v>0</v>
      </c>
      <c r="X360" s="105">
        <v>0</v>
      </c>
      <c r="Y360" s="105">
        <v>0</v>
      </c>
      <c r="Z360" s="105">
        <v>0</v>
      </c>
      <c r="AA360" s="105">
        <v>0</v>
      </c>
      <c r="AB360" s="105">
        <v>25000</v>
      </c>
      <c r="AC360" s="8">
        <f t="shared" si="35"/>
        <v>25000</v>
      </c>
      <c r="AD360" s="8">
        <f t="shared" si="36"/>
        <v>1175000</v>
      </c>
      <c r="AE360" s="8">
        <f t="shared" si="37"/>
        <v>25000</v>
      </c>
      <c r="AF360" s="106">
        <f t="shared" si="38"/>
        <v>47</v>
      </c>
      <c r="AG360" s="8">
        <f t="shared" si="39"/>
        <v>25000</v>
      </c>
      <c r="AH360" s="8">
        <f>IF($O360="Aktif",MAX(0,MIN($AE360,$AD360-SUM($AG360:AG360))),0)</f>
        <v>25000</v>
      </c>
      <c r="AI360" s="8">
        <f>IF($O360="Aktif",MAX(0,MIN($AE360,$AD360-SUM($AG360:AH360))),0)</f>
        <v>25000</v>
      </c>
      <c r="AJ360" s="8">
        <f>IF($O360="Aktif",MAX(0,MIN($AE360,$AD360-SUM($AG360:AI360))),0)</f>
        <v>25000</v>
      </c>
      <c r="AK360" s="8">
        <f>IF($O360="Aktif",MAX(0,MIN($AE360,$AD360-SUM($AG360:AJ360))),0)</f>
        <v>25000</v>
      </c>
      <c r="AL360" s="8">
        <f>IF($O360="Aktif",MAX(0,MIN($AE360,$AD360-SUM($AG360:AK360))),0)</f>
        <v>25000</v>
      </c>
      <c r="AM360" s="8">
        <f>IF($O360="Aktif",MAX(0,MIN($AE360,$AD360-SUM($AG360:AL360))),0)</f>
        <v>25000</v>
      </c>
      <c r="AN360" s="8">
        <f>IF($O360="Aktif",MAX(0,MIN($AE360,$AD360-SUM($AG360:AM360))),0)</f>
        <v>25000</v>
      </c>
      <c r="AO360" s="8">
        <f>IF($O360="Aktif",MAX(0,MIN($AE360,$AD360-SUM($AG360:AN360))),0)</f>
        <v>25000</v>
      </c>
      <c r="AP360" s="8">
        <f>IF($O360="Aktif",MAX(0,MIN($AE360,$AD360-SUM($AG360:AO360))),0)</f>
        <v>25000</v>
      </c>
      <c r="AQ360" s="8">
        <f>IF($O360="Aktif",MAX(0,MIN($AE360,$AD360-SUM($AG360:AP360))),0)</f>
        <v>25000</v>
      </c>
      <c r="AR360" s="8">
        <f>IF($O360="Aktif",MAX(0,MIN($AE360,$AD360-SUM($AG360:AQ360))),0)</f>
        <v>25000</v>
      </c>
      <c r="AS360" s="8">
        <f>IF($O360="Aktif",MAX(0,MIN($AE360,$AD360-SUM($AG360:AR360))),0)</f>
        <v>25000</v>
      </c>
      <c r="AT360" s="8">
        <f>IF($O360="Aktif",MAX(0,MIN($AE360,$AD360-SUM($AG360:AS360))),0)</f>
        <v>25000</v>
      </c>
      <c r="AU360" s="8">
        <f>IF($O360="Aktif",MAX(0,MIN($AE360,$AD360-SUM($AG360:AT360))),0)</f>
        <v>25000</v>
      </c>
      <c r="AV360" s="8">
        <f>IF($O360="Aktif",MAX(0,MIN($AE360,$AD360-SUM($AG360:AU360))),0)</f>
        <v>25000</v>
      </c>
      <c r="AW360" s="8">
        <f t="shared" si="40"/>
        <v>400000</v>
      </c>
      <c r="AX360" s="8">
        <f t="shared" si="41"/>
        <v>775000</v>
      </c>
    </row>
    <row r="361" spans="1:50" ht="15" customHeight="1" x14ac:dyDescent="0.35">
      <c r="A361" s="102">
        <v>355</v>
      </c>
      <c r="B361" s="102" t="s">
        <v>586</v>
      </c>
      <c r="C361" s="103">
        <v>293</v>
      </c>
      <c r="D361" s="102" t="s">
        <v>184</v>
      </c>
      <c r="E361" s="102" t="s">
        <v>479</v>
      </c>
      <c r="F361" s="102" t="s">
        <v>947</v>
      </c>
      <c r="G361" s="102" t="s">
        <v>948</v>
      </c>
      <c r="H361" s="102" t="s">
        <v>949</v>
      </c>
      <c r="I361" s="102" t="s">
        <v>90</v>
      </c>
      <c r="J361" s="102"/>
      <c r="K361" s="102" t="s">
        <v>1296</v>
      </c>
      <c r="L361" s="104">
        <v>46245</v>
      </c>
      <c r="M361" s="102" t="s">
        <v>1297</v>
      </c>
      <c r="N361" s="102" t="s">
        <v>1297</v>
      </c>
      <c r="O361" s="102" t="s">
        <v>383</v>
      </c>
      <c r="P361" s="103">
        <v>1</v>
      </c>
      <c r="Q361" s="105">
        <v>2349324.25</v>
      </c>
      <c r="R361" s="103">
        <v>48</v>
      </c>
      <c r="S361" s="105">
        <v>48944.255208333299</v>
      </c>
      <c r="T361" s="105">
        <v>0</v>
      </c>
      <c r="U361" s="105">
        <v>0</v>
      </c>
      <c r="V361" s="105">
        <v>0</v>
      </c>
      <c r="W361" s="105">
        <v>0</v>
      </c>
      <c r="X361" s="105">
        <v>0</v>
      </c>
      <c r="Y361" s="105">
        <v>0</v>
      </c>
      <c r="Z361" s="105">
        <v>0</v>
      </c>
      <c r="AA361" s="105">
        <v>0</v>
      </c>
      <c r="AB361" s="105">
        <v>48944.255208333299</v>
      </c>
      <c r="AC361" s="8">
        <f t="shared" si="35"/>
        <v>48944.255208333299</v>
      </c>
      <c r="AD361" s="8">
        <f t="shared" si="36"/>
        <v>2300379.9947916665</v>
      </c>
      <c r="AE361" s="8">
        <f t="shared" si="37"/>
        <v>48944.255208333299</v>
      </c>
      <c r="AF361" s="106">
        <f t="shared" si="38"/>
        <v>47.000000000000028</v>
      </c>
      <c r="AG361" s="8">
        <f t="shared" si="39"/>
        <v>48944.255208333299</v>
      </c>
      <c r="AH361" s="8">
        <f>IF($O361="Aktif",MAX(0,MIN($AE361,$AD361-SUM($AG361:AG361))),0)</f>
        <v>48944.255208333299</v>
      </c>
      <c r="AI361" s="8">
        <f>IF($O361="Aktif",MAX(0,MIN($AE361,$AD361-SUM($AG361:AH361))),0)</f>
        <v>48944.255208333299</v>
      </c>
      <c r="AJ361" s="8">
        <f>IF($O361="Aktif",MAX(0,MIN($AE361,$AD361-SUM($AG361:AI361))),0)</f>
        <v>48944.255208333299</v>
      </c>
      <c r="AK361" s="8">
        <f>IF($O361="Aktif",MAX(0,MIN($AE361,$AD361-SUM($AG361:AJ361))),0)</f>
        <v>48944.255208333299</v>
      </c>
      <c r="AL361" s="8">
        <f>IF($O361="Aktif",MAX(0,MIN($AE361,$AD361-SUM($AG361:AK361))),0)</f>
        <v>48944.255208333299</v>
      </c>
      <c r="AM361" s="8">
        <f>IF($O361="Aktif",MAX(0,MIN($AE361,$AD361-SUM($AG361:AL361))),0)</f>
        <v>48944.255208333299</v>
      </c>
      <c r="AN361" s="8">
        <f>IF($O361="Aktif",MAX(0,MIN($AE361,$AD361-SUM($AG361:AM361))),0)</f>
        <v>48944.255208333299</v>
      </c>
      <c r="AO361" s="8">
        <f>IF($O361="Aktif",MAX(0,MIN($AE361,$AD361-SUM($AG361:AN361))),0)</f>
        <v>48944.255208333299</v>
      </c>
      <c r="AP361" s="8">
        <f>IF($O361="Aktif",MAX(0,MIN($AE361,$AD361-SUM($AG361:AO361))),0)</f>
        <v>48944.255208333299</v>
      </c>
      <c r="AQ361" s="8">
        <f>IF($O361="Aktif",MAX(0,MIN($AE361,$AD361-SUM($AG361:AP361))),0)</f>
        <v>48944.255208333299</v>
      </c>
      <c r="AR361" s="8">
        <f>IF($O361="Aktif",MAX(0,MIN($AE361,$AD361-SUM($AG361:AQ361))),0)</f>
        <v>48944.255208333299</v>
      </c>
      <c r="AS361" s="8">
        <f>IF($O361="Aktif",MAX(0,MIN($AE361,$AD361-SUM($AG361:AR361))),0)</f>
        <v>48944.255208333299</v>
      </c>
      <c r="AT361" s="8">
        <f>IF($O361="Aktif",MAX(0,MIN($AE361,$AD361-SUM($AG361:AS361))),0)</f>
        <v>48944.255208333299</v>
      </c>
      <c r="AU361" s="8">
        <f>IF($O361="Aktif",MAX(0,MIN($AE361,$AD361-SUM($AG361:AT361))),0)</f>
        <v>48944.255208333299</v>
      </c>
      <c r="AV361" s="8">
        <f>IF($O361="Aktif",MAX(0,MIN($AE361,$AD361-SUM($AG361:AU361))),0)</f>
        <v>48944.255208333299</v>
      </c>
      <c r="AW361" s="8">
        <f t="shared" si="40"/>
        <v>783108.08333333267</v>
      </c>
      <c r="AX361" s="8">
        <f t="shared" si="41"/>
        <v>1517271.911458334</v>
      </c>
    </row>
    <row r="362" spans="1:50" ht="15" customHeight="1" x14ac:dyDescent="0.35">
      <c r="A362" s="102">
        <v>356</v>
      </c>
      <c r="B362" s="102" t="s">
        <v>586</v>
      </c>
      <c r="C362" s="103">
        <v>294</v>
      </c>
      <c r="D362" s="102" t="s">
        <v>184</v>
      </c>
      <c r="E362" s="102" t="s">
        <v>479</v>
      </c>
      <c r="F362" s="102" t="s">
        <v>947</v>
      </c>
      <c r="G362" s="102" t="s">
        <v>948</v>
      </c>
      <c r="H362" s="102" t="s">
        <v>949</v>
      </c>
      <c r="I362" s="102" t="s">
        <v>90</v>
      </c>
      <c r="J362" s="102"/>
      <c r="K362" s="102" t="s">
        <v>1298</v>
      </c>
      <c r="L362" s="104">
        <v>46245</v>
      </c>
      <c r="M362" s="102" t="s">
        <v>1299</v>
      </c>
      <c r="N362" s="102" t="s">
        <v>1299</v>
      </c>
      <c r="O362" s="102" t="s">
        <v>383</v>
      </c>
      <c r="P362" s="103">
        <v>1</v>
      </c>
      <c r="Q362" s="105">
        <v>2349324.25</v>
      </c>
      <c r="R362" s="103">
        <v>48</v>
      </c>
      <c r="S362" s="105">
        <v>48944.255208333299</v>
      </c>
      <c r="T362" s="105">
        <v>0</v>
      </c>
      <c r="U362" s="105">
        <v>0</v>
      </c>
      <c r="V362" s="105">
        <v>0</v>
      </c>
      <c r="W362" s="105">
        <v>0</v>
      </c>
      <c r="X362" s="105">
        <v>0</v>
      </c>
      <c r="Y362" s="105">
        <v>0</v>
      </c>
      <c r="Z362" s="105">
        <v>0</v>
      </c>
      <c r="AA362" s="105">
        <v>0</v>
      </c>
      <c r="AB362" s="105">
        <v>48944.255208333299</v>
      </c>
      <c r="AC362" s="8">
        <f t="shared" si="35"/>
        <v>48944.255208333299</v>
      </c>
      <c r="AD362" s="8">
        <f t="shared" si="36"/>
        <v>2300379.9947916665</v>
      </c>
      <c r="AE362" s="8">
        <f t="shared" si="37"/>
        <v>48944.255208333299</v>
      </c>
      <c r="AF362" s="106">
        <f t="shared" si="38"/>
        <v>47.000000000000028</v>
      </c>
      <c r="AG362" s="8">
        <f t="shared" si="39"/>
        <v>48944.255208333299</v>
      </c>
      <c r="AH362" s="8">
        <f>IF($O362="Aktif",MAX(0,MIN($AE362,$AD362-SUM($AG362:AG362))),0)</f>
        <v>48944.255208333299</v>
      </c>
      <c r="AI362" s="8">
        <f>IF($O362="Aktif",MAX(0,MIN($AE362,$AD362-SUM($AG362:AH362))),0)</f>
        <v>48944.255208333299</v>
      </c>
      <c r="AJ362" s="8">
        <f>IF($O362="Aktif",MAX(0,MIN($AE362,$AD362-SUM($AG362:AI362))),0)</f>
        <v>48944.255208333299</v>
      </c>
      <c r="AK362" s="8">
        <f>IF($O362="Aktif",MAX(0,MIN($AE362,$AD362-SUM($AG362:AJ362))),0)</f>
        <v>48944.255208333299</v>
      </c>
      <c r="AL362" s="8">
        <f>IF($O362="Aktif",MAX(0,MIN($AE362,$AD362-SUM($AG362:AK362))),0)</f>
        <v>48944.255208333299</v>
      </c>
      <c r="AM362" s="8">
        <f>IF($O362="Aktif",MAX(0,MIN($AE362,$AD362-SUM($AG362:AL362))),0)</f>
        <v>48944.255208333299</v>
      </c>
      <c r="AN362" s="8">
        <f>IF($O362="Aktif",MAX(0,MIN($AE362,$AD362-SUM($AG362:AM362))),0)</f>
        <v>48944.255208333299</v>
      </c>
      <c r="AO362" s="8">
        <f>IF($O362="Aktif",MAX(0,MIN($AE362,$AD362-SUM($AG362:AN362))),0)</f>
        <v>48944.255208333299</v>
      </c>
      <c r="AP362" s="8">
        <f>IF($O362="Aktif",MAX(0,MIN($AE362,$AD362-SUM($AG362:AO362))),0)</f>
        <v>48944.255208333299</v>
      </c>
      <c r="AQ362" s="8">
        <f>IF($O362="Aktif",MAX(0,MIN($AE362,$AD362-SUM($AG362:AP362))),0)</f>
        <v>48944.255208333299</v>
      </c>
      <c r="AR362" s="8">
        <f>IF($O362="Aktif",MAX(0,MIN($AE362,$AD362-SUM($AG362:AQ362))),0)</f>
        <v>48944.255208333299</v>
      </c>
      <c r="AS362" s="8">
        <f>IF($O362="Aktif",MAX(0,MIN($AE362,$AD362-SUM($AG362:AR362))),0)</f>
        <v>48944.255208333299</v>
      </c>
      <c r="AT362" s="8">
        <f>IF($O362="Aktif",MAX(0,MIN($AE362,$AD362-SUM($AG362:AS362))),0)</f>
        <v>48944.255208333299</v>
      </c>
      <c r="AU362" s="8">
        <f>IF($O362="Aktif",MAX(0,MIN($AE362,$AD362-SUM($AG362:AT362))),0)</f>
        <v>48944.255208333299</v>
      </c>
      <c r="AV362" s="8">
        <f>IF($O362="Aktif",MAX(0,MIN($AE362,$AD362-SUM($AG362:AU362))),0)</f>
        <v>48944.255208333299</v>
      </c>
      <c r="AW362" s="8">
        <f t="shared" si="40"/>
        <v>783108.08333333267</v>
      </c>
      <c r="AX362" s="8">
        <f t="shared" si="41"/>
        <v>1517271.911458334</v>
      </c>
    </row>
    <row r="363" spans="1:50" ht="15" customHeight="1" x14ac:dyDescent="0.35">
      <c r="A363" s="102">
        <v>357</v>
      </c>
      <c r="B363" s="102" t="s">
        <v>586</v>
      </c>
      <c r="C363" s="103">
        <v>295</v>
      </c>
      <c r="D363" s="102" t="s">
        <v>184</v>
      </c>
      <c r="E363" s="102" t="s">
        <v>479</v>
      </c>
      <c r="F363" s="102" t="s">
        <v>947</v>
      </c>
      <c r="G363" s="102" t="s">
        <v>948</v>
      </c>
      <c r="H363" s="102" t="s">
        <v>949</v>
      </c>
      <c r="I363" s="102" t="s">
        <v>90</v>
      </c>
      <c r="J363" s="102"/>
      <c r="K363" s="102" t="s">
        <v>1300</v>
      </c>
      <c r="L363" s="104">
        <v>46245</v>
      </c>
      <c r="M363" s="102" t="s">
        <v>1301</v>
      </c>
      <c r="N363" s="102" t="s">
        <v>1301</v>
      </c>
      <c r="O363" s="102" t="s">
        <v>383</v>
      </c>
      <c r="P363" s="103">
        <v>1</v>
      </c>
      <c r="Q363" s="105">
        <v>2349324.25</v>
      </c>
      <c r="R363" s="103">
        <v>48</v>
      </c>
      <c r="S363" s="105">
        <v>48944.255208333299</v>
      </c>
      <c r="T363" s="105">
        <v>0</v>
      </c>
      <c r="U363" s="105">
        <v>0</v>
      </c>
      <c r="V363" s="105">
        <v>0</v>
      </c>
      <c r="W363" s="105">
        <v>0</v>
      </c>
      <c r="X363" s="105">
        <v>0</v>
      </c>
      <c r="Y363" s="105">
        <v>0</v>
      </c>
      <c r="Z363" s="105">
        <v>0</v>
      </c>
      <c r="AA363" s="105">
        <v>0</v>
      </c>
      <c r="AB363" s="105">
        <v>48944.255208333299</v>
      </c>
      <c r="AC363" s="8">
        <f t="shared" si="35"/>
        <v>48944.255208333299</v>
      </c>
      <c r="AD363" s="8">
        <f t="shared" si="36"/>
        <v>2300379.9947916665</v>
      </c>
      <c r="AE363" s="8">
        <f t="shared" si="37"/>
        <v>48944.255208333299</v>
      </c>
      <c r="AF363" s="106">
        <f t="shared" si="38"/>
        <v>47.000000000000028</v>
      </c>
      <c r="AG363" s="8">
        <f t="shared" si="39"/>
        <v>48944.255208333299</v>
      </c>
      <c r="AH363" s="8">
        <f>IF($O363="Aktif",MAX(0,MIN($AE363,$AD363-SUM($AG363:AG363))),0)</f>
        <v>48944.255208333299</v>
      </c>
      <c r="AI363" s="8">
        <f>IF($O363="Aktif",MAX(0,MIN($AE363,$AD363-SUM($AG363:AH363))),0)</f>
        <v>48944.255208333299</v>
      </c>
      <c r="AJ363" s="8">
        <f>IF($O363="Aktif",MAX(0,MIN($AE363,$AD363-SUM($AG363:AI363))),0)</f>
        <v>48944.255208333299</v>
      </c>
      <c r="AK363" s="8">
        <f>IF($O363="Aktif",MAX(0,MIN($AE363,$AD363-SUM($AG363:AJ363))),0)</f>
        <v>48944.255208333299</v>
      </c>
      <c r="AL363" s="8">
        <f>IF($O363="Aktif",MAX(0,MIN($AE363,$AD363-SUM($AG363:AK363))),0)</f>
        <v>48944.255208333299</v>
      </c>
      <c r="AM363" s="8">
        <f>IF($O363="Aktif",MAX(0,MIN($AE363,$AD363-SUM($AG363:AL363))),0)</f>
        <v>48944.255208333299</v>
      </c>
      <c r="AN363" s="8">
        <f>IF($O363="Aktif",MAX(0,MIN($AE363,$AD363-SUM($AG363:AM363))),0)</f>
        <v>48944.255208333299</v>
      </c>
      <c r="AO363" s="8">
        <f>IF($O363="Aktif",MAX(0,MIN($AE363,$AD363-SUM($AG363:AN363))),0)</f>
        <v>48944.255208333299</v>
      </c>
      <c r="AP363" s="8">
        <f>IF($O363="Aktif",MAX(0,MIN($AE363,$AD363-SUM($AG363:AO363))),0)</f>
        <v>48944.255208333299</v>
      </c>
      <c r="AQ363" s="8">
        <f>IF($O363="Aktif",MAX(0,MIN($AE363,$AD363-SUM($AG363:AP363))),0)</f>
        <v>48944.255208333299</v>
      </c>
      <c r="AR363" s="8">
        <f>IF($O363="Aktif",MAX(0,MIN($AE363,$AD363-SUM($AG363:AQ363))),0)</f>
        <v>48944.255208333299</v>
      </c>
      <c r="AS363" s="8">
        <f>IF($O363="Aktif",MAX(0,MIN($AE363,$AD363-SUM($AG363:AR363))),0)</f>
        <v>48944.255208333299</v>
      </c>
      <c r="AT363" s="8">
        <f>IF($O363="Aktif",MAX(0,MIN($AE363,$AD363-SUM($AG363:AS363))),0)</f>
        <v>48944.255208333299</v>
      </c>
      <c r="AU363" s="8">
        <f>IF($O363="Aktif",MAX(0,MIN($AE363,$AD363-SUM($AG363:AT363))),0)</f>
        <v>48944.255208333299</v>
      </c>
      <c r="AV363" s="8">
        <f>IF($O363="Aktif",MAX(0,MIN($AE363,$AD363-SUM($AG363:AU363))),0)</f>
        <v>48944.255208333299</v>
      </c>
      <c r="AW363" s="8">
        <f t="shared" si="40"/>
        <v>783108.08333333267</v>
      </c>
      <c r="AX363" s="8">
        <f t="shared" si="41"/>
        <v>1517271.911458334</v>
      </c>
    </row>
    <row r="364" spans="1:50" ht="15" customHeight="1" x14ac:dyDescent="0.35">
      <c r="A364" s="102">
        <v>358</v>
      </c>
      <c r="B364" s="102" t="s">
        <v>586</v>
      </c>
      <c r="C364" s="103">
        <v>296</v>
      </c>
      <c r="D364" s="102" t="s">
        <v>184</v>
      </c>
      <c r="E364" s="102" t="s">
        <v>479</v>
      </c>
      <c r="F364" s="102" t="s">
        <v>947</v>
      </c>
      <c r="G364" s="102" t="s">
        <v>948</v>
      </c>
      <c r="H364" s="102" t="s">
        <v>949</v>
      </c>
      <c r="I364" s="102" t="s">
        <v>90</v>
      </c>
      <c r="J364" s="102"/>
      <c r="K364" s="102" t="s">
        <v>1302</v>
      </c>
      <c r="L364" s="104">
        <v>46245</v>
      </c>
      <c r="M364" s="102" t="s">
        <v>1303</v>
      </c>
      <c r="N364" s="102" t="s">
        <v>1303</v>
      </c>
      <c r="O364" s="102" t="s">
        <v>383</v>
      </c>
      <c r="P364" s="103">
        <v>1</v>
      </c>
      <c r="Q364" s="105">
        <v>2349324.25</v>
      </c>
      <c r="R364" s="103">
        <v>48</v>
      </c>
      <c r="S364" s="105">
        <v>48944.255208333299</v>
      </c>
      <c r="T364" s="105">
        <v>0</v>
      </c>
      <c r="U364" s="105">
        <v>0</v>
      </c>
      <c r="V364" s="105">
        <v>0</v>
      </c>
      <c r="W364" s="105">
        <v>0</v>
      </c>
      <c r="X364" s="105">
        <v>0</v>
      </c>
      <c r="Y364" s="105">
        <v>0</v>
      </c>
      <c r="Z364" s="105">
        <v>0</v>
      </c>
      <c r="AA364" s="105">
        <v>0</v>
      </c>
      <c r="AB364" s="105">
        <v>48944.255208333299</v>
      </c>
      <c r="AC364" s="8">
        <f t="shared" si="35"/>
        <v>48944.255208333299</v>
      </c>
      <c r="AD364" s="8">
        <f t="shared" si="36"/>
        <v>2300379.9947916665</v>
      </c>
      <c r="AE364" s="8">
        <f t="shared" si="37"/>
        <v>48944.255208333299</v>
      </c>
      <c r="AF364" s="106">
        <f t="shared" si="38"/>
        <v>47.000000000000028</v>
      </c>
      <c r="AG364" s="8">
        <f t="shared" si="39"/>
        <v>48944.255208333299</v>
      </c>
      <c r="AH364" s="8">
        <f>IF($O364="Aktif",MAX(0,MIN($AE364,$AD364-SUM($AG364:AG364))),0)</f>
        <v>48944.255208333299</v>
      </c>
      <c r="AI364" s="8">
        <f>IF($O364="Aktif",MAX(0,MIN($AE364,$AD364-SUM($AG364:AH364))),0)</f>
        <v>48944.255208333299</v>
      </c>
      <c r="AJ364" s="8">
        <f>IF($O364="Aktif",MAX(0,MIN($AE364,$AD364-SUM($AG364:AI364))),0)</f>
        <v>48944.255208333299</v>
      </c>
      <c r="AK364" s="8">
        <f>IF($O364="Aktif",MAX(0,MIN($AE364,$AD364-SUM($AG364:AJ364))),0)</f>
        <v>48944.255208333299</v>
      </c>
      <c r="AL364" s="8">
        <f>IF($O364="Aktif",MAX(0,MIN($AE364,$AD364-SUM($AG364:AK364))),0)</f>
        <v>48944.255208333299</v>
      </c>
      <c r="AM364" s="8">
        <f>IF($O364="Aktif",MAX(0,MIN($AE364,$AD364-SUM($AG364:AL364))),0)</f>
        <v>48944.255208333299</v>
      </c>
      <c r="AN364" s="8">
        <f>IF($O364="Aktif",MAX(0,MIN($AE364,$AD364-SUM($AG364:AM364))),0)</f>
        <v>48944.255208333299</v>
      </c>
      <c r="AO364" s="8">
        <f>IF($O364="Aktif",MAX(0,MIN($AE364,$AD364-SUM($AG364:AN364))),0)</f>
        <v>48944.255208333299</v>
      </c>
      <c r="AP364" s="8">
        <f>IF($O364="Aktif",MAX(0,MIN($AE364,$AD364-SUM($AG364:AO364))),0)</f>
        <v>48944.255208333299</v>
      </c>
      <c r="AQ364" s="8">
        <f>IF($O364="Aktif",MAX(0,MIN($AE364,$AD364-SUM($AG364:AP364))),0)</f>
        <v>48944.255208333299</v>
      </c>
      <c r="AR364" s="8">
        <f>IF($O364="Aktif",MAX(0,MIN($AE364,$AD364-SUM($AG364:AQ364))),0)</f>
        <v>48944.255208333299</v>
      </c>
      <c r="AS364" s="8">
        <f>IF($O364="Aktif",MAX(0,MIN($AE364,$AD364-SUM($AG364:AR364))),0)</f>
        <v>48944.255208333299</v>
      </c>
      <c r="AT364" s="8">
        <f>IF($O364="Aktif",MAX(0,MIN($AE364,$AD364-SUM($AG364:AS364))),0)</f>
        <v>48944.255208333299</v>
      </c>
      <c r="AU364" s="8">
        <f>IF($O364="Aktif",MAX(0,MIN($AE364,$AD364-SUM($AG364:AT364))),0)</f>
        <v>48944.255208333299</v>
      </c>
      <c r="AV364" s="8">
        <f>IF($O364="Aktif",MAX(0,MIN($AE364,$AD364-SUM($AG364:AU364))),0)</f>
        <v>48944.255208333299</v>
      </c>
      <c r="AW364" s="8">
        <f t="shared" si="40"/>
        <v>783108.08333333267</v>
      </c>
      <c r="AX364" s="8">
        <f t="shared" si="41"/>
        <v>1517271.911458334</v>
      </c>
    </row>
    <row r="365" spans="1:50" ht="15" customHeight="1" x14ac:dyDescent="0.35">
      <c r="A365" s="102">
        <v>359</v>
      </c>
      <c r="B365" s="102" t="s">
        <v>586</v>
      </c>
      <c r="C365" s="103">
        <v>297</v>
      </c>
      <c r="D365" s="102" t="s">
        <v>184</v>
      </c>
      <c r="E365" s="102" t="s">
        <v>479</v>
      </c>
      <c r="F365" s="102" t="s">
        <v>947</v>
      </c>
      <c r="G365" s="102" t="s">
        <v>948</v>
      </c>
      <c r="H365" s="102" t="s">
        <v>949</v>
      </c>
      <c r="I365" s="102" t="s">
        <v>90</v>
      </c>
      <c r="J365" s="102"/>
      <c r="K365" s="102" t="s">
        <v>1304</v>
      </c>
      <c r="L365" s="104">
        <v>46249</v>
      </c>
      <c r="M365" s="102" t="s">
        <v>1305</v>
      </c>
      <c r="N365" s="102" t="s">
        <v>1305</v>
      </c>
      <c r="O365" s="102" t="s">
        <v>383</v>
      </c>
      <c r="P365" s="103">
        <v>1</v>
      </c>
      <c r="Q365" s="105">
        <v>2349324.25</v>
      </c>
      <c r="R365" s="103">
        <v>48</v>
      </c>
      <c r="S365" s="105">
        <v>48944.255208333299</v>
      </c>
      <c r="T365" s="105">
        <v>0</v>
      </c>
      <c r="U365" s="105">
        <v>0</v>
      </c>
      <c r="V365" s="105">
        <v>0</v>
      </c>
      <c r="W365" s="105">
        <v>0</v>
      </c>
      <c r="X365" s="105">
        <v>0</v>
      </c>
      <c r="Y365" s="105">
        <v>0</v>
      </c>
      <c r="Z365" s="105">
        <v>0</v>
      </c>
      <c r="AA365" s="105">
        <v>0</v>
      </c>
      <c r="AB365" s="105">
        <v>48944.255208333299</v>
      </c>
      <c r="AC365" s="8">
        <f t="shared" si="35"/>
        <v>48944.255208333299</v>
      </c>
      <c r="AD365" s="8">
        <f t="shared" si="36"/>
        <v>2300379.9947916665</v>
      </c>
      <c r="AE365" s="8">
        <f t="shared" si="37"/>
        <v>48944.255208333299</v>
      </c>
      <c r="AF365" s="106">
        <f t="shared" si="38"/>
        <v>47.000000000000028</v>
      </c>
      <c r="AG365" s="8">
        <f t="shared" si="39"/>
        <v>48944.255208333299</v>
      </c>
      <c r="AH365" s="8">
        <f>IF($O365="Aktif",MAX(0,MIN($AE365,$AD365-SUM($AG365:AG365))),0)</f>
        <v>48944.255208333299</v>
      </c>
      <c r="AI365" s="8">
        <f>IF($O365="Aktif",MAX(0,MIN($AE365,$AD365-SUM($AG365:AH365))),0)</f>
        <v>48944.255208333299</v>
      </c>
      <c r="AJ365" s="8">
        <f>IF($O365="Aktif",MAX(0,MIN($AE365,$AD365-SUM($AG365:AI365))),0)</f>
        <v>48944.255208333299</v>
      </c>
      <c r="AK365" s="8">
        <f>IF($O365="Aktif",MAX(0,MIN($AE365,$AD365-SUM($AG365:AJ365))),0)</f>
        <v>48944.255208333299</v>
      </c>
      <c r="AL365" s="8">
        <f>IF($O365="Aktif",MAX(0,MIN($AE365,$AD365-SUM($AG365:AK365))),0)</f>
        <v>48944.255208333299</v>
      </c>
      <c r="AM365" s="8">
        <f>IF($O365="Aktif",MAX(0,MIN($AE365,$AD365-SUM($AG365:AL365))),0)</f>
        <v>48944.255208333299</v>
      </c>
      <c r="AN365" s="8">
        <f>IF($O365="Aktif",MAX(0,MIN($AE365,$AD365-SUM($AG365:AM365))),0)</f>
        <v>48944.255208333299</v>
      </c>
      <c r="AO365" s="8">
        <f>IF($O365="Aktif",MAX(0,MIN($AE365,$AD365-SUM($AG365:AN365))),0)</f>
        <v>48944.255208333299</v>
      </c>
      <c r="AP365" s="8">
        <f>IF($O365="Aktif",MAX(0,MIN($AE365,$AD365-SUM($AG365:AO365))),0)</f>
        <v>48944.255208333299</v>
      </c>
      <c r="AQ365" s="8">
        <f>IF($O365="Aktif",MAX(0,MIN($AE365,$AD365-SUM($AG365:AP365))),0)</f>
        <v>48944.255208333299</v>
      </c>
      <c r="AR365" s="8">
        <f>IF($O365="Aktif",MAX(0,MIN($AE365,$AD365-SUM($AG365:AQ365))),0)</f>
        <v>48944.255208333299</v>
      </c>
      <c r="AS365" s="8">
        <f>IF($O365="Aktif",MAX(0,MIN($AE365,$AD365-SUM($AG365:AR365))),0)</f>
        <v>48944.255208333299</v>
      </c>
      <c r="AT365" s="8">
        <f>IF($O365="Aktif",MAX(0,MIN($AE365,$AD365-SUM($AG365:AS365))),0)</f>
        <v>48944.255208333299</v>
      </c>
      <c r="AU365" s="8">
        <f>IF($O365="Aktif",MAX(0,MIN($AE365,$AD365-SUM($AG365:AT365))),0)</f>
        <v>48944.255208333299</v>
      </c>
      <c r="AV365" s="8">
        <f>IF($O365="Aktif",MAX(0,MIN($AE365,$AD365-SUM($AG365:AU365))),0)</f>
        <v>48944.255208333299</v>
      </c>
      <c r="AW365" s="8">
        <f t="shared" si="40"/>
        <v>783108.08333333267</v>
      </c>
      <c r="AX365" s="8">
        <f t="shared" si="41"/>
        <v>1517271.911458334</v>
      </c>
    </row>
    <row r="366" spans="1:50" ht="15" customHeight="1" x14ac:dyDescent="0.35">
      <c r="A366" s="102">
        <v>360</v>
      </c>
      <c r="B366" s="102" t="s">
        <v>586</v>
      </c>
      <c r="C366" s="103">
        <v>298</v>
      </c>
      <c r="D366" s="102" t="s">
        <v>184</v>
      </c>
      <c r="E366" s="102" t="s">
        <v>479</v>
      </c>
      <c r="F366" s="102" t="s">
        <v>947</v>
      </c>
      <c r="G366" s="102" t="s">
        <v>948</v>
      </c>
      <c r="H366" s="102" t="s">
        <v>949</v>
      </c>
      <c r="I366" s="102" t="s">
        <v>90</v>
      </c>
      <c r="J366" s="102"/>
      <c r="K366" s="102" t="s">
        <v>1306</v>
      </c>
      <c r="L366" s="104">
        <v>46248</v>
      </c>
      <c r="M366" s="102" t="s">
        <v>1307</v>
      </c>
      <c r="N366" s="102" t="s">
        <v>1307</v>
      </c>
      <c r="O366" s="102" t="s">
        <v>383</v>
      </c>
      <c r="P366" s="103">
        <v>1</v>
      </c>
      <c r="Q366" s="105">
        <v>1500000</v>
      </c>
      <c r="R366" s="103">
        <v>48</v>
      </c>
      <c r="S366" s="105">
        <v>31250</v>
      </c>
      <c r="T366" s="105">
        <v>0</v>
      </c>
      <c r="U366" s="105">
        <v>0</v>
      </c>
      <c r="V366" s="105">
        <v>0</v>
      </c>
      <c r="W366" s="105">
        <v>0</v>
      </c>
      <c r="X366" s="105">
        <v>0</v>
      </c>
      <c r="Y366" s="105">
        <v>0</v>
      </c>
      <c r="Z366" s="105">
        <v>0</v>
      </c>
      <c r="AA366" s="105">
        <v>0</v>
      </c>
      <c r="AB366" s="105">
        <v>31250</v>
      </c>
      <c r="AC366" s="8">
        <f t="shared" si="35"/>
        <v>31250</v>
      </c>
      <c r="AD366" s="8">
        <f t="shared" si="36"/>
        <v>1468750</v>
      </c>
      <c r="AE366" s="8">
        <f t="shared" si="37"/>
        <v>31250</v>
      </c>
      <c r="AF366" s="106">
        <f t="shared" si="38"/>
        <v>47</v>
      </c>
      <c r="AG366" s="8">
        <f t="shared" si="39"/>
        <v>31250</v>
      </c>
      <c r="AH366" s="8">
        <f>IF($O366="Aktif",MAX(0,MIN($AE366,$AD366-SUM($AG366:AG366))),0)</f>
        <v>31250</v>
      </c>
      <c r="AI366" s="8">
        <f>IF($O366="Aktif",MAX(0,MIN($AE366,$AD366-SUM($AG366:AH366))),0)</f>
        <v>31250</v>
      </c>
      <c r="AJ366" s="8">
        <f>IF($O366="Aktif",MAX(0,MIN($AE366,$AD366-SUM($AG366:AI366))),0)</f>
        <v>31250</v>
      </c>
      <c r="AK366" s="8">
        <f>IF($O366="Aktif",MAX(0,MIN($AE366,$AD366-SUM($AG366:AJ366))),0)</f>
        <v>31250</v>
      </c>
      <c r="AL366" s="8">
        <f>IF($O366="Aktif",MAX(0,MIN($AE366,$AD366-SUM($AG366:AK366))),0)</f>
        <v>31250</v>
      </c>
      <c r="AM366" s="8">
        <f>IF($O366="Aktif",MAX(0,MIN($AE366,$AD366-SUM($AG366:AL366))),0)</f>
        <v>31250</v>
      </c>
      <c r="AN366" s="8">
        <f>IF($O366="Aktif",MAX(0,MIN($AE366,$AD366-SUM($AG366:AM366))),0)</f>
        <v>31250</v>
      </c>
      <c r="AO366" s="8">
        <f>IF($O366="Aktif",MAX(0,MIN($AE366,$AD366-SUM($AG366:AN366))),0)</f>
        <v>31250</v>
      </c>
      <c r="AP366" s="8">
        <f>IF($O366="Aktif",MAX(0,MIN($AE366,$AD366-SUM($AG366:AO366))),0)</f>
        <v>31250</v>
      </c>
      <c r="AQ366" s="8">
        <f>IF($O366="Aktif",MAX(0,MIN($AE366,$AD366-SUM($AG366:AP366))),0)</f>
        <v>31250</v>
      </c>
      <c r="AR366" s="8">
        <f>IF($O366="Aktif",MAX(0,MIN($AE366,$AD366-SUM($AG366:AQ366))),0)</f>
        <v>31250</v>
      </c>
      <c r="AS366" s="8">
        <f>IF($O366="Aktif",MAX(0,MIN($AE366,$AD366-SUM($AG366:AR366))),0)</f>
        <v>31250</v>
      </c>
      <c r="AT366" s="8">
        <f>IF($O366="Aktif",MAX(0,MIN($AE366,$AD366-SUM($AG366:AS366))),0)</f>
        <v>31250</v>
      </c>
      <c r="AU366" s="8">
        <f>IF($O366="Aktif",MAX(0,MIN($AE366,$AD366-SUM($AG366:AT366))),0)</f>
        <v>31250</v>
      </c>
      <c r="AV366" s="8">
        <f>IF($O366="Aktif",MAX(0,MIN($AE366,$AD366-SUM($AG366:AU366))),0)</f>
        <v>31250</v>
      </c>
      <c r="AW366" s="8">
        <f t="shared" si="40"/>
        <v>500000</v>
      </c>
      <c r="AX366" s="8">
        <f t="shared" si="41"/>
        <v>968750</v>
      </c>
    </row>
    <row r="367" spans="1:50" ht="15" customHeight="1" x14ac:dyDescent="0.35">
      <c r="A367" s="102">
        <v>361</v>
      </c>
      <c r="B367" s="102" t="s">
        <v>586</v>
      </c>
      <c r="C367" s="103">
        <v>299</v>
      </c>
      <c r="D367" s="102" t="s">
        <v>184</v>
      </c>
      <c r="E367" s="102" t="s">
        <v>479</v>
      </c>
      <c r="F367" s="102" t="s">
        <v>947</v>
      </c>
      <c r="G367" s="102" t="s">
        <v>948</v>
      </c>
      <c r="H367" s="102" t="s">
        <v>949</v>
      </c>
      <c r="I367" s="102" t="s">
        <v>90</v>
      </c>
      <c r="J367" s="102"/>
      <c r="K367" s="102" t="s">
        <v>1308</v>
      </c>
      <c r="L367" s="104">
        <v>46249</v>
      </c>
      <c r="M367" s="102" t="s">
        <v>1309</v>
      </c>
      <c r="N367" s="102" t="s">
        <v>1309</v>
      </c>
      <c r="O367" s="102" t="s">
        <v>383</v>
      </c>
      <c r="P367" s="103">
        <v>1</v>
      </c>
      <c r="Q367" s="105">
        <v>9650450</v>
      </c>
      <c r="R367" s="103">
        <v>48</v>
      </c>
      <c r="S367" s="105">
        <v>201051.04166666701</v>
      </c>
      <c r="T367" s="105">
        <v>0</v>
      </c>
      <c r="U367" s="105">
        <v>0</v>
      </c>
      <c r="V367" s="105">
        <v>0</v>
      </c>
      <c r="W367" s="105">
        <v>0</v>
      </c>
      <c r="X367" s="105">
        <v>0</v>
      </c>
      <c r="Y367" s="105">
        <v>0</v>
      </c>
      <c r="Z367" s="105">
        <v>0</v>
      </c>
      <c r="AA367" s="105">
        <v>0</v>
      </c>
      <c r="AB367" s="105">
        <v>201051.04166666701</v>
      </c>
      <c r="AC367" s="8">
        <f t="shared" si="35"/>
        <v>201051.04166666701</v>
      </c>
      <c r="AD367" s="8">
        <f t="shared" si="36"/>
        <v>9449398.9583333321</v>
      </c>
      <c r="AE367" s="8">
        <f t="shared" si="37"/>
        <v>201051.04166666701</v>
      </c>
      <c r="AF367" s="106">
        <f t="shared" si="38"/>
        <v>46.999999999999915</v>
      </c>
      <c r="AG367" s="8">
        <f t="shared" si="39"/>
        <v>201051.04166666701</v>
      </c>
      <c r="AH367" s="8">
        <f>IF($O367="Aktif",MAX(0,MIN($AE367,$AD367-SUM($AG367:AG367))),0)</f>
        <v>201051.04166666701</v>
      </c>
      <c r="AI367" s="8">
        <f>IF($O367="Aktif",MAX(0,MIN($AE367,$AD367-SUM($AG367:AH367))),0)</f>
        <v>201051.04166666701</v>
      </c>
      <c r="AJ367" s="8">
        <f>IF($O367="Aktif",MAX(0,MIN($AE367,$AD367-SUM($AG367:AI367))),0)</f>
        <v>201051.04166666701</v>
      </c>
      <c r="AK367" s="8">
        <f>IF($O367="Aktif",MAX(0,MIN($AE367,$AD367-SUM($AG367:AJ367))),0)</f>
        <v>201051.04166666701</v>
      </c>
      <c r="AL367" s="8">
        <f>IF($O367="Aktif",MAX(0,MIN($AE367,$AD367-SUM($AG367:AK367))),0)</f>
        <v>201051.04166666701</v>
      </c>
      <c r="AM367" s="8">
        <f>IF($O367="Aktif",MAX(0,MIN($AE367,$AD367-SUM($AG367:AL367))),0)</f>
        <v>201051.04166666701</v>
      </c>
      <c r="AN367" s="8">
        <f>IF($O367="Aktif",MAX(0,MIN($AE367,$AD367-SUM($AG367:AM367))),0)</f>
        <v>201051.04166666701</v>
      </c>
      <c r="AO367" s="8">
        <f>IF($O367="Aktif",MAX(0,MIN($AE367,$AD367-SUM($AG367:AN367))),0)</f>
        <v>201051.04166666701</v>
      </c>
      <c r="AP367" s="8">
        <f>IF($O367="Aktif",MAX(0,MIN($AE367,$AD367-SUM($AG367:AO367))),0)</f>
        <v>201051.04166666701</v>
      </c>
      <c r="AQ367" s="8">
        <f>IF($O367="Aktif",MAX(0,MIN($AE367,$AD367-SUM($AG367:AP367))),0)</f>
        <v>201051.04166666701</v>
      </c>
      <c r="AR367" s="8">
        <f>IF($O367="Aktif",MAX(0,MIN($AE367,$AD367-SUM($AG367:AQ367))),0)</f>
        <v>201051.04166666701</v>
      </c>
      <c r="AS367" s="8">
        <f>IF($O367="Aktif",MAX(0,MIN($AE367,$AD367-SUM($AG367:AR367))),0)</f>
        <v>201051.04166666701</v>
      </c>
      <c r="AT367" s="8">
        <f>IF($O367="Aktif",MAX(0,MIN($AE367,$AD367-SUM($AG367:AS367))),0)</f>
        <v>201051.04166666701</v>
      </c>
      <c r="AU367" s="8">
        <f>IF($O367="Aktif",MAX(0,MIN($AE367,$AD367-SUM($AG367:AT367))),0)</f>
        <v>201051.04166666701</v>
      </c>
      <c r="AV367" s="8">
        <f>IF($O367="Aktif",MAX(0,MIN($AE367,$AD367-SUM($AG367:AU367))),0)</f>
        <v>201051.04166666701</v>
      </c>
      <c r="AW367" s="8">
        <f t="shared" si="40"/>
        <v>3216816.6666666721</v>
      </c>
      <c r="AX367" s="8">
        <f t="shared" si="41"/>
        <v>6232582.2916666605</v>
      </c>
    </row>
    <row r="368" spans="1:50" ht="15" customHeight="1" x14ac:dyDescent="0.35">
      <c r="A368" s="102">
        <v>362</v>
      </c>
      <c r="B368" s="102" t="s">
        <v>586</v>
      </c>
      <c r="C368" s="103">
        <v>300</v>
      </c>
      <c r="D368" s="102" t="s">
        <v>184</v>
      </c>
      <c r="E368" s="102" t="s">
        <v>479</v>
      </c>
      <c r="F368" s="102" t="s">
        <v>947</v>
      </c>
      <c r="G368" s="102" t="s">
        <v>948</v>
      </c>
      <c r="H368" s="102" t="s">
        <v>949</v>
      </c>
      <c r="I368" s="102" t="s">
        <v>90</v>
      </c>
      <c r="J368" s="102"/>
      <c r="K368" s="102" t="s">
        <v>1310</v>
      </c>
      <c r="L368" s="104">
        <v>46249</v>
      </c>
      <c r="M368" s="102" t="s">
        <v>1311</v>
      </c>
      <c r="N368" s="102" t="s">
        <v>1311</v>
      </c>
      <c r="O368" s="102" t="s">
        <v>383</v>
      </c>
      <c r="P368" s="103">
        <v>1</v>
      </c>
      <c r="Q368" s="105">
        <v>6700000</v>
      </c>
      <c r="R368" s="103">
        <v>48</v>
      </c>
      <c r="S368" s="105">
        <v>139583.33333333299</v>
      </c>
      <c r="T368" s="105">
        <v>0</v>
      </c>
      <c r="U368" s="105">
        <v>0</v>
      </c>
      <c r="V368" s="105">
        <v>0</v>
      </c>
      <c r="W368" s="105">
        <v>0</v>
      </c>
      <c r="X368" s="105">
        <v>0</v>
      </c>
      <c r="Y368" s="105">
        <v>0</v>
      </c>
      <c r="Z368" s="105">
        <v>0</v>
      </c>
      <c r="AA368" s="105">
        <v>0</v>
      </c>
      <c r="AB368" s="105">
        <v>139583.33333333299</v>
      </c>
      <c r="AC368" s="8">
        <f t="shared" si="35"/>
        <v>139583.33333333299</v>
      </c>
      <c r="AD368" s="8">
        <f t="shared" si="36"/>
        <v>6560416.666666667</v>
      </c>
      <c r="AE368" s="8">
        <f t="shared" si="37"/>
        <v>139583.33333333299</v>
      </c>
      <c r="AF368" s="106">
        <f t="shared" si="38"/>
        <v>47.000000000000114</v>
      </c>
      <c r="AG368" s="8">
        <f t="shared" si="39"/>
        <v>139583.33333333299</v>
      </c>
      <c r="AH368" s="8">
        <f>IF($O368="Aktif",MAX(0,MIN($AE368,$AD368-SUM($AG368:AG368))),0)</f>
        <v>139583.33333333299</v>
      </c>
      <c r="AI368" s="8">
        <f>IF($O368="Aktif",MAX(0,MIN($AE368,$AD368-SUM($AG368:AH368))),0)</f>
        <v>139583.33333333299</v>
      </c>
      <c r="AJ368" s="8">
        <f>IF($O368="Aktif",MAX(0,MIN($AE368,$AD368-SUM($AG368:AI368))),0)</f>
        <v>139583.33333333299</v>
      </c>
      <c r="AK368" s="8">
        <f>IF($O368="Aktif",MAX(0,MIN($AE368,$AD368-SUM($AG368:AJ368))),0)</f>
        <v>139583.33333333299</v>
      </c>
      <c r="AL368" s="8">
        <f>IF($O368="Aktif",MAX(0,MIN($AE368,$AD368-SUM($AG368:AK368))),0)</f>
        <v>139583.33333333299</v>
      </c>
      <c r="AM368" s="8">
        <f>IF($O368="Aktif",MAX(0,MIN($AE368,$AD368-SUM($AG368:AL368))),0)</f>
        <v>139583.33333333299</v>
      </c>
      <c r="AN368" s="8">
        <f>IF($O368="Aktif",MAX(0,MIN($AE368,$AD368-SUM($AG368:AM368))),0)</f>
        <v>139583.33333333299</v>
      </c>
      <c r="AO368" s="8">
        <f>IF($O368="Aktif",MAX(0,MIN($AE368,$AD368-SUM($AG368:AN368))),0)</f>
        <v>139583.33333333299</v>
      </c>
      <c r="AP368" s="8">
        <f>IF($O368="Aktif",MAX(0,MIN($AE368,$AD368-SUM($AG368:AO368))),0)</f>
        <v>139583.33333333299</v>
      </c>
      <c r="AQ368" s="8">
        <f>IF($O368="Aktif",MAX(0,MIN($AE368,$AD368-SUM($AG368:AP368))),0)</f>
        <v>139583.33333333299</v>
      </c>
      <c r="AR368" s="8">
        <f>IF($O368="Aktif",MAX(0,MIN($AE368,$AD368-SUM($AG368:AQ368))),0)</f>
        <v>139583.33333333299</v>
      </c>
      <c r="AS368" s="8">
        <f>IF($O368="Aktif",MAX(0,MIN($AE368,$AD368-SUM($AG368:AR368))),0)</f>
        <v>139583.33333333299</v>
      </c>
      <c r="AT368" s="8">
        <f>IF($O368="Aktif",MAX(0,MIN($AE368,$AD368-SUM($AG368:AS368))),0)</f>
        <v>139583.33333333299</v>
      </c>
      <c r="AU368" s="8">
        <f>IF($O368="Aktif",MAX(0,MIN($AE368,$AD368-SUM($AG368:AT368))),0)</f>
        <v>139583.33333333299</v>
      </c>
      <c r="AV368" s="8">
        <f>IF($O368="Aktif",MAX(0,MIN($AE368,$AD368-SUM($AG368:AU368))),0)</f>
        <v>139583.33333333299</v>
      </c>
      <c r="AW368" s="8">
        <f t="shared" si="40"/>
        <v>2233333.3333333279</v>
      </c>
      <c r="AX368" s="8">
        <f t="shared" si="41"/>
        <v>4327083.3333333395</v>
      </c>
    </row>
    <row r="369" spans="1:50" ht="15" customHeight="1" x14ac:dyDescent="0.35">
      <c r="A369" s="102">
        <v>363</v>
      </c>
      <c r="B369" s="102" t="s">
        <v>586</v>
      </c>
      <c r="C369" s="103">
        <v>301</v>
      </c>
      <c r="D369" s="102" t="s">
        <v>184</v>
      </c>
      <c r="E369" s="102" t="s">
        <v>479</v>
      </c>
      <c r="F369" s="102" t="s">
        <v>947</v>
      </c>
      <c r="G369" s="102" t="s">
        <v>948</v>
      </c>
      <c r="H369" s="102" t="s">
        <v>949</v>
      </c>
      <c r="I369" s="102" t="s">
        <v>90</v>
      </c>
      <c r="J369" s="102"/>
      <c r="K369" s="102" t="s">
        <v>1312</v>
      </c>
      <c r="L369" s="104">
        <v>46249</v>
      </c>
      <c r="M369" s="102" t="s">
        <v>1313</v>
      </c>
      <c r="N369" s="102" t="s">
        <v>1313</v>
      </c>
      <c r="O369" s="102" t="s">
        <v>383</v>
      </c>
      <c r="P369" s="103">
        <v>1</v>
      </c>
      <c r="Q369" s="105">
        <v>2635135</v>
      </c>
      <c r="R369" s="103">
        <v>48</v>
      </c>
      <c r="S369" s="105">
        <v>54898.645833333299</v>
      </c>
      <c r="T369" s="105">
        <v>0</v>
      </c>
      <c r="U369" s="105">
        <v>0</v>
      </c>
      <c r="V369" s="105">
        <v>0</v>
      </c>
      <c r="W369" s="105">
        <v>0</v>
      </c>
      <c r="X369" s="105">
        <v>0</v>
      </c>
      <c r="Y369" s="105">
        <v>0</v>
      </c>
      <c r="Z369" s="105">
        <v>0</v>
      </c>
      <c r="AA369" s="105">
        <v>0</v>
      </c>
      <c r="AB369" s="105">
        <v>54898.645833333299</v>
      </c>
      <c r="AC369" s="8">
        <f t="shared" si="35"/>
        <v>54898.645833333299</v>
      </c>
      <c r="AD369" s="8">
        <f t="shared" si="36"/>
        <v>2580236.3541666665</v>
      </c>
      <c r="AE369" s="8">
        <f t="shared" si="37"/>
        <v>54898.645833333299</v>
      </c>
      <c r="AF369" s="106">
        <f t="shared" si="38"/>
        <v>47.000000000000028</v>
      </c>
      <c r="AG369" s="8">
        <f t="shared" si="39"/>
        <v>54898.645833333299</v>
      </c>
      <c r="AH369" s="8">
        <f>IF($O369="Aktif",MAX(0,MIN($AE369,$AD369-SUM($AG369:AG369))),0)</f>
        <v>54898.645833333299</v>
      </c>
      <c r="AI369" s="8">
        <f>IF($O369="Aktif",MAX(0,MIN($AE369,$AD369-SUM($AG369:AH369))),0)</f>
        <v>54898.645833333299</v>
      </c>
      <c r="AJ369" s="8">
        <f>IF($O369="Aktif",MAX(0,MIN($AE369,$AD369-SUM($AG369:AI369))),0)</f>
        <v>54898.645833333299</v>
      </c>
      <c r="AK369" s="8">
        <f>IF($O369="Aktif",MAX(0,MIN($AE369,$AD369-SUM($AG369:AJ369))),0)</f>
        <v>54898.645833333299</v>
      </c>
      <c r="AL369" s="8">
        <f>IF($O369="Aktif",MAX(0,MIN($AE369,$AD369-SUM($AG369:AK369))),0)</f>
        <v>54898.645833333299</v>
      </c>
      <c r="AM369" s="8">
        <f>IF($O369="Aktif",MAX(0,MIN($AE369,$AD369-SUM($AG369:AL369))),0)</f>
        <v>54898.645833333299</v>
      </c>
      <c r="AN369" s="8">
        <f>IF($O369="Aktif",MAX(0,MIN($AE369,$AD369-SUM($AG369:AM369))),0)</f>
        <v>54898.645833333299</v>
      </c>
      <c r="AO369" s="8">
        <f>IF($O369="Aktif",MAX(0,MIN($AE369,$AD369-SUM($AG369:AN369))),0)</f>
        <v>54898.645833333299</v>
      </c>
      <c r="AP369" s="8">
        <f>IF($O369="Aktif",MAX(0,MIN($AE369,$AD369-SUM($AG369:AO369))),0)</f>
        <v>54898.645833333299</v>
      </c>
      <c r="AQ369" s="8">
        <f>IF($O369="Aktif",MAX(0,MIN($AE369,$AD369-SUM($AG369:AP369))),0)</f>
        <v>54898.645833333299</v>
      </c>
      <c r="AR369" s="8">
        <f>IF($O369="Aktif",MAX(0,MIN($AE369,$AD369-SUM($AG369:AQ369))),0)</f>
        <v>54898.645833333299</v>
      </c>
      <c r="AS369" s="8">
        <f>IF($O369="Aktif",MAX(0,MIN($AE369,$AD369-SUM($AG369:AR369))),0)</f>
        <v>54898.645833333299</v>
      </c>
      <c r="AT369" s="8">
        <f>IF($O369="Aktif",MAX(0,MIN($AE369,$AD369-SUM($AG369:AS369))),0)</f>
        <v>54898.645833333299</v>
      </c>
      <c r="AU369" s="8">
        <f>IF($O369="Aktif",MAX(0,MIN($AE369,$AD369-SUM($AG369:AT369))),0)</f>
        <v>54898.645833333299</v>
      </c>
      <c r="AV369" s="8">
        <f>IF($O369="Aktif",MAX(0,MIN($AE369,$AD369-SUM($AG369:AU369))),0)</f>
        <v>54898.645833333299</v>
      </c>
      <c r="AW369" s="8">
        <f t="shared" si="40"/>
        <v>878378.33333333256</v>
      </c>
      <c r="AX369" s="8">
        <f t="shared" si="41"/>
        <v>1701858.020833334</v>
      </c>
    </row>
    <row r="370" spans="1:50" ht="15" customHeight="1" x14ac:dyDescent="0.35">
      <c r="A370" s="102">
        <v>364</v>
      </c>
      <c r="B370" s="102" t="s">
        <v>1314</v>
      </c>
      <c r="C370" s="103">
        <v>8</v>
      </c>
      <c r="D370" s="102" t="s">
        <v>184</v>
      </c>
      <c r="E370" s="102" t="s">
        <v>0</v>
      </c>
      <c r="F370" s="102" t="s">
        <v>947</v>
      </c>
      <c r="G370" s="102" t="s">
        <v>948</v>
      </c>
      <c r="H370" s="102" t="s">
        <v>949</v>
      </c>
      <c r="I370" s="102" t="s">
        <v>90</v>
      </c>
      <c r="J370" s="102"/>
      <c r="K370" s="102"/>
      <c r="L370" s="102" t="s">
        <v>1315</v>
      </c>
      <c r="M370" s="102" t="s">
        <v>1316</v>
      </c>
      <c r="N370" s="102" t="s">
        <v>1316</v>
      </c>
      <c r="O370" s="102" t="s">
        <v>383</v>
      </c>
      <c r="P370" s="103"/>
      <c r="Q370" s="105">
        <v>0</v>
      </c>
      <c r="R370" s="102"/>
      <c r="S370" s="105">
        <v>0</v>
      </c>
      <c r="T370" s="105">
        <v>0</v>
      </c>
      <c r="U370" s="105">
        <v>0</v>
      </c>
      <c r="V370" s="105">
        <v>0</v>
      </c>
      <c r="W370" s="105">
        <v>0</v>
      </c>
      <c r="X370" s="105">
        <v>0</v>
      </c>
      <c r="Y370" s="105">
        <v>0</v>
      </c>
      <c r="Z370" s="105">
        <v>0</v>
      </c>
      <c r="AA370" s="105">
        <v>0</v>
      </c>
      <c r="AB370" s="105">
        <v>0</v>
      </c>
      <c r="AC370" s="8">
        <f t="shared" si="35"/>
        <v>0</v>
      </c>
      <c r="AD370" s="8">
        <f t="shared" si="36"/>
        <v>0</v>
      </c>
      <c r="AE370" s="8">
        <f t="shared" si="37"/>
        <v>0</v>
      </c>
      <c r="AF370" s="106">
        <f t="shared" si="38"/>
        <v>0</v>
      </c>
      <c r="AG370" s="8">
        <f t="shared" si="39"/>
        <v>0</v>
      </c>
      <c r="AH370" s="8">
        <f>IF($O370="Aktif",MAX(0,MIN($AE370,$AD370-SUM($AG370:AG370))),0)</f>
        <v>0</v>
      </c>
      <c r="AI370" s="8">
        <f>IF($O370="Aktif",MAX(0,MIN($AE370,$AD370-SUM($AG370:AH370))),0)</f>
        <v>0</v>
      </c>
      <c r="AJ370" s="8">
        <f>IF($O370="Aktif",MAX(0,MIN($AE370,$AD370-SUM($AG370:AI370))),0)</f>
        <v>0</v>
      </c>
      <c r="AK370" s="8">
        <f>IF($O370="Aktif",MAX(0,MIN($AE370,$AD370-SUM($AG370:AJ370))),0)</f>
        <v>0</v>
      </c>
      <c r="AL370" s="8">
        <f>IF($O370="Aktif",MAX(0,MIN($AE370,$AD370-SUM($AG370:AK370))),0)</f>
        <v>0</v>
      </c>
      <c r="AM370" s="8">
        <f>IF($O370="Aktif",MAX(0,MIN($AE370,$AD370-SUM($AG370:AL370))),0)</f>
        <v>0</v>
      </c>
      <c r="AN370" s="8">
        <f>IF($O370="Aktif",MAX(0,MIN($AE370,$AD370-SUM($AG370:AM370))),0)</f>
        <v>0</v>
      </c>
      <c r="AO370" s="8">
        <f>IF($O370="Aktif",MAX(0,MIN($AE370,$AD370-SUM($AG370:AN370))),0)</f>
        <v>0</v>
      </c>
      <c r="AP370" s="8">
        <f>IF($O370="Aktif",MAX(0,MIN($AE370,$AD370-SUM($AG370:AO370))),0)</f>
        <v>0</v>
      </c>
      <c r="AQ370" s="8">
        <f>IF($O370="Aktif",MAX(0,MIN($AE370,$AD370-SUM($AG370:AP370))),0)</f>
        <v>0</v>
      </c>
      <c r="AR370" s="8">
        <f>IF($O370="Aktif",MAX(0,MIN($AE370,$AD370-SUM($AG370:AQ370))),0)</f>
        <v>0</v>
      </c>
      <c r="AS370" s="8">
        <f>IF($O370="Aktif",MAX(0,MIN($AE370,$AD370-SUM($AG370:AR370))),0)</f>
        <v>0</v>
      </c>
      <c r="AT370" s="8">
        <f>IF($O370="Aktif",MAX(0,MIN($AE370,$AD370-SUM($AG370:AS370))),0)</f>
        <v>0</v>
      </c>
      <c r="AU370" s="8">
        <f>IF($O370="Aktif",MAX(0,MIN($AE370,$AD370-SUM($AG370:AT370))),0)</f>
        <v>0</v>
      </c>
      <c r="AV370" s="8">
        <f>IF($O370="Aktif",MAX(0,MIN($AE370,$AD370-SUM($AG370:AU370))),0)</f>
        <v>0</v>
      </c>
      <c r="AW370" s="8">
        <f t="shared" si="40"/>
        <v>0</v>
      </c>
      <c r="AX370" s="8">
        <f t="shared" si="41"/>
        <v>0</v>
      </c>
    </row>
    <row r="371" spans="1:50" ht="15" customHeight="1" x14ac:dyDescent="0.35">
      <c r="A371" s="102">
        <v>365</v>
      </c>
      <c r="B371" s="102" t="s">
        <v>1314</v>
      </c>
      <c r="C371" s="103">
        <v>9</v>
      </c>
      <c r="D371" s="102" t="s">
        <v>184</v>
      </c>
      <c r="E371" s="102" t="s">
        <v>0</v>
      </c>
      <c r="F371" s="102" t="s">
        <v>947</v>
      </c>
      <c r="G371" s="102" t="s">
        <v>948</v>
      </c>
      <c r="H371" s="102" t="s">
        <v>949</v>
      </c>
      <c r="I371" s="102" t="s">
        <v>90</v>
      </c>
      <c r="J371" s="102"/>
      <c r="K371" s="102"/>
      <c r="L371" s="102" t="s">
        <v>1315</v>
      </c>
      <c r="M371" s="102" t="s">
        <v>1316</v>
      </c>
      <c r="N371" s="102" t="s">
        <v>1316</v>
      </c>
      <c r="O371" s="102" t="s">
        <v>383</v>
      </c>
      <c r="P371" s="103"/>
      <c r="Q371" s="105">
        <v>0</v>
      </c>
      <c r="R371" s="102"/>
      <c r="S371" s="105">
        <v>0</v>
      </c>
      <c r="T371" s="105">
        <v>0</v>
      </c>
      <c r="U371" s="105">
        <v>0</v>
      </c>
      <c r="V371" s="105">
        <v>0</v>
      </c>
      <c r="W371" s="105">
        <v>0</v>
      </c>
      <c r="X371" s="105">
        <v>0</v>
      </c>
      <c r="Y371" s="105">
        <v>0</v>
      </c>
      <c r="Z371" s="105">
        <v>0</v>
      </c>
      <c r="AA371" s="105">
        <v>0</v>
      </c>
      <c r="AB371" s="105">
        <v>0</v>
      </c>
      <c r="AC371" s="8">
        <f t="shared" si="35"/>
        <v>0</v>
      </c>
      <c r="AD371" s="8">
        <f t="shared" si="36"/>
        <v>0</v>
      </c>
      <c r="AE371" s="8">
        <f t="shared" si="37"/>
        <v>0</v>
      </c>
      <c r="AF371" s="106">
        <f t="shared" si="38"/>
        <v>0</v>
      </c>
      <c r="AG371" s="8">
        <f t="shared" si="39"/>
        <v>0</v>
      </c>
      <c r="AH371" s="8">
        <f>IF($O371="Aktif",MAX(0,MIN($AE371,$AD371-SUM($AG371:AG371))),0)</f>
        <v>0</v>
      </c>
      <c r="AI371" s="8">
        <f>IF($O371="Aktif",MAX(0,MIN($AE371,$AD371-SUM($AG371:AH371))),0)</f>
        <v>0</v>
      </c>
      <c r="AJ371" s="8">
        <f>IF($O371="Aktif",MAX(0,MIN($AE371,$AD371-SUM($AG371:AI371))),0)</f>
        <v>0</v>
      </c>
      <c r="AK371" s="8">
        <f>IF($O371="Aktif",MAX(0,MIN($AE371,$AD371-SUM($AG371:AJ371))),0)</f>
        <v>0</v>
      </c>
      <c r="AL371" s="8">
        <f>IF($O371="Aktif",MAX(0,MIN($AE371,$AD371-SUM($AG371:AK371))),0)</f>
        <v>0</v>
      </c>
      <c r="AM371" s="8">
        <f>IF($O371="Aktif",MAX(0,MIN($AE371,$AD371-SUM($AG371:AL371))),0)</f>
        <v>0</v>
      </c>
      <c r="AN371" s="8">
        <f>IF($O371="Aktif",MAX(0,MIN($AE371,$AD371-SUM($AG371:AM371))),0)</f>
        <v>0</v>
      </c>
      <c r="AO371" s="8">
        <f>IF($O371="Aktif",MAX(0,MIN($AE371,$AD371-SUM($AG371:AN371))),0)</f>
        <v>0</v>
      </c>
      <c r="AP371" s="8">
        <f>IF($O371="Aktif",MAX(0,MIN($AE371,$AD371-SUM($AG371:AO371))),0)</f>
        <v>0</v>
      </c>
      <c r="AQ371" s="8">
        <f>IF($O371="Aktif",MAX(0,MIN($AE371,$AD371-SUM($AG371:AP371))),0)</f>
        <v>0</v>
      </c>
      <c r="AR371" s="8">
        <f>IF($O371="Aktif",MAX(0,MIN($AE371,$AD371-SUM($AG371:AQ371))),0)</f>
        <v>0</v>
      </c>
      <c r="AS371" s="8">
        <f>IF($O371="Aktif",MAX(0,MIN($AE371,$AD371-SUM($AG371:AR371))),0)</f>
        <v>0</v>
      </c>
      <c r="AT371" s="8">
        <f>IF($O371="Aktif",MAX(0,MIN($AE371,$AD371-SUM($AG371:AS371))),0)</f>
        <v>0</v>
      </c>
      <c r="AU371" s="8">
        <f>IF($O371="Aktif",MAX(0,MIN($AE371,$AD371-SUM($AG371:AT371))),0)</f>
        <v>0</v>
      </c>
      <c r="AV371" s="8">
        <f>IF($O371="Aktif",MAX(0,MIN($AE371,$AD371-SUM($AG371:AU371))),0)</f>
        <v>0</v>
      </c>
      <c r="AW371" s="8">
        <f t="shared" si="40"/>
        <v>0</v>
      </c>
      <c r="AX371" s="8">
        <f t="shared" si="41"/>
        <v>0</v>
      </c>
    </row>
    <row r="372" spans="1:50" ht="15" customHeight="1" x14ac:dyDescent="0.35">
      <c r="A372" s="102">
        <v>366</v>
      </c>
      <c r="B372" s="102" t="s">
        <v>1314</v>
      </c>
      <c r="C372" s="103">
        <v>10</v>
      </c>
      <c r="D372" s="102" t="s">
        <v>184</v>
      </c>
      <c r="E372" s="102" t="s">
        <v>0</v>
      </c>
      <c r="F372" s="102" t="s">
        <v>947</v>
      </c>
      <c r="G372" s="102" t="s">
        <v>948</v>
      </c>
      <c r="H372" s="102" t="s">
        <v>949</v>
      </c>
      <c r="I372" s="102" t="s">
        <v>90</v>
      </c>
      <c r="J372" s="102"/>
      <c r="K372" s="102"/>
      <c r="L372" s="102" t="s">
        <v>1315</v>
      </c>
      <c r="M372" s="102" t="s">
        <v>1316</v>
      </c>
      <c r="N372" s="102" t="s">
        <v>1316</v>
      </c>
      <c r="O372" s="102" t="s">
        <v>383</v>
      </c>
      <c r="P372" s="103"/>
      <c r="Q372" s="105">
        <v>0</v>
      </c>
      <c r="R372" s="102"/>
      <c r="S372" s="105">
        <v>0</v>
      </c>
      <c r="T372" s="105">
        <v>0</v>
      </c>
      <c r="U372" s="105">
        <v>0</v>
      </c>
      <c r="V372" s="105">
        <v>0</v>
      </c>
      <c r="W372" s="105">
        <v>0</v>
      </c>
      <c r="X372" s="105">
        <v>0</v>
      </c>
      <c r="Y372" s="105">
        <v>0</v>
      </c>
      <c r="Z372" s="105">
        <v>0</v>
      </c>
      <c r="AA372" s="105">
        <v>0</v>
      </c>
      <c r="AB372" s="105">
        <v>0</v>
      </c>
      <c r="AC372" s="8">
        <f t="shared" si="35"/>
        <v>0</v>
      </c>
      <c r="AD372" s="8">
        <f t="shared" si="36"/>
        <v>0</v>
      </c>
      <c r="AE372" s="8">
        <f t="shared" si="37"/>
        <v>0</v>
      </c>
      <c r="AF372" s="106">
        <f t="shared" si="38"/>
        <v>0</v>
      </c>
      <c r="AG372" s="8">
        <f t="shared" si="39"/>
        <v>0</v>
      </c>
      <c r="AH372" s="8">
        <f>IF($O372="Aktif",MAX(0,MIN($AE372,$AD372-SUM($AG372:AG372))),0)</f>
        <v>0</v>
      </c>
      <c r="AI372" s="8">
        <f>IF($O372="Aktif",MAX(0,MIN($AE372,$AD372-SUM($AG372:AH372))),0)</f>
        <v>0</v>
      </c>
      <c r="AJ372" s="8">
        <f>IF($O372="Aktif",MAX(0,MIN($AE372,$AD372-SUM($AG372:AI372))),0)</f>
        <v>0</v>
      </c>
      <c r="AK372" s="8">
        <f>IF($O372="Aktif",MAX(0,MIN($AE372,$AD372-SUM($AG372:AJ372))),0)</f>
        <v>0</v>
      </c>
      <c r="AL372" s="8">
        <f>IF($O372="Aktif",MAX(0,MIN($AE372,$AD372-SUM($AG372:AK372))),0)</f>
        <v>0</v>
      </c>
      <c r="AM372" s="8">
        <f>IF($O372="Aktif",MAX(0,MIN($AE372,$AD372-SUM($AG372:AL372))),0)</f>
        <v>0</v>
      </c>
      <c r="AN372" s="8">
        <f>IF($O372="Aktif",MAX(0,MIN($AE372,$AD372-SUM($AG372:AM372))),0)</f>
        <v>0</v>
      </c>
      <c r="AO372" s="8">
        <f>IF($O372="Aktif",MAX(0,MIN($AE372,$AD372-SUM($AG372:AN372))),0)</f>
        <v>0</v>
      </c>
      <c r="AP372" s="8">
        <f>IF($O372="Aktif",MAX(0,MIN($AE372,$AD372-SUM($AG372:AO372))),0)</f>
        <v>0</v>
      </c>
      <c r="AQ372" s="8">
        <f>IF($O372="Aktif",MAX(0,MIN($AE372,$AD372-SUM($AG372:AP372))),0)</f>
        <v>0</v>
      </c>
      <c r="AR372" s="8">
        <f>IF($O372="Aktif",MAX(0,MIN($AE372,$AD372-SUM($AG372:AQ372))),0)</f>
        <v>0</v>
      </c>
      <c r="AS372" s="8">
        <f>IF($O372="Aktif",MAX(0,MIN($AE372,$AD372-SUM($AG372:AR372))),0)</f>
        <v>0</v>
      </c>
      <c r="AT372" s="8">
        <f>IF($O372="Aktif",MAX(0,MIN($AE372,$AD372-SUM($AG372:AS372))),0)</f>
        <v>0</v>
      </c>
      <c r="AU372" s="8">
        <f>IF($O372="Aktif",MAX(0,MIN($AE372,$AD372-SUM($AG372:AT372))),0)</f>
        <v>0</v>
      </c>
      <c r="AV372" s="8">
        <f>IF($O372="Aktif",MAX(0,MIN($AE372,$AD372-SUM($AG372:AU372))),0)</f>
        <v>0</v>
      </c>
      <c r="AW372" s="8">
        <f t="shared" si="40"/>
        <v>0</v>
      </c>
      <c r="AX372" s="8">
        <f t="shared" si="41"/>
        <v>0</v>
      </c>
    </row>
    <row r="373" spans="1:50" ht="15" customHeight="1" x14ac:dyDescent="0.35">
      <c r="A373" s="102">
        <v>367</v>
      </c>
      <c r="B373" s="102" t="s">
        <v>1314</v>
      </c>
      <c r="C373" s="103">
        <v>11</v>
      </c>
      <c r="D373" s="102" t="s">
        <v>184</v>
      </c>
      <c r="E373" s="102" t="s">
        <v>0</v>
      </c>
      <c r="F373" s="102" t="s">
        <v>947</v>
      </c>
      <c r="G373" s="102" t="s">
        <v>948</v>
      </c>
      <c r="H373" s="102" t="s">
        <v>949</v>
      </c>
      <c r="I373" s="102" t="s">
        <v>90</v>
      </c>
      <c r="J373" s="102"/>
      <c r="K373" s="102"/>
      <c r="L373" s="102" t="s">
        <v>1315</v>
      </c>
      <c r="M373" s="102" t="s">
        <v>1317</v>
      </c>
      <c r="N373" s="102" t="s">
        <v>1317</v>
      </c>
      <c r="O373" s="102" t="s">
        <v>383</v>
      </c>
      <c r="P373" s="103"/>
      <c r="Q373" s="105">
        <v>0</v>
      </c>
      <c r="R373" s="102"/>
      <c r="S373" s="105">
        <v>0</v>
      </c>
      <c r="T373" s="105">
        <v>0</v>
      </c>
      <c r="U373" s="105">
        <v>0</v>
      </c>
      <c r="V373" s="105">
        <v>0</v>
      </c>
      <c r="W373" s="105">
        <v>0</v>
      </c>
      <c r="X373" s="105">
        <v>0</v>
      </c>
      <c r="Y373" s="105">
        <v>0</v>
      </c>
      <c r="Z373" s="105">
        <v>0</v>
      </c>
      <c r="AA373" s="105">
        <v>0</v>
      </c>
      <c r="AB373" s="105">
        <v>0</v>
      </c>
      <c r="AC373" s="8">
        <f t="shared" si="35"/>
        <v>0</v>
      </c>
      <c r="AD373" s="8">
        <f t="shared" si="36"/>
        <v>0</v>
      </c>
      <c r="AE373" s="8">
        <f t="shared" si="37"/>
        <v>0</v>
      </c>
      <c r="AF373" s="106">
        <f t="shared" si="38"/>
        <v>0</v>
      </c>
      <c r="AG373" s="8">
        <f t="shared" si="39"/>
        <v>0</v>
      </c>
      <c r="AH373" s="8">
        <f>IF($O373="Aktif",MAX(0,MIN($AE373,$AD373-SUM($AG373:AG373))),0)</f>
        <v>0</v>
      </c>
      <c r="AI373" s="8">
        <f>IF($O373="Aktif",MAX(0,MIN($AE373,$AD373-SUM($AG373:AH373))),0)</f>
        <v>0</v>
      </c>
      <c r="AJ373" s="8">
        <f>IF($O373="Aktif",MAX(0,MIN($AE373,$AD373-SUM($AG373:AI373))),0)</f>
        <v>0</v>
      </c>
      <c r="AK373" s="8">
        <f>IF($O373="Aktif",MAX(0,MIN($AE373,$AD373-SUM($AG373:AJ373))),0)</f>
        <v>0</v>
      </c>
      <c r="AL373" s="8">
        <f>IF($O373="Aktif",MAX(0,MIN($AE373,$AD373-SUM($AG373:AK373))),0)</f>
        <v>0</v>
      </c>
      <c r="AM373" s="8">
        <f>IF($O373="Aktif",MAX(0,MIN($AE373,$AD373-SUM($AG373:AL373))),0)</f>
        <v>0</v>
      </c>
      <c r="AN373" s="8">
        <f>IF($O373="Aktif",MAX(0,MIN($AE373,$AD373-SUM($AG373:AM373))),0)</f>
        <v>0</v>
      </c>
      <c r="AO373" s="8">
        <f>IF($O373="Aktif",MAX(0,MIN($AE373,$AD373-SUM($AG373:AN373))),0)</f>
        <v>0</v>
      </c>
      <c r="AP373" s="8">
        <f>IF($O373="Aktif",MAX(0,MIN($AE373,$AD373-SUM($AG373:AO373))),0)</f>
        <v>0</v>
      </c>
      <c r="AQ373" s="8">
        <f>IF($O373="Aktif",MAX(0,MIN($AE373,$AD373-SUM($AG373:AP373))),0)</f>
        <v>0</v>
      </c>
      <c r="AR373" s="8">
        <f>IF($O373="Aktif",MAX(0,MIN($AE373,$AD373-SUM($AG373:AQ373))),0)</f>
        <v>0</v>
      </c>
      <c r="AS373" s="8">
        <f>IF($O373="Aktif",MAX(0,MIN($AE373,$AD373-SUM($AG373:AR373))),0)</f>
        <v>0</v>
      </c>
      <c r="AT373" s="8">
        <f>IF($O373="Aktif",MAX(0,MIN($AE373,$AD373-SUM($AG373:AS373))),0)</f>
        <v>0</v>
      </c>
      <c r="AU373" s="8">
        <f>IF($O373="Aktif",MAX(0,MIN($AE373,$AD373-SUM($AG373:AT373))),0)</f>
        <v>0</v>
      </c>
      <c r="AV373" s="8">
        <f>IF($O373="Aktif",MAX(0,MIN($AE373,$AD373-SUM($AG373:AU373))),0)</f>
        <v>0</v>
      </c>
      <c r="AW373" s="8">
        <f t="shared" si="40"/>
        <v>0</v>
      </c>
      <c r="AX373" s="8">
        <f t="shared" si="41"/>
        <v>0</v>
      </c>
    </row>
    <row r="374" spans="1:50" ht="15" customHeight="1" x14ac:dyDescent="0.35">
      <c r="A374" s="102">
        <v>368</v>
      </c>
      <c r="B374" s="102" t="s">
        <v>1314</v>
      </c>
      <c r="C374" s="103">
        <v>12</v>
      </c>
      <c r="D374" s="102" t="s">
        <v>184</v>
      </c>
      <c r="E374" s="102" t="s">
        <v>0</v>
      </c>
      <c r="F374" s="102" t="s">
        <v>947</v>
      </c>
      <c r="G374" s="102" t="s">
        <v>948</v>
      </c>
      <c r="H374" s="102" t="s">
        <v>949</v>
      </c>
      <c r="I374" s="102" t="s">
        <v>90</v>
      </c>
      <c r="J374" s="102"/>
      <c r="K374" s="102"/>
      <c r="L374" s="102" t="s">
        <v>1315</v>
      </c>
      <c r="M374" s="102" t="s">
        <v>1318</v>
      </c>
      <c r="N374" s="102" t="s">
        <v>1318</v>
      </c>
      <c r="O374" s="102" t="s">
        <v>383</v>
      </c>
      <c r="P374" s="103"/>
      <c r="Q374" s="105">
        <v>0</v>
      </c>
      <c r="R374" s="102"/>
      <c r="S374" s="105">
        <v>0</v>
      </c>
      <c r="T374" s="105">
        <v>0</v>
      </c>
      <c r="U374" s="105">
        <v>0</v>
      </c>
      <c r="V374" s="105">
        <v>0</v>
      </c>
      <c r="W374" s="105">
        <v>0</v>
      </c>
      <c r="X374" s="105">
        <v>0</v>
      </c>
      <c r="Y374" s="105">
        <v>0</v>
      </c>
      <c r="Z374" s="105">
        <v>0</v>
      </c>
      <c r="AA374" s="105">
        <v>0</v>
      </c>
      <c r="AB374" s="105">
        <v>0</v>
      </c>
      <c r="AC374" s="8">
        <f t="shared" si="35"/>
        <v>0</v>
      </c>
      <c r="AD374" s="8">
        <f t="shared" si="36"/>
        <v>0</v>
      </c>
      <c r="AE374" s="8">
        <f t="shared" si="37"/>
        <v>0</v>
      </c>
      <c r="AF374" s="106">
        <f t="shared" si="38"/>
        <v>0</v>
      </c>
      <c r="AG374" s="8">
        <f t="shared" si="39"/>
        <v>0</v>
      </c>
      <c r="AH374" s="8">
        <f>IF($O374="Aktif",MAX(0,MIN($AE374,$AD374-SUM($AG374:AG374))),0)</f>
        <v>0</v>
      </c>
      <c r="AI374" s="8">
        <f>IF($O374="Aktif",MAX(0,MIN($AE374,$AD374-SUM($AG374:AH374))),0)</f>
        <v>0</v>
      </c>
      <c r="AJ374" s="8">
        <f>IF($O374="Aktif",MAX(0,MIN($AE374,$AD374-SUM($AG374:AI374))),0)</f>
        <v>0</v>
      </c>
      <c r="AK374" s="8">
        <f>IF($O374="Aktif",MAX(0,MIN($AE374,$AD374-SUM($AG374:AJ374))),0)</f>
        <v>0</v>
      </c>
      <c r="AL374" s="8">
        <f>IF($O374="Aktif",MAX(0,MIN($AE374,$AD374-SUM($AG374:AK374))),0)</f>
        <v>0</v>
      </c>
      <c r="AM374" s="8">
        <f>IF($O374="Aktif",MAX(0,MIN($AE374,$AD374-SUM($AG374:AL374))),0)</f>
        <v>0</v>
      </c>
      <c r="AN374" s="8">
        <f>IF($O374="Aktif",MAX(0,MIN($AE374,$AD374-SUM($AG374:AM374))),0)</f>
        <v>0</v>
      </c>
      <c r="AO374" s="8">
        <f>IF($O374="Aktif",MAX(0,MIN($AE374,$AD374-SUM($AG374:AN374))),0)</f>
        <v>0</v>
      </c>
      <c r="AP374" s="8">
        <f>IF($O374="Aktif",MAX(0,MIN($AE374,$AD374-SUM($AG374:AO374))),0)</f>
        <v>0</v>
      </c>
      <c r="AQ374" s="8">
        <f>IF($O374="Aktif",MAX(0,MIN($AE374,$AD374-SUM($AG374:AP374))),0)</f>
        <v>0</v>
      </c>
      <c r="AR374" s="8">
        <f>IF($O374="Aktif",MAX(0,MIN($AE374,$AD374-SUM($AG374:AQ374))),0)</f>
        <v>0</v>
      </c>
      <c r="AS374" s="8">
        <f>IF($O374="Aktif",MAX(0,MIN($AE374,$AD374-SUM($AG374:AR374))),0)</f>
        <v>0</v>
      </c>
      <c r="AT374" s="8">
        <f>IF($O374="Aktif",MAX(0,MIN($AE374,$AD374-SUM($AG374:AS374))),0)</f>
        <v>0</v>
      </c>
      <c r="AU374" s="8">
        <f>IF($O374="Aktif",MAX(0,MIN($AE374,$AD374-SUM($AG374:AT374))),0)</f>
        <v>0</v>
      </c>
      <c r="AV374" s="8">
        <f>IF($O374="Aktif",MAX(0,MIN($AE374,$AD374-SUM($AG374:AU374))),0)</f>
        <v>0</v>
      </c>
      <c r="AW374" s="8">
        <f t="shared" si="40"/>
        <v>0</v>
      </c>
      <c r="AX374" s="8">
        <f t="shared" si="41"/>
        <v>0</v>
      </c>
    </row>
    <row r="375" spans="1:50" ht="15" customHeight="1" x14ac:dyDescent="0.35">
      <c r="A375" s="102">
        <v>369</v>
      </c>
      <c r="B375" s="102" t="s">
        <v>1314</v>
      </c>
      <c r="C375" s="103">
        <v>13</v>
      </c>
      <c r="D375" s="102" t="s">
        <v>184</v>
      </c>
      <c r="E375" s="102" t="s">
        <v>0</v>
      </c>
      <c r="F375" s="102" t="s">
        <v>947</v>
      </c>
      <c r="G375" s="102" t="s">
        <v>948</v>
      </c>
      <c r="H375" s="102" t="s">
        <v>949</v>
      </c>
      <c r="I375" s="102" t="s">
        <v>90</v>
      </c>
      <c r="J375" s="102"/>
      <c r="K375" s="102"/>
      <c r="L375" s="102" t="s">
        <v>1315</v>
      </c>
      <c r="M375" s="102" t="s">
        <v>1318</v>
      </c>
      <c r="N375" s="102" t="s">
        <v>1318</v>
      </c>
      <c r="O375" s="102" t="s">
        <v>383</v>
      </c>
      <c r="P375" s="103"/>
      <c r="Q375" s="105">
        <v>0</v>
      </c>
      <c r="R375" s="102"/>
      <c r="S375" s="105">
        <v>0</v>
      </c>
      <c r="T375" s="105">
        <v>0</v>
      </c>
      <c r="U375" s="105">
        <v>0</v>
      </c>
      <c r="V375" s="105">
        <v>0</v>
      </c>
      <c r="W375" s="105">
        <v>0</v>
      </c>
      <c r="X375" s="105">
        <v>0</v>
      </c>
      <c r="Y375" s="105">
        <v>0</v>
      </c>
      <c r="Z375" s="105">
        <v>0</v>
      </c>
      <c r="AA375" s="105">
        <v>0</v>
      </c>
      <c r="AB375" s="105">
        <v>0</v>
      </c>
      <c r="AC375" s="8">
        <f t="shared" si="35"/>
        <v>0</v>
      </c>
      <c r="AD375" s="8">
        <f t="shared" si="36"/>
        <v>0</v>
      </c>
      <c r="AE375" s="8">
        <f t="shared" si="37"/>
        <v>0</v>
      </c>
      <c r="AF375" s="106">
        <f t="shared" si="38"/>
        <v>0</v>
      </c>
      <c r="AG375" s="8">
        <f t="shared" si="39"/>
        <v>0</v>
      </c>
      <c r="AH375" s="8">
        <f>IF($O375="Aktif",MAX(0,MIN($AE375,$AD375-SUM($AG375:AG375))),0)</f>
        <v>0</v>
      </c>
      <c r="AI375" s="8">
        <f>IF($O375="Aktif",MAX(0,MIN($AE375,$AD375-SUM($AG375:AH375))),0)</f>
        <v>0</v>
      </c>
      <c r="AJ375" s="8">
        <f>IF($O375="Aktif",MAX(0,MIN($AE375,$AD375-SUM($AG375:AI375))),0)</f>
        <v>0</v>
      </c>
      <c r="AK375" s="8">
        <f>IF($O375="Aktif",MAX(0,MIN($AE375,$AD375-SUM($AG375:AJ375))),0)</f>
        <v>0</v>
      </c>
      <c r="AL375" s="8">
        <f>IF($O375="Aktif",MAX(0,MIN($AE375,$AD375-SUM($AG375:AK375))),0)</f>
        <v>0</v>
      </c>
      <c r="AM375" s="8">
        <f>IF($O375="Aktif",MAX(0,MIN($AE375,$AD375-SUM($AG375:AL375))),0)</f>
        <v>0</v>
      </c>
      <c r="AN375" s="8">
        <f>IF($O375="Aktif",MAX(0,MIN($AE375,$AD375-SUM($AG375:AM375))),0)</f>
        <v>0</v>
      </c>
      <c r="AO375" s="8">
        <f>IF($O375="Aktif",MAX(0,MIN($AE375,$AD375-SUM($AG375:AN375))),0)</f>
        <v>0</v>
      </c>
      <c r="AP375" s="8">
        <f>IF($O375="Aktif",MAX(0,MIN($AE375,$AD375-SUM($AG375:AO375))),0)</f>
        <v>0</v>
      </c>
      <c r="AQ375" s="8">
        <f>IF($O375="Aktif",MAX(0,MIN($AE375,$AD375-SUM($AG375:AP375))),0)</f>
        <v>0</v>
      </c>
      <c r="AR375" s="8">
        <f>IF($O375="Aktif",MAX(0,MIN($AE375,$AD375-SUM($AG375:AQ375))),0)</f>
        <v>0</v>
      </c>
      <c r="AS375" s="8">
        <f>IF($O375="Aktif",MAX(0,MIN($AE375,$AD375-SUM($AG375:AR375))),0)</f>
        <v>0</v>
      </c>
      <c r="AT375" s="8">
        <f>IF($O375="Aktif",MAX(0,MIN($AE375,$AD375-SUM($AG375:AS375))),0)</f>
        <v>0</v>
      </c>
      <c r="AU375" s="8">
        <f>IF($O375="Aktif",MAX(0,MIN($AE375,$AD375-SUM($AG375:AT375))),0)</f>
        <v>0</v>
      </c>
      <c r="AV375" s="8">
        <f>IF($O375="Aktif",MAX(0,MIN($AE375,$AD375-SUM($AG375:AU375))),0)</f>
        <v>0</v>
      </c>
      <c r="AW375" s="8">
        <f t="shared" si="40"/>
        <v>0</v>
      </c>
      <c r="AX375" s="8">
        <f t="shared" si="41"/>
        <v>0</v>
      </c>
    </row>
    <row r="376" spans="1:50" ht="15" customHeight="1" x14ac:dyDescent="0.35">
      <c r="A376" s="102">
        <v>370</v>
      </c>
      <c r="B376" s="102" t="s">
        <v>1314</v>
      </c>
      <c r="C376" s="103">
        <v>14</v>
      </c>
      <c r="D376" s="102" t="s">
        <v>184</v>
      </c>
      <c r="E376" s="102" t="s">
        <v>0</v>
      </c>
      <c r="F376" s="102" t="s">
        <v>947</v>
      </c>
      <c r="G376" s="102" t="s">
        <v>948</v>
      </c>
      <c r="H376" s="102" t="s">
        <v>949</v>
      </c>
      <c r="I376" s="102" t="s">
        <v>90</v>
      </c>
      <c r="J376" s="102"/>
      <c r="K376" s="102"/>
      <c r="L376" s="102" t="s">
        <v>1315</v>
      </c>
      <c r="M376" s="102" t="s">
        <v>1318</v>
      </c>
      <c r="N376" s="102" t="s">
        <v>1318</v>
      </c>
      <c r="O376" s="102" t="s">
        <v>383</v>
      </c>
      <c r="P376" s="103"/>
      <c r="Q376" s="105">
        <v>0</v>
      </c>
      <c r="R376" s="102"/>
      <c r="S376" s="105">
        <v>0</v>
      </c>
      <c r="T376" s="105">
        <v>0</v>
      </c>
      <c r="U376" s="105">
        <v>0</v>
      </c>
      <c r="V376" s="105">
        <v>0</v>
      </c>
      <c r="W376" s="105">
        <v>0</v>
      </c>
      <c r="X376" s="105">
        <v>0</v>
      </c>
      <c r="Y376" s="105">
        <v>0</v>
      </c>
      <c r="Z376" s="105">
        <v>0</v>
      </c>
      <c r="AA376" s="105">
        <v>0</v>
      </c>
      <c r="AB376" s="105">
        <v>0</v>
      </c>
      <c r="AC376" s="8">
        <f t="shared" si="35"/>
        <v>0</v>
      </c>
      <c r="AD376" s="8">
        <f t="shared" si="36"/>
        <v>0</v>
      </c>
      <c r="AE376" s="8">
        <f t="shared" si="37"/>
        <v>0</v>
      </c>
      <c r="AF376" s="106">
        <f t="shared" si="38"/>
        <v>0</v>
      </c>
      <c r="AG376" s="8">
        <f t="shared" si="39"/>
        <v>0</v>
      </c>
      <c r="AH376" s="8">
        <f>IF($O376="Aktif",MAX(0,MIN($AE376,$AD376-SUM($AG376:AG376))),0)</f>
        <v>0</v>
      </c>
      <c r="AI376" s="8">
        <f>IF($O376="Aktif",MAX(0,MIN($AE376,$AD376-SUM($AG376:AH376))),0)</f>
        <v>0</v>
      </c>
      <c r="AJ376" s="8">
        <f>IF($O376="Aktif",MAX(0,MIN($AE376,$AD376-SUM($AG376:AI376))),0)</f>
        <v>0</v>
      </c>
      <c r="AK376" s="8">
        <f>IF($O376="Aktif",MAX(0,MIN($AE376,$AD376-SUM($AG376:AJ376))),0)</f>
        <v>0</v>
      </c>
      <c r="AL376" s="8">
        <f>IF($O376="Aktif",MAX(0,MIN($AE376,$AD376-SUM($AG376:AK376))),0)</f>
        <v>0</v>
      </c>
      <c r="AM376" s="8">
        <f>IF($O376="Aktif",MAX(0,MIN($AE376,$AD376-SUM($AG376:AL376))),0)</f>
        <v>0</v>
      </c>
      <c r="AN376" s="8">
        <f>IF($O376="Aktif",MAX(0,MIN($AE376,$AD376-SUM($AG376:AM376))),0)</f>
        <v>0</v>
      </c>
      <c r="AO376" s="8">
        <f>IF($O376="Aktif",MAX(0,MIN($AE376,$AD376-SUM($AG376:AN376))),0)</f>
        <v>0</v>
      </c>
      <c r="AP376" s="8">
        <f>IF($O376="Aktif",MAX(0,MIN($AE376,$AD376-SUM($AG376:AO376))),0)</f>
        <v>0</v>
      </c>
      <c r="AQ376" s="8">
        <f>IF($O376="Aktif",MAX(0,MIN($AE376,$AD376-SUM($AG376:AP376))),0)</f>
        <v>0</v>
      </c>
      <c r="AR376" s="8">
        <f>IF($O376="Aktif",MAX(0,MIN($AE376,$AD376-SUM($AG376:AQ376))),0)</f>
        <v>0</v>
      </c>
      <c r="AS376" s="8">
        <f>IF($O376="Aktif",MAX(0,MIN($AE376,$AD376-SUM($AG376:AR376))),0)</f>
        <v>0</v>
      </c>
      <c r="AT376" s="8">
        <f>IF($O376="Aktif",MAX(0,MIN($AE376,$AD376-SUM($AG376:AS376))),0)</f>
        <v>0</v>
      </c>
      <c r="AU376" s="8">
        <f>IF($O376="Aktif",MAX(0,MIN($AE376,$AD376-SUM($AG376:AT376))),0)</f>
        <v>0</v>
      </c>
      <c r="AV376" s="8">
        <f>IF($O376="Aktif",MAX(0,MIN($AE376,$AD376-SUM($AG376:AU376))),0)</f>
        <v>0</v>
      </c>
      <c r="AW376" s="8">
        <f t="shared" si="40"/>
        <v>0</v>
      </c>
      <c r="AX376" s="8">
        <f t="shared" si="41"/>
        <v>0</v>
      </c>
    </row>
    <row r="377" spans="1:50" ht="15" customHeight="1" x14ac:dyDescent="0.35">
      <c r="A377" s="102">
        <v>371</v>
      </c>
      <c r="B377" s="102" t="s">
        <v>1314</v>
      </c>
      <c r="C377" s="103">
        <v>15</v>
      </c>
      <c r="D377" s="102" t="s">
        <v>184</v>
      </c>
      <c r="E377" s="102" t="s">
        <v>0</v>
      </c>
      <c r="F377" s="102" t="s">
        <v>947</v>
      </c>
      <c r="G377" s="102" t="s">
        <v>948</v>
      </c>
      <c r="H377" s="102" t="s">
        <v>949</v>
      </c>
      <c r="I377" s="102" t="s">
        <v>90</v>
      </c>
      <c r="J377" s="102"/>
      <c r="K377" s="102"/>
      <c r="L377" s="102" t="s">
        <v>1315</v>
      </c>
      <c r="M377" s="102" t="s">
        <v>1319</v>
      </c>
      <c r="N377" s="102" t="s">
        <v>1319</v>
      </c>
      <c r="O377" s="102" t="s">
        <v>383</v>
      </c>
      <c r="P377" s="103"/>
      <c r="Q377" s="105">
        <v>0</v>
      </c>
      <c r="R377" s="102"/>
      <c r="S377" s="105">
        <v>0</v>
      </c>
      <c r="T377" s="105">
        <v>0</v>
      </c>
      <c r="U377" s="105">
        <v>0</v>
      </c>
      <c r="V377" s="105">
        <v>0</v>
      </c>
      <c r="W377" s="105">
        <v>0</v>
      </c>
      <c r="X377" s="105">
        <v>0</v>
      </c>
      <c r="Y377" s="105">
        <v>0</v>
      </c>
      <c r="Z377" s="105">
        <v>0</v>
      </c>
      <c r="AA377" s="105">
        <v>0</v>
      </c>
      <c r="AB377" s="105">
        <v>0</v>
      </c>
      <c r="AC377" s="8">
        <f t="shared" si="35"/>
        <v>0</v>
      </c>
      <c r="AD377" s="8">
        <f t="shared" si="36"/>
        <v>0</v>
      </c>
      <c r="AE377" s="8">
        <f t="shared" si="37"/>
        <v>0</v>
      </c>
      <c r="AF377" s="106">
        <f t="shared" si="38"/>
        <v>0</v>
      </c>
      <c r="AG377" s="8">
        <f t="shared" si="39"/>
        <v>0</v>
      </c>
      <c r="AH377" s="8">
        <f>IF($O377="Aktif",MAX(0,MIN($AE377,$AD377-SUM($AG377:AG377))),0)</f>
        <v>0</v>
      </c>
      <c r="AI377" s="8">
        <f>IF($O377="Aktif",MAX(0,MIN($AE377,$AD377-SUM($AG377:AH377))),0)</f>
        <v>0</v>
      </c>
      <c r="AJ377" s="8">
        <f>IF($O377="Aktif",MAX(0,MIN($AE377,$AD377-SUM($AG377:AI377))),0)</f>
        <v>0</v>
      </c>
      <c r="AK377" s="8">
        <f>IF($O377="Aktif",MAX(0,MIN($AE377,$AD377-SUM($AG377:AJ377))),0)</f>
        <v>0</v>
      </c>
      <c r="AL377" s="8">
        <f>IF($O377="Aktif",MAX(0,MIN($AE377,$AD377-SUM($AG377:AK377))),0)</f>
        <v>0</v>
      </c>
      <c r="AM377" s="8">
        <f>IF($O377="Aktif",MAX(0,MIN($AE377,$AD377-SUM($AG377:AL377))),0)</f>
        <v>0</v>
      </c>
      <c r="AN377" s="8">
        <f>IF($O377="Aktif",MAX(0,MIN($AE377,$AD377-SUM($AG377:AM377))),0)</f>
        <v>0</v>
      </c>
      <c r="AO377" s="8">
        <f>IF($O377="Aktif",MAX(0,MIN($AE377,$AD377-SUM($AG377:AN377))),0)</f>
        <v>0</v>
      </c>
      <c r="AP377" s="8">
        <f>IF($O377="Aktif",MAX(0,MIN($AE377,$AD377-SUM($AG377:AO377))),0)</f>
        <v>0</v>
      </c>
      <c r="AQ377" s="8">
        <f>IF($O377="Aktif",MAX(0,MIN($AE377,$AD377-SUM($AG377:AP377))),0)</f>
        <v>0</v>
      </c>
      <c r="AR377" s="8">
        <f>IF($O377="Aktif",MAX(0,MIN($AE377,$AD377-SUM($AG377:AQ377))),0)</f>
        <v>0</v>
      </c>
      <c r="AS377" s="8">
        <f>IF($O377="Aktif",MAX(0,MIN($AE377,$AD377-SUM($AG377:AR377))),0)</f>
        <v>0</v>
      </c>
      <c r="AT377" s="8">
        <f>IF($O377="Aktif",MAX(0,MIN($AE377,$AD377-SUM($AG377:AS377))),0)</f>
        <v>0</v>
      </c>
      <c r="AU377" s="8">
        <f>IF($O377="Aktif",MAX(0,MIN($AE377,$AD377-SUM($AG377:AT377))),0)</f>
        <v>0</v>
      </c>
      <c r="AV377" s="8">
        <f>IF($O377="Aktif",MAX(0,MIN($AE377,$AD377-SUM($AG377:AU377))),0)</f>
        <v>0</v>
      </c>
      <c r="AW377" s="8">
        <f t="shared" si="40"/>
        <v>0</v>
      </c>
      <c r="AX377" s="8">
        <f t="shared" si="41"/>
        <v>0</v>
      </c>
    </row>
    <row r="378" spans="1:50" ht="15" customHeight="1" x14ac:dyDescent="0.35">
      <c r="A378" s="102">
        <v>372</v>
      </c>
      <c r="B378" s="102" t="s">
        <v>593</v>
      </c>
      <c r="C378" s="103">
        <v>8</v>
      </c>
      <c r="D378" s="102" t="s">
        <v>184</v>
      </c>
      <c r="E378" s="102" t="s">
        <v>479</v>
      </c>
      <c r="F378" s="102" t="s">
        <v>1320</v>
      </c>
      <c r="G378" s="102" t="s">
        <v>1321</v>
      </c>
      <c r="H378" s="102" t="s">
        <v>1322</v>
      </c>
      <c r="I378" s="102" t="s">
        <v>90</v>
      </c>
      <c r="J378" s="102"/>
      <c r="K378" s="102"/>
      <c r="L378" s="104">
        <v>44027</v>
      </c>
      <c r="M378" s="102" t="s">
        <v>1323</v>
      </c>
      <c r="N378" s="102" t="s">
        <v>1324</v>
      </c>
      <c r="O378" s="102" t="s">
        <v>383</v>
      </c>
      <c r="P378" s="103">
        <v>25</v>
      </c>
      <c r="Q378" s="105">
        <v>5120000</v>
      </c>
      <c r="R378" s="103">
        <v>48</v>
      </c>
      <c r="S378" s="105">
        <v>106666.66666666701</v>
      </c>
      <c r="T378" s="105">
        <v>5120000</v>
      </c>
      <c r="U378" s="105">
        <v>0</v>
      </c>
      <c r="V378" s="105">
        <v>0</v>
      </c>
      <c r="W378" s="105">
        <v>0</v>
      </c>
      <c r="X378" s="105">
        <v>0</v>
      </c>
      <c r="Y378" s="105">
        <v>0</v>
      </c>
      <c r="Z378" s="105">
        <v>0</v>
      </c>
      <c r="AA378" s="105">
        <v>0</v>
      </c>
      <c r="AB378" s="105">
        <v>0</v>
      </c>
      <c r="AC378" s="8">
        <f t="shared" si="35"/>
        <v>5120000</v>
      </c>
      <c r="AD378" s="8">
        <f t="shared" si="36"/>
        <v>0</v>
      </c>
      <c r="AE378" s="8">
        <f t="shared" si="37"/>
        <v>0</v>
      </c>
      <c r="AF378" s="106">
        <f t="shared" si="38"/>
        <v>0</v>
      </c>
      <c r="AG378" s="8">
        <f t="shared" si="39"/>
        <v>0</v>
      </c>
      <c r="AH378" s="8">
        <f>IF($O378="Aktif",MAX(0,MIN($AE378,$AD378-SUM($AG378:AG378))),0)</f>
        <v>0</v>
      </c>
      <c r="AI378" s="8">
        <f>IF($O378="Aktif",MAX(0,MIN($AE378,$AD378-SUM($AG378:AH378))),0)</f>
        <v>0</v>
      </c>
      <c r="AJ378" s="8">
        <f>IF($O378="Aktif",MAX(0,MIN($AE378,$AD378-SUM($AG378:AI378))),0)</f>
        <v>0</v>
      </c>
      <c r="AK378" s="8">
        <f>IF($O378="Aktif",MAX(0,MIN($AE378,$AD378-SUM($AG378:AJ378))),0)</f>
        <v>0</v>
      </c>
      <c r="AL378" s="8">
        <f>IF($O378="Aktif",MAX(0,MIN($AE378,$AD378-SUM($AG378:AK378))),0)</f>
        <v>0</v>
      </c>
      <c r="AM378" s="8">
        <f>IF($O378="Aktif",MAX(0,MIN($AE378,$AD378-SUM($AG378:AL378))),0)</f>
        <v>0</v>
      </c>
      <c r="AN378" s="8">
        <f>IF($O378="Aktif",MAX(0,MIN($AE378,$AD378-SUM($AG378:AM378))),0)</f>
        <v>0</v>
      </c>
      <c r="AO378" s="8">
        <f>IF($O378="Aktif",MAX(0,MIN($AE378,$AD378-SUM($AG378:AN378))),0)</f>
        <v>0</v>
      </c>
      <c r="AP378" s="8">
        <f>IF($O378="Aktif",MAX(0,MIN($AE378,$AD378-SUM($AG378:AO378))),0)</f>
        <v>0</v>
      </c>
      <c r="AQ378" s="8">
        <f>IF($O378="Aktif",MAX(0,MIN($AE378,$AD378-SUM($AG378:AP378))),0)</f>
        <v>0</v>
      </c>
      <c r="AR378" s="8">
        <f>IF($O378="Aktif",MAX(0,MIN($AE378,$AD378-SUM($AG378:AQ378))),0)</f>
        <v>0</v>
      </c>
      <c r="AS378" s="8">
        <f>IF($O378="Aktif",MAX(0,MIN($AE378,$AD378-SUM($AG378:AR378))),0)</f>
        <v>0</v>
      </c>
      <c r="AT378" s="8">
        <f>IF($O378="Aktif",MAX(0,MIN($AE378,$AD378-SUM($AG378:AS378))),0)</f>
        <v>0</v>
      </c>
      <c r="AU378" s="8">
        <f>IF($O378="Aktif",MAX(0,MIN($AE378,$AD378-SUM($AG378:AT378))),0)</f>
        <v>0</v>
      </c>
      <c r="AV378" s="8">
        <f>IF($O378="Aktif",MAX(0,MIN($AE378,$AD378-SUM($AG378:AU378))),0)</f>
        <v>0</v>
      </c>
      <c r="AW378" s="8">
        <f t="shared" si="40"/>
        <v>0</v>
      </c>
      <c r="AX378" s="8">
        <f t="shared" si="41"/>
        <v>0</v>
      </c>
    </row>
    <row r="379" spans="1:50" ht="15" customHeight="1" x14ac:dyDescent="0.35">
      <c r="A379" s="102">
        <v>373</v>
      </c>
      <c r="B379" s="102" t="s">
        <v>593</v>
      </c>
      <c r="C379" s="103">
        <v>9</v>
      </c>
      <c r="D379" s="102" t="s">
        <v>184</v>
      </c>
      <c r="E379" s="102" t="s">
        <v>479</v>
      </c>
      <c r="F379" s="102" t="s">
        <v>1320</v>
      </c>
      <c r="G379" s="102" t="s">
        <v>1321</v>
      </c>
      <c r="H379" s="102" t="s">
        <v>1322</v>
      </c>
      <c r="I379" s="102" t="s">
        <v>90</v>
      </c>
      <c r="J379" s="102"/>
      <c r="K379" s="102"/>
      <c r="L379" s="104">
        <v>43585</v>
      </c>
      <c r="M379" s="102" t="s">
        <v>1325</v>
      </c>
      <c r="N379" s="102" t="s">
        <v>1325</v>
      </c>
      <c r="O379" s="102" t="s">
        <v>383</v>
      </c>
      <c r="P379" s="103">
        <v>1</v>
      </c>
      <c r="Q379" s="105">
        <v>165499996</v>
      </c>
      <c r="R379" s="103">
        <v>48</v>
      </c>
      <c r="S379" s="105">
        <v>3447916.5833333302</v>
      </c>
      <c r="T379" s="105">
        <v>165499996</v>
      </c>
      <c r="U379" s="105">
        <v>0</v>
      </c>
      <c r="V379" s="105">
        <v>0</v>
      </c>
      <c r="W379" s="105">
        <v>0</v>
      </c>
      <c r="X379" s="105">
        <v>0</v>
      </c>
      <c r="Y379" s="105">
        <v>0</v>
      </c>
      <c r="Z379" s="105">
        <v>0</v>
      </c>
      <c r="AA379" s="105">
        <v>0</v>
      </c>
      <c r="AB379" s="105">
        <v>0</v>
      </c>
      <c r="AC379" s="8">
        <f t="shared" si="35"/>
        <v>165499996</v>
      </c>
      <c r="AD379" s="8">
        <f t="shared" si="36"/>
        <v>0</v>
      </c>
      <c r="AE379" s="8">
        <f t="shared" si="37"/>
        <v>0</v>
      </c>
      <c r="AF379" s="106">
        <f t="shared" si="38"/>
        <v>0</v>
      </c>
      <c r="AG379" s="8">
        <f t="shared" si="39"/>
        <v>0</v>
      </c>
      <c r="AH379" s="8">
        <f>IF($O379="Aktif",MAX(0,MIN($AE379,$AD379-SUM($AG379:AG379))),0)</f>
        <v>0</v>
      </c>
      <c r="AI379" s="8">
        <f>IF($O379="Aktif",MAX(0,MIN($AE379,$AD379-SUM($AG379:AH379))),0)</f>
        <v>0</v>
      </c>
      <c r="AJ379" s="8">
        <f>IF($O379="Aktif",MAX(0,MIN($AE379,$AD379-SUM($AG379:AI379))),0)</f>
        <v>0</v>
      </c>
      <c r="AK379" s="8">
        <f>IF($O379="Aktif",MAX(0,MIN($AE379,$AD379-SUM($AG379:AJ379))),0)</f>
        <v>0</v>
      </c>
      <c r="AL379" s="8">
        <f>IF($O379="Aktif",MAX(0,MIN($AE379,$AD379-SUM($AG379:AK379))),0)</f>
        <v>0</v>
      </c>
      <c r="AM379" s="8">
        <f>IF($O379="Aktif",MAX(0,MIN($AE379,$AD379-SUM($AG379:AL379))),0)</f>
        <v>0</v>
      </c>
      <c r="AN379" s="8">
        <f>IF($O379="Aktif",MAX(0,MIN($AE379,$AD379-SUM($AG379:AM379))),0)</f>
        <v>0</v>
      </c>
      <c r="AO379" s="8">
        <f>IF($O379="Aktif",MAX(0,MIN($AE379,$AD379-SUM($AG379:AN379))),0)</f>
        <v>0</v>
      </c>
      <c r="AP379" s="8">
        <f>IF($O379="Aktif",MAX(0,MIN($AE379,$AD379-SUM($AG379:AO379))),0)</f>
        <v>0</v>
      </c>
      <c r="AQ379" s="8">
        <f>IF($O379="Aktif",MAX(0,MIN($AE379,$AD379-SUM($AG379:AP379))),0)</f>
        <v>0</v>
      </c>
      <c r="AR379" s="8">
        <f>IF($O379="Aktif",MAX(0,MIN($AE379,$AD379-SUM($AG379:AQ379))),0)</f>
        <v>0</v>
      </c>
      <c r="AS379" s="8">
        <f>IF($O379="Aktif",MAX(0,MIN($AE379,$AD379-SUM($AG379:AR379))),0)</f>
        <v>0</v>
      </c>
      <c r="AT379" s="8">
        <f>IF($O379="Aktif",MAX(0,MIN($AE379,$AD379-SUM($AG379:AS379))),0)</f>
        <v>0</v>
      </c>
      <c r="AU379" s="8">
        <f>IF($O379="Aktif",MAX(0,MIN($AE379,$AD379-SUM($AG379:AT379))),0)</f>
        <v>0</v>
      </c>
      <c r="AV379" s="8">
        <f>IF($O379="Aktif",MAX(0,MIN($AE379,$AD379-SUM($AG379:AU379))),0)</f>
        <v>0</v>
      </c>
      <c r="AW379" s="8">
        <f t="shared" si="40"/>
        <v>0</v>
      </c>
      <c r="AX379" s="8">
        <f t="shared" si="41"/>
        <v>0</v>
      </c>
    </row>
    <row r="380" spans="1:50" ht="15" customHeight="1" x14ac:dyDescent="0.35">
      <c r="A380" s="102">
        <v>374</v>
      </c>
      <c r="B380" s="102" t="s">
        <v>1326</v>
      </c>
      <c r="C380" s="103">
        <v>8</v>
      </c>
      <c r="D380" s="102" t="s">
        <v>185</v>
      </c>
      <c r="E380" s="102" t="s">
        <v>587</v>
      </c>
      <c r="F380" s="102" t="s">
        <v>1327</v>
      </c>
      <c r="G380" s="102" t="s">
        <v>1328</v>
      </c>
      <c r="H380" s="102" t="s">
        <v>1329</v>
      </c>
      <c r="I380" s="102" t="s">
        <v>63</v>
      </c>
      <c r="J380" s="102"/>
      <c r="K380" s="102" t="s">
        <v>591</v>
      </c>
      <c r="L380" s="102" t="s">
        <v>1330</v>
      </c>
      <c r="M380" s="102" t="s">
        <v>1331</v>
      </c>
      <c r="N380" s="102" t="s">
        <v>1332</v>
      </c>
      <c r="O380" s="102" t="s">
        <v>383</v>
      </c>
      <c r="P380" s="103">
        <v>1</v>
      </c>
      <c r="Q380" s="105">
        <v>6500000</v>
      </c>
      <c r="R380" s="103">
        <v>48</v>
      </c>
      <c r="S380" s="105">
        <v>0</v>
      </c>
      <c r="T380" s="105">
        <v>6500000</v>
      </c>
      <c r="U380" s="105">
        <v>0</v>
      </c>
      <c r="V380" s="105">
        <v>0</v>
      </c>
      <c r="W380" s="105">
        <v>0</v>
      </c>
      <c r="X380" s="105">
        <v>0</v>
      </c>
      <c r="Y380" s="105">
        <v>0</v>
      </c>
      <c r="Z380" s="105">
        <v>0</v>
      </c>
      <c r="AA380" s="105">
        <v>0</v>
      </c>
      <c r="AB380" s="105">
        <v>0</v>
      </c>
      <c r="AC380" s="8">
        <f t="shared" si="35"/>
        <v>6500000</v>
      </c>
      <c r="AD380" s="8">
        <f t="shared" si="36"/>
        <v>0</v>
      </c>
      <c r="AE380" s="8">
        <f t="shared" si="37"/>
        <v>0</v>
      </c>
      <c r="AF380" s="106">
        <f t="shared" si="38"/>
        <v>0</v>
      </c>
      <c r="AG380" s="8">
        <f t="shared" si="39"/>
        <v>0</v>
      </c>
      <c r="AH380" s="8">
        <f>IF($O380="Aktif",MAX(0,MIN($AE380,$AD380-SUM($AG380:AG380))),0)</f>
        <v>0</v>
      </c>
      <c r="AI380" s="8">
        <f>IF($O380="Aktif",MAX(0,MIN($AE380,$AD380-SUM($AG380:AH380))),0)</f>
        <v>0</v>
      </c>
      <c r="AJ380" s="8">
        <f>IF($O380="Aktif",MAX(0,MIN($AE380,$AD380-SUM($AG380:AI380))),0)</f>
        <v>0</v>
      </c>
      <c r="AK380" s="8">
        <f>IF($O380="Aktif",MAX(0,MIN($AE380,$AD380-SUM($AG380:AJ380))),0)</f>
        <v>0</v>
      </c>
      <c r="AL380" s="8">
        <f>IF($O380="Aktif",MAX(0,MIN($AE380,$AD380-SUM($AG380:AK380))),0)</f>
        <v>0</v>
      </c>
      <c r="AM380" s="8">
        <f>IF($O380="Aktif",MAX(0,MIN($AE380,$AD380-SUM($AG380:AL380))),0)</f>
        <v>0</v>
      </c>
      <c r="AN380" s="8">
        <f>IF($O380="Aktif",MAX(0,MIN($AE380,$AD380-SUM($AG380:AM380))),0)</f>
        <v>0</v>
      </c>
      <c r="AO380" s="8">
        <f>IF($O380="Aktif",MAX(0,MIN($AE380,$AD380-SUM($AG380:AN380))),0)</f>
        <v>0</v>
      </c>
      <c r="AP380" s="8">
        <f>IF($O380="Aktif",MAX(0,MIN($AE380,$AD380-SUM($AG380:AO380))),0)</f>
        <v>0</v>
      </c>
      <c r="AQ380" s="8">
        <f>IF($O380="Aktif",MAX(0,MIN($AE380,$AD380-SUM($AG380:AP380))),0)</f>
        <v>0</v>
      </c>
      <c r="AR380" s="8">
        <f>IF($O380="Aktif",MAX(0,MIN($AE380,$AD380-SUM($AG380:AQ380))),0)</f>
        <v>0</v>
      </c>
      <c r="AS380" s="8">
        <f>IF($O380="Aktif",MAX(0,MIN($AE380,$AD380-SUM($AG380:AR380))),0)</f>
        <v>0</v>
      </c>
      <c r="AT380" s="8">
        <f>IF($O380="Aktif",MAX(0,MIN($AE380,$AD380-SUM($AG380:AS380))),0)</f>
        <v>0</v>
      </c>
      <c r="AU380" s="8">
        <f>IF($O380="Aktif",MAX(0,MIN($AE380,$AD380-SUM($AG380:AT380))),0)</f>
        <v>0</v>
      </c>
      <c r="AV380" s="8">
        <f>IF($O380="Aktif",MAX(0,MIN($AE380,$AD380-SUM($AG380:AU380))),0)</f>
        <v>0</v>
      </c>
      <c r="AW380" s="8">
        <f t="shared" si="40"/>
        <v>0</v>
      </c>
      <c r="AX380" s="8">
        <f t="shared" si="41"/>
        <v>0</v>
      </c>
    </row>
    <row r="381" spans="1:50" ht="15" customHeight="1" x14ac:dyDescent="0.35">
      <c r="A381" s="102">
        <v>375</v>
      </c>
      <c r="B381" s="102" t="s">
        <v>1326</v>
      </c>
      <c r="C381" s="103">
        <v>9</v>
      </c>
      <c r="D381" s="102" t="s">
        <v>185</v>
      </c>
      <c r="E381" s="102" t="s">
        <v>587</v>
      </c>
      <c r="F381" s="102" t="s">
        <v>1327</v>
      </c>
      <c r="G381" s="102" t="s">
        <v>1328</v>
      </c>
      <c r="H381" s="102" t="s">
        <v>1329</v>
      </c>
      <c r="I381" s="102" t="s">
        <v>63</v>
      </c>
      <c r="J381" s="102"/>
      <c r="K381" s="102" t="s">
        <v>591</v>
      </c>
      <c r="L381" s="102" t="s">
        <v>1333</v>
      </c>
      <c r="M381" s="102" t="s">
        <v>1331</v>
      </c>
      <c r="N381" s="102" t="s">
        <v>1334</v>
      </c>
      <c r="O381" s="102" t="s">
        <v>487</v>
      </c>
      <c r="P381" s="103">
        <v>1</v>
      </c>
      <c r="Q381" s="105">
        <v>-6500000</v>
      </c>
      <c r="R381" s="102"/>
      <c r="S381" s="105">
        <v>0</v>
      </c>
      <c r="T381" s="105">
        <v>-6500000</v>
      </c>
      <c r="U381" s="105">
        <v>0</v>
      </c>
      <c r="V381" s="105">
        <v>0</v>
      </c>
      <c r="W381" s="105">
        <v>0</v>
      </c>
      <c r="X381" s="105">
        <v>0</v>
      </c>
      <c r="Y381" s="105">
        <v>0</v>
      </c>
      <c r="Z381" s="105">
        <v>0</v>
      </c>
      <c r="AA381" s="105">
        <v>0</v>
      </c>
      <c r="AB381" s="105">
        <v>0</v>
      </c>
      <c r="AC381" s="8">
        <f t="shared" si="35"/>
        <v>-6500000</v>
      </c>
      <c r="AD381" s="8">
        <f t="shared" si="36"/>
        <v>0</v>
      </c>
      <c r="AE381" s="8">
        <f t="shared" si="37"/>
        <v>0</v>
      </c>
      <c r="AF381" s="106">
        <f t="shared" si="38"/>
        <v>0</v>
      </c>
      <c r="AG381" s="8">
        <f t="shared" si="39"/>
        <v>0</v>
      </c>
      <c r="AH381" s="8">
        <f>IF($O381="Aktif",MAX(0,MIN($AE381,$AD381-SUM($AG381:AG381))),0)</f>
        <v>0</v>
      </c>
      <c r="AI381" s="8">
        <f>IF($O381="Aktif",MAX(0,MIN($AE381,$AD381-SUM($AG381:AH381))),0)</f>
        <v>0</v>
      </c>
      <c r="AJ381" s="8">
        <f>IF($O381="Aktif",MAX(0,MIN($AE381,$AD381-SUM($AG381:AI381))),0)</f>
        <v>0</v>
      </c>
      <c r="AK381" s="8">
        <f>IF($O381="Aktif",MAX(0,MIN($AE381,$AD381-SUM($AG381:AJ381))),0)</f>
        <v>0</v>
      </c>
      <c r="AL381" s="8">
        <f>IF($O381="Aktif",MAX(0,MIN($AE381,$AD381-SUM($AG381:AK381))),0)</f>
        <v>0</v>
      </c>
      <c r="AM381" s="8">
        <f>IF($O381="Aktif",MAX(0,MIN($AE381,$AD381-SUM($AG381:AL381))),0)</f>
        <v>0</v>
      </c>
      <c r="AN381" s="8">
        <f>IF($O381="Aktif",MAX(0,MIN($AE381,$AD381-SUM($AG381:AM381))),0)</f>
        <v>0</v>
      </c>
      <c r="AO381" s="8">
        <f>IF($O381="Aktif",MAX(0,MIN($AE381,$AD381-SUM($AG381:AN381))),0)</f>
        <v>0</v>
      </c>
      <c r="AP381" s="8">
        <f>IF($O381="Aktif",MAX(0,MIN($AE381,$AD381-SUM($AG381:AO381))),0)</f>
        <v>0</v>
      </c>
      <c r="AQ381" s="8">
        <f>IF($O381="Aktif",MAX(0,MIN($AE381,$AD381-SUM($AG381:AP381))),0)</f>
        <v>0</v>
      </c>
      <c r="AR381" s="8">
        <f>IF($O381="Aktif",MAX(0,MIN($AE381,$AD381-SUM($AG381:AQ381))),0)</f>
        <v>0</v>
      </c>
      <c r="AS381" s="8">
        <f>IF($O381="Aktif",MAX(0,MIN($AE381,$AD381-SUM($AG381:AR381))),0)</f>
        <v>0</v>
      </c>
      <c r="AT381" s="8">
        <f>IF($O381="Aktif",MAX(0,MIN($AE381,$AD381-SUM($AG381:AS381))),0)</f>
        <v>0</v>
      </c>
      <c r="AU381" s="8">
        <f>IF($O381="Aktif",MAX(0,MIN($AE381,$AD381-SUM($AG381:AT381))),0)</f>
        <v>0</v>
      </c>
      <c r="AV381" s="8">
        <f>IF($O381="Aktif",MAX(0,MIN($AE381,$AD381-SUM($AG381:AU381))),0)</f>
        <v>0</v>
      </c>
      <c r="AW381" s="8">
        <f t="shared" si="40"/>
        <v>0</v>
      </c>
      <c r="AX381" s="8">
        <f t="shared" si="41"/>
        <v>0</v>
      </c>
    </row>
    <row r="382" spans="1:50" ht="15" customHeight="1" x14ac:dyDescent="0.35">
      <c r="A382" s="102">
        <v>376</v>
      </c>
      <c r="B382" s="102" t="s">
        <v>1326</v>
      </c>
      <c r="C382" s="103">
        <v>10</v>
      </c>
      <c r="D382" s="102" t="s">
        <v>185</v>
      </c>
      <c r="E382" s="102" t="s">
        <v>587</v>
      </c>
      <c r="F382" s="102" t="s">
        <v>1327</v>
      </c>
      <c r="G382" s="102" t="s">
        <v>1328</v>
      </c>
      <c r="H382" s="102" t="s">
        <v>1329</v>
      </c>
      <c r="I382" s="102" t="s">
        <v>63</v>
      </c>
      <c r="J382" s="102"/>
      <c r="K382" s="102" t="s">
        <v>591</v>
      </c>
      <c r="L382" s="102" t="s">
        <v>1335</v>
      </c>
      <c r="M382" s="102" t="s">
        <v>1336</v>
      </c>
      <c r="N382" s="102" t="s">
        <v>1337</v>
      </c>
      <c r="O382" s="102" t="s">
        <v>383</v>
      </c>
      <c r="P382" s="103">
        <v>1</v>
      </c>
      <c r="Q382" s="105">
        <v>1000000</v>
      </c>
      <c r="R382" s="103">
        <v>48</v>
      </c>
      <c r="S382" s="105">
        <v>0</v>
      </c>
      <c r="T382" s="105">
        <v>1000000</v>
      </c>
      <c r="U382" s="105">
        <v>0</v>
      </c>
      <c r="V382" s="105">
        <v>0</v>
      </c>
      <c r="W382" s="105">
        <v>0</v>
      </c>
      <c r="X382" s="105">
        <v>0</v>
      </c>
      <c r="Y382" s="105">
        <v>0</v>
      </c>
      <c r="Z382" s="105">
        <v>0</v>
      </c>
      <c r="AA382" s="105">
        <v>0</v>
      </c>
      <c r="AB382" s="105">
        <v>0</v>
      </c>
      <c r="AC382" s="8">
        <f t="shared" si="35"/>
        <v>1000000</v>
      </c>
      <c r="AD382" s="8">
        <f t="shared" si="36"/>
        <v>0</v>
      </c>
      <c r="AE382" s="8">
        <f t="shared" si="37"/>
        <v>0</v>
      </c>
      <c r="AF382" s="106">
        <f t="shared" si="38"/>
        <v>0</v>
      </c>
      <c r="AG382" s="8">
        <f t="shared" si="39"/>
        <v>0</v>
      </c>
      <c r="AH382" s="8">
        <f>IF($O382="Aktif",MAX(0,MIN($AE382,$AD382-SUM($AG382:AG382))),0)</f>
        <v>0</v>
      </c>
      <c r="AI382" s="8">
        <f>IF($O382="Aktif",MAX(0,MIN($AE382,$AD382-SUM($AG382:AH382))),0)</f>
        <v>0</v>
      </c>
      <c r="AJ382" s="8">
        <f>IF($O382="Aktif",MAX(0,MIN($AE382,$AD382-SUM($AG382:AI382))),0)</f>
        <v>0</v>
      </c>
      <c r="AK382" s="8">
        <f>IF($O382="Aktif",MAX(0,MIN($AE382,$AD382-SUM($AG382:AJ382))),0)</f>
        <v>0</v>
      </c>
      <c r="AL382" s="8">
        <f>IF($O382="Aktif",MAX(0,MIN($AE382,$AD382-SUM($AG382:AK382))),0)</f>
        <v>0</v>
      </c>
      <c r="AM382" s="8">
        <f>IF($O382="Aktif",MAX(0,MIN($AE382,$AD382-SUM($AG382:AL382))),0)</f>
        <v>0</v>
      </c>
      <c r="AN382" s="8">
        <f>IF($O382="Aktif",MAX(0,MIN($AE382,$AD382-SUM($AG382:AM382))),0)</f>
        <v>0</v>
      </c>
      <c r="AO382" s="8">
        <f>IF($O382="Aktif",MAX(0,MIN($AE382,$AD382-SUM($AG382:AN382))),0)</f>
        <v>0</v>
      </c>
      <c r="AP382" s="8">
        <f>IF($O382="Aktif",MAX(0,MIN($AE382,$AD382-SUM($AG382:AO382))),0)</f>
        <v>0</v>
      </c>
      <c r="AQ382" s="8">
        <f>IF($O382="Aktif",MAX(0,MIN($AE382,$AD382-SUM($AG382:AP382))),0)</f>
        <v>0</v>
      </c>
      <c r="AR382" s="8">
        <f>IF($O382="Aktif",MAX(0,MIN($AE382,$AD382-SUM($AG382:AQ382))),0)</f>
        <v>0</v>
      </c>
      <c r="AS382" s="8">
        <f>IF($O382="Aktif",MAX(0,MIN($AE382,$AD382-SUM($AG382:AR382))),0)</f>
        <v>0</v>
      </c>
      <c r="AT382" s="8">
        <f>IF($O382="Aktif",MAX(0,MIN($AE382,$AD382-SUM($AG382:AS382))),0)</f>
        <v>0</v>
      </c>
      <c r="AU382" s="8">
        <f>IF($O382="Aktif",MAX(0,MIN($AE382,$AD382-SUM($AG382:AT382))),0)</f>
        <v>0</v>
      </c>
      <c r="AV382" s="8">
        <f>IF($O382="Aktif",MAX(0,MIN($AE382,$AD382-SUM($AG382:AU382))),0)</f>
        <v>0</v>
      </c>
      <c r="AW382" s="8">
        <f t="shared" si="40"/>
        <v>0</v>
      </c>
      <c r="AX382" s="8">
        <f t="shared" si="41"/>
        <v>0</v>
      </c>
    </row>
    <row r="383" spans="1:50" ht="15" customHeight="1" x14ac:dyDescent="0.35">
      <c r="A383" s="102">
        <v>377</v>
      </c>
      <c r="B383" s="102" t="s">
        <v>1326</v>
      </c>
      <c r="C383" s="103">
        <v>11</v>
      </c>
      <c r="D383" s="102" t="s">
        <v>185</v>
      </c>
      <c r="E383" s="102" t="s">
        <v>587</v>
      </c>
      <c r="F383" s="102" t="s">
        <v>1327</v>
      </c>
      <c r="G383" s="102" t="s">
        <v>1328</v>
      </c>
      <c r="H383" s="102" t="s">
        <v>1329</v>
      </c>
      <c r="I383" s="102" t="s">
        <v>63</v>
      </c>
      <c r="J383" s="102"/>
      <c r="K383" s="102" t="s">
        <v>591</v>
      </c>
      <c r="L383" s="102" t="s">
        <v>1333</v>
      </c>
      <c r="M383" s="102" t="s">
        <v>1331</v>
      </c>
      <c r="N383" s="102" t="s">
        <v>1334</v>
      </c>
      <c r="O383" s="102" t="s">
        <v>487</v>
      </c>
      <c r="P383" s="103">
        <v>1</v>
      </c>
      <c r="Q383" s="105">
        <v>-1000000</v>
      </c>
      <c r="R383" s="102"/>
      <c r="S383" s="105">
        <v>0</v>
      </c>
      <c r="T383" s="105">
        <v>-1000000</v>
      </c>
      <c r="U383" s="105">
        <v>0</v>
      </c>
      <c r="V383" s="105">
        <v>0</v>
      </c>
      <c r="W383" s="105">
        <v>0</v>
      </c>
      <c r="X383" s="105">
        <v>0</v>
      </c>
      <c r="Y383" s="105">
        <v>0</v>
      </c>
      <c r="Z383" s="105">
        <v>0</v>
      </c>
      <c r="AA383" s="105">
        <v>0</v>
      </c>
      <c r="AB383" s="105">
        <v>0</v>
      </c>
      <c r="AC383" s="8">
        <f t="shared" si="35"/>
        <v>-1000000</v>
      </c>
      <c r="AD383" s="8">
        <f t="shared" si="36"/>
        <v>0</v>
      </c>
      <c r="AE383" s="8">
        <f t="shared" si="37"/>
        <v>0</v>
      </c>
      <c r="AF383" s="106">
        <f t="shared" si="38"/>
        <v>0</v>
      </c>
      <c r="AG383" s="8">
        <f t="shared" si="39"/>
        <v>0</v>
      </c>
      <c r="AH383" s="8">
        <f>IF($O383="Aktif",MAX(0,MIN($AE383,$AD383-SUM($AG383:AG383))),0)</f>
        <v>0</v>
      </c>
      <c r="AI383" s="8">
        <f>IF($O383="Aktif",MAX(0,MIN($AE383,$AD383-SUM($AG383:AH383))),0)</f>
        <v>0</v>
      </c>
      <c r="AJ383" s="8">
        <f>IF($O383="Aktif",MAX(0,MIN($AE383,$AD383-SUM($AG383:AI383))),0)</f>
        <v>0</v>
      </c>
      <c r="AK383" s="8">
        <f>IF($O383="Aktif",MAX(0,MIN($AE383,$AD383-SUM($AG383:AJ383))),0)</f>
        <v>0</v>
      </c>
      <c r="AL383" s="8">
        <f>IF($O383="Aktif",MAX(0,MIN($AE383,$AD383-SUM($AG383:AK383))),0)</f>
        <v>0</v>
      </c>
      <c r="AM383" s="8">
        <f>IF($O383="Aktif",MAX(0,MIN($AE383,$AD383-SUM($AG383:AL383))),0)</f>
        <v>0</v>
      </c>
      <c r="AN383" s="8">
        <f>IF($O383="Aktif",MAX(0,MIN($AE383,$AD383-SUM($AG383:AM383))),0)</f>
        <v>0</v>
      </c>
      <c r="AO383" s="8">
        <f>IF($O383="Aktif",MAX(0,MIN($AE383,$AD383-SUM($AG383:AN383))),0)</f>
        <v>0</v>
      </c>
      <c r="AP383" s="8">
        <f>IF($O383="Aktif",MAX(0,MIN($AE383,$AD383-SUM($AG383:AO383))),0)</f>
        <v>0</v>
      </c>
      <c r="AQ383" s="8">
        <f>IF($O383="Aktif",MAX(0,MIN($AE383,$AD383-SUM($AG383:AP383))),0)</f>
        <v>0</v>
      </c>
      <c r="AR383" s="8">
        <f>IF($O383="Aktif",MAX(0,MIN($AE383,$AD383-SUM($AG383:AQ383))),0)</f>
        <v>0</v>
      </c>
      <c r="AS383" s="8">
        <f>IF($O383="Aktif",MAX(0,MIN($AE383,$AD383-SUM($AG383:AR383))),0)</f>
        <v>0</v>
      </c>
      <c r="AT383" s="8">
        <f>IF($O383="Aktif",MAX(0,MIN($AE383,$AD383-SUM($AG383:AS383))),0)</f>
        <v>0</v>
      </c>
      <c r="AU383" s="8">
        <f>IF($O383="Aktif",MAX(0,MIN($AE383,$AD383-SUM($AG383:AT383))),0)</f>
        <v>0</v>
      </c>
      <c r="AV383" s="8">
        <f>IF($O383="Aktif",MAX(0,MIN($AE383,$AD383-SUM($AG383:AU383))),0)</f>
        <v>0</v>
      </c>
      <c r="AW383" s="8">
        <f t="shared" si="40"/>
        <v>0</v>
      </c>
      <c r="AX383" s="8">
        <f t="shared" si="41"/>
        <v>0</v>
      </c>
    </row>
    <row r="384" spans="1:50" ht="15" customHeight="1" x14ac:dyDescent="0.35">
      <c r="A384" s="102">
        <v>378</v>
      </c>
      <c r="B384" s="102" t="s">
        <v>1326</v>
      </c>
      <c r="C384" s="103">
        <v>12</v>
      </c>
      <c r="D384" s="102" t="s">
        <v>185</v>
      </c>
      <c r="E384" s="102" t="s">
        <v>587</v>
      </c>
      <c r="F384" s="102" t="s">
        <v>1327</v>
      </c>
      <c r="G384" s="102" t="s">
        <v>1328</v>
      </c>
      <c r="H384" s="102" t="s">
        <v>1329</v>
      </c>
      <c r="I384" s="102" t="s">
        <v>63</v>
      </c>
      <c r="J384" s="102"/>
      <c r="K384" s="102" t="s">
        <v>591</v>
      </c>
      <c r="L384" s="102" t="s">
        <v>1338</v>
      </c>
      <c r="M384" s="102" t="s">
        <v>1339</v>
      </c>
      <c r="N384" s="102" t="s">
        <v>1340</v>
      </c>
      <c r="O384" s="102" t="s">
        <v>383</v>
      </c>
      <c r="P384" s="103">
        <v>1</v>
      </c>
      <c r="Q384" s="105">
        <v>1633500</v>
      </c>
      <c r="R384" s="103">
        <v>48</v>
      </c>
      <c r="S384" s="105">
        <v>0</v>
      </c>
      <c r="T384" s="105">
        <v>1633500</v>
      </c>
      <c r="U384" s="105">
        <v>0</v>
      </c>
      <c r="V384" s="105">
        <v>0</v>
      </c>
      <c r="W384" s="105">
        <v>0</v>
      </c>
      <c r="X384" s="105">
        <v>0</v>
      </c>
      <c r="Y384" s="105">
        <v>0</v>
      </c>
      <c r="Z384" s="105">
        <v>0</v>
      </c>
      <c r="AA384" s="105">
        <v>0</v>
      </c>
      <c r="AB384" s="105">
        <v>0</v>
      </c>
      <c r="AC384" s="8">
        <f t="shared" si="35"/>
        <v>1633500</v>
      </c>
      <c r="AD384" s="8">
        <f t="shared" si="36"/>
        <v>0</v>
      </c>
      <c r="AE384" s="8">
        <f t="shared" si="37"/>
        <v>0</v>
      </c>
      <c r="AF384" s="106">
        <f t="shared" si="38"/>
        <v>0</v>
      </c>
      <c r="AG384" s="8">
        <f t="shared" si="39"/>
        <v>0</v>
      </c>
      <c r="AH384" s="8">
        <f>IF($O384="Aktif",MAX(0,MIN($AE384,$AD384-SUM($AG384:AG384))),0)</f>
        <v>0</v>
      </c>
      <c r="AI384" s="8">
        <f>IF($O384="Aktif",MAX(0,MIN($AE384,$AD384-SUM($AG384:AH384))),0)</f>
        <v>0</v>
      </c>
      <c r="AJ384" s="8">
        <f>IF($O384="Aktif",MAX(0,MIN($AE384,$AD384-SUM($AG384:AI384))),0)</f>
        <v>0</v>
      </c>
      <c r="AK384" s="8">
        <f>IF($O384="Aktif",MAX(0,MIN($AE384,$AD384-SUM($AG384:AJ384))),0)</f>
        <v>0</v>
      </c>
      <c r="AL384" s="8">
        <f>IF($O384="Aktif",MAX(0,MIN($AE384,$AD384-SUM($AG384:AK384))),0)</f>
        <v>0</v>
      </c>
      <c r="AM384" s="8">
        <f>IF($O384="Aktif",MAX(0,MIN($AE384,$AD384-SUM($AG384:AL384))),0)</f>
        <v>0</v>
      </c>
      <c r="AN384" s="8">
        <f>IF($O384="Aktif",MAX(0,MIN($AE384,$AD384-SUM($AG384:AM384))),0)</f>
        <v>0</v>
      </c>
      <c r="AO384" s="8">
        <f>IF($O384="Aktif",MAX(0,MIN($AE384,$AD384-SUM($AG384:AN384))),0)</f>
        <v>0</v>
      </c>
      <c r="AP384" s="8">
        <f>IF($O384="Aktif",MAX(0,MIN($AE384,$AD384-SUM($AG384:AO384))),0)</f>
        <v>0</v>
      </c>
      <c r="AQ384" s="8">
        <f>IF($O384="Aktif",MAX(0,MIN($AE384,$AD384-SUM($AG384:AP384))),0)</f>
        <v>0</v>
      </c>
      <c r="AR384" s="8">
        <f>IF($O384="Aktif",MAX(0,MIN($AE384,$AD384-SUM($AG384:AQ384))),0)</f>
        <v>0</v>
      </c>
      <c r="AS384" s="8">
        <f>IF($O384="Aktif",MAX(0,MIN($AE384,$AD384-SUM($AG384:AR384))),0)</f>
        <v>0</v>
      </c>
      <c r="AT384" s="8">
        <f>IF($O384="Aktif",MAX(0,MIN($AE384,$AD384-SUM($AG384:AS384))),0)</f>
        <v>0</v>
      </c>
      <c r="AU384" s="8">
        <f>IF($O384="Aktif",MAX(0,MIN($AE384,$AD384-SUM($AG384:AT384))),0)</f>
        <v>0</v>
      </c>
      <c r="AV384" s="8">
        <f>IF($O384="Aktif",MAX(0,MIN($AE384,$AD384-SUM($AG384:AU384))),0)</f>
        <v>0</v>
      </c>
      <c r="AW384" s="8">
        <f t="shared" si="40"/>
        <v>0</v>
      </c>
      <c r="AX384" s="8">
        <f t="shared" si="41"/>
        <v>0</v>
      </c>
    </row>
    <row r="385" spans="1:50" ht="15" customHeight="1" x14ac:dyDescent="0.35">
      <c r="A385" s="102">
        <v>379</v>
      </c>
      <c r="B385" s="102" t="s">
        <v>1326</v>
      </c>
      <c r="C385" s="103">
        <v>13</v>
      </c>
      <c r="D385" s="102" t="s">
        <v>185</v>
      </c>
      <c r="E385" s="102" t="s">
        <v>587</v>
      </c>
      <c r="F385" s="102" t="s">
        <v>1327</v>
      </c>
      <c r="G385" s="102" t="s">
        <v>1328</v>
      </c>
      <c r="H385" s="102" t="s">
        <v>1329</v>
      </c>
      <c r="I385" s="102" t="s">
        <v>63</v>
      </c>
      <c r="J385" s="102"/>
      <c r="K385" s="102" t="s">
        <v>591</v>
      </c>
      <c r="L385" s="102" t="s">
        <v>1333</v>
      </c>
      <c r="M385" s="102" t="s">
        <v>1331</v>
      </c>
      <c r="N385" s="102" t="s">
        <v>1334</v>
      </c>
      <c r="O385" s="102" t="s">
        <v>487</v>
      </c>
      <c r="P385" s="103">
        <v>1</v>
      </c>
      <c r="Q385" s="105">
        <v>-1633500</v>
      </c>
      <c r="R385" s="102"/>
      <c r="S385" s="105">
        <v>0</v>
      </c>
      <c r="T385" s="105">
        <v>-1633500</v>
      </c>
      <c r="U385" s="105">
        <v>0</v>
      </c>
      <c r="V385" s="105">
        <v>0</v>
      </c>
      <c r="W385" s="105">
        <v>0</v>
      </c>
      <c r="X385" s="105">
        <v>0</v>
      </c>
      <c r="Y385" s="105">
        <v>0</v>
      </c>
      <c r="Z385" s="105">
        <v>0</v>
      </c>
      <c r="AA385" s="105">
        <v>0</v>
      </c>
      <c r="AB385" s="105">
        <v>0</v>
      </c>
      <c r="AC385" s="8">
        <f t="shared" si="35"/>
        <v>-1633500</v>
      </c>
      <c r="AD385" s="8">
        <f t="shared" si="36"/>
        <v>0</v>
      </c>
      <c r="AE385" s="8">
        <f t="shared" si="37"/>
        <v>0</v>
      </c>
      <c r="AF385" s="106">
        <f t="shared" si="38"/>
        <v>0</v>
      </c>
      <c r="AG385" s="8">
        <f t="shared" si="39"/>
        <v>0</v>
      </c>
      <c r="AH385" s="8">
        <f>IF($O385="Aktif",MAX(0,MIN($AE385,$AD385-SUM($AG385:AG385))),0)</f>
        <v>0</v>
      </c>
      <c r="AI385" s="8">
        <f>IF($O385="Aktif",MAX(0,MIN($AE385,$AD385-SUM($AG385:AH385))),0)</f>
        <v>0</v>
      </c>
      <c r="AJ385" s="8">
        <f>IF($O385="Aktif",MAX(0,MIN($AE385,$AD385-SUM($AG385:AI385))),0)</f>
        <v>0</v>
      </c>
      <c r="AK385" s="8">
        <f>IF($O385="Aktif",MAX(0,MIN($AE385,$AD385-SUM($AG385:AJ385))),0)</f>
        <v>0</v>
      </c>
      <c r="AL385" s="8">
        <f>IF($O385="Aktif",MAX(0,MIN($AE385,$AD385-SUM($AG385:AK385))),0)</f>
        <v>0</v>
      </c>
      <c r="AM385" s="8">
        <f>IF($O385="Aktif",MAX(0,MIN($AE385,$AD385-SUM($AG385:AL385))),0)</f>
        <v>0</v>
      </c>
      <c r="AN385" s="8">
        <f>IF($O385="Aktif",MAX(0,MIN($AE385,$AD385-SUM($AG385:AM385))),0)</f>
        <v>0</v>
      </c>
      <c r="AO385" s="8">
        <f>IF($O385="Aktif",MAX(0,MIN($AE385,$AD385-SUM($AG385:AN385))),0)</f>
        <v>0</v>
      </c>
      <c r="AP385" s="8">
        <f>IF($O385="Aktif",MAX(0,MIN($AE385,$AD385-SUM($AG385:AO385))),0)</f>
        <v>0</v>
      </c>
      <c r="AQ385" s="8">
        <f>IF($O385="Aktif",MAX(0,MIN($AE385,$AD385-SUM($AG385:AP385))),0)</f>
        <v>0</v>
      </c>
      <c r="AR385" s="8">
        <f>IF($O385="Aktif",MAX(0,MIN($AE385,$AD385-SUM($AG385:AQ385))),0)</f>
        <v>0</v>
      </c>
      <c r="AS385" s="8">
        <f>IF($O385="Aktif",MAX(0,MIN($AE385,$AD385-SUM($AG385:AR385))),0)</f>
        <v>0</v>
      </c>
      <c r="AT385" s="8">
        <f>IF($O385="Aktif",MAX(0,MIN($AE385,$AD385-SUM($AG385:AS385))),0)</f>
        <v>0</v>
      </c>
      <c r="AU385" s="8">
        <f>IF($O385="Aktif",MAX(0,MIN($AE385,$AD385-SUM($AG385:AT385))),0)</f>
        <v>0</v>
      </c>
      <c r="AV385" s="8">
        <f>IF($O385="Aktif",MAX(0,MIN($AE385,$AD385-SUM($AG385:AU385))),0)</f>
        <v>0</v>
      </c>
      <c r="AW385" s="8">
        <f t="shared" si="40"/>
        <v>0</v>
      </c>
      <c r="AX385" s="8">
        <f t="shared" si="41"/>
        <v>0</v>
      </c>
    </row>
    <row r="386" spans="1:50" ht="15" customHeight="1" x14ac:dyDescent="0.35">
      <c r="A386" s="102">
        <v>380</v>
      </c>
      <c r="B386" s="102" t="s">
        <v>1326</v>
      </c>
      <c r="C386" s="103">
        <v>14</v>
      </c>
      <c r="D386" s="102" t="s">
        <v>185</v>
      </c>
      <c r="E386" s="102" t="s">
        <v>587</v>
      </c>
      <c r="F386" s="102" t="s">
        <v>1327</v>
      </c>
      <c r="G386" s="102" t="s">
        <v>1328</v>
      </c>
      <c r="H386" s="102" t="s">
        <v>1329</v>
      </c>
      <c r="I386" s="102" t="s">
        <v>63</v>
      </c>
      <c r="J386" s="102"/>
      <c r="K386" s="102" t="s">
        <v>591</v>
      </c>
      <c r="L386" s="102" t="s">
        <v>1341</v>
      </c>
      <c r="M386" s="102" t="s">
        <v>1342</v>
      </c>
      <c r="N386" s="102" t="s">
        <v>1343</v>
      </c>
      <c r="O386" s="102" t="s">
        <v>383</v>
      </c>
      <c r="P386" s="103">
        <v>1</v>
      </c>
      <c r="Q386" s="105">
        <v>10330320</v>
      </c>
      <c r="R386" s="103">
        <v>48</v>
      </c>
      <c r="S386" s="105">
        <v>0</v>
      </c>
      <c r="T386" s="105">
        <v>10330320</v>
      </c>
      <c r="U386" s="105">
        <v>0</v>
      </c>
      <c r="V386" s="105">
        <v>0</v>
      </c>
      <c r="W386" s="105">
        <v>0</v>
      </c>
      <c r="X386" s="105">
        <v>0</v>
      </c>
      <c r="Y386" s="105">
        <v>0</v>
      </c>
      <c r="Z386" s="105">
        <v>0</v>
      </c>
      <c r="AA386" s="105">
        <v>0</v>
      </c>
      <c r="AB386" s="105">
        <v>0</v>
      </c>
      <c r="AC386" s="8">
        <f t="shared" si="35"/>
        <v>10330320</v>
      </c>
      <c r="AD386" s="8">
        <f t="shared" si="36"/>
        <v>0</v>
      </c>
      <c r="AE386" s="8">
        <f t="shared" si="37"/>
        <v>0</v>
      </c>
      <c r="AF386" s="106">
        <f t="shared" si="38"/>
        <v>0</v>
      </c>
      <c r="AG386" s="8">
        <f t="shared" si="39"/>
        <v>0</v>
      </c>
      <c r="AH386" s="8">
        <f>IF($O386="Aktif",MAX(0,MIN($AE386,$AD386-SUM($AG386:AG386))),0)</f>
        <v>0</v>
      </c>
      <c r="AI386" s="8">
        <f>IF($O386="Aktif",MAX(0,MIN($AE386,$AD386-SUM($AG386:AH386))),0)</f>
        <v>0</v>
      </c>
      <c r="AJ386" s="8">
        <f>IF($O386="Aktif",MAX(0,MIN($AE386,$AD386-SUM($AG386:AI386))),0)</f>
        <v>0</v>
      </c>
      <c r="AK386" s="8">
        <f>IF($O386="Aktif",MAX(0,MIN($AE386,$AD386-SUM($AG386:AJ386))),0)</f>
        <v>0</v>
      </c>
      <c r="AL386" s="8">
        <f>IF($O386="Aktif",MAX(0,MIN($AE386,$AD386-SUM($AG386:AK386))),0)</f>
        <v>0</v>
      </c>
      <c r="AM386" s="8">
        <f>IF($O386="Aktif",MAX(0,MIN($AE386,$AD386-SUM($AG386:AL386))),0)</f>
        <v>0</v>
      </c>
      <c r="AN386" s="8">
        <f>IF($O386="Aktif",MAX(0,MIN($AE386,$AD386-SUM($AG386:AM386))),0)</f>
        <v>0</v>
      </c>
      <c r="AO386" s="8">
        <f>IF($O386="Aktif",MAX(0,MIN($AE386,$AD386-SUM($AG386:AN386))),0)</f>
        <v>0</v>
      </c>
      <c r="AP386" s="8">
        <f>IF($O386="Aktif",MAX(0,MIN($AE386,$AD386-SUM($AG386:AO386))),0)</f>
        <v>0</v>
      </c>
      <c r="AQ386" s="8">
        <f>IF($O386="Aktif",MAX(0,MIN($AE386,$AD386-SUM($AG386:AP386))),0)</f>
        <v>0</v>
      </c>
      <c r="AR386" s="8">
        <f>IF($O386="Aktif",MAX(0,MIN($AE386,$AD386-SUM($AG386:AQ386))),0)</f>
        <v>0</v>
      </c>
      <c r="AS386" s="8">
        <f>IF($O386="Aktif",MAX(0,MIN($AE386,$AD386-SUM($AG386:AR386))),0)</f>
        <v>0</v>
      </c>
      <c r="AT386" s="8">
        <f>IF($O386="Aktif",MAX(0,MIN($AE386,$AD386-SUM($AG386:AS386))),0)</f>
        <v>0</v>
      </c>
      <c r="AU386" s="8">
        <f>IF($O386="Aktif",MAX(0,MIN($AE386,$AD386-SUM($AG386:AT386))),0)</f>
        <v>0</v>
      </c>
      <c r="AV386" s="8">
        <f>IF($O386="Aktif",MAX(0,MIN($AE386,$AD386-SUM($AG386:AU386))),0)</f>
        <v>0</v>
      </c>
      <c r="AW386" s="8">
        <f t="shared" si="40"/>
        <v>0</v>
      </c>
      <c r="AX386" s="8">
        <f t="shared" si="41"/>
        <v>0</v>
      </c>
    </row>
    <row r="387" spans="1:50" ht="15" customHeight="1" x14ac:dyDescent="0.35">
      <c r="A387" s="102">
        <v>381</v>
      </c>
      <c r="B387" s="102" t="s">
        <v>1326</v>
      </c>
      <c r="C387" s="103">
        <v>15</v>
      </c>
      <c r="D387" s="102" t="s">
        <v>185</v>
      </c>
      <c r="E387" s="102" t="s">
        <v>587</v>
      </c>
      <c r="F387" s="102" t="s">
        <v>1327</v>
      </c>
      <c r="G387" s="102" t="s">
        <v>1328</v>
      </c>
      <c r="H387" s="102" t="s">
        <v>1329</v>
      </c>
      <c r="I387" s="102" t="s">
        <v>63</v>
      </c>
      <c r="J387" s="102"/>
      <c r="K387" s="102" t="s">
        <v>591</v>
      </c>
      <c r="L387" s="102" t="s">
        <v>1333</v>
      </c>
      <c r="M387" s="102" t="s">
        <v>1331</v>
      </c>
      <c r="N387" s="102" t="s">
        <v>1334</v>
      </c>
      <c r="O387" s="102" t="s">
        <v>487</v>
      </c>
      <c r="P387" s="103">
        <v>1</v>
      </c>
      <c r="Q387" s="105">
        <v>-10330320</v>
      </c>
      <c r="R387" s="102"/>
      <c r="S387" s="105">
        <v>0</v>
      </c>
      <c r="T387" s="105">
        <v>-10330320</v>
      </c>
      <c r="U387" s="105">
        <v>0</v>
      </c>
      <c r="V387" s="105">
        <v>0</v>
      </c>
      <c r="W387" s="105">
        <v>0</v>
      </c>
      <c r="X387" s="105">
        <v>0</v>
      </c>
      <c r="Y387" s="105">
        <v>0</v>
      </c>
      <c r="Z387" s="105">
        <v>0</v>
      </c>
      <c r="AA387" s="105">
        <v>0</v>
      </c>
      <c r="AB387" s="105">
        <v>0</v>
      </c>
      <c r="AC387" s="8">
        <f t="shared" si="35"/>
        <v>-10330320</v>
      </c>
      <c r="AD387" s="8">
        <f t="shared" si="36"/>
        <v>0</v>
      </c>
      <c r="AE387" s="8">
        <f t="shared" si="37"/>
        <v>0</v>
      </c>
      <c r="AF387" s="106">
        <f t="shared" si="38"/>
        <v>0</v>
      </c>
      <c r="AG387" s="8">
        <f t="shared" si="39"/>
        <v>0</v>
      </c>
      <c r="AH387" s="8">
        <f>IF($O387="Aktif",MAX(0,MIN($AE387,$AD387-SUM($AG387:AG387))),0)</f>
        <v>0</v>
      </c>
      <c r="AI387" s="8">
        <f>IF($O387="Aktif",MAX(0,MIN($AE387,$AD387-SUM($AG387:AH387))),0)</f>
        <v>0</v>
      </c>
      <c r="AJ387" s="8">
        <f>IF($O387="Aktif",MAX(0,MIN($AE387,$AD387-SUM($AG387:AI387))),0)</f>
        <v>0</v>
      </c>
      <c r="AK387" s="8">
        <f>IF($O387="Aktif",MAX(0,MIN($AE387,$AD387-SUM($AG387:AJ387))),0)</f>
        <v>0</v>
      </c>
      <c r="AL387" s="8">
        <f>IF($O387="Aktif",MAX(0,MIN($AE387,$AD387-SUM($AG387:AK387))),0)</f>
        <v>0</v>
      </c>
      <c r="AM387" s="8">
        <f>IF($O387="Aktif",MAX(0,MIN($AE387,$AD387-SUM($AG387:AL387))),0)</f>
        <v>0</v>
      </c>
      <c r="AN387" s="8">
        <f>IF($O387="Aktif",MAX(0,MIN($AE387,$AD387-SUM($AG387:AM387))),0)</f>
        <v>0</v>
      </c>
      <c r="AO387" s="8">
        <f>IF($O387="Aktif",MAX(0,MIN($AE387,$AD387-SUM($AG387:AN387))),0)</f>
        <v>0</v>
      </c>
      <c r="AP387" s="8">
        <f>IF($O387="Aktif",MAX(0,MIN($AE387,$AD387-SUM($AG387:AO387))),0)</f>
        <v>0</v>
      </c>
      <c r="AQ387" s="8">
        <f>IF($O387="Aktif",MAX(0,MIN($AE387,$AD387-SUM($AG387:AP387))),0)</f>
        <v>0</v>
      </c>
      <c r="AR387" s="8">
        <f>IF($O387="Aktif",MAX(0,MIN($AE387,$AD387-SUM($AG387:AQ387))),0)</f>
        <v>0</v>
      </c>
      <c r="AS387" s="8">
        <f>IF($O387="Aktif",MAX(0,MIN($AE387,$AD387-SUM($AG387:AR387))),0)</f>
        <v>0</v>
      </c>
      <c r="AT387" s="8">
        <f>IF($O387="Aktif",MAX(0,MIN($AE387,$AD387-SUM($AG387:AS387))),0)</f>
        <v>0</v>
      </c>
      <c r="AU387" s="8">
        <f>IF($O387="Aktif",MAX(0,MIN($AE387,$AD387-SUM($AG387:AT387))),0)</f>
        <v>0</v>
      </c>
      <c r="AV387" s="8">
        <f>IF($O387="Aktif",MAX(0,MIN($AE387,$AD387-SUM($AG387:AU387))),0)</f>
        <v>0</v>
      </c>
      <c r="AW387" s="8">
        <f t="shared" si="40"/>
        <v>0</v>
      </c>
      <c r="AX387" s="8">
        <f t="shared" si="41"/>
        <v>0</v>
      </c>
    </row>
    <row r="388" spans="1:50" ht="15" customHeight="1" x14ac:dyDescent="0.35">
      <c r="A388" s="102">
        <v>382</v>
      </c>
      <c r="B388" s="102" t="s">
        <v>1326</v>
      </c>
      <c r="C388" s="103">
        <v>16</v>
      </c>
      <c r="D388" s="102" t="s">
        <v>185</v>
      </c>
      <c r="E388" s="102" t="s">
        <v>587</v>
      </c>
      <c r="F388" s="102" t="s">
        <v>1327</v>
      </c>
      <c r="G388" s="102" t="s">
        <v>1328</v>
      </c>
      <c r="H388" s="102" t="s">
        <v>1329</v>
      </c>
      <c r="I388" s="102" t="s">
        <v>63</v>
      </c>
      <c r="J388" s="102"/>
      <c r="K388" s="102" t="s">
        <v>591</v>
      </c>
      <c r="L388" s="102" t="s">
        <v>1344</v>
      </c>
      <c r="M388" s="102" t="s">
        <v>1345</v>
      </c>
      <c r="N388" s="102" t="s">
        <v>1346</v>
      </c>
      <c r="O388" s="102" t="s">
        <v>383</v>
      </c>
      <c r="P388" s="103">
        <v>1</v>
      </c>
      <c r="Q388" s="105">
        <v>9500000</v>
      </c>
      <c r="R388" s="103">
        <v>48</v>
      </c>
      <c r="S388" s="105">
        <v>0</v>
      </c>
      <c r="T388" s="105">
        <v>9500000</v>
      </c>
      <c r="U388" s="105">
        <v>0</v>
      </c>
      <c r="V388" s="105">
        <v>0</v>
      </c>
      <c r="W388" s="105">
        <v>0</v>
      </c>
      <c r="X388" s="105">
        <v>0</v>
      </c>
      <c r="Y388" s="105">
        <v>0</v>
      </c>
      <c r="Z388" s="105">
        <v>0</v>
      </c>
      <c r="AA388" s="105">
        <v>0</v>
      </c>
      <c r="AB388" s="105">
        <v>0</v>
      </c>
      <c r="AC388" s="8">
        <f t="shared" si="35"/>
        <v>9500000</v>
      </c>
      <c r="AD388" s="8">
        <f t="shared" si="36"/>
        <v>0</v>
      </c>
      <c r="AE388" s="8">
        <f t="shared" si="37"/>
        <v>0</v>
      </c>
      <c r="AF388" s="106">
        <f t="shared" si="38"/>
        <v>0</v>
      </c>
      <c r="AG388" s="8">
        <f t="shared" si="39"/>
        <v>0</v>
      </c>
      <c r="AH388" s="8">
        <f>IF($O388="Aktif",MAX(0,MIN($AE388,$AD388-SUM($AG388:AG388))),0)</f>
        <v>0</v>
      </c>
      <c r="AI388" s="8">
        <f>IF($O388="Aktif",MAX(0,MIN($AE388,$AD388-SUM($AG388:AH388))),0)</f>
        <v>0</v>
      </c>
      <c r="AJ388" s="8">
        <f>IF($O388="Aktif",MAX(0,MIN($AE388,$AD388-SUM($AG388:AI388))),0)</f>
        <v>0</v>
      </c>
      <c r="AK388" s="8">
        <f>IF($O388="Aktif",MAX(0,MIN($AE388,$AD388-SUM($AG388:AJ388))),0)</f>
        <v>0</v>
      </c>
      <c r="AL388" s="8">
        <f>IF($O388="Aktif",MAX(0,MIN($AE388,$AD388-SUM($AG388:AK388))),0)</f>
        <v>0</v>
      </c>
      <c r="AM388" s="8">
        <f>IF($O388="Aktif",MAX(0,MIN($AE388,$AD388-SUM($AG388:AL388))),0)</f>
        <v>0</v>
      </c>
      <c r="AN388" s="8">
        <f>IF($O388="Aktif",MAX(0,MIN($AE388,$AD388-SUM($AG388:AM388))),0)</f>
        <v>0</v>
      </c>
      <c r="AO388" s="8">
        <f>IF($O388="Aktif",MAX(0,MIN($AE388,$AD388-SUM($AG388:AN388))),0)</f>
        <v>0</v>
      </c>
      <c r="AP388" s="8">
        <f>IF($O388="Aktif",MAX(0,MIN($AE388,$AD388-SUM($AG388:AO388))),0)</f>
        <v>0</v>
      </c>
      <c r="AQ388" s="8">
        <f>IF($O388="Aktif",MAX(0,MIN($AE388,$AD388-SUM($AG388:AP388))),0)</f>
        <v>0</v>
      </c>
      <c r="AR388" s="8">
        <f>IF($O388="Aktif",MAX(0,MIN($AE388,$AD388-SUM($AG388:AQ388))),0)</f>
        <v>0</v>
      </c>
      <c r="AS388" s="8">
        <f>IF($O388="Aktif",MAX(0,MIN($AE388,$AD388-SUM($AG388:AR388))),0)</f>
        <v>0</v>
      </c>
      <c r="AT388" s="8">
        <f>IF($O388="Aktif",MAX(0,MIN($AE388,$AD388-SUM($AG388:AS388))),0)</f>
        <v>0</v>
      </c>
      <c r="AU388" s="8">
        <f>IF($O388="Aktif",MAX(0,MIN($AE388,$AD388-SUM($AG388:AT388))),0)</f>
        <v>0</v>
      </c>
      <c r="AV388" s="8">
        <f>IF($O388="Aktif",MAX(0,MIN($AE388,$AD388-SUM($AG388:AU388))),0)</f>
        <v>0</v>
      </c>
      <c r="AW388" s="8">
        <f t="shared" si="40"/>
        <v>0</v>
      </c>
      <c r="AX388" s="8">
        <f t="shared" si="41"/>
        <v>0</v>
      </c>
    </row>
    <row r="389" spans="1:50" ht="15" customHeight="1" x14ac:dyDescent="0.35">
      <c r="A389" s="102">
        <v>383</v>
      </c>
      <c r="B389" s="102" t="s">
        <v>1326</v>
      </c>
      <c r="C389" s="103">
        <v>17</v>
      </c>
      <c r="D389" s="102" t="s">
        <v>185</v>
      </c>
      <c r="E389" s="102" t="s">
        <v>587</v>
      </c>
      <c r="F389" s="102" t="s">
        <v>1327</v>
      </c>
      <c r="G389" s="102" t="s">
        <v>1328</v>
      </c>
      <c r="H389" s="102" t="s">
        <v>1329</v>
      </c>
      <c r="I389" s="102" t="s">
        <v>63</v>
      </c>
      <c r="J389" s="102"/>
      <c r="K389" s="102" t="s">
        <v>591</v>
      </c>
      <c r="L389" s="102" t="s">
        <v>1333</v>
      </c>
      <c r="M389" s="102" t="s">
        <v>1331</v>
      </c>
      <c r="N389" s="102" t="s">
        <v>1334</v>
      </c>
      <c r="O389" s="102" t="s">
        <v>487</v>
      </c>
      <c r="P389" s="103">
        <v>1</v>
      </c>
      <c r="Q389" s="105">
        <v>-9500000</v>
      </c>
      <c r="R389" s="102"/>
      <c r="S389" s="105">
        <v>0</v>
      </c>
      <c r="T389" s="105">
        <v>-9500000</v>
      </c>
      <c r="U389" s="105">
        <v>0</v>
      </c>
      <c r="V389" s="105">
        <v>0</v>
      </c>
      <c r="W389" s="105">
        <v>0</v>
      </c>
      <c r="X389" s="105">
        <v>0</v>
      </c>
      <c r="Y389" s="105">
        <v>0</v>
      </c>
      <c r="Z389" s="105">
        <v>0</v>
      </c>
      <c r="AA389" s="105">
        <v>0</v>
      </c>
      <c r="AB389" s="105">
        <v>0</v>
      </c>
      <c r="AC389" s="8">
        <f t="shared" si="35"/>
        <v>-9500000</v>
      </c>
      <c r="AD389" s="8">
        <f t="shared" si="36"/>
        <v>0</v>
      </c>
      <c r="AE389" s="8">
        <f t="shared" si="37"/>
        <v>0</v>
      </c>
      <c r="AF389" s="106">
        <f t="shared" si="38"/>
        <v>0</v>
      </c>
      <c r="AG389" s="8">
        <f t="shared" si="39"/>
        <v>0</v>
      </c>
      <c r="AH389" s="8">
        <f>IF($O389="Aktif",MAX(0,MIN($AE389,$AD389-SUM($AG389:AG389))),0)</f>
        <v>0</v>
      </c>
      <c r="AI389" s="8">
        <f>IF($O389="Aktif",MAX(0,MIN($AE389,$AD389-SUM($AG389:AH389))),0)</f>
        <v>0</v>
      </c>
      <c r="AJ389" s="8">
        <f>IF($O389="Aktif",MAX(0,MIN($AE389,$AD389-SUM($AG389:AI389))),0)</f>
        <v>0</v>
      </c>
      <c r="AK389" s="8">
        <f>IF($O389="Aktif",MAX(0,MIN($AE389,$AD389-SUM($AG389:AJ389))),0)</f>
        <v>0</v>
      </c>
      <c r="AL389" s="8">
        <f>IF($O389="Aktif",MAX(0,MIN($AE389,$AD389-SUM($AG389:AK389))),0)</f>
        <v>0</v>
      </c>
      <c r="AM389" s="8">
        <f>IF($O389="Aktif",MAX(0,MIN($AE389,$AD389-SUM($AG389:AL389))),0)</f>
        <v>0</v>
      </c>
      <c r="AN389" s="8">
        <f>IF($O389="Aktif",MAX(0,MIN($AE389,$AD389-SUM($AG389:AM389))),0)</f>
        <v>0</v>
      </c>
      <c r="AO389" s="8">
        <f>IF($O389="Aktif",MAX(0,MIN($AE389,$AD389-SUM($AG389:AN389))),0)</f>
        <v>0</v>
      </c>
      <c r="AP389" s="8">
        <f>IF($O389="Aktif",MAX(0,MIN($AE389,$AD389-SUM($AG389:AO389))),0)</f>
        <v>0</v>
      </c>
      <c r="AQ389" s="8">
        <f>IF($O389="Aktif",MAX(0,MIN($AE389,$AD389-SUM($AG389:AP389))),0)</f>
        <v>0</v>
      </c>
      <c r="AR389" s="8">
        <f>IF($O389="Aktif",MAX(0,MIN($AE389,$AD389-SUM($AG389:AQ389))),0)</f>
        <v>0</v>
      </c>
      <c r="AS389" s="8">
        <f>IF($O389="Aktif",MAX(0,MIN($AE389,$AD389-SUM($AG389:AR389))),0)</f>
        <v>0</v>
      </c>
      <c r="AT389" s="8">
        <f>IF($O389="Aktif",MAX(0,MIN($AE389,$AD389-SUM($AG389:AS389))),0)</f>
        <v>0</v>
      </c>
      <c r="AU389" s="8">
        <f>IF($O389="Aktif",MAX(0,MIN($AE389,$AD389-SUM($AG389:AT389))),0)</f>
        <v>0</v>
      </c>
      <c r="AV389" s="8">
        <f>IF($O389="Aktif",MAX(0,MIN($AE389,$AD389-SUM($AG389:AU389))),0)</f>
        <v>0</v>
      </c>
      <c r="AW389" s="8">
        <f t="shared" si="40"/>
        <v>0</v>
      </c>
      <c r="AX389" s="8">
        <f t="shared" si="41"/>
        <v>0</v>
      </c>
    </row>
    <row r="390" spans="1:50" ht="15" customHeight="1" x14ac:dyDescent="0.35">
      <c r="A390" s="102">
        <v>384</v>
      </c>
      <c r="B390" s="102" t="s">
        <v>1326</v>
      </c>
      <c r="C390" s="103">
        <v>18</v>
      </c>
      <c r="D390" s="102" t="s">
        <v>185</v>
      </c>
      <c r="E390" s="102" t="s">
        <v>587</v>
      </c>
      <c r="F390" s="102" t="s">
        <v>1327</v>
      </c>
      <c r="G390" s="102" t="s">
        <v>1328</v>
      </c>
      <c r="H390" s="102" t="s">
        <v>1329</v>
      </c>
      <c r="I390" s="102" t="s">
        <v>63</v>
      </c>
      <c r="J390" s="102"/>
      <c r="K390" s="102" t="s">
        <v>591</v>
      </c>
      <c r="L390" s="102" t="s">
        <v>1344</v>
      </c>
      <c r="M390" s="102" t="s">
        <v>1347</v>
      </c>
      <c r="N390" s="102" t="s">
        <v>1348</v>
      </c>
      <c r="O390" s="102" t="s">
        <v>383</v>
      </c>
      <c r="P390" s="103">
        <v>1</v>
      </c>
      <c r="Q390" s="105">
        <v>50050000</v>
      </c>
      <c r="R390" s="103">
        <v>48</v>
      </c>
      <c r="S390" s="105">
        <v>0</v>
      </c>
      <c r="T390" s="105">
        <v>50050000</v>
      </c>
      <c r="U390" s="105">
        <v>0</v>
      </c>
      <c r="V390" s="105">
        <v>0</v>
      </c>
      <c r="W390" s="105">
        <v>0</v>
      </c>
      <c r="X390" s="105">
        <v>0</v>
      </c>
      <c r="Y390" s="105">
        <v>0</v>
      </c>
      <c r="Z390" s="105">
        <v>0</v>
      </c>
      <c r="AA390" s="105">
        <v>0</v>
      </c>
      <c r="AB390" s="105">
        <v>0</v>
      </c>
      <c r="AC390" s="8">
        <f t="shared" si="35"/>
        <v>50050000</v>
      </c>
      <c r="AD390" s="8">
        <f t="shared" si="36"/>
        <v>0</v>
      </c>
      <c r="AE390" s="8">
        <f t="shared" si="37"/>
        <v>0</v>
      </c>
      <c r="AF390" s="106">
        <f t="shared" si="38"/>
        <v>0</v>
      </c>
      <c r="AG390" s="8">
        <f t="shared" si="39"/>
        <v>0</v>
      </c>
      <c r="AH390" s="8">
        <f>IF($O390="Aktif",MAX(0,MIN($AE390,$AD390-SUM($AG390:AG390))),0)</f>
        <v>0</v>
      </c>
      <c r="AI390" s="8">
        <f>IF($O390="Aktif",MAX(0,MIN($AE390,$AD390-SUM($AG390:AH390))),0)</f>
        <v>0</v>
      </c>
      <c r="AJ390" s="8">
        <f>IF($O390="Aktif",MAX(0,MIN($AE390,$AD390-SUM($AG390:AI390))),0)</f>
        <v>0</v>
      </c>
      <c r="AK390" s="8">
        <f>IF($O390="Aktif",MAX(0,MIN($AE390,$AD390-SUM($AG390:AJ390))),0)</f>
        <v>0</v>
      </c>
      <c r="AL390" s="8">
        <f>IF($O390="Aktif",MAX(0,MIN($AE390,$AD390-SUM($AG390:AK390))),0)</f>
        <v>0</v>
      </c>
      <c r="AM390" s="8">
        <f>IF($O390="Aktif",MAX(0,MIN($AE390,$AD390-SUM($AG390:AL390))),0)</f>
        <v>0</v>
      </c>
      <c r="AN390" s="8">
        <f>IF($O390="Aktif",MAX(0,MIN($AE390,$AD390-SUM($AG390:AM390))),0)</f>
        <v>0</v>
      </c>
      <c r="AO390" s="8">
        <f>IF($O390="Aktif",MAX(0,MIN($AE390,$AD390-SUM($AG390:AN390))),0)</f>
        <v>0</v>
      </c>
      <c r="AP390" s="8">
        <f>IF($O390="Aktif",MAX(0,MIN($AE390,$AD390-SUM($AG390:AO390))),0)</f>
        <v>0</v>
      </c>
      <c r="AQ390" s="8">
        <f>IF($O390="Aktif",MAX(0,MIN($AE390,$AD390-SUM($AG390:AP390))),0)</f>
        <v>0</v>
      </c>
      <c r="AR390" s="8">
        <f>IF($O390="Aktif",MAX(0,MIN($AE390,$AD390-SUM($AG390:AQ390))),0)</f>
        <v>0</v>
      </c>
      <c r="AS390" s="8">
        <f>IF($O390="Aktif",MAX(0,MIN($AE390,$AD390-SUM($AG390:AR390))),0)</f>
        <v>0</v>
      </c>
      <c r="AT390" s="8">
        <f>IF($O390="Aktif",MAX(0,MIN($AE390,$AD390-SUM($AG390:AS390))),0)</f>
        <v>0</v>
      </c>
      <c r="AU390" s="8">
        <f>IF($O390="Aktif",MAX(0,MIN($AE390,$AD390-SUM($AG390:AT390))),0)</f>
        <v>0</v>
      </c>
      <c r="AV390" s="8">
        <f>IF($O390="Aktif",MAX(0,MIN($AE390,$AD390-SUM($AG390:AU390))),0)</f>
        <v>0</v>
      </c>
      <c r="AW390" s="8">
        <f t="shared" si="40"/>
        <v>0</v>
      </c>
      <c r="AX390" s="8">
        <f t="shared" si="41"/>
        <v>0</v>
      </c>
    </row>
    <row r="391" spans="1:50" ht="15" customHeight="1" x14ac:dyDescent="0.35">
      <c r="A391" s="102">
        <v>385</v>
      </c>
      <c r="B391" s="102" t="s">
        <v>1326</v>
      </c>
      <c r="C391" s="103">
        <v>19</v>
      </c>
      <c r="D391" s="102" t="s">
        <v>185</v>
      </c>
      <c r="E391" s="102" t="s">
        <v>587</v>
      </c>
      <c r="F391" s="102" t="s">
        <v>1327</v>
      </c>
      <c r="G391" s="102" t="s">
        <v>1328</v>
      </c>
      <c r="H391" s="102" t="s">
        <v>1329</v>
      </c>
      <c r="I391" s="102" t="s">
        <v>63</v>
      </c>
      <c r="J391" s="102"/>
      <c r="K391" s="102" t="s">
        <v>591</v>
      </c>
      <c r="L391" s="102" t="s">
        <v>1333</v>
      </c>
      <c r="M391" s="102" t="s">
        <v>1331</v>
      </c>
      <c r="N391" s="102" t="s">
        <v>1334</v>
      </c>
      <c r="O391" s="102" t="s">
        <v>487</v>
      </c>
      <c r="P391" s="103">
        <v>1</v>
      </c>
      <c r="Q391" s="105">
        <v>-50050000</v>
      </c>
      <c r="R391" s="102"/>
      <c r="S391" s="105">
        <v>0</v>
      </c>
      <c r="T391" s="105">
        <v>-50050000</v>
      </c>
      <c r="U391" s="105">
        <v>0</v>
      </c>
      <c r="V391" s="105">
        <v>0</v>
      </c>
      <c r="W391" s="105">
        <v>0</v>
      </c>
      <c r="X391" s="105">
        <v>0</v>
      </c>
      <c r="Y391" s="105">
        <v>0</v>
      </c>
      <c r="Z391" s="105">
        <v>0</v>
      </c>
      <c r="AA391" s="105">
        <v>0</v>
      </c>
      <c r="AB391" s="105">
        <v>0</v>
      </c>
      <c r="AC391" s="8">
        <f t="shared" ref="AC391:AC454" si="42">T391+SUM(U391:AB391)</f>
        <v>-50050000</v>
      </c>
      <c r="AD391" s="8">
        <f t="shared" ref="AD391:AD454" si="43">Q391-AC391</f>
        <v>0</v>
      </c>
      <c r="AE391" s="8">
        <f t="shared" ref="AE391:AE454" si="44">IF(O391="Aktif",AB391,0)</f>
        <v>0</v>
      </c>
      <c r="AF391" s="106">
        <f t="shared" ref="AF391:AF454" si="45">IF(AE391&gt;0,MAX(0,AD391)/AE391,0)</f>
        <v>0</v>
      </c>
      <c r="AG391" s="8">
        <f t="shared" ref="AG391:AG454" si="46">IF($O391="Aktif",MAX(0,MIN($AE391,$AD391-0)),0)</f>
        <v>0</v>
      </c>
      <c r="AH391" s="8">
        <f>IF($O391="Aktif",MAX(0,MIN($AE391,$AD391-SUM($AG391:AG391))),0)</f>
        <v>0</v>
      </c>
      <c r="AI391" s="8">
        <f>IF($O391="Aktif",MAX(0,MIN($AE391,$AD391-SUM($AG391:AH391))),0)</f>
        <v>0</v>
      </c>
      <c r="AJ391" s="8">
        <f>IF($O391="Aktif",MAX(0,MIN($AE391,$AD391-SUM($AG391:AI391))),0)</f>
        <v>0</v>
      </c>
      <c r="AK391" s="8">
        <f>IF($O391="Aktif",MAX(0,MIN($AE391,$AD391-SUM($AG391:AJ391))),0)</f>
        <v>0</v>
      </c>
      <c r="AL391" s="8">
        <f>IF($O391="Aktif",MAX(0,MIN($AE391,$AD391-SUM($AG391:AK391))),0)</f>
        <v>0</v>
      </c>
      <c r="AM391" s="8">
        <f>IF($O391="Aktif",MAX(0,MIN($AE391,$AD391-SUM($AG391:AL391))),0)</f>
        <v>0</v>
      </c>
      <c r="AN391" s="8">
        <f>IF($O391="Aktif",MAX(0,MIN($AE391,$AD391-SUM($AG391:AM391))),0)</f>
        <v>0</v>
      </c>
      <c r="AO391" s="8">
        <f>IF($O391="Aktif",MAX(0,MIN($AE391,$AD391-SUM($AG391:AN391))),0)</f>
        <v>0</v>
      </c>
      <c r="AP391" s="8">
        <f>IF($O391="Aktif",MAX(0,MIN($AE391,$AD391-SUM($AG391:AO391))),0)</f>
        <v>0</v>
      </c>
      <c r="AQ391" s="8">
        <f>IF($O391="Aktif",MAX(0,MIN($AE391,$AD391-SUM($AG391:AP391))),0)</f>
        <v>0</v>
      </c>
      <c r="AR391" s="8">
        <f>IF($O391="Aktif",MAX(0,MIN($AE391,$AD391-SUM($AG391:AQ391))),0)</f>
        <v>0</v>
      </c>
      <c r="AS391" s="8">
        <f>IF($O391="Aktif",MAX(0,MIN($AE391,$AD391-SUM($AG391:AR391))),0)</f>
        <v>0</v>
      </c>
      <c r="AT391" s="8">
        <f>IF($O391="Aktif",MAX(0,MIN($AE391,$AD391-SUM($AG391:AS391))),0)</f>
        <v>0</v>
      </c>
      <c r="AU391" s="8">
        <f>IF($O391="Aktif",MAX(0,MIN($AE391,$AD391-SUM($AG391:AT391))),0)</f>
        <v>0</v>
      </c>
      <c r="AV391" s="8">
        <f>IF($O391="Aktif",MAX(0,MIN($AE391,$AD391-SUM($AG391:AU391))),0)</f>
        <v>0</v>
      </c>
      <c r="AW391" s="8">
        <f t="shared" ref="AW391:AW454" si="47">SUM(AG391:AV391)</f>
        <v>0</v>
      </c>
      <c r="AX391" s="8">
        <f t="shared" ref="AX391:AX454" si="48">AD391-AW391</f>
        <v>0</v>
      </c>
    </row>
    <row r="392" spans="1:50" ht="15" customHeight="1" x14ac:dyDescent="0.35">
      <c r="A392" s="102">
        <v>386</v>
      </c>
      <c r="B392" s="102" t="s">
        <v>1326</v>
      </c>
      <c r="C392" s="103">
        <v>20</v>
      </c>
      <c r="D392" s="102" t="s">
        <v>185</v>
      </c>
      <c r="E392" s="102" t="s">
        <v>587</v>
      </c>
      <c r="F392" s="102" t="s">
        <v>1327</v>
      </c>
      <c r="G392" s="102" t="s">
        <v>1328</v>
      </c>
      <c r="H392" s="102" t="s">
        <v>1329</v>
      </c>
      <c r="I392" s="102" t="s">
        <v>63</v>
      </c>
      <c r="J392" s="102"/>
      <c r="K392" s="102" t="s">
        <v>591</v>
      </c>
      <c r="L392" s="102" t="s">
        <v>1349</v>
      </c>
      <c r="M392" s="102" t="s">
        <v>1350</v>
      </c>
      <c r="N392" s="102" t="s">
        <v>1351</v>
      </c>
      <c r="O392" s="102" t="s">
        <v>383</v>
      </c>
      <c r="P392" s="103">
        <v>1</v>
      </c>
      <c r="Q392" s="105">
        <v>39353115</v>
      </c>
      <c r="R392" s="103">
        <v>48</v>
      </c>
      <c r="S392" s="105">
        <v>0</v>
      </c>
      <c r="T392" s="105">
        <v>39353115</v>
      </c>
      <c r="U392" s="105">
        <v>0</v>
      </c>
      <c r="V392" s="105">
        <v>0</v>
      </c>
      <c r="W392" s="105">
        <v>0</v>
      </c>
      <c r="X392" s="105">
        <v>0</v>
      </c>
      <c r="Y392" s="105">
        <v>0</v>
      </c>
      <c r="Z392" s="105">
        <v>0</v>
      </c>
      <c r="AA392" s="105">
        <v>0</v>
      </c>
      <c r="AB392" s="105">
        <v>0</v>
      </c>
      <c r="AC392" s="8">
        <f t="shared" si="42"/>
        <v>39353115</v>
      </c>
      <c r="AD392" s="8">
        <f t="shared" si="43"/>
        <v>0</v>
      </c>
      <c r="AE392" s="8">
        <f t="shared" si="44"/>
        <v>0</v>
      </c>
      <c r="AF392" s="106">
        <f t="shared" si="45"/>
        <v>0</v>
      </c>
      <c r="AG392" s="8">
        <f t="shared" si="46"/>
        <v>0</v>
      </c>
      <c r="AH392" s="8">
        <f>IF($O392="Aktif",MAX(0,MIN($AE392,$AD392-SUM($AG392:AG392))),0)</f>
        <v>0</v>
      </c>
      <c r="AI392" s="8">
        <f>IF($O392="Aktif",MAX(0,MIN($AE392,$AD392-SUM($AG392:AH392))),0)</f>
        <v>0</v>
      </c>
      <c r="AJ392" s="8">
        <f>IF($O392="Aktif",MAX(0,MIN($AE392,$AD392-SUM($AG392:AI392))),0)</f>
        <v>0</v>
      </c>
      <c r="AK392" s="8">
        <f>IF($O392="Aktif",MAX(0,MIN($AE392,$AD392-SUM($AG392:AJ392))),0)</f>
        <v>0</v>
      </c>
      <c r="AL392" s="8">
        <f>IF($O392="Aktif",MAX(0,MIN($AE392,$AD392-SUM($AG392:AK392))),0)</f>
        <v>0</v>
      </c>
      <c r="AM392" s="8">
        <f>IF($O392="Aktif",MAX(0,MIN($AE392,$AD392-SUM($AG392:AL392))),0)</f>
        <v>0</v>
      </c>
      <c r="AN392" s="8">
        <f>IF($O392="Aktif",MAX(0,MIN($AE392,$AD392-SUM($AG392:AM392))),0)</f>
        <v>0</v>
      </c>
      <c r="AO392" s="8">
        <f>IF($O392="Aktif",MAX(0,MIN($AE392,$AD392-SUM($AG392:AN392))),0)</f>
        <v>0</v>
      </c>
      <c r="AP392" s="8">
        <f>IF($O392="Aktif",MAX(0,MIN($AE392,$AD392-SUM($AG392:AO392))),0)</f>
        <v>0</v>
      </c>
      <c r="AQ392" s="8">
        <f>IF($O392="Aktif",MAX(0,MIN($AE392,$AD392-SUM($AG392:AP392))),0)</f>
        <v>0</v>
      </c>
      <c r="AR392" s="8">
        <f>IF($O392="Aktif",MAX(0,MIN($AE392,$AD392-SUM($AG392:AQ392))),0)</f>
        <v>0</v>
      </c>
      <c r="AS392" s="8">
        <f>IF($O392="Aktif",MAX(0,MIN($AE392,$AD392-SUM($AG392:AR392))),0)</f>
        <v>0</v>
      </c>
      <c r="AT392" s="8">
        <f>IF($O392="Aktif",MAX(0,MIN($AE392,$AD392-SUM($AG392:AS392))),0)</f>
        <v>0</v>
      </c>
      <c r="AU392" s="8">
        <f>IF($O392="Aktif",MAX(0,MIN($AE392,$AD392-SUM($AG392:AT392))),0)</f>
        <v>0</v>
      </c>
      <c r="AV392" s="8">
        <f>IF($O392="Aktif",MAX(0,MIN($AE392,$AD392-SUM($AG392:AU392))),0)</f>
        <v>0</v>
      </c>
      <c r="AW392" s="8">
        <f t="shared" si="47"/>
        <v>0</v>
      </c>
      <c r="AX392" s="8">
        <f t="shared" si="48"/>
        <v>0</v>
      </c>
    </row>
    <row r="393" spans="1:50" ht="15" customHeight="1" x14ac:dyDescent="0.35">
      <c r="A393" s="102">
        <v>387</v>
      </c>
      <c r="B393" s="102" t="s">
        <v>1326</v>
      </c>
      <c r="C393" s="103">
        <v>21</v>
      </c>
      <c r="D393" s="102" t="s">
        <v>185</v>
      </c>
      <c r="E393" s="102" t="s">
        <v>587</v>
      </c>
      <c r="F393" s="102" t="s">
        <v>1327</v>
      </c>
      <c r="G393" s="102" t="s">
        <v>1328</v>
      </c>
      <c r="H393" s="102" t="s">
        <v>1329</v>
      </c>
      <c r="I393" s="102" t="s">
        <v>63</v>
      </c>
      <c r="J393" s="102"/>
      <c r="K393" s="102" t="s">
        <v>591</v>
      </c>
      <c r="L393" s="102" t="s">
        <v>1333</v>
      </c>
      <c r="M393" s="102" t="s">
        <v>1331</v>
      </c>
      <c r="N393" s="102" t="s">
        <v>1334</v>
      </c>
      <c r="O393" s="102" t="s">
        <v>487</v>
      </c>
      <c r="P393" s="103">
        <v>1</v>
      </c>
      <c r="Q393" s="105">
        <v>-39353115</v>
      </c>
      <c r="R393" s="102"/>
      <c r="S393" s="105">
        <v>0</v>
      </c>
      <c r="T393" s="105">
        <v>-39353115</v>
      </c>
      <c r="U393" s="105">
        <v>0</v>
      </c>
      <c r="V393" s="105">
        <v>0</v>
      </c>
      <c r="W393" s="105">
        <v>0</v>
      </c>
      <c r="X393" s="105">
        <v>0</v>
      </c>
      <c r="Y393" s="105">
        <v>0</v>
      </c>
      <c r="Z393" s="105">
        <v>0</v>
      </c>
      <c r="AA393" s="105">
        <v>0</v>
      </c>
      <c r="AB393" s="105">
        <v>0</v>
      </c>
      <c r="AC393" s="8">
        <f t="shared" si="42"/>
        <v>-39353115</v>
      </c>
      <c r="AD393" s="8">
        <f t="shared" si="43"/>
        <v>0</v>
      </c>
      <c r="AE393" s="8">
        <f t="shared" si="44"/>
        <v>0</v>
      </c>
      <c r="AF393" s="106">
        <f t="shared" si="45"/>
        <v>0</v>
      </c>
      <c r="AG393" s="8">
        <f t="shared" si="46"/>
        <v>0</v>
      </c>
      <c r="AH393" s="8">
        <f>IF($O393="Aktif",MAX(0,MIN($AE393,$AD393-SUM($AG393:AG393))),0)</f>
        <v>0</v>
      </c>
      <c r="AI393" s="8">
        <f>IF($O393="Aktif",MAX(0,MIN($AE393,$AD393-SUM($AG393:AH393))),0)</f>
        <v>0</v>
      </c>
      <c r="AJ393" s="8">
        <f>IF($O393="Aktif",MAX(0,MIN($AE393,$AD393-SUM($AG393:AI393))),0)</f>
        <v>0</v>
      </c>
      <c r="AK393" s="8">
        <f>IF($O393="Aktif",MAX(0,MIN($AE393,$AD393-SUM($AG393:AJ393))),0)</f>
        <v>0</v>
      </c>
      <c r="AL393" s="8">
        <f>IF($O393="Aktif",MAX(0,MIN($AE393,$AD393-SUM($AG393:AK393))),0)</f>
        <v>0</v>
      </c>
      <c r="AM393" s="8">
        <f>IF($O393="Aktif",MAX(0,MIN($AE393,$AD393-SUM($AG393:AL393))),0)</f>
        <v>0</v>
      </c>
      <c r="AN393" s="8">
        <f>IF($O393="Aktif",MAX(0,MIN($AE393,$AD393-SUM($AG393:AM393))),0)</f>
        <v>0</v>
      </c>
      <c r="AO393" s="8">
        <f>IF($O393="Aktif",MAX(0,MIN($AE393,$AD393-SUM($AG393:AN393))),0)</f>
        <v>0</v>
      </c>
      <c r="AP393" s="8">
        <f>IF($O393="Aktif",MAX(0,MIN($AE393,$AD393-SUM($AG393:AO393))),0)</f>
        <v>0</v>
      </c>
      <c r="AQ393" s="8">
        <f>IF($O393="Aktif",MAX(0,MIN($AE393,$AD393-SUM($AG393:AP393))),0)</f>
        <v>0</v>
      </c>
      <c r="AR393" s="8">
        <f>IF($O393="Aktif",MAX(0,MIN($AE393,$AD393-SUM($AG393:AQ393))),0)</f>
        <v>0</v>
      </c>
      <c r="AS393" s="8">
        <f>IF($O393="Aktif",MAX(0,MIN($AE393,$AD393-SUM($AG393:AR393))),0)</f>
        <v>0</v>
      </c>
      <c r="AT393" s="8">
        <f>IF($O393="Aktif",MAX(0,MIN($AE393,$AD393-SUM($AG393:AS393))),0)</f>
        <v>0</v>
      </c>
      <c r="AU393" s="8">
        <f>IF($O393="Aktif",MAX(0,MIN($AE393,$AD393-SUM($AG393:AT393))),0)</f>
        <v>0</v>
      </c>
      <c r="AV393" s="8">
        <f>IF($O393="Aktif",MAX(0,MIN($AE393,$AD393-SUM($AG393:AU393))),0)</f>
        <v>0</v>
      </c>
      <c r="AW393" s="8">
        <f t="shared" si="47"/>
        <v>0</v>
      </c>
      <c r="AX393" s="8">
        <f t="shared" si="48"/>
        <v>0</v>
      </c>
    </row>
    <row r="394" spans="1:50" ht="15" customHeight="1" x14ac:dyDescent="0.35">
      <c r="A394" s="102">
        <v>388</v>
      </c>
      <c r="B394" s="102" t="s">
        <v>1326</v>
      </c>
      <c r="C394" s="103">
        <v>22</v>
      </c>
      <c r="D394" s="102" t="s">
        <v>185</v>
      </c>
      <c r="E394" s="102" t="s">
        <v>587</v>
      </c>
      <c r="F394" s="102" t="s">
        <v>1327</v>
      </c>
      <c r="G394" s="102" t="s">
        <v>1328</v>
      </c>
      <c r="H394" s="102" t="s">
        <v>1329</v>
      </c>
      <c r="I394" s="102" t="s">
        <v>63</v>
      </c>
      <c r="J394" s="102"/>
      <c r="K394" s="102" t="s">
        <v>591</v>
      </c>
      <c r="L394" s="104">
        <v>41859</v>
      </c>
      <c r="M394" s="102" t="s">
        <v>1352</v>
      </c>
      <c r="N394" s="102" t="s">
        <v>1353</v>
      </c>
      <c r="O394" s="102" t="s">
        <v>383</v>
      </c>
      <c r="P394" s="103">
        <v>1</v>
      </c>
      <c r="Q394" s="105">
        <v>2000000</v>
      </c>
      <c r="R394" s="103">
        <v>48</v>
      </c>
      <c r="S394" s="105">
        <v>0</v>
      </c>
      <c r="T394" s="105">
        <v>2000000</v>
      </c>
      <c r="U394" s="105">
        <v>0</v>
      </c>
      <c r="V394" s="105">
        <v>0</v>
      </c>
      <c r="W394" s="105">
        <v>0</v>
      </c>
      <c r="X394" s="105">
        <v>0</v>
      </c>
      <c r="Y394" s="105">
        <v>0</v>
      </c>
      <c r="Z394" s="105">
        <v>0</v>
      </c>
      <c r="AA394" s="105">
        <v>0</v>
      </c>
      <c r="AB394" s="105">
        <v>0</v>
      </c>
      <c r="AC394" s="8">
        <f t="shared" si="42"/>
        <v>2000000</v>
      </c>
      <c r="AD394" s="8">
        <f t="shared" si="43"/>
        <v>0</v>
      </c>
      <c r="AE394" s="8">
        <f t="shared" si="44"/>
        <v>0</v>
      </c>
      <c r="AF394" s="106">
        <f t="shared" si="45"/>
        <v>0</v>
      </c>
      <c r="AG394" s="8">
        <f t="shared" si="46"/>
        <v>0</v>
      </c>
      <c r="AH394" s="8">
        <f>IF($O394="Aktif",MAX(0,MIN($AE394,$AD394-SUM($AG394:AG394))),0)</f>
        <v>0</v>
      </c>
      <c r="AI394" s="8">
        <f>IF($O394="Aktif",MAX(0,MIN($AE394,$AD394-SUM($AG394:AH394))),0)</f>
        <v>0</v>
      </c>
      <c r="AJ394" s="8">
        <f>IF($O394="Aktif",MAX(0,MIN($AE394,$AD394-SUM($AG394:AI394))),0)</f>
        <v>0</v>
      </c>
      <c r="AK394" s="8">
        <f>IF($O394="Aktif",MAX(0,MIN($AE394,$AD394-SUM($AG394:AJ394))),0)</f>
        <v>0</v>
      </c>
      <c r="AL394" s="8">
        <f>IF($O394="Aktif",MAX(0,MIN($AE394,$AD394-SUM($AG394:AK394))),0)</f>
        <v>0</v>
      </c>
      <c r="AM394" s="8">
        <f>IF($O394="Aktif",MAX(0,MIN($AE394,$AD394-SUM($AG394:AL394))),0)</f>
        <v>0</v>
      </c>
      <c r="AN394" s="8">
        <f>IF($O394="Aktif",MAX(0,MIN($AE394,$AD394-SUM($AG394:AM394))),0)</f>
        <v>0</v>
      </c>
      <c r="AO394" s="8">
        <f>IF($O394="Aktif",MAX(0,MIN($AE394,$AD394-SUM($AG394:AN394))),0)</f>
        <v>0</v>
      </c>
      <c r="AP394" s="8">
        <f>IF($O394="Aktif",MAX(0,MIN($AE394,$AD394-SUM($AG394:AO394))),0)</f>
        <v>0</v>
      </c>
      <c r="AQ394" s="8">
        <f>IF($O394="Aktif",MAX(0,MIN($AE394,$AD394-SUM($AG394:AP394))),0)</f>
        <v>0</v>
      </c>
      <c r="AR394" s="8">
        <f>IF($O394="Aktif",MAX(0,MIN($AE394,$AD394-SUM($AG394:AQ394))),0)</f>
        <v>0</v>
      </c>
      <c r="AS394" s="8">
        <f>IF($O394="Aktif",MAX(0,MIN($AE394,$AD394-SUM($AG394:AR394))),0)</f>
        <v>0</v>
      </c>
      <c r="AT394" s="8">
        <f>IF($O394="Aktif",MAX(0,MIN($AE394,$AD394-SUM($AG394:AS394))),0)</f>
        <v>0</v>
      </c>
      <c r="AU394" s="8">
        <f>IF($O394="Aktif",MAX(0,MIN($AE394,$AD394-SUM($AG394:AT394))),0)</f>
        <v>0</v>
      </c>
      <c r="AV394" s="8">
        <f>IF($O394="Aktif",MAX(0,MIN($AE394,$AD394-SUM($AG394:AU394))),0)</f>
        <v>0</v>
      </c>
      <c r="AW394" s="8">
        <f t="shared" si="47"/>
        <v>0</v>
      </c>
      <c r="AX394" s="8">
        <f t="shared" si="48"/>
        <v>0</v>
      </c>
    </row>
    <row r="395" spans="1:50" ht="15" customHeight="1" x14ac:dyDescent="0.35">
      <c r="A395" s="102">
        <v>389</v>
      </c>
      <c r="B395" s="102" t="s">
        <v>1326</v>
      </c>
      <c r="C395" s="103">
        <v>23</v>
      </c>
      <c r="D395" s="102" t="s">
        <v>185</v>
      </c>
      <c r="E395" s="102" t="s">
        <v>587</v>
      </c>
      <c r="F395" s="102" t="s">
        <v>1327</v>
      </c>
      <c r="G395" s="102" t="s">
        <v>1328</v>
      </c>
      <c r="H395" s="102" t="s">
        <v>1329</v>
      </c>
      <c r="I395" s="102" t="s">
        <v>63</v>
      </c>
      <c r="J395" s="102"/>
      <c r="K395" s="102" t="s">
        <v>591</v>
      </c>
      <c r="L395" s="104">
        <v>42055</v>
      </c>
      <c r="M395" s="102" t="s">
        <v>1354</v>
      </c>
      <c r="N395" s="102" t="s">
        <v>1355</v>
      </c>
      <c r="O395" s="102" t="s">
        <v>383</v>
      </c>
      <c r="P395" s="103">
        <v>1</v>
      </c>
      <c r="Q395" s="105">
        <v>-2000000</v>
      </c>
      <c r="R395" s="102"/>
      <c r="S395" s="105">
        <v>0</v>
      </c>
      <c r="T395" s="105">
        <v>-2000000</v>
      </c>
      <c r="U395" s="105">
        <v>0</v>
      </c>
      <c r="V395" s="105">
        <v>0</v>
      </c>
      <c r="W395" s="105">
        <v>0</v>
      </c>
      <c r="X395" s="105">
        <v>0</v>
      </c>
      <c r="Y395" s="105">
        <v>0</v>
      </c>
      <c r="Z395" s="105">
        <v>0</v>
      </c>
      <c r="AA395" s="105">
        <v>0</v>
      </c>
      <c r="AB395" s="105">
        <v>0</v>
      </c>
      <c r="AC395" s="8">
        <f t="shared" si="42"/>
        <v>-2000000</v>
      </c>
      <c r="AD395" s="8">
        <f t="shared" si="43"/>
        <v>0</v>
      </c>
      <c r="AE395" s="8">
        <f t="shared" si="44"/>
        <v>0</v>
      </c>
      <c r="AF395" s="106">
        <f t="shared" si="45"/>
        <v>0</v>
      </c>
      <c r="AG395" s="8">
        <f t="shared" si="46"/>
        <v>0</v>
      </c>
      <c r="AH395" s="8">
        <f>IF($O395="Aktif",MAX(0,MIN($AE395,$AD395-SUM($AG395:AG395))),0)</f>
        <v>0</v>
      </c>
      <c r="AI395" s="8">
        <f>IF($O395="Aktif",MAX(0,MIN($AE395,$AD395-SUM($AG395:AH395))),0)</f>
        <v>0</v>
      </c>
      <c r="AJ395" s="8">
        <f>IF($O395="Aktif",MAX(0,MIN($AE395,$AD395-SUM($AG395:AI395))),0)</f>
        <v>0</v>
      </c>
      <c r="AK395" s="8">
        <f>IF($O395="Aktif",MAX(0,MIN($AE395,$AD395-SUM($AG395:AJ395))),0)</f>
        <v>0</v>
      </c>
      <c r="AL395" s="8">
        <f>IF($O395="Aktif",MAX(0,MIN($AE395,$AD395-SUM($AG395:AK395))),0)</f>
        <v>0</v>
      </c>
      <c r="AM395" s="8">
        <f>IF($O395="Aktif",MAX(0,MIN($AE395,$AD395-SUM($AG395:AL395))),0)</f>
        <v>0</v>
      </c>
      <c r="AN395" s="8">
        <f>IF($O395="Aktif",MAX(0,MIN($AE395,$AD395-SUM($AG395:AM395))),0)</f>
        <v>0</v>
      </c>
      <c r="AO395" s="8">
        <f>IF($O395="Aktif",MAX(0,MIN($AE395,$AD395-SUM($AG395:AN395))),0)</f>
        <v>0</v>
      </c>
      <c r="AP395" s="8">
        <f>IF($O395="Aktif",MAX(0,MIN($AE395,$AD395-SUM($AG395:AO395))),0)</f>
        <v>0</v>
      </c>
      <c r="AQ395" s="8">
        <f>IF($O395="Aktif",MAX(0,MIN($AE395,$AD395-SUM($AG395:AP395))),0)</f>
        <v>0</v>
      </c>
      <c r="AR395" s="8">
        <f>IF($O395="Aktif",MAX(0,MIN($AE395,$AD395-SUM($AG395:AQ395))),0)</f>
        <v>0</v>
      </c>
      <c r="AS395" s="8">
        <f>IF($O395="Aktif",MAX(0,MIN($AE395,$AD395-SUM($AG395:AR395))),0)</f>
        <v>0</v>
      </c>
      <c r="AT395" s="8">
        <f>IF($O395="Aktif",MAX(0,MIN($AE395,$AD395-SUM($AG395:AS395))),0)</f>
        <v>0</v>
      </c>
      <c r="AU395" s="8">
        <f>IF($O395="Aktif",MAX(0,MIN($AE395,$AD395-SUM($AG395:AT395))),0)</f>
        <v>0</v>
      </c>
      <c r="AV395" s="8">
        <f>IF($O395="Aktif",MAX(0,MIN($AE395,$AD395-SUM($AG395:AU395))),0)</f>
        <v>0</v>
      </c>
      <c r="AW395" s="8">
        <f t="shared" si="47"/>
        <v>0</v>
      </c>
      <c r="AX395" s="8">
        <f t="shared" si="48"/>
        <v>0</v>
      </c>
    </row>
    <row r="396" spans="1:50" ht="15" customHeight="1" x14ac:dyDescent="0.35">
      <c r="A396" s="102">
        <v>390</v>
      </c>
      <c r="B396" s="102" t="s">
        <v>1326</v>
      </c>
      <c r="C396" s="103">
        <v>24</v>
      </c>
      <c r="D396" s="102" t="s">
        <v>185</v>
      </c>
      <c r="E396" s="102" t="s">
        <v>587</v>
      </c>
      <c r="F396" s="102" t="s">
        <v>1327</v>
      </c>
      <c r="G396" s="102" t="s">
        <v>1328</v>
      </c>
      <c r="H396" s="102" t="s">
        <v>1329</v>
      </c>
      <c r="I396" s="102" t="s">
        <v>63</v>
      </c>
      <c r="J396" s="102"/>
      <c r="K396" s="102" t="s">
        <v>591</v>
      </c>
      <c r="L396" s="104">
        <v>41772</v>
      </c>
      <c r="M396" s="102" t="s">
        <v>1356</v>
      </c>
      <c r="N396" s="102" t="s">
        <v>1356</v>
      </c>
      <c r="O396" s="102" t="s">
        <v>383</v>
      </c>
      <c r="P396" s="103">
        <v>1</v>
      </c>
      <c r="Q396" s="105">
        <v>13000000</v>
      </c>
      <c r="R396" s="103">
        <v>48</v>
      </c>
      <c r="S396" s="105">
        <v>0</v>
      </c>
      <c r="T396" s="105">
        <v>13000000</v>
      </c>
      <c r="U396" s="105">
        <v>0</v>
      </c>
      <c r="V396" s="105">
        <v>0</v>
      </c>
      <c r="W396" s="105">
        <v>0</v>
      </c>
      <c r="X396" s="105">
        <v>0</v>
      </c>
      <c r="Y396" s="105">
        <v>0</v>
      </c>
      <c r="Z396" s="105">
        <v>0</v>
      </c>
      <c r="AA396" s="105">
        <v>0</v>
      </c>
      <c r="AB396" s="105">
        <v>0</v>
      </c>
      <c r="AC396" s="8">
        <f t="shared" si="42"/>
        <v>13000000</v>
      </c>
      <c r="AD396" s="8">
        <f t="shared" si="43"/>
        <v>0</v>
      </c>
      <c r="AE396" s="8">
        <f t="shared" si="44"/>
        <v>0</v>
      </c>
      <c r="AF396" s="106">
        <f t="shared" si="45"/>
        <v>0</v>
      </c>
      <c r="AG396" s="8">
        <f t="shared" si="46"/>
        <v>0</v>
      </c>
      <c r="AH396" s="8">
        <f>IF($O396="Aktif",MAX(0,MIN($AE396,$AD396-SUM($AG396:AG396))),0)</f>
        <v>0</v>
      </c>
      <c r="AI396" s="8">
        <f>IF($O396="Aktif",MAX(0,MIN($AE396,$AD396-SUM($AG396:AH396))),0)</f>
        <v>0</v>
      </c>
      <c r="AJ396" s="8">
        <f>IF($O396="Aktif",MAX(0,MIN($AE396,$AD396-SUM($AG396:AI396))),0)</f>
        <v>0</v>
      </c>
      <c r="AK396" s="8">
        <f>IF($O396="Aktif",MAX(0,MIN($AE396,$AD396-SUM($AG396:AJ396))),0)</f>
        <v>0</v>
      </c>
      <c r="AL396" s="8">
        <f>IF($O396="Aktif",MAX(0,MIN($AE396,$AD396-SUM($AG396:AK396))),0)</f>
        <v>0</v>
      </c>
      <c r="AM396" s="8">
        <f>IF($O396="Aktif",MAX(0,MIN($AE396,$AD396-SUM($AG396:AL396))),0)</f>
        <v>0</v>
      </c>
      <c r="AN396" s="8">
        <f>IF($O396="Aktif",MAX(0,MIN($AE396,$AD396-SUM($AG396:AM396))),0)</f>
        <v>0</v>
      </c>
      <c r="AO396" s="8">
        <f>IF($O396="Aktif",MAX(0,MIN($AE396,$AD396-SUM($AG396:AN396))),0)</f>
        <v>0</v>
      </c>
      <c r="AP396" s="8">
        <f>IF($O396="Aktif",MAX(0,MIN($AE396,$AD396-SUM($AG396:AO396))),0)</f>
        <v>0</v>
      </c>
      <c r="AQ396" s="8">
        <f>IF($O396="Aktif",MAX(0,MIN($AE396,$AD396-SUM($AG396:AP396))),0)</f>
        <v>0</v>
      </c>
      <c r="AR396" s="8">
        <f>IF($O396="Aktif",MAX(0,MIN($AE396,$AD396-SUM($AG396:AQ396))),0)</f>
        <v>0</v>
      </c>
      <c r="AS396" s="8">
        <f>IF($O396="Aktif",MAX(0,MIN($AE396,$AD396-SUM($AG396:AR396))),0)</f>
        <v>0</v>
      </c>
      <c r="AT396" s="8">
        <f>IF($O396="Aktif",MAX(0,MIN($AE396,$AD396-SUM($AG396:AS396))),0)</f>
        <v>0</v>
      </c>
      <c r="AU396" s="8">
        <f>IF($O396="Aktif",MAX(0,MIN($AE396,$AD396-SUM($AG396:AT396))),0)</f>
        <v>0</v>
      </c>
      <c r="AV396" s="8">
        <f>IF($O396="Aktif",MAX(0,MIN($AE396,$AD396-SUM($AG396:AU396))),0)</f>
        <v>0</v>
      </c>
      <c r="AW396" s="8">
        <f t="shared" si="47"/>
        <v>0</v>
      </c>
      <c r="AX396" s="8">
        <f t="shared" si="48"/>
        <v>0</v>
      </c>
    </row>
    <row r="397" spans="1:50" ht="15" customHeight="1" x14ac:dyDescent="0.35">
      <c r="A397" s="102">
        <v>391</v>
      </c>
      <c r="B397" s="102" t="s">
        <v>1326</v>
      </c>
      <c r="C397" s="103">
        <v>25</v>
      </c>
      <c r="D397" s="102" t="s">
        <v>185</v>
      </c>
      <c r="E397" s="102" t="s">
        <v>587</v>
      </c>
      <c r="F397" s="102" t="s">
        <v>1327</v>
      </c>
      <c r="G397" s="102" t="s">
        <v>1328</v>
      </c>
      <c r="H397" s="102" t="s">
        <v>1329</v>
      </c>
      <c r="I397" s="102" t="s">
        <v>63</v>
      </c>
      <c r="J397" s="102"/>
      <c r="K397" s="102" t="s">
        <v>591</v>
      </c>
      <c r="L397" s="104">
        <v>42055</v>
      </c>
      <c r="M397" s="102" t="s">
        <v>1357</v>
      </c>
      <c r="N397" s="102" t="s">
        <v>1357</v>
      </c>
      <c r="O397" s="102" t="s">
        <v>383</v>
      </c>
      <c r="P397" s="103">
        <v>1</v>
      </c>
      <c r="Q397" s="105">
        <v>-13000000</v>
      </c>
      <c r="R397" s="102"/>
      <c r="S397" s="105">
        <v>0</v>
      </c>
      <c r="T397" s="105">
        <v>-13000000</v>
      </c>
      <c r="U397" s="105">
        <v>0</v>
      </c>
      <c r="V397" s="105">
        <v>0</v>
      </c>
      <c r="W397" s="105">
        <v>0</v>
      </c>
      <c r="X397" s="105">
        <v>0</v>
      </c>
      <c r="Y397" s="105">
        <v>0</v>
      </c>
      <c r="Z397" s="105">
        <v>0</v>
      </c>
      <c r="AA397" s="105">
        <v>0</v>
      </c>
      <c r="AB397" s="105">
        <v>0</v>
      </c>
      <c r="AC397" s="8">
        <f t="shared" si="42"/>
        <v>-13000000</v>
      </c>
      <c r="AD397" s="8">
        <f t="shared" si="43"/>
        <v>0</v>
      </c>
      <c r="AE397" s="8">
        <f t="shared" si="44"/>
        <v>0</v>
      </c>
      <c r="AF397" s="106">
        <f t="shared" si="45"/>
        <v>0</v>
      </c>
      <c r="AG397" s="8">
        <f t="shared" si="46"/>
        <v>0</v>
      </c>
      <c r="AH397" s="8">
        <f>IF($O397="Aktif",MAX(0,MIN($AE397,$AD397-SUM($AG397:AG397))),0)</f>
        <v>0</v>
      </c>
      <c r="AI397" s="8">
        <f>IF($O397="Aktif",MAX(0,MIN($AE397,$AD397-SUM($AG397:AH397))),0)</f>
        <v>0</v>
      </c>
      <c r="AJ397" s="8">
        <f>IF($O397="Aktif",MAX(0,MIN($AE397,$AD397-SUM($AG397:AI397))),0)</f>
        <v>0</v>
      </c>
      <c r="AK397" s="8">
        <f>IF($O397="Aktif",MAX(0,MIN($AE397,$AD397-SUM($AG397:AJ397))),0)</f>
        <v>0</v>
      </c>
      <c r="AL397" s="8">
        <f>IF($O397="Aktif",MAX(0,MIN($AE397,$AD397-SUM($AG397:AK397))),0)</f>
        <v>0</v>
      </c>
      <c r="AM397" s="8">
        <f>IF($O397="Aktif",MAX(0,MIN($AE397,$AD397-SUM($AG397:AL397))),0)</f>
        <v>0</v>
      </c>
      <c r="AN397" s="8">
        <f>IF($O397="Aktif",MAX(0,MIN($AE397,$AD397-SUM($AG397:AM397))),0)</f>
        <v>0</v>
      </c>
      <c r="AO397" s="8">
        <f>IF($O397="Aktif",MAX(0,MIN($AE397,$AD397-SUM($AG397:AN397))),0)</f>
        <v>0</v>
      </c>
      <c r="AP397" s="8">
        <f>IF($O397="Aktif",MAX(0,MIN($AE397,$AD397-SUM($AG397:AO397))),0)</f>
        <v>0</v>
      </c>
      <c r="AQ397" s="8">
        <f>IF($O397="Aktif",MAX(0,MIN($AE397,$AD397-SUM($AG397:AP397))),0)</f>
        <v>0</v>
      </c>
      <c r="AR397" s="8">
        <f>IF($O397="Aktif",MAX(0,MIN($AE397,$AD397-SUM($AG397:AQ397))),0)</f>
        <v>0</v>
      </c>
      <c r="AS397" s="8">
        <f>IF($O397="Aktif",MAX(0,MIN($AE397,$AD397-SUM($AG397:AR397))),0)</f>
        <v>0</v>
      </c>
      <c r="AT397" s="8">
        <f>IF($O397="Aktif",MAX(0,MIN($AE397,$AD397-SUM($AG397:AS397))),0)</f>
        <v>0</v>
      </c>
      <c r="AU397" s="8">
        <f>IF($O397="Aktif",MAX(0,MIN($AE397,$AD397-SUM($AG397:AT397))),0)</f>
        <v>0</v>
      </c>
      <c r="AV397" s="8">
        <f>IF($O397="Aktif",MAX(0,MIN($AE397,$AD397-SUM($AG397:AU397))),0)</f>
        <v>0</v>
      </c>
      <c r="AW397" s="8">
        <f t="shared" si="47"/>
        <v>0</v>
      </c>
      <c r="AX397" s="8">
        <f t="shared" si="48"/>
        <v>0</v>
      </c>
    </row>
    <row r="398" spans="1:50" ht="15" customHeight="1" x14ac:dyDescent="0.35">
      <c r="A398" s="102">
        <v>392</v>
      </c>
      <c r="B398" s="102" t="s">
        <v>1326</v>
      </c>
      <c r="C398" s="103">
        <v>26</v>
      </c>
      <c r="D398" s="102" t="s">
        <v>185</v>
      </c>
      <c r="E398" s="102" t="s">
        <v>587</v>
      </c>
      <c r="F398" s="102" t="s">
        <v>1327</v>
      </c>
      <c r="G398" s="102" t="s">
        <v>1328</v>
      </c>
      <c r="H398" s="102" t="s">
        <v>1329</v>
      </c>
      <c r="I398" s="102" t="s">
        <v>63</v>
      </c>
      <c r="J398" s="102"/>
      <c r="K398" s="102" t="s">
        <v>591</v>
      </c>
      <c r="L398" s="104">
        <v>42460</v>
      </c>
      <c r="M398" s="102" t="s">
        <v>1358</v>
      </c>
      <c r="N398" s="102" t="s">
        <v>1359</v>
      </c>
      <c r="O398" s="102" t="s">
        <v>383</v>
      </c>
      <c r="P398" s="103">
        <v>1</v>
      </c>
      <c r="Q398" s="105">
        <v>0</v>
      </c>
      <c r="R398" s="103">
        <v>48</v>
      </c>
      <c r="S398" s="105">
        <v>0</v>
      </c>
      <c r="T398" s="105">
        <v>0</v>
      </c>
      <c r="U398" s="105">
        <v>0</v>
      </c>
      <c r="V398" s="105">
        <v>0</v>
      </c>
      <c r="W398" s="105">
        <v>0</v>
      </c>
      <c r="X398" s="105">
        <v>0</v>
      </c>
      <c r="Y398" s="105">
        <v>0</v>
      </c>
      <c r="Z398" s="105">
        <v>0</v>
      </c>
      <c r="AA398" s="105">
        <v>0</v>
      </c>
      <c r="AB398" s="105">
        <v>0</v>
      </c>
      <c r="AC398" s="8">
        <f t="shared" si="42"/>
        <v>0</v>
      </c>
      <c r="AD398" s="8">
        <f t="shared" si="43"/>
        <v>0</v>
      </c>
      <c r="AE398" s="8">
        <f t="shared" si="44"/>
        <v>0</v>
      </c>
      <c r="AF398" s="106">
        <f t="shared" si="45"/>
        <v>0</v>
      </c>
      <c r="AG398" s="8">
        <f t="shared" si="46"/>
        <v>0</v>
      </c>
      <c r="AH398" s="8">
        <f>IF($O398="Aktif",MAX(0,MIN($AE398,$AD398-SUM($AG398:AG398))),0)</f>
        <v>0</v>
      </c>
      <c r="AI398" s="8">
        <f>IF($O398="Aktif",MAX(0,MIN($AE398,$AD398-SUM($AG398:AH398))),0)</f>
        <v>0</v>
      </c>
      <c r="AJ398" s="8">
        <f>IF($O398="Aktif",MAX(0,MIN($AE398,$AD398-SUM($AG398:AI398))),0)</f>
        <v>0</v>
      </c>
      <c r="AK398" s="8">
        <f>IF($O398="Aktif",MAX(0,MIN($AE398,$AD398-SUM($AG398:AJ398))),0)</f>
        <v>0</v>
      </c>
      <c r="AL398" s="8">
        <f>IF($O398="Aktif",MAX(0,MIN($AE398,$AD398-SUM($AG398:AK398))),0)</f>
        <v>0</v>
      </c>
      <c r="AM398" s="8">
        <f>IF($O398="Aktif",MAX(0,MIN($AE398,$AD398-SUM($AG398:AL398))),0)</f>
        <v>0</v>
      </c>
      <c r="AN398" s="8">
        <f>IF($O398="Aktif",MAX(0,MIN($AE398,$AD398-SUM($AG398:AM398))),0)</f>
        <v>0</v>
      </c>
      <c r="AO398" s="8">
        <f>IF($O398="Aktif",MAX(0,MIN($AE398,$AD398-SUM($AG398:AN398))),0)</f>
        <v>0</v>
      </c>
      <c r="AP398" s="8">
        <f>IF($O398="Aktif",MAX(0,MIN($AE398,$AD398-SUM($AG398:AO398))),0)</f>
        <v>0</v>
      </c>
      <c r="AQ398" s="8">
        <f>IF($O398="Aktif",MAX(0,MIN($AE398,$AD398-SUM($AG398:AP398))),0)</f>
        <v>0</v>
      </c>
      <c r="AR398" s="8">
        <f>IF($O398="Aktif",MAX(0,MIN($AE398,$AD398-SUM($AG398:AQ398))),0)</f>
        <v>0</v>
      </c>
      <c r="AS398" s="8">
        <f>IF($O398="Aktif",MAX(0,MIN($AE398,$AD398-SUM($AG398:AR398))),0)</f>
        <v>0</v>
      </c>
      <c r="AT398" s="8">
        <f>IF($O398="Aktif",MAX(0,MIN($AE398,$AD398-SUM($AG398:AS398))),0)</f>
        <v>0</v>
      </c>
      <c r="AU398" s="8">
        <f>IF($O398="Aktif",MAX(0,MIN($AE398,$AD398-SUM($AG398:AT398))),0)</f>
        <v>0</v>
      </c>
      <c r="AV398" s="8">
        <f>IF($O398="Aktif",MAX(0,MIN($AE398,$AD398-SUM($AG398:AU398))),0)</f>
        <v>0</v>
      </c>
      <c r="AW398" s="8">
        <f t="shared" si="47"/>
        <v>0</v>
      </c>
      <c r="AX398" s="8">
        <f t="shared" si="48"/>
        <v>0</v>
      </c>
    </row>
    <row r="399" spans="1:50" ht="15" customHeight="1" x14ac:dyDescent="0.35">
      <c r="A399" s="102">
        <v>393</v>
      </c>
      <c r="B399" s="102" t="s">
        <v>1326</v>
      </c>
      <c r="C399" s="103">
        <v>27</v>
      </c>
      <c r="D399" s="102" t="s">
        <v>185</v>
      </c>
      <c r="E399" s="102" t="s">
        <v>587</v>
      </c>
      <c r="F399" s="102" t="s">
        <v>1327</v>
      </c>
      <c r="G399" s="102" t="s">
        <v>1328</v>
      </c>
      <c r="H399" s="102" t="s">
        <v>1329</v>
      </c>
      <c r="I399" s="102" t="s">
        <v>63</v>
      </c>
      <c r="J399" s="102"/>
      <c r="K399" s="102" t="s">
        <v>591</v>
      </c>
      <c r="L399" s="104">
        <v>42460</v>
      </c>
      <c r="M399" s="102" t="s">
        <v>1360</v>
      </c>
      <c r="N399" s="102" t="s">
        <v>1361</v>
      </c>
      <c r="O399" s="102" t="s">
        <v>383</v>
      </c>
      <c r="P399" s="103">
        <v>1</v>
      </c>
      <c r="Q399" s="105">
        <v>0</v>
      </c>
      <c r="R399" s="103">
        <v>48</v>
      </c>
      <c r="S399" s="105">
        <v>0</v>
      </c>
      <c r="T399" s="105">
        <v>0</v>
      </c>
      <c r="U399" s="105">
        <v>0</v>
      </c>
      <c r="V399" s="105">
        <v>0</v>
      </c>
      <c r="W399" s="105">
        <v>0</v>
      </c>
      <c r="X399" s="105">
        <v>0</v>
      </c>
      <c r="Y399" s="105">
        <v>0</v>
      </c>
      <c r="Z399" s="105">
        <v>0</v>
      </c>
      <c r="AA399" s="105">
        <v>0</v>
      </c>
      <c r="AB399" s="105">
        <v>0</v>
      </c>
      <c r="AC399" s="8">
        <f t="shared" si="42"/>
        <v>0</v>
      </c>
      <c r="AD399" s="8">
        <f t="shared" si="43"/>
        <v>0</v>
      </c>
      <c r="AE399" s="8">
        <f t="shared" si="44"/>
        <v>0</v>
      </c>
      <c r="AF399" s="106">
        <f t="shared" si="45"/>
        <v>0</v>
      </c>
      <c r="AG399" s="8">
        <f t="shared" si="46"/>
        <v>0</v>
      </c>
      <c r="AH399" s="8">
        <f>IF($O399="Aktif",MAX(0,MIN($AE399,$AD399-SUM($AG399:AG399))),0)</f>
        <v>0</v>
      </c>
      <c r="AI399" s="8">
        <f>IF($O399="Aktif",MAX(0,MIN($AE399,$AD399-SUM($AG399:AH399))),0)</f>
        <v>0</v>
      </c>
      <c r="AJ399" s="8">
        <f>IF($O399="Aktif",MAX(0,MIN($AE399,$AD399-SUM($AG399:AI399))),0)</f>
        <v>0</v>
      </c>
      <c r="AK399" s="8">
        <f>IF($O399="Aktif",MAX(0,MIN($AE399,$AD399-SUM($AG399:AJ399))),0)</f>
        <v>0</v>
      </c>
      <c r="AL399" s="8">
        <f>IF($O399="Aktif",MAX(0,MIN($AE399,$AD399-SUM($AG399:AK399))),0)</f>
        <v>0</v>
      </c>
      <c r="AM399" s="8">
        <f>IF($O399="Aktif",MAX(0,MIN($AE399,$AD399-SUM($AG399:AL399))),0)</f>
        <v>0</v>
      </c>
      <c r="AN399" s="8">
        <f>IF($O399="Aktif",MAX(0,MIN($AE399,$AD399-SUM($AG399:AM399))),0)</f>
        <v>0</v>
      </c>
      <c r="AO399" s="8">
        <f>IF($O399="Aktif",MAX(0,MIN($AE399,$AD399-SUM($AG399:AN399))),0)</f>
        <v>0</v>
      </c>
      <c r="AP399" s="8">
        <f>IF($O399="Aktif",MAX(0,MIN($AE399,$AD399-SUM($AG399:AO399))),0)</f>
        <v>0</v>
      </c>
      <c r="AQ399" s="8">
        <f>IF($O399="Aktif",MAX(0,MIN($AE399,$AD399-SUM($AG399:AP399))),0)</f>
        <v>0</v>
      </c>
      <c r="AR399" s="8">
        <f>IF($O399="Aktif",MAX(0,MIN($AE399,$AD399-SUM($AG399:AQ399))),0)</f>
        <v>0</v>
      </c>
      <c r="AS399" s="8">
        <f>IF($O399="Aktif",MAX(0,MIN($AE399,$AD399-SUM($AG399:AR399))),0)</f>
        <v>0</v>
      </c>
      <c r="AT399" s="8">
        <f>IF($O399="Aktif",MAX(0,MIN($AE399,$AD399-SUM($AG399:AS399))),0)</f>
        <v>0</v>
      </c>
      <c r="AU399" s="8">
        <f>IF($O399="Aktif",MAX(0,MIN($AE399,$AD399-SUM($AG399:AT399))),0)</f>
        <v>0</v>
      </c>
      <c r="AV399" s="8">
        <f>IF($O399="Aktif",MAX(0,MIN($AE399,$AD399-SUM($AG399:AU399))),0)</f>
        <v>0</v>
      </c>
      <c r="AW399" s="8">
        <f t="shared" si="47"/>
        <v>0</v>
      </c>
      <c r="AX399" s="8">
        <f t="shared" si="48"/>
        <v>0</v>
      </c>
    </row>
    <row r="400" spans="1:50" ht="15" customHeight="1" x14ac:dyDescent="0.35">
      <c r="A400" s="102">
        <v>394</v>
      </c>
      <c r="B400" s="102" t="s">
        <v>1326</v>
      </c>
      <c r="C400" s="103">
        <v>28</v>
      </c>
      <c r="D400" s="102" t="s">
        <v>185</v>
      </c>
      <c r="E400" s="102" t="s">
        <v>587</v>
      </c>
      <c r="F400" s="102" t="s">
        <v>1327</v>
      </c>
      <c r="G400" s="102" t="s">
        <v>1328</v>
      </c>
      <c r="H400" s="102" t="s">
        <v>1329</v>
      </c>
      <c r="I400" s="102" t="s">
        <v>63</v>
      </c>
      <c r="J400" s="102"/>
      <c r="K400" s="102" t="s">
        <v>591</v>
      </c>
      <c r="L400" s="104">
        <v>42490</v>
      </c>
      <c r="M400" s="102" t="s">
        <v>1360</v>
      </c>
      <c r="N400" s="102" t="s">
        <v>1361</v>
      </c>
      <c r="O400" s="102" t="s">
        <v>383</v>
      </c>
      <c r="P400" s="103">
        <v>1</v>
      </c>
      <c r="Q400" s="105">
        <v>0</v>
      </c>
      <c r="R400" s="103">
        <v>48</v>
      </c>
      <c r="S400" s="105">
        <v>0</v>
      </c>
      <c r="T400" s="105">
        <v>0</v>
      </c>
      <c r="U400" s="105">
        <v>0</v>
      </c>
      <c r="V400" s="105">
        <v>0</v>
      </c>
      <c r="W400" s="105">
        <v>0</v>
      </c>
      <c r="X400" s="105">
        <v>0</v>
      </c>
      <c r="Y400" s="105">
        <v>0</v>
      </c>
      <c r="Z400" s="105">
        <v>0</v>
      </c>
      <c r="AA400" s="105">
        <v>0</v>
      </c>
      <c r="AB400" s="105">
        <v>0</v>
      </c>
      <c r="AC400" s="8">
        <f t="shared" si="42"/>
        <v>0</v>
      </c>
      <c r="AD400" s="8">
        <f t="shared" si="43"/>
        <v>0</v>
      </c>
      <c r="AE400" s="8">
        <f t="shared" si="44"/>
        <v>0</v>
      </c>
      <c r="AF400" s="106">
        <f t="shared" si="45"/>
        <v>0</v>
      </c>
      <c r="AG400" s="8">
        <f t="shared" si="46"/>
        <v>0</v>
      </c>
      <c r="AH400" s="8">
        <f>IF($O400="Aktif",MAX(0,MIN($AE400,$AD400-SUM($AG400:AG400))),0)</f>
        <v>0</v>
      </c>
      <c r="AI400" s="8">
        <f>IF($O400="Aktif",MAX(0,MIN($AE400,$AD400-SUM($AG400:AH400))),0)</f>
        <v>0</v>
      </c>
      <c r="AJ400" s="8">
        <f>IF($O400="Aktif",MAX(0,MIN($AE400,$AD400-SUM($AG400:AI400))),0)</f>
        <v>0</v>
      </c>
      <c r="AK400" s="8">
        <f>IF($O400="Aktif",MAX(0,MIN($AE400,$AD400-SUM($AG400:AJ400))),0)</f>
        <v>0</v>
      </c>
      <c r="AL400" s="8">
        <f>IF($O400="Aktif",MAX(0,MIN($AE400,$AD400-SUM($AG400:AK400))),0)</f>
        <v>0</v>
      </c>
      <c r="AM400" s="8">
        <f>IF($O400="Aktif",MAX(0,MIN($AE400,$AD400-SUM($AG400:AL400))),0)</f>
        <v>0</v>
      </c>
      <c r="AN400" s="8">
        <f>IF($O400="Aktif",MAX(0,MIN($AE400,$AD400-SUM($AG400:AM400))),0)</f>
        <v>0</v>
      </c>
      <c r="AO400" s="8">
        <f>IF($O400="Aktif",MAX(0,MIN($AE400,$AD400-SUM($AG400:AN400))),0)</f>
        <v>0</v>
      </c>
      <c r="AP400" s="8">
        <f>IF($O400="Aktif",MAX(0,MIN($AE400,$AD400-SUM($AG400:AO400))),0)</f>
        <v>0</v>
      </c>
      <c r="AQ400" s="8">
        <f>IF($O400="Aktif",MAX(0,MIN($AE400,$AD400-SUM($AG400:AP400))),0)</f>
        <v>0</v>
      </c>
      <c r="AR400" s="8">
        <f>IF($O400="Aktif",MAX(0,MIN($AE400,$AD400-SUM($AG400:AQ400))),0)</f>
        <v>0</v>
      </c>
      <c r="AS400" s="8">
        <f>IF($O400="Aktif",MAX(0,MIN($AE400,$AD400-SUM($AG400:AR400))),0)</f>
        <v>0</v>
      </c>
      <c r="AT400" s="8">
        <f>IF($O400="Aktif",MAX(0,MIN($AE400,$AD400-SUM($AG400:AS400))),0)</f>
        <v>0</v>
      </c>
      <c r="AU400" s="8">
        <f>IF($O400="Aktif",MAX(0,MIN($AE400,$AD400-SUM($AG400:AT400))),0)</f>
        <v>0</v>
      </c>
      <c r="AV400" s="8">
        <f>IF($O400="Aktif",MAX(0,MIN($AE400,$AD400-SUM($AG400:AU400))),0)</f>
        <v>0</v>
      </c>
      <c r="AW400" s="8">
        <f t="shared" si="47"/>
        <v>0</v>
      </c>
      <c r="AX400" s="8">
        <f t="shared" si="48"/>
        <v>0</v>
      </c>
    </row>
    <row r="401" spans="1:50" ht="15" customHeight="1" x14ac:dyDescent="0.35">
      <c r="A401" s="102">
        <v>395</v>
      </c>
      <c r="B401" s="102" t="s">
        <v>1326</v>
      </c>
      <c r="C401" s="103">
        <v>29</v>
      </c>
      <c r="D401" s="102" t="s">
        <v>185</v>
      </c>
      <c r="E401" s="102" t="s">
        <v>587</v>
      </c>
      <c r="F401" s="102" t="s">
        <v>1327</v>
      </c>
      <c r="G401" s="102" t="s">
        <v>1328</v>
      </c>
      <c r="H401" s="102" t="s">
        <v>1329</v>
      </c>
      <c r="I401" s="102" t="s">
        <v>63</v>
      </c>
      <c r="J401" s="102"/>
      <c r="K401" s="102" t="s">
        <v>591</v>
      </c>
      <c r="L401" s="104">
        <v>42490</v>
      </c>
      <c r="M401" s="102" t="s">
        <v>1358</v>
      </c>
      <c r="N401" s="102" t="s">
        <v>1359</v>
      </c>
      <c r="O401" s="102" t="s">
        <v>383</v>
      </c>
      <c r="P401" s="103">
        <v>1</v>
      </c>
      <c r="Q401" s="105">
        <v>0</v>
      </c>
      <c r="R401" s="103">
        <v>48</v>
      </c>
      <c r="S401" s="105">
        <v>0</v>
      </c>
      <c r="T401" s="105">
        <v>0</v>
      </c>
      <c r="U401" s="105">
        <v>0</v>
      </c>
      <c r="V401" s="105">
        <v>0</v>
      </c>
      <c r="W401" s="105">
        <v>0</v>
      </c>
      <c r="X401" s="105">
        <v>0</v>
      </c>
      <c r="Y401" s="105">
        <v>0</v>
      </c>
      <c r="Z401" s="105">
        <v>0</v>
      </c>
      <c r="AA401" s="105">
        <v>0</v>
      </c>
      <c r="AB401" s="105">
        <v>0</v>
      </c>
      <c r="AC401" s="8">
        <f t="shared" si="42"/>
        <v>0</v>
      </c>
      <c r="AD401" s="8">
        <f t="shared" si="43"/>
        <v>0</v>
      </c>
      <c r="AE401" s="8">
        <f t="shared" si="44"/>
        <v>0</v>
      </c>
      <c r="AF401" s="106">
        <f t="shared" si="45"/>
        <v>0</v>
      </c>
      <c r="AG401" s="8">
        <f t="shared" si="46"/>
        <v>0</v>
      </c>
      <c r="AH401" s="8">
        <f>IF($O401="Aktif",MAX(0,MIN($AE401,$AD401-SUM($AG401:AG401))),0)</f>
        <v>0</v>
      </c>
      <c r="AI401" s="8">
        <f>IF($O401="Aktif",MAX(0,MIN($AE401,$AD401-SUM($AG401:AH401))),0)</f>
        <v>0</v>
      </c>
      <c r="AJ401" s="8">
        <f>IF($O401="Aktif",MAX(0,MIN($AE401,$AD401-SUM($AG401:AI401))),0)</f>
        <v>0</v>
      </c>
      <c r="AK401" s="8">
        <f>IF($O401="Aktif",MAX(0,MIN($AE401,$AD401-SUM($AG401:AJ401))),0)</f>
        <v>0</v>
      </c>
      <c r="AL401" s="8">
        <f>IF($O401="Aktif",MAX(0,MIN($AE401,$AD401-SUM($AG401:AK401))),0)</f>
        <v>0</v>
      </c>
      <c r="AM401" s="8">
        <f>IF($O401="Aktif",MAX(0,MIN($AE401,$AD401-SUM($AG401:AL401))),0)</f>
        <v>0</v>
      </c>
      <c r="AN401" s="8">
        <f>IF($O401="Aktif",MAX(0,MIN($AE401,$AD401-SUM($AG401:AM401))),0)</f>
        <v>0</v>
      </c>
      <c r="AO401" s="8">
        <f>IF($O401="Aktif",MAX(0,MIN($AE401,$AD401-SUM($AG401:AN401))),0)</f>
        <v>0</v>
      </c>
      <c r="AP401" s="8">
        <f>IF($O401="Aktif",MAX(0,MIN($AE401,$AD401-SUM($AG401:AO401))),0)</f>
        <v>0</v>
      </c>
      <c r="AQ401" s="8">
        <f>IF($O401="Aktif",MAX(0,MIN($AE401,$AD401-SUM($AG401:AP401))),0)</f>
        <v>0</v>
      </c>
      <c r="AR401" s="8">
        <f>IF($O401="Aktif",MAX(0,MIN($AE401,$AD401-SUM($AG401:AQ401))),0)</f>
        <v>0</v>
      </c>
      <c r="AS401" s="8">
        <f>IF($O401="Aktif",MAX(0,MIN($AE401,$AD401-SUM($AG401:AR401))),0)</f>
        <v>0</v>
      </c>
      <c r="AT401" s="8">
        <f>IF($O401="Aktif",MAX(0,MIN($AE401,$AD401-SUM($AG401:AS401))),0)</f>
        <v>0</v>
      </c>
      <c r="AU401" s="8">
        <f>IF($O401="Aktif",MAX(0,MIN($AE401,$AD401-SUM($AG401:AT401))),0)</f>
        <v>0</v>
      </c>
      <c r="AV401" s="8">
        <f>IF($O401="Aktif",MAX(0,MIN($AE401,$AD401-SUM($AG401:AU401))),0)</f>
        <v>0</v>
      </c>
      <c r="AW401" s="8">
        <f t="shared" si="47"/>
        <v>0</v>
      </c>
      <c r="AX401" s="8">
        <f t="shared" si="48"/>
        <v>0</v>
      </c>
    </row>
    <row r="402" spans="1:50" ht="15" customHeight="1" x14ac:dyDescent="0.35">
      <c r="A402" s="102">
        <v>396</v>
      </c>
      <c r="B402" s="102" t="s">
        <v>1326</v>
      </c>
      <c r="C402" s="103">
        <v>30</v>
      </c>
      <c r="D402" s="102" t="s">
        <v>185</v>
      </c>
      <c r="E402" s="102" t="s">
        <v>587</v>
      </c>
      <c r="F402" s="102" t="s">
        <v>1327</v>
      </c>
      <c r="G402" s="102" t="s">
        <v>1328</v>
      </c>
      <c r="H402" s="102" t="s">
        <v>1329</v>
      </c>
      <c r="I402" s="102" t="s">
        <v>63</v>
      </c>
      <c r="J402" s="102"/>
      <c r="K402" s="102" t="s">
        <v>591</v>
      </c>
      <c r="L402" s="104">
        <v>42538</v>
      </c>
      <c r="M402" s="102" t="s">
        <v>1362</v>
      </c>
      <c r="N402" s="102" t="s">
        <v>1363</v>
      </c>
      <c r="O402" s="102" t="s">
        <v>383</v>
      </c>
      <c r="P402" s="103">
        <v>1</v>
      </c>
      <c r="Q402" s="105">
        <v>0</v>
      </c>
      <c r="R402" s="103">
        <v>48</v>
      </c>
      <c r="S402" s="105">
        <v>0</v>
      </c>
      <c r="T402" s="105">
        <v>0</v>
      </c>
      <c r="U402" s="105">
        <v>0</v>
      </c>
      <c r="V402" s="105">
        <v>0</v>
      </c>
      <c r="W402" s="105">
        <v>0</v>
      </c>
      <c r="X402" s="105">
        <v>0</v>
      </c>
      <c r="Y402" s="105">
        <v>0</v>
      </c>
      <c r="Z402" s="105">
        <v>0</v>
      </c>
      <c r="AA402" s="105">
        <v>0</v>
      </c>
      <c r="AB402" s="105">
        <v>0</v>
      </c>
      <c r="AC402" s="8">
        <f t="shared" si="42"/>
        <v>0</v>
      </c>
      <c r="AD402" s="8">
        <f t="shared" si="43"/>
        <v>0</v>
      </c>
      <c r="AE402" s="8">
        <f t="shared" si="44"/>
        <v>0</v>
      </c>
      <c r="AF402" s="106">
        <f t="shared" si="45"/>
        <v>0</v>
      </c>
      <c r="AG402" s="8">
        <f t="shared" si="46"/>
        <v>0</v>
      </c>
      <c r="AH402" s="8">
        <f>IF($O402="Aktif",MAX(0,MIN($AE402,$AD402-SUM($AG402:AG402))),0)</f>
        <v>0</v>
      </c>
      <c r="AI402" s="8">
        <f>IF($O402="Aktif",MAX(0,MIN($AE402,$AD402-SUM($AG402:AH402))),0)</f>
        <v>0</v>
      </c>
      <c r="AJ402" s="8">
        <f>IF($O402="Aktif",MAX(0,MIN($AE402,$AD402-SUM($AG402:AI402))),0)</f>
        <v>0</v>
      </c>
      <c r="AK402" s="8">
        <f>IF($O402="Aktif",MAX(0,MIN($AE402,$AD402-SUM($AG402:AJ402))),0)</f>
        <v>0</v>
      </c>
      <c r="AL402" s="8">
        <f>IF($O402="Aktif",MAX(0,MIN($AE402,$AD402-SUM($AG402:AK402))),0)</f>
        <v>0</v>
      </c>
      <c r="AM402" s="8">
        <f>IF($O402="Aktif",MAX(0,MIN($AE402,$AD402-SUM($AG402:AL402))),0)</f>
        <v>0</v>
      </c>
      <c r="AN402" s="8">
        <f>IF($O402="Aktif",MAX(0,MIN($AE402,$AD402-SUM($AG402:AM402))),0)</f>
        <v>0</v>
      </c>
      <c r="AO402" s="8">
        <f>IF($O402="Aktif",MAX(0,MIN($AE402,$AD402-SUM($AG402:AN402))),0)</f>
        <v>0</v>
      </c>
      <c r="AP402" s="8">
        <f>IF($O402="Aktif",MAX(0,MIN($AE402,$AD402-SUM($AG402:AO402))),0)</f>
        <v>0</v>
      </c>
      <c r="AQ402" s="8">
        <f>IF($O402="Aktif",MAX(0,MIN($AE402,$AD402-SUM($AG402:AP402))),0)</f>
        <v>0</v>
      </c>
      <c r="AR402" s="8">
        <f>IF($O402="Aktif",MAX(0,MIN($AE402,$AD402-SUM($AG402:AQ402))),0)</f>
        <v>0</v>
      </c>
      <c r="AS402" s="8">
        <f>IF($O402="Aktif",MAX(0,MIN($AE402,$AD402-SUM($AG402:AR402))),0)</f>
        <v>0</v>
      </c>
      <c r="AT402" s="8">
        <f>IF($O402="Aktif",MAX(0,MIN($AE402,$AD402-SUM($AG402:AS402))),0)</f>
        <v>0</v>
      </c>
      <c r="AU402" s="8">
        <f>IF($O402="Aktif",MAX(0,MIN($AE402,$AD402-SUM($AG402:AT402))),0)</f>
        <v>0</v>
      </c>
      <c r="AV402" s="8">
        <f>IF($O402="Aktif",MAX(0,MIN($AE402,$AD402-SUM($AG402:AU402))),0)</f>
        <v>0</v>
      </c>
      <c r="AW402" s="8">
        <f t="shared" si="47"/>
        <v>0</v>
      </c>
      <c r="AX402" s="8">
        <f t="shared" si="48"/>
        <v>0</v>
      </c>
    </row>
    <row r="403" spans="1:50" ht="15" customHeight="1" x14ac:dyDescent="0.35">
      <c r="A403" s="102">
        <v>397</v>
      </c>
      <c r="B403" s="102" t="s">
        <v>1326</v>
      </c>
      <c r="C403" s="103">
        <v>31</v>
      </c>
      <c r="D403" s="102" t="s">
        <v>185</v>
      </c>
      <c r="E403" s="102" t="s">
        <v>587</v>
      </c>
      <c r="F403" s="102" t="s">
        <v>1327</v>
      </c>
      <c r="G403" s="102" t="s">
        <v>1328</v>
      </c>
      <c r="H403" s="102" t="s">
        <v>1329</v>
      </c>
      <c r="I403" s="102" t="s">
        <v>63</v>
      </c>
      <c r="J403" s="102"/>
      <c r="K403" s="102" t="s">
        <v>591</v>
      </c>
      <c r="L403" s="104">
        <v>42580</v>
      </c>
      <c r="M403" s="102" t="s">
        <v>1364</v>
      </c>
      <c r="N403" s="102" t="s">
        <v>1365</v>
      </c>
      <c r="O403" s="102" t="s">
        <v>383</v>
      </c>
      <c r="P403" s="103">
        <v>1</v>
      </c>
      <c r="Q403" s="105">
        <v>0</v>
      </c>
      <c r="R403" s="103">
        <v>0</v>
      </c>
      <c r="S403" s="105">
        <v>0</v>
      </c>
      <c r="T403" s="105">
        <v>0</v>
      </c>
      <c r="U403" s="105">
        <v>0</v>
      </c>
      <c r="V403" s="105">
        <v>0</v>
      </c>
      <c r="W403" s="105">
        <v>0</v>
      </c>
      <c r="X403" s="105">
        <v>0</v>
      </c>
      <c r="Y403" s="105">
        <v>0</v>
      </c>
      <c r="Z403" s="105">
        <v>0</v>
      </c>
      <c r="AA403" s="105">
        <v>0</v>
      </c>
      <c r="AB403" s="105">
        <v>0</v>
      </c>
      <c r="AC403" s="8">
        <f t="shared" si="42"/>
        <v>0</v>
      </c>
      <c r="AD403" s="8">
        <f t="shared" si="43"/>
        <v>0</v>
      </c>
      <c r="AE403" s="8">
        <f t="shared" si="44"/>
        <v>0</v>
      </c>
      <c r="AF403" s="106">
        <f t="shared" si="45"/>
        <v>0</v>
      </c>
      <c r="AG403" s="8">
        <f t="shared" si="46"/>
        <v>0</v>
      </c>
      <c r="AH403" s="8">
        <f>IF($O403="Aktif",MAX(0,MIN($AE403,$AD403-SUM($AG403:AG403))),0)</f>
        <v>0</v>
      </c>
      <c r="AI403" s="8">
        <f>IF($O403="Aktif",MAX(0,MIN($AE403,$AD403-SUM($AG403:AH403))),0)</f>
        <v>0</v>
      </c>
      <c r="AJ403" s="8">
        <f>IF($O403="Aktif",MAX(0,MIN($AE403,$AD403-SUM($AG403:AI403))),0)</f>
        <v>0</v>
      </c>
      <c r="AK403" s="8">
        <f>IF($O403="Aktif",MAX(0,MIN($AE403,$AD403-SUM($AG403:AJ403))),0)</f>
        <v>0</v>
      </c>
      <c r="AL403" s="8">
        <f>IF($O403="Aktif",MAX(0,MIN($AE403,$AD403-SUM($AG403:AK403))),0)</f>
        <v>0</v>
      </c>
      <c r="AM403" s="8">
        <f>IF($O403="Aktif",MAX(0,MIN($AE403,$AD403-SUM($AG403:AL403))),0)</f>
        <v>0</v>
      </c>
      <c r="AN403" s="8">
        <f>IF($O403="Aktif",MAX(0,MIN($AE403,$AD403-SUM($AG403:AM403))),0)</f>
        <v>0</v>
      </c>
      <c r="AO403" s="8">
        <f>IF($O403="Aktif",MAX(0,MIN($AE403,$AD403-SUM($AG403:AN403))),0)</f>
        <v>0</v>
      </c>
      <c r="AP403" s="8">
        <f>IF($O403="Aktif",MAX(0,MIN($AE403,$AD403-SUM($AG403:AO403))),0)</f>
        <v>0</v>
      </c>
      <c r="AQ403" s="8">
        <f>IF($O403="Aktif",MAX(0,MIN($AE403,$AD403-SUM($AG403:AP403))),0)</f>
        <v>0</v>
      </c>
      <c r="AR403" s="8">
        <f>IF($O403="Aktif",MAX(0,MIN($AE403,$AD403-SUM($AG403:AQ403))),0)</f>
        <v>0</v>
      </c>
      <c r="AS403" s="8">
        <f>IF($O403="Aktif",MAX(0,MIN($AE403,$AD403-SUM($AG403:AR403))),0)</f>
        <v>0</v>
      </c>
      <c r="AT403" s="8">
        <f>IF($O403="Aktif",MAX(0,MIN($AE403,$AD403-SUM($AG403:AS403))),0)</f>
        <v>0</v>
      </c>
      <c r="AU403" s="8">
        <f>IF($O403="Aktif",MAX(0,MIN($AE403,$AD403-SUM($AG403:AT403))),0)</f>
        <v>0</v>
      </c>
      <c r="AV403" s="8">
        <f>IF($O403="Aktif",MAX(0,MIN($AE403,$AD403-SUM($AG403:AU403))),0)</f>
        <v>0</v>
      </c>
      <c r="AW403" s="8">
        <f t="shared" si="47"/>
        <v>0</v>
      </c>
      <c r="AX403" s="8">
        <f t="shared" si="48"/>
        <v>0</v>
      </c>
    </row>
    <row r="404" spans="1:50" ht="15" customHeight="1" x14ac:dyDescent="0.35">
      <c r="A404" s="102">
        <v>398</v>
      </c>
      <c r="B404" s="102" t="s">
        <v>1326</v>
      </c>
      <c r="C404" s="103">
        <v>32</v>
      </c>
      <c r="D404" s="102" t="s">
        <v>185</v>
      </c>
      <c r="E404" s="102" t="s">
        <v>587</v>
      </c>
      <c r="F404" s="102" t="s">
        <v>1327</v>
      </c>
      <c r="G404" s="102" t="s">
        <v>1328</v>
      </c>
      <c r="H404" s="102" t="s">
        <v>1329</v>
      </c>
      <c r="I404" s="102" t="s">
        <v>63</v>
      </c>
      <c r="J404" s="102"/>
      <c r="K404" s="102" t="s">
        <v>591</v>
      </c>
      <c r="L404" s="104">
        <v>42615</v>
      </c>
      <c r="M404" s="102" t="s">
        <v>1366</v>
      </c>
      <c r="N404" s="102" t="s">
        <v>1367</v>
      </c>
      <c r="O404" s="102" t="s">
        <v>383</v>
      </c>
      <c r="P404" s="103">
        <v>1</v>
      </c>
      <c r="Q404" s="105">
        <v>0</v>
      </c>
      <c r="R404" s="103">
        <v>0</v>
      </c>
      <c r="S404" s="105">
        <v>0</v>
      </c>
      <c r="T404" s="105">
        <v>0</v>
      </c>
      <c r="U404" s="105">
        <v>0</v>
      </c>
      <c r="V404" s="105">
        <v>0</v>
      </c>
      <c r="W404" s="105">
        <v>0</v>
      </c>
      <c r="X404" s="105">
        <v>0</v>
      </c>
      <c r="Y404" s="105">
        <v>0</v>
      </c>
      <c r="Z404" s="105">
        <v>0</v>
      </c>
      <c r="AA404" s="105">
        <v>0</v>
      </c>
      <c r="AB404" s="105">
        <v>0</v>
      </c>
      <c r="AC404" s="8">
        <f t="shared" si="42"/>
        <v>0</v>
      </c>
      <c r="AD404" s="8">
        <f t="shared" si="43"/>
        <v>0</v>
      </c>
      <c r="AE404" s="8">
        <f t="shared" si="44"/>
        <v>0</v>
      </c>
      <c r="AF404" s="106">
        <f t="shared" si="45"/>
        <v>0</v>
      </c>
      <c r="AG404" s="8">
        <f t="shared" si="46"/>
        <v>0</v>
      </c>
      <c r="AH404" s="8">
        <f>IF($O404="Aktif",MAX(0,MIN($AE404,$AD404-SUM($AG404:AG404))),0)</f>
        <v>0</v>
      </c>
      <c r="AI404" s="8">
        <f>IF($O404="Aktif",MAX(0,MIN($AE404,$AD404-SUM($AG404:AH404))),0)</f>
        <v>0</v>
      </c>
      <c r="AJ404" s="8">
        <f>IF($O404="Aktif",MAX(0,MIN($AE404,$AD404-SUM($AG404:AI404))),0)</f>
        <v>0</v>
      </c>
      <c r="AK404" s="8">
        <f>IF($O404="Aktif",MAX(0,MIN($AE404,$AD404-SUM($AG404:AJ404))),0)</f>
        <v>0</v>
      </c>
      <c r="AL404" s="8">
        <f>IF($O404="Aktif",MAX(0,MIN($AE404,$AD404-SUM($AG404:AK404))),0)</f>
        <v>0</v>
      </c>
      <c r="AM404" s="8">
        <f>IF($O404="Aktif",MAX(0,MIN($AE404,$AD404-SUM($AG404:AL404))),0)</f>
        <v>0</v>
      </c>
      <c r="AN404" s="8">
        <f>IF($O404="Aktif",MAX(0,MIN($AE404,$AD404-SUM($AG404:AM404))),0)</f>
        <v>0</v>
      </c>
      <c r="AO404" s="8">
        <f>IF($O404="Aktif",MAX(0,MIN($AE404,$AD404-SUM($AG404:AN404))),0)</f>
        <v>0</v>
      </c>
      <c r="AP404" s="8">
        <f>IF($O404="Aktif",MAX(0,MIN($AE404,$AD404-SUM($AG404:AO404))),0)</f>
        <v>0</v>
      </c>
      <c r="AQ404" s="8">
        <f>IF($O404="Aktif",MAX(0,MIN($AE404,$AD404-SUM($AG404:AP404))),0)</f>
        <v>0</v>
      </c>
      <c r="AR404" s="8">
        <f>IF($O404="Aktif",MAX(0,MIN($AE404,$AD404-SUM($AG404:AQ404))),0)</f>
        <v>0</v>
      </c>
      <c r="AS404" s="8">
        <f>IF($O404="Aktif",MAX(0,MIN($AE404,$AD404-SUM($AG404:AR404))),0)</f>
        <v>0</v>
      </c>
      <c r="AT404" s="8">
        <f>IF($O404="Aktif",MAX(0,MIN($AE404,$AD404-SUM($AG404:AS404))),0)</f>
        <v>0</v>
      </c>
      <c r="AU404" s="8">
        <f>IF($O404="Aktif",MAX(0,MIN($AE404,$AD404-SUM($AG404:AT404))),0)</f>
        <v>0</v>
      </c>
      <c r="AV404" s="8">
        <f>IF($O404="Aktif",MAX(0,MIN($AE404,$AD404-SUM($AG404:AU404))),0)</f>
        <v>0</v>
      </c>
      <c r="AW404" s="8">
        <f t="shared" si="47"/>
        <v>0</v>
      </c>
      <c r="AX404" s="8">
        <f t="shared" si="48"/>
        <v>0</v>
      </c>
    </row>
    <row r="405" spans="1:50" ht="15" customHeight="1" x14ac:dyDescent="0.35">
      <c r="A405" s="102">
        <v>399</v>
      </c>
      <c r="B405" s="102" t="s">
        <v>1326</v>
      </c>
      <c r="C405" s="103">
        <v>33</v>
      </c>
      <c r="D405" s="102" t="s">
        <v>185</v>
      </c>
      <c r="E405" s="102" t="s">
        <v>587</v>
      </c>
      <c r="F405" s="102" t="s">
        <v>1327</v>
      </c>
      <c r="G405" s="102" t="s">
        <v>1328</v>
      </c>
      <c r="H405" s="102" t="s">
        <v>1329</v>
      </c>
      <c r="I405" s="102" t="s">
        <v>63</v>
      </c>
      <c r="J405" s="102"/>
      <c r="K405" s="102" t="s">
        <v>591</v>
      </c>
      <c r="L405" s="104">
        <v>42626</v>
      </c>
      <c r="M405" s="102" t="s">
        <v>1368</v>
      </c>
      <c r="N405" s="102" t="s">
        <v>1369</v>
      </c>
      <c r="O405" s="102" t="s">
        <v>383</v>
      </c>
      <c r="P405" s="103">
        <v>1</v>
      </c>
      <c r="Q405" s="105">
        <v>0</v>
      </c>
      <c r="R405" s="103">
        <v>0</v>
      </c>
      <c r="S405" s="105">
        <v>0</v>
      </c>
      <c r="T405" s="105">
        <v>0</v>
      </c>
      <c r="U405" s="105">
        <v>0</v>
      </c>
      <c r="V405" s="105">
        <v>0</v>
      </c>
      <c r="W405" s="105">
        <v>0</v>
      </c>
      <c r="X405" s="105">
        <v>0</v>
      </c>
      <c r="Y405" s="105">
        <v>0</v>
      </c>
      <c r="Z405" s="105">
        <v>0</v>
      </c>
      <c r="AA405" s="105">
        <v>0</v>
      </c>
      <c r="AB405" s="105">
        <v>0</v>
      </c>
      <c r="AC405" s="8">
        <f t="shared" si="42"/>
        <v>0</v>
      </c>
      <c r="AD405" s="8">
        <f t="shared" si="43"/>
        <v>0</v>
      </c>
      <c r="AE405" s="8">
        <f t="shared" si="44"/>
        <v>0</v>
      </c>
      <c r="AF405" s="106">
        <f t="shared" si="45"/>
        <v>0</v>
      </c>
      <c r="AG405" s="8">
        <f t="shared" si="46"/>
        <v>0</v>
      </c>
      <c r="AH405" s="8">
        <f>IF($O405="Aktif",MAX(0,MIN($AE405,$AD405-SUM($AG405:AG405))),0)</f>
        <v>0</v>
      </c>
      <c r="AI405" s="8">
        <f>IF($O405="Aktif",MAX(0,MIN($AE405,$AD405-SUM($AG405:AH405))),0)</f>
        <v>0</v>
      </c>
      <c r="AJ405" s="8">
        <f>IF($O405="Aktif",MAX(0,MIN($AE405,$AD405-SUM($AG405:AI405))),0)</f>
        <v>0</v>
      </c>
      <c r="AK405" s="8">
        <f>IF($O405="Aktif",MAX(0,MIN($AE405,$AD405-SUM($AG405:AJ405))),0)</f>
        <v>0</v>
      </c>
      <c r="AL405" s="8">
        <f>IF($O405="Aktif",MAX(0,MIN($AE405,$AD405-SUM($AG405:AK405))),0)</f>
        <v>0</v>
      </c>
      <c r="AM405" s="8">
        <f>IF($O405="Aktif",MAX(0,MIN($AE405,$AD405-SUM($AG405:AL405))),0)</f>
        <v>0</v>
      </c>
      <c r="AN405" s="8">
        <f>IF($O405="Aktif",MAX(0,MIN($AE405,$AD405-SUM($AG405:AM405))),0)</f>
        <v>0</v>
      </c>
      <c r="AO405" s="8">
        <f>IF($O405="Aktif",MAX(0,MIN($AE405,$AD405-SUM($AG405:AN405))),0)</f>
        <v>0</v>
      </c>
      <c r="AP405" s="8">
        <f>IF($O405="Aktif",MAX(0,MIN($AE405,$AD405-SUM($AG405:AO405))),0)</f>
        <v>0</v>
      </c>
      <c r="AQ405" s="8">
        <f>IF($O405="Aktif",MAX(0,MIN($AE405,$AD405-SUM($AG405:AP405))),0)</f>
        <v>0</v>
      </c>
      <c r="AR405" s="8">
        <f>IF($O405="Aktif",MAX(0,MIN($AE405,$AD405-SUM($AG405:AQ405))),0)</f>
        <v>0</v>
      </c>
      <c r="AS405" s="8">
        <f>IF($O405="Aktif",MAX(0,MIN($AE405,$AD405-SUM($AG405:AR405))),0)</f>
        <v>0</v>
      </c>
      <c r="AT405" s="8">
        <f>IF($O405="Aktif",MAX(0,MIN($AE405,$AD405-SUM($AG405:AS405))),0)</f>
        <v>0</v>
      </c>
      <c r="AU405" s="8">
        <f>IF($O405="Aktif",MAX(0,MIN($AE405,$AD405-SUM($AG405:AT405))),0)</f>
        <v>0</v>
      </c>
      <c r="AV405" s="8">
        <f>IF($O405="Aktif",MAX(0,MIN($AE405,$AD405-SUM($AG405:AU405))),0)</f>
        <v>0</v>
      </c>
      <c r="AW405" s="8">
        <f t="shared" si="47"/>
        <v>0</v>
      </c>
      <c r="AX405" s="8">
        <f t="shared" si="48"/>
        <v>0</v>
      </c>
    </row>
    <row r="406" spans="1:50" ht="15" customHeight="1" x14ac:dyDescent="0.35">
      <c r="A406" s="102">
        <v>400</v>
      </c>
      <c r="B406" s="102" t="s">
        <v>1326</v>
      </c>
      <c r="C406" s="103">
        <v>34</v>
      </c>
      <c r="D406" s="102" t="s">
        <v>185</v>
      </c>
      <c r="E406" s="102" t="s">
        <v>587</v>
      </c>
      <c r="F406" s="102" t="s">
        <v>1327</v>
      </c>
      <c r="G406" s="102" t="s">
        <v>1328</v>
      </c>
      <c r="H406" s="102" t="s">
        <v>1329</v>
      </c>
      <c r="I406" s="102" t="s">
        <v>63</v>
      </c>
      <c r="J406" s="102"/>
      <c r="K406" s="102" t="s">
        <v>591</v>
      </c>
      <c r="L406" s="104">
        <v>42643</v>
      </c>
      <c r="M406" s="102" t="s">
        <v>1370</v>
      </c>
      <c r="N406" s="102" t="s">
        <v>1371</v>
      </c>
      <c r="O406" s="102" t="s">
        <v>383</v>
      </c>
      <c r="P406" s="103">
        <v>1</v>
      </c>
      <c r="Q406" s="105">
        <v>0</v>
      </c>
      <c r="R406" s="103">
        <v>0</v>
      </c>
      <c r="S406" s="105">
        <v>0</v>
      </c>
      <c r="T406" s="105">
        <v>0</v>
      </c>
      <c r="U406" s="105">
        <v>0</v>
      </c>
      <c r="V406" s="105">
        <v>0</v>
      </c>
      <c r="W406" s="105">
        <v>0</v>
      </c>
      <c r="X406" s="105">
        <v>0</v>
      </c>
      <c r="Y406" s="105">
        <v>0</v>
      </c>
      <c r="Z406" s="105">
        <v>0</v>
      </c>
      <c r="AA406" s="105">
        <v>0</v>
      </c>
      <c r="AB406" s="105">
        <v>0</v>
      </c>
      <c r="AC406" s="8">
        <f t="shared" si="42"/>
        <v>0</v>
      </c>
      <c r="AD406" s="8">
        <f t="shared" si="43"/>
        <v>0</v>
      </c>
      <c r="AE406" s="8">
        <f t="shared" si="44"/>
        <v>0</v>
      </c>
      <c r="AF406" s="106">
        <f t="shared" si="45"/>
        <v>0</v>
      </c>
      <c r="AG406" s="8">
        <f t="shared" si="46"/>
        <v>0</v>
      </c>
      <c r="AH406" s="8">
        <f>IF($O406="Aktif",MAX(0,MIN($AE406,$AD406-SUM($AG406:AG406))),0)</f>
        <v>0</v>
      </c>
      <c r="AI406" s="8">
        <f>IF($O406="Aktif",MAX(0,MIN($AE406,$AD406-SUM($AG406:AH406))),0)</f>
        <v>0</v>
      </c>
      <c r="AJ406" s="8">
        <f>IF($O406="Aktif",MAX(0,MIN($AE406,$AD406-SUM($AG406:AI406))),0)</f>
        <v>0</v>
      </c>
      <c r="AK406" s="8">
        <f>IF($O406="Aktif",MAX(0,MIN($AE406,$AD406-SUM($AG406:AJ406))),0)</f>
        <v>0</v>
      </c>
      <c r="AL406" s="8">
        <f>IF($O406="Aktif",MAX(0,MIN($AE406,$AD406-SUM($AG406:AK406))),0)</f>
        <v>0</v>
      </c>
      <c r="AM406" s="8">
        <f>IF($O406="Aktif",MAX(0,MIN($AE406,$AD406-SUM($AG406:AL406))),0)</f>
        <v>0</v>
      </c>
      <c r="AN406" s="8">
        <f>IF($O406="Aktif",MAX(0,MIN($AE406,$AD406-SUM($AG406:AM406))),0)</f>
        <v>0</v>
      </c>
      <c r="AO406" s="8">
        <f>IF($O406="Aktif",MAX(0,MIN($AE406,$AD406-SUM($AG406:AN406))),0)</f>
        <v>0</v>
      </c>
      <c r="AP406" s="8">
        <f>IF($O406="Aktif",MAX(0,MIN($AE406,$AD406-SUM($AG406:AO406))),0)</f>
        <v>0</v>
      </c>
      <c r="AQ406" s="8">
        <f>IF($O406="Aktif",MAX(0,MIN($AE406,$AD406-SUM($AG406:AP406))),0)</f>
        <v>0</v>
      </c>
      <c r="AR406" s="8">
        <f>IF($O406="Aktif",MAX(0,MIN($AE406,$AD406-SUM($AG406:AQ406))),0)</f>
        <v>0</v>
      </c>
      <c r="AS406" s="8">
        <f>IF($O406="Aktif",MAX(0,MIN($AE406,$AD406-SUM($AG406:AR406))),0)</f>
        <v>0</v>
      </c>
      <c r="AT406" s="8">
        <f>IF($O406="Aktif",MAX(0,MIN($AE406,$AD406-SUM($AG406:AS406))),0)</f>
        <v>0</v>
      </c>
      <c r="AU406" s="8">
        <f>IF($O406="Aktif",MAX(0,MIN($AE406,$AD406-SUM($AG406:AT406))),0)</f>
        <v>0</v>
      </c>
      <c r="AV406" s="8">
        <f>IF($O406="Aktif",MAX(0,MIN($AE406,$AD406-SUM($AG406:AU406))),0)</f>
        <v>0</v>
      </c>
      <c r="AW406" s="8">
        <f t="shared" si="47"/>
        <v>0</v>
      </c>
      <c r="AX406" s="8">
        <f t="shared" si="48"/>
        <v>0</v>
      </c>
    </row>
    <row r="407" spans="1:50" ht="15" customHeight="1" x14ac:dyDescent="0.35">
      <c r="A407" s="102">
        <v>401</v>
      </c>
      <c r="B407" s="102" t="s">
        <v>1326</v>
      </c>
      <c r="C407" s="103">
        <v>35</v>
      </c>
      <c r="D407" s="102" t="s">
        <v>185</v>
      </c>
      <c r="E407" s="102" t="s">
        <v>587</v>
      </c>
      <c r="F407" s="102" t="s">
        <v>1327</v>
      </c>
      <c r="G407" s="102" t="s">
        <v>1328</v>
      </c>
      <c r="H407" s="102" t="s">
        <v>1329</v>
      </c>
      <c r="I407" s="102" t="s">
        <v>63</v>
      </c>
      <c r="J407" s="102"/>
      <c r="K407" s="102" t="s">
        <v>591</v>
      </c>
      <c r="L407" s="104">
        <v>42643</v>
      </c>
      <c r="M407" s="102" t="s">
        <v>1372</v>
      </c>
      <c r="N407" s="102" t="s">
        <v>1373</v>
      </c>
      <c r="O407" s="102" t="s">
        <v>383</v>
      </c>
      <c r="P407" s="103">
        <v>1</v>
      </c>
      <c r="Q407" s="105">
        <v>0</v>
      </c>
      <c r="R407" s="103">
        <v>0</v>
      </c>
      <c r="S407" s="105">
        <v>0</v>
      </c>
      <c r="T407" s="105">
        <v>0</v>
      </c>
      <c r="U407" s="105">
        <v>0</v>
      </c>
      <c r="V407" s="105">
        <v>0</v>
      </c>
      <c r="W407" s="105">
        <v>0</v>
      </c>
      <c r="X407" s="105">
        <v>0</v>
      </c>
      <c r="Y407" s="105">
        <v>0</v>
      </c>
      <c r="Z407" s="105">
        <v>0</v>
      </c>
      <c r="AA407" s="105">
        <v>0</v>
      </c>
      <c r="AB407" s="105">
        <v>0</v>
      </c>
      <c r="AC407" s="8">
        <f t="shared" si="42"/>
        <v>0</v>
      </c>
      <c r="AD407" s="8">
        <f t="shared" si="43"/>
        <v>0</v>
      </c>
      <c r="AE407" s="8">
        <f t="shared" si="44"/>
        <v>0</v>
      </c>
      <c r="AF407" s="106">
        <f t="shared" si="45"/>
        <v>0</v>
      </c>
      <c r="AG407" s="8">
        <f t="shared" si="46"/>
        <v>0</v>
      </c>
      <c r="AH407" s="8">
        <f>IF($O407="Aktif",MAX(0,MIN($AE407,$AD407-SUM($AG407:AG407))),0)</f>
        <v>0</v>
      </c>
      <c r="AI407" s="8">
        <f>IF($O407="Aktif",MAX(0,MIN($AE407,$AD407-SUM($AG407:AH407))),0)</f>
        <v>0</v>
      </c>
      <c r="AJ407" s="8">
        <f>IF($O407="Aktif",MAX(0,MIN($AE407,$AD407-SUM($AG407:AI407))),0)</f>
        <v>0</v>
      </c>
      <c r="AK407" s="8">
        <f>IF($O407="Aktif",MAX(0,MIN($AE407,$AD407-SUM($AG407:AJ407))),0)</f>
        <v>0</v>
      </c>
      <c r="AL407" s="8">
        <f>IF($O407="Aktif",MAX(0,MIN($AE407,$AD407-SUM($AG407:AK407))),0)</f>
        <v>0</v>
      </c>
      <c r="AM407" s="8">
        <f>IF($O407="Aktif",MAX(0,MIN($AE407,$AD407-SUM($AG407:AL407))),0)</f>
        <v>0</v>
      </c>
      <c r="AN407" s="8">
        <f>IF($O407="Aktif",MAX(0,MIN($AE407,$AD407-SUM($AG407:AM407))),0)</f>
        <v>0</v>
      </c>
      <c r="AO407" s="8">
        <f>IF($O407="Aktif",MAX(0,MIN($AE407,$AD407-SUM($AG407:AN407))),0)</f>
        <v>0</v>
      </c>
      <c r="AP407" s="8">
        <f>IF($O407="Aktif",MAX(0,MIN($AE407,$AD407-SUM($AG407:AO407))),0)</f>
        <v>0</v>
      </c>
      <c r="AQ407" s="8">
        <f>IF($O407="Aktif",MAX(0,MIN($AE407,$AD407-SUM($AG407:AP407))),0)</f>
        <v>0</v>
      </c>
      <c r="AR407" s="8">
        <f>IF($O407="Aktif",MAX(0,MIN($AE407,$AD407-SUM($AG407:AQ407))),0)</f>
        <v>0</v>
      </c>
      <c r="AS407" s="8">
        <f>IF($O407="Aktif",MAX(0,MIN($AE407,$AD407-SUM($AG407:AR407))),0)</f>
        <v>0</v>
      </c>
      <c r="AT407" s="8">
        <f>IF($O407="Aktif",MAX(0,MIN($AE407,$AD407-SUM($AG407:AS407))),0)</f>
        <v>0</v>
      </c>
      <c r="AU407" s="8">
        <f>IF($O407="Aktif",MAX(0,MIN($AE407,$AD407-SUM($AG407:AT407))),0)</f>
        <v>0</v>
      </c>
      <c r="AV407" s="8">
        <f>IF($O407="Aktif",MAX(0,MIN($AE407,$AD407-SUM($AG407:AU407))),0)</f>
        <v>0</v>
      </c>
      <c r="AW407" s="8">
        <f t="shared" si="47"/>
        <v>0</v>
      </c>
      <c r="AX407" s="8">
        <f t="shared" si="48"/>
        <v>0</v>
      </c>
    </row>
    <row r="408" spans="1:50" ht="15" customHeight="1" x14ac:dyDescent="0.35">
      <c r="A408" s="102">
        <v>402</v>
      </c>
      <c r="B408" s="102" t="s">
        <v>1326</v>
      </c>
      <c r="C408" s="103">
        <v>36</v>
      </c>
      <c r="D408" s="102" t="s">
        <v>185</v>
      </c>
      <c r="E408" s="102" t="s">
        <v>587</v>
      </c>
      <c r="F408" s="102" t="s">
        <v>1327</v>
      </c>
      <c r="G408" s="102" t="s">
        <v>1328</v>
      </c>
      <c r="H408" s="102" t="s">
        <v>1329</v>
      </c>
      <c r="I408" s="102" t="s">
        <v>63</v>
      </c>
      <c r="J408" s="102" t="s">
        <v>1374</v>
      </c>
      <c r="K408" s="102" t="s">
        <v>591</v>
      </c>
      <c r="L408" s="102" t="s">
        <v>1375</v>
      </c>
      <c r="M408" s="102" t="s">
        <v>1376</v>
      </c>
      <c r="N408" s="102" t="s">
        <v>1377</v>
      </c>
      <c r="O408" s="102" t="s">
        <v>383</v>
      </c>
      <c r="P408" s="103">
        <v>1</v>
      </c>
      <c r="Q408" s="105">
        <v>400000</v>
      </c>
      <c r="R408" s="103">
        <v>48</v>
      </c>
      <c r="S408" s="105">
        <v>0</v>
      </c>
      <c r="T408" s="105">
        <v>400000</v>
      </c>
      <c r="U408" s="105">
        <v>0</v>
      </c>
      <c r="V408" s="105">
        <v>0</v>
      </c>
      <c r="W408" s="105">
        <v>0</v>
      </c>
      <c r="X408" s="105">
        <v>0</v>
      </c>
      <c r="Y408" s="105">
        <v>0</v>
      </c>
      <c r="Z408" s="105">
        <v>0</v>
      </c>
      <c r="AA408" s="105">
        <v>0</v>
      </c>
      <c r="AB408" s="105">
        <v>0</v>
      </c>
      <c r="AC408" s="8">
        <f t="shared" si="42"/>
        <v>400000</v>
      </c>
      <c r="AD408" s="8">
        <f t="shared" si="43"/>
        <v>0</v>
      </c>
      <c r="AE408" s="8">
        <f t="shared" si="44"/>
        <v>0</v>
      </c>
      <c r="AF408" s="106">
        <f t="shared" si="45"/>
        <v>0</v>
      </c>
      <c r="AG408" s="8">
        <f t="shared" si="46"/>
        <v>0</v>
      </c>
      <c r="AH408" s="8">
        <f>IF($O408="Aktif",MAX(0,MIN($AE408,$AD408-SUM($AG408:AG408))),0)</f>
        <v>0</v>
      </c>
      <c r="AI408" s="8">
        <f>IF($O408="Aktif",MAX(0,MIN($AE408,$AD408-SUM($AG408:AH408))),0)</f>
        <v>0</v>
      </c>
      <c r="AJ408" s="8">
        <f>IF($O408="Aktif",MAX(0,MIN($AE408,$AD408-SUM($AG408:AI408))),0)</f>
        <v>0</v>
      </c>
      <c r="AK408" s="8">
        <f>IF($O408="Aktif",MAX(0,MIN($AE408,$AD408-SUM($AG408:AJ408))),0)</f>
        <v>0</v>
      </c>
      <c r="AL408" s="8">
        <f>IF($O408="Aktif",MAX(0,MIN($AE408,$AD408-SUM($AG408:AK408))),0)</f>
        <v>0</v>
      </c>
      <c r="AM408" s="8">
        <f>IF($O408="Aktif",MAX(0,MIN($AE408,$AD408-SUM($AG408:AL408))),0)</f>
        <v>0</v>
      </c>
      <c r="AN408" s="8">
        <f>IF($O408="Aktif",MAX(0,MIN($AE408,$AD408-SUM($AG408:AM408))),0)</f>
        <v>0</v>
      </c>
      <c r="AO408" s="8">
        <f>IF($O408="Aktif",MAX(0,MIN($AE408,$AD408-SUM($AG408:AN408))),0)</f>
        <v>0</v>
      </c>
      <c r="AP408" s="8">
        <f>IF($O408="Aktif",MAX(0,MIN($AE408,$AD408-SUM($AG408:AO408))),0)</f>
        <v>0</v>
      </c>
      <c r="AQ408" s="8">
        <f>IF($O408="Aktif",MAX(0,MIN($AE408,$AD408-SUM($AG408:AP408))),0)</f>
        <v>0</v>
      </c>
      <c r="AR408" s="8">
        <f>IF($O408="Aktif",MAX(0,MIN($AE408,$AD408-SUM($AG408:AQ408))),0)</f>
        <v>0</v>
      </c>
      <c r="AS408" s="8">
        <f>IF($O408="Aktif",MAX(0,MIN($AE408,$AD408-SUM($AG408:AR408))),0)</f>
        <v>0</v>
      </c>
      <c r="AT408" s="8">
        <f>IF($O408="Aktif",MAX(0,MIN($AE408,$AD408-SUM($AG408:AS408))),0)</f>
        <v>0</v>
      </c>
      <c r="AU408" s="8">
        <f>IF($O408="Aktif",MAX(0,MIN($AE408,$AD408-SUM($AG408:AT408))),0)</f>
        <v>0</v>
      </c>
      <c r="AV408" s="8">
        <f>IF($O408="Aktif",MAX(0,MIN($AE408,$AD408-SUM($AG408:AU408))),0)</f>
        <v>0</v>
      </c>
      <c r="AW408" s="8">
        <f t="shared" si="47"/>
        <v>0</v>
      </c>
      <c r="AX408" s="8">
        <f t="shared" si="48"/>
        <v>0</v>
      </c>
    </row>
    <row r="409" spans="1:50" ht="15" customHeight="1" x14ac:dyDescent="0.35">
      <c r="A409" s="102">
        <v>403</v>
      </c>
      <c r="B409" s="102" t="s">
        <v>1326</v>
      </c>
      <c r="C409" s="103">
        <v>37</v>
      </c>
      <c r="D409" s="102" t="s">
        <v>185</v>
      </c>
      <c r="E409" s="102" t="s">
        <v>587</v>
      </c>
      <c r="F409" s="102" t="s">
        <v>1327</v>
      </c>
      <c r="G409" s="102" t="s">
        <v>1328</v>
      </c>
      <c r="H409" s="102" t="s">
        <v>1329</v>
      </c>
      <c r="I409" s="102" t="s">
        <v>63</v>
      </c>
      <c r="J409" s="102" t="s">
        <v>1378</v>
      </c>
      <c r="K409" s="102" t="s">
        <v>591</v>
      </c>
      <c r="L409" s="102" t="s">
        <v>595</v>
      </c>
      <c r="M409" s="102" t="s">
        <v>1379</v>
      </c>
      <c r="N409" s="102" t="s">
        <v>1380</v>
      </c>
      <c r="O409" s="102" t="s">
        <v>383</v>
      </c>
      <c r="P409" s="103">
        <v>1</v>
      </c>
      <c r="Q409" s="105">
        <v>2000000</v>
      </c>
      <c r="R409" s="103">
        <v>48</v>
      </c>
      <c r="S409" s="105">
        <v>0</v>
      </c>
      <c r="T409" s="105">
        <v>2000000</v>
      </c>
      <c r="U409" s="105">
        <v>0</v>
      </c>
      <c r="V409" s="105">
        <v>0</v>
      </c>
      <c r="W409" s="105">
        <v>0</v>
      </c>
      <c r="X409" s="105">
        <v>0</v>
      </c>
      <c r="Y409" s="105">
        <v>0</v>
      </c>
      <c r="Z409" s="105">
        <v>0</v>
      </c>
      <c r="AA409" s="105">
        <v>0</v>
      </c>
      <c r="AB409" s="105">
        <v>0</v>
      </c>
      <c r="AC409" s="8">
        <f t="shared" si="42"/>
        <v>2000000</v>
      </c>
      <c r="AD409" s="8">
        <f t="shared" si="43"/>
        <v>0</v>
      </c>
      <c r="AE409" s="8">
        <f t="shared" si="44"/>
        <v>0</v>
      </c>
      <c r="AF409" s="106">
        <f t="shared" si="45"/>
        <v>0</v>
      </c>
      <c r="AG409" s="8">
        <f t="shared" si="46"/>
        <v>0</v>
      </c>
      <c r="AH409" s="8">
        <f>IF($O409="Aktif",MAX(0,MIN($AE409,$AD409-SUM($AG409:AG409))),0)</f>
        <v>0</v>
      </c>
      <c r="AI409" s="8">
        <f>IF($O409="Aktif",MAX(0,MIN($AE409,$AD409-SUM($AG409:AH409))),0)</f>
        <v>0</v>
      </c>
      <c r="AJ409" s="8">
        <f>IF($O409="Aktif",MAX(0,MIN($AE409,$AD409-SUM($AG409:AI409))),0)</f>
        <v>0</v>
      </c>
      <c r="AK409" s="8">
        <f>IF($O409="Aktif",MAX(0,MIN($AE409,$AD409-SUM($AG409:AJ409))),0)</f>
        <v>0</v>
      </c>
      <c r="AL409" s="8">
        <f>IF($O409="Aktif",MAX(0,MIN($AE409,$AD409-SUM($AG409:AK409))),0)</f>
        <v>0</v>
      </c>
      <c r="AM409" s="8">
        <f>IF($O409="Aktif",MAX(0,MIN($AE409,$AD409-SUM($AG409:AL409))),0)</f>
        <v>0</v>
      </c>
      <c r="AN409" s="8">
        <f>IF($O409="Aktif",MAX(0,MIN($AE409,$AD409-SUM($AG409:AM409))),0)</f>
        <v>0</v>
      </c>
      <c r="AO409" s="8">
        <f>IF($O409="Aktif",MAX(0,MIN($AE409,$AD409-SUM($AG409:AN409))),0)</f>
        <v>0</v>
      </c>
      <c r="AP409" s="8">
        <f>IF($O409="Aktif",MAX(0,MIN($AE409,$AD409-SUM($AG409:AO409))),0)</f>
        <v>0</v>
      </c>
      <c r="AQ409" s="8">
        <f>IF($O409="Aktif",MAX(0,MIN($AE409,$AD409-SUM($AG409:AP409))),0)</f>
        <v>0</v>
      </c>
      <c r="AR409" s="8">
        <f>IF($O409="Aktif",MAX(0,MIN($AE409,$AD409-SUM($AG409:AQ409))),0)</f>
        <v>0</v>
      </c>
      <c r="AS409" s="8">
        <f>IF($O409="Aktif",MAX(0,MIN($AE409,$AD409-SUM($AG409:AR409))),0)</f>
        <v>0</v>
      </c>
      <c r="AT409" s="8">
        <f>IF($O409="Aktif",MAX(0,MIN($AE409,$AD409-SUM($AG409:AS409))),0)</f>
        <v>0</v>
      </c>
      <c r="AU409" s="8">
        <f>IF($O409="Aktif",MAX(0,MIN($AE409,$AD409-SUM($AG409:AT409))),0)</f>
        <v>0</v>
      </c>
      <c r="AV409" s="8">
        <f>IF($O409="Aktif",MAX(0,MIN($AE409,$AD409-SUM($AG409:AU409))),0)</f>
        <v>0</v>
      </c>
      <c r="AW409" s="8">
        <f t="shared" si="47"/>
        <v>0</v>
      </c>
      <c r="AX409" s="8">
        <f t="shared" si="48"/>
        <v>0</v>
      </c>
    </row>
    <row r="410" spans="1:50" ht="15" customHeight="1" x14ac:dyDescent="0.35">
      <c r="A410" s="102">
        <v>404</v>
      </c>
      <c r="B410" s="102" t="s">
        <v>1326</v>
      </c>
      <c r="C410" s="103">
        <v>38</v>
      </c>
      <c r="D410" s="102" t="s">
        <v>185</v>
      </c>
      <c r="E410" s="102" t="s">
        <v>587</v>
      </c>
      <c r="F410" s="102" t="s">
        <v>1327</v>
      </c>
      <c r="G410" s="102" t="s">
        <v>1328</v>
      </c>
      <c r="H410" s="102" t="s">
        <v>1329</v>
      </c>
      <c r="I410" s="102" t="s">
        <v>63</v>
      </c>
      <c r="J410" s="102" t="s">
        <v>1381</v>
      </c>
      <c r="K410" s="102" t="s">
        <v>591</v>
      </c>
      <c r="L410" s="102" t="s">
        <v>595</v>
      </c>
      <c r="M410" s="102" t="s">
        <v>1382</v>
      </c>
      <c r="N410" s="102" t="s">
        <v>1383</v>
      </c>
      <c r="O410" s="102" t="s">
        <v>383</v>
      </c>
      <c r="P410" s="103">
        <v>1</v>
      </c>
      <c r="Q410" s="105">
        <v>1600000</v>
      </c>
      <c r="R410" s="103">
        <v>48</v>
      </c>
      <c r="S410" s="105">
        <v>0</v>
      </c>
      <c r="T410" s="105">
        <v>1600000</v>
      </c>
      <c r="U410" s="105">
        <v>0</v>
      </c>
      <c r="V410" s="105">
        <v>0</v>
      </c>
      <c r="W410" s="105">
        <v>0</v>
      </c>
      <c r="X410" s="105">
        <v>0</v>
      </c>
      <c r="Y410" s="105">
        <v>0</v>
      </c>
      <c r="Z410" s="105">
        <v>0</v>
      </c>
      <c r="AA410" s="105">
        <v>0</v>
      </c>
      <c r="AB410" s="105">
        <v>0</v>
      </c>
      <c r="AC410" s="8">
        <f t="shared" si="42"/>
        <v>1600000</v>
      </c>
      <c r="AD410" s="8">
        <f t="shared" si="43"/>
        <v>0</v>
      </c>
      <c r="AE410" s="8">
        <f t="shared" si="44"/>
        <v>0</v>
      </c>
      <c r="AF410" s="106">
        <f t="shared" si="45"/>
        <v>0</v>
      </c>
      <c r="AG410" s="8">
        <f t="shared" si="46"/>
        <v>0</v>
      </c>
      <c r="AH410" s="8">
        <f>IF($O410="Aktif",MAX(0,MIN($AE410,$AD410-SUM($AG410:AG410))),0)</f>
        <v>0</v>
      </c>
      <c r="AI410" s="8">
        <f>IF($O410="Aktif",MAX(0,MIN($AE410,$AD410-SUM($AG410:AH410))),0)</f>
        <v>0</v>
      </c>
      <c r="AJ410" s="8">
        <f>IF($O410="Aktif",MAX(0,MIN($AE410,$AD410-SUM($AG410:AI410))),0)</f>
        <v>0</v>
      </c>
      <c r="AK410" s="8">
        <f>IF($O410="Aktif",MAX(0,MIN($AE410,$AD410-SUM($AG410:AJ410))),0)</f>
        <v>0</v>
      </c>
      <c r="AL410" s="8">
        <f>IF($O410="Aktif",MAX(0,MIN($AE410,$AD410-SUM($AG410:AK410))),0)</f>
        <v>0</v>
      </c>
      <c r="AM410" s="8">
        <f>IF($O410="Aktif",MAX(0,MIN($AE410,$AD410-SUM($AG410:AL410))),0)</f>
        <v>0</v>
      </c>
      <c r="AN410" s="8">
        <f>IF($O410="Aktif",MAX(0,MIN($AE410,$AD410-SUM($AG410:AM410))),0)</f>
        <v>0</v>
      </c>
      <c r="AO410" s="8">
        <f>IF($O410="Aktif",MAX(0,MIN($AE410,$AD410-SUM($AG410:AN410))),0)</f>
        <v>0</v>
      </c>
      <c r="AP410" s="8">
        <f>IF($O410="Aktif",MAX(0,MIN($AE410,$AD410-SUM($AG410:AO410))),0)</f>
        <v>0</v>
      </c>
      <c r="AQ410" s="8">
        <f>IF($O410="Aktif",MAX(0,MIN($AE410,$AD410-SUM($AG410:AP410))),0)</f>
        <v>0</v>
      </c>
      <c r="AR410" s="8">
        <f>IF($O410="Aktif",MAX(0,MIN($AE410,$AD410-SUM($AG410:AQ410))),0)</f>
        <v>0</v>
      </c>
      <c r="AS410" s="8">
        <f>IF($O410="Aktif",MAX(0,MIN($AE410,$AD410-SUM($AG410:AR410))),0)</f>
        <v>0</v>
      </c>
      <c r="AT410" s="8">
        <f>IF($O410="Aktif",MAX(0,MIN($AE410,$AD410-SUM($AG410:AS410))),0)</f>
        <v>0</v>
      </c>
      <c r="AU410" s="8">
        <f>IF($O410="Aktif",MAX(0,MIN($AE410,$AD410-SUM($AG410:AT410))),0)</f>
        <v>0</v>
      </c>
      <c r="AV410" s="8">
        <f>IF($O410="Aktif",MAX(0,MIN($AE410,$AD410-SUM($AG410:AU410))),0)</f>
        <v>0</v>
      </c>
      <c r="AW410" s="8">
        <f t="shared" si="47"/>
        <v>0</v>
      </c>
      <c r="AX410" s="8">
        <f t="shared" si="48"/>
        <v>0</v>
      </c>
    </row>
    <row r="411" spans="1:50" ht="15" customHeight="1" x14ac:dyDescent="0.35">
      <c r="A411" s="102">
        <v>405</v>
      </c>
      <c r="B411" s="102" t="s">
        <v>1326</v>
      </c>
      <c r="C411" s="103">
        <v>39</v>
      </c>
      <c r="D411" s="102" t="s">
        <v>185</v>
      </c>
      <c r="E411" s="102" t="s">
        <v>587</v>
      </c>
      <c r="F411" s="102" t="s">
        <v>1327</v>
      </c>
      <c r="G411" s="102" t="s">
        <v>1328</v>
      </c>
      <c r="H411" s="102" t="s">
        <v>1329</v>
      </c>
      <c r="I411" s="102" t="s">
        <v>63</v>
      </c>
      <c r="J411" s="102" t="s">
        <v>1384</v>
      </c>
      <c r="K411" s="102" t="s">
        <v>591</v>
      </c>
      <c r="L411" s="102" t="s">
        <v>1385</v>
      </c>
      <c r="M411" s="102" t="s">
        <v>1386</v>
      </c>
      <c r="N411" s="102" t="s">
        <v>1387</v>
      </c>
      <c r="O411" s="102" t="s">
        <v>383</v>
      </c>
      <c r="P411" s="103">
        <v>1</v>
      </c>
      <c r="Q411" s="105">
        <v>13531001</v>
      </c>
      <c r="R411" s="103">
        <v>48</v>
      </c>
      <c r="S411" s="105">
        <v>0</v>
      </c>
      <c r="T411" s="105">
        <v>13531001</v>
      </c>
      <c r="U411" s="105">
        <v>0</v>
      </c>
      <c r="V411" s="105">
        <v>0</v>
      </c>
      <c r="W411" s="105">
        <v>0</v>
      </c>
      <c r="X411" s="105">
        <v>0</v>
      </c>
      <c r="Y411" s="105">
        <v>0</v>
      </c>
      <c r="Z411" s="105">
        <v>0</v>
      </c>
      <c r="AA411" s="105">
        <v>0</v>
      </c>
      <c r="AB411" s="105">
        <v>0</v>
      </c>
      <c r="AC411" s="8">
        <f t="shared" si="42"/>
        <v>13531001</v>
      </c>
      <c r="AD411" s="8">
        <f t="shared" si="43"/>
        <v>0</v>
      </c>
      <c r="AE411" s="8">
        <f t="shared" si="44"/>
        <v>0</v>
      </c>
      <c r="AF411" s="106">
        <f t="shared" si="45"/>
        <v>0</v>
      </c>
      <c r="AG411" s="8">
        <f t="shared" si="46"/>
        <v>0</v>
      </c>
      <c r="AH411" s="8">
        <f>IF($O411="Aktif",MAX(0,MIN($AE411,$AD411-SUM($AG411:AG411))),0)</f>
        <v>0</v>
      </c>
      <c r="AI411" s="8">
        <f>IF($O411="Aktif",MAX(0,MIN($AE411,$AD411-SUM($AG411:AH411))),0)</f>
        <v>0</v>
      </c>
      <c r="AJ411" s="8">
        <f>IF($O411="Aktif",MAX(0,MIN($AE411,$AD411-SUM($AG411:AI411))),0)</f>
        <v>0</v>
      </c>
      <c r="AK411" s="8">
        <f>IF($O411="Aktif",MAX(0,MIN($AE411,$AD411-SUM($AG411:AJ411))),0)</f>
        <v>0</v>
      </c>
      <c r="AL411" s="8">
        <f>IF($O411="Aktif",MAX(0,MIN($AE411,$AD411-SUM($AG411:AK411))),0)</f>
        <v>0</v>
      </c>
      <c r="AM411" s="8">
        <f>IF($O411="Aktif",MAX(0,MIN($AE411,$AD411-SUM($AG411:AL411))),0)</f>
        <v>0</v>
      </c>
      <c r="AN411" s="8">
        <f>IF($O411="Aktif",MAX(0,MIN($AE411,$AD411-SUM($AG411:AM411))),0)</f>
        <v>0</v>
      </c>
      <c r="AO411" s="8">
        <f>IF($O411="Aktif",MAX(0,MIN($AE411,$AD411-SUM($AG411:AN411))),0)</f>
        <v>0</v>
      </c>
      <c r="AP411" s="8">
        <f>IF($O411="Aktif",MAX(0,MIN($AE411,$AD411-SUM($AG411:AO411))),0)</f>
        <v>0</v>
      </c>
      <c r="AQ411" s="8">
        <f>IF($O411="Aktif",MAX(0,MIN($AE411,$AD411-SUM($AG411:AP411))),0)</f>
        <v>0</v>
      </c>
      <c r="AR411" s="8">
        <f>IF($O411="Aktif",MAX(0,MIN($AE411,$AD411-SUM($AG411:AQ411))),0)</f>
        <v>0</v>
      </c>
      <c r="AS411" s="8">
        <f>IF($O411="Aktif",MAX(0,MIN($AE411,$AD411-SUM($AG411:AR411))),0)</f>
        <v>0</v>
      </c>
      <c r="AT411" s="8">
        <f>IF($O411="Aktif",MAX(0,MIN($AE411,$AD411-SUM($AG411:AS411))),0)</f>
        <v>0</v>
      </c>
      <c r="AU411" s="8">
        <f>IF($O411="Aktif",MAX(0,MIN($AE411,$AD411-SUM($AG411:AT411))),0)</f>
        <v>0</v>
      </c>
      <c r="AV411" s="8">
        <f>IF($O411="Aktif",MAX(0,MIN($AE411,$AD411-SUM($AG411:AU411))),0)</f>
        <v>0</v>
      </c>
      <c r="AW411" s="8">
        <f t="shared" si="47"/>
        <v>0</v>
      </c>
      <c r="AX411" s="8">
        <f t="shared" si="48"/>
        <v>0</v>
      </c>
    </row>
    <row r="412" spans="1:50" ht="15" customHeight="1" x14ac:dyDescent="0.35">
      <c r="A412" s="102">
        <v>406</v>
      </c>
      <c r="B412" s="102" t="s">
        <v>1326</v>
      </c>
      <c r="C412" s="103">
        <v>40</v>
      </c>
      <c r="D412" s="102" t="s">
        <v>185</v>
      </c>
      <c r="E412" s="102" t="s">
        <v>587</v>
      </c>
      <c r="F412" s="102" t="s">
        <v>1327</v>
      </c>
      <c r="G412" s="102" t="s">
        <v>1328</v>
      </c>
      <c r="H412" s="102" t="s">
        <v>1329</v>
      </c>
      <c r="I412" s="102" t="s">
        <v>63</v>
      </c>
      <c r="J412" s="102" t="s">
        <v>1388</v>
      </c>
      <c r="K412" s="102" t="s">
        <v>591</v>
      </c>
      <c r="L412" s="102" t="s">
        <v>1385</v>
      </c>
      <c r="M412" s="102" t="s">
        <v>1389</v>
      </c>
      <c r="N412" s="102" t="s">
        <v>1390</v>
      </c>
      <c r="O412" s="102" t="s">
        <v>383</v>
      </c>
      <c r="P412" s="103">
        <v>1</v>
      </c>
      <c r="Q412" s="105">
        <v>1900000</v>
      </c>
      <c r="R412" s="103">
        <v>48</v>
      </c>
      <c r="S412" s="105">
        <v>0</v>
      </c>
      <c r="T412" s="105">
        <v>1900000</v>
      </c>
      <c r="U412" s="105">
        <v>0</v>
      </c>
      <c r="V412" s="105">
        <v>0</v>
      </c>
      <c r="W412" s="105">
        <v>0</v>
      </c>
      <c r="X412" s="105">
        <v>0</v>
      </c>
      <c r="Y412" s="105">
        <v>0</v>
      </c>
      <c r="Z412" s="105">
        <v>0</v>
      </c>
      <c r="AA412" s="105">
        <v>0</v>
      </c>
      <c r="AB412" s="105">
        <v>0</v>
      </c>
      <c r="AC412" s="8">
        <f t="shared" si="42"/>
        <v>1900000</v>
      </c>
      <c r="AD412" s="8">
        <f t="shared" si="43"/>
        <v>0</v>
      </c>
      <c r="AE412" s="8">
        <f t="shared" si="44"/>
        <v>0</v>
      </c>
      <c r="AF412" s="106">
        <f t="shared" si="45"/>
        <v>0</v>
      </c>
      <c r="AG412" s="8">
        <f t="shared" si="46"/>
        <v>0</v>
      </c>
      <c r="AH412" s="8">
        <f>IF($O412="Aktif",MAX(0,MIN($AE412,$AD412-SUM($AG412:AG412))),0)</f>
        <v>0</v>
      </c>
      <c r="AI412" s="8">
        <f>IF($O412="Aktif",MAX(0,MIN($AE412,$AD412-SUM($AG412:AH412))),0)</f>
        <v>0</v>
      </c>
      <c r="AJ412" s="8">
        <f>IF($O412="Aktif",MAX(0,MIN($AE412,$AD412-SUM($AG412:AI412))),0)</f>
        <v>0</v>
      </c>
      <c r="AK412" s="8">
        <f>IF($O412="Aktif",MAX(0,MIN($AE412,$AD412-SUM($AG412:AJ412))),0)</f>
        <v>0</v>
      </c>
      <c r="AL412" s="8">
        <f>IF($O412="Aktif",MAX(0,MIN($AE412,$AD412-SUM($AG412:AK412))),0)</f>
        <v>0</v>
      </c>
      <c r="AM412" s="8">
        <f>IF($O412="Aktif",MAX(0,MIN($AE412,$AD412-SUM($AG412:AL412))),0)</f>
        <v>0</v>
      </c>
      <c r="AN412" s="8">
        <f>IF($O412="Aktif",MAX(0,MIN($AE412,$AD412-SUM($AG412:AM412))),0)</f>
        <v>0</v>
      </c>
      <c r="AO412" s="8">
        <f>IF($O412="Aktif",MAX(0,MIN($AE412,$AD412-SUM($AG412:AN412))),0)</f>
        <v>0</v>
      </c>
      <c r="AP412" s="8">
        <f>IF($O412="Aktif",MAX(0,MIN($AE412,$AD412-SUM($AG412:AO412))),0)</f>
        <v>0</v>
      </c>
      <c r="AQ412" s="8">
        <f>IF($O412="Aktif",MAX(0,MIN($AE412,$AD412-SUM($AG412:AP412))),0)</f>
        <v>0</v>
      </c>
      <c r="AR412" s="8">
        <f>IF($O412="Aktif",MAX(0,MIN($AE412,$AD412-SUM($AG412:AQ412))),0)</f>
        <v>0</v>
      </c>
      <c r="AS412" s="8">
        <f>IF($O412="Aktif",MAX(0,MIN($AE412,$AD412-SUM($AG412:AR412))),0)</f>
        <v>0</v>
      </c>
      <c r="AT412" s="8">
        <f>IF($O412="Aktif",MAX(0,MIN($AE412,$AD412-SUM($AG412:AS412))),0)</f>
        <v>0</v>
      </c>
      <c r="AU412" s="8">
        <f>IF($O412="Aktif",MAX(0,MIN($AE412,$AD412-SUM($AG412:AT412))),0)</f>
        <v>0</v>
      </c>
      <c r="AV412" s="8">
        <f>IF($O412="Aktif",MAX(0,MIN($AE412,$AD412-SUM($AG412:AU412))),0)</f>
        <v>0</v>
      </c>
      <c r="AW412" s="8">
        <f t="shared" si="47"/>
        <v>0</v>
      </c>
      <c r="AX412" s="8">
        <f t="shared" si="48"/>
        <v>0</v>
      </c>
    </row>
    <row r="413" spans="1:50" ht="15" customHeight="1" x14ac:dyDescent="0.35">
      <c r="A413" s="102">
        <v>407</v>
      </c>
      <c r="B413" s="102" t="s">
        <v>1326</v>
      </c>
      <c r="C413" s="103">
        <v>41</v>
      </c>
      <c r="D413" s="102" t="s">
        <v>185</v>
      </c>
      <c r="E413" s="102" t="s">
        <v>587</v>
      </c>
      <c r="F413" s="102" t="s">
        <v>1327</v>
      </c>
      <c r="G413" s="102" t="s">
        <v>1328</v>
      </c>
      <c r="H413" s="102" t="s">
        <v>1329</v>
      </c>
      <c r="I413" s="102" t="s">
        <v>63</v>
      </c>
      <c r="J413" s="102" t="s">
        <v>1391</v>
      </c>
      <c r="K413" s="102" t="s">
        <v>591</v>
      </c>
      <c r="L413" s="102" t="s">
        <v>1392</v>
      </c>
      <c r="M413" s="102" t="s">
        <v>1393</v>
      </c>
      <c r="N413" s="102" t="s">
        <v>1394</v>
      </c>
      <c r="O413" s="102" t="s">
        <v>383</v>
      </c>
      <c r="P413" s="103">
        <v>1</v>
      </c>
      <c r="Q413" s="105">
        <v>1210000</v>
      </c>
      <c r="R413" s="103">
        <v>48</v>
      </c>
      <c r="S413" s="105">
        <v>0</v>
      </c>
      <c r="T413" s="105">
        <v>1210000</v>
      </c>
      <c r="U413" s="105">
        <v>0</v>
      </c>
      <c r="V413" s="105">
        <v>0</v>
      </c>
      <c r="W413" s="105">
        <v>0</v>
      </c>
      <c r="X413" s="105">
        <v>0</v>
      </c>
      <c r="Y413" s="105">
        <v>0</v>
      </c>
      <c r="Z413" s="105">
        <v>0</v>
      </c>
      <c r="AA413" s="105">
        <v>0</v>
      </c>
      <c r="AB413" s="105">
        <v>0</v>
      </c>
      <c r="AC413" s="8">
        <f t="shared" si="42"/>
        <v>1210000</v>
      </c>
      <c r="AD413" s="8">
        <f t="shared" si="43"/>
        <v>0</v>
      </c>
      <c r="AE413" s="8">
        <f t="shared" si="44"/>
        <v>0</v>
      </c>
      <c r="AF413" s="106">
        <f t="shared" si="45"/>
        <v>0</v>
      </c>
      <c r="AG413" s="8">
        <f t="shared" si="46"/>
        <v>0</v>
      </c>
      <c r="AH413" s="8">
        <f>IF($O413="Aktif",MAX(0,MIN($AE413,$AD413-SUM($AG413:AG413))),0)</f>
        <v>0</v>
      </c>
      <c r="AI413" s="8">
        <f>IF($O413="Aktif",MAX(0,MIN($AE413,$AD413-SUM($AG413:AH413))),0)</f>
        <v>0</v>
      </c>
      <c r="AJ413" s="8">
        <f>IF($O413="Aktif",MAX(0,MIN($AE413,$AD413-SUM($AG413:AI413))),0)</f>
        <v>0</v>
      </c>
      <c r="AK413" s="8">
        <f>IF($O413="Aktif",MAX(0,MIN($AE413,$AD413-SUM($AG413:AJ413))),0)</f>
        <v>0</v>
      </c>
      <c r="AL413" s="8">
        <f>IF($O413="Aktif",MAX(0,MIN($AE413,$AD413-SUM($AG413:AK413))),0)</f>
        <v>0</v>
      </c>
      <c r="AM413" s="8">
        <f>IF($O413="Aktif",MAX(0,MIN($AE413,$AD413-SUM($AG413:AL413))),0)</f>
        <v>0</v>
      </c>
      <c r="AN413" s="8">
        <f>IF($O413="Aktif",MAX(0,MIN($AE413,$AD413-SUM($AG413:AM413))),0)</f>
        <v>0</v>
      </c>
      <c r="AO413" s="8">
        <f>IF($O413="Aktif",MAX(0,MIN($AE413,$AD413-SUM($AG413:AN413))),0)</f>
        <v>0</v>
      </c>
      <c r="AP413" s="8">
        <f>IF($O413="Aktif",MAX(0,MIN($AE413,$AD413-SUM($AG413:AO413))),0)</f>
        <v>0</v>
      </c>
      <c r="AQ413" s="8">
        <f>IF($O413="Aktif",MAX(0,MIN($AE413,$AD413-SUM($AG413:AP413))),0)</f>
        <v>0</v>
      </c>
      <c r="AR413" s="8">
        <f>IF($O413="Aktif",MAX(0,MIN($AE413,$AD413-SUM($AG413:AQ413))),0)</f>
        <v>0</v>
      </c>
      <c r="AS413" s="8">
        <f>IF($O413="Aktif",MAX(0,MIN($AE413,$AD413-SUM($AG413:AR413))),0)</f>
        <v>0</v>
      </c>
      <c r="AT413" s="8">
        <f>IF($O413="Aktif",MAX(0,MIN($AE413,$AD413-SUM($AG413:AS413))),0)</f>
        <v>0</v>
      </c>
      <c r="AU413" s="8">
        <f>IF($O413="Aktif",MAX(0,MIN($AE413,$AD413-SUM($AG413:AT413))),0)</f>
        <v>0</v>
      </c>
      <c r="AV413" s="8">
        <f>IF($O413="Aktif",MAX(0,MIN($AE413,$AD413-SUM($AG413:AU413))),0)</f>
        <v>0</v>
      </c>
      <c r="AW413" s="8">
        <f t="shared" si="47"/>
        <v>0</v>
      </c>
      <c r="AX413" s="8">
        <f t="shared" si="48"/>
        <v>0</v>
      </c>
    </row>
    <row r="414" spans="1:50" ht="15" customHeight="1" x14ac:dyDescent="0.35">
      <c r="A414" s="102">
        <v>408</v>
      </c>
      <c r="B414" s="102" t="s">
        <v>1326</v>
      </c>
      <c r="C414" s="103">
        <v>42</v>
      </c>
      <c r="D414" s="102" t="s">
        <v>185</v>
      </c>
      <c r="E414" s="102" t="s">
        <v>587</v>
      </c>
      <c r="F414" s="102" t="s">
        <v>1327</v>
      </c>
      <c r="G414" s="102" t="s">
        <v>1328</v>
      </c>
      <c r="H414" s="102" t="s">
        <v>1329</v>
      </c>
      <c r="I414" s="102" t="s">
        <v>63</v>
      </c>
      <c r="J414" s="102" t="s">
        <v>1395</v>
      </c>
      <c r="K414" s="102" t="s">
        <v>591</v>
      </c>
      <c r="L414" s="102" t="s">
        <v>1396</v>
      </c>
      <c r="M414" s="102" t="s">
        <v>1397</v>
      </c>
      <c r="N414" s="102" t="s">
        <v>1398</v>
      </c>
      <c r="O414" s="102" t="s">
        <v>383</v>
      </c>
      <c r="P414" s="103">
        <v>1</v>
      </c>
      <c r="Q414" s="105">
        <v>24487000</v>
      </c>
      <c r="R414" s="103">
        <v>48</v>
      </c>
      <c r="S414" s="105">
        <v>0</v>
      </c>
      <c r="T414" s="105">
        <v>24487000</v>
      </c>
      <c r="U414" s="105">
        <v>0</v>
      </c>
      <c r="V414" s="105">
        <v>0</v>
      </c>
      <c r="W414" s="105">
        <v>0</v>
      </c>
      <c r="X414" s="105">
        <v>0</v>
      </c>
      <c r="Y414" s="105">
        <v>0</v>
      </c>
      <c r="Z414" s="105">
        <v>0</v>
      </c>
      <c r="AA414" s="105">
        <v>0</v>
      </c>
      <c r="AB414" s="105">
        <v>0</v>
      </c>
      <c r="AC414" s="8">
        <f t="shared" si="42"/>
        <v>24487000</v>
      </c>
      <c r="AD414" s="8">
        <f t="shared" si="43"/>
        <v>0</v>
      </c>
      <c r="AE414" s="8">
        <f t="shared" si="44"/>
        <v>0</v>
      </c>
      <c r="AF414" s="106">
        <f t="shared" si="45"/>
        <v>0</v>
      </c>
      <c r="AG414" s="8">
        <f t="shared" si="46"/>
        <v>0</v>
      </c>
      <c r="AH414" s="8">
        <f>IF($O414="Aktif",MAX(0,MIN($AE414,$AD414-SUM($AG414:AG414))),0)</f>
        <v>0</v>
      </c>
      <c r="AI414" s="8">
        <f>IF($O414="Aktif",MAX(0,MIN($AE414,$AD414-SUM($AG414:AH414))),0)</f>
        <v>0</v>
      </c>
      <c r="AJ414" s="8">
        <f>IF($O414="Aktif",MAX(0,MIN($AE414,$AD414-SUM($AG414:AI414))),0)</f>
        <v>0</v>
      </c>
      <c r="AK414" s="8">
        <f>IF($O414="Aktif",MAX(0,MIN($AE414,$AD414-SUM($AG414:AJ414))),0)</f>
        <v>0</v>
      </c>
      <c r="AL414" s="8">
        <f>IF($O414="Aktif",MAX(0,MIN($AE414,$AD414-SUM($AG414:AK414))),0)</f>
        <v>0</v>
      </c>
      <c r="AM414" s="8">
        <f>IF($O414="Aktif",MAX(0,MIN($AE414,$AD414-SUM($AG414:AL414))),0)</f>
        <v>0</v>
      </c>
      <c r="AN414" s="8">
        <f>IF($O414="Aktif",MAX(0,MIN($AE414,$AD414-SUM($AG414:AM414))),0)</f>
        <v>0</v>
      </c>
      <c r="AO414" s="8">
        <f>IF($O414="Aktif",MAX(0,MIN($AE414,$AD414-SUM($AG414:AN414))),0)</f>
        <v>0</v>
      </c>
      <c r="AP414" s="8">
        <f>IF($O414="Aktif",MAX(0,MIN($AE414,$AD414-SUM($AG414:AO414))),0)</f>
        <v>0</v>
      </c>
      <c r="AQ414" s="8">
        <f>IF($O414="Aktif",MAX(0,MIN($AE414,$AD414-SUM($AG414:AP414))),0)</f>
        <v>0</v>
      </c>
      <c r="AR414" s="8">
        <f>IF($O414="Aktif",MAX(0,MIN($AE414,$AD414-SUM($AG414:AQ414))),0)</f>
        <v>0</v>
      </c>
      <c r="AS414" s="8">
        <f>IF($O414="Aktif",MAX(0,MIN($AE414,$AD414-SUM($AG414:AR414))),0)</f>
        <v>0</v>
      </c>
      <c r="AT414" s="8">
        <f>IF($O414="Aktif",MAX(0,MIN($AE414,$AD414-SUM($AG414:AS414))),0)</f>
        <v>0</v>
      </c>
      <c r="AU414" s="8">
        <f>IF($O414="Aktif",MAX(0,MIN($AE414,$AD414-SUM($AG414:AT414))),0)</f>
        <v>0</v>
      </c>
      <c r="AV414" s="8">
        <f>IF($O414="Aktif",MAX(0,MIN($AE414,$AD414-SUM($AG414:AU414))),0)</f>
        <v>0</v>
      </c>
      <c r="AW414" s="8">
        <f t="shared" si="47"/>
        <v>0</v>
      </c>
      <c r="AX414" s="8">
        <f t="shared" si="48"/>
        <v>0</v>
      </c>
    </row>
    <row r="415" spans="1:50" ht="15" customHeight="1" x14ac:dyDescent="0.35">
      <c r="A415" s="102">
        <v>409</v>
      </c>
      <c r="B415" s="102" t="s">
        <v>1326</v>
      </c>
      <c r="C415" s="103">
        <v>43</v>
      </c>
      <c r="D415" s="102" t="s">
        <v>185</v>
      </c>
      <c r="E415" s="102" t="s">
        <v>587</v>
      </c>
      <c r="F415" s="102" t="s">
        <v>1327</v>
      </c>
      <c r="G415" s="102" t="s">
        <v>1328</v>
      </c>
      <c r="H415" s="102" t="s">
        <v>1329</v>
      </c>
      <c r="I415" s="102" t="s">
        <v>63</v>
      </c>
      <c r="J415" s="102" t="s">
        <v>1399</v>
      </c>
      <c r="K415" s="102" t="s">
        <v>591</v>
      </c>
      <c r="L415" s="102" t="s">
        <v>1400</v>
      </c>
      <c r="M415" s="102" t="s">
        <v>1401</v>
      </c>
      <c r="N415" s="102" t="s">
        <v>1402</v>
      </c>
      <c r="O415" s="102" t="s">
        <v>383</v>
      </c>
      <c r="P415" s="103">
        <v>1</v>
      </c>
      <c r="Q415" s="105">
        <v>78000</v>
      </c>
      <c r="R415" s="103">
        <v>48</v>
      </c>
      <c r="S415" s="105">
        <v>0</v>
      </c>
      <c r="T415" s="105">
        <v>78000</v>
      </c>
      <c r="U415" s="105">
        <v>0</v>
      </c>
      <c r="V415" s="105">
        <v>0</v>
      </c>
      <c r="W415" s="105">
        <v>0</v>
      </c>
      <c r="X415" s="105">
        <v>0</v>
      </c>
      <c r="Y415" s="105">
        <v>0</v>
      </c>
      <c r="Z415" s="105">
        <v>0</v>
      </c>
      <c r="AA415" s="105">
        <v>0</v>
      </c>
      <c r="AB415" s="105">
        <v>0</v>
      </c>
      <c r="AC415" s="8">
        <f t="shared" si="42"/>
        <v>78000</v>
      </c>
      <c r="AD415" s="8">
        <f t="shared" si="43"/>
        <v>0</v>
      </c>
      <c r="AE415" s="8">
        <f t="shared" si="44"/>
        <v>0</v>
      </c>
      <c r="AF415" s="106">
        <f t="shared" si="45"/>
        <v>0</v>
      </c>
      <c r="AG415" s="8">
        <f t="shared" si="46"/>
        <v>0</v>
      </c>
      <c r="AH415" s="8">
        <f>IF($O415="Aktif",MAX(0,MIN($AE415,$AD415-SUM($AG415:AG415))),0)</f>
        <v>0</v>
      </c>
      <c r="AI415" s="8">
        <f>IF($O415="Aktif",MAX(0,MIN($AE415,$AD415-SUM($AG415:AH415))),0)</f>
        <v>0</v>
      </c>
      <c r="AJ415" s="8">
        <f>IF($O415="Aktif",MAX(0,MIN($AE415,$AD415-SUM($AG415:AI415))),0)</f>
        <v>0</v>
      </c>
      <c r="AK415" s="8">
        <f>IF($O415="Aktif",MAX(0,MIN($AE415,$AD415-SUM($AG415:AJ415))),0)</f>
        <v>0</v>
      </c>
      <c r="AL415" s="8">
        <f>IF($O415="Aktif",MAX(0,MIN($AE415,$AD415-SUM($AG415:AK415))),0)</f>
        <v>0</v>
      </c>
      <c r="AM415" s="8">
        <f>IF($O415="Aktif",MAX(0,MIN($AE415,$AD415-SUM($AG415:AL415))),0)</f>
        <v>0</v>
      </c>
      <c r="AN415" s="8">
        <f>IF($O415="Aktif",MAX(0,MIN($AE415,$AD415-SUM($AG415:AM415))),0)</f>
        <v>0</v>
      </c>
      <c r="AO415" s="8">
        <f>IF($O415="Aktif",MAX(0,MIN($AE415,$AD415-SUM($AG415:AN415))),0)</f>
        <v>0</v>
      </c>
      <c r="AP415" s="8">
        <f>IF($O415="Aktif",MAX(0,MIN($AE415,$AD415-SUM($AG415:AO415))),0)</f>
        <v>0</v>
      </c>
      <c r="AQ415" s="8">
        <f>IF($O415="Aktif",MAX(0,MIN($AE415,$AD415-SUM($AG415:AP415))),0)</f>
        <v>0</v>
      </c>
      <c r="AR415" s="8">
        <f>IF($O415="Aktif",MAX(0,MIN($AE415,$AD415-SUM($AG415:AQ415))),0)</f>
        <v>0</v>
      </c>
      <c r="AS415" s="8">
        <f>IF($O415="Aktif",MAX(0,MIN($AE415,$AD415-SUM($AG415:AR415))),0)</f>
        <v>0</v>
      </c>
      <c r="AT415" s="8">
        <f>IF($O415="Aktif",MAX(0,MIN($AE415,$AD415-SUM($AG415:AS415))),0)</f>
        <v>0</v>
      </c>
      <c r="AU415" s="8">
        <f>IF($O415="Aktif",MAX(0,MIN($AE415,$AD415-SUM($AG415:AT415))),0)</f>
        <v>0</v>
      </c>
      <c r="AV415" s="8">
        <f>IF($O415="Aktif",MAX(0,MIN($AE415,$AD415-SUM($AG415:AU415))),0)</f>
        <v>0</v>
      </c>
      <c r="AW415" s="8">
        <f t="shared" si="47"/>
        <v>0</v>
      </c>
      <c r="AX415" s="8">
        <f t="shared" si="48"/>
        <v>0</v>
      </c>
    </row>
    <row r="416" spans="1:50" ht="15" customHeight="1" x14ac:dyDescent="0.35">
      <c r="A416" s="102">
        <v>410</v>
      </c>
      <c r="B416" s="102" t="s">
        <v>1326</v>
      </c>
      <c r="C416" s="103">
        <v>44</v>
      </c>
      <c r="D416" s="102" t="s">
        <v>185</v>
      </c>
      <c r="E416" s="102" t="s">
        <v>587</v>
      </c>
      <c r="F416" s="102" t="s">
        <v>1327</v>
      </c>
      <c r="G416" s="102" t="s">
        <v>1328</v>
      </c>
      <c r="H416" s="102" t="s">
        <v>1329</v>
      </c>
      <c r="I416" s="102" t="s">
        <v>63</v>
      </c>
      <c r="J416" s="102" t="s">
        <v>1403</v>
      </c>
      <c r="K416" s="102" t="s">
        <v>591</v>
      </c>
      <c r="L416" s="102" t="s">
        <v>1404</v>
      </c>
      <c r="M416" s="102" t="s">
        <v>1405</v>
      </c>
      <c r="N416" s="102" t="s">
        <v>1406</v>
      </c>
      <c r="O416" s="102" t="s">
        <v>383</v>
      </c>
      <c r="P416" s="103">
        <v>1</v>
      </c>
      <c r="Q416" s="105">
        <v>444000</v>
      </c>
      <c r="R416" s="103">
        <v>48</v>
      </c>
      <c r="S416" s="105">
        <v>0</v>
      </c>
      <c r="T416" s="105">
        <v>444000</v>
      </c>
      <c r="U416" s="105">
        <v>0</v>
      </c>
      <c r="V416" s="105">
        <v>0</v>
      </c>
      <c r="W416" s="105">
        <v>0</v>
      </c>
      <c r="X416" s="105">
        <v>0</v>
      </c>
      <c r="Y416" s="105">
        <v>0</v>
      </c>
      <c r="Z416" s="105">
        <v>0</v>
      </c>
      <c r="AA416" s="105">
        <v>0</v>
      </c>
      <c r="AB416" s="105">
        <v>0</v>
      </c>
      <c r="AC416" s="8">
        <f t="shared" si="42"/>
        <v>444000</v>
      </c>
      <c r="AD416" s="8">
        <f t="shared" si="43"/>
        <v>0</v>
      </c>
      <c r="AE416" s="8">
        <f t="shared" si="44"/>
        <v>0</v>
      </c>
      <c r="AF416" s="106">
        <f t="shared" si="45"/>
        <v>0</v>
      </c>
      <c r="AG416" s="8">
        <f t="shared" si="46"/>
        <v>0</v>
      </c>
      <c r="AH416" s="8">
        <f>IF($O416="Aktif",MAX(0,MIN($AE416,$AD416-SUM($AG416:AG416))),0)</f>
        <v>0</v>
      </c>
      <c r="AI416" s="8">
        <f>IF($O416="Aktif",MAX(0,MIN($AE416,$AD416-SUM($AG416:AH416))),0)</f>
        <v>0</v>
      </c>
      <c r="AJ416" s="8">
        <f>IF($O416="Aktif",MAX(0,MIN($AE416,$AD416-SUM($AG416:AI416))),0)</f>
        <v>0</v>
      </c>
      <c r="AK416" s="8">
        <f>IF($O416="Aktif",MAX(0,MIN($AE416,$AD416-SUM($AG416:AJ416))),0)</f>
        <v>0</v>
      </c>
      <c r="AL416" s="8">
        <f>IF($O416="Aktif",MAX(0,MIN($AE416,$AD416-SUM($AG416:AK416))),0)</f>
        <v>0</v>
      </c>
      <c r="AM416" s="8">
        <f>IF($O416="Aktif",MAX(0,MIN($AE416,$AD416-SUM($AG416:AL416))),0)</f>
        <v>0</v>
      </c>
      <c r="AN416" s="8">
        <f>IF($O416="Aktif",MAX(0,MIN($AE416,$AD416-SUM($AG416:AM416))),0)</f>
        <v>0</v>
      </c>
      <c r="AO416" s="8">
        <f>IF($O416="Aktif",MAX(0,MIN($AE416,$AD416-SUM($AG416:AN416))),0)</f>
        <v>0</v>
      </c>
      <c r="AP416" s="8">
        <f>IF($O416="Aktif",MAX(0,MIN($AE416,$AD416-SUM($AG416:AO416))),0)</f>
        <v>0</v>
      </c>
      <c r="AQ416" s="8">
        <f>IF($O416="Aktif",MAX(0,MIN($AE416,$AD416-SUM($AG416:AP416))),0)</f>
        <v>0</v>
      </c>
      <c r="AR416" s="8">
        <f>IF($O416="Aktif",MAX(0,MIN($AE416,$AD416-SUM($AG416:AQ416))),0)</f>
        <v>0</v>
      </c>
      <c r="AS416" s="8">
        <f>IF($O416="Aktif",MAX(0,MIN($AE416,$AD416-SUM($AG416:AR416))),0)</f>
        <v>0</v>
      </c>
      <c r="AT416" s="8">
        <f>IF($O416="Aktif",MAX(0,MIN($AE416,$AD416-SUM($AG416:AS416))),0)</f>
        <v>0</v>
      </c>
      <c r="AU416" s="8">
        <f>IF($O416="Aktif",MAX(0,MIN($AE416,$AD416-SUM($AG416:AT416))),0)</f>
        <v>0</v>
      </c>
      <c r="AV416" s="8">
        <f>IF($O416="Aktif",MAX(0,MIN($AE416,$AD416-SUM($AG416:AU416))),0)</f>
        <v>0</v>
      </c>
      <c r="AW416" s="8">
        <f t="shared" si="47"/>
        <v>0</v>
      </c>
      <c r="AX416" s="8">
        <f t="shared" si="48"/>
        <v>0</v>
      </c>
    </row>
    <row r="417" spans="1:50" ht="15" customHeight="1" x14ac:dyDescent="0.35">
      <c r="A417" s="102">
        <v>411</v>
      </c>
      <c r="B417" s="102" t="s">
        <v>1326</v>
      </c>
      <c r="C417" s="103">
        <v>45</v>
      </c>
      <c r="D417" s="102" t="s">
        <v>185</v>
      </c>
      <c r="E417" s="102" t="s">
        <v>587</v>
      </c>
      <c r="F417" s="102" t="s">
        <v>1327</v>
      </c>
      <c r="G417" s="102" t="s">
        <v>1328</v>
      </c>
      <c r="H417" s="102" t="s">
        <v>1329</v>
      </c>
      <c r="I417" s="102" t="s">
        <v>63</v>
      </c>
      <c r="J417" s="102" t="s">
        <v>1407</v>
      </c>
      <c r="K417" s="102" t="s">
        <v>591</v>
      </c>
      <c r="L417" s="102" t="s">
        <v>1408</v>
      </c>
      <c r="M417" s="102" t="s">
        <v>1409</v>
      </c>
      <c r="N417" s="102" t="s">
        <v>1410</v>
      </c>
      <c r="O417" s="102" t="s">
        <v>383</v>
      </c>
      <c r="P417" s="103">
        <v>1</v>
      </c>
      <c r="Q417" s="105">
        <v>600000</v>
      </c>
      <c r="R417" s="103">
        <v>48</v>
      </c>
      <c r="S417" s="105">
        <v>0</v>
      </c>
      <c r="T417" s="105">
        <v>600000</v>
      </c>
      <c r="U417" s="105">
        <v>0</v>
      </c>
      <c r="V417" s="105">
        <v>0</v>
      </c>
      <c r="W417" s="105">
        <v>0</v>
      </c>
      <c r="X417" s="105">
        <v>0</v>
      </c>
      <c r="Y417" s="105">
        <v>0</v>
      </c>
      <c r="Z417" s="105">
        <v>0</v>
      </c>
      <c r="AA417" s="105">
        <v>0</v>
      </c>
      <c r="AB417" s="105">
        <v>0</v>
      </c>
      <c r="AC417" s="8">
        <f t="shared" si="42"/>
        <v>600000</v>
      </c>
      <c r="AD417" s="8">
        <f t="shared" si="43"/>
        <v>0</v>
      </c>
      <c r="AE417" s="8">
        <f t="shared" si="44"/>
        <v>0</v>
      </c>
      <c r="AF417" s="106">
        <f t="shared" si="45"/>
        <v>0</v>
      </c>
      <c r="AG417" s="8">
        <f t="shared" si="46"/>
        <v>0</v>
      </c>
      <c r="AH417" s="8">
        <f>IF($O417="Aktif",MAX(0,MIN($AE417,$AD417-SUM($AG417:AG417))),0)</f>
        <v>0</v>
      </c>
      <c r="AI417" s="8">
        <f>IF($O417="Aktif",MAX(0,MIN($AE417,$AD417-SUM($AG417:AH417))),0)</f>
        <v>0</v>
      </c>
      <c r="AJ417" s="8">
        <f>IF($O417="Aktif",MAX(0,MIN($AE417,$AD417-SUM($AG417:AI417))),0)</f>
        <v>0</v>
      </c>
      <c r="AK417" s="8">
        <f>IF($O417="Aktif",MAX(0,MIN($AE417,$AD417-SUM($AG417:AJ417))),0)</f>
        <v>0</v>
      </c>
      <c r="AL417" s="8">
        <f>IF($O417="Aktif",MAX(0,MIN($AE417,$AD417-SUM($AG417:AK417))),0)</f>
        <v>0</v>
      </c>
      <c r="AM417" s="8">
        <f>IF($O417="Aktif",MAX(0,MIN($AE417,$AD417-SUM($AG417:AL417))),0)</f>
        <v>0</v>
      </c>
      <c r="AN417" s="8">
        <f>IF($O417="Aktif",MAX(0,MIN($AE417,$AD417-SUM($AG417:AM417))),0)</f>
        <v>0</v>
      </c>
      <c r="AO417" s="8">
        <f>IF($O417="Aktif",MAX(0,MIN($AE417,$AD417-SUM($AG417:AN417))),0)</f>
        <v>0</v>
      </c>
      <c r="AP417" s="8">
        <f>IF($O417="Aktif",MAX(0,MIN($AE417,$AD417-SUM($AG417:AO417))),0)</f>
        <v>0</v>
      </c>
      <c r="AQ417" s="8">
        <f>IF($O417="Aktif",MAX(0,MIN($AE417,$AD417-SUM($AG417:AP417))),0)</f>
        <v>0</v>
      </c>
      <c r="AR417" s="8">
        <f>IF($O417="Aktif",MAX(0,MIN($AE417,$AD417-SUM($AG417:AQ417))),0)</f>
        <v>0</v>
      </c>
      <c r="AS417" s="8">
        <f>IF($O417="Aktif",MAX(0,MIN($AE417,$AD417-SUM($AG417:AR417))),0)</f>
        <v>0</v>
      </c>
      <c r="AT417" s="8">
        <f>IF($O417="Aktif",MAX(0,MIN($AE417,$AD417-SUM($AG417:AS417))),0)</f>
        <v>0</v>
      </c>
      <c r="AU417" s="8">
        <f>IF($O417="Aktif",MAX(0,MIN($AE417,$AD417-SUM($AG417:AT417))),0)</f>
        <v>0</v>
      </c>
      <c r="AV417" s="8">
        <f>IF($O417="Aktif",MAX(0,MIN($AE417,$AD417-SUM($AG417:AU417))),0)</f>
        <v>0</v>
      </c>
      <c r="AW417" s="8">
        <f t="shared" si="47"/>
        <v>0</v>
      </c>
      <c r="AX417" s="8">
        <f t="shared" si="48"/>
        <v>0</v>
      </c>
    </row>
    <row r="418" spans="1:50" ht="15" customHeight="1" x14ac:dyDescent="0.35">
      <c r="A418" s="102">
        <v>412</v>
      </c>
      <c r="B418" s="102" t="s">
        <v>1326</v>
      </c>
      <c r="C418" s="103">
        <v>46</v>
      </c>
      <c r="D418" s="102" t="s">
        <v>185</v>
      </c>
      <c r="E418" s="102" t="s">
        <v>587</v>
      </c>
      <c r="F418" s="102" t="s">
        <v>1327</v>
      </c>
      <c r="G418" s="102" t="s">
        <v>1328</v>
      </c>
      <c r="H418" s="102" t="s">
        <v>1329</v>
      </c>
      <c r="I418" s="102" t="s">
        <v>63</v>
      </c>
      <c r="J418" s="102" t="s">
        <v>1411</v>
      </c>
      <c r="K418" s="102" t="s">
        <v>591</v>
      </c>
      <c r="L418" s="102" t="s">
        <v>1412</v>
      </c>
      <c r="M418" s="102" t="s">
        <v>1413</v>
      </c>
      <c r="N418" s="102" t="s">
        <v>1414</v>
      </c>
      <c r="O418" s="102" t="s">
        <v>383</v>
      </c>
      <c r="P418" s="103">
        <v>1</v>
      </c>
      <c r="Q418" s="105">
        <v>1200000</v>
      </c>
      <c r="R418" s="103">
        <v>48</v>
      </c>
      <c r="S418" s="105">
        <v>0</v>
      </c>
      <c r="T418" s="105">
        <v>1200000</v>
      </c>
      <c r="U418" s="105">
        <v>0</v>
      </c>
      <c r="V418" s="105">
        <v>0</v>
      </c>
      <c r="W418" s="105">
        <v>0</v>
      </c>
      <c r="X418" s="105">
        <v>0</v>
      </c>
      <c r="Y418" s="105">
        <v>0</v>
      </c>
      <c r="Z418" s="105">
        <v>0</v>
      </c>
      <c r="AA418" s="105">
        <v>0</v>
      </c>
      <c r="AB418" s="105">
        <v>0</v>
      </c>
      <c r="AC418" s="8">
        <f t="shared" si="42"/>
        <v>1200000</v>
      </c>
      <c r="AD418" s="8">
        <f t="shared" si="43"/>
        <v>0</v>
      </c>
      <c r="AE418" s="8">
        <f t="shared" si="44"/>
        <v>0</v>
      </c>
      <c r="AF418" s="106">
        <f t="shared" si="45"/>
        <v>0</v>
      </c>
      <c r="AG418" s="8">
        <f t="shared" si="46"/>
        <v>0</v>
      </c>
      <c r="AH418" s="8">
        <f>IF($O418="Aktif",MAX(0,MIN($AE418,$AD418-SUM($AG418:AG418))),0)</f>
        <v>0</v>
      </c>
      <c r="AI418" s="8">
        <f>IF($O418="Aktif",MAX(0,MIN($AE418,$AD418-SUM($AG418:AH418))),0)</f>
        <v>0</v>
      </c>
      <c r="AJ418" s="8">
        <f>IF($O418="Aktif",MAX(0,MIN($AE418,$AD418-SUM($AG418:AI418))),0)</f>
        <v>0</v>
      </c>
      <c r="AK418" s="8">
        <f>IF($O418="Aktif",MAX(0,MIN($AE418,$AD418-SUM($AG418:AJ418))),0)</f>
        <v>0</v>
      </c>
      <c r="AL418" s="8">
        <f>IF($O418="Aktif",MAX(0,MIN($AE418,$AD418-SUM($AG418:AK418))),0)</f>
        <v>0</v>
      </c>
      <c r="AM418" s="8">
        <f>IF($O418="Aktif",MAX(0,MIN($AE418,$AD418-SUM($AG418:AL418))),0)</f>
        <v>0</v>
      </c>
      <c r="AN418" s="8">
        <f>IF($O418="Aktif",MAX(0,MIN($AE418,$AD418-SUM($AG418:AM418))),0)</f>
        <v>0</v>
      </c>
      <c r="AO418" s="8">
        <f>IF($O418="Aktif",MAX(0,MIN($AE418,$AD418-SUM($AG418:AN418))),0)</f>
        <v>0</v>
      </c>
      <c r="AP418" s="8">
        <f>IF($O418="Aktif",MAX(0,MIN($AE418,$AD418-SUM($AG418:AO418))),0)</f>
        <v>0</v>
      </c>
      <c r="AQ418" s="8">
        <f>IF($O418="Aktif",MAX(0,MIN($AE418,$AD418-SUM($AG418:AP418))),0)</f>
        <v>0</v>
      </c>
      <c r="AR418" s="8">
        <f>IF($O418="Aktif",MAX(0,MIN($AE418,$AD418-SUM($AG418:AQ418))),0)</f>
        <v>0</v>
      </c>
      <c r="AS418" s="8">
        <f>IF($O418="Aktif",MAX(0,MIN($AE418,$AD418-SUM($AG418:AR418))),0)</f>
        <v>0</v>
      </c>
      <c r="AT418" s="8">
        <f>IF($O418="Aktif",MAX(0,MIN($AE418,$AD418-SUM($AG418:AS418))),0)</f>
        <v>0</v>
      </c>
      <c r="AU418" s="8">
        <f>IF($O418="Aktif",MAX(0,MIN($AE418,$AD418-SUM($AG418:AT418))),0)</f>
        <v>0</v>
      </c>
      <c r="AV418" s="8">
        <f>IF($O418="Aktif",MAX(0,MIN($AE418,$AD418-SUM($AG418:AU418))),0)</f>
        <v>0</v>
      </c>
      <c r="AW418" s="8">
        <f t="shared" si="47"/>
        <v>0</v>
      </c>
      <c r="AX418" s="8">
        <f t="shared" si="48"/>
        <v>0</v>
      </c>
    </row>
    <row r="419" spans="1:50" ht="15" customHeight="1" x14ac:dyDescent="0.35">
      <c r="A419" s="102">
        <v>413</v>
      </c>
      <c r="B419" s="102" t="s">
        <v>1326</v>
      </c>
      <c r="C419" s="103">
        <v>47</v>
      </c>
      <c r="D419" s="102" t="s">
        <v>185</v>
      </c>
      <c r="E419" s="102" t="s">
        <v>587</v>
      </c>
      <c r="F419" s="102" t="s">
        <v>1327</v>
      </c>
      <c r="G419" s="102" t="s">
        <v>1328</v>
      </c>
      <c r="H419" s="102" t="s">
        <v>1329</v>
      </c>
      <c r="I419" s="102" t="s">
        <v>63</v>
      </c>
      <c r="J419" s="102" t="s">
        <v>1415</v>
      </c>
      <c r="K419" s="102" t="s">
        <v>591</v>
      </c>
      <c r="L419" s="102" t="s">
        <v>1416</v>
      </c>
      <c r="M419" s="102" t="s">
        <v>1417</v>
      </c>
      <c r="N419" s="102" t="s">
        <v>1418</v>
      </c>
      <c r="O419" s="102" t="s">
        <v>383</v>
      </c>
      <c r="P419" s="103">
        <v>1</v>
      </c>
      <c r="Q419" s="105">
        <v>13250000</v>
      </c>
      <c r="R419" s="103">
        <v>48</v>
      </c>
      <c r="S419" s="105">
        <v>0</v>
      </c>
      <c r="T419" s="105">
        <v>13250000</v>
      </c>
      <c r="U419" s="105">
        <v>0</v>
      </c>
      <c r="V419" s="105">
        <v>0</v>
      </c>
      <c r="W419" s="105">
        <v>0</v>
      </c>
      <c r="X419" s="105">
        <v>0</v>
      </c>
      <c r="Y419" s="105">
        <v>0</v>
      </c>
      <c r="Z419" s="105">
        <v>0</v>
      </c>
      <c r="AA419" s="105">
        <v>0</v>
      </c>
      <c r="AB419" s="105">
        <v>0</v>
      </c>
      <c r="AC419" s="8">
        <f t="shared" si="42"/>
        <v>13250000</v>
      </c>
      <c r="AD419" s="8">
        <f t="shared" si="43"/>
        <v>0</v>
      </c>
      <c r="AE419" s="8">
        <f t="shared" si="44"/>
        <v>0</v>
      </c>
      <c r="AF419" s="106">
        <f t="shared" si="45"/>
        <v>0</v>
      </c>
      <c r="AG419" s="8">
        <f t="shared" si="46"/>
        <v>0</v>
      </c>
      <c r="AH419" s="8">
        <f>IF($O419="Aktif",MAX(0,MIN($AE419,$AD419-SUM($AG419:AG419))),0)</f>
        <v>0</v>
      </c>
      <c r="AI419" s="8">
        <f>IF($O419="Aktif",MAX(0,MIN($AE419,$AD419-SUM($AG419:AH419))),0)</f>
        <v>0</v>
      </c>
      <c r="AJ419" s="8">
        <f>IF($O419="Aktif",MAX(0,MIN($AE419,$AD419-SUM($AG419:AI419))),0)</f>
        <v>0</v>
      </c>
      <c r="AK419" s="8">
        <f>IF($O419="Aktif",MAX(0,MIN($AE419,$AD419-SUM($AG419:AJ419))),0)</f>
        <v>0</v>
      </c>
      <c r="AL419" s="8">
        <f>IF($O419="Aktif",MAX(0,MIN($AE419,$AD419-SUM($AG419:AK419))),0)</f>
        <v>0</v>
      </c>
      <c r="AM419" s="8">
        <f>IF($O419="Aktif",MAX(0,MIN($AE419,$AD419-SUM($AG419:AL419))),0)</f>
        <v>0</v>
      </c>
      <c r="AN419" s="8">
        <f>IF($O419="Aktif",MAX(0,MIN($AE419,$AD419-SUM($AG419:AM419))),0)</f>
        <v>0</v>
      </c>
      <c r="AO419" s="8">
        <f>IF($O419="Aktif",MAX(0,MIN($AE419,$AD419-SUM($AG419:AN419))),0)</f>
        <v>0</v>
      </c>
      <c r="AP419" s="8">
        <f>IF($O419="Aktif",MAX(0,MIN($AE419,$AD419-SUM($AG419:AO419))),0)</f>
        <v>0</v>
      </c>
      <c r="AQ419" s="8">
        <f>IF($O419="Aktif",MAX(0,MIN($AE419,$AD419-SUM($AG419:AP419))),0)</f>
        <v>0</v>
      </c>
      <c r="AR419" s="8">
        <f>IF($O419="Aktif",MAX(0,MIN($AE419,$AD419-SUM($AG419:AQ419))),0)</f>
        <v>0</v>
      </c>
      <c r="AS419" s="8">
        <f>IF($O419="Aktif",MAX(0,MIN($AE419,$AD419-SUM($AG419:AR419))),0)</f>
        <v>0</v>
      </c>
      <c r="AT419" s="8">
        <f>IF($O419="Aktif",MAX(0,MIN($AE419,$AD419-SUM($AG419:AS419))),0)</f>
        <v>0</v>
      </c>
      <c r="AU419" s="8">
        <f>IF($O419="Aktif",MAX(0,MIN($AE419,$AD419-SUM($AG419:AT419))),0)</f>
        <v>0</v>
      </c>
      <c r="AV419" s="8">
        <f>IF($O419="Aktif",MAX(0,MIN($AE419,$AD419-SUM($AG419:AU419))),0)</f>
        <v>0</v>
      </c>
      <c r="AW419" s="8">
        <f t="shared" si="47"/>
        <v>0</v>
      </c>
      <c r="AX419" s="8">
        <f t="shared" si="48"/>
        <v>0</v>
      </c>
    </row>
    <row r="420" spans="1:50" ht="15" customHeight="1" x14ac:dyDescent="0.35">
      <c r="A420" s="102">
        <v>414</v>
      </c>
      <c r="B420" s="102" t="s">
        <v>1326</v>
      </c>
      <c r="C420" s="103">
        <v>48</v>
      </c>
      <c r="D420" s="102" t="s">
        <v>185</v>
      </c>
      <c r="E420" s="102" t="s">
        <v>587</v>
      </c>
      <c r="F420" s="102" t="s">
        <v>1327</v>
      </c>
      <c r="G420" s="102" t="s">
        <v>1328</v>
      </c>
      <c r="H420" s="102" t="s">
        <v>1329</v>
      </c>
      <c r="I420" s="102" t="s">
        <v>63</v>
      </c>
      <c r="J420" s="102" t="s">
        <v>1419</v>
      </c>
      <c r="K420" s="102" t="s">
        <v>591</v>
      </c>
      <c r="L420" s="102" t="s">
        <v>609</v>
      </c>
      <c r="M420" s="102" t="s">
        <v>1420</v>
      </c>
      <c r="N420" s="102" t="s">
        <v>1421</v>
      </c>
      <c r="O420" s="102" t="s">
        <v>383</v>
      </c>
      <c r="P420" s="103">
        <v>1</v>
      </c>
      <c r="Q420" s="105">
        <v>3000000</v>
      </c>
      <c r="R420" s="103">
        <v>48</v>
      </c>
      <c r="S420" s="105">
        <v>0</v>
      </c>
      <c r="T420" s="105">
        <v>3000000</v>
      </c>
      <c r="U420" s="105">
        <v>0</v>
      </c>
      <c r="V420" s="105">
        <v>0</v>
      </c>
      <c r="W420" s="105">
        <v>0</v>
      </c>
      <c r="X420" s="105">
        <v>0</v>
      </c>
      <c r="Y420" s="105">
        <v>0</v>
      </c>
      <c r="Z420" s="105">
        <v>0</v>
      </c>
      <c r="AA420" s="105">
        <v>0</v>
      </c>
      <c r="AB420" s="105">
        <v>0</v>
      </c>
      <c r="AC420" s="8">
        <f t="shared" si="42"/>
        <v>3000000</v>
      </c>
      <c r="AD420" s="8">
        <f t="shared" si="43"/>
        <v>0</v>
      </c>
      <c r="AE420" s="8">
        <f t="shared" si="44"/>
        <v>0</v>
      </c>
      <c r="AF420" s="106">
        <f t="shared" si="45"/>
        <v>0</v>
      </c>
      <c r="AG420" s="8">
        <f t="shared" si="46"/>
        <v>0</v>
      </c>
      <c r="AH420" s="8">
        <f>IF($O420="Aktif",MAX(0,MIN($AE420,$AD420-SUM($AG420:AG420))),0)</f>
        <v>0</v>
      </c>
      <c r="AI420" s="8">
        <f>IF($O420="Aktif",MAX(0,MIN($AE420,$AD420-SUM($AG420:AH420))),0)</f>
        <v>0</v>
      </c>
      <c r="AJ420" s="8">
        <f>IF($O420="Aktif",MAX(0,MIN($AE420,$AD420-SUM($AG420:AI420))),0)</f>
        <v>0</v>
      </c>
      <c r="AK420" s="8">
        <f>IF($O420="Aktif",MAX(0,MIN($AE420,$AD420-SUM($AG420:AJ420))),0)</f>
        <v>0</v>
      </c>
      <c r="AL420" s="8">
        <f>IF($O420="Aktif",MAX(0,MIN($AE420,$AD420-SUM($AG420:AK420))),0)</f>
        <v>0</v>
      </c>
      <c r="AM420" s="8">
        <f>IF($O420="Aktif",MAX(0,MIN($AE420,$AD420-SUM($AG420:AL420))),0)</f>
        <v>0</v>
      </c>
      <c r="AN420" s="8">
        <f>IF($O420="Aktif",MAX(0,MIN($AE420,$AD420-SUM($AG420:AM420))),0)</f>
        <v>0</v>
      </c>
      <c r="AO420" s="8">
        <f>IF($O420="Aktif",MAX(0,MIN($AE420,$AD420-SUM($AG420:AN420))),0)</f>
        <v>0</v>
      </c>
      <c r="AP420" s="8">
        <f>IF($O420="Aktif",MAX(0,MIN($AE420,$AD420-SUM($AG420:AO420))),0)</f>
        <v>0</v>
      </c>
      <c r="AQ420" s="8">
        <f>IF($O420="Aktif",MAX(0,MIN($AE420,$AD420-SUM($AG420:AP420))),0)</f>
        <v>0</v>
      </c>
      <c r="AR420" s="8">
        <f>IF($O420="Aktif",MAX(0,MIN($AE420,$AD420-SUM($AG420:AQ420))),0)</f>
        <v>0</v>
      </c>
      <c r="AS420" s="8">
        <f>IF($O420="Aktif",MAX(0,MIN($AE420,$AD420-SUM($AG420:AR420))),0)</f>
        <v>0</v>
      </c>
      <c r="AT420" s="8">
        <f>IF($O420="Aktif",MAX(0,MIN($AE420,$AD420-SUM($AG420:AS420))),0)</f>
        <v>0</v>
      </c>
      <c r="AU420" s="8">
        <f>IF($O420="Aktif",MAX(0,MIN($AE420,$AD420-SUM($AG420:AT420))),0)</f>
        <v>0</v>
      </c>
      <c r="AV420" s="8">
        <f>IF($O420="Aktif",MAX(0,MIN($AE420,$AD420-SUM($AG420:AU420))),0)</f>
        <v>0</v>
      </c>
      <c r="AW420" s="8">
        <f t="shared" si="47"/>
        <v>0</v>
      </c>
      <c r="AX420" s="8">
        <f t="shared" si="48"/>
        <v>0</v>
      </c>
    </row>
    <row r="421" spans="1:50" ht="15" customHeight="1" x14ac:dyDescent="0.35">
      <c r="A421" s="102">
        <v>415</v>
      </c>
      <c r="B421" s="102" t="s">
        <v>1326</v>
      </c>
      <c r="C421" s="103">
        <v>49</v>
      </c>
      <c r="D421" s="102" t="s">
        <v>185</v>
      </c>
      <c r="E421" s="102" t="s">
        <v>587</v>
      </c>
      <c r="F421" s="102" t="s">
        <v>1327</v>
      </c>
      <c r="G421" s="102" t="s">
        <v>1328</v>
      </c>
      <c r="H421" s="102" t="s">
        <v>1329</v>
      </c>
      <c r="I421" s="102" t="s">
        <v>63</v>
      </c>
      <c r="J421" s="102" t="s">
        <v>1422</v>
      </c>
      <c r="K421" s="102" t="s">
        <v>591</v>
      </c>
      <c r="L421" s="102" t="s">
        <v>1423</v>
      </c>
      <c r="M421" s="102" t="s">
        <v>1424</v>
      </c>
      <c r="N421" s="102" t="s">
        <v>1425</v>
      </c>
      <c r="O421" s="102" t="s">
        <v>383</v>
      </c>
      <c r="P421" s="103">
        <v>1</v>
      </c>
      <c r="Q421" s="105">
        <v>950000</v>
      </c>
      <c r="R421" s="103">
        <v>48</v>
      </c>
      <c r="S421" s="105">
        <v>0</v>
      </c>
      <c r="T421" s="105">
        <v>950000</v>
      </c>
      <c r="U421" s="105">
        <v>0</v>
      </c>
      <c r="V421" s="105">
        <v>0</v>
      </c>
      <c r="W421" s="105">
        <v>0</v>
      </c>
      <c r="X421" s="105">
        <v>0</v>
      </c>
      <c r="Y421" s="105">
        <v>0</v>
      </c>
      <c r="Z421" s="105">
        <v>0</v>
      </c>
      <c r="AA421" s="105">
        <v>0</v>
      </c>
      <c r="AB421" s="105">
        <v>0</v>
      </c>
      <c r="AC421" s="8">
        <f t="shared" si="42"/>
        <v>950000</v>
      </c>
      <c r="AD421" s="8">
        <f t="shared" si="43"/>
        <v>0</v>
      </c>
      <c r="AE421" s="8">
        <f t="shared" si="44"/>
        <v>0</v>
      </c>
      <c r="AF421" s="106">
        <f t="shared" si="45"/>
        <v>0</v>
      </c>
      <c r="AG421" s="8">
        <f t="shared" si="46"/>
        <v>0</v>
      </c>
      <c r="AH421" s="8">
        <f>IF($O421="Aktif",MAX(0,MIN($AE421,$AD421-SUM($AG421:AG421))),0)</f>
        <v>0</v>
      </c>
      <c r="AI421" s="8">
        <f>IF($O421="Aktif",MAX(0,MIN($AE421,$AD421-SUM($AG421:AH421))),0)</f>
        <v>0</v>
      </c>
      <c r="AJ421" s="8">
        <f>IF($O421="Aktif",MAX(0,MIN($AE421,$AD421-SUM($AG421:AI421))),0)</f>
        <v>0</v>
      </c>
      <c r="AK421" s="8">
        <f>IF($O421="Aktif",MAX(0,MIN($AE421,$AD421-SUM($AG421:AJ421))),0)</f>
        <v>0</v>
      </c>
      <c r="AL421" s="8">
        <f>IF($O421="Aktif",MAX(0,MIN($AE421,$AD421-SUM($AG421:AK421))),0)</f>
        <v>0</v>
      </c>
      <c r="AM421" s="8">
        <f>IF($O421="Aktif",MAX(0,MIN($AE421,$AD421-SUM($AG421:AL421))),0)</f>
        <v>0</v>
      </c>
      <c r="AN421" s="8">
        <f>IF($O421="Aktif",MAX(0,MIN($AE421,$AD421-SUM($AG421:AM421))),0)</f>
        <v>0</v>
      </c>
      <c r="AO421" s="8">
        <f>IF($O421="Aktif",MAX(0,MIN($AE421,$AD421-SUM($AG421:AN421))),0)</f>
        <v>0</v>
      </c>
      <c r="AP421" s="8">
        <f>IF($O421="Aktif",MAX(0,MIN($AE421,$AD421-SUM($AG421:AO421))),0)</f>
        <v>0</v>
      </c>
      <c r="AQ421" s="8">
        <f>IF($O421="Aktif",MAX(0,MIN($AE421,$AD421-SUM($AG421:AP421))),0)</f>
        <v>0</v>
      </c>
      <c r="AR421" s="8">
        <f>IF($O421="Aktif",MAX(0,MIN($AE421,$AD421-SUM($AG421:AQ421))),0)</f>
        <v>0</v>
      </c>
      <c r="AS421" s="8">
        <f>IF($O421="Aktif",MAX(0,MIN($AE421,$AD421-SUM($AG421:AR421))),0)</f>
        <v>0</v>
      </c>
      <c r="AT421" s="8">
        <f>IF($O421="Aktif",MAX(0,MIN($AE421,$AD421-SUM($AG421:AS421))),0)</f>
        <v>0</v>
      </c>
      <c r="AU421" s="8">
        <f>IF($O421="Aktif",MAX(0,MIN($AE421,$AD421-SUM($AG421:AT421))),0)</f>
        <v>0</v>
      </c>
      <c r="AV421" s="8">
        <f>IF($O421="Aktif",MAX(0,MIN($AE421,$AD421-SUM($AG421:AU421))),0)</f>
        <v>0</v>
      </c>
      <c r="AW421" s="8">
        <f t="shared" si="47"/>
        <v>0</v>
      </c>
      <c r="AX421" s="8">
        <f t="shared" si="48"/>
        <v>0</v>
      </c>
    </row>
    <row r="422" spans="1:50" ht="15" customHeight="1" x14ac:dyDescent="0.35">
      <c r="A422" s="102">
        <v>416</v>
      </c>
      <c r="B422" s="102" t="s">
        <v>1326</v>
      </c>
      <c r="C422" s="103">
        <v>50</v>
      </c>
      <c r="D422" s="102" t="s">
        <v>185</v>
      </c>
      <c r="E422" s="102" t="s">
        <v>587</v>
      </c>
      <c r="F422" s="102" t="s">
        <v>1327</v>
      </c>
      <c r="G422" s="102" t="s">
        <v>1328</v>
      </c>
      <c r="H422" s="102" t="s">
        <v>1329</v>
      </c>
      <c r="I422" s="102" t="s">
        <v>63</v>
      </c>
      <c r="J422" s="102" t="s">
        <v>1426</v>
      </c>
      <c r="K422" s="102" t="s">
        <v>591</v>
      </c>
      <c r="L422" s="102" t="s">
        <v>1423</v>
      </c>
      <c r="M422" s="102" t="s">
        <v>1427</v>
      </c>
      <c r="N422" s="102" t="s">
        <v>1428</v>
      </c>
      <c r="O422" s="102" t="s">
        <v>383</v>
      </c>
      <c r="P422" s="103">
        <v>1</v>
      </c>
      <c r="Q422" s="105">
        <v>650000</v>
      </c>
      <c r="R422" s="103">
        <v>48</v>
      </c>
      <c r="S422" s="105">
        <v>0</v>
      </c>
      <c r="T422" s="105">
        <v>650000</v>
      </c>
      <c r="U422" s="105">
        <v>0</v>
      </c>
      <c r="V422" s="105">
        <v>0</v>
      </c>
      <c r="W422" s="105">
        <v>0</v>
      </c>
      <c r="X422" s="105">
        <v>0</v>
      </c>
      <c r="Y422" s="105">
        <v>0</v>
      </c>
      <c r="Z422" s="105">
        <v>0</v>
      </c>
      <c r="AA422" s="105">
        <v>0</v>
      </c>
      <c r="AB422" s="105">
        <v>0</v>
      </c>
      <c r="AC422" s="8">
        <f t="shared" si="42"/>
        <v>650000</v>
      </c>
      <c r="AD422" s="8">
        <f t="shared" si="43"/>
        <v>0</v>
      </c>
      <c r="AE422" s="8">
        <f t="shared" si="44"/>
        <v>0</v>
      </c>
      <c r="AF422" s="106">
        <f t="shared" si="45"/>
        <v>0</v>
      </c>
      <c r="AG422" s="8">
        <f t="shared" si="46"/>
        <v>0</v>
      </c>
      <c r="AH422" s="8">
        <f>IF($O422="Aktif",MAX(0,MIN($AE422,$AD422-SUM($AG422:AG422))),0)</f>
        <v>0</v>
      </c>
      <c r="AI422" s="8">
        <f>IF($O422="Aktif",MAX(0,MIN($AE422,$AD422-SUM($AG422:AH422))),0)</f>
        <v>0</v>
      </c>
      <c r="AJ422" s="8">
        <f>IF($O422="Aktif",MAX(0,MIN($AE422,$AD422-SUM($AG422:AI422))),0)</f>
        <v>0</v>
      </c>
      <c r="AK422" s="8">
        <f>IF($O422="Aktif",MAX(0,MIN($AE422,$AD422-SUM($AG422:AJ422))),0)</f>
        <v>0</v>
      </c>
      <c r="AL422" s="8">
        <f>IF($O422="Aktif",MAX(0,MIN($AE422,$AD422-SUM($AG422:AK422))),0)</f>
        <v>0</v>
      </c>
      <c r="AM422" s="8">
        <f>IF($O422="Aktif",MAX(0,MIN($AE422,$AD422-SUM($AG422:AL422))),0)</f>
        <v>0</v>
      </c>
      <c r="AN422" s="8">
        <f>IF($O422="Aktif",MAX(0,MIN($AE422,$AD422-SUM($AG422:AM422))),0)</f>
        <v>0</v>
      </c>
      <c r="AO422" s="8">
        <f>IF($O422="Aktif",MAX(0,MIN($AE422,$AD422-SUM($AG422:AN422))),0)</f>
        <v>0</v>
      </c>
      <c r="AP422" s="8">
        <f>IF($O422="Aktif",MAX(0,MIN($AE422,$AD422-SUM($AG422:AO422))),0)</f>
        <v>0</v>
      </c>
      <c r="AQ422" s="8">
        <f>IF($O422="Aktif",MAX(0,MIN($AE422,$AD422-SUM($AG422:AP422))),0)</f>
        <v>0</v>
      </c>
      <c r="AR422" s="8">
        <f>IF($O422="Aktif",MAX(0,MIN($AE422,$AD422-SUM($AG422:AQ422))),0)</f>
        <v>0</v>
      </c>
      <c r="AS422" s="8">
        <f>IF($O422="Aktif",MAX(0,MIN($AE422,$AD422-SUM($AG422:AR422))),0)</f>
        <v>0</v>
      </c>
      <c r="AT422" s="8">
        <f>IF($O422="Aktif",MAX(0,MIN($AE422,$AD422-SUM($AG422:AS422))),0)</f>
        <v>0</v>
      </c>
      <c r="AU422" s="8">
        <f>IF($O422="Aktif",MAX(0,MIN($AE422,$AD422-SUM($AG422:AT422))),0)</f>
        <v>0</v>
      </c>
      <c r="AV422" s="8">
        <f>IF($O422="Aktif",MAX(0,MIN($AE422,$AD422-SUM($AG422:AU422))),0)</f>
        <v>0</v>
      </c>
      <c r="AW422" s="8">
        <f t="shared" si="47"/>
        <v>0</v>
      </c>
      <c r="AX422" s="8">
        <f t="shared" si="48"/>
        <v>0</v>
      </c>
    </row>
    <row r="423" spans="1:50" ht="15" customHeight="1" x14ac:dyDescent="0.35">
      <c r="A423" s="102">
        <v>417</v>
      </c>
      <c r="B423" s="102" t="s">
        <v>1326</v>
      </c>
      <c r="C423" s="103">
        <v>51</v>
      </c>
      <c r="D423" s="102" t="s">
        <v>185</v>
      </c>
      <c r="E423" s="102" t="s">
        <v>587</v>
      </c>
      <c r="F423" s="102" t="s">
        <v>1327</v>
      </c>
      <c r="G423" s="102" t="s">
        <v>1328</v>
      </c>
      <c r="H423" s="102" t="s">
        <v>1329</v>
      </c>
      <c r="I423" s="102" t="s">
        <v>63</v>
      </c>
      <c r="J423" s="102" t="s">
        <v>1429</v>
      </c>
      <c r="K423" s="102" t="s">
        <v>591</v>
      </c>
      <c r="L423" s="102" t="s">
        <v>1423</v>
      </c>
      <c r="M423" s="102" t="s">
        <v>1427</v>
      </c>
      <c r="N423" s="102" t="s">
        <v>1430</v>
      </c>
      <c r="O423" s="102" t="s">
        <v>383</v>
      </c>
      <c r="P423" s="103">
        <v>1</v>
      </c>
      <c r="Q423" s="105">
        <v>650000</v>
      </c>
      <c r="R423" s="103">
        <v>48</v>
      </c>
      <c r="S423" s="105">
        <v>0</v>
      </c>
      <c r="T423" s="105">
        <v>650000</v>
      </c>
      <c r="U423" s="105">
        <v>0</v>
      </c>
      <c r="V423" s="105">
        <v>0</v>
      </c>
      <c r="W423" s="105">
        <v>0</v>
      </c>
      <c r="X423" s="105">
        <v>0</v>
      </c>
      <c r="Y423" s="105">
        <v>0</v>
      </c>
      <c r="Z423" s="105">
        <v>0</v>
      </c>
      <c r="AA423" s="105">
        <v>0</v>
      </c>
      <c r="AB423" s="105">
        <v>0</v>
      </c>
      <c r="AC423" s="8">
        <f t="shared" si="42"/>
        <v>650000</v>
      </c>
      <c r="AD423" s="8">
        <f t="shared" si="43"/>
        <v>0</v>
      </c>
      <c r="AE423" s="8">
        <f t="shared" si="44"/>
        <v>0</v>
      </c>
      <c r="AF423" s="106">
        <f t="shared" si="45"/>
        <v>0</v>
      </c>
      <c r="AG423" s="8">
        <f t="shared" si="46"/>
        <v>0</v>
      </c>
      <c r="AH423" s="8">
        <f>IF($O423="Aktif",MAX(0,MIN($AE423,$AD423-SUM($AG423:AG423))),0)</f>
        <v>0</v>
      </c>
      <c r="AI423" s="8">
        <f>IF($O423="Aktif",MAX(0,MIN($AE423,$AD423-SUM($AG423:AH423))),0)</f>
        <v>0</v>
      </c>
      <c r="AJ423" s="8">
        <f>IF($O423="Aktif",MAX(0,MIN($AE423,$AD423-SUM($AG423:AI423))),0)</f>
        <v>0</v>
      </c>
      <c r="AK423" s="8">
        <f>IF($O423="Aktif",MAX(0,MIN($AE423,$AD423-SUM($AG423:AJ423))),0)</f>
        <v>0</v>
      </c>
      <c r="AL423" s="8">
        <f>IF($O423="Aktif",MAX(0,MIN($AE423,$AD423-SUM($AG423:AK423))),0)</f>
        <v>0</v>
      </c>
      <c r="AM423" s="8">
        <f>IF($O423="Aktif",MAX(0,MIN($AE423,$AD423-SUM($AG423:AL423))),0)</f>
        <v>0</v>
      </c>
      <c r="AN423" s="8">
        <f>IF($O423="Aktif",MAX(0,MIN($AE423,$AD423-SUM($AG423:AM423))),0)</f>
        <v>0</v>
      </c>
      <c r="AO423" s="8">
        <f>IF($O423="Aktif",MAX(0,MIN($AE423,$AD423-SUM($AG423:AN423))),0)</f>
        <v>0</v>
      </c>
      <c r="AP423" s="8">
        <f>IF($O423="Aktif",MAX(0,MIN($AE423,$AD423-SUM($AG423:AO423))),0)</f>
        <v>0</v>
      </c>
      <c r="AQ423" s="8">
        <f>IF($O423="Aktif",MAX(0,MIN($AE423,$AD423-SUM($AG423:AP423))),0)</f>
        <v>0</v>
      </c>
      <c r="AR423" s="8">
        <f>IF($O423="Aktif",MAX(0,MIN($AE423,$AD423-SUM($AG423:AQ423))),0)</f>
        <v>0</v>
      </c>
      <c r="AS423" s="8">
        <f>IF($O423="Aktif",MAX(0,MIN($AE423,$AD423-SUM($AG423:AR423))),0)</f>
        <v>0</v>
      </c>
      <c r="AT423" s="8">
        <f>IF($O423="Aktif",MAX(0,MIN($AE423,$AD423-SUM($AG423:AS423))),0)</f>
        <v>0</v>
      </c>
      <c r="AU423" s="8">
        <f>IF($O423="Aktif",MAX(0,MIN($AE423,$AD423-SUM($AG423:AT423))),0)</f>
        <v>0</v>
      </c>
      <c r="AV423" s="8">
        <f>IF($O423="Aktif",MAX(0,MIN($AE423,$AD423-SUM($AG423:AU423))),0)</f>
        <v>0</v>
      </c>
      <c r="AW423" s="8">
        <f t="shared" si="47"/>
        <v>0</v>
      </c>
      <c r="AX423" s="8">
        <f t="shared" si="48"/>
        <v>0</v>
      </c>
    </row>
    <row r="424" spans="1:50" ht="15" customHeight="1" x14ac:dyDescent="0.35">
      <c r="A424" s="102">
        <v>418</v>
      </c>
      <c r="B424" s="102" t="s">
        <v>1326</v>
      </c>
      <c r="C424" s="103">
        <v>52</v>
      </c>
      <c r="D424" s="102" t="s">
        <v>185</v>
      </c>
      <c r="E424" s="102" t="s">
        <v>587</v>
      </c>
      <c r="F424" s="102" t="s">
        <v>1327</v>
      </c>
      <c r="G424" s="102" t="s">
        <v>1328</v>
      </c>
      <c r="H424" s="102" t="s">
        <v>1329</v>
      </c>
      <c r="I424" s="102" t="s">
        <v>63</v>
      </c>
      <c r="J424" s="102" t="s">
        <v>1431</v>
      </c>
      <c r="K424" s="102" t="s">
        <v>591</v>
      </c>
      <c r="L424" s="102" t="s">
        <v>1432</v>
      </c>
      <c r="M424" s="102" t="s">
        <v>1433</v>
      </c>
      <c r="N424" s="102" t="s">
        <v>1434</v>
      </c>
      <c r="O424" s="102" t="s">
        <v>383</v>
      </c>
      <c r="P424" s="103">
        <v>1</v>
      </c>
      <c r="Q424" s="105">
        <v>3500000</v>
      </c>
      <c r="R424" s="103">
        <v>48</v>
      </c>
      <c r="S424" s="105">
        <v>0</v>
      </c>
      <c r="T424" s="105">
        <v>3500000</v>
      </c>
      <c r="U424" s="105">
        <v>0</v>
      </c>
      <c r="V424" s="105">
        <v>0</v>
      </c>
      <c r="W424" s="105">
        <v>0</v>
      </c>
      <c r="X424" s="105">
        <v>0</v>
      </c>
      <c r="Y424" s="105">
        <v>0</v>
      </c>
      <c r="Z424" s="105">
        <v>0</v>
      </c>
      <c r="AA424" s="105">
        <v>0</v>
      </c>
      <c r="AB424" s="105">
        <v>0</v>
      </c>
      <c r="AC424" s="8">
        <f t="shared" si="42"/>
        <v>3500000</v>
      </c>
      <c r="AD424" s="8">
        <f t="shared" si="43"/>
        <v>0</v>
      </c>
      <c r="AE424" s="8">
        <f t="shared" si="44"/>
        <v>0</v>
      </c>
      <c r="AF424" s="106">
        <f t="shared" si="45"/>
        <v>0</v>
      </c>
      <c r="AG424" s="8">
        <f t="shared" si="46"/>
        <v>0</v>
      </c>
      <c r="AH424" s="8">
        <f>IF($O424="Aktif",MAX(0,MIN($AE424,$AD424-SUM($AG424:AG424))),0)</f>
        <v>0</v>
      </c>
      <c r="AI424" s="8">
        <f>IF($O424="Aktif",MAX(0,MIN($AE424,$AD424-SUM($AG424:AH424))),0)</f>
        <v>0</v>
      </c>
      <c r="AJ424" s="8">
        <f>IF($O424="Aktif",MAX(0,MIN($AE424,$AD424-SUM($AG424:AI424))),0)</f>
        <v>0</v>
      </c>
      <c r="AK424" s="8">
        <f>IF($O424="Aktif",MAX(0,MIN($AE424,$AD424-SUM($AG424:AJ424))),0)</f>
        <v>0</v>
      </c>
      <c r="AL424" s="8">
        <f>IF($O424="Aktif",MAX(0,MIN($AE424,$AD424-SUM($AG424:AK424))),0)</f>
        <v>0</v>
      </c>
      <c r="AM424" s="8">
        <f>IF($O424="Aktif",MAX(0,MIN($AE424,$AD424-SUM($AG424:AL424))),0)</f>
        <v>0</v>
      </c>
      <c r="AN424" s="8">
        <f>IF($O424="Aktif",MAX(0,MIN($AE424,$AD424-SUM($AG424:AM424))),0)</f>
        <v>0</v>
      </c>
      <c r="AO424" s="8">
        <f>IF($O424="Aktif",MAX(0,MIN($AE424,$AD424-SUM($AG424:AN424))),0)</f>
        <v>0</v>
      </c>
      <c r="AP424" s="8">
        <f>IF($O424="Aktif",MAX(0,MIN($AE424,$AD424-SUM($AG424:AO424))),0)</f>
        <v>0</v>
      </c>
      <c r="AQ424" s="8">
        <f>IF($O424="Aktif",MAX(0,MIN($AE424,$AD424-SUM($AG424:AP424))),0)</f>
        <v>0</v>
      </c>
      <c r="AR424" s="8">
        <f>IF($O424="Aktif",MAX(0,MIN($AE424,$AD424-SUM($AG424:AQ424))),0)</f>
        <v>0</v>
      </c>
      <c r="AS424" s="8">
        <f>IF($O424="Aktif",MAX(0,MIN($AE424,$AD424-SUM($AG424:AR424))),0)</f>
        <v>0</v>
      </c>
      <c r="AT424" s="8">
        <f>IF($O424="Aktif",MAX(0,MIN($AE424,$AD424-SUM($AG424:AS424))),0)</f>
        <v>0</v>
      </c>
      <c r="AU424" s="8">
        <f>IF($O424="Aktif",MAX(0,MIN($AE424,$AD424-SUM($AG424:AT424))),0)</f>
        <v>0</v>
      </c>
      <c r="AV424" s="8">
        <f>IF($O424="Aktif",MAX(0,MIN($AE424,$AD424-SUM($AG424:AU424))),0)</f>
        <v>0</v>
      </c>
      <c r="AW424" s="8">
        <f t="shared" si="47"/>
        <v>0</v>
      </c>
      <c r="AX424" s="8">
        <f t="shared" si="48"/>
        <v>0</v>
      </c>
    </row>
    <row r="425" spans="1:50" ht="15" customHeight="1" x14ac:dyDescent="0.35">
      <c r="A425" s="102">
        <v>419</v>
      </c>
      <c r="B425" s="102" t="s">
        <v>1326</v>
      </c>
      <c r="C425" s="103">
        <v>53</v>
      </c>
      <c r="D425" s="102" t="s">
        <v>185</v>
      </c>
      <c r="E425" s="102" t="s">
        <v>587</v>
      </c>
      <c r="F425" s="102" t="s">
        <v>1327</v>
      </c>
      <c r="G425" s="102" t="s">
        <v>1328</v>
      </c>
      <c r="H425" s="102" t="s">
        <v>1329</v>
      </c>
      <c r="I425" s="102" t="s">
        <v>63</v>
      </c>
      <c r="J425" s="102" t="s">
        <v>1435</v>
      </c>
      <c r="K425" s="102" t="s">
        <v>591</v>
      </c>
      <c r="L425" s="102" t="s">
        <v>1436</v>
      </c>
      <c r="M425" s="102" t="s">
        <v>1437</v>
      </c>
      <c r="N425" s="102" t="s">
        <v>1438</v>
      </c>
      <c r="O425" s="102" t="s">
        <v>383</v>
      </c>
      <c r="P425" s="103">
        <v>1</v>
      </c>
      <c r="Q425" s="105">
        <v>850000</v>
      </c>
      <c r="R425" s="103">
        <v>48</v>
      </c>
      <c r="S425" s="105">
        <v>0</v>
      </c>
      <c r="T425" s="105">
        <v>850000</v>
      </c>
      <c r="U425" s="105">
        <v>0</v>
      </c>
      <c r="V425" s="105">
        <v>0</v>
      </c>
      <c r="W425" s="105">
        <v>0</v>
      </c>
      <c r="X425" s="105">
        <v>0</v>
      </c>
      <c r="Y425" s="105">
        <v>0</v>
      </c>
      <c r="Z425" s="105">
        <v>0</v>
      </c>
      <c r="AA425" s="105">
        <v>0</v>
      </c>
      <c r="AB425" s="105">
        <v>0</v>
      </c>
      <c r="AC425" s="8">
        <f t="shared" si="42"/>
        <v>850000</v>
      </c>
      <c r="AD425" s="8">
        <f t="shared" si="43"/>
        <v>0</v>
      </c>
      <c r="AE425" s="8">
        <f t="shared" si="44"/>
        <v>0</v>
      </c>
      <c r="AF425" s="106">
        <f t="shared" si="45"/>
        <v>0</v>
      </c>
      <c r="AG425" s="8">
        <f t="shared" si="46"/>
        <v>0</v>
      </c>
      <c r="AH425" s="8">
        <f>IF($O425="Aktif",MAX(0,MIN($AE425,$AD425-SUM($AG425:AG425))),0)</f>
        <v>0</v>
      </c>
      <c r="AI425" s="8">
        <f>IF($O425="Aktif",MAX(0,MIN($AE425,$AD425-SUM($AG425:AH425))),0)</f>
        <v>0</v>
      </c>
      <c r="AJ425" s="8">
        <f>IF($O425="Aktif",MAX(0,MIN($AE425,$AD425-SUM($AG425:AI425))),0)</f>
        <v>0</v>
      </c>
      <c r="AK425" s="8">
        <f>IF($O425="Aktif",MAX(0,MIN($AE425,$AD425-SUM($AG425:AJ425))),0)</f>
        <v>0</v>
      </c>
      <c r="AL425" s="8">
        <f>IF($O425="Aktif",MAX(0,MIN($AE425,$AD425-SUM($AG425:AK425))),0)</f>
        <v>0</v>
      </c>
      <c r="AM425" s="8">
        <f>IF($O425="Aktif",MAX(0,MIN($AE425,$AD425-SUM($AG425:AL425))),0)</f>
        <v>0</v>
      </c>
      <c r="AN425" s="8">
        <f>IF($O425="Aktif",MAX(0,MIN($AE425,$AD425-SUM($AG425:AM425))),0)</f>
        <v>0</v>
      </c>
      <c r="AO425" s="8">
        <f>IF($O425="Aktif",MAX(0,MIN($AE425,$AD425-SUM($AG425:AN425))),0)</f>
        <v>0</v>
      </c>
      <c r="AP425" s="8">
        <f>IF($O425="Aktif",MAX(0,MIN($AE425,$AD425-SUM($AG425:AO425))),0)</f>
        <v>0</v>
      </c>
      <c r="AQ425" s="8">
        <f>IF($O425="Aktif",MAX(0,MIN($AE425,$AD425-SUM($AG425:AP425))),0)</f>
        <v>0</v>
      </c>
      <c r="AR425" s="8">
        <f>IF($O425="Aktif",MAX(0,MIN($AE425,$AD425-SUM($AG425:AQ425))),0)</f>
        <v>0</v>
      </c>
      <c r="AS425" s="8">
        <f>IF($O425="Aktif",MAX(0,MIN($AE425,$AD425-SUM($AG425:AR425))),0)</f>
        <v>0</v>
      </c>
      <c r="AT425" s="8">
        <f>IF($O425="Aktif",MAX(0,MIN($AE425,$AD425-SUM($AG425:AS425))),0)</f>
        <v>0</v>
      </c>
      <c r="AU425" s="8">
        <f>IF($O425="Aktif",MAX(0,MIN($AE425,$AD425-SUM($AG425:AT425))),0)</f>
        <v>0</v>
      </c>
      <c r="AV425" s="8">
        <f>IF($O425="Aktif",MAX(0,MIN($AE425,$AD425-SUM($AG425:AU425))),0)</f>
        <v>0</v>
      </c>
      <c r="AW425" s="8">
        <f t="shared" si="47"/>
        <v>0</v>
      </c>
      <c r="AX425" s="8">
        <f t="shared" si="48"/>
        <v>0</v>
      </c>
    </row>
    <row r="426" spans="1:50" ht="15" customHeight="1" x14ac:dyDescent="0.35">
      <c r="A426" s="102">
        <v>420</v>
      </c>
      <c r="B426" s="102" t="s">
        <v>1326</v>
      </c>
      <c r="C426" s="103">
        <v>54</v>
      </c>
      <c r="D426" s="102" t="s">
        <v>185</v>
      </c>
      <c r="E426" s="102" t="s">
        <v>587</v>
      </c>
      <c r="F426" s="102" t="s">
        <v>1327</v>
      </c>
      <c r="G426" s="102" t="s">
        <v>1328</v>
      </c>
      <c r="H426" s="102" t="s">
        <v>1329</v>
      </c>
      <c r="I426" s="102" t="s">
        <v>63</v>
      </c>
      <c r="J426" s="102" t="s">
        <v>1439</v>
      </c>
      <c r="K426" s="102" t="s">
        <v>591</v>
      </c>
      <c r="L426" s="102" t="s">
        <v>1440</v>
      </c>
      <c r="M426" s="102" t="s">
        <v>1441</v>
      </c>
      <c r="N426" s="102" t="s">
        <v>1442</v>
      </c>
      <c r="O426" s="102" t="s">
        <v>383</v>
      </c>
      <c r="P426" s="103">
        <v>1</v>
      </c>
      <c r="Q426" s="105">
        <v>7600000</v>
      </c>
      <c r="R426" s="103">
        <v>48</v>
      </c>
      <c r="S426" s="105">
        <v>0</v>
      </c>
      <c r="T426" s="105">
        <v>7600000</v>
      </c>
      <c r="U426" s="105">
        <v>0</v>
      </c>
      <c r="V426" s="105">
        <v>0</v>
      </c>
      <c r="W426" s="105">
        <v>0</v>
      </c>
      <c r="X426" s="105">
        <v>0</v>
      </c>
      <c r="Y426" s="105">
        <v>0</v>
      </c>
      <c r="Z426" s="105">
        <v>0</v>
      </c>
      <c r="AA426" s="105">
        <v>0</v>
      </c>
      <c r="AB426" s="105">
        <v>0</v>
      </c>
      <c r="AC426" s="8">
        <f t="shared" si="42"/>
        <v>7600000</v>
      </c>
      <c r="AD426" s="8">
        <f t="shared" si="43"/>
        <v>0</v>
      </c>
      <c r="AE426" s="8">
        <f t="shared" si="44"/>
        <v>0</v>
      </c>
      <c r="AF426" s="106">
        <f t="shared" si="45"/>
        <v>0</v>
      </c>
      <c r="AG426" s="8">
        <f t="shared" si="46"/>
        <v>0</v>
      </c>
      <c r="AH426" s="8">
        <f>IF($O426="Aktif",MAX(0,MIN($AE426,$AD426-SUM($AG426:AG426))),0)</f>
        <v>0</v>
      </c>
      <c r="AI426" s="8">
        <f>IF($O426="Aktif",MAX(0,MIN($AE426,$AD426-SUM($AG426:AH426))),0)</f>
        <v>0</v>
      </c>
      <c r="AJ426" s="8">
        <f>IF($O426="Aktif",MAX(0,MIN($AE426,$AD426-SUM($AG426:AI426))),0)</f>
        <v>0</v>
      </c>
      <c r="AK426" s="8">
        <f>IF($O426="Aktif",MAX(0,MIN($AE426,$AD426-SUM($AG426:AJ426))),0)</f>
        <v>0</v>
      </c>
      <c r="AL426" s="8">
        <f>IF($O426="Aktif",MAX(0,MIN($AE426,$AD426-SUM($AG426:AK426))),0)</f>
        <v>0</v>
      </c>
      <c r="AM426" s="8">
        <f>IF($O426="Aktif",MAX(0,MIN($AE426,$AD426-SUM($AG426:AL426))),0)</f>
        <v>0</v>
      </c>
      <c r="AN426" s="8">
        <f>IF($O426="Aktif",MAX(0,MIN($AE426,$AD426-SUM($AG426:AM426))),0)</f>
        <v>0</v>
      </c>
      <c r="AO426" s="8">
        <f>IF($O426="Aktif",MAX(0,MIN($AE426,$AD426-SUM($AG426:AN426))),0)</f>
        <v>0</v>
      </c>
      <c r="AP426" s="8">
        <f>IF($O426="Aktif",MAX(0,MIN($AE426,$AD426-SUM($AG426:AO426))),0)</f>
        <v>0</v>
      </c>
      <c r="AQ426" s="8">
        <f>IF($O426="Aktif",MAX(0,MIN($AE426,$AD426-SUM($AG426:AP426))),0)</f>
        <v>0</v>
      </c>
      <c r="AR426" s="8">
        <f>IF($O426="Aktif",MAX(0,MIN($AE426,$AD426-SUM($AG426:AQ426))),0)</f>
        <v>0</v>
      </c>
      <c r="AS426" s="8">
        <f>IF($O426="Aktif",MAX(0,MIN($AE426,$AD426-SUM($AG426:AR426))),0)</f>
        <v>0</v>
      </c>
      <c r="AT426" s="8">
        <f>IF($O426="Aktif",MAX(0,MIN($AE426,$AD426-SUM($AG426:AS426))),0)</f>
        <v>0</v>
      </c>
      <c r="AU426" s="8">
        <f>IF($O426="Aktif",MAX(0,MIN($AE426,$AD426-SUM($AG426:AT426))),0)</f>
        <v>0</v>
      </c>
      <c r="AV426" s="8">
        <f>IF($O426="Aktif",MAX(0,MIN($AE426,$AD426-SUM($AG426:AU426))),0)</f>
        <v>0</v>
      </c>
      <c r="AW426" s="8">
        <f t="shared" si="47"/>
        <v>0</v>
      </c>
      <c r="AX426" s="8">
        <f t="shared" si="48"/>
        <v>0</v>
      </c>
    </row>
    <row r="427" spans="1:50" ht="15" customHeight="1" x14ac:dyDescent="0.35">
      <c r="A427" s="102">
        <v>421</v>
      </c>
      <c r="B427" s="102" t="s">
        <v>1326</v>
      </c>
      <c r="C427" s="103">
        <v>55</v>
      </c>
      <c r="D427" s="102" t="s">
        <v>185</v>
      </c>
      <c r="E427" s="102" t="s">
        <v>587</v>
      </c>
      <c r="F427" s="102" t="s">
        <v>1327</v>
      </c>
      <c r="G427" s="102" t="s">
        <v>1328</v>
      </c>
      <c r="H427" s="102" t="s">
        <v>1329</v>
      </c>
      <c r="I427" s="102" t="s">
        <v>63</v>
      </c>
      <c r="J427" s="102" t="s">
        <v>1443</v>
      </c>
      <c r="K427" s="102" t="s">
        <v>591</v>
      </c>
      <c r="L427" s="102" t="s">
        <v>1444</v>
      </c>
      <c r="M427" s="102" t="s">
        <v>1445</v>
      </c>
      <c r="N427" s="102" t="s">
        <v>1446</v>
      </c>
      <c r="O427" s="102" t="s">
        <v>383</v>
      </c>
      <c r="P427" s="103">
        <v>1</v>
      </c>
      <c r="Q427" s="105">
        <v>2400000</v>
      </c>
      <c r="R427" s="103">
        <v>48</v>
      </c>
      <c r="S427" s="105">
        <v>0</v>
      </c>
      <c r="T427" s="105">
        <v>2400000</v>
      </c>
      <c r="U427" s="105">
        <v>0</v>
      </c>
      <c r="V427" s="105">
        <v>0</v>
      </c>
      <c r="W427" s="105">
        <v>0</v>
      </c>
      <c r="X427" s="105">
        <v>0</v>
      </c>
      <c r="Y427" s="105">
        <v>0</v>
      </c>
      <c r="Z427" s="105">
        <v>0</v>
      </c>
      <c r="AA427" s="105">
        <v>0</v>
      </c>
      <c r="AB427" s="105">
        <v>0</v>
      </c>
      <c r="AC427" s="8">
        <f t="shared" si="42"/>
        <v>2400000</v>
      </c>
      <c r="AD427" s="8">
        <f t="shared" si="43"/>
        <v>0</v>
      </c>
      <c r="AE427" s="8">
        <f t="shared" si="44"/>
        <v>0</v>
      </c>
      <c r="AF427" s="106">
        <f t="shared" si="45"/>
        <v>0</v>
      </c>
      <c r="AG427" s="8">
        <f t="shared" si="46"/>
        <v>0</v>
      </c>
      <c r="AH427" s="8">
        <f>IF($O427="Aktif",MAX(0,MIN($AE427,$AD427-SUM($AG427:AG427))),0)</f>
        <v>0</v>
      </c>
      <c r="AI427" s="8">
        <f>IF($O427="Aktif",MAX(0,MIN($AE427,$AD427-SUM($AG427:AH427))),0)</f>
        <v>0</v>
      </c>
      <c r="AJ427" s="8">
        <f>IF($O427="Aktif",MAX(0,MIN($AE427,$AD427-SUM($AG427:AI427))),0)</f>
        <v>0</v>
      </c>
      <c r="AK427" s="8">
        <f>IF($O427="Aktif",MAX(0,MIN($AE427,$AD427-SUM($AG427:AJ427))),0)</f>
        <v>0</v>
      </c>
      <c r="AL427" s="8">
        <f>IF($O427="Aktif",MAX(0,MIN($AE427,$AD427-SUM($AG427:AK427))),0)</f>
        <v>0</v>
      </c>
      <c r="AM427" s="8">
        <f>IF($O427="Aktif",MAX(0,MIN($AE427,$AD427-SUM($AG427:AL427))),0)</f>
        <v>0</v>
      </c>
      <c r="AN427" s="8">
        <f>IF($O427="Aktif",MAX(0,MIN($AE427,$AD427-SUM($AG427:AM427))),0)</f>
        <v>0</v>
      </c>
      <c r="AO427" s="8">
        <f>IF($O427="Aktif",MAX(0,MIN($AE427,$AD427-SUM($AG427:AN427))),0)</f>
        <v>0</v>
      </c>
      <c r="AP427" s="8">
        <f>IF($O427="Aktif",MAX(0,MIN($AE427,$AD427-SUM($AG427:AO427))),0)</f>
        <v>0</v>
      </c>
      <c r="AQ427" s="8">
        <f>IF($O427="Aktif",MAX(0,MIN($AE427,$AD427-SUM($AG427:AP427))),0)</f>
        <v>0</v>
      </c>
      <c r="AR427" s="8">
        <f>IF($O427="Aktif",MAX(0,MIN($AE427,$AD427-SUM($AG427:AQ427))),0)</f>
        <v>0</v>
      </c>
      <c r="AS427" s="8">
        <f>IF($O427="Aktif",MAX(0,MIN($AE427,$AD427-SUM($AG427:AR427))),0)</f>
        <v>0</v>
      </c>
      <c r="AT427" s="8">
        <f>IF($O427="Aktif",MAX(0,MIN($AE427,$AD427-SUM($AG427:AS427))),0)</f>
        <v>0</v>
      </c>
      <c r="AU427" s="8">
        <f>IF($O427="Aktif",MAX(0,MIN($AE427,$AD427-SUM($AG427:AT427))),0)</f>
        <v>0</v>
      </c>
      <c r="AV427" s="8">
        <f>IF($O427="Aktif",MAX(0,MIN($AE427,$AD427-SUM($AG427:AU427))),0)</f>
        <v>0</v>
      </c>
      <c r="AW427" s="8">
        <f t="shared" si="47"/>
        <v>0</v>
      </c>
      <c r="AX427" s="8">
        <f t="shared" si="48"/>
        <v>0</v>
      </c>
    </row>
    <row r="428" spans="1:50" ht="15" customHeight="1" x14ac:dyDescent="0.35">
      <c r="A428" s="102">
        <v>422</v>
      </c>
      <c r="B428" s="102" t="s">
        <v>1326</v>
      </c>
      <c r="C428" s="103">
        <v>56</v>
      </c>
      <c r="D428" s="102" t="s">
        <v>185</v>
      </c>
      <c r="E428" s="102" t="s">
        <v>587</v>
      </c>
      <c r="F428" s="102" t="s">
        <v>1327</v>
      </c>
      <c r="G428" s="102" t="s">
        <v>1328</v>
      </c>
      <c r="H428" s="102" t="s">
        <v>1329</v>
      </c>
      <c r="I428" s="102" t="s">
        <v>63</v>
      </c>
      <c r="J428" s="102" t="s">
        <v>1447</v>
      </c>
      <c r="K428" s="102" t="s">
        <v>591</v>
      </c>
      <c r="L428" s="102" t="s">
        <v>1448</v>
      </c>
      <c r="M428" s="102" t="s">
        <v>1449</v>
      </c>
      <c r="N428" s="102" t="s">
        <v>1450</v>
      </c>
      <c r="O428" s="102" t="s">
        <v>383</v>
      </c>
      <c r="P428" s="103">
        <v>1</v>
      </c>
      <c r="Q428" s="105">
        <v>1980000</v>
      </c>
      <c r="R428" s="103">
        <v>48</v>
      </c>
      <c r="S428" s="105">
        <v>0</v>
      </c>
      <c r="T428" s="105">
        <v>1980000</v>
      </c>
      <c r="U428" s="105">
        <v>0</v>
      </c>
      <c r="V428" s="105">
        <v>0</v>
      </c>
      <c r="W428" s="105">
        <v>0</v>
      </c>
      <c r="X428" s="105">
        <v>0</v>
      </c>
      <c r="Y428" s="105">
        <v>0</v>
      </c>
      <c r="Z428" s="105">
        <v>0</v>
      </c>
      <c r="AA428" s="105">
        <v>0</v>
      </c>
      <c r="AB428" s="105">
        <v>0</v>
      </c>
      <c r="AC428" s="8">
        <f t="shared" si="42"/>
        <v>1980000</v>
      </c>
      <c r="AD428" s="8">
        <f t="shared" si="43"/>
        <v>0</v>
      </c>
      <c r="AE428" s="8">
        <f t="shared" si="44"/>
        <v>0</v>
      </c>
      <c r="AF428" s="106">
        <f t="shared" si="45"/>
        <v>0</v>
      </c>
      <c r="AG428" s="8">
        <f t="shared" si="46"/>
        <v>0</v>
      </c>
      <c r="AH428" s="8">
        <f>IF($O428="Aktif",MAX(0,MIN($AE428,$AD428-SUM($AG428:AG428))),0)</f>
        <v>0</v>
      </c>
      <c r="AI428" s="8">
        <f>IF($O428="Aktif",MAX(0,MIN($AE428,$AD428-SUM($AG428:AH428))),0)</f>
        <v>0</v>
      </c>
      <c r="AJ428" s="8">
        <f>IF($O428="Aktif",MAX(0,MIN($AE428,$AD428-SUM($AG428:AI428))),0)</f>
        <v>0</v>
      </c>
      <c r="AK428" s="8">
        <f>IF($O428="Aktif",MAX(0,MIN($AE428,$AD428-SUM($AG428:AJ428))),0)</f>
        <v>0</v>
      </c>
      <c r="AL428" s="8">
        <f>IF($O428="Aktif",MAX(0,MIN($AE428,$AD428-SUM($AG428:AK428))),0)</f>
        <v>0</v>
      </c>
      <c r="AM428" s="8">
        <f>IF($O428="Aktif",MAX(0,MIN($AE428,$AD428-SUM($AG428:AL428))),0)</f>
        <v>0</v>
      </c>
      <c r="AN428" s="8">
        <f>IF($O428="Aktif",MAX(0,MIN($AE428,$AD428-SUM($AG428:AM428))),0)</f>
        <v>0</v>
      </c>
      <c r="AO428" s="8">
        <f>IF($O428="Aktif",MAX(0,MIN($AE428,$AD428-SUM($AG428:AN428))),0)</f>
        <v>0</v>
      </c>
      <c r="AP428" s="8">
        <f>IF($O428="Aktif",MAX(0,MIN($AE428,$AD428-SUM($AG428:AO428))),0)</f>
        <v>0</v>
      </c>
      <c r="AQ428" s="8">
        <f>IF($O428="Aktif",MAX(0,MIN($AE428,$AD428-SUM($AG428:AP428))),0)</f>
        <v>0</v>
      </c>
      <c r="AR428" s="8">
        <f>IF($O428="Aktif",MAX(0,MIN($AE428,$AD428-SUM($AG428:AQ428))),0)</f>
        <v>0</v>
      </c>
      <c r="AS428" s="8">
        <f>IF($O428="Aktif",MAX(0,MIN($AE428,$AD428-SUM($AG428:AR428))),0)</f>
        <v>0</v>
      </c>
      <c r="AT428" s="8">
        <f>IF($O428="Aktif",MAX(0,MIN($AE428,$AD428-SUM($AG428:AS428))),0)</f>
        <v>0</v>
      </c>
      <c r="AU428" s="8">
        <f>IF($O428="Aktif",MAX(0,MIN($AE428,$AD428-SUM($AG428:AT428))),0)</f>
        <v>0</v>
      </c>
      <c r="AV428" s="8">
        <f>IF($O428="Aktif",MAX(0,MIN($AE428,$AD428-SUM($AG428:AU428))),0)</f>
        <v>0</v>
      </c>
      <c r="AW428" s="8">
        <f t="shared" si="47"/>
        <v>0</v>
      </c>
      <c r="AX428" s="8">
        <f t="shared" si="48"/>
        <v>0</v>
      </c>
    </row>
    <row r="429" spans="1:50" ht="15" customHeight="1" x14ac:dyDescent="0.35">
      <c r="A429" s="102">
        <v>423</v>
      </c>
      <c r="B429" s="102" t="s">
        <v>1326</v>
      </c>
      <c r="C429" s="103">
        <v>57</v>
      </c>
      <c r="D429" s="102" t="s">
        <v>185</v>
      </c>
      <c r="E429" s="102" t="s">
        <v>587</v>
      </c>
      <c r="F429" s="102" t="s">
        <v>1327</v>
      </c>
      <c r="G429" s="102" t="s">
        <v>1328</v>
      </c>
      <c r="H429" s="102" t="s">
        <v>1329</v>
      </c>
      <c r="I429" s="102" t="s">
        <v>63</v>
      </c>
      <c r="J429" s="102" t="s">
        <v>1451</v>
      </c>
      <c r="K429" s="102" t="s">
        <v>591</v>
      </c>
      <c r="L429" s="102" t="s">
        <v>1452</v>
      </c>
      <c r="M429" s="102" t="s">
        <v>1453</v>
      </c>
      <c r="N429" s="102" t="s">
        <v>1454</v>
      </c>
      <c r="O429" s="102" t="s">
        <v>383</v>
      </c>
      <c r="P429" s="103">
        <v>1</v>
      </c>
      <c r="Q429" s="105">
        <v>3000000</v>
      </c>
      <c r="R429" s="103">
        <v>48</v>
      </c>
      <c r="S429" s="105">
        <v>0</v>
      </c>
      <c r="T429" s="105">
        <v>3000000</v>
      </c>
      <c r="U429" s="105">
        <v>0</v>
      </c>
      <c r="V429" s="105">
        <v>0</v>
      </c>
      <c r="W429" s="105">
        <v>0</v>
      </c>
      <c r="X429" s="105">
        <v>0</v>
      </c>
      <c r="Y429" s="105">
        <v>0</v>
      </c>
      <c r="Z429" s="105">
        <v>0</v>
      </c>
      <c r="AA429" s="105">
        <v>0</v>
      </c>
      <c r="AB429" s="105">
        <v>0</v>
      </c>
      <c r="AC429" s="8">
        <f t="shared" si="42"/>
        <v>3000000</v>
      </c>
      <c r="AD429" s="8">
        <f t="shared" si="43"/>
        <v>0</v>
      </c>
      <c r="AE429" s="8">
        <f t="shared" si="44"/>
        <v>0</v>
      </c>
      <c r="AF429" s="106">
        <f t="shared" si="45"/>
        <v>0</v>
      </c>
      <c r="AG429" s="8">
        <f t="shared" si="46"/>
        <v>0</v>
      </c>
      <c r="AH429" s="8">
        <f>IF($O429="Aktif",MAX(0,MIN($AE429,$AD429-SUM($AG429:AG429))),0)</f>
        <v>0</v>
      </c>
      <c r="AI429" s="8">
        <f>IF($O429="Aktif",MAX(0,MIN($AE429,$AD429-SUM($AG429:AH429))),0)</f>
        <v>0</v>
      </c>
      <c r="AJ429" s="8">
        <f>IF($O429="Aktif",MAX(0,MIN($AE429,$AD429-SUM($AG429:AI429))),0)</f>
        <v>0</v>
      </c>
      <c r="AK429" s="8">
        <f>IF($O429="Aktif",MAX(0,MIN($AE429,$AD429-SUM($AG429:AJ429))),0)</f>
        <v>0</v>
      </c>
      <c r="AL429" s="8">
        <f>IF($O429="Aktif",MAX(0,MIN($AE429,$AD429-SUM($AG429:AK429))),0)</f>
        <v>0</v>
      </c>
      <c r="AM429" s="8">
        <f>IF($O429="Aktif",MAX(0,MIN($AE429,$AD429-SUM($AG429:AL429))),0)</f>
        <v>0</v>
      </c>
      <c r="AN429" s="8">
        <f>IF($O429="Aktif",MAX(0,MIN($AE429,$AD429-SUM($AG429:AM429))),0)</f>
        <v>0</v>
      </c>
      <c r="AO429" s="8">
        <f>IF($O429="Aktif",MAX(0,MIN($AE429,$AD429-SUM($AG429:AN429))),0)</f>
        <v>0</v>
      </c>
      <c r="AP429" s="8">
        <f>IF($O429="Aktif",MAX(0,MIN($AE429,$AD429-SUM($AG429:AO429))),0)</f>
        <v>0</v>
      </c>
      <c r="AQ429" s="8">
        <f>IF($O429="Aktif",MAX(0,MIN($AE429,$AD429-SUM($AG429:AP429))),0)</f>
        <v>0</v>
      </c>
      <c r="AR429" s="8">
        <f>IF($O429="Aktif",MAX(0,MIN($AE429,$AD429-SUM($AG429:AQ429))),0)</f>
        <v>0</v>
      </c>
      <c r="AS429" s="8">
        <f>IF($O429="Aktif",MAX(0,MIN($AE429,$AD429-SUM($AG429:AR429))),0)</f>
        <v>0</v>
      </c>
      <c r="AT429" s="8">
        <f>IF($O429="Aktif",MAX(0,MIN($AE429,$AD429-SUM($AG429:AS429))),0)</f>
        <v>0</v>
      </c>
      <c r="AU429" s="8">
        <f>IF($O429="Aktif",MAX(0,MIN($AE429,$AD429-SUM($AG429:AT429))),0)</f>
        <v>0</v>
      </c>
      <c r="AV429" s="8">
        <f>IF($O429="Aktif",MAX(0,MIN($AE429,$AD429-SUM($AG429:AU429))),0)</f>
        <v>0</v>
      </c>
      <c r="AW429" s="8">
        <f t="shared" si="47"/>
        <v>0</v>
      </c>
      <c r="AX429" s="8">
        <f t="shared" si="48"/>
        <v>0</v>
      </c>
    </row>
    <row r="430" spans="1:50" ht="15" customHeight="1" x14ac:dyDescent="0.35">
      <c r="A430" s="102">
        <v>424</v>
      </c>
      <c r="B430" s="102" t="s">
        <v>1326</v>
      </c>
      <c r="C430" s="103">
        <v>58</v>
      </c>
      <c r="D430" s="102" t="s">
        <v>185</v>
      </c>
      <c r="E430" s="102" t="s">
        <v>587</v>
      </c>
      <c r="F430" s="102" t="s">
        <v>1327</v>
      </c>
      <c r="G430" s="102" t="s">
        <v>1328</v>
      </c>
      <c r="H430" s="102" t="s">
        <v>1329</v>
      </c>
      <c r="I430" s="102" t="s">
        <v>63</v>
      </c>
      <c r="J430" s="102" t="s">
        <v>1455</v>
      </c>
      <c r="K430" s="102" t="s">
        <v>591</v>
      </c>
      <c r="L430" s="102" t="s">
        <v>1452</v>
      </c>
      <c r="M430" s="102" t="s">
        <v>1456</v>
      </c>
      <c r="N430" s="102" t="s">
        <v>1457</v>
      </c>
      <c r="O430" s="102" t="s">
        <v>383</v>
      </c>
      <c r="P430" s="103">
        <v>1</v>
      </c>
      <c r="Q430" s="105">
        <v>1525000</v>
      </c>
      <c r="R430" s="103">
        <v>48</v>
      </c>
      <c r="S430" s="105">
        <v>0</v>
      </c>
      <c r="T430" s="105">
        <v>1525000</v>
      </c>
      <c r="U430" s="105">
        <v>0</v>
      </c>
      <c r="V430" s="105">
        <v>0</v>
      </c>
      <c r="W430" s="105">
        <v>0</v>
      </c>
      <c r="X430" s="105">
        <v>0</v>
      </c>
      <c r="Y430" s="105">
        <v>0</v>
      </c>
      <c r="Z430" s="105">
        <v>0</v>
      </c>
      <c r="AA430" s="105">
        <v>0</v>
      </c>
      <c r="AB430" s="105">
        <v>0</v>
      </c>
      <c r="AC430" s="8">
        <f t="shared" si="42"/>
        <v>1525000</v>
      </c>
      <c r="AD430" s="8">
        <f t="shared" si="43"/>
        <v>0</v>
      </c>
      <c r="AE430" s="8">
        <f t="shared" si="44"/>
        <v>0</v>
      </c>
      <c r="AF430" s="106">
        <f t="shared" si="45"/>
        <v>0</v>
      </c>
      <c r="AG430" s="8">
        <f t="shared" si="46"/>
        <v>0</v>
      </c>
      <c r="AH430" s="8">
        <f>IF($O430="Aktif",MAX(0,MIN($AE430,$AD430-SUM($AG430:AG430))),0)</f>
        <v>0</v>
      </c>
      <c r="AI430" s="8">
        <f>IF($O430="Aktif",MAX(0,MIN($AE430,$AD430-SUM($AG430:AH430))),0)</f>
        <v>0</v>
      </c>
      <c r="AJ430" s="8">
        <f>IF($O430="Aktif",MAX(0,MIN($AE430,$AD430-SUM($AG430:AI430))),0)</f>
        <v>0</v>
      </c>
      <c r="AK430" s="8">
        <f>IF($O430="Aktif",MAX(0,MIN($AE430,$AD430-SUM($AG430:AJ430))),0)</f>
        <v>0</v>
      </c>
      <c r="AL430" s="8">
        <f>IF($O430="Aktif",MAX(0,MIN($AE430,$AD430-SUM($AG430:AK430))),0)</f>
        <v>0</v>
      </c>
      <c r="AM430" s="8">
        <f>IF($O430="Aktif",MAX(0,MIN($AE430,$AD430-SUM($AG430:AL430))),0)</f>
        <v>0</v>
      </c>
      <c r="AN430" s="8">
        <f>IF($O430="Aktif",MAX(0,MIN($AE430,$AD430-SUM($AG430:AM430))),0)</f>
        <v>0</v>
      </c>
      <c r="AO430" s="8">
        <f>IF($O430="Aktif",MAX(0,MIN($AE430,$AD430-SUM($AG430:AN430))),0)</f>
        <v>0</v>
      </c>
      <c r="AP430" s="8">
        <f>IF($O430="Aktif",MAX(0,MIN($AE430,$AD430-SUM($AG430:AO430))),0)</f>
        <v>0</v>
      </c>
      <c r="AQ430" s="8">
        <f>IF($O430="Aktif",MAX(0,MIN($AE430,$AD430-SUM($AG430:AP430))),0)</f>
        <v>0</v>
      </c>
      <c r="AR430" s="8">
        <f>IF($O430="Aktif",MAX(0,MIN($AE430,$AD430-SUM($AG430:AQ430))),0)</f>
        <v>0</v>
      </c>
      <c r="AS430" s="8">
        <f>IF($O430="Aktif",MAX(0,MIN($AE430,$AD430-SUM($AG430:AR430))),0)</f>
        <v>0</v>
      </c>
      <c r="AT430" s="8">
        <f>IF($O430="Aktif",MAX(0,MIN($AE430,$AD430-SUM($AG430:AS430))),0)</f>
        <v>0</v>
      </c>
      <c r="AU430" s="8">
        <f>IF($O430="Aktif",MAX(0,MIN($AE430,$AD430-SUM($AG430:AT430))),0)</f>
        <v>0</v>
      </c>
      <c r="AV430" s="8">
        <f>IF($O430="Aktif",MAX(0,MIN($AE430,$AD430-SUM($AG430:AU430))),0)</f>
        <v>0</v>
      </c>
      <c r="AW430" s="8">
        <f t="shared" si="47"/>
        <v>0</v>
      </c>
      <c r="AX430" s="8">
        <f t="shared" si="48"/>
        <v>0</v>
      </c>
    </row>
    <row r="431" spans="1:50" ht="15" customHeight="1" x14ac:dyDescent="0.35">
      <c r="A431" s="102">
        <v>425</v>
      </c>
      <c r="B431" s="102" t="s">
        <v>1326</v>
      </c>
      <c r="C431" s="103">
        <v>59</v>
      </c>
      <c r="D431" s="102" t="s">
        <v>185</v>
      </c>
      <c r="E431" s="102" t="s">
        <v>587</v>
      </c>
      <c r="F431" s="102" t="s">
        <v>1327</v>
      </c>
      <c r="G431" s="102" t="s">
        <v>1328</v>
      </c>
      <c r="H431" s="102" t="s">
        <v>1329</v>
      </c>
      <c r="I431" s="102" t="s">
        <v>63</v>
      </c>
      <c r="J431" s="102" t="s">
        <v>1458</v>
      </c>
      <c r="K431" s="102" t="s">
        <v>591</v>
      </c>
      <c r="L431" s="102" t="s">
        <v>1452</v>
      </c>
      <c r="M431" s="102" t="s">
        <v>1459</v>
      </c>
      <c r="N431" s="102" t="s">
        <v>1460</v>
      </c>
      <c r="O431" s="102" t="s">
        <v>383</v>
      </c>
      <c r="P431" s="103">
        <v>1</v>
      </c>
      <c r="Q431" s="105">
        <v>1170000</v>
      </c>
      <c r="R431" s="103">
        <v>48</v>
      </c>
      <c r="S431" s="105">
        <v>0</v>
      </c>
      <c r="T431" s="105">
        <v>1170000</v>
      </c>
      <c r="U431" s="105">
        <v>0</v>
      </c>
      <c r="V431" s="105">
        <v>0</v>
      </c>
      <c r="W431" s="105">
        <v>0</v>
      </c>
      <c r="X431" s="105">
        <v>0</v>
      </c>
      <c r="Y431" s="105">
        <v>0</v>
      </c>
      <c r="Z431" s="105">
        <v>0</v>
      </c>
      <c r="AA431" s="105">
        <v>0</v>
      </c>
      <c r="AB431" s="105">
        <v>0</v>
      </c>
      <c r="AC431" s="8">
        <f t="shared" si="42"/>
        <v>1170000</v>
      </c>
      <c r="AD431" s="8">
        <f t="shared" si="43"/>
        <v>0</v>
      </c>
      <c r="AE431" s="8">
        <f t="shared" si="44"/>
        <v>0</v>
      </c>
      <c r="AF431" s="106">
        <f t="shared" si="45"/>
        <v>0</v>
      </c>
      <c r="AG431" s="8">
        <f t="shared" si="46"/>
        <v>0</v>
      </c>
      <c r="AH431" s="8">
        <f>IF($O431="Aktif",MAX(0,MIN($AE431,$AD431-SUM($AG431:AG431))),0)</f>
        <v>0</v>
      </c>
      <c r="AI431" s="8">
        <f>IF($O431="Aktif",MAX(0,MIN($AE431,$AD431-SUM($AG431:AH431))),0)</f>
        <v>0</v>
      </c>
      <c r="AJ431" s="8">
        <f>IF($O431="Aktif",MAX(0,MIN($AE431,$AD431-SUM($AG431:AI431))),0)</f>
        <v>0</v>
      </c>
      <c r="AK431" s="8">
        <f>IF($O431="Aktif",MAX(0,MIN($AE431,$AD431-SUM($AG431:AJ431))),0)</f>
        <v>0</v>
      </c>
      <c r="AL431" s="8">
        <f>IF($O431="Aktif",MAX(0,MIN($AE431,$AD431-SUM($AG431:AK431))),0)</f>
        <v>0</v>
      </c>
      <c r="AM431" s="8">
        <f>IF($O431="Aktif",MAX(0,MIN($AE431,$AD431-SUM($AG431:AL431))),0)</f>
        <v>0</v>
      </c>
      <c r="AN431" s="8">
        <f>IF($O431="Aktif",MAX(0,MIN($AE431,$AD431-SUM($AG431:AM431))),0)</f>
        <v>0</v>
      </c>
      <c r="AO431" s="8">
        <f>IF($O431="Aktif",MAX(0,MIN($AE431,$AD431-SUM($AG431:AN431))),0)</f>
        <v>0</v>
      </c>
      <c r="AP431" s="8">
        <f>IF($O431="Aktif",MAX(0,MIN($AE431,$AD431-SUM($AG431:AO431))),0)</f>
        <v>0</v>
      </c>
      <c r="AQ431" s="8">
        <f>IF($O431="Aktif",MAX(0,MIN($AE431,$AD431-SUM($AG431:AP431))),0)</f>
        <v>0</v>
      </c>
      <c r="AR431" s="8">
        <f>IF($O431="Aktif",MAX(0,MIN($AE431,$AD431-SUM($AG431:AQ431))),0)</f>
        <v>0</v>
      </c>
      <c r="AS431" s="8">
        <f>IF($O431="Aktif",MAX(0,MIN($AE431,$AD431-SUM($AG431:AR431))),0)</f>
        <v>0</v>
      </c>
      <c r="AT431" s="8">
        <f>IF($O431="Aktif",MAX(0,MIN($AE431,$AD431-SUM($AG431:AS431))),0)</f>
        <v>0</v>
      </c>
      <c r="AU431" s="8">
        <f>IF($O431="Aktif",MAX(0,MIN($AE431,$AD431-SUM($AG431:AT431))),0)</f>
        <v>0</v>
      </c>
      <c r="AV431" s="8">
        <f>IF($O431="Aktif",MAX(0,MIN($AE431,$AD431-SUM($AG431:AU431))),0)</f>
        <v>0</v>
      </c>
      <c r="AW431" s="8">
        <f t="shared" si="47"/>
        <v>0</v>
      </c>
      <c r="AX431" s="8">
        <f t="shared" si="48"/>
        <v>0</v>
      </c>
    </row>
    <row r="432" spans="1:50" ht="15" customHeight="1" x14ac:dyDescent="0.35">
      <c r="A432" s="102">
        <v>426</v>
      </c>
      <c r="B432" s="102" t="s">
        <v>1326</v>
      </c>
      <c r="C432" s="103">
        <v>60</v>
      </c>
      <c r="D432" s="102" t="s">
        <v>185</v>
      </c>
      <c r="E432" s="102" t="s">
        <v>587</v>
      </c>
      <c r="F432" s="102" t="s">
        <v>1327</v>
      </c>
      <c r="G432" s="102" t="s">
        <v>1328</v>
      </c>
      <c r="H432" s="102" t="s">
        <v>1329</v>
      </c>
      <c r="I432" s="102" t="s">
        <v>63</v>
      </c>
      <c r="J432" s="102" t="s">
        <v>1461</v>
      </c>
      <c r="K432" s="102" t="s">
        <v>591</v>
      </c>
      <c r="L432" s="102" t="s">
        <v>1462</v>
      </c>
      <c r="M432" s="102" t="s">
        <v>730</v>
      </c>
      <c r="N432" s="102" t="s">
        <v>1463</v>
      </c>
      <c r="O432" s="102" t="s">
        <v>383</v>
      </c>
      <c r="P432" s="103">
        <v>1</v>
      </c>
      <c r="Q432" s="105">
        <v>1100000</v>
      </c>
      <c r="R432" s="103">
        <v>48</v>
      </c>
      <c r="S432" s="105">
        <v>0</v>
      </c>
      <c r="T432" s="105">
        <v>1100000</v>
      </c>
      <c r="U432" s="105">
        <v>0</v>
      </c>
      <c r="V432" s="105">
        <v>0</v>
      </c>
      <c r="W432" s="105">
        <v>0</v>
      </c>
      <c r="X432" s="105">
        <v>0</v>
      </c>
      <c r="Y432" s="105">
        <v>0</v>
      </c>
      <c r="Z432" s="105">
        <v>0</v>
      </c>
      <c r="AA432" s="105">
        <v>0</v>
      </c>
      <c r="AB432" s="105">
        <v>0</v>
      </c>
      <c r="AC432" s="8">
        <f t="shared" si="42"/>
        <v>1100000</v>
      </c>
      <c r="AD432" s="8">
        <f t="shared" si="43"/>
        <v>0</v>
      </c>
      <c r="AE432" s="8">
        <f t="shared" si="44"/>
        <v>0</v>
      </c>
      <c r="AF432" s="106">
        <f t="shared" si="45"/>
        <v>0</v>
      </c>
      <c r="AG432" s="8">
        <f t="shared" si="46"/>
        <v>0</v>
      </c>
      <c r="AH432" s="8">
        <f>IF($O432="Aktif",MAX(0,MIN($AE432,$AD432-SUM($AG432:AG432))),0)</f>
        <v>0</v>
      </c>
      <c r="AI432" s="8">
        <f>IF($O432="Aktif",MAX(0,MIN($AE432,$AD432-SUM($AG432:AH432))),0)</f>
        <v>0</v>
      </c>
      <c r="AJ432" s="8">
        <f>IF($O432="Aktif",MAX(0,MIN($AE432,$AD432-SUM($AG432:AI432))),0)</f>
        <v>0</v>
      </c>
      <c r="AK432" s="8">
        <f>IF($O432="Aktif",MAX(0,MIN($AE432,$AD432-SUM($AG432:AJ432))),0)</f>
        <v>0</v>
      </c>
      <c r="AL432" s="8">
        <f>IF($O432="Aktif",MAX(0,MIN($AE432,$AD432-SUM($AG432:AK432))),0)</f>
        <v>0</v>
      </c>
      <c r="AM432" s="8">
        <f>IF($O432="Aktif",MAX(0,MIN($AE432,$AD432-SUM($AG432:AL432))),0)</f>
        <v>0</v>
      </c>
      <c r="AN432" s="8">
        <f>IF($O432="Aktif",MAX(0,MIN($AE432,$AD432-SUM($AG432:AM432))),0)</f>
        <v>0</v>
      </c>
      <c r="AO432" s="8">
        <f>IF($O432="Aktif",MAX(0,MIN($AE432,$AD432-SUM($AG432:AN432))),0)</f>
        <v>0</v>
      </c>
      <c r="AP432" s="8">
        <f>IF($O432="Aktif",MAX(0,MIN($AE432,$AD432-SUM($AG432:AO432))),0)</f>
        <v>0</v>
      </c>
      <c r="AQ432" s="8">
        <f>IF($O432="Aktif",MAX(0,MIN($AE432,$AD432-SUM($AG432:AP432))),0)</f>
        <v>0</v>
      </c>
      <c r="AR432" s="8">
        <f>IF($O432="Aktif",MAX(0,MIN($AE432,$AD432-SUM($AG432:AQ432))),0)</f>
        <v>0</v>
      </c>
      <c r="AS432" s="8">
        <f>IF($O432="Aktif",MAX(0,MIN($AE432,$AD432-SUM($AG432:AR432))),0)</f>
        <v>0</v>
      </c>
      <c r="AT432" s="8">
        <f>IF($O432="Aktif",MAX(0,MIN($AE432,$AD432-SUM($AG432:AS432))),0)</f>
        <v>0</v>
      </c>
      <c r="AU432" s="8">
        <f>IF($O432="Aktif",MAX(0,MIN($AE432,$AD432-SUM($AG432:AT432))),0)</f>
        <v>0</v>
      </c>
      <c r="AV432" s="8">
        <f>IF($O432="Aktif",MAX(0,MIN($AE432,$AD432-SUM($AG432:AU432))),0)</f>
        <v>0</v>
      </c>
      <c r="AW432" s="8">
        <f t="shared" si="47"/>
        <v>0</v>
      </c>
      <c r="AX432" s="8">
        <f t="shared" si="48"/>
        <v>0</v>
      </c>
    </row>
    <row r="433" spans="1:50" ht="15" customHeight="1" x14ac:dyDescent="0.35">
      <c r="A433" s="102">
        <v>427</v>
      </c>
      <c r="B433" s="102" t="s">
        <v>1326</v>
      </c>
      <c r="C433" s="103">
        <v>61</v>
      </c>
      <c r="D433" s="102" t="s">
        <v>185</v>
      </c>
      <c r="E433" s="102" t="s">
        <v>587</v>
      </c>
      <c r="F433" s="102" t="s">
        <v>1327</v>
      </c>
      <c r="G433" s="102" t="s">
        <v>1328</v>
      </c>
      <c r="H433" s="102" t="s">
        <v>1329</v>
      </c>
      <c r="I433" s="102" t="s">
        <v>63</v>
      </c>
      <c r="J433" s="102" t="s">
        <v>1464</v>
      </c>
      <c r="K433" s="102" t="s">
        <v>591</v>
      </c>
      <c r="L433" s="102" t="s">
        <v>1412</v>
      </c>
      <c r="M433" s="102" t="s">
        <v>1465</v>
      </c>
      <c r="N433" s="102" t="s">
        <v>1466</v>
      </c>
      <c r="O433" s="102" t="s">
        <v>383</v>
      </c>
      <c r="P433" s="103">
        <v>1</v>
      </c>
      <c r="Q433" s="105">
        <v>3500000</v>
      </c>
      <c r="R433" s="103">
        <v>48</v>
      </c>
      <c r="S433" s="105">
        <v>0</v>
      </c>
      <c r="T433" s="105">
        <v>3500000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Z433" s="105">
        <v>0</v>
      </c>
      <c r="AA433" s="105">
        <v>0</v>
      </c>
      <c r="AB433" s="105">
        <v>0</v>
      </c>
      <c r="AC433" s="8">
        <f t="shared" si="42"/>
        <v>3500000</v>
      </c>
      <c r="AD433" s="8">
        <f t="shared" si="43"/>
        <v>0</v>
      </c>
      <c r="AE433" s="8">
        <f t="shared" si="44"/>
        <v>0</v>
      </c>
      <c r="AF433" s="106">
        <f t="shared" si="45"/>
        <v>0</v>
      </c>
      <c r="AG433" s="8">
        <f t="shared" si="46"/>
        <v>0</v>
      </c>
      <c r="AH433" s="8">
        <f>IF($O433="Aktif",MAX(0,MIN($AE433,$AD433-SUM($AG433:AG433))),0)</f>
        <v>0</v>
      </c>
      <c r="AI433" s="8">
        <f>IF($O433="Aktif",MAX(0,MIN($AE433,$AD433-SUM($AG433:AH433))),0)</f>
        <v>0</v>
      </c>
      <c r="AJ433" s="8">
        <f>IF($O433="Aktif",MAX(0,MIN($AE433,$AD433-SUM($AG433:AI433))),0)</f>
        <v>0</v>
      </c>
      <c r="AK433" s="8">
        <f>IF($O433="Aktif",MAX(0,MIN($AE433,$AD433-SUM($AG433:AJ433))),0)</f>
        <v>0</v>
      </c>
      <c r="AL433" s="8">
        <f>IF($O433="Aktif",MAX(0,MIN($AE433,$AD433-SUM($AG433:AK433))),0)</f>
        <v>0</v>
      </c>
      <c r="AM433" s="8">
        <f>IF($O433="Aktif",MAX(0,MIN($AE433,$AD433-SUM($AG433:AL433))),0)</f>
        <v>0</v>
      </c>
      <c r="AN433" s="8">
        <f>IF($O433="Aktif",MAX(0,MIN($AE433,$AD433-SUM($AG433:AM433))),0)</f>
        <v>0</v>
      </c>
      <c r="AO433" s="8">
        <f>IF($O433="Aktif",MAX(0,MIN($AE433,$AD433-SUM($AG433:AN433))),0)</f>
        <v>0</v>
      </c>
      <c r="AP433" s="8">
        <f>IF($O433="Aktif",MAX(0,MIN($AE433,$AD433-SUM($AG433:AO433))),0)</f>
        <v>0</v>
      </c>
      <c r="AQ433" s="8">
        <f>IF($O433="Aktif",MAX(0,MIN($AE433,$AD433-SUM($AG433:AP433))),0)</f>
        <v>0</v>
      </c>
      <c r="AR433" s="8">
        <f>IF($O433="Aktif",MAX(0,MIN($AE433,$AD433-SUM($AG433:AQ433))),0)</f>
        <v>0</v>
      </c>
      <c r="AS433" s="8">
        <f>IF($O433="Aktif",MAX(0,MIN($AE433,$AD433-SUM($AG433:AR433))),0)</f>
        <v>0</v>
      </c>
      <c r="AT433" s="8">
        <f>IF($O433="Aktif",MAX(0,MIN($AE433,$AD433-SUM($AG433:AS433))),0)</f>
        <v>0</v>
      </c>
      <c r="AU433" s="8">
        <f>IF($O433="Aktif",MAX(0,MIN($AE433,$AD433-SUM($AG433:AT433))),0)</f>
        <v>0</v>
      </c>
      <c r="AV433" s="8">
        <f>IF($O433="Aktif",MAX(0,MIN($AE433,$AD433-SUM($AG433:AU433))),0)</f>
        <v>0</v>
      </c>
      <c r="AW433" s="8">
        <f t="shared" si="47"/>
        <v>0</v>
      </c>
      <c r="AX433" s="8">
        <f t="shared" si="48"/>
        <v>0</v>
      </c>
    </row>
    <row r="434" spans="1:50" ht="15" customHeight="1" x14ac:dyDescent="0.35">
      <c r="A434" s="102">
        <v>428</v>
      </c>
      <c r="B434" s="102" t="s">
        <v>1326</v>
      </c>
      <c r="C434" s="103">
        <v>62</v>
      </c>
      <c r="D434" s="102" t="s">
        <v>185</v>
      </c>
      <c r="E434" s="102" t="s">
        <v>587</v>
      </c>
      <c r="F434" s="102" t="s">
        <v>1327</v>
      </c>
      <c r="G434" s="102" t="s">
        <v>1328</v>
      </c>
      <c r="H434" s="102" t="s">
        <v>1329</v>
      </c>
      <c r="I434" s="102" t="s">
        <v>63</v>
      </c>
      <c r="J434" s="102" t="s">
        <v>1467</v>
      </c>
      <c r="K434" s="102" t="s">
        <v>591</v>
      </c>
      <c r="L434" s="102" t="s">
        <v>1468</v>
      </c>
      <c r="M434" s="102" t="s">
        <v>1469</v>
      </c>
      <c r="N434" s="102" t="s">
        <v>1469</v>
      </c>
      <c r="O434" s="102" t="s">
        <v>383</v>
      </c>
      <c r="P434" s="103">
        <v>1</v>
      </c>
      <c r="Q434" s="105">
        <v>60000000</v>
      </c>
      <c r="R434" s="103">
        <v>48</v>
      </c>
      <c r="S434" s="105">
        <v>0</v>
      </c>
      <c r="T434" s="105">
        <v>60000000</v>
      </c>
      <c r="U434" s="105">
        <v>0</v>
      </c>
      <c r="V434" s="105">
        <v>0</v>
      </c>
      <c r="W434" s="105">
        <v>0</v>
      </c>
      <c r="X434" s="105">
        <v>0</v>
      </c>
      <c r="Y434" s="105">
        <v>0</v>
      </c>
      <c r="Z434" s="105">
        <v>0</v>
      </c>
      <c r="AA434" s="105">
        <v>0</v>
      </c>
      <c r="AB434" s="105">
        <v>0</v>
      </c>
      <c r="AC434" s="8">
        <f t="shared" si="42"/>
        <v>60000000</v>
      </c>
      <c r="AD434" s="8">
        <f t="shared" si="43"/>
        <v>0</v>
      </c>
      <c r="AE434" s="8">
        <f t="shared" si="44"/>
        <v>0</v>
      </c>
      <c r="AF434" s="106">
        <f t="shared" si="45"/>
        <v>0</v>
      </c>
      <c r="AG434" s="8">
        <f t="shared" si="46"/>
        <v>0</v>
      </c>
      <c r="AH434" s="8">
        <f>IF($O434="Aktif",MAX(0,MIN($AE434,$AD434-SUM($AG434:AG434))),0)</f>
        <v>0</v>
      </c>
      <c r="AI434" s="8">
        <f>IF($O434="Aktif",MAX(0,MIN($AE434,$AD434-SUM($AG434:AH434))),0)</f>
        <v>0</v>
      </c>
      <c r="AJ434" s="8">
        <f>IF($O434="Aktif",MAX(0,MIN($AE434,$AD434-SUM($AG434:AI434))),0)</f>
        <v>0</v>
      </c>
      <c r="AK434" s="8">
        <f>IF($O434="Aktif",MAX(0,MIN($AE434,$AD434-SUM($AG434:AJ434))),0)</f>
        <v>0</v>
      </c>
      <c r="AL434" s="8">
        <f>IF($O434="Aktif",MAX(0,MIN($AE434,$AD434-SUM($AG434:AK434))),0)</f>
        <v>0</v>
      </c>
      <c r="AM434" s="8">
        <f>IF($O434="Aktif",MAX(0,MIN($AE434,$AD434-SUM($AG434:AL434))),0)</f>
        <v>0</v>
      </c>
      <c r="AN434" s="8">
        <f>IF($O434="Aktif",MAX(0,MIN($AE434,$AD434-SUM($AG434:AM434))),0)</f>
        <v>0</v>
      </c>
      <c r="AO434" s="8">
        <f>IF($O434="Aktif",MAX(0,MIN($AE434,$AD434-SUM($AG434:AN434))),0)</f>
        <v>0</v>
      </c>
      <c r="AP434" s="8">
        <f>IF($O434="Aktif",MAX(0,MIN($AE434,$AD434-SUM($AG434:AO434))),0)</f>
        <v>0</v>
      </c>
      <c r="AQ434" s="8">
        <f>IF($O434="Aktif",MAX(0,MIN($AE434,$AD434-SUM($AG434:AP434))),0)</f>
        <v>0</v>
      </c>
      <c r="AR434" s="8">
        <f>IF($O434="Aktif",MAX(0,MIN($AE434,$AD434-SUM($AG434:AQ434))),0)</f>
        <v>0</v>
      </c>
      <c r="AS434" s="8">
        <f>IF($O434="Aktif",MAX(0,MIN($AE434,$AD434-SUM($AG434:AR434))),0)</f>
        <v>0</v>
      </c>
      <c r="AT434" s="8">
        <f>IF($O434="Aktif",MAX(0,MIN($AE434,$AD434-SUM($AG434:AS434))),0)</f>
        <v>0</v>
      </c>
      <c r="AU434" s="8">
        <f>IF($O434="Aktif",MAX(0,MIN($AE434,$AD434-SUM($AG434:AT434))),0)</f>
        <v>0</v>
      </c>
      <c r="AV434" s="8">
        <f>IF($O434="Aktif",MAX(0,MIN($AE434,$AD434-SUM($AG434:AU434))),0)</f>
        <v>0</v>
      </c>
      <c r="AW434" s="8">
        <f t="shared" si="47"/>
        <v>0</v>
      </c>
      <c r="AX434" s="8">
        <f t="shared" si="48"/>
        <v>0</v>
      </c>
    </row>
    <row r="435" spans="1:50" ht="15" customHeight="1" x14ac:dyDescent="0.35">
      <c r="A435" s="102">
        <v>429</v>
      </c>
      <c r="B435" s="102" t="s">
        <v>1326</v>
      </c>
      <c r="C435" s="103">
        <v>63</v>
      </c>
      <c r="D435" s="102" t="s">
        <v>185</v>
      </c>
      <c r="E435" s="102" t="s">
        <v>587</v>
      </c>
      <c r="F435" s="102" t="s">
        <v>1327</v>
      </c>
      <c r="G435" s="102" t="s">
        <v>1328</v>
      </c>
      <c r="H435" s="102" t="s">
        <v>1329</v>
      </c>
      <c r="I435" s="102" t="s">
        <v>63</v>
      </c>
      <c r="J435" s="102" t="s">
        <v>1470</v>
      </c>
      <c r="K435" s="102" t="s">
        <v>591</v>
      </c>
      <c r="L435" s="102" t="s">
        <v>1471</v>
      </c>
      <c r="M435" s="102" t="s">
        <v>1472</v>
      </c>
      <c r="N435" s="102" t="s">
        <v>1473</v>
      </c>
      <c r="O435" s="102" t="s">
        <v>383</v>
      </c>
      <c r="P435" s="103">
        <v>1</v>
      </c>
      <c r="Q435" s="105">
        <v>19400000</v>
      </c>
      <c r="R435" s="103">
        <v>48</v>
      </c>
      <c r="S435" s="105">
        <v>0</v>
      </c>
      <c r="T435" s="105">
        <v>19400000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Z435" s="105">
        <v>0</v>
      </c>
      <c r="AA435" s="105">
        <v>0</v>
      </c>
      <c r="AB435" s="105">
        <v>0</v>
      </c>
      <c r="AC435" s="8">
        <f t="shared" si="42"/>
        <v>19400000</v>
      </c>
      <c r="AD435" s="8">
        <f t="shared" si="43"/>
        <v>0</v>
      </c>
      <c r="AE435" s="8">
        <f t="shared" si="44"/>
        <v>0</v>
      </c>
      <c r="AF435" s="106">
        <f t="shared" si="45"/>
        <v>0</v>
      </c>
      <c r="AG435" s="8">
        <f t="shared" si="46"/>
        <v>0</v>
      </c>
      <c r="AH435" s="8">
        <f>IF($O435="Aktif",MAX(0,MIN($AE435,$AD435-SUM($AG435:AG435))),0)</f>
        <v>0</v>
      </c>
      <c r="AI435" s="8">
        <f>IF($O435="Aktif",MAX(0,MIN($AE435,$AD435-SUM($AG435:AH435))),0)</f>
        <v>0</v>
      </c>
      <c r="AJ435" s="8">
        <f>IF($O435="Aktif",MAX(0,MIN($AE435,$AD435-SUM($AG435:AI435))),0)</f>
        <v>0</v>
      </c>
      <c r="AK435" s="8">
        <f>IF($O435="Aktif",MAX(0,MIN($AE435,$AD435-SUM($AG435:AJ435))),0)</f>
        <v>0</v>
      </c>
      <c r="AL435" s="8">
        <f>IF($O435="Aktif",MAX(0,MIN($AE435,$AD435-SUM($AG435:AK435))),0)</f>
        <v>0</v>
      </c>
      <c r="AM435" s="8">
        <f>IF($O435="Aktif",MAX(0,MIN($AE435,$AD435-SUM($AG435:AL435))),0)</f>
        <v>0</v>
      </c>
      <c r="AN435" s="8">
        <f>IF($O435="Aktif",MAX(0,MIN($AE435,$AD435-SUM($AG435:AM435))),0)</f>
        <v>0</v>
      </c>
      <c r="AO435" s="8">
        <f>IF($O435="Aktif",MAX(0,MIN($AE435,$AD435-SUM($AG435:AN435))),0)</f>
        <v>0</v>
      </c>
      <c r="AP435" s="8">
        <f>IF($O435="Aktif",MAX(0,MIN($AE435,$AD435-SUM($AG435:AO435))),0)</f>
        <v>0</v>
      </c>
      <c r="AQ435" s="8">
        <f>IF($O435="Aktif",MAX(0,MIN($AE435,$AD435-SUM($AG435:AP435))),0)</f>
        <v>0</v>
      </c>
      <c r="AR435" s="8">
        <f>IF($O435="Aktif",MAX(0,MIN($AE435,$AD435-SUM($AG435:AQ435))),0)</f>
        <v>0</v>
      </c>
      <c r="AS435" s="8">
        <f>IF($O435="Aktif",MAX(0,MIN($AE435,$AD435-SUM($AG435:AR435))),0)</f>
        <v>0</v>
      </c>
      <c r="AT435" s="8">
        <f>IF($O435="Aktif",MAX(0,MIN($AE435,$AD435-SUM($AG435:AS435))),0)</f>
        <v>0</v>
      </c>
      <c r="AU435" s="8">
        <f>IF($O435="Aktif",MAX(0,MIN($AE435,$AD435-SUM($AG435:AT435))),0)</f>
        <v>0</v>
      </c>
      <c r="AV435" s="8">
        <f>IF($O435="Aktif",MAX(0,MIN($AE435,$AD435-SUM($AG435:AU435))),0)</f>
        <v>0</v>
      </c>
      <c r="AW435" s="8">
        <f t="shared" si="47"/>
        <v>0</v>
      </c>
      <c r="AX435" s="8">
        <f t="shared" si="48"/>
        <v>0</v>
      </c>
    </row>
    <row r="436" spans="1:50" ht="15" customHeight="1" x14ac:dyDescent="0.35">
      <c r="A436" s="102">
        <v>430</v>
      </c>
      <c r="B436" s="102" t="s">
        <v>1326</v>
      </c>
      <c r="C436" s="103">
        <v>64</v>
      </c>
      <c r="D436" s="102" t="s">
        <v>185</v>
      </c>
      <c r="E436" s="102" t="s">
        <v>587</v>
      </c>
      <c r="F436" s="102" t="s">
        <v>1327</v>
      </c>
      <c r="G436" s="102" t="s">
        <v>1328</v>
      </c>
      <c r="H436" s="102" t="s">
        <v>1329</v>
      </c>
      <c r="I436" s="102" t="s">
        <v>63</v>
      </c>
      <c r="J436" s="102" t="s">
        <v>1474</v>
      </c>
      <c r="K436" s="102" t="s">
        <v>591</v>
      </c>
      <c r="L436" s="102" t="s">
        <v>1475</v>
      </c>
      <c r="M436" s="102" t="s">
        <v>1476</v>
      </c>
      <c r="N436" s="102" t="s">
        <v>1477</v>
      </c>
      <c r="O436" s="102" t="s">
        <v>383</v>
      </c>
      <c r="P436" s="103">
        <v>1</v>
      </c>
      <c r="Q436" s="105">
        <v>2520000</v>
      </c>
      <c r="R436" s="103">
        <v>48</v>
      </c>
      <c r="S436" s="105">
        <v>0</v>
      </c>
      <c r="T436" s="105">
        <v>2520000</v>
      </c>
      <c r="U436" s="105">
        <v>0</v>
      </c>
      <c r="V436" s="105">
        <v>0</v>
      </c>
      <c r="W436" s="105">
        <v>0</v>
      </c>
      <c r="X436" s="105">
        <v>0</v>
      </c>
      <c r="Y436" s="105">
        <v>0</v>
      </c>
      <c r="Z436" s="105">
        <v>0</v>
      </c>
      <c r="AA436" s="105">
        <v>0</v>
      </c>
      <c r="AB436" s="105">
        <v>0</v>
      </c>
      <c r="AC436" s="8">
        <f t="shared" si="42"/>
        <v>2520000</v>
      </c>
      <c r="AD436" s="8">
        <f t="shared" si="43"/>
        <v>0</v>
      </c>
      <c r="AE436" s="8">
        <f t="shared" si="44"/>
        <v>0</v>
      </c>
      <c r="AF436" s="106">
        <f t="shared" si="45"/>
        <v>0</v>
      </c>
      <c r="AG436" s="8">
        <f t="shared" si="46"/>
        <v>0</v>
      </c>
      <c r="AH436" s="8">
        <f>IF($O436="Aktif",MAX(0,MIN($AE436,$AD436-SUM($AG436:AG436))),0)</f>
        <v>0</v>
      </c>
      <c r="AI436" s="8">
        <f>IF($O436="Aktif",MAX(0,MIN($AE436,$AD436-SUM($AG436:AH436))),0)</f>
        <v>0</v>
      </c>
      <c r="AJ436" s="8">
        <f>IF($O436="Aktif",MAX(0,MIN($AE436,$AD436-SUM($AG436:AI436))),0)</f>
        <v>0</v>
      </c>
      <c r="AK436" s="8">
        <f>IF($O436="Aktif",MAX(0,MIN($AE436,$AD436-SUM($AG436:AJ436))),0)</f>
        <v>0</v>
      </c>
      <c r="AL436" s="8">
        <f>IF($O436="Aktif",MAX(0,MIN($AE436,$AD436-SUM($AG436:AK436))),0)</f>
        <v>0</v>
      </c>
      <c r="AM436" s="8">
        <f>IF($O436="Aktif",MAX(0,MIN($AE436,$AD436-SUM($AG436:AL436))),0)</f>
        <v>0</v>
      </c>
      <c r="AN436" s="8">
        <f>IF($O436="Aktif",MAX(0,MIN($AE436,$AD436-SUM($AG436:AM436))),0)</f>
        <v>0</v>
      </c>
      <c r="AO436" s="8">
        <f>IF($O436="Aktif",MAX(0,MIN($AE436,$AD436-SUM($AG436:AN436))),0)</f>
        <v>0</v>
      </c>
      <c r="AP436" s="8">
        <f>IF($O436="Aktif",MAX(0,MIN($AE436,$AD436-SUM($AG436:AO436))),0)</f>
        <v>0</v>
      </c>
      <c r="AQ436" s="8">
        <f>IF($O436="Aktif",MAX(0,MIN($AE436,$AD436-SUM($AG436:AP436))),0)</f>
        <v>0</v>
      </c>
      <c r="AR436" s="8">
        <f>IF($O436="Aktif",MAX(0,MIN($AE436,$AD436-SUM($AG436:AQ436))),0)</f>
        <v>0</v>
      </c>
      <c r="AS436" s="8">
        <f>IF($O436="Aktif",MAX(0,MIN($AE436,$AD436-SUM($AG436:AR436))),0)</f>
        <v>0</v>
      </c>
      <c r="AT436" s="8">
        <f>IF($O436="Aktif",MAX(0,MIN($AE436,$AD436-SUM($AG436:AS436))),0)</f>
        <v>0</v>
      </c>
      <c r="AU436" s="8">
        <f>IF($O436="Aktif",MAX(0,MIN($AE436,$AD436-SUM($AG436:AT436))),0)</f>
        <v>0</v>
      </c>
      <c r="AV436" s="8">
        <f>IF($O436="Aktif",MAX(0,MIN($AE436,$AD436-SUM($AG436:AU436))),0)</f>
        <v>0</v>
      </c>
      <c r="AW436" s="8">
        <f t="shared" si="47"/>
        <v>0</v>
      </c>
      <c r="AX436" s="8">
        <f t="shared" si="48"/>
        <v>0</v>
      </c>
    </row>
    <row r="437" spans="1:50" ht="15" customHeight="1" x14ac:dyDescent="0.35">
      <c r="A437" s="102">
        <v>431</v>
      </c>
      <c r="B437" s="102" t="s">
        <v>1326</v>
      </c>
      <c r="C437" s="103">
        <v>65</v>
      </c>
      <c r="D437" s="102" t="s">
        <v>185</v>
      </c>
      <c r="E437" s="102" t="s">
        <v>587</v>
      </c>
      <c r="F437" s="102" t="s">
        <v>1327</v>
      </c>
      <c r="G437" s="102" t="s">
        <v>1328</v>
      </c>
      <c r="H437" s="102" t="s">
        <v>1329</v>
      </c>
      <c r="I437" s="102" t="s">
        <v>63</v>
      </c>
      <c r="J437" s="102" t="s">
        <v>1478</v>
      </c>
      <c r="K437" s="102" t="s">
        <v>591</v>
      </c>
      <c r="L437" s="102" t="s">
        <v>1479</v>
      </c>
      <c r="M437" s="102" t="s">
        <v>1480</v>
      </c>
      <c r="N437" s="102" t="s">
        <v>1481</v>
      </c>
      <c r="O437" s="102" t="s">
        <v>383</v>
      </c>
      <c r="P437" s="103">
        <v>1</v>
      </c>
      <c r="Q437" s="105">
        <v>607000</v>
      </c>
      <c r="R437" s="103">
        <v>48</v>
      </c>
      <c r="S437" s="105">
        <v>0</v>
      </c>
      <c r="T437" s="105">
        <v>607000</v>
      </c>
      <c r="U437" s="105">
        <v>0</v>
      </c>
      <c r="V437" s="105">
        <v>0</v>
      </c>
      <c r="W437" s="105">
        <v>0</v>
      </c>
      <c r="X437" s="105">
        <v>0</v>
      </c>
      <c r="Y437" s="105">
        <v>0</v>
      </c>
      <c r="Z437" s="105">
        <v>0</v>
      </c>
      <c r="AA437" s="105">
        <v>0</v>
      </c>
      <c r="AB437" s="105">
        <v>0</v>
      </c>
      <c r="AC437" s="8">
        <f t="shared" si="42"/>
        <v>607000</v>
      </c>
      <c r="AD437" s="8">
        <f t="shared" si="43"/>
        <v>0</v>
      </c>
      <c r="AE437" s="8">
        <f t="shared" si="44"/>
        <v>0</v>
      </c>
      <c r="AF437" s="106">
        <f t="shared" si="45"/>
        <v>0</v>
      </c>
      <c r="AG437" s="8">
        <f t="shared" si="46"/>
        <v>0</v>
      </c>
      <c r="AH437" s="8">
        <f>IF($O437="Aktif",MAX(0,MIN($AE437,$AD437-SUM($AG437:AG437))),0)</f>
        <v>0</v>
      </c>
      <c r="AI437" s="8">
        <f>IF($O437="Aktif",MAX(0,MIN($AE437,$AD437-SUM($AG437:AH437))),0)</f>
        <v>0</v>
      </c>
      <c r="AJ437" s="8">
        <f>IF($O437="Aktif",MAX(0,MIN($AE437,$AD437-SUM($AG437:AI437))),0)</f>
        <v>0</v>
      </c>
      <c r="AK437" s="8">
        <f>IF($O437="Aktif",MAX(0,MIN($AE437,$AD437-SUM($AG437:AJ437))),0)</f>
        <v>0</v>
      </c>
      <c r="AL437" s="8">
        <f>IF($O437="Aktif",MAX(0,MIN($AE437,$AD437-SUM($AG437:AK437))),0)</f>
        <v>0</v>
      </c>
      <c r="AM437" s="8">
        <f>IF($O437="Aktif",MAX(0,MIN($AE437,$AD437-SUM($AG437:AL437))),0)</f>
        <v>0</v>
      </c>
      <c r="AN437" s="8">
        <f>IF($O437="Aktif",MAX(0,MIN($AE437,$AD437-SUM($AG437:AM437))),0)</f>
        <v>0</v>
      </c>
      <c r="AO437" s="8">
        <f>IF($O437="Aktif",MAX(0,MIN($AE437,$AD437-SUM($AG437:AN437))),0)</f>
        <v>0</v>
      </c>
      <c r="AP437" s="8">
        <f>IF($O437="Aktif",MAX(0,MIN($AE437,$AD437-SUM($AG437:AO437))),0)</f>
        <v>0</v>
      </c>
      <c r="AQ437" s="8">
        <f>IF($O437="Aktif",MAX(0,MIN($AE437,$AD437-SUM($AG437:AP437))),0)</f>
        <v>0</v>
      </c>
      <c r="AR437" s="8">
        <f>IF($O437="Aktif",MAX(0,MIN($AE437,$AD437-SUM($AG437:AQ437))),0)</f>
        <v>0</v>
      </c>
      <c r="AS437" s="8">
        <f>IF($O437="Aktif",MAX(0,MIN($AE437,$AD437-SUM($AG437:AR437))),0)</f>
        <v>0</v>
      </c>
      <c r="AT437" s="8">
        <f>IF($O437="Aktif",MAX(0,MIN($AE437,$AD437-SUM($AG437:AS437))),0)</f>
        <v>0</v>
      </c>
      <c r="AU437" s="8">
        <f>IF($O437="Aktif",MAX(0,MIN($AE437,$AD437-SUM($AG437:AT437))),0)</f>
        <v>0</v>
      </c>
      <c r="AV437" s="8">
        <f>IF($O437="Aktif",MAX(0,MIN($AE437,$AD437-SUM($AG437:AU437))),0)</f>
        <v>0</v>
      </c>
      <c r="AW437" s="8">
        <f t="shared" si="47"/>
        <v>0</v>
      </c>
      <c r="AX437" s="8">
        <f t="shared" si="48"/>
        <v>0</v>
      </c>
    </row>
    <row r="438" spans="1:50" ht="15" customHeight="1" x14ac:dyDescent="0.35">
      <c r="A438" s="102">
        <v>432</v>
      </c>
      <c r="B438" s="102" t="s">
        <v>1326</v>
      </c>
      <c r="C438" s="103">
        <v>66</v>
      </c>
      <c r="D438" s="102" t="s">
        <v>185</v>
      </c>
      <c r="E438" s="102" t="s">
        <v>587</v>
      </c>
      <c r="F438" s="102" t="s">
        <v>1327</v>
      </c>
      <c r="G438" s="102" t="s">
        <v>1328</v>
      </c>
      <c r="H438" s="102" t="s">
        <v>1329</v>
      </c>
      <c r="I438" s="102" t="s">
        <v>63</v>
      </c>
      <c r="J438" s="102" t="s">
        <v>1482</v>
      </c>
      <c r="K438" s="102" t="s">
        <v>591</v>
      </c>
      <c r="L438" s="102" t="s">
        <v>1330</v>
      </c>
      <c r="M438" s="102" t="s">
        <v>1483</v>
      </c>
      <c r="N438" s="102" t="s">
        <v>1484</v>
      </c>
      <c r="O438" s="102" t="s">
        <v>383</v>
      </c>
      <c r="P438" s="103">
        <v>1</v>
      </c>
      <c r="Q438" s="105">
        <v>4600000</v>
      </c>
      <c r="R438" s="103">
        <v>48</v>
      </c>
      <c r="S438" s="105">
        <v>0</v>
      </c>
      <c r="T438" s="105">
        <v>4600000</v>
      </c>
      <c r="U438" s="105">
        <v>0</v>
      </c>
      <c r="V438" s="105">
        <v>0</v>
      </c>
      <c r="W438" s="105">
        <v>0</v>
      </c>
      <c r="X438" s="105">
        <v>0</v>
      </c>
      <c r="Y438" s="105">
        <v>0</v>
      </c>
      <c r="Z438" s="105">
        <v>0</v>
      </c>
      <c r="AA438" s="105">
        <v>0</v>
      </c>
      <c r="AB438" s="105">
        <v>0</v>
      </c>
      <c r="AC438" s="8">
        <f t="shared" si="42"/>
        <v>4600000</v>
      </c>
      <c r="AD438" s="8">
        <f t="shared" si="43"/>
        <v>0</v>
      </c>
      <c r="AE438" s="8">
        <f t="shared" si="44"/>
        <v>0</v>
      </c>
      <c r="AF438" s="106">
        <f t="shared" si="45"/>
        <v>0</v>
      </c>
      <c r="AG438" s="8">
        <f t="shared" si="46"/>
        <v>0</v>
      </c>
      <c r="AH438" s="8">
        <f>IF($O438="Aktif",MAX(0,MIN($AE438,$AD438-SUM($AG438:AG438))),0)</f>
        <v>0</v>
      </c>
      <c r="AI438" s="8">
        <f>IF($O438="Aktif",MAX(0,MIN($AE438,$AD438-SUM($AG438:AH438))),0)</f>
        <v>0</v>
      </c>
      <c r="AJ438" s="8">
        <f>IF($O438="Aktif",MAX(0,MIN($AE438,$AD438-SUM($AG438:AI438))),0)</f>
        <v>0</v>
      </c>
      <c r="AK438" s="8">
        <f>IF($O438="Aktif",MAX(0,MIN($AE438,$AD438-SUM($AG438:AJ438))),0)</f>
        <v>0</v>
      </c>
      <c r="AL438" s="8">
        <f>IF($O438="Aktif",MAX(0,MIN($AE438,$AD438-SUM($AG438:AK438))),0)</f>
        <v>0</v>
      </c>
      <c r="AM438" s="8">
        <f>IF($O438="Aktif",MAX(0,MIN($AE438,$AD438-SUM($AG438:AL438))),0)</f>
        <v>0</v>
      </c>
      <c r="AN438" s="8">
        <f>IF($O438="Aktif",MAX(0,MIN($AE438,$AD438-SUM($AG438:AM438))),0)</f>
        <v>0</v>
      </c>
      <c r="AO438" s="8">
        <f>IF($O438="Aktif",MAX(0,MIN($AE438,$AD438-SUM($AG438:AN438))),0)</f>
        <v>0</v>
      </c>
      <c r="AP438" s="8">
        <f>IF($O438="Aktif",MAX(0,MIN($AE438,$AD438-SUM($AG438:AO438))),0)</f>
        <v>0</v>
      </c>
      <c r="AQ438" s="8">
        <f>IF($O438="Aktif",MAX(0,MIN($AE438,$AD438-SUM($AG438:AP438))),0)</f>
        <v>0</v>
      </c>
      <c r="AR438" s="8">
        <f>IF($O438="Aktif",MAX(0,MIN($AE438,$AD438-SUM($AG438:AQ438))),0)</f>
        <v>0</v>
      </c>
      <c r="AS438" s="8">
        <f>IF($O438="Aktif",MAX(0,MIN($AE438,$AD438-SUM($AG438:AR438))),0)</f>
        <v>0</v>
      </c>
      <c r="AT438" s="8">
        <f>IF($O438="Aktif",MAX(0,MIN($AE438,$AD438-SUM($AG438:AS438))),0)</f>
        <v>0</v>
      </c>
      <c r="AU438" s="8">
        <f>IF($O438="Aktif",MAX(0,MIN($AE438,$AD438-SUM($AG438:AT438))),0)</f>
        <v>0</v>
      </c>
      <c r="AV438" s="8">
        <f>IF($O438="Aktif",MAX(0,MIN($AE438,$AD438-SUM($AG438:AU438))),0)</f>
        <v>0</v>
      </c>
      <c r="AW438" s="8">
        <f t="shared" si="47"/>
        <v>0</v>
      </c>
      <c r="AX438" s="8">
        <f t="shared" si="48"/>
        <v>0</v>
      </c>
    </row>
    <row r="439" spans="1:50" ht="15" customHeight="1" x14ac:dyDescent="0.35">
      <c r="A439" s="102">
        <v>433</v>
      </c>
      <c r="B439" s="102" t="s">
        <v>1326</v>
      </c>
      <c r="C439" s="103">
        <v>67</v>
      </c>
      <c r="D439" s="102" t="s">
        <v>185</v>
      </c>
      <c r="E439" s="102" t="s">
        <v>587</v>
      </c>
      <c r="F439" s="102" t="s">
        <v>1327</v>
      </c>
      <c r="G439" s="102" t="s">
        <v>1328</v>
      </c>
      <c r="H439" s="102" t="s">
        <v>1329</v>
      </c>
      <c r="I439" s="102" t="s">
        <v>63</v>
      </c>
      <c r="J439" s="102" t="s">
        <v>1485</v>
      </c>
      <c r="K439" s="102" t="s">
        <v>591</v>
      </c>
      <c r="L439" s="102" t="s">
        <v>1486</v>
      </c>
      <c r="M439" s="102" t="s">
        <v>1487</v>
      </c>
      <c r="N439" s="102" t="s">
        <v>1488</v>
      </c>
      <c r="O439" s="102" t="s">
        <v>383</v>
      </c>
      <c r="P439" s="103">
        <v>1</v>
      </c>
      <c r="Q439" s="105">
        <v>1925000</v>
      </c>
      <c r="R439" s="103">
        <v>48</v>
      </c>
      <c r="S439" s="105">
        <v>0</v>
      </c>
      <c r="T439" s="105">
        <v>1925000.16666667</v>
      </c>
      <c r="U439" s="105">
        <v>0</v>
      </c>
      <c r="V439" s="105">
        <v>0</v>
      </c>
      <c r="W439" s="105">
        <v>0</v>
      </c>
      <c r="X439" s="105">
        <v>0</v>
      </c>
      <c r="Y439" s="105">
        <v>0</v>
      </c>
      <c r="Z439" s="105">
        <v>0</v>
      </c>
      <c r="AA439" s="105">
        <v>0</v>
      </c>
      <c r="AB439" s="105">
        <v>0</v>
      </c>
      <c r="AC439" s="8">
        <f t="shared" si="42"/>
        <v>1925000.16666667</v>
      </c>
      <c r="AD439" s="8">
        <f t="shared" si="43"/>
        <v>-0.16666667000390589</v>
      </c>
      <c r="AE439" s="8">
        <f t="shared" si="44"/>
        <v>0</v>
      </c>
      <c r="AF439" s="106">
        <f t="shared" si="45"/>
        <v>0</v>
      </c>
      <c r="AG439" s="8">
        <f t="shared" si="46"/>
        <v>0</v>
      </c>
      <c r="AH439" s="8">
        <f>IF($O439="Aktif",MAX(0,MIN($AE439,$AD439-SUM($AG439:AG439))),0)</f>
        <v>0</v>
      </c>
      <c r="AI439" s="8">
        <f>IF($O439="Aktif",MAX(0,MIN($AE439,$AD439-SUM($AG439:AH439))),0)</f>
        <v>0</v>
      </c>
      <c r="AJ439" s="8">
        <f>IF($O439="Aktif",MAX(0,MIN($AE439,$AD439-SUM($AG439:AI439))),0)</f>
        <v>0</v>
      </c>
      <c r="AK439" s="8">
        <f>IF($O439="Aktif",MAX(0,MIN($AE439,$AD439-SUM($AG439:AJ439))),0)</f>
        <v>0</v>
      </c>
      <c r="AL439" s="8">
        <f>IF($O439="Aktif",MAX(0,MIN($AE439,$AD439-SUM($AG439:AK439))),0)</f>
        <v>0</v>
      </c>
      <c r="AM439" s="8">
        <f>IF($O439="Aktif",MAX(0,MIN($AE439,$AD439-SUM($AG439:AL439))),0)</f>
        <v>0</v>
      </c>
      <c r="AN439" s="8">
        <f>IF($O439="Aktif",MAX(0,MIN($AE439,$AD439-SUM($AG439:AM439))),0)</f>
        <v>0</v>
      </c>
      <c r="AO439" s="8">
        <f>IF($O439="Aktif",MAX(0,MIN($AE439,$AD439-SUM($AG439:AN439))),0)</f>
        <v>0</v>
      </c>
      <c r="AP439" s="8">
        <f>IF($O439="Aktif",MAX(0,MIN($AE439,$AD439-SUM($AG439:AO439))),0)</f>
        <v>0</v>
      </c>
      <c r="AQ439" s="8">
        <f>IF($O439="Aktif",MAX(0,MIN($AE439,$AD439-SUM($AG439:AP439))),0)</f>
        <v>0</v>
      </c>
      <c r="AR439" s="8">
        <f>IF($O439="Aktif",MAX(0,MIN($AE439,$AD439-SUM($AG439:AQ439))),0)</f>
        <v>0</v>
      </c>
      <c r="AS439" s="8">
        <f>IF($O439="Aktif",MAX(0,MIN($AE439,$AD439-SUM($AG439:AR439))),0)</f>
        <v>0</v>
      </c>
      <c r="AT439" s="8">
        <f>IF($O439="Aktif",MAX(0,MIN($AE439,$AD439-SUM($AG439:AS439))),0)</f>
        <v>0</v>
      </c>
      <c r="AU439" s="8">
        <f>IF($O439="Aktif",MAX(0,MIN($AE439,$AD439-SUM($AG439:AT439))),0)</f>
        <v>0</v>
      </c>
      <c r="AV439" s="8">
        <f>IF($O439="Aktif",MAX(0,MIN($AE439,$AD439-SUM($AG439:AU439))),0)</f>
        <v>0</v>
      </c>
      <c r="AW439" s="8">
        <f t="shared" si="47"/>
        <v>0</v>
      </c>
      <c r="AX439" s="8">
        <f t="shared" si="48"/>
        <v>-0.16666667000390589</v>
      </c>
    </row>
    <row r="440" spans="1:50" ht="15" customHeight="1" x14ac:dyDescent="0.35">
      <c r="A440" s="102">
        <v>434</v>
      </c>
      <c r="B440" s="102" t="s">
        <v>1326</v>
      </c>
      <c r="C440" s="103">
        <v>68</v>
      </c>
      <c r="D440" s="102" t="s">
        <v>185</v>
      </c>
      <c r="E440" s="102" t="s">
        <v>587</v>
      </c>
      <c r="F440" s="102" t="s">
        <v>1327</v>
      </c>
      <c r="G440" s="102" t="s">
        <v>1328</v>
      </c>
      <c r="H440" s="102" t="s">
        <v>1329</v>
      </c>
      <c r="I440" s="102" t="s">
        <v>63</v>
      </c>
      <c r="J440" s="102" t="s">
        <v>1489</v>
      </c>
      <c r="K440" s="102" t="s">
        <v>591</v>
      </c>
      <c r="L440" s="102" t="s">
        <v>1490</v>
      </c>
      <c r="M440" s="102" t="s">
        <v>1491</v>
      </c>
      <c r="N440" s="102" t="s">
        <v>1492</v>
      </c>
      <c r="O440" s="102" t="s">
        <v>383</v>
      </c>
      <c r="P440" s="103">
        <v>1</v>
      </c>
      <c r="Q440" s="105">
        <v>18750000</v>
      </c>
      <c r="R440" s="103">
        <v>48</v>
      </c>
      <c r="S440" s="105">
        <v>0</v>
      </c>
      <c r="T440" s="105">
        <v>18750000</v>
      </c>
      <c r="U440" s="105">
        <v>0</v>
      </c>
      <c r="V440" s="105">
        <v>0</v>
      </c>
      <c r="W440" s="105">
        <v>0</v>
      </c>
      <c r="X440" s="105">
        <v>0</v>
      </c>
      <c r="Y440" s="105">
        <v>0</v>
      </c>
      <c r="Z440" s="105">
        <v>0</v>
      </c>
      <c r="AA440" s="105">
        <v>0</v>
      </c>
      <c r="AB440" s="105">
        <v>0</v>
      </c>
      <c r="AC440" s="8">
        <f t="shared" si="42"/>
        <v>18750000</v>
      </c>
      <c r="AD440" s="8">
        <f t="shared" si="43"/>
        <v>0</v>
      </c>
      <c r="AE440" s="8">
        <f t="shared" si="44"/>
        <v>0</v>
      </c>
      <c r="AF440" s="106">
        <f t="shared" si="45"/>
        <v>0</v>
      </c>
      <c r="AG440" s="8">
        <f t="shared" si="46"/>
        <v>0</v>
      </c>
      <c r="AH440" s="8">
        <f>IF($O440="Aktif",MAX(0,MIN($AE440,$AD440-SUM($AG440:AG440))),0)</f>
        <v>0</v>
      </c>
      <c r="AI440" s="8">
        <f>IF($O440="Aktif",MAX(0,MIN($AE440,$AD440-SUM($AG440:AH440))),0)</f>
        <v>0</v>
      </c>
      <c r="AJ440" s="8">
        <f>IF($O440="Aktif",MAX(0,MIN($AE440,$AD440-SUM($AG440:AI440))),0)</f>
        <v>0</v>
      </c>
      <c r="AK440" s="8">
        <f>IF($O440="Aktif",MAX(0,MIN($AE440,$AD440-SUM($AG440:AJ440))),0)</f>
        <v>0</v>
      </c>
      <c r="AL440" s="8">
        <f>IF($O440="Aktif",MAX(0,MIN($AE440,$AD440-SUM($AG440:AK440))),0)</f>
        <v>0</v>
      </c>
      <c r="AM440" s="8">
        <f>IF($O440="Aktif",MAX(0,MIN($AE440,$AD440-SUM($AG440:AL440))),0)</f>
        <v>0</v>
      </c>
      <c r="AN440" s="8">
        <f>IF($O440="Aktif",MAX(0,MIN($AE440,$AD440-SUM($AG440:AM440))),0)</f>
        <v>0</v>
      </c>
      <c r="AO440" s="8">
        <f>IF($O440="Aktif",MAX(0,MIN($AE440,$AD440-SUM($AG440:AN440))),0)</f>
        <v>0</v>
      </c>
      <c r="AP440" s="8">
        <f>IF($O440="Aktif",MAX(0,MIN($AE440,$AD440-SUM($AG440:AO440))),0)</f>
        <v>0</v>
      </c>
      <c r="AQ440" s="8">
        <f>IF($O440="Aktif",MAX(0,MIN($AE440,$AD440-SUM($AG440:AP440))),0)</f>
        <v>0</v>
      </c>
      <c r="AR440" s="8">
        <f>IF($O440="Aktif",MAX(0,MIN($AE440,$AD440-SUM($AG440:AQ440))),0)</f>
        <v>0</v>
      </c>
      <c r="AS440" s="8">
        <f>IF($O440="Aktif",MAX(0,MIN($AE440,$AD440-SUM($AG440:AR440))),0)</f>
        <v>0</v>
      </c>
      <c r="AT440" s="8">
        <f>IF($O440="Aktif",MAX(0,MIN($AE440,$AD440-SUM($AG440:AS440))),0)</f>
        <v>0</v>
      </c>
      <c r="AU440" s="8">
        <f>IF($O440="Aktif",MAX(0,MIN($AE440,$AD440-SUM($AG440:AT440))),0)</f>
        <v>0</v>
      </c>
      <c r="AV440" s="8">
        <f>IF($O440="Aktif",MAX(0,MIN($AE440,$AD440-SUM($AG440:AU440))),0)</f>
        <v>0</v>
      </c>
      <c r="AW440" s="8">
        <f t="shared" si="47"/>
        <v>0</v>
      </c>
      <c r="AX440" s="8">
        <f t="shared" si="48"/>
        <v>0</v>
      </c>
    </row>
    <row r="441" spans="1:50" ht="15" customHeight="1" x14ac:dyDescent="0.35">
      <c r="A441" s="102">
        <v>435</v>
      </c>
      <c r="B441" s="102" t="s">
        <v>1326</v>
      </c>
      <c r="C441" s="103">
        <v>69</v>
      </c>
      <c r="D441" s="102" t="s">
        <v>185</v>
      </c>
      <c r="E441" s="102" t="s">
        <v>587</v>
      </c>
      <c r="F441" s="102" t="s">
        <v>1327</v>
      </c>
      <c r="G441" s="102" t="s">
        <v>1328</v>
      </c>
      <c r="H441" s="102" t="s">
        <v>1329</v>
      </c>
      <c r="I441" s="102" t="s">
        <v>63</v>
      </c>
      <c r="J441" s="102" t="s">
        <v>1493</v>
      </c>
      <c r="K441" s="102" t="s">
        <v>591</v>
      </c>
      <c r="L441" s="102" t="s">
        <v>1494</v>
      </c>
      <c r="M441" s="102" t="s">
        <v>1495</v>
      </c>
      <c r="N441" s="102" t="s">
        <v>1496</v>
      </c>
      <c r="O441" s="102" t="s">
        <v>383</v>
      </c>
      <c r="P441" s="103">
        <v>1</v>
      </c>
      <c r="Q441" s="105">
        <v>548000</v>
      </c>
      <c r="R441" s="103">
        <v>48</v>
      </c>
      <c r="S441" s="105">
        <v>0</v>
      </c>
      <c r="T441" s="105">
        <v>548000</v>
      </c>
      <c r="U441" s="105">
        <v>0</v>
      </c>
      <c r="V441" s="105">
        <v>0</v>
      </c>
      <c r="W441" s="105">
        <v>0</v>
      </c>
      <c r="X441" s="105">
        <v>0</v>
      </c>
      <c r="Y441" s="105">
        <v>0</v>
      </c>
      <c r="Z441" s="105">
        <v>0</v>
      </c>
      <c r="AA441" s="105">
        <v>0</v>
      </c>
      <c r="AB441" s="105">
        <v>0</v>
      </c>
      <c r="AC441" s="8">
        <f t="shared" si="42"/>
        <v>548000</v>
      </c>
      <c r="AD441" s="8">
        <f t="shared" si="43"/>
        <v>0</v>
      </c>
      <c r="AE441" s="8">
        <f t="shared" si="44"/>
        <v>0</v>
      </c>
      <c r="AF441" s="106">
        <f t="shared" si="45"/>
        <v>0</v>
      </c>
      <c r="AG441" s="8">
        <f t="shared" si="46"/>
        <v>0</v>
      </c>
      <c r="AH441" s="8">
        <f>IF($O441="Aktif",MAX(0,MIN($AE441,$AD441-SUM($AG441:AG441))),0)</f>
        <v>0</v>
      </c>
      <c r="AI441" s="8">
        <f>IF($O441="Aktif",MAX(0,MIN($AE441,$AD441-SUM($AG441:AH441))),0)</f>
        <v>0</v>
      </c>
      <c r="AJ441" s="8">
        <f>IF($O441="Aktif",MAX(0,MIN($AE441,$AD441-SUM($AG441:AI441))),0)</f>
        <v>0</v>
      </c>
      <c r="AK441" s="8">
        <f>IF($O441="Aktif",MAX(0,MIN($AE441,$AD441-SUM($AG441:AJ441))),0)</f>
        <v>0</v>
      </c>
      <c r="AL441" s="8">
        <f>IF($O441="Aktif",MAX(0,MIN($AE441,$AD441-SUM($AG441:AK441))),0)</f>
        <v>0</v>
      </c>
      <c r="AM441" s="8">
        <f>IF($O441="Aktif",MAX(0,MIN($AE441,$AD441-SUM($AG441:AL441))),0)</f>
        <v>0</v>
      </c>
      <c r="AN441" s="8">
        <f>IF($O441="Aktif",MAX(0,MIN($AE441,$AD441-SUM($AG441:AM441))),0)</f>
        <v>0</v>
      </c>
      <c r="AO441" s="8">
        <f>IF($O441="Aktif",MAX(0,MIN($AE441,$AD441-SUM($AG441:AN441))),0)</f>
        <v>0</v>
      </c>
      <c r="AP441" s="8">
        <f>IF($O441="Aktif",MAX(0,MIN($AE441,$AD441-SUM($AG441:AO441))),0)</f>
        <v>0</v>
      </c>
      <c r="AQ441" s="8">
        <f>IF($O441="Aktif",MAX(0,MIN($AE441,$AD441-SUM($AG441:AP441))),0)</f>
        <v>0</v>
      </c>
      <c r="AR441" s="8">
        <f>IF($O441="Aktif",MAX(0,MIN($AE441,$AD441-SUM($AG441:AQ441))),0)</f>
        <v>0</v>
      </c>
      <c r="AS441" s="8">
        <f>IF($O441="Aktif",MAX(0,MIN($AE441,$AD441-SUM($AG441:AR441))),0)</f>
        <v>0</v>
      </c>
      <c r="AT441" s="8">
        <f>IF($O441="Aktif",MAX(0,MIN($AE441,$AD441-SUM($AG441:AS441))),0)</f>
        <v>0</v>
      </c>
      <c r="AU441" s="8">
        <f>IF($O441="Aktif",MAX(0,MIN($AE441,$AD441-SUM($AG441:AT441))),0)</f>
        <v>0</v>
      </c>
      <c r="AV441" s="8">
        <f>IF($O441="Aktif",MAX(0,MIN($AE441,$AD441-SUM($AG441:AU441))),0)</f>
        <v>0</v>
      </c>
      <c r="AW441" s="8">
        <f t="shared" si="47"/>
        <v>0</v>
      </c>
      <c r="AX441" s="8">
        <f t="shared" si="48"/>
        <v>0</v>
      </c>
    </row>
    <row r="442" spans="1:50" ht="15" customHeight="1" x14ac:dyDescent="0.35">
      <c r="A442" s="102">
        <v>436</v>
      </c>
      <c r="B442" s="102" t="s">
        <v>1326</v>
      </c>
      <c r="C442" s="103">
        <v>70</v>
      </c>
      <c r="D442" s="102" t="s">
        <v>185</v>
      </c>
      <c r="E442" s="102" t="s">
        <v>587</v>
      </c>
      <c r="F442" s="102" t="s">
        <v>1327</v>
      </c>
      <c r="G442" s="102" t="s">
        <v>1328</v>
      </c>
      <c r="H442" s="102" t="s">
        <v>1329</v>
      </c>
      <c r="I442" s="102" t="s">
        <v>63</v>
      </c>
      <c r="J442" s="102" t="s">
        <v>1497</v>
      </c>
      <c r="K442" s="102" t="s">
        <v>591</v>
      </c>
      <c r="L442" s="102" t="s">
        <v>1498</v>
      </c>
      <c r="M442" s="102" t="s">
        <v>1499</v>
      </c>
      <c r="N442" s="102" t="s">
        <v>1500</v>
      </c>
      <c r="O442" s="102" t="s">
        <v>383</v>
      </c>
      <c r="P442" s="103">
        <v>1</v>
      </c>
      <c r="Q442" s="105">
        <v>2600000</v>
      </c>
      <c r="R442" s="103">
        <v>48</v>
      </c>
      <c r="S442" s="105">
        <v>0</v>
      </c>
      <c r="T442" s="105">
        <v>2600000</v>
      </c>
      <c r="U442" s="105">
        <v>0</v>
      </c>
      <c r="V442" s="105">
        <v>0</v>
      </c>
      <c r="W442" s="105">
        <v>0</v>
      </c>
      <c r="X442" s="105">
        <v>0</v>
      </c>
      <c r="Y442" s="105">
        <v>0</v>
      </c>
      <c r="Z442" s="105">
        <v>0</v>
      </c>
      <c r="AA442" s="105">
        <v>0</v>
      </c>
      <c r="AB442" s="105">
        <v>0</v>
      </c>
      <c r="AC442" s="8">
        <f t="shared" si="42"/>
        <v>2600000</v>
      </c>
      <c r="AD442" s="8">
        <f t="shared" si="43"/>
        <v>0</v>
      </c>
      <c r="AE442" s="8">
        <f t="shared" si="44"/>
        <v>0</v>
      </c>
      <c r="AF442" s="106">
        <f t="shared" si="45"/>
        <v>0</v>
      </c>
      <c r="AG442" s="8">
        <f t="shared" si="46"/>
        <v>0</v>
      </c>
      <c r="AH442" s="8">
        <f>IF($O442="Aktif",MAX(0,MIN($AE442,$AD442-SUM($AG442:AG442))),0)</f>
        <v>0</v>
      </c>
      <c r="AI442" s="8">
        <f>IF($O442="Aktif",MAX(0,MIN($AE442,$AD442-SUM($AG442:AH442))),0)</f>
        <v>0</v>
      </c>
      <c r="AJ442" s="8">
        <f>IF($O442="Aktif",MAX(0,MIN($AE442,$AD442-SUM($AG442:AI442))),0)</f>
        <v>0</v>
      </c>
      <c r="AK442" s="8">
        <f>IF($O442="Aktif",MAX(0,MIN($AE442,$AD442-SUM($AG442:AJ442))),0)</f>
        <v>0</v>
      </c>
      <c r="AL442" s="8">
        <f>IF($O442="Aktif",MAX(0,MIN($AE442,$AD442-SUM($AG442:AK442))),0)</f>
        <v>0</v>
      </c>
      <c r="AM442" s="8">
        <f>IF($O442="Aktif",MAX(0,MIN($AE442,$AD442-SUM($AG442:AL442))),0)</f>
        <v>0</v>
      </c>
      <c r="AN442" s="8">
        <f>IF($O442="Aktif",MAX(0,MIN($AE442,$AD442-SUM($AG442:AM442))),0)</f>
        <v>0</v>
      </c>
      <c r="AO442" s="8">
        <f>IF($O442="Aktif",MAX(0,MIN($AE442,$AD442-SUM($AG442:AN442))),0)</f>
        <v>0</v>
      </c>
      <c r="AP442" s="8">
        <f>IF($O442="Aktif",MAX(0,MIN($AE442,$AD442-SUM($AG442:AO442))),0)</f>
        <v>0</v>
      </c>
      <c r="AQ442" s="8">
        <f>IF($O442="Aktif",MAX(0,MIN($AE442,$AD442-SUM($AG442:AP442))),0)</f>
        <v>0</v>
      </c>
      <c r="AR442" s="8">
        <f>IF($O442="Aktif",MAX(0,MIN($AE442,$AD442-SUM($AG442:AQ442))),0)</f>
        <v>0</v>
      </c>
      <c r="AS442" s="8">
        <f>IF($O442="Aktif",MAX(0,MIN($AE442,$AD442-SUM($AG442:AR442))),0)</f>
        <v>0</v>
      </c>
      <c r="AT442" s="8">
        <f>IF($O442="Aktif",MAX(0,MIN($AE442,$AD442-SUM($AG442:AS442))),0)</f>
        <v>0</v>
      </c>
      <c r="AU442" s="8">
        <f>IF($O442="Aktif",MAX(0,MIN($AE442,$AD442-SUM($AG442:AT442))),0)</f>
        <v>0</v>
      </c>
      <c r="AV442" s="8">
        <f>IF($O442="Aktif",MAX(0,MIN($AE442,$AD442-SUM($AG442:AU442))),0)</f>
        <v>0</v>
      </c>
      <c r="AW442" s="8">
        <f t="shared" si="47"/>
        <v>0</v>
      </c>
      <c r="AX442" s="8">
        <f t="shared" si="48"/>
        <v>0</v>
      </c>
    </row>
    <row r="443" spans="1:50" ht="15" customHeight="1" x14ac:dyDescent="0.35">
      <c r="A443" s="102">
        <v>437</v>
      </c>
      <c r="B443" s="102" t="s">
        <v>1326</v>
      </c>
      <c r="C443" s="103">
        <v>71</v>
      </c>
      <c r="D443" s="102" t="s">
        <v>185</v>
      </c>
      <c r="E443" s="102" t="s">
        <v>587</v>
      </c>
      <c r="F443" s="102" t="s">
        <v>1327</v>
      </c>
      <c r="G443" s="102" t="s">
        <v>1328</v>
      </c>
      <c r="H443" s="102" t="s">
        <v>1329</v>
      </c>
      <c r="I443" s="102" t="s">
        <v>63</v>
      </c>
      <c r="J443" s="102" t="s">
        <v>1501</v>
      </c>
      <c r="K443" s="102" t="s">
        <v>591</v>
      </c>
      <c r="L443" s="102" t="s">
        <v>1502</v>
      </c>
      <c r="M443" s="102" t="s">
        <v>1503</v>
      </c>
      <c r="N443" s="102" t="s">
        <v>1504</v>
      </c>
      <c r="O443" s="102" t="s">
        <v>383</v>
      </c>
      <c r="P443" s="103">
        <v>1</v>
      </c>
      <c r="Q443" s="105">
        <v>4490000</v>
      </c>
      <c r="R443" s="103">
        <v>48</v>
      </c>
      <c r="S443" s="105">
        <v>0</v>
      </c>
      <c r="T443" s="105">
        <v>4490000</v>
      </c>
      <c r="U443" s="105">
        <v>0</v>
      </c>
      <c r="V443" s="105">
        <v>0</v>
      </c>
      <c r="W443" s="105">
        <v>0</v>
      </c>
      <c r="X443" s="105">
        <v>0</v>
      </c>
      <c r="Y443" s="105">
        <v>0</v>
      </c>
      <c r="Z443" s="105">
        <v>0</v>
      </c>
      <c r="AA443" s="105">
        <v>0</v>
      </c>
      <c r="AB443" s="105">
        <v>0</v>
      </c>
      <c r="AC443" s="8">
        <f t="shared" si="42"/>
        <v>4490000</v>
      </c>
      <c r="AD443" s="8">
        <f t="shared" si="43"/>
        <v>0</v>
      </c>
      <c r="AE443" s="8">
        <f t="shared" si="44"/>
        <v>0</v>
      </c>
      <c r="AF443" s="106">
        <f t="shared" si="45"/>
        <v>0</v>
      </c>
      <c r="AG443" s="8">
        <f t="shared" si="46"/>
        <v>0</v>
      </c>
      <c r="AH443" s="8">
        <f>IF($O443="Aktif",MAX(0,MIN($AE443,$AD443-SUM($AG443:AG443))),0)</f>
        <v>0</v>
      </c>
      <c r="AI443" s="8">
        <f>IF($O443="Aktif",MAX(0,MIN($AE443,$AD443-SUM($AG443:AH443))),0)</f>
        <v>0</v>
      </c>
      <c r="AJ443" s="8">
        <f>IF($O443="Aktif",MAX(0,MIN($AE443,$AD443-SUM($AG443:AI443))),0)</f>
        <v>0</v>
      </c>
      <c r="AK443" s="8">
        <f>IF($O443="Aktif",MAX(0,MIN($AE443,$AD443-SUM($AG443:AJ443))),0)</f>
        <v>0</v>
      </c>
      <c r="AL443" s="8">
        <f>IF($O443="Aktif",MAX(0,MIN($AE443,$AD443-SUM($AG443:AK443))),0)</f>
        <v>0</v>
      </c>
      <c r="AM443" s="8">
        <f>IF($O443="Aktif",MAX(0,MIN($AE443,$AD443-SUM($AG443:AL443))),0)</f>
        <v>0</v>
      </c>
      <c r="AN443" s="8">
        <f>IF($O443="Aktif",MAX(0,MIN($AE443,$AD443-SUM($AG443:AM443))),0)</f>
        <v>0</v>
      </c>
      <c r="AO443" s="8">
        <f>IF($O443="Aktif",MAX(0,MIN($AE443,$AD443-SUM($AG443:AN443))),0)</f>
        <v>0</v>
      </c>
      <c r="AP443" s="8">
        <f>IF($O443="Aktif",MAX(0,MIN($AE443,$AD443-SUM($AG443:AO443))),0)</f>
        <v>0</v>
      </c>
      <c r="AQ443" s="8">
        <f>IF($O443="Aktif",MAX(0,MIN($AE443,$AD443-SUM($AG443:AP443))),0)</f>
        <v>0</v>
      </c>
      <c r="AR443" s="8">
        <f>IF($O443="Aktif",MAX(0,MIN($AE443,$AD443-SUM($AG443:AQ443))),0)</f>
        <v>0</v>
      </c>
      <c r="AS443" s="8">
        <f>IF($O443="Aktif",MAX(0,MIN($AE443,$AD443-SUM($AG443:AR443))),0)</f>
        <v>0</v>
      </c>
      <c r="AT443" s="8">
        <f>IF($O443="Aktif",MAX(0,MIN($AE443,$AD443-SUM($AG443:AS443))),0)</f>
        <v>0</v>
      </c>
      <c r="AU443" s="8">
        <f>IF($O443="Aktif",MAX(0,MIN($AE443,$AD443-SUM($AG443:AT443))),0)</f>
        <v>0</v>
      </c>
      <c r="AV443" s="8">
        <f>IF($O443="Aktif",MAX(0,MIN($AE443,$AD443-SUM($AG443:AU443))),0)</f>
        <v>0</v>
      </c>
      <c r="AW443" s="8">
        <f t="shared" si="47"/>
        <v>0</v>
      </c>
      <c r="AX443" s="8">
        <f t="shared" si="48"/>
        <v>0</v>
      </c>
    </row>
    <row r="444" spans="1:50" ht="15" customHeight="1" x14ac:dyDescent="0.35">
      <c r="A444" s="102">
        <v>438</v>
      </c>
      <c r="B444" s="102" t="s">
        <v>1326</v>
      </c>
      <c r="C444" s="103">
        <v>72</v>
      </c>
      <c r="D444" s="102" t="s">
        <v>185</v>
      </c>
      <c r="E444" s="102" t="s">
        <v>587</v>
      </c>
      <c r="F444" s="102" t="s">
        <v>1327</v>
      </c>
      <c r="G444" s="102" t="s">
        <v>1328</v>
      </c>
      <c r="H444" s="102" t="s">
        <v>1329</v>
      </c>
      <c r="I444" s="102" t="s">
        <v>63</v>
      </c>
      <c r="J444" s="102" t="s">
        <v>1505</v>
      </c>
      <c r="K444" s="102" t="s">
        <v>591</v>
      </c>
      <c r="L444" s="102" t="s">
        <v>1502</v>
      </c>
      <c r="M444" s="102" t="s">
        <v>1506</v>
      </c>
      <c r="N444" s="102" t="s">
        <v>1507</v>
      </c>
      <c r="O444" s="102" t="s">
        <v>383</v>
      </c>
      <c r="P444" s="103">
        <v>1</v>
      </c>
      <c r="Q444" s="105">
        <v>2862000</v>
      </c>
      <c r="R444" s="103">
        <v>48</v>
      </c>
      <c r="S444" s="105">
        <v>0</v>
      </c>
      <c r="T444" s="105">
        <v>2862000</v>
      </c>
      <c r="U444" s="105">
        <v>0</v>
      </c>
      <c r="V444" s="105">
        <v>0</v>
      </c>
      <c r="W444" s="105">
        <v>0</v>
      </c>
      <c r="X444" s="105">
        <v>0</v>
      </c>
      <c r="Y444" s="105">
        <v>0</v>
      </c>
      <c r="Z444" s="105">
        <v>0</v>
      </c>
      <c r="AA444" s="105">
        <v>0</v>
      </c>
      <c r="AB444" s="105">
        <v>0</v>
      </c>
      <c r="AC444" s="8">
        <f t="shared" si="42"/>
        <v>2862000</v>
      </c>
      <c r="AD444" s="8">
        <f t="shared" si="43"/>
        <v>0</v>
      </c>
      <c r="AE444" s="8">
        <f t="shared" si="44"/>
        <v>0</v>
      </c>
      <c r="AF444" s="106">
        <f t="shared" si="45"/>
        <v>0</v>
      </c>
      <c r="AG444" s="8">
        <f t="shared" si="46"/>
        <v>0</v>
      </c>
      <c r="AH444" s="8">
        <f>IF($O444="Aktif",MAX(0,MIN($AE444,$AD444-SUM($AG444:AG444))),0)</f>
        <v>0</v>
      </c>
      <c r="AI444" s="8">
        <f>IF($O444="Aktif",MAX(0,MIN($AE444,$AD444-SUM($AG444:AH444))),0)</f>
        <v>0</v>
      </c>
      <c r="AJ444" s="8">
        <f>IF($O444="Aktif",MAX(0,MIN($AE444,$AD444-SUM($AG444:AI444))),0)</f>
        <v>0</v>
      </c>
      <c r="AK444" s="8">
        <f>IF($O444="Aktif",MAX(0,MIN($AE444,$AD444-SUM($AG444:AJ444))),0)</f>
        <v>0</v>
      </c>
      <c r="AL444" s="8">
        <f>IF($O444="Aktif",MAX(0,MIN($AE444,$AD444-SUM($AG444:AK444))),0)</f>
        <v>0</v>
      </c>
      <c r="AM444" s="8">
        <f>IF($O444="Aktif",MAX(0,MIN($AE444,$AD444-SUM($AG444:AL444))),0)</f>
        <v>0</v>
      </c>
      <c r="AN444" s="8">
        <f>IF($O444="Aktif",MAX(0,MIN($AE444,$AD444-SUM($AG444:AM444))),0)</f>
        <v>0</v>
      </c>
      <c r="AO444" s="8">
        <f>IF($O444="Aktif",MAX(0,MIN($AE444,$AD444-SUM($AG444:AN444))),0)</f>
        <v>0</v>
      </c>
      <c r="AP444" s="8">
        <f>IF($O444="Aktif",MAX(0,MIN($AE444,$AD444-SUM($AG444:AO444))),0)</f>
        <v>0</v>
      </c>
      <c r="AQ444" s="8">
        <f>IF($O444="Aktif",MAX(0,MIN($AE444,$AD444-SUM($AG444:AP444))),0)</f>
        <v>0</v>
      </c>
      <c r="AR444" s="8">
        <f>IF($O444="Aktif",MAX(0,MIN($AE444,$AD444-SUM($AG444:AQ444))),0)</f>
        <v>0</v>
      </c>
      <c r="AS444" s="8">
        <f>IF($O444="Aktif",MAX(0,MIN($AE444,$AD444-SUM($AG444:AR444))),0)</f>
        <v>0</v>
      </c>
      <c r="AT444" s="8">
        <f>IF($O444="Aktif",MAX(0,MIN($AE444,$AD444-SUM($AG444:AS444))),0)</f>
        <v>0</v>
      </c>
      <c r="AU444" s="8">
        <f>IF($O444="Aktif",MAX(0,MIN($AE444,$AD444-SUM($AG444:AT444))),0)</f>
        <v>0</v>
      </c>
      <c r="AV444" s="8">
        <f>IF($O444="Aktif",MAX(0,MIN($AE444,$AD444-SUM($AG444:AU444))),0)</f>
        <v>0</v>
      </c>
      <c r="AW444" s="8">
        <f t="shared" si="47"/>
        <v>0</v>
      </c>
      <c r="AX444" s="8">
        <f t="shared" si="48"/>
        <v>0</v>
      </c>
    </row>
    <row r="445" spans="1:50" ht="15" customHeight="1" x14ac:dyDescent="0.35">
      <c r="A445" s="102">
        <v>439</v>
      </c>
      <c r="B445" s="102" t="s">
        <v>1326</v>
      </c>
      <c r="C445" s="103">
        <v>73</v>
      </c>
      <c r="D445" s="102" t="s">
        <v>185</v>
      </c>
      <c r="E445" s="102" t="s">
        <v>587</v>
      </c>
      <c r="F445" s="102" t="s">
        <v>1327</v>
      </c>
      <c r="G445" s="102" t="s">
        <v>1328</v>
      </c>
      <c r="H445" s="102" t="s">
        <v>1329</v>
      </c>
      <c r="I445" s="102" t="s">
        <v>63</v>
      </c>
      <c r="J445" s="102" t="s">
        <v>1508</v>
      </c>
      <c r="K445" s="102" t="s">
        <v>591</v>
      </c>
      <c r="L445" s="102" t="s">
        <v>1509</v>
      </c>
      <c r="M445" s="102" t="s">
        <v>1510</v>
      </c>
      <c r="N445" s="102" t="s">
        <v>1511</v>
      </c>
      <c r="O445" s="102" t="s">
        <v>383</v>
      </c>
      <c r="P445" s="103">
        <v>1</v>
      </c>
      <c r="Q445" s="105">
        <v>2225000</v>
      </c>
      <c r="R445" s="103">
        <v>48</v>
      </c>
      <c r="S445" s="105">
        <v>0</v>
      </c>
      <c r="T445" s="105">
        <v>2225000</v>
      </c>
      <c r="U445" s="105">
        <v>0</v>
      </c>
      <c r="V445" s="105">
        <v>0</v>
      </c>
      <c r="W445" s="105">
        <v>0</v>
      </c>
      <c r="X445" s="105">
        <v>0</v>
      </c>
      <c r="Y445" s="105">
        <v>0</v>
      </c>
      <c r="Z445" s="105">
        <v>0</v>
      </c>
      <c r="AA445" s="105">
        <v>0</v>
      </c>
      <c r="AB445" s="105">
        <v>0</v>
      </c>
      <c r="AC445" s="8">
        <f t="shared" si="42"/>
        <v>2225000</v>
      </c>
      <c r="AD445" s="8">
        <f t="shared" si="43"/>
        <v>0</v>
      </c>
      <c r="AE445" s="8">
        <f t="shared" si="44"/>
        <v>0</v>
      </c>
      <c r="AF445" s="106">
        <f t="shared" si="45"/>
        <v>0</v>
      </c>
      <c r="AG445" s="8">
        <f t="shared" si="46"/>
        <v>0</v>
      </c>
      <c r="AH445" s="8">
        <f>IF($O445="Aktif",MAX(0,MIN($AE445,$AD445-SUM($AG445:AG445))),0)</f>
        <v>0</v>
      </c>
      <c r="AI445" s="8">
        <f>IF($O445="Aktif",MAX(0,MIN($AE445,$AD445-SUM($AG445:AH445))),0)</f>
        <v>0</v>
      </c>
      <c r="AJ445" s="8">
        <f>IF($O445="Aktif",MAX(0,MIN($AE445,$AD445-SUM($AG445:AI445))),0)</f>
        <v>0</v>
      </c>
      <c r="AK445" s="8">
        <f>IF($O445="Aktif",MAX(0,MIN($AE445,$AD445-SUM($AG445:AJ445))),0)</f>
        <v>0</v>
      </c>
      <c r="AL445" s="8">
        <f>IF($O445="Aktif",MAX(0,MIN($AE445,$AD445-SUM($AG445:AK445))),0)</f>
        <v>0</v>
      </c>
      <c r="AM445" s="8">
        <f>IF($O445="Aktif",MAX(0,MIN($AE445,$AD445-SUM($AG445:AL445))),0)</f>
        <v>0</v>
      </c>
      <c r="AN445" s="8">
        <f>IF($O445="Aktif",MAX(0,MIN($AE445,$AD445-SUM($AG445:AM445))),0)</f>
        <v>0</v>
      </c>
      <c r="AO445" s="8">
        <f>IF($O445="Aktif",MAX(0,MIN($AE445,$AD445-SUM($AG445:AN445))),0)</f>
        <v>0</v>
      </c>
      <c r="AP445" s="8">
        <f>IF($O445="Aktif",MAX(0,MIN($AE445,$AD445-SUM($AG445:AO445))),0)</f>
        <v>0</v>
      </c>
      <c r="AQ445" s="8">
        <f>IF($O445="Aktif",MAX(0,MIN($AE445,$AD445-SUM($AG445:AP445))),0)</f>
        <v>0</v>
      </c>
      <c r="AR445" s="8">
        <f>IF($O445="Aktif",MAX(0,MIN($AE445,$AD445-SUM($AG445:AQ445))),0)</f>
        <v>0</v>
      </c>
      <c r="AS445" s="8">
        <f>IF($O445="Aktif",MAX(0,MIN($AE445,$AD445-SUM($AG445:AR445))),0)</f>
        <v>0</v>
      </c>
      <c r="AT445" s="8">
        <f>IF($O445="Aktif",MAX(0,MIN($AE445,$AD445-SUM($AG445:AS445))),0)</f>
        <v>0</v>
      </c>
      <c r="AU445" s="8">
        <f>IF($O445="Aktif",MAX(0,MIN($AE445,$AD445-SUM($AG445:AT445))),0)</f>
        <v>0</v>
      </c>
      <c r="AV445" s="8">
        <f>IF($O445="Aktif",MAX(0,MIN($AE445,$AD445-SUM($AG445:AU445))),0)</f>
        <v>0</v>
      </c>
      <c r="AW445" s="8">
        <f t="shared" si="47"/>
        <v>0</v>
      </c>
      <c r="AX445" s="8">
        <f t="shared" si="48"/>
        <v>0</v>
      </c>
    </row>
    <row r="446" spans="1:50" ht="15" customHeight="1" x14ac:dyDescent="0.35">
      <c r="A446" s="102">
        <v>440</v>
      </c>
      <c r="B446" s="102" t="s">
        <v>1326</v>
      </c>
      <c r="C446" s="103">
        <v>74</v>
      </c>
      <c r="D446" s="102" t="s">
        <v>185</v>
      </c>
      <c r="E446" s="102" t="s">
        <v>587</v>
      </c>
      <c r="F446" s="102" t="s">
        <v>1327</v>
      </c>
      <c r="G446" s="102" t="s">
        <v>1328</v>
      </c>
      <c r="H446" s="102" t="s">
        <v>1329</v>
      </c>
      <c r="I446" s="102" t="s">
        <v>63</v>
      </c>
      <c r="J446" s="102" t="s">
        <v>1512</v>
      </c>
      <c r="K446" s="102" t="s">
        <v>591</v>
      </c>
      <c r="L446" s="102" t="s">
        <v>1509</v>
      </c>
      <c r="M446" s="102" t="s">
        <v>1513</v>
      </c>
      <c r="N446" s="102" t="s">
        <v>1514</v>
      </c>
      <c r="O446" s="102" t="s">
        <v>383</v>
      </c>
      <c r="P446" s="103">
        <v>1</v>
      </c>
      <c r="Q446" s="105">
        <v>2204400</v>
      </c>
      <c r="R446" s="103">
        <v>48</v>
      </c>
      <c r="S446" s="105">
        <v>0</v>
      </c>
      <c r="T446" s="105">
        <v>2204400</v>
      </c>
      <c r="U446" s="105">
        <v>0</v>
      </c>
      <c r="V446" s="105">
        <v>0</v>
      </c>
      <c r="W446" s="105">
        <v>0</v>
      </c>
      <c r="X446" s="105">
        <v>0</v>
      </c>
      <c r="Y446" s="105">
        <v>0</v>
      </c>
      <c r="Z446" s="105">
        <v>0</v>
      </c>
      <c r="AA446" s="105">
        <v>0</v>
      </c>
      <c r="AB446" s="105">
        <v>0</v>
      </c>
      <c r="AC446" s="8">
        <f t="shared" si="42"/>
        <v>2204400</v>
      </c>
      <c r="AD446" s="8">
        <f t="shared" si="43"/>
        <v>0</v>
      </c>
      <c r="AE446" s="8">
        <f t="shared" si="44"/>
        <v>0</v>
      </c>
      <c r="AF446" s="106">
        <f t="shared" si="45"/>
        <v>0</v>
      </c>
      <c r="AG446" s="8">
        <f t="shared" si="46"/>
        <v>0</v>
      </c>
      <c r="AH446" s="8">
        <f>IF($O446="Aktif",MAX(0,MIN($AE446,$AD446-SUM($AG446:AG446))),0)</f>
        <v>0</v>
      </c>
      <c r="AI446" s="8">
        <f>IF($O446="Aktif",MAX(0,MIN($AE446,$AD446-SUM($AG446:AH446))),0)</f>
        <v>0</v>
      </c>
      <c r="AJ446" s="8">
        <f>IF($O446="Aktif",MAX(0,MIN($AE446,$AD446-SUM($AG446:AI446))),0)</f>
        <v>0</v>
      </c>
      <c r="AK446" s="8">
        <f>IF($O446="Aktif",MAX(0,MIN($AE446,$AD446-SUM($AG446:AJ446))),0)</f>
        <v>0</v>
      </c>
      <c r="AL446" s="8">
        <f>IF($O446="Aktif",MAX(0,MIN($AE446,$AD446-SUM($AG446:AK446))),0)</f>
        <v>0</v>
      </c>
      <c r="AM446" s="8">
        <f>IF($O446="Aktif",MAX(0,MIN($AE446,$AD446-SUM($AG446:AL446))),0)</f>
        <v>0</v>
      </c>
      <c r="AN446" s="8">
        <f>IF($O446="Aktif",MAX(0,MIN($AE446,$AD446-SUM($AG446:AM446))),0)</f>
        <v>0</v>
      </c>
      <c r="AO446" s="8">
        <f>IF($O446="Aktif",MAX(0,MIN($AE446,$AD446-SUM($AG446:AN446))),0)</f>
        <v>0</v>
      </c>
      <c r="AP446" s="8">
        <f>IF($O446="Aktif",MAX(0,MIN($AE446,$AD446-SUM($AG446:AO446))),0)</f>
        <v>0</v>
      </c>
      <c r="AQ446" s="8">
        <f>IF($O446="Aktif",MAX(0,MIN($AE446,$AD446-SUM($AG446:AP446))),0)</f>
        <v>0</v>
      </c>
      <c r="AR446" s="8">
        <f>IF($O446="Aktif",MAX(0,MIN($AE446,$AD446-SUM($AG446:AQ446))),0)</f>
        <v>0</v>
      </c>
      <c r="AS446" s="8">
        <f>IF($O446="Aktif",MAX(0,MIN($AE446,$AD446-SUM($AG446:AR446))),0)</f>
        <v>0</v>
      </c>
      <c r="AT446" s="8">
        <f>IF($O446="Aktif",MAX(0,MIN($AE446,$AD446-SUM($AG446:AS446))),0)</f>
        <v>0</v>
      </c>
      <c r="AU446" s="8">
        <f>IF($O446="Aktif",MAX(0,MIN($AE446,$AD446-SUM($AG446:AT446))),0)</f>
        <v>0</v>
      </c>
      <c r="AV446" s="8">
        <f>IF($O446="Aktif",MAX(0,MIN($AE446,$AD446-SUM($AG446:AU446))),0)</f>
        <v>0</v>
      </c>
      <c r="AW446" s="8">
        <f t="shared" si="47"/>
        <v>0</v>
      </c>
      <c r="AX446" s="8">
        <f t="shared" si="48"/>
        <v>0</v>
      </c>
    </row>
    <row r="447" spans="1:50" ht="15" customHeight="1" x14ac:dyDescent="0.35">
      <c r="A447" s="102">
        <v>441</v>
      </c>
      <c r="B447" s="102" t="s">
        <v>1326</v>
      </c>
      <c r="C447" s="103">
        <v>75</v>
      </c>
      <c r="D447" s="102" t="s">
        <v>185</v>
      </c>
      <c r="E447" s="102" t="s">
        <v>587</v>
      </c>
      <c r="F447" s="102" t="s">
        <v>1327</v>
      </c>
      <c r="G447" s="102" t="s">
        <v>1328</v>
      </c>
      <c r="H447" s="102" t="s">
        <v>1329</v>
      </c>
      <c r="I447" s="102" t="s">
        <v>63</v>
      </c>
      <c r="J447" s="102" t="s">
        <v>1515</v>
      </c>
      <c r="K447" s="102" t="s">
        <v>591</v>
      </c>
      <c r="L447" s="102" t="s">
        <v>1516</v>
      </c>
      <c r="M447" s="102" t="s">
        <v>1517</v>
      </c>
      <c r="N447" s="102" t="s">
        <v>1518</v>
      </c>
      <c r="O447" s="102" t="s">
        <v>383</v>
      </c>
      <c r="P447" s="103">
        <v>1</v>
      </c>
      <c r="Q447" s="105">
        <v>18500000</v>
      </c>
      <c r="R447" s="103">
        <v>48</v>
      </c>
      <c r="S447" s="105">
        <v>0</v>
      </c>
      <c r="T447" s="105">
        <v>18500000</v>
      </c>
      <c r="U447" s="105">
        <v>0</v>
      </c>
      <c r="V447" s="105">
        <v>0</v>
      </c>
      <c r="W447" s="105">
        <v>0</v>
      </c>
      <c r="X447" s="105">
        <v>0</v>
      </c>
      <c r="Y447" s="105">
        <v>0</v>
      </c>
      <c r="Z447" s="105">
        <v>0</v>
      </c>
      <c r="AA447" s="105">
        <v>0</v>
      </c>
      <c r="AB447" s="105">
        <v>0</v>
      </c>
      <c r="AC447" s="8">
        <f t="shared" si="42"/>
        <v>18500000</v>
      </c>
      <c r="AD447" s="8">
        <f t="shared" si="43"/>
        <v>0</v>
      </c>
      <c r="AE447" s="8">
        <f t="shared" si="44"/>
        <v>0</v>
      </c>
      <c r="AF447" s="106">
        <f t="shared" si="45"/>
        <v>0</v>
      </c>
      <c r="AG447" s="8">
        <f t="shared" si="46"/>
        <v>0</v>
      </c>
      <c r="AH447" s="8">
        <f>IF($O447="Aktif",MAX(0,MIN($AE447,$AD447-SUM($AG447:AG447))),0)</f>
        <v>0</v>
      </c>
      <c r="AI447" s="8">
        <f>IF($O447="Aktif",MAX(0,MIN($AE447,$AD447-SUM($AG447:AH447))),0)</f>
        <v>0</v>
      </c>
      <c r="AJ447" s="8">
        <f>IF($O447="Aktif",MAX(0,MIN($AE447,$AD447-SUM($AG447:AI447))),0)</f>
        <v>0</v>
      </c>
      <c r="AK447" s="8">
        <f>IF($O447="Aktif",MAX(0,MIN($AE447,$AD447-SUM($AG447:AJ447))),0)</f>
        <v>0</v>
      </c>
      <c r="AL447" s="8">
        <f>IF($O447="Aktif",MAX(0,MIN($AE447,$AD447-SUM($AG447:AK447))),0)</f>
        <v>0</v>
      </c>
      <c r="AM447" s="8">
        <f>IF($O447="Aktif",MAX(0,MIN($AE447,$AD447-SUM($AG447:AL447))),0)</f>
        <v>0</v>
      </c>
      <c r="AN447" s="8">
        <f>IF($O447="Aktif",MAX(0,MIN($AE447,$AD447-SUM($AG447:AM447))),0)</f>
        <v>0</v>
      </c>
      <c r="AO447" s="8">
        <f>IF($O447="Aktif",MAX(0,MIN($AE447,$AD447-SUM($AG447:AN447))),0)</f>
        <v>0</v>
      </c>
      <c r="AP447" s="8">
        <f>IF($O447="Aktif",MAX(0,MIN($AE447,$AD447-SUM($AG447:AO447))),0)</f>
        <v>0</v>
      </c>
      <c r="AQ447" s="8">
        <f>IF($O447="Aktif",MAX(0,MIN($AE447,$AD447-SUM($AG447:AP447))),0)</f>
        <v>0</v>
      </c>
      <c r="AR447" s="8">
        <f>IF($O447="Aktif",MAX(0,MIN($AE447,$AD447-SUM($AG447:AQ447))),0)</f>
        <v>0</v>
      </c>
      <c r="AS447" s="8">
        <f>IF($O447="Aktif",MAX(0,MIN($AE447,$AD447-SUM($AG447:AR447))),0)</f>
        <v>0</v>
      </c>
      <c r="AT447" s="8">
        <f>IF($O447="Aktif",MAX(0,MIN($AE447,$AD447-SUM($AG447:AS447))),0)</f>
        <v>0</v>
      </c>
      <c r="AU447" s="8">
        <f>IF($O447="Aktif",MAX(0,MIN($AE447,$AD447-SUM($AG447:AT447))),0)</f>
        <v>0</v>
      </c>
      <c r="AV447" s="8">
        <f>IF($O447="Aktif",MAX(0,MIN($AE447,$AD447-SUM($AG447:AU447))),0)</f>
        <v>0</v>
      </c>
      <c r="AW447" s="8">
        <f t="shared" si="47"/>
        <v>0</v>
      </c>
      <c r="AX447" s="8">
        <f t="shared" si="48"/>
        <v>0</v>
      </c>
    </row>
    <row r="448" spans="1:50" ht="15" customHeight="1" x14ac:dyDescent="0.35">
      <c r="A448" s="102">
        <v>442</v>
      </c>
      <c r="B448" s="102" t="s">
        <v>1326</v>
      </c>
      <c r="C448" s="103">
        <v>76</v>
      </c>
      <c r="D448" s="102" t="s">
        <v>185</v>
      </c>
      <c r="E448" s="102" t="s">
        <v>587</v>
      </c>
      <c r="F448" s="102" t="s">
        <v>1327</v>
      </c>
      <c r="G448" s="102" t="s">
        <v>1328</v>
      </c>
      <c r="H448" s="102" t="s">
        <v>1329</v>
      </c>
      <c r="I448" s="102" t="s">
        <v>63</v>
      </c>
      <c r="J448" s="102" t="s">
        <v>1519</v>
      </c>
      <c r="K448" s="102" t="s">
        <v>591</v>
      </c>
      <c r="L448" s="102" t="s">
        <v>1516</v>
      </c>
      <c r="M448" s="102" t="s">
        <v>1520</v>
      </c>
      <c r="N448" s="102" t="s">
        <v>1521</v>
      </c>
      <c r="O448" s="102" t="s">
        <v>383</v>
      </c>
      <c r="P448" s="103">
        <v>1</v>
      </c>
      <c r="Q448" s="105">
        <v>3725000</v>
      </c>
      <c r="R448" s="103">
        <v>48</v>
      </c>
      <c r="S448" s="105">
        <v>0</v>
      </c>
      <c r="T448" s="105">
        <v>3725000</v>
      </c>
      <c r="U448" s="105">
        <v>0</v>
      </c>
      <c r="V448" s="105">
        <v>0</v>
      </c>
      <c r="W448" s="105">
        <v>0</v>
      </c>
      <c r="X448" s="105">
        <v>0</v>
      </c>
      <c r="Y448" s="105">
        <v>0</v>
      </c>
      <c r="Z448" s="105">
        <v>0</v>
      </c>
      <c r="AA448" s="105">
        <v>0</v>
      </c>
      <c r="AB448" s="105">
        <v>0</v>
      </c>
      <c r="AC448" s="8">
        <f t="shared" si="42"/>
        <v>3725000</v>
      </c>
      <c r="AD448" s="8">
        <f t="shared" si="43"/>
        <v>0</v>
      </c>
      <c r="AE448" s="8">
        <f t="shared" si="44"/>
        <v>0</v>
      </c>
      <c r="AF448" s="106">
        <f t="shared" si="45"/>
        <v>0</v>
      </c>
      <c r="AG448" s="8">
        <f t="shared" si="46"/>
        <v>0</v>
      </c>
      <c r="AH448" s="8">
        <f>IF($O448="Aktif",MAX(0,MIN($AE448,$AD448-SUM($AG448:AG448))),0)</f>
        <v>0</v>
      </c>
      <c r="AI448" s="8">
        <f>IF($O448="Aktif",MAX(0,MIN($AE448,$AD448-SUM($AG448:AH448))),0)</f>
        <v>0</v>
      </c>
      <c r="AJ448" s="8">
        <f>IF($O448="Aktif",MAX(0,MIN($AE448,$AD448-SUM($AG448:AI448))),0)</f>
        <v>0</v>
      </c>
      <c r="AK448" s="8">
        <f>IF($O448="Aktif",MAX(0,MIN($AE448,$AD448-SUM($AG448:AJ448))),0)</f>
        <v>0</v>
      </c>
      <c r="AL448" s="8">
        <f>IF($O448="Aktif",MAX(0,MIN($AE448,$AD448-SUM($AG448:AK448))),0)</f>
        <v>0</v>
      </c>
      <c r="AM448" s="8">
        <f>IF($O448="Aktif",MAX(0,MIN($AE448,$AD448-SUM($AG448:AL448))),0)</f>
        <v>0</v>
      </c>
      <c r="AN448" s="8">
        <f>IF($O448="Aktif",MAX(0,MIN($AE448,$AD448-SUM($AG448:AM448))),0)</f>
        <v>0</v>
      </c>
      <c r="AO448" s="8">
        <f>IF($O448="Aktif",MAX(0,MIN($AE448,$AD448-SUM($AG448:AN448))),0)</f>
        <v>0</v>
      </c>
      <c r="AP448" s="8">
        <f>IF($O448="Aktif",MAX(0,MIN($AE448,$AD448-SUM($AG448:AO448))),0)</f>
        <v>0</v>
      </c>
      <c r="AQ448" s="8">
        <f>IF($O448="Aktif",MAX(0,MIN($AE448,$AD448-SUM($AG448:AP448))),0)</f>
        <v>0</v>
      </c>
      <c r="AR448" s="8">
        <f>IF($O448="Aktif",MAX(0,MIN($AE448,$AD448-SUM($AG448:AQ448))),0)</f>
        <v>0</v>
      </c>
      <c r="AS448" s="8">
        <f>IF($O448="Aktif",MAX(0,MIN($AE448,$AD448-SUM($AG448:AR448))),0)</f>
        <v>0</v>
      </c>
      <c r="AT448" s="8">
        <f>IF($O448="Aktif",MAX(0,MIN($AE448,$AD448-SUM($AG448:AS448))),0)</f>
        <v>0</v>
      </c>
      <c r="AU448" s="8">
        <f>IF($O448="Aktif",MAX(0,MIN($AE448,$AD448-SUM($AG448:AT448))),0)</f>
        <v>0</v>
      </c>
      <c r="AV448" s="8">
        <f>IF($O448="Aktif",MAX(0,MIN($AE448,$AD448-SUM($AG448:AU448))),0)</f>
        <v>0</v>
      </c>
      <c r="AW448" s="8">
        <f t="shared" si="47"/>
        <v>0</v>
      </c>
      <c r="AX448" s="8">
        <f t="shared" si="48"/>
        <v>0</v>
      </c>
    </row>
    <row r="449" spans="1:50" ht="15" customHeight="1" x14ac:dyDescent="0.35">
      <c r="A449" s="102">
        <v>443</v>
      </c>
      <c r="B449" s="102" t="s">
        <v>1326</v>
      </c>
      <c r="C449" s="103">
        <v>77</v>
      </c>
      <c r="D449" s="102" t="s">
        <v>185</v>
      </c>
      <c r="E449" s="102" t="s">
        <v>587</v>
      </c>
      <c r="F449" s="102" t="s">
        <v>1327</v>
      </c>
      <c r="G449" s="102" t="s">
        <v>1328</v>
      </c>
      <c r="H449" s="102" t="s">
        <v>1329</v>
      </c>
      <c r="I449" s="102" t="s">
        <v>63</v>
      </c>
      <c r="J449" s="102" t="s">
        <v>1522</v>
      </c>
      <c r="K449" s="102" t="s">
        <v>591</v>
      </c>
      <c r="L449" s="102" t="s">
        <v>1523</v>
      </c>
      <c r="M449" s="102" t="s">
        <v>1524</v>
      </c>
      <c r="N449" s="102" t="s">
        <v>1525</v>
      </c>
      <c r="O449" s="102" t="s">
        <v>383</v>
      </c>
      <c r="P449" s="103">
        <v>1</v>
      </c>
      <c r="Q449" s="105">
        <v>9375000</v>
      </c>
      <c r="R449" s="103">
        <v>48</v>
      </c>
      <c r="S449" s="105">
        <v>0</v>
      </c>
      <c r="T449" s="105">
        <v>9375000</v>
      </c>
      <c r="U449" s="105">
        <v>0</v>
      </c>
      <c r="V449" s="105">
        <v>0</v>
      </c>
      <c r="W449" s="105">
        <v>0</v>
      </c>
      <c r="X449" s="105">
        <v>0</v>
      </c>
      <c r="Y449" s="105">
        <v>0</v>
      </c>
      <c r="Z449" s="105">
        <v>0</v>
      </c>
      <c r="AA449" s="105">
        <v>0</v>
      </c>
      <c r="AB449" s="105">
        <v>0</v>
      </c>
      <c r="AC449" s="8">
        <f t="shared" si="42"/>
        <v>9375000</v>
      </c>
      <c r="AD449" s="8">
        <f t="shared" si="43"/>
        <v>0</v>
      </c>
      <c r="AE449" s="8">
        <f t="shared" si="44"/>
        <v>0</v>
      </c>
      <c r="AF449" s="106">
        <f t="shared" si="45"/>
        <v>0</v>
      </c>
      <c r="AG449" s="8">
        <f t="shared" si="46"/>
        <v>0</v>
      </c>
      <c r="AH449" s="8">
        <f>IF($O449="Aktif",MAX(0,MIN($AE449,$AD449-SUM($AG449:AG449))),0)</f>
        <v>0</v>
      </c>
      <c r="AI449" s="8">
        <f>IF($O449="Aktif",MAX(0,MIN($AE449,$AD449-SUM($AG449:AH449))),0)</f>
        <v>0</v>
      </c>
      <c r="AJ449" s="8">
        <f>IF($O449="Aktif",MAX(0,MIN($AE449,$AD449-SUM($AG449:AI449))),0)</f>
        <v>0</v>
      </c>
      <c r="AK449" s="8">
        <f>IF($O449="Aktif",MAX(0,MIN($AE449,$AD449-SUM($AG449:AJ449))),0)</f>
        <v>0</v>
      </c>
      <c r="AL449" s="8">
        <f>IF($O449="Aktif",MAX(0,MIN($AE449,$AD449-SUM($AG449:AK449))),0)</f>
        <v>0</v>
      </c>
      <c r="AM449" s="8">
        <f>IF($O449="Aktif",MAX(0,MIN($AE449,$AD449-SUM($AG449:AL449))),0)</f>
        <v>0</v>
      </c>
      <c r="AN449" s="8">
        <f>IF($O449="Aktif",MAX(0,MIN($AE449,$AD449-SUM($AG449:AM449))),0)</f>
        <v>0</v>
      </c>
      <c r="AO449" s="8">
        <f>IF($O449="Aktif",MAX(0,MIN($AE449,$AD449-SUM($AG449:AN449))),0)</f>
        <v>0</v>
      </c>
      <c r="AP449" s="8">
        <f>IF($O449="Aktif",MAX(0,MIN($AE449,$AD449-SUM($AG449:AO449))),0)</f>
        <v>0</v>
      </c>
      <c r="AQ449" s="8">
        <f>IF($O449="Aktif",MAX(0,MIN($AE449,$AD449-SUM($AG449:AP449))),0)</f>
        <v>0</v>
      </c>
      <c r="AR449" s="8">
        <f>IF($O449="Aktif",MAX(0,MIN($AE449,$AD449-SUM($AG449:AQ449))),0)</f>
        <v>0</v>
      </c>
      <c r="AS449" s="8">
        <f>IF($O449="Aktif",MAX(0,MIN($AE449,$AD449-SUM($AG449:AR449))),0)</f>
        <v>0</v>
      </c>
      <c r="AT449" s="8">
        <f>IF($O449="Aktif",MAX(0,MIN($AE449,$AD449-SUM($AG449:AS449))),0)</f>
        <v>0</v>
      </c>
      <c r="AU449" s="8">
        <f>IF($O449="Aktif",MAX(0,MIN($AE449,$AD449-SUM($AG449:AT449))),0)</f>
        <v>0</v>
      </c>
      <c r="AV449" s="8">
        <f>IF($O449="Aktif",MAX(0,MIN($AE449,$AD449-SUM($AG449:AU449))),0)</f>
        <v>0</v>
      </c>
      <c r="AW449" s="8">
        <f t="shared" si="47"/>
        <v>0</v>
      </c>
      <c r="AX449" s="8">
        <f t="shared" si="48"/>
        <v>0</v>
      </c>
    </row>
    <row r="450" spans="1:50" ht="15" customHeight="1" x14ac:dyDescent="0.35">
      <c r="A450" s="102">
        <v>444</v>
      </c>
      <c r="B450" s="102" t="s">
        <v>1326</v>
      </c>
      <c r="C450" s="103">
        <v>78</v>
      </c>
      <c r="D450" s="102" t="s">
        <v>185</v>
      </c>
      <c r="E450" s="102" t="s">
        <v>587</v>
      </c>
      <c r="F450" s="102" t="s">
        <v>1327</v>
      </c>
      <c r="G450" s="102" t="s">
        <v>1328</v>
      </c>
      <c r="H450" s="102" t="s">
        <v>1329</v>
      </c>
      <c r="I450" s="102" t="s">
        <v>63</v>
      </c>
      <c r="J450" s="102" t="s">
        <v>1526</v>
      </c>
      <c r="K450" s="102" t="s">
        <v>591</v>
      </c>
      <c r="L450" s="102" t="s">
        <v>1527</v>
      </c>
      <c r="M450" s="102" t="s">
        <v>1528</v>
      </c>
      <c r="N450" s="102" t="s">
        <v>1529</v>
      </c>
      <c r="O450" s="102" t="s">
        <v>383</v>
      </c>
      <c r="P450" s="103">
        <v>1</v>
      </c>
      <c r="Q450" s="105">
        <v>26450000</v>
      </c>
      <c r="R450" s="103">
        <v>48</v>
      </c>
      <c r="S450" s="105">
        <v>0</v>
      </c>
      <c r="T450" s="105">
        <v>26450000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Z450" s="105">
        <v>0</v>
      </c>
      <c r="AA450" s="105">
        <v>0</v>
      </c>
      <c r="AB450" s="105">
        <v>0</v>
      </c>
      <c r="AC450" s="8">
        <f t="shared" si="42"/>
        <v>26450000</v>
      </c>
      <c r="AD450" s="8">
        <f t="shared" si="43"/>
        <v>0</v>
      </c>
      <c r="AE450" s="8">
        <f t="shared" si="44"/>
        <v>0</v>
      </c>
      <c r="AF450" s="106">
        <f t="shared" si="45"/>
        <v>0</v>
      </c>
      <c r="AG450" s="8">
        <f t="shared" si="46"/>
        <v>0</v>
      </c>
      <c r="AH450" s="8">
        <f>IF($O450="Aktif",MAX(0,MIN($AE450,$AD450-SUM($AG450:AG450))),0)</f>
        <v>0</v>
      </c>
      <c r="AI450" s="8">
        <f>IF($O450="Aktif",MAX(0,MIN($AE450,$AD450-SUM($AG450:AH450))),0)</f>
        <v>0</v>
      </c>
      <c r="AJ450" s="8">
        <f>IF($O450="Aktif",MAX(0,MIN($AE450,$AD450-SUM($AG450:AI450))),0)</f>
        <v>0</v>
      </c>
      <c r="AK450" s="8">
        <f>IF($O450="Aktif",MAX(0,MIN($AE450,$AD450-SUM($AG450:AJ450))),0)</f>
        <v>0</v>
      </c>
      <c r="AL450" s="8">
        <f>IF($O450="Aktif",MAX(0,MIN($AE450,$AD450-SUM($AG450:AK450))),0)</f>
        <v>0</v>
      </c>
      <c r="AM450" s="8">
        <f>IF($O450="Aktif",MAX(0,MIN($AE450,$AD450-SUM($AG450:AL450))),0)</f>
        <v>0</v>
      </c>
      <c r="AN450" s="8">
        <f>IF($O450="Aktif",MAX(0,MIN($AE450,$AD450-SUM($AG450:AM450))),0)</f>
        <v>0</v>
      </c>
      <c r="AO450" s="8">
        <f>IF($O450="Aktif",MAX(0,MIN($AE450,$AD450-SUM($AG450:AN450))),0)</f>
        <v>0</v>
      </c>
      <c r="AP450" s="8">
        <f>IF($O450="Aktif",MAX(0,MIN($AE450,$AD450-SUM($AG450:AO450))),0)</f>
        <v>0</v>
      </c>
      <c r="AQ450" s="8">
        <f>IF($O450="Aktif",MAX(0,MIN($AE450,$AD450-SUM($AG450:AP450))),0)</f>
        <v>0</v>
      </c>
      <c r="AR450" s="8">
        <f>IF($O450="Aktif",MAX(0,MIN($AE450,$AD450-SUM($AG450:AQ450))),0)</f>
        <v>0</v>
      </c>
      <c r="AS450" s="8">
        <f>IF($O450="Aktif",MAX(0,MIN($AE450,$AD450-SUM($AG450:AR450))),0)</f>
        <v>0</v>
      </c>
      <c r="AT450" s="8">
        <f>IF($O450="Aktif",MAX(0,MIN($AE450,$AD450-SUM($AG450:AS450))),0)</f>
        <v>0</v>
      </c>
      <c r="AU450" s="8">
        <f>IF($O450="Aktif",MAX(0,MIN($AE450,$AD450-SUM($AG450:AT450))),0)</f>
        <v>0</v>
      </c>
      <c r="AV450" s="8">
        <f>IF($O450="Aktif",MAX(0,MIN($AE450,$AD450-SUM($AG450:AU450))),0)</f>
        <v>0</v>
      </c>
      <c r="AW450" s="8">
        <f t="shared" si="47"/>
        <v>0</v>
      </c>
      <c r="AX450" s="8">
        <f t="shared" si="48"/>
        <v>0</v>
      </c>
    </row>
    <row r="451" spans="1:50" ht="15" customHeight="1" x14ac:dyDescent="0.35">
      <c r="A451" s="102">
        <v>445</v>
      </c>
      <c r="B451" s="102" t="s">
        <v>1326</v>
      </c>
      <c r="C451" s="103">
        <v>79</v>
      </c>
      <c r="D451" s="102" t="s">
        <v>185</v>
      </c>
      <c r="E451" s="102" t="s">
        <v>587</v>
      </c>
      <c r="F451" s="102" t="s">
        <v>1327</v>
      </c>
      <c r="G451" s="102" t="s">
        <v>1328</v>
      </c>
      <c r="H451" s="102" t="s">
        <v>1329</v>
      </c>
      <c r="I451" s="102" t="s">
        <v>63</v>
      </c>
      <c r="J451" s="102" t="s">
        <v>1530</v>
      </c>
      <c r="K451" s="102" t="s">
        <v>591</v>
      </c>
      <c r="L451" s="102" t="s">
        <v>1531</v>
      </c>
      <c r="M451" s="102" t="s">
        <v>1532</v>
      </c>
      <c r="N451" s="102" t="s">
        <v>1533</v>
      </c>
      <c r="O451" s="102" t="s">
        <v>383</v>
      </c>
      <c r="P451" s="103">
        <v>1</v>
      </c>
      <c r="Q451" s="105">
        <v>24100000</v>
      </c>
      <c r="R451" s="103">
        <v>48</v>
      </c>
      <c r="S451" s="105">
        <v>0</v>
      </c>
      <c r="T451" s="105">
        <v>24100000</v>
      </c>
      <c r="U451" s="105">
        <v>0</v>
      </c>
      <c r="V451" s="105">
        <v>0</v>
      </c>
      <c r="W451" s="105">
        <v>0</v>
      </c>
      <c r="X451" s="105">
        <v>0</v>
      </c>
      <c r="Y451" s="105">
        <v>0</v>
      </c>
      <c r="Z451" s="105">
        <v>0</v>
      </c>
      <c r="AA451" s="105">
        <v>0</v>
      </c>
      <c r="AB451" s="105">
        <v>0</v>
      </c>
      <c r="AC451" s="8">
        <f t="shared" si="42"/>
        <v>24100000</v>
      </c>
      <c r="AD451" s="8">
        <f t="shared" si="43"/>
        <v>0</v>
      </c>
      <c r="AE451" s="8">
        <f t="shared" si="44"/>
        <v>0</v>
      </c>
      <c r="AF451" s="106">
        <f t="shared" si="45"/>
        <v>0</v>
      </c>
      <c r="AG451" s="8">
        <f t="shared" si="46"/>
        <v>0</v>
      </c>
      <c r="AH451" s="8">
        <f>IF($O451="Aktif",MAX(0,MIN($AE451,$AD451-SUM($AG451:AG451))),0)</f>
        <v>0</v>
      </c>
      <c r="AI451" s="8">
        <f>IF($O451="Aktif",MAX(0,MIN($AE451,$AD451-SUM($AG451:AH451))),0)</f>
        <v>0</v>
      </c>
      <c r="AJ451" s="8">
        <f>IF($O451="Aktif",MAX(0,MIN($AE451,$AD451-SUM($AG451:AI451))),0)</f>
        <v>0</v>
      </c>
      <c r="AK451" s="8">
        <f>IF($O451="Aktif",MAX(0,MIN($AE451,$AD451-SUM($AG451:AJ451))),0)</f>
        <v>0</v>
      </c>
      <c r="AL451" s="8">
        <f>IF($O451="Aktif",MAX(0,MIN($AE451,$AD451-SUM($AG451:AK451))),0)</f>
        <v>0</v>
      </c>
      <c r="AM451" s="8">
        <f>IF($O451="Aktif",MAX(0,MIN($AE451,$AD451-SUM($AG451:AL451))),0)</f>
        <v>0</v>
      </c>
      <c r="AN451" s="8">
        <f>IF($O451="Aktif",MAX(0,MIN($AE451,$AD451-SUM($AG451:AM451))),0)</f>
        <v>0</v>
      </c>
      <c r="AO451" s="8">
        <f>IF($O451="Aktif",MAX(0,MIN($AE451,$AD451-SUM($AG451:AN451))),0)</f>
        <v>0</v>
      </c>
      <c r="AP451" s="8">
        <f>IF($O451="Aktif",MAX(0,MIN($AE451,$AD451-SUM($AG451:AO451))),0)</f>
        <v>0</v>
      </c>
      <c r="AQ451" s="8">
        <f>IF($O451="Aktif",MAX(0,MIN($AE451,$AD451-SUM($AG451:AP451))),0)</f>
        <v>0</v>
      </c>
      <c r="AR451" s="8">
        <f>IF($O451="Aktif",MAX(0,MIN($AE451,$AD451-SUM($AG451:AQ451))),0)</f>
        <v>0</v>
      </c>
      <c r="AS451" s="8">
        <f>IF($O451="Aktif",MAX(0,MIN($AE451,$AD451-SUM($AG451:AR451))),0)</f>
        <v>0</v>
      </c>
      <c r="AT451" s="8">
        <f>IF($O451="Aktif",MAX(0,MIN($AE451,$AD451-SUM($AG451:AS451))),0)</f>
        <v>0</v>
      </c>
      <c r="AU451" s="8">
        <f>IF($O451="Aktif",MAX(0,MIN($AE451,$AD451-SUM($AG451:AT451))),0)</f>
        <v>0</v>
      </c>
      <c r="AV451" s="8">
        <f>IF($O451="Aktif",MAX(0,MIN($AE451,$AD451-SUM($AG451:AU451))),0)</f>
        <v>0</v>
      </c>
      <c r="AW451" s="8">
        <f t="shared" si="47"/>
        <v>0</v>
      </c>
      <c r="AX451" s="8">
        <f t="shared" si="48"/>
        <v>0</v>
      </c>
    </row>
    <row r="452" spans="1:50" ht="15" customHeight="1" x14ac:dyDescent="0.35">
      <c r="A452" s="102">
        <v>446</v>
      </c>
      <c r="B452" s="102" t="s">
        <v>1326</v>
      </c>
      <c r="C452" s="103">
        <v>80</v>
      </c>
      <c r="D452" s="102" t="s">
        <v>185</v>
      </c>
      <c r="E452" s="102" t="s">
        <v>587</v>
      </c>
      <c r="F452" s="102" t="s">
        <v>1327</v>
      </c>
      <c r="G452" s="102" t="s">
        <v>1328</v>
      </c>
      <c r="H452" s="102" t="s">
        <v>1329</v>
      </c>
      <c r="I452" s="102" t="s">
        <v>63</v>
      </c>
      <c r="J452" s="102" t="s">
        <v>1534</v>
      </c>
      <c r="K452" s="102" t="s">
        <v>591</v>
      </c>
      <c r="L452" s="102" t="s">
        <v>1531</v>
      </c>
      <c r="M452" s="102" t="s">
        <v>1535</v>
      </c>
      <c r="N452" s="102" t="s">
        <v>1536</v>
      </c>
      <c r="O452" s="102" t="s">
        <v>383</v>
      </c>
      <c r="P452" s="103">
        <v>1</v>
      </c>
      <c r="Q452" s="105">
        <v>2850000</v>
      </c>
      <c r="R452" s="103">
        <v>48</v>
      </c>
      <c r="S452" s="105">
        <v>0</v>
      </c>
      <c r="T452" s="105">
        <v>2850000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Z452" s="105">
        <v>0</v>
      </c>
      <c r="AA452" s="105">
        <v>0</v>
      </c>
      <c r="AB452" s="105">
        <v>0</v>
      </c>
      <c r="AC452" s="8">
        <f t="shared" si="42"/>
        <v>2850000</v>
      </c>
      <c r="AD452" s="8">
        <f t="shared" si="43"/>
        <v>0</v>
      </c>
      <c r="AE452" s="8">
        <f t="shared" si="44"/>
        <v>0</v>
      </c>
      <c r="AF452" s="106">
        <f t="shared" si="45"/>
        <v>0</v>
      </c>
      <c r="AG452" s="8">
        <f t="shared" si="46"/>
        <v>0</v>
      </c>
      <c r="AH452" s="8">
        <f>IF($O452="Aktif",MAX(0,MIN($AE452,$AD452-SUM($AG452:AG452))),0)</f>
        <v>0</v>
      </c>
      <c r="AI452" s="8">
        <f>IF($O452="Aktif",MAX(0,MIN($AE452,$AD452-SUM($AG452:AH452))),0)</f>
        <v>0</v>
      </c>
      <c r="AJ452" s="8">
        <f>IF($O452="Aktif",MAX(0,MIN($AE452,$AD452-SUM($AG452:AI452))),0)</f>
        <v>0</v>
      </c>
      <c r="AK452" s="8">
        <f>IF($O452="Aktif",MAX(0,MIN($AE452,$AD452-SUM($AG452:AJ452))),0)</f>
        <v>0</v>
      </c>
      <c r="AL452" s="8">
        <f>IF($O452="Aktif",MAX(0,MIN($AE452,$AD452-SUM($AG452:AK452))),0)</f>
        <v>0</v>
      </c>
      <c r="AM452" s="8">
        <f>IF($O452="Aktif",MAX(0,MIN($AE452,$AD452-SUM($AG452:AL452))),0)</f>
        <v>0</v>
      </c>
      <c r="AN452" s="8">
        <f>IF($O452="Aktif",MAX(0,MIN($AE452,$AD452-SUM($AG452:AM452))),0)</f>
        <v>0</v>
      </c>
      <c r="AO452" s="8">
        <f>IF($O452="Aktif",MAX(0,MIN($AE452,$AD452-SUM($AG452:AN452))),0)</f>
        <v>0</v>
      </c>
      <c r="AP452" s="8">
        <f>IF($O452="Aktif",MAX(0,MIN($AE452,$AD452-SUM($AG452:AO452))),0)</f>
        <v>0</v>
      </c>
      <c r="AQ452" s="8">
        <f>IF($O452="Aktif",MAX(0,MIN($AE452,$AD452-SUM($AG452:AP452))),0)</f>
        <v>0</v>
      </c>
      <c r="AR452" s="8">
        <f>IF($O452="Aktif",MAX(0,MIN($AE452,$AD452-SUM($AG452:AQ452))),0)</f>
        <v>0</v>
      </c>
      <c r="AS452" s="8">
        <f>IF($O452="Aktif",MAX(0,MIN($AE452,$AD452-SUM($AG452:AR452))),0)</f>
        <v>0</v>
      </c>
      <c r="AT452" s="8">
        <f>IF($O452="Aktif",MAX(0,MIN($AE452,$AD452-SUM($AG452:AS452))),0)</f>
        <v>0</v>
      </c>
      <c r="AU452" s="8">
        <f>IF($O452="Aktif",MAX(0,MIN($AE452,$AD452-SUM($AG452:AT452))),0)</f>
        <v>0</v>
      </c>
      <c r="AV452" s="8">
        <f>IF($O452="Aktif",MAX(0,MIN($AE452,$AD452-SUM($AG452:AU452))),0)</f>
        <v>0</v>
      </c>
      <c r="AW452" s="8">
        <f t="shared" si="47"/>
        <v>0</v>
      </c>
      <c r="AX452" s="8">
        <f t="shared" si="48"/>
        <v>0</v>
      </c>
    </row>
    <row r="453" spans="1:50" ht="15" customHeight="1" x14ac:dyDescent="0.35">
      <c r="A453" s="102">
        <v>447</v>
      </c>
      <c r="B453" s="102" t="s">
        <v>1326</v>
      </c>
      <c r="C453" s="103">
        <v>81</v>
      </c>
      <c r="D453" s="102" t="s">
        <v>185</v>
      </c>
      <c r="E453" s="102" t="s">
        <v>587</v>
      </c>
      <c r="F453" s="102" t="s">
        <v>1327</v>
      </c>
      <c r="G453" s="102" t="s">
        <v>1328</v>
      </c>
      <c r="H453" s="102" t="s">
        <v>1329</v>
      </c>
      <c r="I453" s="102" t="s">
        <v>63</v>
      </c>
      <c r="J453" s="102" t="s">
        <v>1537</v>
      </c>
      <c r="K453" s="102" t="s">
        <v>591</v>
      </c>
      <c r="L453" s="104">
        <v>40768</v>
      </c>
      <c r="M453" s="102" t="s">
        <v>1538</v>
      </c>
      <c r="N453" s="102" t="s">
        <v>1539</v>
      </c>
      <c r="O453" s="102" t="s">
        <v>383</v>
      </c>
      <c r="P453" s="103">
        <v>1</v>
      </c>
      <c r="Q453" s="105">
        <v>675000</v>
      </c>
      <c r="R453" s="103">
        <v>48</v>
      </c>
      <c r="S453" s="105">
        <v>0</v>
      </c>
      <c r="T453" s="105">
        <v>675000</v>
      </c>
      <c r="U453" s="105">
        <v>0</v>
      </c>
      <c r="V453" s="105">
        <v>0</v>
      </c>
      <c r="W453" s="105">
        <v>0</v>
      </c>
      <c r="X453" s="105">
        <v>0</v>
      </c>
      <c r="Y453" s="105">
        <v>0</v>
      </c>
      <c r="Z453" s="105">
        <v>0</v>
      </c>
      <c r="AA453" s="105">
        <v>0</v>
      </c>
      <c r="AB453" s="105">
        <v>0</v>
      </c>
      <c r="AC453" s="8">
        <f t="shared" si="42"/>
        <v>675000</v>
      </c>
      <c r="AD453" s="8">
        <f t="shared" si="43"/>
        <v>0</v>
      </c>
      <c r="AE453" s="8">
        <f t="shared" si="44"/>
        <v>0</v>
      </c>
      <c r="AF453" s="106">
        <f t="shared" si="45"/>
        <v>0</v>
      </c>
      <c r="AG453" s="8">
        <f t="shared" si="46"/>
        <v>0</v>
      </c>
      <c r="AH453" s="8">
        <f>IF($O453="Aktif",MAX(0,MIN($AE453,$AD453-SUM($AG453:AG453))),0)</f>
        <v>0</v>
      </c>
      <c r="AI453" s="8">
        <f>IF($O453="Aktif",MAX(0,MIN($AE453,$AD453-SUM($AG453:AH453))),0)</f>
        <v>0</v>
      </c>
      <c r="AJ453" s="8">
        <f>IF($O453="Aktif",MAX(0,MIN($AE453,$AD453-SUM($AG453:AI453))),0)</f>
        <v>0</v>
      </c>
      <c r="AK453" s="8">
        <f>IF($O453="Aktif",MAX(0,MIN($AE453,$AD453-SUM($AG453:AJ453))),0)</f>
        <v>0</v>
      </c>
      <c r="AL453" s="8">
        <f>IF($O453="Aktif",MAX(0,MIN($AE453,$AD453-SUM($AG453:AK453))),0)</f>
        <v>0</v>
      </c>
      <c r="AM453" s="8">
        <f>IF($O453="Aktif",MAX(0,MIN($AE453,$AD453-SUM($AG453:AL453))),0)</f>
        <v>0</v>
      </c>
      <c r="AN453" s="8">
        <f>IF($O453="Aktif",MAX(0,MIN($AE453,$AD453-SUM($AG453:AM453))),0)</f>
        <v>0</v>
      </c>
      <c r="AO453" s="8">
        <f>IF($O453="Aktif",MAX(0,MIN($AE453,$AD453-SUM($AG453:AN453))),0)</f>
        <v>0</v>
      </c>
      <c r="AP453" s="8">
        <f>IF($O453="Aktif",MAX(0,MIN($AE453,$AD453-SUM($AG453:AO453))),0)</f>
        <v>0</v>
      </c>
      <c r="AQ453" s="8">
        <f>IF($O453="Aktif",MAX(0,MIN($AE453,$AD453-SUM($AG453:AP453))),0)</f>
        <v>0</v>
      </c>
      <c r="AR453" s="8">
        <f>IF($O453="Aktif",MAX(0,MIN($AE453,$AD453-SUM($AG453:AQ453))),0)</f>
        <v>0</v>
      </c>
      <c r="AS453" s="8">
        <f>IF($O453="Aktif",MAX(0,MIN($AE453,$AD453-SUM($AG453:AR453))),0)</f>
        <v>0</v>
      </c>
      <c r="AT453" s="8">
        <f>IF($O453="Aktif",MAX(0,MIN($AE453,$AD453-SUM($AG453:AS453))),0)</f>
        <v>0</v>
      </c>
      <c r="AU453" s="8">
        <f>IF($O453="Aktif",MAX(0,MIN($AE453,$AD453-SUM($AG453:AT453))),0)</f>
        <v>0</v>
      </c>
      <c r="AV453" s="8">
        <f>IF($O453="Aktif",MAX(0,MIN($AE453,$AD453-SUM($AG453:AU453))),0)</f>
        <v>0</v>
      </c>
      <c r="AW453" s="8">
        <f t="shared" si="47"/>
        <v>0</v>
      </c>
      <c r="AX453" s="8">
        <f t="shared" si="48"/>
        <v>0</v>
      </c>
    </row>
    <row r="454" spans="1:50" ht="15" customHeight="1" x14ac:dyDescent="0.35">
      <c r="A454" s="102">
        <v>448</v>
      </c>
      <c r="B454" s="102" t="s">
        <v>1326</v>
      </c>
      <c r="C454" s="103">
        <v>82</v>
      </c>
      <c r="D454" s="102" t="s">
        <v>185</v>
      </c>
      <c r="E454" s="102" t="s">
        <v>587</v>
      </c>
      <c r="F454" s="102" t="s">
        <v>1327</v>
      </c>
      <c r="G454" s="102" t="s">
        <v>1328</v>
      </c>
      <c r="H454" s="102" t="s">
        <v>1329</v>
      </c>
      <c r="I454" s="102" t="s">
        <v>63</v>
      </c>
      <c r="J454" s="102" t="s">
        <v>1540</v>
      </c>
      <c r="K454" s="102" t="s">
        <v>591</v>
      </c>
      <c r="L454" s="104">
        <v>40877</v>
      </c>
      <c r="M454" s="102" t="s">
        <v>1541</v>
      </c>
      <c r="N454" s="102" t="s">
        <v>1542</v>
      </c>
      <c r="O454" s="102" t="s">
        <v>383</v>
      </c>
      <c r="P454" s="103">
        <v>1</v>
      </c>
      <c r="Q454" s="105">
        <v>400000</v>
      </c>
      <c r="R454" s="103">
        <v>48</v>
      </c>
      <c r="S454" s="105">
        <v>0</v>
      </c>
      <c r="T454" s="105">
        <v>400000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Z454" s="105">
        <v>0</v>
      </c>
      <c r="AA454" s="105">
        <v>0</v>
      </c>
      <c r="AB454" s="105">
        <v>0</v>
      </c>
      <c r="AC454" s="8">
        <f t="shared" si="42"/>
        <v>400000</v>
      </c>
      <c r="AD454" s="8">
        <f t="shared" si="43"/>
        <v>0</v>
      </c>
      <c r="AE454" s="8">
        <f t="shared" si="44"/>
        <v>0</v>
      </c>
      <c r="AF454" s="106">
        <f t="shared" si="45"/>
        <v>0</v>
      </c>
      <c r="AG454" s="8">
        <f t="shared" si="46"/>
        <v>0</v>
      </c>
      <c r="AH454" s="8">
        <f>IF($O454="Aktif",MAX(0,MIN($AE454,$AD454-SUM($AG454:AG454))),0)</f>
        <v>0</v>
      </c>
      <c r="AI454" s="8">
        <f>IF($O454="Aktif",MAX(0,MIN($AE454,$AD454-SUM($AG454:AH454))),0)</f>
        <v>0</v>
      </c>
      <c r="AJ454" s="8">
        <f>IF($O454="Aktif",MAX(0,MIN($AE454,$AD454-SUM($AG454:AI454))),0)</f>
        <v>0</v>
      </c>
      <c r="AK454" s="8">
        <f>IF($O454="Aktif",MAX(0,MIN($AE454,$AD454-SUM($AG454:AJ454))),0)</f>
        <v>0</v>
      </c>
      <c r="AL454" s="8">
        <f>IF($O454="Aktif",MAX(0,MIN($AE454,$AD454-SUM($AG454:AK454))),0)</f>
        <v>0</v>
      </c>
      <c r="AM454" s="8">
        <f>IF($O454="Aktif",MAX(0,MIN($AE454,$AD454-SUM($AG454:AL454))),0)</f>
        <v>0</v>
      </c>
      <c r="AN454" s="8">
        <f>IF($O454="Aktif",MAX(0,MIN($AE454,$AD454-SUM($AG454:AM454))),0)</f>
        <v>0</v>
      </c>
      <c r="AO454" s="8">
        <f>IF($O454="Aktif",MAX(0,MIN($AE454,$AD454-SUM($AG454:AN454))),0)</f>
        <v>0</v>
      </c>
      <c r="AP454" s="8">
        <f>IF($O454="Aktif",MAX(0,MIN($AE454,$AD454-SUM($AG454:AO454))),0)</f>
        <v>0</v>
      </c>
      <c r="AQ454" s="8">
        <f>IF($O454="Aktif",MAX(0,MIN($AE454,$AD454-SUM($AG454:AP454))),0)</f>
        <v>0</v>
      </c>
      <c r="AR454" s="8">
        <f>IF($O454="Aktif",MAX(0,MIN($AE454,$AD454-SUM($AG454:AQ454))),0)</f>
        <v>0</v>
      </c>
      <c r="AS454" s="8">
        <f>IF($O454="Aktif",MAX(0,MIN($AE454,$AD454-SUM($AG454:AR454))),0)</f>
        <v>0</v>
      </c>
      <c r="AT454" s="8">
        <f>IF($O454="Aktif",MAX(0,MIN($AE454,$AD454-SUM($AG454:AS454))),0)</f>
        <v>0</v>
      </c>
      <c r="AU454" s="8">
        <f>IF($O454="Aktif",MAX(0,MIN($AE454,$AD454-SUM($AG454:AT454))),0)</f>
        <v>0</v>
      </c>
      <c r="AV454" s="8">
        <f>IF($O454="Aktif",MAX(0,MIN($AE454,$AD454-SUM($AG454:AU454))),0)</f>
        <v>0</v>
      </c>
      <c r="AW454" s="8">
        <f t="shared" si="47"/>
        <v>0</v>
      </c>
      <c r="AX454" s="8">
        <f t="shared" si="48"/>
        <v>0</v>
      </c>
    </row>
    <row r="455" spans="1:50" ht="15" customHeight="1" x14ac:dyDescent="0.35">
      <c r="A455" s="102">
        <v>449</v>
      </c>
      <c r="B455" s="102" t="s">
        <v>1326</v>
      </c>
      <c r="C455" s="103">
        <v>83</v>
      </c>
      <c r="D455" s="102" t="s">
        <v>185</v>
      </c>
      <c r="E455" s="102" t="s">
        <v>587</v>
      </c>
      <c r="F455" s="102" t="s">
        <v>1327</v>
      </c>
      <c r="G455" s="102" t="s">
        <v>1328</v>
      </c>
      <c r="H455" s="102" t="s">
        <v>1329</v>
      </c>
      <c r="I455" s="102" t="s">
        <v>63</v>
      </c>
      <c r="J455" s="102" t="s">
        <v>1543</v>
      </c>
      <c r="K455" s="102" t="s">
        <v>591</v>
      </c>
      <c r="L455" s="104">
        <v>40894</v>
      </c>
      <c r="M455" s="102" t="s">
        <v>1544</v>
      </c>
      <c r="N455" s="102" t="s">
        <v>1545</v>
      </c>
      <c r="O455" s="102" t="s">
        <v>383</v>
      </c>
      <c r="P455" s="103">
        <v>1</v>
      </c>
      <c r="Q455" s="105">
        <v>775000</v>
      </c>
      <c r="R455" s="103">
        <v>48</v>
      </c>
      <c r="S455" s="105">
        <v>0</v>
      </c>
      <c r="T455" s="105">
        <v>775000</v>
      </c>
      <c r="U455" s="105">
        <v>0</v>
      </c>
      <c r="V455" s="105">
        <v>0</v>
      </c>
      <c r="W455" s="105">
        <v>0</v>
      </c>
      <c r="X455" s="105">
        <v>0</v>
      </c>
      <c r="Y455" s="105">
        <v>0</v>
      </c>
      <c r="Z455" s="105">
        <v>0</v>
      </c>
      <c r="AA455" s="105">
        <v>0</v>
      </c>
      <c r="AB455" s="105">
        <v>0</v>
      </c>
      <c r="AC455" s="8">
        <f t="shared" ref="AC455:AC518" si="49">T455+SUM(U455:AB455)</f>
        <v>775000</v>
      </c>
      <c r="AD455" s="8">
        <f t="shared" ref="AD455:AD518" si="50">Q455-AC455</f>
        <v>0</v>
      </c>
      <c r="AE455" s="8">
        <f t="shared" ref="AE455:AE518" si="51">IF(O455="Aktif",AB455,0)</f>
        <v>0</v>
      </c>
      <c r="AF455" s="106">
        <f t="shared" ref="AF455:AF518" si="52">IF(AE455&gt;0,MAX(0,AD455)/AE455,0)</f>
        <v>0</v>
      </c>
      <c r="AG455" s="8">
        <f t="shared" ref="AG455:AG518" si="53">IF($O455="Aktif",MAX(0,MIN($AE455,$AD455-0)),0)</f>
        <v>0</v>
      </c>
      <c r="AH455" s="8">
        <f>IF($O455="Aktif",MAX(0,MIN($AE455,$AD455-SUM($AG455:AG455))),0)</f>
        <v>0</v>
      </c>
      <c r="AI455" s="8">
        <f>IF($O455="Aktif",MAX(0,MIN($AE455,$AD455-SUM($AG455:AH455))),0)</f>
        <v>0</v>
      </c>
      <c r="AJ455" s="8">
        <f>IF($O455="Aktif",MAX(0,MIN($AE455,$AD455-SUM($AG455:AI455))),0)</f>
        <v>0</v>
      </c>
      <c r="AK455" s="8">
        <f>IF($O455="Aktif",MAX(0,MIN($AE455,$AD455-SUM($AG455:AJ455))),0)</f>
        <v>0</v>
      </c>
      <c r="AL455" s="8">
        <f>IF($O455="Aktif",MAX(0,MIN($AE455,$AD455-SUM($AG455:AK455))),0)</f>
        <v>0</v>
      </c>
      <c r="AM455" s="8">
        <f>IF($O455="Aktif",MAX(0,MIN($AE455,$AD455-SUM($AG455:AL455))),0)</f>
        <v>0</v>
      </c>
      <c r="AN455" s="8">
        <f>IF($O455="Aktif",MAX(0,MIN($AE455,$AD455-SUM($AG455:AM455))),0)</f>
        <v>0</v>
      </c>
      <c r="AO455" s="8">
        <f>IF($O455="Aktif",MAX(0,MIN($AE455,$AD455-SUM($AG455:AN455))),0)</f>
        <v>0</v>
      </c>
      <c r="AP455" s="8">
        <f>IF($O455="Aktif",MAX(0,MIN($AE455,$AD455-SUM($AG455:AO455))),0)</f>
        <v>0</v>
      </c>
      <c r="AQ455" s="8">
        <f>IF($O455="Aktif",MAX(0,MIN($AE455,$AD455-SUM($AG455:AP455))),0)</f>
        <v>0</v>
      </c>
      <c r="AR455" s="8">
        <f>IF($O455="Aktif",MAX(0,MIN($AE455,$AD455-SUM($AG455:AQ455))),0)</f>
        <v>0</v>
      </c>
      <c r="AS455" s="8">
        <f>IF($O455="Aktif",MAX(0,MIN($AE455,$AD455-SUM($AG455:AR455))),0)</f>
        <v>0</v>
      </c>
      <c r="AT455" s="8">
        <f>IF($O455="Aktif",MAX(0,MIN($AE455,$AD455-SUM($AG455:AS455))),0)</f>
        <v>0</v>
      </c>
      <c r="AU455" s="8">
        <f>IF($O455="Aktif",MAX(0,MIN($AE455,$AD455-SUM($AG455:AT455))),0)</f>
        <v>0</v>
      </c>
      <c r="AV455" s="8">
        <f>IF($O455="Aktif",MAX(0,MIN($AE455,$AD455-SUM($AG455:AU455))),0)</f>
        <v>0</v>
      </c>
      <c r="AW455" s="8">
        <f t="shared" ref="AW455:AW518" si="54">SUM(AG455:AV455)</f>
        <v>0</v>
      </c>
      <c r="AX455" s="8">
        <f t="shared" ref="AX455:AX518" si="55">AD455-AW455</f>
        <v>0</v>
      </c>
    </row>
    <row r="456" spans="1:50" ht="15" customHeight="1" x14ac:dyDescent="0.35">
      <c r="A456" s="102">
        <v>450</v>
      </c>
      <c r="B456" s="102" t="s">
        <v>1326</v>
      </c>
      <c r="C456" s="103">
        <v>84</v>
      </c>
      <c r="D456" s="102" t="s">
        <v>185</v>
      </c>
      <c r="E456" s="102" t="s">
        <v>587</v>
      </c>
      <c r="F456" s="102" t="s">
        <v>1327</v>
      </c>
      <c r="G456" s="102" t="s">
        <v>1328</v>
      </c>
      <c r="H456" s="102" t="s">
        <v>1329</v>
      </c>
      <c r="I456" s="102" t="s">
        <v>63</v>
      </c>
      <c r="J456" s="102" t="s">
        <v>1546</v>
      </c>
      <c r="K456" s="102" t="s">
        <v>591</v>
      </c>
      <c r="L456" s="104">
        <v>41096</v>
      </c>
      <c r="M456" s="102" t="s">
        <v>1547</v>
      </c>
      <c r="N456" s="102" t="s">
        <v>1548</v>
      </c>
      <c r="O456" s="102" t="s">
        <v>383</v>
      </c>
      <c r="P456" s="103">
        <v>1</v>
      </c>
      <c r="Q456" s="105">
        <v>1990000</v>
      </c>
      <c r="R456" s="103">
        <v>48</v>
      </c>
      <c r="S456" s="105">
        <v>0</v>
      </c>
      <c r="T456" s="105">
        <v>1990000</v>
      </c>
      <c r="U456" s="105">
        <v>0</v>
      </c>
      <c r="V456" s="105">
        <v>0</v>
      </c>
      <c r="W456" s="105">
        <v>0</v>
      </c>
      <c r="X456" s="105">
        <v>0</v>
      </c>
      <c r="Y456" s="105">
        <v>0</v>
      </c>
      <c r="Z456" s="105">
        <v>0</v>
      </c>
      <c r="AA456" s="105">
        <v>0</v>
      </c>
      <c r="AB456" s="105">
        <v>0</v>
      </c>
      <c r="AC456" s="8">
        <f t="shared" si="49"/>
        <v>1990000</v>
      </c>
      <c r="AD456" s="8">
        <f t="shared" si="50"/>
        <v>0</v>
      </c>
      <c r="AE456" s="8">
        <f t="shared" si="51"/>
        <v>0</v>
      </c>
      <c r="AF456" s="106">
        <f t="shared" si="52"/>
        <v>0</v>
      </c>
      <c r="AG456" s="8">
        <f t="shared" si="53"/>
        <v>0</v>
      </c>
      <c r="AH456" s="8">
        <f>IF($O456="Aktif",MAX(0,MIN($AE456,$AD456-SUM($AG456:AG456))),0)</f>
        <v>0</v>
      </c>
      <c r="AI456" s="8">
        <f>IF($O456="Aktif",MAX(0,MIN($AE456,$AD456-SUM($AG456:AH456))),0)</f>
        <v>0</v>
      </c>
      <c r="AJ456" s="8">
        <f>IF($O456="Aktif",MAX(0,MIN($AE456,$AD456-SUM($AG456:AI456))),0)</f>
        <v>0</v>
      </c>
      <c r="AK456" s="8">
        <f>IF($O456="Aktif",MAX(0,MIN($AE456,$AD456-SUM($AG456:AJ456))),0)</f>
        <v>0</v>
      </c>
      <c r="AL456" s="8">
        <f>IF($O456="Aktif",MAX(0,MIN($AE456,$AD456-SUM($AG456:AK456))),0)</f>
        <v>0</v>
      </c>
      <c r="AM456" s="8">
        <f>IF($O456="Aktif",MAX(0,MIN($AE456,$AD456-SUM($AG456:AL456))),0)</f>
        <v>0</v>
      </c>
      <c r="AN456" s="8">
        <f>IF($O456="Aktif",MAX(0,MIN($AE456,$AD456-SUM($AG456:AM456))),0)</f>
        <v>0</v>
      </c>
      <c r="AO456" s="8">
        <f>IF($O456="Aktif",MAX(0,MIN($AE456,$AD456-SUM($AG456:AN456))),0)</f>
        <v>0</v>
      </c>
      <c r="AP456" s="8">
        <f>IF($O456="Aktif",MAX(0,MIN($AE456,$AD456-SUM($AG456:AO456))),0)</f>
        <v>0</v>
      </c>
      <c r="AQ456" s="8">
        <f>IF($O456="Aktif",MAX(0,MIN($AE456,$AD456-SUM($AG456:AP456))),0)</f>
        <v>0</v>
      </c>
      <c r="AR456" s="8">
        <f>IF($O456="Aktif",MAX(0,MIN($AE456,$AD456-SUM($AG456:AQ456))),0)</f>
        <v>0</v>
      </c>
      <c r="AS456" s="8">
        <f>IF($O456="Aktif",MAX(0,MIN($AE456,$AD456-SUM($AG456:AR456))),0)</f>
        <v>0</v>
      </c>
      <c r="AT456" s="8">
        <f>IF($O456="Aktif",MAX(0,MIN($AE456,$AD456-SUM($AG456:AS456))),0)</f>
        <v>0</v>
      </c>
      <c r="AU456" s="8">
        <f>IF($O456="Aktif",MAX(0,MIN($AE456,$AD456-SUM($AG456:AT456))),0)</f>
        <v>0</v>
      </c>
      <c r="AV456" s="8">
        <f>IF($O456="Aktif",MAX(0,MIN($AE456,$AD456-SUM($AG456:AU456))),0)</f>
        <v>0</v>
      </c>
      <c r="AW456" s="8">
        <f t="shared" si="54"/>
        <v>0</v>
      </c>
      <c r="AX456" s="8">
        <f t="shared" si="55"/>
        <v>0</v>
      </c>
    </row>
    <row r="457" spans="1:50" ht="15" customHeight="1" x14ac:dyDescent="0.35">
      <c r="A457" s="102">
        <v>451</v>
      </c>
      <c r="B457" s="102" t="s">
        <v>1326</v>
      </c>
      <c r="C457" s="103">
        <v>85</v>
      </c>
      <c r="D457" s="102" t="s">
        <v>185</v>
      </c>
      <c r="E457" s="102" t="s">
        <v>587</v>
      </c>
      <c r="F457" s="102" t="s">
        <v>1327</v>
      </c>
      <c r="G457" s="102" t="s">
        <v>1328</v>
      </c>
      <c r="H457" s="102" t="s">
        <v>1329</v>
      </c>
      <c r="I457" s="102" t="s">
        <v>63</v>
      </c>
      <c r="J457" s="102" t="s">
        <v>1549</v>
      </c>
      <c r="K457" s="102" t="s">
        <v>591</v>
      </c>
      <c r="L457" s="104">
        <v>41096</v>
      </c>
      <c r="M457" s="102" t="s">
        <v>1550</v>
      </c>
      <c r="N457" s="102" t="s">
        <v>1551</v>
      </c>
      <c r="O457" s="102" t="s">
        <v>383</v>
      </c>
      <c r="P457" s="103">
        <v>1</v>
      </c>
      <c r="Q457" s="105">
        <v>9350000</v>
      </c>
      <c r="R457" s="103">
        <v>48</v>
      </c>
      <c r="S457" s="105">
        <v>0</v>
      </c>
      <c r="T457" s="105">
        <v>9350000</v>
      </c>
      <c r="U457" s="105">
        <v>0</v>
      </c>
      <c r="V457" s="105">
        <v>0</v>
      </c>
      <c r="W457" s="105">
        <v>0</v>
      </c>
      <c r="X457" s="105">
        <v>0</v>
      </c>
      <c r="Y457" s="105">
        <v>0</v>
      </c>
      <c r="Z457" s="105">
        <v>0</v>
      </c>
      <c r="AA457" s="105">
        <v>0</v>
      </c>
      <c r="AB457" s="105">
        <v>0</v>
      </c>
      <c r="AC457" s="8">
        <f t="shared" si="49"/>
        <v>9350000</v>
      </c>
      <c r="AD457" s="8">
        <f t="shared" si="50"/>
        <v>0</v>
      </c>
      <c r="AE457" s="8">
        <f t="shared" si="51"/>
        <v>0</v>
      </c>
      <c r="AF457" s="106">
        <f t="shared" si="52"/>
        <v>0</v>
      </c>
      <c r="AG457" s="8">
        <f t="shared" si="53"/>
        <v>0</v>
      </c>
      <c r="AH457" s="8">
        <f>IF($O457="Aktif",MAX(0,MIN($AE457,$AD457-SUM($AG457:AG457))),0)</f>
        <v>0</v>
      </c>
      <c r="AI457" s="8">
        <f>IF($O457="Aktif",MAX(0,MIN($AE457,$AD457-SUM($AG457:AH457))),0)</f>
        <v>0</v>
      </c>
      <c r="AJ457" s="8">
        <f>IF($O457="Aktif",MAX(0,MIN($AE457,$AD457-SUM($AG457:AI457))),0)</f>
        <v>0</v>
      </c>
      <c r="AK457" s="8">
        <f>IF($O457="Aktif",MAX(0,MIN($AE457,$AD457-SUM($AG457:AJ457))),0)</f>
        <v>0</v>
      </c>
      <c r="AL457" s="8">
        <f>IF($O457="Aktif",MAX(0,MIN($AE457,$AD457-SUM($AG457:AK457))),0)</f>
        <v>0</v>
      </c>
      <c r="AM457" s="8">
        <f>IF($O457="Aktif",MAX(0,MIN($AE457,$AD457-SUM($AG457:AL457))),0)</f>
        <v>0</v>
      </c>
      <c r="AN457" s="8">
        <f>IF($O457="Aktif",MAX(0,MIN($AE457,$AD457-SUM($AG457:AM457))),0)</f>
        <v>0</v>
      </c>
      <c r="AO457" s="8">
        <f>IF($O457="Aktif",MAX(0,MIN($AE457,$AD457-SUM($AG457:AN457))),0)</f>
        <v>0</v>
      </c>
      <c r="AP457" s="8">
        <f>IF($O457="Aktif",MAX(0,MIN($AE457,$AD457-SUM($AG457:AO457))),0)</f>
        <v>0</v>
      </c>
      <c r="AQ457" s="8">
        <f>IF($O457="Aktif",MAX(0,MIN($AE457,$AD457-SUM($AG457:AP457))),0)</f>
        <v>0</v>
      </c>
      <c r="AR457" s="8">
        <f>IF($O457="Aktif",MAX(0,MIN($AE457,$AD457-SUM($AG457:AQ457))),0)</f>
        <v>0</v>
      </c>
      <c r="AS457" s="8">
        <f>IF($O457="Aktif",MAX(0,MIN($AE457,$AD457-SUM($AG457:AR457))),0)</f>
        <v>0</v>
      </c>
      <c r="AT457" s="8">
        <f>IF($O457="Aktif",MAX(0,MIN($AE457,$AD457-SUM($AG457:AS457))),0)</f>
        <v>0</v>
      </c>
      <c r="AU457" s="8">
        <f>IF($O457="Aktif",MAX(0,MIN($AE457,$AD457-SUM($AG457:AT457))),0)</f>
        <v>0</v>
      </c>
      <c r="AV457" s="8">
        <f>IF($O457="Aktif",MAX(0,MIN($AE457,$AD457-SUM($AG457:AU457))),0)</f>
        <v>0</v>
      </c>
      <c r="AW457" s="8">
        <f t="shared" si="54"/>
        <v>0</v>
      </c>
      <c r="AX457" s="8">
        <f t="shared" si="55"/>
        <v>0</v>
      </c>
    </row>
    <row r="458" spans="1:50" ht="15" customHeight="1" x14ac:dyDescent="0.35">
      <c r="A458" s="102">
        <v>452</v>
      </c>
      <c r="B458" s="102" t="s">
        <v>1326</v>
      </c>
      <c r="C458" s="103">
        <v>86</v>
      </c>
      <c r="D458" s="102" t="s">
        <v>185</v>
      </c>
      <c r="E458" s="102" t="s">
        <v>587</v>
      </c>
      <c r="F458" s="102" t="s">
        <v>1327</v>
      </c>
      <c r="G458" s="102" t="s">
        <v>1328</v>
      </c>
      <c r="H458" s="102" t="s">
        <v>1329</v>
      </c>
      <c r="I458" s="102" t="s">
        <v>63</v>
      </c>
      <c r="J458" s="102"/>
      <c r="K458" s="102" t="s">
        <v>591</v>
      </c>
      <c r="L458" s="104">
        <v>44179</v>
      </c>
      <c r="M458" s="102" t="s">
        <v>1550</v>
      </c>
      <c r="N458" s="102" t="s">
        <v>1552</v>
      </c>
      <c r="O458" s="102" t="s">
        <v>487</v>
      </c>
      <c r="P458" s="103">
        <v>1</v>
      </c>
      <c r="Q458" s="105">
        <v>-9350000</v>
      </c>
      <c r="R458" s="102"/>
      <c r="S458" s="105">
        <v>0</v>
      </c>
      <c r="T458" s="105">
        <v>-9350000</v>
      </c>
      <c r="U458" s="105">
        <v>0</v>
      </c>
      <c r="V458" s="105">
        <v>0</v>
      </c>
      <c r="W458" s="105">
        <v>0</v>
      </c>
      <c r="X458" s="105">
        <v>0</v>
      </c>
      <c r="Y458" s="105">
        <v>0</v>
      </c>
      <c r="Z458" s="105">
        <v>0</v>
      </c>
      <c r="AA458" s="105">
        <v>0</v>
      </c>
      <c r="AB458" s="105">
        <v>0</v>
      </c>
      <c r="AC458" s="8">
        <f t="shared" si="49"/>
        <v>-9350000</v>
      </c>
      <c r="AD458" s="8">
        <f t="shared" si="50"/>
        <v>0</v>
      </c>
      <c r="AE458" s="8">
        <f t="shared" si="51"/>
        <v>0</v>
      </c>
      <c r="AF458" s="106">
        <f t="shared" si="52"/>
        <v>0</v>
      </c>
      <c r="AG458" s="8">
        <f t="shared" si="53"/>
        <v>0</v>
      </c>
      <c r="AH458" s="8">
        <f>IF($O458="Aktif",MAX(0,MIN($AE458,$AD458-SUM($AG458:AG458))),0)</f>
        <v>0</v>
      </c>
      <c r="AI458" s="8">
        <f>IF($O458="Aktif",MAX(0,MIN($AE458,$AD458-SUM($AG458:AH458))),0)</f>
        <v>0</v>
      </c>
      <c r="AJ458" s="8">
        <f>IF($O458="Aktif",MAX(0,MIN($AE458,$AD458-SUM($AG458:AI458))),0)</f>
        <v>0</v>
      </c>
      <c r="AK458" s="8">
        <f>IF($O458="Aktif",MAX(0,MIN($AE458,$AD458-SUM($AG458:AJ458))),0)</f>
        <v>0</v>
      </c>
      <c r="AL458" s="8">
        <f>IF($O458="Aktif",MAX(0,MIN($AE458,$AD458-SUM($AG458:AK458))),0)</f>
        <v>0</v>
      </c>
      <c r="AM458" s="8">
        <f>IF($O458="Aktif",MAX(0,MIN($AE458,$AD458-SUM($AG458:AL458))),0)</f>
        <v>0</v>
      </c>
      <c r="AN458" s="8">
        <f>IF($O458="Aktif",MAX(0,MIN($AE458,$AD458-SUM($AG458:AM458))),0)</f>
        <v>0</v>
      </c>
      <c r="AO458" s="8">
        <f>IF($O458="Aktif",MAX(0,MIN($AE458,$AD458-SUM($AG458:AN458))),0)</f>
        <v>0</v>
      </c>
      <c r="AP458" s="8">
        <f>IF($O458="Aktif",MAX(0,MIN($AE458,$AD458-SUM($AG458:AO458))),0)</f>
        <v>0</v>
      </c>
      <c r="AQ458" s="8">
        <f>IF($O458="Aktif",MAX(0,MIN($AE458,$AD458-SUM($AG458:AP458))),0)</f>
        <v>0</v>
      </c>
      <c r="AR458" s="8">
        <f>IF($O458="Aktif",MAX(0,MIN($AE458,$AD458-SUM($AG458:AQ458))),0)</f>
        <v>0</v>
      </c>
      <c r="AS458" s="8">
        <f>IF($O458="Aktif",MAX(0,MIN($AE458,$AD458-SUM($AG458:AR458))),0)</f>
        <v>0</v>
      </c>
      <c r="AT458" s="8">
        <f>IF($O458="Aktif",MAX(0,MIN($AE458,$AD458-SUM($AG458:AS458))),0)</f>
        <v>0</v>
      </c>
      <c r="AU458" s="8">
        <f>IF($O458="Aktif",MAX(0,MIN($AE458,$AD458-SUM($AG458:AT458))),0)</f>
        <v>0</v>
      </c>
      <c r="AV458" s="8">
        <f>IF($O458="Aktif",MAX(0,MIN($AE458,$AD458-SUM($AG458:AU458))),0)</f>
        <v>0</v>
      </c>
      <c r="AW458" s="8">
        <f t="shared" si="54"/>
        <v>0</v>
      </c>
      <c r="AX458" s="8">
        <f t="shared" si="55"/>
        <v>0</v>
      </c>
    </row>
    <row r="459" spans="1:50" ht="15" customHeight="1" x14ac:dyDescent="0.35">
      <c r="A459" s="102">
        <v>453</v>
      </c>
      <c r="B459" s="102" t="s">
        <v>1326</v>
      </c>
      <c r="C459" s="103">
        <v>87</v>
      </c>
      <c r="D459" s="102" t="s">
        <v>185</v>
      </c>
      <c r="E459" s="102" t="s">
        <v>587</v>
      </c>
      <c r="F459" s="102" t="s">
        <v>1327</v>
      </c>
      <c r="G459" s="102" t="s">
        <v>1328</v>
      </c>
      <c r="H459" s="102" t="s">
        <v>1329</v>
      </c>
      <c r="I459" s="102" t="s">
        <v>63</v>
      </c>
      <c r="J459" s="102" t="s">
        <v>1553</v>
      </c>
      <c r="K459" s="102" t="s">
        <v>591</v>
      </c>
      <c r="L459" s="104">
        <v>41117</v>
      </c>
      <c r="M459" s="102" t="s">
        <v>1554</v>
      </c>
      <c r="N459" s="102" t="s">
        <v>1555</v>
      </c>
      <c r="O459" s="102" t="s">
        <v>383</v>
      </c>
      <c r="P459" s="103">
        <v>1</v>
      </c>
      <c r="Q459" s="105">
        <v>6300000</v>
      </c>
      <c r="R459" s="103">
        <v>48</v>
      </c>
      <c r="S459" s="105">
        <v>0</v>
      </c>
      <c r="T459" s="105">
        <v>6300000</v>
      </c>
      <c r="U459" s="105">
        <v>0</v>
      </c>
      <c r="V459" s="105">
        <v>0</v>
      </c>
      <c r="W459" s="105">
        <v>0</v>
      </c>
      <c r="X459" s="105">
        <v>0</v>
      </c>
      <c r="Y459" s="105">
        <v>0</v>
      </c>
      <c r="Z459" s="105">
        <v>0</v>
      </c>
      <c r="AA459" s="105">
        <v>0</v>
      </c>
      <c r="AB459" s="105">
        <v>0</v>
      </c>
      <c r="AC459" s="8">
        <f t="shared" si="49"/>
        <v>6300000</v>
      </c>
      <c r="AD459" s="8">
        <f t="shared" si="50"/>
        <v>0</v>
      </c>
      <c r="AE459" s="8">
        <f t="shared" si="51"/>
        <v>0</v>
      </c>
      <c r="AF459" s="106">
        <f t="shared" si="52"/>
        <v>0</v>
      </c>
      <c r="AG459" s="8">
        <f t="shared" si="53"/>
        <v>0</v>
      </c>
      <c r="AH459" s="8">
        <f>IF($O459="Aktif",MAX(0,MIN($AE459,$AD459-SUM($AG459:AG459))),0)</f>
        <v>0</v>
      </c>
      <c r="AI459" s="8">
        <f>IF($O459="Aktif",MAX(0,MIN($AE459,$AD459-SUM($AG459:AH459))),0)</f>
        <v>0</v>
      </c>
      <c r="AJ459" s="8">
        <f>IF($O459="Aktif",MAX(0,MIN($AE459,$AD459-SUM($AG459:AI459))),0)</f>
        <v>0</v>
      </c>
      <c r="AK459" s="8">
        <f>IF($O459="Aktif",MAX(0,MIN($AE459,$AD459-SUM($AG459:AJ459))),0)</f>
        <v>0</v>
      </c>
      <c r="AL459" s="8">
        <f>IF($O459="Aktif",MAX(0,MIN($AE459,$AD459-SUM($AG459:AK459))),0)</f>
        <v>0</v>
      </c>
      <c r="AM459" s="8">
        <f>IF($O459="Aktif",MAX(0,MIN($AE459,$AD459-SUM($AG459:AL459))),0)</f>
        <v>0</v>
      </c>
      <c r="AN459" s="8">
        <f>IF($O459="Aktif",MAX(0,MIN($AE459,$AD459-SUM($AG459:AM459))),0)</f>
        <v>0</v>
      </c>
      <c r="AO459" s="8">
        <f>IF($O459="Aktif",MAX(0,MIN($AE459,$AD459-SUM($AG459:AN459))),0)</f>
        <v>0</v>
      </c>
      <c r="AP459" s="8">
        <f>IF($O459="Aktif",MAX(0,MIN($AE459,$AD459-SUM($AG459:AO459))),0)</f>
        <v>0</v>
      </c>
      <c r="AQ459" s="8">
        <f>IF($O459="Aktif",MAX(0,MIN($AE459,$AD459-SUM($AG459:AP459))),0)</f>
        <v>0</v>
      </c>
      <c r="AR459" s="8">
        <f>IF($O459="Aktif",MAX(0,MIN($AE459,$AD459-SUM($AG459:AQ459))),0)</f>
        <v>0</v>
      </c>
      <c r="AS459" s="8">
        <f>IF($O459="Aktif",MAX(0,MIN($AE459,$AD459-SUM($AG459:AR459))),0)</f>
        <v>0</v>
      </c>
      <c r="AT459" s="8">
        <f>IF($O459="Aktif",MAX(0,MIN($AE459,$AD459-SUM($AG459:AS459))),0)</f>
        <v>0</v>
      </c>
      <c r="AU459" s="8">
        <f>IF($O459="Aktif",MAX(0,MIN($AE459,$AD459-SUM($AG459:AT459))),0)</f>
        <v>0</v>
      </c>
      <c r="AV459" s="8">
        <f>IF($O459="Aktif",MAX(0,MIN($AE459,$AD459-SUM($AG459:AU459))),0)</f>
        <v>0</v>
      </c>
      <c r="AW459" s="8">
        <f t="shared" si="54"/>
        <v>0</v>
      </c>
      <c r="AX459" s="8">
        <f t="shared" si="55"/>
        <v>0</v>
      </c>
    </row>
    <row r="460" spans="1:50" ht="15" customHeight="1" x14ac:dyDescent="0.35">
      <c r="A460" s="102">
        <v>454</v>
      </c>
      <c r="B460" s="102" t="s">
        <v>1326</v>
      </c>
      <c r="C460" s="103">
        <v>88</v>
      </c>
      <c r="D460" s="102" t="s">
        <v>185</v>
      </c>
      <c r="E460" s="102" t="s">
        <v>587</v>
      </c>
      <c r="F460" s="102" t="s">
        <v>1327</v>
      </c>
      <c r="G460" s="102" t="s">
        <v>1328</v>
      </c>
      <c r="H460" s="102" t="s">
        <v>1329</v>
      </c>
      <c r="I460" s="102" t="s">
        <v>63</v>
      </c>
      <c r="J460" s="102" t="s">
        <v>1556</v>
      </c>
      <c r="K460" s="102" t="s">
        <v>591</v>
      </c>
      <c r="L460" s="104">
        <v>41093</v>
      </c>
      <c r="M460" s="102" t="s">
        <v>1557</v>
      </c>
      <c r="N460" s="102" t="s">
        <v>1558</v>
      </c>
      <c r="O460" s="102" t="s">
        <v>383</v>
      </c>
      <c r="P460" s="103">
        <v>1</v>
      </c>
      <c r="Q460" s="105">
        <v>2075000</v>
      </c>
      <c r="R460" s="103">
        <v>48</v>
      </c>
      <c r="S460" s="105">
        <v>0</v>
      </c>
      <c r="T460" s="105">
        <v>2075000</v>
      </c>
      <c r="U460" s="105">
        <v>0</v>
      </c>
      <c r="V460" s="105">
        <v>0</v>
      </c>
      <c r="W460" s="105">
        <v>0</v>
      </c>
      <c r="X460" s="105">
        <v>0</v>
      </c>
      <c r="Y460" s="105">
        <v>0</v>
      </c>
      <c r="Z460" s="105">
        <v>0</v>
      </c>
      <c r="AA460" s="105">
        <v>0</v>
      </c>
      <c r="AB460" s="105">
        <v>0</v>
      </c>
      <c r="AC460" s="8">
        <f t="shared" si="49"/>
        <v>2075000</v>
      </c>
      <c r="AD460" s="8">
        <f t="shared" si="50"/>
        <v>0</v>
      </c>
      <c r="AE460" s="8">
        <f t="shared" si="51"/>
        <v>0</v>
      </c>
      <c r="AF460" s="106">
        <f t="shared" si="52"/>
        <v>0</v>
      </c>
      <c r="AG460" s="8">
        <f t="shared" si="53"/>
        <v>0</v>
      </c>
      <c r="AH460" s="8">
        <f>IF($O460="Aktif",MAX(0,MIN($AE460,$AD460-SUM($AG460:AG460))),0)</f>
        <v>0</v>
      </c>
      <c r="AI460" s="8">
        <f>IF($O460="Aktif",MAX(0,MIN($AE460,$AD460-SUM($AG460:AH460))),0)</f>
        <v>0</v>
      </c>
      <c r="AJ460" s="8">
        <f>IF($O460="Aktif",MAX(0,MIN($AE460,$AD460-SUM($AG460:AI460))),0)</f>
        <v>0</v>
      </c>
      <c r="AK460" s="8">
        <f>IF($O460="Aktif",MAX(0,MIN($AE460,$AD460-SUM($AG460:AJ460))),0)</f>
        <v>0</v>
      </c>
      <c r="AL460" s="8">
        <f>IF($O460="Aktif",MAX(0,MIN($AE460,$AD460-SUM($AG460:AK460))),0)</f>
        <v>0</v>
      </c>
      <c r="AM460" s="8">
        <f>IF($O460="Aktif",MAX(0,MIN($AE460,$AD460-SUM($AG460:AL460))),0)</f>
        <v>0</v>
      </c>
      <c r="AN460" s="8">
        <f>IF($O460="Aktif",MAX(0,MIN($AE460,$AD460-SUM($AG460:AM460))),0)</f>
        <v>0</v>
      </c>
      <c r="AO460" s="8">
        <f>IF($O460="Aktif",MAX(0,MIN($AE460,$AD460-SUM($AG460:AN460))),0)</f>
        <v>0</v>
      </c>
      <c r="AP460" s="8">
        <f>IF($O460="Aktif",MAX(0,MIN($AE460,$AD460-SUM($AG460:AO460))),0)</f>
        <v>0</v>
      </c>
      <c r="AQ460" s="8">
        <f>IF($O460="Aktif",MAX(0,MIN($AE460,$AD460-SUM($AG460:AP460))),0)</f>
        <v>0</v>
      </c>
      <c r="AR460" s="8">
        <f>IF($O460="Aktif",MAX(0,MIN($AE460,$AD460-SUM($AG460:AQ460))),0)</f>
        <v>0</v>
      </c>
      <c r="AS460" s="8">
        <f>IF($O460="Aktif",MAX(0,MIN($AE460,$AD460-SUM($AG460:AR460))),0)</f>
        <v>0</v>
      </c>
      <c r="AT460" s="8">
        <f>IF($O460="Aktif",MAX(0,MIN($AE460,$AD460-SUM($AG460:AS460))),0)</f>
        <v>0</v>
      </c>
      <c r="AU460" s="8">
        <f>IF($O460="Aktif",MAX(0,MIN($AE460,$AD460-SUM($AG460:AT460))),0)</f>
        <v>0</v>
      </c>
      <c r="AV460" s="8">
        <f>IF($O460="Aktif",MAX(0,MIN($AE460,$AD460-SUM($AG460:AU460))),0)</f>
        <v>0</v>
      </c>
      <c r="AW460" s="8">
        <f t="shared" si="54"/>
        <v>0</v>
      </c>
      <c r="AX460" s="8">
        <f t="shared" si="55"/>
        <v>0</v>
      </c>
    </row>
    <row r="461" spans="1:50" ht="15" customHeight="1" x14ac:dyDescent="0.35">
      <c r="A461" s="102">
        <v>455</v>
      </c>
      <c r="B461" s="102" t="s">
        <v>1326</v>
      </c>
      <c r="C461" s="103">
        <v>89</v>
      </c>
      <c r="D461" s="102" t="s">
        <v>185</v>
      </c>
      <c r="E461" s="102" t="s">
        <v>587</v>
      </c>
      <c r="F461" s="102" t="s">
        <v>1327</v>
      </c>
      <c r="G461" s="102" t="s">
        <v>1328</v>
      </c>
      <c r="H461" s="102" t="s">
        <v>1329</v>
      </c>
      <c r="I461" s="102" t="s">
        <v>63</v>
      </c>
      <c r="J461" s="102" t="s">
        <v>1559</v>
      </c>
      <c r="K461" s="102" t="s">
        <v>591</v>
      </c>
      <c r="L461" s="104">
        <v>41107</v>
      </c>
      <c r="M461" s="102" t="s">
        <v>1560</v>
      </c>
      <c r="N461" s="102" t="s">
        <v>1561</v>
      </c>
      <c r="O461" s="102" t="s">
        <v>383</v>
      </c>
      <c r="P461" s="103">
        <v>1</v>
      </c>
      <c r="Q461" s="105">
        <v>7000000</v>
      </c>
      <c r="R461" s="103">
        <v>48</v>
      </c>
      <c r="S461" s="105">
        <v>0</v>
      </c>
      <c r="T461" s="105">
        <v>7000000</v>
      </c>
      <c r="U461" s="105">
        <v>0</v>
      </c>
      <c r="V461" s="105">
        <v>0</v>
      </c>
      <c r="W461" s="105">
        <v>0</v>
      </c>
      <c r="X461" s="105">
        <v>0</v>
      </c>
      <c r="Y461" s="105">
        <v>0</v>
      </c>
      <c r="Z461" s="105">
        <v>0</v>
      </c>
      <c r="AA461" s="105">
        <v>0</v>
      </c>
      <c r="AB461" s="105">
        <v>0</v>
      </c>
      <c r="AC461" s="8">
        <f t="shared" si="49"/>
        <v>7000000</v>
      </c>
      <c r="AD461" s="8">
        <f t="shared" si="50"/>
        <v>0</v>
      </c>
      <c r="AE461" s="8">
        <f t="shared" si="51"/>
        <v>0</v>
      </c>
      <c r="AF461" s="106">
        <f t="shared" si="52"/>
        <v>0</v>
      </c>
      <c r="AG461" s="8">
        <f t="shared" si="53"/>
        <v>0</v>
      </c>
      <c r="AH461" s="8">
        <f>IF($O461="Aktif",MAX(0,MIN($AE461,$AD461-SUM($AG461:AG461))),0)</f>
        <v>0</v>
      </c>
      <c r="AI461" s="8">
        <f>IF($O461="Aktif",MAX(0,MIN($AE461,$AD461-SUM($AG461:AH461))),0)</f>
        <v>0</v>
      </c>
      <c r="AJ461" s="8">
        <f>IF($O461="Aktif",MAX(0,MIN($AE461,$AD461-SUM($AG461:AI461))),0)</f>
        <v>0</v>
      </c>
      <c r="AK461" s="8">
        <f>IF($O461="Aktif",MAX(0,MIN($AE461,$AD461-SUM($AG461:AJ461))),0)</f>
        <v>0</v>
      </c>
      <c r="AL461" s="8">
        <f>IF($O461="Aktif",MAX(0,MIN($AE461,$AD461-SUM($AG461:AK461))),0)</f>
        <v>0</v>
      </c>
      <c r="AM461" s="8">
        <f>IF($O461="Aktif",MAX(0,MIN($AE461,$AD461-SUM($AG461:AL461))),0)</f>
        <v>0</v>
      </c>
      <c r="AN461" s="8">
        <f>IF($O461="Aktif",MAX(0,MIN($AE461,$AD461-SUM($AG461:AM461))),0)</f>
        <v>0</v>
      </c>
      <c r="AO461" s="8">
        <f>IF($O461="Aktif",MAX(0,MIN($AE461,$AD461-SUM($AG461:AN461))),0)</f>
        <v>0</v>
      </c>
      <c r="AP461" s="8">
        <f>IF($O461="Aktif",MAX(0,MIN($AE461,$AD461-SUM($AG461:AO461))),0)</f>
        <v>0</v>
      </c>
      <c r="AQ461" s="8">
        <f>IF($O461="Aktif",MAX(0,MIN($AE461,$AD461-SUM($AG461:AP461))),0)</f>
        <v>0</v>
      </c>
      <c r="AR461" s="8">
        <f>IF($O461="Aktif",MAX(0,MIN($AE461,$AD461-SUM($AG461:AQ461))),0)</f>
        <v>0</v>
      </c>
      <c r="AS461" s="8">
        <f>IF($O461="Aktif",MAX(0,MIN($AE461,$AD461-SUM($AG461:AR461))),0)</f>
        <v>0</v>
      </c>
      <c r="AT461" s="8">
        <f>IF($O461="Aktif",MAX(0,MIN($AE461,$AD461-SUM($AG461:AS461))),0)</f>
        <v>0</v>
      </c>
      <c r="AU461" s="8">
        <f>IF($O461="Aktif",MAX(0,MIN($AE461,$AD461-SUM($AG461:AT461))),0)</f>
        <v>0</v>
      </c>
      <c r="AV461" s="8">
        <f>IF($O461="Aktif",MAX(0,MIN($AE461,$AD461-SUM($AG461:AU461))),0)</f>
        <v>0</v>
      </c>
      <c r="AW461" s="8">
        <f t="shared" si="54"/>
        <v>0</v>
      </c>
      <c r="AX461" s="8">
        <f t="shared" si="55"/>
        <v>0</v>
      </c>
    </row>
    <row r="462" spans="1:50" ht="15" customHeight="1" x14ac:dyDescent="0.35">
      <c r="A462" s="102">
        <v>456</v>
      </c>
      <c r="B462" s="102" t="s">
        <v>1326</v>
      </c>
      <c r="C462" s="103">
        <v>90</v>
      </c>
      <c r="D462" s="102" t="s">
        <v>185</v>
      </c>
      <c r="E462" s="102" t="s">
        <v>587</v>
      </c>
      <c r="F462" s="102" t="s">
        <v>1327</v>
      </c>
      <c r="G462" s="102" t="s">
        <v>1328</v>
      </c>
      <c r="H462" s="102" t="s">
        <v>1329</v>
      </c>
      <c r="I462" s="102" t="s">
        <v>63</v>
      </c>
      <c r="J462" s="102" t="s">
        <v>1562</v>
      </c>
      <c r="K462" s="102" t="s">
        <v>591</v>
      </c>
      <c r="L462" s="104">
        <v>41122</v>
      </c>
      <c r="M462" s="102" t="s">
        <v>1563</v>
      </c>
      <c r="N462" s="102" t="s">
        <v>1564</v>
      </c>
      <c r="O462" s="102" t="s">
        <v>383</v>
      </c>
      <c r="P462" s="103">
        <v>1</v>
      </c>
      <c r="Q462" s="105">
        <v>11368161</v>
      </c>
      <c r="R462" s="103">
        <v>48</v>
      </c>
      <c r="S462" s="105">
        <v>0</v>
      </c>
      <c r="T462" s="105">
        <v>11368161</v>
      </c>
      <c r="U462" s="105">
        <v>0</v>
      </c>
      <c r="V462" s="105">
        <v>0</v>
      </c>
      <c r="W462" s="105">
        <v>0</v>
      </c>
      <c r="X462" s="105">
        <v>0</v>
      </c>
      <c r="Y462" s="105">
        <v>0</v>
      </c>
      <c r="Z462" s="105">
        <v>0</v>
      </c>
      <c r="AA462" s="105">
        <v>0</v>
      </c>
      <c r="AB462" s="105">
        <v>0</v>
      </c>
      <c r="AC462" s="8">
        <f t="shared" si="49"/>
        <v>11368161</v>
      </c>
      <c r="AD462" s="8">
        <f t="shared" si="50"/>
        <v>0</v>
      </c>
      <c r="AE462" s="8">
        <f t="shared" si="51"/>
        <v>0</v>
      </c>
      <c r="AF462" s="106">
        <f t="shared" si="52"/>
        <v>0</v>
      </c>
      <c r="AG462" s="8">
        <f t="shared" si="53"/>
        <v>0</v>
      </c>
      <c r="AH462" s="8">
        <f>IF($O462="Aktif",MAX(0,MIN($AE462,$AD462-SUM($AG462:AG462))),0)</f>
        <v>0</v>
      </c>
      <c r="AI462" s="8">
        <f>IF($O462="Aktif",MAX(0,MIN($AE462,$AD462-SUM($AG462:AH462))),0)</f>
        <v>0</v>
      </c>
      <c r="AJ462" s="8">
        <f>IF($O462="Aktif",MAX(0,MIN($AE462,$AD462-SUM($AG462:AI462))),0)</f>
        <v>0</v>
      </c>
      <c r="AK462" s="8">
        <f>IF($O462="Aktif",MAX(0,MIN($AE462,$AD462-SUM($AG462:AJ462))),0)</f>
        <v>0</v>
      </c>
      <c r="AL462" s="8">
        <f>IF($O462="Aktif",MAX(0,MIN($AE462,$AD462-SUM($AG462:AK462))),0)</f>
        <v>0</v>
      </c>
      <c r="AM462" s="8">
        <f>IF($O462="Aktif",MAX(0,MIN($AE462,$AD462-SUM($AG462:AL462))),0)</f>
        <v>0</v>
      </c>
      <c r="AN462" s="8">
        <f>IF($O462="Aktif",MAX(0,MIN($AE462,$AD462-SUM($AG462:AM462))),0)</f>
        <v>0</v>
      </c>
      <c r="AO462" s="8">
        <f>IF($O462="Aktif",MAX(0,MIN($AE462,$AD462-SUM($AG462:AN462))),0)</f>
        <v>0</v>
      </c>
      <c r="AP462" s="8">
        <f>IF($O462="Aktif",MAX(0,MIN($AE462,$AD462-SUM($AG462:AO462))),0)</f>
        <v>0</v>
      </c>
      <c r="AQ462" s="8">
        <f>IF($O462="Aktif",MAX(0,MIN($AE462,$AD462-SUM($AG462:AP462))),0)</f>
        <v>0</v>
      </c>
      <c r="AR462" s="8">
        <f>IF($O462="Aktif",MAX(0,MIN($AE462,$AD462-SUM($AG462:AQ462))),0)</f>
        <v>0</v>
      </c>
      <c r="AS462" s="8">
        <f>IF($O462="Aktif",MAX(0,MIN($AE462,$AD462-SUM($AG462:AR462))),0)</f>
        <v>0</v>
      </c>
      <c r="AT462" s="8">
        <f>IF($O462="Aktif",MAX(0,MIN($AE462,$AD462-SUM($AG462:AS462))),0)</f>
        <v>0</v>
      </c>
      <c r="AU462" s="8">
        <f>IF($O462="Aktif",MAX(0,MIN($AE462,$AD462-SUM($AG462:AT462))),0)</f>
        <v>0</v>
      </c>
      <c r="AV462" s="8">
        <f>IF($O462="Aktif",MAX(0,MIN($AE462,$AD462-SUM($AG462:AU462))),0)</f>
        <v>0</v>
      </c>
      <c r="AW462" s="8">
        <f t="shared" si="54"/>
        <v>0</v>
      </c>
      <c r="AX462" s="8">
        <f t="shared" si="55"/>
        <v>0</v>
      </c>
    </row>
    <row r="463" spans="1:50" ht="15" customHeight="1" x14ac:dyDescent="0.35">
      <c r="A463" s="102">
        <v>457</v>
      </c>
      <c r="B463" s="102" t="s">
        <v>1326</v>
      </c>
      <c r="C463" s="103">
        <v>91</v>
      </c>
      <c r="D463" s="102" t="s">
        <v>185</v>
      </c>
      <c r="E463" s="102" t="s">
        <v>587</v>
      </c>
      <c r="F463" s="102" t="s">
        <v>1327</v>
      </c>
      <c r="G463" s="102" t="s">
        <v>1328</v>
      </c>
      <c r="H463" s="102" t="s">
        <v>1329</v>
      </c>
      <c r="I463" s="102" t="s">
        <v>63</v>
      </c>
      <c r="J463" s="102" t="s">
        <v>1565</v>
      </c>
      <c r="K463" s="102" t="s">
        <v>591</v>
      </c>
      <c r="L463" s="104">
        <v>41122</v>
      </c>
      <c r="M463" s="102" t="s">
        <v>1566</v>
      </c>
      <c r="N463" s="102" t="s">
        <v>1567</v>
      </c>
      <c r="O463" s="102" t="s">
        <v>383</v>
      </c>
      <c r="P463" s="103">
        <v>1</v>
      </c>
      <c r="Q463" s="105">
        <v>1700000</v>
      </c>
      <c r="R463" s="103">
        <v>48</v>
      </c>
      <c r="S463" s="105">
        <v>0</v>
      </c>
      <c r="T463" s="105">
        <v>1700000</v>
      </c>
      <c r="U463" s="105">
        <v>0</v>
      </c>
      <c r="V463" s="105">
        <v>0</v>
      </c>
      <c r="W463" s="105">
        <v>0</v>
      </c>
      <c r="X463" s="105">
        <v>0</v>
      </c>
      <c r="Y463" s="105">
        <v>0</v>
      </c>
      <c r="Z463" s="105">
        <v>0</v>
      </c>
      <c r="AA463" s="105">
        <v>0</v>
      </c>
      <c r="AB463" s="105">
        <v>0</v>
      </c>
      <c r="AC463" s="8">
        <f t="shared" si="49"/>
        <v>1700000</v>
      </c>
      <c r="AD463" s="8">
        <f t="shared" si="50"/>
        <v>0</v>
      </c>
      <c r="AE463" s="8">
        <f t="shared" si="51"/>
        <v>0</v>
      </c>
      <c r="AF463" s="106">
        <f t="shared" si="52"/>
        <v>0</v>
      </c>
      <c r="AG463" s="8">
        <f t="shared" si="53"/>
        <v>0</v>
      </c>
      <c r="AH463" s="8">
        <f>IF($O463="Aktif",MAX(0,MIN($AE463,$AD463-SUM($AG463:AG463))),0)</f>
        <v>0</v>
      </c>
      <c r="AI463" s="8">
        <f>IF($O463="Aktif",MAX(0,MIN($AE463,$AD463-SUM($AG463:AH463))),0)</f>
        <v>0</v>
      </c>
      <c r="AJ463" s="8">
        <f>IF($O463="Aktif",MAX(0,MIN($AE463,$AD463-SUM($AG463:AI463))),0)</f>
        <v>0</v>
      </c>
      <c r="AK463" s="8">
        <f>IF($O463="Aktif",MAX(0,MIN($AE463,$AD463-SUM($AG463:AJ463))),0)</f>
        <v>0</v>
      </c>
      <c r="AL463" s="8">
        <f>IF($O463="Aktif",MAX(0,MIN($AE463,$AD463-SUM($AG463:AK463))),0)</f>
        <v>0</v>
      </c>
      <c r="AM463" s="8">
        <f>IF($O463="Aktif",MAX(0,MIN($AE463,$AD463-SUM($AG463:AL463))),0)</f>
        <v>0</v>
      </c>
      <c r="AN463" s="8">
        <f>IF($O463="Aktif",MAX(0,MIN($AE463,$AD463-SUM($AG463:AM463))),0)</f>
        <v>0</v>
      </c>
      <c r="AO463" s="8">
        <f>IF($O463="Aktif",MAX(0,MIN($AE463,$AD463-SUM($AG463:AN463))),0)</f>
        <v>0</v>
      </c>
      <c r="AP463" s="8">
        <f>IF($O463="Aktif",MAX(0,MIN($AE463,$AD463-SUM($AG463:AO463))),0)</f>
        <v>0</v>
      </c>
      <c r="AQ463" s="8">
        <f>IF($O463="Aktif",MAX(0,MIN($AE463,$AD463-SUM($AG463:AP463))),0)</f>
        <v>0</v>
      </c>
      <c r="AR463" s="8">
        <f>IF($O463="Aktif",MAX(0,MIN($AE463,$AD463-SUM($AG463:AQ463))),0)</f>
        <v>0</v>
      </c>
      <c r="AS463" s="8">
        <f>IF($O463="Aktif",MAX(0,MIN($AE463,$AD463-SUM($AG463:AR463))),0)</f>
        <v>0</v>
      </c>
      <c r="AT463" s="8">
        <f>IF($O463="Aktif",MAX(0,MIN($AE463,$AD463-SUM($AG463:AS463))),0)</f>
        <v>0</v>
      </c>
      <c r="AU463" s="8">
        <f>IF($O463="Aktif",MAX(0,MIN($AE463,$AD463-SUM($AG463:AT463))),0)</f>
        <v>0</v>
      </c>
      <c r="AV463" s="8">
        <f>IF($O463="Aktif",MAX(0,MIN($AE463,$AD463-SUM($AG463:AU463))),0)</f>
        <v>0</v>
      </c>
      <c r="AW463" s="8">
        <f t="shared" si="54"/>
        <v>0</v>
      </c>
      <c r="AX463" s="8">
        <f t="shared" si="55"/>
        <v>0</v>
      </c>
    </row>
    <row r="464" spans="1:50" ht="15" customHeight="1" x14ac:dyDescent="0.35">
      <c r="A464" s="102">
        <v>458</v>
      </c>
      <c r="B464" s="102" t="s">
        <v>1326</v>
      </c>
      <c r="C464" s="103">
        <v>92</v>
      </c>
      <c r="D464" s="102" t="s">
        <v>185</v>
      </c>
      <c r="E464" s="102" t="s">
        <v>587</v>
      </c>
      <c r="F464" s="102" t="s">
        <v>1327</v>
      </c>
      <c r="G464" s="102" t="s">
        <v>1328</v>
      </c>
      <c r="H464" s="102" t="s">
        <v>1329</v>
      </c>
      <c r="I464" s="102" t="s">
        <v>63</v>
      </c>
      <c r="J464" s="102" t="s">
        <v>1568</v>
      </c>
      <c r="K464" s="102" t="s">
        <v>591</v>
      </c>
      <c r="L464" s="104">
        <v>41122</v>
      </c>
      <c r="M464" s="102" t="s">
        <v>1569</v>
      </c>
      <c r="N464" s="102" t="s">
        <v>1570</v>
      </c>
      <c r="O464" s="102" t="s">
        <v>383</v>
      </c>
      <c r="P464" s="103">
        <v>1</v>
      </c>
      <c r="Q464" s="105">
        <v>13640000</v>
      </c>
      <c r="R464" s="103">
        <v>48</v>
      </c>
      <c r="S464" s="105">
        <v>0</v>
      </c>
      <c r="T464" s="105">
        <v>13640000</v>
      </c>
      <c r="U464" s="105">
        <v>0</v>
      </c>
      <c r="V464" s="105">
        <v>0</v>
      </c>
      <c r="W464" s="105">
        <v>0</v>
      </c>
      <c r="X464" s="105">
        <v>0</v>
      </c>
      <c r="Y464" s="105">
        <v>0</v>
      </c>
      <c r="Z464" s="105">
        <v>0</v>
      </c>
      <c r="AA464" s="105">
        <v>0</v>
      </c>
      <c r="AB464" s="105">
        <v>0</v>
      </c>
      <c r="AC464" s="8">
        <f t="shared" si="49"/>
        <v>13640000</v>
      </c>
      <c r="AD464" s="8">
        <f t="shared" si="50"/>
        <v>0</v>
      </c>
      <c r="AE464" s="8">
        <f t="shared" si="51"/>
        <v>0</v>
      </c>
      <c r="AF464" s="106">
        <f t="shared" si="52"/>
        <v>0</v>
      </c>
      <c r="AG464" s="8">
        <f t="shared" si="53"/>
        <v>0</v>
      </c>
      <c r="AH464" s="8">
        <f>IF($O464="Aktif",MAX(0,MIN($AE464,$AD464-SUM($AG464:AG464))),0)</f>
        <v>0</v>
      </c>
      <c r="AI464" s="8">
        <f>IF($O464="Aktif",MAX(0,MIN($AE464,$AD464-SUM($AG464:AH464))),0)</f>
        <v>0</v>
      </c>
      <c r="AJ464" s="8">
        <f>IF($O464="Aktif",MAX(0,MIN($AE464,$AD464-SUM($AG464:AI464))),0)</f>
        <v>0</v>
      </c>
      <c r="AK464" s="8">
        <f>IF($O464="Aktif",MAX(0,MIN($AE464,$AD464-SUM($AG464:AJ464))),0)</f>
        <v>0</v>
      </c>
      <c r="AL464" s="8">
        <f>IF($O464="Aktif",MAX(0,MIN($AE464,$AD464-SUM($AG464:AK464))),0)</f>
        <v>0</v>
      </c>
      <c r="AM464" s="8">
        <f>IF($O464="Aktif",MAX(0,MIN($AE464,$AD464-SUM($AG464:AL464))),0)</f>
        <v>0</v>
      </c>
      <c r="AN464" s="8">
        <f>IF($O464="Aktif",MAX(0,MIN($AE464,$AD464-SUM($AG464:AM464))),0)</f>
        <v>0</v>
      </c>
      <c r="AO464" s="8">
        <f>IF($O464="Aktif",MAX(0,MIN($AE464,$AD464-SUM($AG464:AN464))),0)</f>
        <v>0</v>
      </c>
      <c r="AP464" s="8">
        <f>IF($O464="Aktif",MAX(0,MIN($AE464,$AD464-SUM($AG464:AO464))),0)</f>
        <v>0</v>
      </c>
      <c r="AQ464" s="8">
        <f>IF($O464="Aktif",MAX(0,MIN($AE464,$AD464-SUM($AG464:AP464))),0)</f>
        <v>0</v>
      </c>
      <c r="AR464" s="8">
        <f>IF($O464="Aktif",MAX(0,MIN($AE464,$AD464-SUM($AG464:AQ464))),0)</f>
        <v>0</v>
      </c>
      <c r="AS464" s="8">
        <f>IF($O464="Aktif",MAX(0,MIN($AE464,$AD464-SUM($AG464:AR464))),0)</f>
        <v>0</v>
      </c>
      <c r="AT464" s="8">
        <f>IF($O464="Aktif",MAX(0,MIN($AE464,$AD464-SUM($AG464:AS464))),0)</f>
        <v>0</v>
      </c>
      <c r="AU464" s="8">
        <f>IF($O464="Aktif",MAX(0,MIN($AE464,$AD464-SUM($AG464:AT464))),0)</f>
        <v>0</v>
      </c>
      <c r="AV464" s="8">
        <f>IF($O464="Aktif",MAX(0,MIN($AE464,$AD464-SUM($AG464:AU464))),0)</f>
        <v>0</v>
      </c>
      <c r="AW464" s="8">
        <f t="shared" si="54"/>
        <v>0</v>
      </c>
      <c r="AX464" s="8">
        <f t="shared" si="55"/>
        <v>0</v>
      </c>
    </row>
    <row r="465" spans="1:50" ht="15" customHeight="1" x14ac:dyDescent="0.35">
      <c r="A465" s="102">
        <v>459</v>
      </c>
      <c r="B465" s="102" t="s">
        <v>1326</v>
      </c>
      <c r="C465" s="103">
        <v>93</v>
      </c>
      <c r="D465" s="102" t="s">
        <v>185</v>
      </c>
      <c r="E465" s="102" t="s">
        <v>587</v>
      </c>
      <c r="F465" s="102" t="s">
        <v>1327</v>
      </c>
      <c r="G465" s="102" t="s">
        <v>1328</v>
      </c>
      <c r="H465" s="102" t="s">
        <v>1329</v>
      </c>
      <c r="I465" s="102" t="s">
        <v>63</v>
      </c>
      <c r="J465" s="102" t="s">
        <v>1571</v>
      </c>
      <c r="K465" s="102" t="s">
        <v>591</v>
      </c>
      <c r="L465" s="104">
        <v>41213</v>
      </c>
      <c r="M465" s="102" t="s">
        <v>1572</v>
      </c>
      <c r="N465" s="102" t="s">
        <v>1573</v>
      </c>
      <c r="O465" s="102" t="s">
        <v>383</v>
      </c>
      <c r="P465" s="103">
        <v>1</v>
      </c>
      <c r="Q465" s="105">
        <v>3850000</v>
      </c>
      <c r="R465" s="103">
        <v>48</v>
      </c>
      <c r="S465" s="105">
        <v>0</v>
      </c>
      <c r="T465" s="105">
        <v>3850000</v>
      </c>
      <c r="U465" s="105">
        <v>0</v>
      </c>
      <c r="V465" s="105">
        <v>0</v>
      </c>
      <c r="W465" s="105">
        <v>0</v>
      </c>
      <c r="X465" s="105">
        <v>0</v>
      </c>
      <c r="Y465" s="105">
        <v>0</v>
      </c>
      <c r="Z465" s="105">
        <v>0</v>
      </c>
      <c r="AA465" s="105">
        <v>0</v>
      </c>
      <c r="AB465" s="105">
        <v>0</v>
      </c>
      <c r="AC465" s="8">
        <f t="shared" si="49"/>
        <v>3850000</v>
      </c>
      <c r="AD465" s="8">
        <f t="shared" si="50"/>
        <v>0</v>
      </c>
      <c r="AE465" s="8">
        <f t="shared" si="51"/>
        <v>0</v>
      </c>
      <c r="AF465" s="106">
        <f t="shared" si="52"/>
        <v>0</v>
      </c>
      <c r="AG465" s="8">
        <f t="shared" si="53"/>
        <v>0</v>
      </c>
      <c r="AH465" s="8">
        <f>IF($O465="Aktif",MAX(0,MIN($AE465,$AD465-SUM($AG465:AG465))),0)</f>
        <v>0</v>
      </c>
      <c r="AI465" s="8">
        <f>IF($O465="Aktif",MAX(0,MIN($AE465,$AD465-SUM($AG465:AH465))),0)</f>
        <v>0</v>
      </c>
      <c r="AJ465" s="8">
        <f>IF($O465="Aktif",MAX(0,MIN($AE465,$AD465-SUM($AG465:AI465))),0)</f>
        <v>0</v>
      </c>
      <c r="AK465" s="8">
        <f>IF($O465="Aktif",MAX(0,MIN($AE465,$AD465-SUM($AG465:AJ465))),0)</f>
        <v>0</v>
      </c>
      <c r="AL465" s="8">
        <f>IF($O465="Aktif",MAX(0,MIN($AE465,$AD465-SUM($AG465:AK465))),0)</f>
        <v>0</v>
      </c>
      <c r="AM465" s="8">
        <f>IF($O465="Aktif",MAX(0,MIN($AE465,$AD465-SUM($AG465:AL465))),0)</f>
        <v>0</v>
      </c>
      <c r="AN465" s="8">
        <f>IF($O465="Aktif",MAX(0,MIN($AE465,$AD465-SUM($AG465:AM465))),0)</f>
        <v>0</v>
      </c>
      <c r="AO465" s="8">
        <f>IF($O465="Aktif",MAX(0,MIN($AE465,$AD465-SUM($AG465:AN465))),0)</f>
        <v>0</v>
      </c>
      <c r="AP465" s="8">
        <f>IF($O465="Aktif",MAX(0,MIN($AE465,$AD465-SUM($AG465:AO465))),0)</f>
        <v>0</v>
      </c>
      <c r="AQ465" s="8">
        <f>IF($O465="Aktif",MAX(0,MIN($AE465,$AD465-SUM($AG465:AP465))),0)</f>
        <v>0</v>
      </c>
      <c r="AR465" s="8">
        <f>IF($O465="Aktif",MAX(0,MIN($AE465,$AD465-SUM($AG465:AQ465))),0)</f>
        <v>0</v>
      </c>
      <c r="AS465" s="8">
        <f>IF($O465="Aktif",MAX(0,MIN($AE465,$AD465-SUM($AG465:AR465))),0)</f>
        <v>0</v>
      </c>
      <c r="AT465" s="8">
        <f>IF($O465="Aktif",MAX(0,MIN($AE465,$AD465-SUM($AG465:AS465))),0)</f>
        <v>0</v>
      </c>
      <c r="AU465" s="8">
        <f>IF($O465="Aktif",MAX(0,MIN($AE465,$AD465-SUM($AG465:AT465))),0)</f>
        <v>0</v>
      </c>
      <c r="AV465" s="8">
        <f>IF($O465="Aktif",MAX(0,MIN($AE465,$AD465-SUM($AG465:AU465))),0)</f>
        <v>0</v>
      </c>
      <c r="AW465" s="8">
        <f t="shared" si="54"/>
        <v>0</v>
      </c>
      <c r="AX465" s="8">
        <f t="shared" si="55"/>
        <v>0</v>
      </c>
    </row>
    <row r="466" spans="1:50" ht="15" customHeight="1" x14ac:dyDescent="0.35">
      <c r="A466" s="102">
        <v>460</v>
      </c>
      <c r="B466" s="102" t="s">
        <v>1326</v>
      </c>
      <c r="C466" s="103">
        <v>94</v>
      </c>
      <c r="D466" s="102" t="s">
        <v>185</v>
      </c>
      <c r="E466" s="102" t="s">
        <v>587</v>
      </c>
      <c r="F466" s="102" t="s">
        <v>1327</v>
      </c>
      <c r="G466" s="102" t="s">
        <v>1328</v>
      </c>
      <c r="H466" s="102" t="s">
        <v>1329</v>
      </c>
      <c r="I466" s="102" t="s">
        <v>63</v>
      </c>
      <c r="J466" s="102" t="s">
        <v>1574</v>
      </c>
      <c r="K466" s="102" t="s">
        <v>591</v>
      </c>
      <c r="L466" s="104">
        <v>41212</v>
      </c>
      <c r="M466" s="102" t="s">
        <v>1575</v>
      </c>
      <c r="N466" s="102" t="s">
        <v>1576</v>
      </c>
      <c r="O466" s="102" t="s">
        <v>383</v>
      </c>
      <c r="P466" s="103">
        <v>1</v>
      </c>
      <c r="Q466" s="105">
        <v>7200000</v>
      </c>
      <c r="R466" s="103">
        <v>48</v>
      </c>
      <c r="S466" s="105">
        <v>0</v>
      </c>
      <c r="T466" s="105">
        <v>7200000</v>
      </c>
      <c r="U466" s="105">
        <v>0</v>
      </c>
      <c r="V466" s="105">
        <v>0</v>
      </c>
      <c r="W466" s="105">
        <v>0</v>
      </c>
      <c r="X466" s="105">
        <v>0</v>
      </c>
      <c r="Y466" s="105">
        <v>0</v>
      </c>
      <c r="Z466" s="105">
        <v>0</v>
      </c>
      <c r="AA466" s="105">
        <v>0</v>
      </c>
      <c r="AB466" s="105">
        <v>0</v>
      </c>
      <c r="AC466" s="8">
        <f t="shared" si="49"/>
        <v>7200000</v>
      </c>
      <c r="AD466" s="8">
        <f t="shared" si="50"/>
        <v>0</v>
      </c>
      <c r="AE466" s="8">
        <f t="shared" si="51"/>
        <v>0</v>
      </c>
      <c r="AF466" s="106">
        <f t="shared" si="52"/>
        <v>0</v>
      </c>
      <c r="AG466" s="8">
        <f t="shared" si="53"/>
        <v>0</v>
      </c>
      <c r="AH466" s="8">
        <f>IF($O466="Aktif",MAX(0,MIN($AE466,$AD466-SUM($AG466:AG466))),0)</f>
        <v>0</v>
      </c>
      <c r="AI466" s="8">
        <f>IF($O466="Aktif",MAX(0,MIN($AE466,$AD466-SUM($AG466:AH466))),0)</f>
        <v>0</v>
      </c>
      <c r="AJ466" s="8">
        <f>IF($O466="Aktif",MAX(0,MIN($AE466,$AD466-SUM($AG466:AI466))),0)</f>
        <v>0</v>
      </c>
      <c r="AK466" s="8">
        <f>IF($O466="Aktif",MAX(0,MIN($AE466,$AD466-SUM($AG466:AJ466))),0)</f>
        <v>0</v>
      </c>
      <c r="AL466" s="8">
        <f>IF($O466="Aktif",MAX(0,MIN($AE466,$AD466-SUM($AG466:AK466))),0)</f>
        <v>0</v>
      </c>
      <c r="AM466" s="8">
        <f>IF($O466="Aktif",MAX(0,MIN($AE466,$AD466-SUM($AG466:AL466))),0)</f>
        <v>0</v>
      </c>
      <c r="AN466" s="8">
        <f>IF($O466="Aktif",MAX(0,MIN($AE466,$AD466-SUM($AG466:AM466))),0)</f>
        <v>0</v>
      </c>
      <c r="AO466" s="8">
        <f>IF($O466="Aktif",MAX(0,MIN($AE466,$AD466-SUM($AG466:AN466))),0)</f>
        <v>0</v>
      </c>
      <c r="AP466" s="8">
        <f>IF($O466="Aktif",MAX(0,MIN($AE466,$AD466-SUM($AG466:AO466))),0)</f>
        <v>0</v>
      </c>
      <c r="AQ466" s="8">
        <f>IF($O466="Aktif",MAX(0,MIN($AE466,$AD466-SUM($AG466:AP466))),0)</f>
        <v>0</v>
      </c>
      <c r="AR466" s="8">
        <f>IF($O466="Aktif",MAX(0,MIN($AE466,$AD466-SUM($AG466:AQ466))),0)</f>
        <v>0</v>
      </c>
      <c r="AS466" s="8">
        <f>IF($O466="Aktif",MAX(0,MIN($AE466,$AD466-SUM($AG466:AR466))),0)</f>
        <v>0</v>
      </c>
      <c r="AT466" s="8">
        <f>IF($O466="Aktif",MAX(0,MIN($AE466,$AD466-SUM($AG466:AS466))),0)</f>
        <v>0</v>
      </c>
      <c r="AU466" s="8">
        <f>IF($O466="Aktif",MAX(0,MIN($AE466,$AD466-SUM($AG466:AT466))),0)</f>
        <v>0</v>
      </c>
      <c r="AV466" s="8">
        <f>IF($O466="Aktif",MAX(0,MIN($AE466,$AD466-SUM($AG466:AU466))),0)</f>
        <v>0</v>
      </c>
      <c r="AW466" s="8">
        <f t="shared" si="54"/>
        <v>0</v>
      </c>
      <c r="AX466" s="8">
        <f t="shared" si="55"/>
        <v>0</v>
      </c>
    </row>
    <row r="467" spans="1:50" ht="15" customHeight="1" x14ac:dyDescent="0.35">
      <c r="A467" s="102">
        <v>461</v>
      </c>
      <c r="B467" s="102" t="s">
        <v>1326</v>
      </c>
      <c r="C467" s="103">
        <v>95</v>
      </c>
      <c r="D467" s="102" t="s">
        <v>185</v>
      </c>
      <c r="E467" s="102" t="s">
        <v>587</v>
      </c>
      <c r="F467" s="102" t="s">
        <v>1327</v>
      </c>
      <c r="G467" s="102" t="s">
        <v>1328</v>
      </c>
      <c r="H467" s="102" t="s">
        <v>1329</v>
      </c>
      <c r="I467" s="102" t="s">
        <v>63</v>
      </c>
      <c r="J467" s="102" t="s">
        <v>1577</v>
      </c>
      <c r="K467" s="102" t="s">
        <v>591</v>
      </c>
      <c r="L467" s="104">
        <v>41222</v>
      </c>
      <c r="M467" s="102" t="s">
        <v>1578</v>
      </c>
      <c r="N467" s="102" t="s">
        <v>1579</v>
      </c>
      <c r="O467" s="102" t="s">
        <v>383</v>
      </c>
      <c r="P467" s="103">
        <v>1</v>
      </c>
      <c r="Q467" s="105">
        <v>6750000</v>
      </c>
      <c r="R467" s="103">
        <v>48</v>
      </c>
      <c r="S467" s="105">
        <v>0</v>
      </c>
      <c r="T467" s="105">
        <v>6750000</v>
      </c>
      <c r="U467" s="105">
        <v>0</v>
      </c>
      <c r="V467" s="105">
        <v>0</v>
      </c>
      <c r="W467" s="105">
        <v>0</v>
      </c>
      <c r="X467" s="105">
        <v>0</v>
      </c>
      <c r="Y467" s="105">
        <v>0</v>
      </c>
      <c r="Z467" s="105">
        <v>0</v>
      </c>
      <c r="AA467" s="105">
        <v>0</v>
      </c>
      <c r="AB467" s="105">
        <v>0</v>
      </c>
      <c r="AC467" s="8">
        <f t="shared" si="49"/>
        <v>6750000</v>
      </c>
      <c r="AD467" s="8">
        <f t="shared" si="50"/>
        <v>0</v>
      </c>
      <c r="AE467" s="8">
        <f t="shared" si="51"/>
        <v>0</v>
      </c>
      <c r="AF467" s="106">
        <f t="shared" si="52"/>
        <v>0</v>
      </c>
      <c r="AG467" s="8">
        <f t="shared" si="53"/>
        <v>0</v>
      </c>
      <c r="AH467" s="8">
        <f>IF($O467="Aktif",MAX(0,MIN($AE467,$AD467-SUM($AG467:AG467))),0)</f>
        <v>0</v>
      </c>
      <c r="AI467" s="8">
        <f>IF($O467="Aktif",MAX(0,MIN($AE467,$AD467-SUM($AG467:AH467))),0)</f>
        <v>0</v>
      </c>
      <c r="AJ467" s="8">
        <f>IF($O467="Aktif",MAX(0,MIN($AE467,$AD467-SUM($AG467:AI467))),0)</f>
        <v>0</v>
      </c>
      <c r="AK467" s="8">
        <f>IF($O467="Aktif",MAX(0,MIN($AE467,$AD467-SUM($AG467:AJ467))),0)</f>
        <v>0</v>
      </c>
      <c r="AL467" s="8">
        <f>IF($O467="Aktif",MAX(0,MIN($AE467,$AD467-SUM($AG467:AK467))),0)</f>
        <v>0</v>
      </c>
      <c r="AM467" s="8">
        <f>IF($O467="Aktif",MAX(0,MIN($AE467,$AD467-SUM($AG467:AL467))),0)</f>
        <v>0</v>
      </c>
      <c r="AN467" s="8">
        <f>IF($O467="Aktif",MAX(0,MIN($AE467,$AD467-SUM($AG467:AM467))),0)</f>
        <v>0</v>
      </c>
      <c r="AO467" s="8">
        <f>IF($O467="Aktif",MAX(0,MIN($AE467,$AD467-SUM($AG467:AN467))),0)</f>
        <v>0</v>
      </c>
      <c r="AP467" s="8">
        <f>IF($O467="Aktif",MAX(0,MIN($AE467,$AD467-SUM($AG467:AO467))),0)</f>
        <v>0</v>
      </c>
      <c r="AQ467" s="8">
        <f>IF($O467="Aktif",MAX(0,MIN($AE467,$AD467-SUM($AG467:AP467))),0)</f>
        <v>0</v>
      </c>
      <c r="AR467" s="8">
        <f>IF($O467="Aktif",MAX(0,MIN($AE467,$AD467-SUM($AG467:AQ467))),0)</f>
        <v>0</v>
      </c>
      <c r="AS467" s="8">
        <f>IF($O467="Aktif",MAX(0,MIN($AE467,$AD467-SUM($AG467:AR467))),0)</f>
        <v>0</v>
      </c>
      <c r="AT467" s="8">
        <f>IF($O467="Aktif",MAX(0,MIN($AE467,$AD467-SUM($AG467:AS467))),0)</f>
        <v>0</v>
      </c>
      <c r="AU467" s="8">
        <f>IF($O467="Aktif",MAX(0,MIN($AE467,$AD467-SUM($AG467:AT467))),0)</f>
        <v>0</v>
      </c>
      <c r="AV467" s="8">
        <f>IF($O467="Aktif",MAX(0,MIN($AE467,$AD467-SUM($AG467:AU467))),0)</f>
        <v>0</v>
      </c>
      <c r="AW467" s="8">
        <f t="shared" si="54"/>
        <v>0</v>
      </c>
      <c r="AX467" s="8">
        <f t="shared" si="55"/>
        <v>0</v>
      </c>
    </row>
    <row r="468" spans="1:50" ht="15" customHeight="1" x14ac:dyDescent="0.35">
      <c r="A468" s="102">
        <v>462</v>
      </c>
      <c r="B468" s="102" t="s">
        <v>1326</v>
      </c>
      <c r="C468" s="103">
        <v>96</v>
      </c>
      <c r="D468" s="102" t="s">
        <v>185</v>
      </c>
      <c r="E468" s="102" t="s">
        <v>587</v>
      </c>
      <c r="F468" s="102" t="s">
        <v>1327</v>
      </c>
      <c r="G468" s="102" t="s">
        <v>1328</v>
      </c>
      <c r="H468" s="102" t="s">
        <v>1329</v>
      </c>
      <c r="I468" s="102" t="s">
        <v>63</v>
      </c>
      <c r="J468" s="102" t="s">
        <v>1580</v>
      </c>
      <c r="K468" s="102" t="s">
        <v>591</v>
      </c>
      <c r="L468" s="104">
        <v>41278</v>
      </c>
      <c r="M468" s="102" t="s">
        <v>1581</v>
      </c>
      <c r="N468" s="102" t="s">
        <v>1582</v>
      </c>
      <c r="O468" s="102" t="s">
        <v>383</v>
      </c>
      <c r="P468" s="103">
        <v>1</v>
      </c>
      <c r="Q468" s="105">
        <v>2400000</v>
      </c>
      <c r="R468" s="103">
        <v>48</v>
      </c>
      <c r="S468" s="105">
        <v>0</v>
      </c>
      <c r="T468" s="105">
        <v>2400000</v>
      </c>
      <c r="U468" s="105">
        <v>0</v>
      </c>
      <c r="V468" s="105">
        <v>0</v>
      </c>
      <c r="W468" s="105">
        <v>0</v>
      </c>
      <c r="X468" s="105">
        <v>0</v>
      </c>
      <c r="Y468" s="105">
        <v>0</v>
      </c>
      <c r="Z468" s="105">
        <v>0</v>
      </c>
      <c r="AA468" s="105">
        <v>0</v>
      </c>
      <c r="AB468" s="105">
        <v>0</v>
      </c>
      <c r="AC468" s="8">
        <f t="shared" si="49"/>
        <v>2400000</v>
      </c>
      <c r="AD468" s="8">
        <f t="shared" si="50"/>
        <v>0</v>
      </c>
      <c r="AE468" s="8">
        <f t="shared" si="51"/>
        <v>0</v>
      </c>
      <c r="AF468" s="106">
        <f t="shared" si="52"/>
        <v>0</v>
      </c>
      <c r="AG468" s="8">
        <f t="shared" si="53"/>
        <v>0</v>
      </c>
      <c r="AH468" s="8">
        <f>IF($O468="Aktif",MAX(0,MIN($AE468,$AD468-SUM($AG468:AG468))),0)</f>
        <v>0</v>
      </c>
      <c r="AI468" s="8">
        <f>IF($O468="Aktif",MAX(0,MIN($AE468,$AD468-SUM($AG468:AH468))),0)</f>
        <v>0</v>
      </c>
      <c r="AJ468" s="8">
        <f>IF($O468="Aktif",MAX(0,MIN($AE468,$AD468-SUM($AG468:AI468))),0)</f>
        <v>0</v>
      </c>
      <c r="AK468" s="8">
        <f>IF($O468="Aktif",MAX(0,MIN($AE468,$AD468-SUM($AG468:AJ468))),0)</f>
        <v>0</v>
      </c>
      <c r="AL468" s="8">
        <f>IF($O468="Aktif",MAX(0,MIN($AE468,$AD468-SUM($AG468:AK468))),0)</f>
        <v>0</v>
      </c>
      <c r="AM468" s="8">
        <f>IF($O468="Aktif",MAX(0,MIN($AE468,$AD468-SUM($AG468:AL468))),0)</f>
        <v>0</v>
      </c>
      <c r="AN468" s="8">
        <f>IF($O468="Aktif",MAX(0,MIN($AE468,$AD468-SUM($AG468:AM468))),0)</f>
        <v>0</v>
      </c>
      <c r="AO468" s="8">
        <f>IF($O468="Aktif",MAX(0,MIN($AE468,$AD468-SUM($AG468:AN468))),0)</f>
        <v>0</v>
      </c>
      <c r="AP468" s="8">
        <f>IF($O468="Aktif",MAX(0,MIN($AE468,$AD468-SUM($AG468:AO468))),0)</f>
        <v>0</v>
      </c>
      <c r="AQ468" s="8">
        <f>IF($O468="Aktif",MAX(0,MIN($AE468,$AD468-SUM($AG468:AP468))),0)</f>
        <v>0</v>
      </c>
      <c r="AR468" s="8">
        <f>IF($O468="Aktif",MAX(0,MIN($AE468,$AD468-SUM($AG468:AQ468))),0)</f>
        <v>0</v>
      </c>
      <c r="AS468" s="8">
        <f>IF($O468="Aktif",MAX(0,MIN($AE468,$AD468-SUM($AG468:AR468))),0)</f>
        <v>0</v>
      </c>
      <c r="AT468" s="8">
        <f>IF($O468="Aktif",MAX(0,MIN($AE468,$AD468-SUM($AG468:AS468))),0)</f>
        <v>0</v>
      </c>
      <c r="AU468" s="8">
        <f>IF($O468="Aktif",MAX(0,MIN($AE468,$AD468-SUM($AG468:AT468))),0)</f>
        <v>0</v>
      </c>
      <c r="AV468" s="8">
        <f>IF($O468="Aktif",MAX(0,MIN($AE468,$AD468-SUM($AG468:AU468))),0)</f>
        <v>0</v>
      </c>
      <c r="AW468" s="8">
        <f t="shared" si="54"/>
        <v>0</v>
      </c>
      <c r="AX468" s="8">
        <f t="shared" si="55"/>
        <v>0</v>
      </c>
    </row>
    <row r="469" spans="1:50" ht="15" customHeight="1" x14ac:dyDescent="0.35">
      <c r="A469" s="102">
        <v>463</v>
      </c>
      <c r="B469" s="102" t="s">
        <v>1326</v>
      </c>
      <c r="C469" s="103">
        <v>97</v>
      </c>
      <c r="D469" s="102" t="s">
        <v>185</v>
      </c>
      <c r="E469" s="102" t="s">
        <v>587</v>
      </c>
      <c r="F469" s="102" t="s">
        <v>1327</v>
      </c>
      <c r="G469" s="102" t="s">
        <v>1328</v>
      </c>
      <c r="H469" s="102" t="s">
        <v>1329</v>
      </c>
      <c r="I469" s="102" t="s">
        <v>63</v>
      </c>
      <c r="J469" s="102" t="s">
        <v>1583</v>
      </c>
      <c r="K469" s="102" t="s">
        <v>591</v>
      </c>
      <c r="L469" s="104">
        <v>41306</v>
      </c>
      <c r="M469" s="102" t="s">
        <v>1584</v>
      </c>
      <c r="N469" s="102" t="s">
        <v>1585</v>
      </c>
      <c r="O469" s="102" t="s">
        <v>383</v>
      </c>
      <c r="P469" s="103">
        <v>1</v>
      </c>
      <c r="Q469" s="105">
        <v>450000000</v>
      </c>
      <c r="R469" s="103">
        <v>48</v>
      </c>
      <c r="S469" s="105">
        <v>0</v>
      </c>
      <c r="T469" s="105">
        <v>450000000</v>
      </c>
      <c r="U469" s="105">
        <v>0</v>
      </c>
      <c r="V469" s="105">
        <v>0</v>
      </c>
      <c r="W469" s="105">
        <v>0</v>
      </c>
      <c r="X469" s="105">
        <v>0</v>
      </c>
      <c r="Y469" s="105">
        <v>0</v>
      </c>
      <c r="Z469" s="105">
        <v>0</v>
      </c>
      <c r="AA469" s="105">
        <v>0</v>
      </c>
      <c r="AB469" s="105">
        <v>0</v>
      </c>
      <c r="AC469" s="8">
        <f t="shared" si="49"/>
        <v>450000000</v>
      </c>
      <c r="AD469" s="8">
        <f t="shared" si="50"/>
        <v>0</v>
      </c>
      <c r="AE469" s="8">
        <f t="shared" si="51"/>
        <v>0</v>
      </c>
      <c r="AF469" s="106">
        <f t="shared" si="52"/>
        <v>0</v>
      </c>
      <c r="AG469" s="8">
        <f t="shared" si="53"/>
        <v>0</v>
      </c>
      <c r="AH469" s="8">
        <f>IF($O469="Aktif",MAX(0,MIN($AE469,$AD469-SUM($AG469:AG469))),0)</f>
        <v>0</v>
      </c>
      <c r="AI469" s="8">
        <f>IF($O469="Aktif",MAX(0,MIN($AE469,$AD469-SUM($AG469:AH469))),0)</f>
        <v>0</v>
      </c>
      <c r="AJ469" s="8">
        <f>IF($O469="Aktif",MAX(0,MIN($AE469,$AD469-SUM($AG469:AI469))),0)</f>
        <v>0</v>
      </c>
      <c r="AK469" s="8">
        <f>IF($O469="Aktif",MAX(0,MIN($AE469,$AD469-SUM($AG469:AJ469))),0)</f>
        <v>0</v>
      </c>
      <c r="AL469" s="8">
        <f>IF($O469="Aktif",MAX(0,MIN($AE469,$AD469-SUM($AG469:AK469))),0)</f>
        <v>0</v>
      </c>
      <c r="AM469" s="8">
        <f>IF($O469="Aktif",MAX(0,MIN($AE469,$AD469-SUM($AG469:AL469))),0)</f>
        <v>0</v>
      </c>
      <c r="AN469" s="8">
        <f>IF($O469="Aktif",MAX(0,MIN($AE469,$AD469-SUM($AG469:AM469))),0)</f>
        <v>0</v>
      </c>
      <c r="AO469" s="8">
        <f>IF($O469="Aktif",MAX(0,MIN($AE469,$AD469-SUM($AG469:AN469))),0)</f>
        <v>0</v>
      </c>
      <c r="AP469" s="8">
        <f>IF($O469="Aktif",MAX(0,MIN($AE469,$AD469-SUM($AG469:AO469))),0)</f>
        <v>0</v>
      </c>
      <c r="AQ469" s="8">
        <f>IF($O469="Aktif",MAX(0,MIN($AE469,$AD469-SUM($AG469:AP469))),0)</f>
        <v>0</v>
      </c>
      <c r="AR469" s="8">
        <f>IF($O469="Aktif",MAX(0,MIN($AE469,$AD469-SUM($AG469:AQ469))),0)</f>
        <v>0</v>
      </c>
      <c r="AS469" s="8">
        <f>IF($O469="Aktif",MAX(0,MIN($AE469,$AD469-SUM($AG469:AR469))),0)</f>
        <v>0</v>
      </c>
      <c r="AT469" s="8">
        <f>IF($O469="Aktif",MAX(0,MIN($AE469,$AD469-SUM($AG469:AS469))),0)</f>
        <v>0</v>
      </c>
      <c r="AU469" s="8">
        <f>IF($O469="Aktif",MAX(0,MIN($AE469,$AD469-SUM($AG469:AT469))),0)</f>
        <v>0</v>
      </c>
      <c r="AV469" s="8">
        <f>IF($O469="Aktif",MAX(0,MIN($AE469,$AD469-SUM($AG469:AU469))),0)</f>
        <v>0</v>
      </c>
      <c r="AW469" s="8">
        <f t="shared" si="54"/>
        <v>0</v>
      </c>
      <c r="AX469" s="8">
        <f t="shared" si="55"/>
        <v>0</v>
      </c>
    </row>
    <row r="470" spans="1:50" ht="15" customHeight="1" x14ac:dyDescent="0.35">
      <c r="A470" s="102">
        <v>464</v>
      </c>
      <c r="B470" s="102" t="s">
        <v>1326</v>
      </c>
      <c r="C470" s="103">
        <v>98</v>
      </c>
      <c r="D470" s="102" t="s">
        <v>185</v>
      </c>
      <c r="E470" s="102" t="s">
        <v>587</v>
      </c>
      <c r="F470" s="102" t="s">
        <v>1327</v>
      </c>
      <c r="G470" s="102" t="s">
        <v>1328</v>
      </c>
      <c r="H470" s="102" t="s">
        <v>1329</v>
      </c>
      <c r="I470" s="102" t="s">
        <v>63</v>
      </c>
      <c r="J470" s="102" t="s">
        <v>1586</v>
      </c>
      <c r="K470" s="102" t="s">
        <v>591</v>
      </c>
      <c r="L470" s="104">
        <v>41369</v>
      </c>
      <c r="M470" s="102" t="s">
        <v>1587</v>
      </c>
      <c r="N470" s="102" t="s">
        <v>1588</v>
      </c>
      <c r="O470" s="102" t="s">
        <v>383</v>
      </c>
      <c r="P470" s="103">
        <v>1</v>
      </c>
      <c r="Q470" s="105">
        <v>39000000</v>
      </c>
      <c r="R470" s="103">
        <v>48</v>
      </c>
      <c r="S470" s="105">
        <v>0</v>
      </c>
      <c r="T470" s="105">
        <v>39000000</v>
      </c>
      <c r="U470" s="105">
        <v>0</v>
      </c>
      <c r="V470" s="105">
        <v>0</v>
      </c>
      <c r="W470" s="105">
        <v>0</v>
      </c>
      <c r="X470" s="105">
        <v>0</v>
      </c>
      <c r="Y470" s="105">
        <v>0</v>
      </c>
      <c r="Z470" s="105">
        <v>0</v>
      </c>
      <c r="AA470" s="105">
        <v>0</v>
      </c>
      <c r="AB470" s="105">
        <v>0</v>
      </c>
      <c r="AC470" s="8">
        <f t="shared" si="49"/>
        <v>39000000</v>
      </c>
      <c r="AD470" s="8">
        <f t="shared" si="50"/>
        <v>0</v>
      </c>
      <c r="AE470" s="8">
        <f t="shared" si="51"/>
        <v>0</v>
      </c>
      <c r="AF470" s="106">
        <f t="shared" si="52"/>
        <v>0</v>
      </c>
      <c r="AG470" s="8">
        <f t="shared" si="53"/>
        <v>0</v>
      </c>
      <c r="AH470" s="8">
        <f>IF($O470="Aktif",MAX(0,MIN($AE470,$AD470-SUM($AG470:AG470))),0)</f>
        <v>0</v>
      </c>
      <c r="AI470" s="8">
        <f>IF($O470="Aktif",MAX(0,MIN($AE470,$AD470-SUM($AG470:AH470))),0)</f>
        <v>0</v>
      </c>
      <c r="AJ470" s="8">
        <f>IF($O470="Aktif",MAX(0,MIN($AE470,$AD470-SUM($AG470:AI470))),0)</f>
        <v>0</v>
      </c>
      <c r="AK470" s="8">
        <f>IF($O470="Aktif",MAX(0,MIN($AE470,$AD470-SUM($AG470:AJ470))),0)</f>
        <v>0</v>
      </c>
      <c r="AL470" s="8">
        <f>IF($O470="Aktif",MAX(0,MIN($AE470,$AD470-SUM($AG470:AK470))),0)</f>
        <v>0</v>
      </c>
      <c r="AM470" s="8">
        <f>IF($O470="Aktif",MAX(0,MIN($AE470,$AD470-SUM($AG470:AL470))),0)</f>
        <v>0</v>
      </c>
      <c r="AN470" s="8">
        <f>IF($O470="Aktif",MAX(0,MIN($AE470,$AD470-SUM($AG470:AM470))),0)</f>
        <v>0</v>
      </c>
      <c r="AO470" s="8">
        <f>IF($O470="Aktif",MAX(0,MIN($AE470,$AD470-SUM($AG470:AN470))),0)</f>
        <v>0</v>
      </c>
      <c r="AP470" s="8">
        <f>IF($O470="Aktif",MAX(0,MIN($AE470,$AD470-SUM($AG470:AO470))),0)</f>
        <v>0</v>
      </c>
      <c r="AQ470" s="8">
        <f>IF($O470="Aktif",MAX(0,MIN($AE470,$AD470-SUM($AG470:AP470))),0)</f>
        <v>0</v>
      </c>
      <c r="AR470" s="8">
        <f>IF($O470="Aktif",MAX(0,MIN($AE470,$AD470-SUM($AG470:AQ470))),0)</f>
        <v>0</v>
      </c>
      <c r="AS470" s="8">
        <f>IF($O470="Aktif",MAX(0,MIN($AE470,$AD470-SUM($AG470:AR470))),0)</f>
        <v>0</v>
      </c>
      <c r="AT470" s="8">
        <f>IF($O470="Aktif",MAX(0,MIN($AE470,$AD470-SUM($AG470:AS470))),0)</f>
        <v>0</v>
      </c>
      <c r="AU470" s="8">
        <f>IF($O470="Aktif",MAX(0,MIN($AE470,$AD470-SUM($AG470:AT470))),0)</f>
        <v>0</v>
      </c>
      <c r="AV470" s="8">
        <f>IF($O470="Aktif",MAX(0,MIN($AE470,$AD470-SUM($AG470:AU470))),0)</f>
        <v>0</v>
      </c>
      <c r="AW470" s="8">
        <f t="shared" si="54"/>
        <v>0</v>
      </c>
      <c r="AX470" s="8">
        <f t="shared" si="55"/>
        <v>0</v>
      </c>
    </row>
    <row r="471" spans="1:50" ht="15" customHeight="1" x14ac:dyDescent="0.35">
      <c r="A471" s="102">
        <v>465</v>
      </c>
      <c r="B471" s="102" t="s">
        <v>1326</v>
      </c>
      <c r="C471" s="103">
        <v>99</v>
      </c>
      <c r="D471" s="102" t="s">
        <v>185</v>
      </c>
      <c r="E471" s="102" t="s">
        <v>587</v>
      </c>
      <c r="F471" s="102" t="s">
        <v>1327</v>
      </c>
      <c r="G471" s="102" t="s">
        <v>1328</v>
      </c>
      <c r="H471" s="102" t="s">
        <v>1329</v>
      </c>
      <c r="I471" s="102" t="s">
        <v>63</v>
      </c>
      <c r="J471" s="102" t="s">
        <v>1589</v>
      </c>
      <c r="K471" s="102" t="s">
        <v>591</v>
      </c>
      <c r="L471" s="104">
        <v>41369</v>
      </c>
      <c r="M471" s="102" t="s">
        <v>1590</v>
      </c>
      <c r="N471" s="102" t="s">
        <v>1591</v>
      </c>
      <c r="O471" s="102" t="s">
        <v>383</v>
      </c>
      <c r="P471" s="103">
        <v>1</v>
      </c>
      <c r="Q471" s="105">
        <v>7000000</v>
      </c>
      <c r="R471" s="103">
        <v>48</v>
      </c>
      <c r="S471" s="105">
        <v>0</v>
      </c>
      <c r="T471" s="105">
        <v>7000000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Z471" s="105">
        <v>0</v>
      </c>
      <c r="AA471" s="105">
        <v>0</v>
      </c>
      <c r="AB471" s="105">
        <v>0</v>
      </c>
      <c r="AC471" s="8">
        <f t="shared" si="49"/>
        <v>7000000</v>
      </c>
      <c r="AD471" s="8">
        <f t="shared" si="50"/>
        <v>0</v>
      </c>
      <c r="AE471" s="8">
        <f t="shared" si="51"/>
        <v>0</v>
      </c>
      <c r="AF471" s="106">
        <f t="shared" si="52"/>
        <v>0</v>
      </c>
      <c r="AG471" s="8">
        <f t="shared" si="53"/>
        <v>0</v>
      </c>
      <c r="AH471" s="8">
        <f>IF($O471="Aktif",MAX(0,MIN($AE471,$AD471-SUM($AG471:AG471))),0)</f>
        <v>0</v>
      </c>
      <c r="AI471" s="8">
        <f>IF($O471="Aktif",MAX(0,MIN($AE471,$AD471-SUM($AG471:AH471))),0)</f>
        <v>0</v>
      </c>
      <c r="AJ471" s="8">
        <f>IF($O471="Aktif",MAX(0,MIN($AE471,$AD471-SUM($AG471:AI471))),0)</f>
        <v>0</v>
      </c>
      <c r="AK471" s="8">
        <f>IF($O471="Aktif",MAX(0,MIN($AE471,$AD471-SUM($AG471:AJ471))),0)</f>
        <v>0</v>
      </c>
      <c r="AL471" s="8">
        <f>IF($O471="Aktif",MAX(0,MIN($AE471,$AD471-SUM($AG471:AK471))),0)</f>
        <v>0</v>
      </c>
      <c r="AM471" s="8">
        <f>IF($O471="Aktif",MAX(0,MIN($AE471,$AD471-SUM($AG471:AL471))),0)</f>
        <v>0</v>
      </c>
      <c r="AN471" s="8">
        <f>IF($O471="Aktif",MAX(0,MIN($AE471,$AD471-SUM($AG471:AM471))),0)</f>
        <v>0</v>
      </c>
      <c r="AO471" s="8">
        <f>IF($O471="Aktif",MAX(0,MIN($AE471,$AD471-SUM($AG471:AN471))),0)</f>
        <v>0</v>
      </c>
      <c r="AP471" s="8">
        <f>IF($O471="Aktif",MAX(0,MIN($AE471,$AD471-SUM($AG471:AO471))),0)</f>
        <v>0</v>
      </c>
      <c r="AQ471" s="8">
        <f>IF($O471="Aktif",MAX(0,MIN($AE471,$AD471-SUM($AG471:AP471))),0)</f>
        <v>0</v>
      </c>
      <c r="AR471" s="8">
        <f>IF($O471="Aktif",MAX(0,MIN($AE471,$AD471-SUM($AG471:AQ471))),0)</f>
        <v>0</v>
      </c>
      <c r="AS471" s="8">
        <f>IF($O471="Aktif",MAX(0,MIN($AE471,$AD471-SUM($AG471:AR471))),0)</f>
        <v>0</v>
      </c>
      <c r="AT471" s="8">
        <f>IF($O471="Aktif",MAX(0,MIN($AE471,$AD471-SUM($AG471:AS471))),0)</f>
        <v>0</v>
      </c>
      <c r="AU471" s="8">
        <f>IF($O471="Aktif",MAX(0,MIN($AE471,$AD471-SUM($AG471:AT471))),0)</f>
        <v>0</v>
      </c>
      <c r="AV471" s="8">
        <f>IF($O471="Aktif",MAX(0,MIN($AE471,$AD471-SUM($AG471:AU471))),0)</f>
        <v>0</v>
      </c>
      <c r="AW471" s="8">
        <f t="shared" si="54"/>
        <v>0</v>
      </c>
      <c r="AX471" s="8">
        <f t="shared" si="55"/>
        <v>0</v>
      </c>
    </row>
    <row r="472" spans="1:50" ht="15" customHeight="1" x14ac:dyDescent="0.35">
      <c r="A472" s="102">
        <v>466</v>
      </c>
      <c r="B472" s="102" t="s">
        <v>1326</v>
      </c>
      <c r="C472" s="103">
        <v>100</v>
      </c>
      <c r="D472" s="102" t="s">
        <v>185</v>
      </c>
      <c r="E472" s="102" t="s">
        <v>587</v>
      </c>
      <c r="F472" s="102" t="s">
        <v>1327</v>
      </c>
      <c r="G472" s="102" t="s">
        <v>1328</v>
      </c>
      <c r="H472" s="102" t="s">
        <v>1329</v>
      </c>
      <c r="I472" s="102" t="s">
        <v>63</v>
      </c>
      <c r="J472" s="102" t="s">
        <v>1592</v>
      </c>
      <c r="K472" s="102" t="s">
        <v>591</v>
      </c>
      <c r="L472" s="104">
        <v>41578</v>
      </c>
      <c r="M472" s="102" t="s">
        <v>1593</v>
      </c>
      <c r="N472" s="102" t="s">
        <v>1594</v>
      </c>
      <c r="O472" s="102" t="s">
        <v>383</v>
      </c>
      <c r="P472" s="103">
        <v>1</v>
      </c>
      <c r="Q472" s="105">
        <v>158000000</v>
      </c>
      <c r="R472" s="103">
        <v>48</v>
      </c>
      <c r="S472" s="105">
        <v>0</v>
      </c>
      <c r="T472" s="105">
        <v>158000000</v>
      </c>
      <c r="U472" s="105">
        <v>0</v>
      </c>
      <c r="V472" s="105">
        <v>0</v>
      </c>
      <c r="W472" s="105">
        <v>0</v>
      </c>
      <c r="X472" s="105">
        <v>0</v>
      </c>
      <c r="Y472" s="105">
        <v>0</v>
      </c>
      <c r="Z472" s="105">
        <v>0</v>
      </c>
      <c r="AA472" s="105">
        <v>0</v>
      </c>
      <c r="AB472" s="105">
        <v>0</v>
      </c>
      <c r="AC472" s="8">
        <f t="shared" si="49"/>
        <v>158000000</v>
      </c>
      <c r="AD472" s="8">
        <f t="shared" si="50"/>
        <v>0</v>
      </c>
      <c r="AE472" s="8">
        <f t="shared" si="51"/>
        <v>0</v>
      </c>
      <c r="AF472" s="106">
        <f t="shared" si="52"/>
        <v>0</v>
      </c>
      <c r="AG472" s="8">
        <f t="shared" si="53"/>
        <v>0</v>
      </c>
      <c r="AH472" s="8">
        <f>IF($O472="Aktif",MAX(0,MIN($AE472,$AD472-SUM($AG472:AG472))),0)</f>
        <v>0</v>
      </c>
      <c r="AI472" s="8">
        <f>IF($O472="Aktif",MAX(0,MIN($AE472,$AD472-SUM($AG472:AH472))),0)</f>
        <v>0</v>
      </c>
      <c r="AJ472" s="8">
        <f>IF($O472="Aktif",MAX(0,MIN($AE472,$AD472-SUM($AG472:AI472))),0)</f>
        <v>0</v>
      </c>
      <c r="AK472" s="8">
        <f>IF($O472="Aktif",MAX(0,MIN($AE472,$AD472-SUM($AG472:AJ472))),0)</f>
        <v>0</v>
      </c>
      <c r="AL472" s="8">
        <f>IF($O472="Aktif",MAX(0,MIN($AE472,$AD472-SUM($AG472:AK472))),0)</f>
        <v>0</v>
      </c>
      <c r="AM472" s="8">
        <f>IF($O472="Aktif",MAX(0,MIN($AE472,$AD472-SUM($AG472:AL472))),0)</f>
        <v>0</v>
      </c>
      <c r="AN472" s="8">
        <f>IF($O472="Aktif",MAX(0,MIN($AE472,$AD472-SUM($AG472:AM472))),0)</f>
        <v>0</v>
      </c>
      <c r="AO472" s="8">
        <f>IF($O472="Aktif",MAX(0,MIN($AE472,$AD472-SUM($AG472:AN472))),0)</f>
        <v>0</v>
      </c>
      <c r="AP472" s="8">
        <f>IF($O472="Aktif",MAX(0,MIN($AE472,$AD472-SUM($AG472:AO472))),0)</f>
        <v>0</v>
      </c>
      <c r="AQ472" s="8">
        <f>IF($O472="Aktif",MAX(0,MIN($AE472,$AD472-SUM($AG472:AP472))),0)</f>
        <v>0</v>
      </c>
      <c r="AR472" s="8">
        <f>IF($O472="Aktif",MAX(0,MIN($AE472,$AD472-SUM($AG472:AQ472))),0)</f>
        <v>0</v>
      </c>
      <c r="AS472" s="8">
        <f>IF($O472="Aktif",MAX(0,MIN($AE472,$AD472-SUM($AG472:AR472))),0)</f>
        <v>0</v>
      </c>
      <c r="AT472" s="8">
        <f>IF($O472="Aktif",MAX(0,MIN($AE472,$AD472-SUM($AG472:AS472))),0)</f>
        <v>0</v>
      </c>
      <c r="AU472" s="8">
        <f>IF($O472="Aktif",MAX(0,MIN($AE472,$AD472-SUM($AG472:AT472))),0)</f>
        <v>0</v>
      </c>
      <c r="AV472" s="8">
        <f>IF($O472="Aktif",MAX(0,MIN($AE472,$AD472-SUM($AG472:AU472))),0)</f>
        <v>0</v>
      </c>
      <c r="AW472" s="8">
        <f t="shared" si="54"/>
        <v>0</v>
      </c>
      <c r="AX472" s="8">
        <f t="shared" si="55"/>
        <v>0</v>
      </c>
    </row>
    <row r="473" spans="1:50" ht="15" customHeight="1" x14ac:dyDescent="0.35">
      <c r="A473" s="102">
        <v>467</v>
      </c>
      <c r="B473" s="102" t="s">
        <v>1326</v>
      </c>
      <c r="C473" s="103">
        <v>101</v>
      </c>
      <c r="D473" s="102" t="s">
        <v>185</v>
      </c>
      <c r="E473" s="102" t="s">
        <v>587</v>
      </c>
      <c r="F473" s="102" t="s">
        <v>1327</v>
      </c>
      <c r="G473" s="102" t="s">
        <v>1328</v>
      </c>
      <c r="H473" s="102" t="s">
        <v>1329</v>
      </c>
      <c r="I473" s="102" t="s">
        <v>63</v>
      </c>
      <c r="J473" s="102" t="s">
        <v>1595</v>
      </c>
      <c r="K473" s="102" t="s">
        <v>591</v>
      </c>
      <c r="L473" s="104">
        <v>41615</v>
      </c>
      <c r="M473" s="102" t="s">
        <v>1596</v>
      </c>
      <c r="N473" s="102" t="s">
        <v>1597</v>
      </c>
      <c r="O473" s="102" t="s">
        <v>383</v>
      </c>
      <c r="P473" s="103">
        <v>1</v>
      </c>
      <c r="Q473" s="105">
        <v>815000</v>
      </c>
      <c r="R473" s="103">
        <v>48</v>
      </c>
      <c r="S473" s="105">
        <v>0</v>
      </c>
      <c r="T473" s="105">
        <v>815000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Z473" s="105">
        <v>0</v>
      </c>
      <c r="AA473" s="105">
        <v>0</v>
      </c>
      <c r="AB473" s="105">
        <v>0</v>
      </c>
      <c r="AC473" s="8">
        <f t="shared" si="49"/>
        <v>815000</v>
      </c>
      <c r="AD473" s="8">
        <f t="shared" si="50"/>
        <v>0</v>
      </c>
      <c r="AE473" s="8">
        <f t="shared" si="51"/>
        <v>0</v>
      </c>
      <c r="AF473" s="106">
        <f t="shared" si="52"/>
        <v>0</v>
      </c>
      <c r="AG473" s="8">
        <f t="shared" si="53"/>
        <v>0</v>
      </c>
      <c r="AH473" s="8">
        <f>IF($O473="Aktif",MAX(0,MIN($AE473,$AD473-SUM($AG473:AG473))),0)</f>
        <v>0</v>
      </c>
      <c r="AI473" s="8">
        <f>IF($O473="Aktif",MAX(0,MIN($AE473,$AD473-SUM($AG473:AH473))),0)</f>
        <v>0</v>
      </c>
      <c r="AJ473" s="8">
        <f>IF($O473="Aktif",MAX(0,MIN($AE473,$AD473-SUM($AG473:AI473))),0)</f>
        <v>0</v>
      </c>
      <c r="AK473" s="8">
        <f>IF($O473="Aktif",MAX(0,MIN($AE473,$AD473-SUM($AG473:AJ473))),0)</f>
        <v>0</v>
      </c>
      <c r="AL473" s="8">
        <f>IF($O473="Aktif",MAX(0,MIN($AE473,$AD473-SUM($AG473:AK473))),0)</f>
        <v>0</v>
      </c>
      <c r="AM473" s="8">
        <f>IF($O473="Aktif",MAX(0,MIN($AE473,$AD473-SUM($AG473:AL473))),0)</f>
        <v>0</v>
      </c>
      <c r="AN473" s="8">
        <f>IF($O473="Aktif",MAX(0,MIN($AE473,$AD473-SUM($AG473:AM473))),0)</f>
        <v>0</v>
      </c>
      <c r="AO473" s="8">
        <f>IF($O473="Aktif",MAX(0,MIN($AE473,$AD473-SUM($AG473:AN473))),0)</f>
        <v>0</v>
      </c>
      <c r="AP473" s="8">
        <f>IF($O473="Aktif",MAX(0,MIN($AE473,$AD473-SUM($AG473:AO473))),0)</f>
        <v>0</v>
      </c>
      <c r="AQ473" s="8">
        <f>IF($O473="Aktif",MAX(0,MIN($AE473,$AD473-SUM($AG473:AP473))),0)</f>
        <v>0</v>
      </c>
      <c r="AR473" s="8">
        <f>IF($O473="Aktif",MAX(0,MIN($AE473,$AD473-SUM($AG473:AQ473))),0)</f>
        <v>0</v>
      </c>
      <c r="AS473" s="8">
        <f>IF($O473="Aktif",MAX(0,MIN($AE473,$AD473-SUM($AG473:AR473))),0)</f>
        <v>0</v>
      </c>
      <c r="AT473" s="8">
        <f>IF($O473="Aktif",MAX(0,MIN($AE473,$AD473-SUM($AG473:AS473))),0)</f>
        <v>0</v>
      </c>
      <c r="AU473" s="8">
        <f>IF($O473="Aktif",MAX(0,MIN($AE473,$AD473-SUM($AG473:AT473))),0)</f>
        <v>0</v>
      </c>
      <c r="AV473" s="8">
        <f>IF($O473="Aktif",MAX(0,MIN($AE473,$AD473-SUM($AG473:AU473))),0)</f>
        <v>0</v>
      </c>
      <c r="AW473" s="8">
        <f t="shared" si="54"/>
        <v>0</v>
      </c>
      <c r="AX473" s="8">
        <f t="shared" si="55"/>
        <v>0</v>
      </c>
    </row>
    <row r="474" spans="1:50" ht="15" customHeight="1" x14ac:dyDescent="0.35">
      <c r="A474" s="102">
        <v>468</v>
      </c>
      <c r="B474" s="102" t="s">
        <v>1326</v>
      </c>
      <c r="C474" s="103">
        <v>102</v>
      </c>
      <c r="D474" s="102" t="s">
        <v>185</v>
      </c>
      <c r="E474" s="102" t="s">
        <v>587</v>
      </c>
      <c r="F474" s="102" t="s">
        <v>1327</v>
      </c>
      <c r="G474" s="102" t="s">
        <v>1328</v>
      </c>
      <c r="H474" s="102" t="s">
        <v>1329</v>
      </c>
      <c r="I474" s="102" t="s">
        <v>63</v>
      </c>
      <c r="J474" s="102" t="s">
        <v>1598</v>
      </c>
      <c r="K474" s="102" t="s">
        <v>591</v>
      </c>
      <c r="L474" s="104">
        <v>41621</v>
      </c>
      <c r="M474" s="102" t="s">
        <v>1599</v>
      </c>
      <c r="N474" s="102" t="s">
        <v>1600</v>
      </c>
      <c r="O474" s="102" t="s">
        <v>383</v>
      </c>
      <c r="P474" s="103">
        <v>1</v>
      </c>
      <c r="Q474" s="105">
        <v>3800000</v>
      </c>
      <c r="R474" s="103">
        <v>48</v>
      </c>
      <c r="S474" s="105">
        <v>0</v>
      </c>
      <c r="T474" s="105">
        <v>3800000</v>
      </c>
      <c r="U474" s="105">
        <v>0</v>
      </c>
      <c r="V474" s="105">
        <v>0</v>
      </c>
      <c r="W474" s="105">
        <v>0</v>
      </c>
      <c r="X474" s="105">
        <v>0</v>
      </c>
      <c r="Y474" s="105">
        <v>0</v>
      </c>
      <c r="Z474" s="105">
        <v>0</v>
      </c>
      <c r="AA474" s="105">
        <v>0</v>
      </c>
      <c r="AB474" s="105">
        <v>0</v>
      </c>
      <c r="AC474" s="8">
        <f t="shared" si="49"/>
        <v>3800000</v>
      </c>
      <c r="AD474" s="8">
        <f t="shared" si="50"/>
        <v>0</v>
      </c>
      <c r="AE474" s="8">
        <f t="shared" si="51"/>
        <v>0</v>
      </c>
      <c r="AF474" s="106">
        <f t="shared" si="52"/>
        <v>0</v>
      </c>
      <c r="AG474" s="8">
        <f t="shared" si="53"/>
        <v>0</v>
      </c>
      <c r="AH474" s="8">
        <f>IF($O474="Aktif",MAX(0,MIN($AE474,$AD474-SUM($AG474:AG474))),0)</f>
        <v>0</v>
      </c>
      <c r="AI474" s="8">
        <f>IF($O474="Aktif",MAX(0,MIN($AE474,$AD474-SUM($AG474:AH474))),0)</f>
        <v>0</v>
      </c>
      <c r="AJ474" s="8">
        <f>IF($O474="Aktif",MAX(0,MIN($AE474,$AD474-SUM($AG474:AI474))),0)</f>
        <v>0</v>
      </c>
      <c r="AK474" s="8">
        <f>IF($O474="Aktif",MAX(0,MIN($AE474,$AD474-SUM($AG474:AJ474))),0)</f>
        <v>0</v>
      </c>
      <c r="AL474" s="8">
        <f>IF($O474="Aktif",MAX(0,MIN($AE474,$AD474-SUM($AG474:AK474))),0)</f>
        <v>0</v>
      </c>
      <c r="AM474" s="8">
        <f>IF($O474="Aktif",MAX(0,MIN($AE474,$AD474-SUM($AG474:AL474))),0)</f>
        <v>0</v>
      </c>
      <c r="AN474" s="8">
        <f>IF($O474="Aktif",MAX(0,MIN($AE474,$AD474-SUM($AG474:AM474))),0)</f>
        <v>0</v>
      </c>
      <c r="AO474" s="8">
        <f>IF($O474="Aktif",MAX(0,MIN($AE474,$AD474-SUM($AG474:AN474))),0)</f>
        <v>0</v>
      </c>
      <c r="AP474" s="8">
        <f>IF($O474="Aktif",MAX(0,MIN($AE474,$AD474-SUM($AG474:AO474))),0)</f>
        <v>0</v>
      </c>
      <c r="AQ474" s="8">
        <f>IF($O474="Aktif",MAX(0,MIN($AE474,$AD474-SUM($AG474:AP474))),0)</f>
        <v>0</v>
      </c>
      <c r="AR474" s="8">
        <f>IF($O474="Aktif",MAX(0,MIN($AE474,$AD474-SUM($AG474:AQ474))),0)</f>
        <v>0</v>
      </c>
      <c r="AS474" s="8">
        <f>IF($O474="Aktif",MAX(0,MIN($AE474,$AD474-SUM($AG474:AR474))),0)</f>
        <v>0</v>
      </c>
      <c r="AT474" s="8">
        <f>IF($O474="Aktif",MAX(0,MIN($AE474,$AD474-SUM($AG474:AS474))),0)</f>
        <v>0</v>
      </c>
      <c r="AU474" s="8">
        <f>IF($O474="Aktif",MAX(0,MIN($AE474,$AD474-SUM($AG474:AT474))),0)</f>
        <v>0</v>
      </c>
      <c r="AV474" s="8">
        <f>IF($O474="Aktif",MAX(0,MIN($AE474,$AD474-SUM($AG474:AU474))),0)</f>
        <v>0</v>
      </c>
      <c r="AW474" s="8">
        <f t="shared" si="54"/>
        <v>0</v>
      </c>
      <c r="AX474" s="8">
        <f t="shared" si="55"/>
        <v>0</v>
      </c>
    </row>
    <row r="475" spans="1:50" ht="15" customHeight="1" x14ac:dyDescent="0.35">
      <c r="A475" s="102">
        <v>469</v>
      </c>
      <c r="B475" s="102" t="s">
        <v>1326</v>
      </c>
      <c r="C475" s="103">
        <v>103</v>
      </c>
      <c r="D475" s="102" t="s">
        <v>185</v>
      </c>
      <c r="E475" s="102" t="s">
        <v>587</v>
      </c>
      <c r="F475" s="102" t="s">
        <v>1327</v>
      </c>
      <c r="G475" s="102" t="s">
        <v>1328</v>
      </c>
      <c r="H475" s="102" t="s">
        <v>1329</v>
      </c>
      <c r="I475" s="102" t="s">
        <v>63</v>
      </c>
      <c r="J475" s="102" t="s">
        <v>1601</v>
      </c>
      <c r="K475" s="102" t="s">
        <v>591</v>
      </c>
      <c r="L475" s="104">
        <v>41628</v>
      </c>
      <c r="M475" s="102" t="s">
        <v>624</v>
      </c>
      <c r="N475" s="102" t="s">
        <v>1602</v>
      </c>
      <c r="O475" s="102" t="s">
        <v>383</v>
      </c>
      <c r="P475" s="103">
        <v>1</v>
      </c>
      <c r="Q475" s="105">
        <v>4000000</v>
      </c>
      <c r="R475" s="103">
        <v>48</v>
      </c>
      <c r="S475" s="105">
        <v>0</v>
      </c>
      <c r="T475" s="105">
        <v>4000000</v>
      </c>
      <c r="U475" s="105">
        <v>0</v>
      </c>
      <c r="V475" s="105">
        <v>0</v>
      </c>
      <c r="W475" s="105">
        <v>0</v>
      </c>
      <c r="X475" s="105">
        <v>0</v>
      </c>
      <c r="Y475" s="105">
        <v>0</v>
      </c>
      <c r="Z475" s="105">
        <v>0</v>
      </c>
      <c r="AA475" s="105">
        <v>0</v>
      </c>
      <c r="AB475" s="105">
        <v>0</v>
      </c>
      <c r="AC475" s="8">
        <f t="shared" si="49"/>
        <v>4000000</v>
      </c>
      <c r="AD475" s="8">
        <f t="shared" si="50"/>
        <v>0</v>
      </c>
      <c r="AE475" s="8">
        <f t="shared" si="51"/>
        <v>0</v>
      </c>
      <c r="AF475" s="106">
        <f t="shared" si="52"/>
        <v>0</v>
      </c>
      <c r="AG475" s="8">
        <f t="shared" si="53"/>
        <v>0</v>
      </c>
      <c r="AH475" s="8">
        <f>IF($O475="Aktif",MAX(0,MIN($AE475,$AD475-SUM($AG475:AG475))),0)</f>
        <v>0</v>
      </c>
      <c r="AI475" s="8">
        <f>IF($O475="Aktif",MAX(0,MIN($AE475,$AD475-SUM($AG475:AH475))),0)</f>
        <v>0</v>
      </c>
      <c r="AJ475" s="8">
        <f>IF($O475="Aktif",MAX(0,MIN($AE475,$AD475-SUM($AG475:AI475))),0)</f>
        <v>0</v>
      </c>
      <c r="AK475" s="8">
        <f>IF($O475="Aktif",MAX(0,MIN($AE475,$AD475-SUM($AG475:AJ475))),0)</f>
        <v>0</v>
      </c>
      <c r="AL475" s="8">
        <f>IF($O475="Aktif",MAX(0,MIN($AE475,$AD475-SUM($AG475:AK475))),0)</f>
        <v>0</v>
      </c>
      <c r="AM475" s="8">
        <f>IF($O475="Aktif",MAX(0,MIN($AE475,$AD475-SUM($AG475:AL475))),0)</f>
        <v>0</v>
      </c>
      <c r="AN475" s="8">
        <f>IF($O475="Aktif",MAX(0,MIN($AE475,$AD475-SUM($AG475:AM475))),0)</f>
        <v>0</v>
      </c>
      <c r="AO475" s="8">
        <f>IF($O475="Aktif",MAX(0,MIN($AE475,$AD475-SUM($AG475:AN475))),0)</f>
        <v>0</v>
      </c>
      <c r="AP475" s="8">
        <f>IF($O475="Aktif",MAX(0,MIN($AE475,$AD475-SUM($AG475:AO475))),0)</f>
        <v>0</v>
      </c>
      <c r="AQ475" s="8">
        <f>IF($O475="Aktif",MAX(0,MIN($AE475,$AD475-SUM($AG475:AP475))),0)</f>
        <v>0</v>
      </c>
      <c r="AR475" s="8">
        <f>IF($O475="Aktif",MAX(0,MIN($AE475,$AD475-SUM($AG475:AQ475))),0)</f>
        <v>0</v>
      </c>
      <c r="AS475" s="8">
        <f>IF($O475="Aktif",MAX(0,MIN($AE475,$AD475-SUM($AG475:AR475))),0)</f>
        <v>0</v>
      </c>
      <c r="AT475" s="8">
        <f>IF($O475="Aktif",MAX(0,MIN($AE475,$AD475-SUM($AG475:AS475))),0)</f>
        <v>0</v>
      </c>
      <c r="AU475" s="8">
        <f>IF($O475="Aktif",MAX(0,MIN($AE475,$AD475-SUM($AG475:AT475))),0)</f>
        <v>0</v>
      </c>
      <c r="AV475" s="8">
        <f>IF($O475="Aktif",MAX(0,MIN($AE475,$AD475-SUM($AG475:AU475))),0)</f>
        <v>0</v>
      </c>
      <c r="AW475" s="8">
        <f t="shared" si="54"/>
        <v>0</v>
      </c>
      <c r="AX475" s="8">
        <f t="shared" si="55"/>
        <v>0</v>
      </c>
    </row>
    <row r="476" spans="1:50" ht="15" customHeight="1" x14ac:dyDescent="0.35">
      <c r="A476" s="102">
        <v>470</v>
      </c>
      <c r="B476" s="102" t="s">
        <v>1326</v>
      </c>
      <c r="C476" s="103">
        <v>104</v>
      </c>
      <c r="D476" s="102" t="s">
        <v>185</v>
      </c>
      <c r="E476" s="102" t="s">
        <v>587</v>
      </c>
      <c r="F476" s="102" t="s">
        <v>1327</v>
      </c>
      <c r="G476" s="102" t="s">
        <v>1328</v>
      </c>
      <c r="H476" s="102" t="s">
        <v>1329</v>
      </c>
      <c r="I476" s="102" t="s">
        <v>63</v>
      </c>
      <c r="J476" s="102" t="s">
        <v>1603</v>
      </c>
      <c r="K476" s="102" t="s">
        <v>591</v>
      </c>
      <c r="L476" s="104">
        <v>41656</v>
      </c>
      <c r="M476" s="102" t="s">
        <v>1604</v>
      </c>
      <c r="N476" s="102" t="s">
        <v>1605</v>
      </c>
      <c r="O476" s="102" t="s">
        <v>383</v>
      </c>
      <c r="P476" s="103">
        <v>1</v>
      </c>
      <c r="Q476" s="105">
        <v>2575000</v>
      </c>
      <c r="R476" s="103">
        <v>48</v>
      </c>
      <c r="S476" s="105">
        <v>0</v>
      </c>
      <c r="T476" s="105">
        <v>2575000</v>
      </c>
      <c r="U476" s="105">
        <v>0</v>
      </c>
      <c r="V476" s="105">
        <v>0</v>
      </c>
      <c r="W476" s="105">
        <v>0</v>
      </c>
      <c r="X476" s="105">
        <v>0</v>
      </c>
      <c r="Y476" s="105">
        <v>0</v>
      </c>
      <c r="Z476" s="105">
        <v>0</v>
      </c>
      <c r="AA476" s="105">
        <v>0</v>
      </c>
      <c r="AB476" s="105">
        <v>0</v>
      </c>
      <c r="AC476" s="8">
        <f t="shared" si="49"/>
        <v>2575000</v>
      </c>
      <c r="AD476" s="8">
        <f t="shared" si="50"/>
        <v>0</v>
      </c>
      <c r="AE476" s="8">
        <f t="shared" si="51"/>
        <v>0</v>
      </c>
      <c r="AF476" s="106">
        <f t="shared" si="52"/>
        <v>0</v>
      </c>
      <c r="AG476" s="8">
        <f t="shared" si="53"/>
        <v>0</v>
      </c>
      <c r="AH476" s="8">
        <f>IF($O476="Aktif",MAX(0,MIN($AE476,$AD476-SUM($AG476:AG476))),0)</f>
        <v>0</v>
      </c>
      <c r="AI476" s="8">
        <f>IF($O476="Aktif",MAX(0,MIN($AE476,$AD476-SUM($AG476:AH476))),0)</f>
        <v>0</v>
      </c>
      <c r="AJ476" s="8">
        <f>IF($O476="Aktif",MAX(0,MIN($AE476,$AD476-SUM($AG476:AI476))),0)</f>
        <v>0</v>
      </c>
      <c r="AK476" s="8">
        <f>IF($O476="Aktif",MAX(0,MIN($AE476,$AD476-SUM($AG476:AJ476))),0)</f>
        <v>0</v>
      </c>
      <c r="AL476" s="8">
        <f>IF($O476="Aktif",MAX(0,MIN($AE476,$AD476-SUM($AG476:AK476))),0)</f>
        <v>0</v>
      </c>
      <c r="AM476" s="8">
        <f>IF($O476="Aktif",MAX(0,MIN($AE476,$AD476-SUM($AG476:AL476))),0)</f>
        <v>0</v>
      </c>
      <c r="AN476" s="8">
        <f>IF($O476="Aktif",MAX(0,MIN($AE476,$AD476-SUM($AG476:AM476))),0)</f>
        <v>0</v>
      </c>
      <c r="AO476" s="8">
        <f>IF($O476="Aktif",MAX(0,MIN($AE476,$AD476-SUM($AG476:AN476))),0)</f>
        <v>0</v>
      </c>
      <c r="AP476" s="8">
        <f>IF($O476="Aktif",MAX(0,MIN($AE476,$AD476-SUM($AG476:AO476))),0)</f>
        <v>0</v>
      </c>
      <c r="AQ476" s="8">
        <f>IF($O476="Aktif",MAX(0,MIN($AE476,$AD476-SUM($AG476:AP476))),0)</f>
        <v>0</v>
      </c>
      <c r="AR476" s="8">
        <f>IF($O476="Aktif",MAX(0,MIN($AE476,$AD476-SUM($AG476:AQ476))),0)</f>
        <v>0</v>
      </c>
      <c r="AS476" s="8">
        <f>IF($O476="Aktif",MAX(0,MIN($AE476,$AD476-SUM($AG476:AR476))),0)</f>
        <v>0</v>
      </c>
      <c r="AT476" s="8">
        <f>IF($O476="Aktif",MAX(0,MIN($AE476,$AD476-SUM($AG476:AS476))),0)</f>
        <v>0</v>
      </c>
      <c r="AU476" s="8">
        <f>IF($O476="Aktif",MAX(0,MIN($AE476,$AD476-SUM($AG476:AT476))),0)</f>
        <v>0</v>
      </c>
      <c r="AV476" s="8">
        <f>IF($O476="Aktif",MAX(0,MIN($AE476,$AD476-SUM($AG476:AU476))),0)</f>
        <v>0</v>
      </c>
      <c r="AW476" s="8">
        <f t="shared" si="54"/>
        <v>0</v>
      </c>
      <c r="AX476" s="8">
        <f t="shared" si="55"/>
        <v>0</v>
      </c>
    </row>
    <row r="477" spans="1:50" ht="15" customHeight="1" x14ac:dyDescent="0.35">
      <c r="A477" s="102">
        <v>471</v>
      </c>
      <c r="B477" s="102" t="s">
        <v>1326</v>
      </c>
      <c r="C477" s="103">
        <v>105</v>
      </c>
      <c r="D477" s="102" t="s">
        <v>185</v>
      </c>
      <c r="E477" s="102" t="s">
        <v>587</v>
      </c>
      <c r="F477" s="102" t="s">
        <v>1327</v>
      </c>
      <c r="G477" s="102" t="s">
        <v>1328</v>
      </c>
      <c r="H477" s="102" t="s">
        <v>1329</v>
      </c>
      <c r="I477" s="102" t="s">
        <v>63</v>
      </c>
      <c r="J477" s="102" t="s">
        <v>1606</v>
      </c>
      <c r="K477" s="102" t="s">
        <v>591</v>
      </c>
      <c r="L477" s="104">
        <v>41698</v>
      </c>
      <c r="M477" s="102" t="s">
        <v>1590</v>
      </c>
      <c r="N477" s="102" t="s">
        <v>1607</v>
      </c>
      <c r="O477" s="102" t="s">
        <v>383</v>
      </c>
      <c r="P477" s="103">
        <v>1</v>
      </c>
      <c r="Q477" s="105">
        <v>880000</v>
      </c>
      <c r="R477" s="103">
        <v>48</v>
      </c>
      <c r="S477" s="105">
        <v>0</v>
      </c>
      <c r="T477" s="105">
        <v>880000</v>
      </c>
      <c r="U477" s="105">
        <v>0</v>
      </c>
      <c r="V477" s="105">
        <v>0</v>
      </c>
      <c r="W477" s="105">
        <v>0</v>
      </c>
      <c r="X477" s="105">
        <v>0</v>
      </c>
      <c r="Y477" s="105">
        <v>0</v>
      </c>
      <c r="Z477" s="105">
        <v>0</v>
      </c>
      <c r="AA477" s="105">
        <v>0</v>
      </c>
      <c r="AB477" s="105">
        <v>0</v>
      </c>
      <c r="AC477" s="8">
        <f t="shared" si="49"/>
        <v>880000</v>
      </c>
      <c r="AD477" s="8">
        <f t="shared" si="50"/>
        <v>0</v>
      </c>
      <c r="AE477" s="8">
        <f t="shared" si="51"/>
        <v>0</v>
      </c>
      <c r="AF477" s="106">
        <f t="shared" si="52"/>
        <v>0</v>
      </c>
      <c r="AG477" s="8">
        <f t="shared" si="53"/>
        <v>0</v>
      </c>
      <c r="AH477" s="8">
        <f>IF($O477="Aktif",MAX(0,MIN($AE477,$AD477-SUM($AG477:AG477))),0)</f>
        <v>0</v>
      </c>
      <c r="AI477" s="8">
        <f>IF($O477="Aktif",MAX(0,MIN($AE477,$AD477-SUM($AG477:AH477))),0)</f>
        <v>0</v>
      </c>
      <c r="AJ477" s="8">
        <f>IF($O477="Aktif",MAX(0,MIN($AE477,$AD477-SUM($AG477:AI477))),0)</f>
        <v>0</v>
      </c>
      <c r="AK477" s="8">
        <f>IF($O477="Aktif",MAX(0,MIN($AE477,$AD477-SUM($AG477:AJ477))),0)</f>
        <v>0</v>
      </c>
      <c r="AL477" s="8">
        <f>IF($O477="Aktif",MAX(0,MIN($AE477,$AD477-SUM($AG477:AK477))),0)</f>
        <v>0</v>
      </c>
      <c r="AM477" s="8">
        <f>IF($O477="Aktif",MAX(0,MIN($AE477,$AD477-SUM($AG477:AL477))),0)</f>
        <v>0</v>
      </c>
      <c r="AN477" s="8">
        <f>IF($O477="Aktif",MAX(0,MIN($AE477,$AD477-SUM($AG477:AM477))),0)</f>
        <v>0</v>
      </c>
      <c r="AO477" s="8">
        <f>IF($O477="Aktif",MAX(0,MIN($AE477,$AD477-SUM($AG477:AN477))),0)</f>
        <v>0</v>
      </c>
      <c r="AP477" s="8">
        <f>IF($O477="Aktif",MAX(0,MIN($AE477,$AD477-SUM($AG477:AO477))),0)</f>
        <v>0</v>
      </c>
      <c r="AQ477" s="8">
        <f>IF($O477="Aktif",MAX(0,MIN($AE477,$AD477-SUM($AG477:AP477))),0)</f>
        <v>0</v>
      </c>
      <c r="AR477" s="8">
        <f>IF($O477="Aktif",MAX(0,MIN($AE477,$AD477-SUM($AG477:AQ477))),0)</f>
        <v>0</v>
      </c>
      <c r="AS477" s="8">
        <f>IF($O477="Aktif",MAX(0,MIN($AE477,$AD477-SUM($AG477:AR477))),0)</f>
        <v>0</v>
      </c>
      <c r="AT477" s="8">
        <f>IF($O477="Aktif",MAX(0,MIN($AE477,$AD477-SUM($AG477:AS477))),0)</f>
        <v>0</v>
      </c>
      <c r="AU477" s="8">
        <f>IF($O477="Aktif",MAX(0,MIN($AE477,$AD477-SUM($AG477:AT477))),0)</f>
        <v>0</v>
      </c>
      <c r="AV477" s="8">
        <f>IF($O477="Aktif",MAX(0,MIN($AE477,$AD477-SUM($AG477:AU477))),0)</f>
        <v>0</v>
      </c>
      <c r="AW477" s="8">
        <f t="shared" si="54"/>
        <v>0</v>
      </c>
      <c r="AX477" s="8">
        <f t="shared" si="55"/>
        <v>0</v>
      </c>
    </row>
    <row r="478" spans="1:50" ht="15" customHeight="1" x14ac:dyDescent="0.35">
      <c r="A478" s="102">
        <v>472</v>
      </c>
      <c r="B478" s="102" t="s">
        <v>1326</v>
      </c>
      <c r="C478" s="103">
        <v>106</v>
      </c>
      <c r="D478" s="102" t="s">
        <v>185</v>
      </c>
      <c r="E478" s="102" t="s">
        <v>587</v>
      </c>
      <c r="F478" s="102" t="s">
        <v>1327</v>
      </c>
      <c r="G478" s="102" t="s">
        <v>1328</v>
      </c>
      <c r="H478" s="102" t="s">
        <v>1329</v>
      </c>
      <c r="I478" s="102" t="s">
        <v>63</v>
      </c>
      <c r="J478" s="102" t="s">
        <v>1608</v>
      </c>
      <c r="K478" s="102" t="s">
        <v>591</v>
      </c>
      <c r="L478" s="104">
        <v>41698</v>
      </c>
      <c r="M478" s="102" t="s">
        <v>1609</v>
      </c>
      <c r="N478" s="102" t="s">
        <v>1610</v>
      </c>
      <c r="O478" s="102" t="s">
        <v>383</v>
      </c>
      <c r="P478" s="103">
        <v>1</v>
      </c>
      <c r="Q478" s="105">
        <v>45100000</v>
      </c>
      <c r="R478" s="103">
        <v>48</v>
      </c>
      <c r="S478" s="105">
        <v>0</v>
      </c>
      <c r="T478" s="105">
        <v>45100000</v>
      </c>
      <c r="U478" s="105">
        <v>0</v>
      </c>
      <c r="V478" s="105">
        <v>0</v>
      </c>
      <c r="W478" s="105">
        <v>0</v>
      </c>
      <c r="X478" s="105">
        <v>0</v>
      </c>
      <c r="Y478" s="105">
        <v>0</v>
      </c>
      <c r="Z478" s="105">
        <v>0</v>
      </c>
      <c r="AA478" s="105">
        <v>0</v>
      </c>
      <c r="AB478" s="105">
        <v>0</v>
      </c>
      <c r="AC478" s="8">
        <f t="shared" si="49"/>
        <v>45100000</v>
      </c>
      <c r="AD478" s="8">
        <f t="shared" si="50"/>
        <v>0</v>
      </c>
      <c r="AE478" s="8">
        <f t="shared" si="51"/>
        <v>0</v>
      </c>
      <c r="AF478" s="106">
        <f t="shared" si="52"/>
        <v>0</v>
      </c>
      <c r="AG478" s="8">
        <f t="shared" si="53"/>
        <v>0</v>
      </c>
      <c r="AH478" s="8">
        <f>IF($O478="Aktif",MAX(0,MIN($AE478,$AD478-SUM($AG478:AG478))),0)</f>
        <v>0</v>
      </c>
      <c r="AI478" s="8">
        <f>IF($O478="Aktif",MAX(0,MIN($AE478,$AD478-SUM($AG478:AH478))),0)</f>
        <v>0</v>
      </c>
      <c r="AJ478" s="8">
        <f>IF($O478="Aktif",MAX(0,MIN($AE478,$AD478-SUM($AG478:AI478))),0)</f>
        <v>0</v>
      </c>
      <c r="AK478" s="8">
        <f>IF($O478="Aktif",MAX(0,MIN($AE478,$AD478-SUM($AG478:AJ478))),0)</f>
        <v>0</v>
      </c>
      <c r="AL478" s="8">
        <f>IF($O478="Aktif",MAX(0,MIN($AE478,$AD478-SUM($AG478:AK478))),0)</f>
        <v>0</v>
      </c>
      <c r="AM478" s="8">
        <f>IF($O478="Aktif",MAX(0,MIN($AE478,$AD478-SUM($AG478:AL478))),0)</f>
        <v>0</v>
      </c>
      <c r="AN478" s="8">
        <f>IF($O478="Aktif",MAX(0,MIN($AE478,$AD478-SUM($AG478:AM478))),0)</f>
        <v>0</v>
      </c>
      <c r="AO478" s="8">
        <f>IF($O478="Aktif",MAX(0,MIN($AE478,$AD478-SUM($AG478:AN478))),0)</f>
        <v>0</v>
      </c>
      <c r="AP478" s="8">
        <f>IF($O478="Aktif",MAX(0,MIN($AE478,$AD478-SUM($AG478:AO478))),0)</f>
        <v>0</v>
      </c>
      <c r="AQ478" s="8">
        <f>IF($O478="Aktif",MAX(0,MIN($AE478,$AD478-SUM($AG478:AP478))),0)</f>
        <v>0</v>
      </c>
      <c r="AR478" s="8">
        <f>IF($O478="Aktif",MAX(0,MIN($AE478,$AD478-SUM($AG478:AQ478))),0)</f>
        <v>0</v>
      </c>
      <c r="AS478" s="8">
        <f>IF($O478="Aktif",MAX(0,MIN($AE478,$AD478-SUM($AG478:AR478))),0)</f>
        <v>0</v>
      </c>
      <c r="AT478" s="8">
        <f>IF($O478="Aktif",MAX(0,MIN($AE478,$AD478-SUM($AG478:AS478))),0)</f>
        <v>0</v>
      </c>
      <c r="AU478" s="8">
        <f>IF($O478="Aktif",MAX(0,MIN($AE478,$AD478-SUM($AG478:AT478))),0)</f>
        <v>0</v>
      </c>
      <c r="AV478" s="8">
        <f>IF($O478="Aktif",MAX(0,MIN($AE478,$AD478-SUM($AG478:AU478))),0)</f>
        <v>0</v>
      </c>
      <c r="AW478" s="8">
        <f t="shared" si="54"/>
        <v>0</v>
      </c>
      <c r="AX478" s="8">
        <f t="shared" si="55"/>
        <v>0</v>
      </c>
    </row>
    <row r="479" spans="1:50" ht="15" customHeight="1" x14ac:dyDescent="0.35">
      <c r="A479" s="102">
        <v>473</v>
      </c>
      <c r="B479" s="102" t="s">
        <v>1326</v>
      </c>
      <c r="C479" s="103">
        <v>107</v>
      </c>
      <c r="D479" s="102" t="s">
        <v>185</v>
      </c>
      <c r="E479" s="102" t="s">
        <v>587</v>
      </c>
      <c r="F479" s="102" t="s">
        <v>1327</v>
      </c>
      <c r="G479" s="102" t="s">
        <v>1328</v>
      </c>
      <c r="H479" s="102" t="s">
        <v>1329</v>
      </c>
      <c r="I479" s="102" t="s">
        <v>63</v>
      </c>
      <c r="J479" s="102" t="s">
        <v>1611</v>
      </c>
      <c r="K479" s="102" t="s">
        <v>591</v>
      </c>
      <c r="L479" s="104">
        <v>41729</v>
      </c>
      <c r="M479" s="102" t="s">
        <v>1590</v>
      </c>
      <c r="N479" s="102" t="s">
        <v>1612</v>
      </c>
      <c r="O479" s="102" t="s">
        <v>383</v>
      </c>
      <c r="P479" s="103">
        <v>1</v>
      </c>
      <c r="Q479" s="105">
        <v>5060000</v>
      </c>
      <c r="R479" s="103">
        <v>48</v>
      </c>
      <c r="S479" s="105">
        <v>0</v>
      </c>
      <c r="T479" s="105">
        <v>5060000</v>
      </c>
      <c r="U479" s="105">
        <v>0</v>
      </c>
      <c r="V479" s="105">
        <v>0</v>
      </c>
      <c r="W479" s="105">
        <v>0</v>
      </c>
      <c r="X479" s="105">
        <v>0</v>
      </c>
      <c r="Y479" s="105">
        <v>0</v>
      </c>
      <c r="Z479" s="105">
        <v>0</v>
      </c>
      <c r="AA479" s="105">
        <v>0</v>
      </c>
      <c r="AB479" s="105">
        <v>0</v>
      </c>
      <c r="AC479" s="8">
        <f t="shared" si="49"/>
        <v>5060000</v>
      </c>
      <c r="AD479" s="8">
        <f t="shared" si="50"/>
        <v>0</v>
      </c>
      <c r="AE479" s="8">
        <f t="shared" si="51"/>
        <v>0</v>
      </c>
      <c r="AF479" s="106">
        <f t="shared" si="52"/>
        <v>0</v>
      </c>
      <c r="AG479" s="8">
        <f t="shared" si="53"/>
        <v>0</v>
      </c>
      <c r="AH479" s="8">
        <f>IF($O479="Aktif",MAX(0,MIN($AE479,$AD479-SUM($AG479:AG479))),0)</f>
        <v>0</v>
      </c>
      <c r="AI479" s="8">
        <f>IF($O479="Aktif",MAX(0,MIN($AE479,$AD479-SUM($AG479:AH479))),0)</f>
        <v>0</v>
      </c>
      <c r="AJ479" s="8">
        <f>IF($O479="Aktif",MAX(0,MIN($AE479,$AD479-SUM($AG479:AI479))),0)</f>
        <v>0</v>
      </c>
      <c r="AK479" s="8">
        <f>IF($O479="Aktif",MAX(0,MIN($AE479,$AD479-SUM($AG479:AJ479))),0)</f>
        <v>0</v>
      </c>
      <c r="AL479" s="8">
        <f>IF($O479="Aktif",MAX(0,MIN($AE479,$AD479-SUM($AG479:AK479))),0)</f>
        <v>0</v>
      </c>
      <c r="AM479" s="8">
        <f>IF($O479="Aktif",MAX(0,MIN($AE479,$AD479-SUM($AG479:AL479))),0)</f>
        <v>0</v>
      </c>
      <c r="AN479" s="8">
        <f>IF($O479="Aktif",MAX(0,MIN($AE479,$AD479-SUM($AG479:AM479))),0)</f>
        <v>0</v>
      </c>
      <c r="AO479" s="8">
        <f>IF($O479="Aktif",MAX(0,MIN($AE479,$AD479-SUM($AG479:AN479))),0)</f>
        <v>0</v>
      </c>
      <c r="AP479" s="8">
        <f>IF($O479="Aktif",MAX(0,MIN($AE479,$AD479-SUM($AG479:AO479))),0)</f>
        <v>0</v>
      </c>
      <c r="AQ479" s="8">
        <f>IF($O479="Aktif",MAX(0,MIN($AE479,$AD479-SUM($AG479:AP479))),0)</f>
        <v>0</v>
      </c>
      <c r="AR479" s="8">
        <f>IF($O479="Aktif",MAX(0,MIN($AE479,$AD479-SUM($AG479:AQ479))),0)</f>
        <v>0</v>
      </c>
      <c r="AS479" s="8">
        <f>IF($O479="Aktif",MAX(0,MIN($AE479,$AD479-SUM($AG479:AR479))),0)</f>
        <v>0</v>
      </c>
      <c r="AT479" s="8">
        <f>IF($O479="Aktif",MAX(0,MIN($AE479,$AD479-SUM($AG479:AS479))),0)</f>
        <v>0</v>
      </c>
      <c r="AU479" s="8">
        <f>IF($O479="Aktif",MAX(0,MIN($AE479,$AD479-SUM($AG479:AT479))),0)</f>
        <v>0</v>
      </c>
      <c r="AV479" s="8">
        <f>IF($O479="Aktif",MAX(0,MIN($AE479,$AD479-SUM($AG479:AU479))),0)</f>
        <v>0</v>
      </c>
      <c r="AW479" s="8">
        <f t="shared" si="54"/>
        <v>0</v>
      </c>
      <c r="AX479" s="8">
        <f t="shared" si="55"/>
        <v>0</v>
      </c>
    </row>
    <row r="480" spans="1:50" ht="15" customHeight="1" x14ac:dyDescent="0.35">
      <c r="A480" s="102">
        <v>474</v>
      </c>
      <c r="B480" s="102" t="s">
        <v>1326</v>
      </c>
      <c r="C480" s="103">
        <v>108</v>
      </c>
      <c r="D480" s="102" t="s">
        <v>185</v>
      </c>
      <c r="E480" s="102" t="s">
        <v>587</v>
      </c>
      <c r="F480" s="102" t="s">
        <v>1327</v>
      </c>
      <c r="G480" s="102" t="s">
        <v>1328</v>
      </c>
      <c r="H480" s="102" t="s">
        <v>1329</v>
      </c>
      <c r="I480" s="102" t="s">
        <v>63</v>
      </c>
      <c r="J480" s="102" t="s">
        <v>1613</v>
      </c>
      <c r="K480" s="102" t="s">
        <v>591</v>
      </c>
      <c r="L480" s="104">
        <v>41729</v>
      </c>
      <c r="M480" s="102" t="s">
        <v>1614</v>
      </c>
      <c r="N480" s="102" t="s">
        <v>1615</v>
      </c>
      <c r="O480" s="102" t="s">
        <v>383</v>
      </c>
      <c r="P480" s="103">
        <v>1</v>
      </c>
      <c r="Q480" s="105">
        <v>880000</v>
      </c>
      <c r="R480" s="103">
        <v>48</v>
      </c>
      <c r="S480" s="105">
        <v>0</v>
      </c>
      <c r="T480" s="105">
        <v>880000</v>
      </c>
      <c r="U480" s="105">
        <v>0</v>
      </c>
      <c r="V480" s="105">
        <v>0</v>
      </c>
      <c r="W480" s="105">
        <v>0</v>
      </c>
      <c r="X480" s="105">
        <v>0</v>
      </c>
      <c r="Y480" s="105">
        <v>0</v>
      </c>
      <c r="Z480" s="105">
        <v>0</v>
      </c>
      <c r="AA480" s="105">
        <v>0</v>
      </c>
      <c r="AB480" s="105">
        <v>0</v>
      </c>
      <c r="AC480" s="8">
        <f t="shared" si="49"/>
        <v>880000</v>
      </c>
      <c r="AD480" s="8">
        <f t="shared" si="50"/>
        <v>0</v>
      </c>
      <c r="AE480" s="8">
        <f t="shared" si="51"/>
        <v>0</v>
      </c>
      <c r="AF480" s="106">
        <f t="shared" si="52"/>
        <v>0</v>
      </c>
      <c r="AG480" s="8">
        <f t="shared" si="53"/>
        <v>0</v>
      </c>
      <c r="AH480" s="8">
        <f>IF($O480="Aktif",MAX(0,MIN($AE480,$AD480-SUM($AG480:AG480))),0)</f>
        <v>0</v>
      </c>
      <c r="AI480" s="8">
        <f>IF($O480="Aktif",MAX(0,MIN($AE480,$AD480-SUM($AG480:AH480))),0)</f>
        <v>0</v>
      </c>
      <c r="AJ480" s="8">
        <f>IF($O480="Aktif",MAX(0,MIN($AE480,$AD480-SUM($AG480:AI480))),0)</f>
        <v>0</v>
      </c>
      <c r="AK480" s="8">
        <f>IF($O480="Aktif",MAX(0,MIN($AE480,$AD480-SUM($AG480:AJ480))),0)</f>
        <v>0</v>
      </c>
      <c r="AL480" s="8">
        <f>IF($O480="Aktif",MAX(0,MIN($AE480,$AD480-SUM($AG480:AK480))),0)</f>
        <v>0</v>
      </c>
      <c r="AM480" s="8">
        <f>IF($O480="Aktif",MAX(0,MIN($AE480,$AD480-SUM($AG480:AL480))),0)</f>
        <v>0</v>
      </c>
      <c r="AN480" s="8">
        <f>IF($O480="Aktif",MAX(0,MIN($AE480,$AD480-SUM($AG480:AM480))),0)</f>
        <v>0</v>
      </c>
      <c r="AO480" s="8">
        <f>IF($O480="Aktif",MAX(0,MIN($AE480,$AD480-SUM($AG480:AN480))),0)</f>
        <v>0</v>
      </c>
      <c r="AP480" s="8">
        <f>IF($O480="Aktif",MAX(0,MIN($AE480,$AD480-SUM($AG480:AO480))),0)</f>
        <v>0</v>
      </c>
      <c r="AQ480" s="8">
        <f>IF($O480="Aktif",MAX(0,MIN($AE480,$AD480-SUM($AG480:AP480))),0)</f>
        <v>0</v>
      </c>
      <c r="AR480" s="8">
        <f>IF($O480="Aktif",MAX(0,MIN($AE480,$AD480-SUM($AG480:AQ480))),0)</f>
        <v>0</v>
      </c>
      <c r="AS480" s="8">
        <f>IF($O480="Aktif",MAX(0,MIN($AE480,$AD480-SUM($AG480:AR480))),0)</f>
        <v>0</v>
      </c>
      <c r="AT480" s="8">
        <f>IF($O480="Aktif",MAX(0,MIN($AE480,$AD480-SUM($AG480:AS480))),0)</f>
        <v>0</v>
      </c>
      <c r="AU480" s="8">
        <f>IF($O480="Aktif",MAX(0,MIN($AE480,$AD480-SUM($AG480:AT480))),0)</f>
        <v>0</v>
      </c>
      <c r="AV480" s="8">
        <f>IF($O480="Aktif",MAX(0,MIN($AE480,$AD480-SUM($AG480:AU480))),0)</f>
        <v>0</v>
      </c>
      <c r="AW480" s="8">
        <f t="shared" si="54"/>
        <v>0</v>
      </c>
      <c r="AX480" s="8">
        <f t="shared" si="55"/>
        <v>0</v>
      </c>
    </row>
    <row r="481" spans="1:50" ht="15" customHeight="1" x14ac:dyDescent="0.35">
      <c r="A481" s="102">
        <v>475</v>
      </c>
      <c r="B481" s="102" t="s">
        <v>1326</v>
      </c>
      <c r="C481" s="103">
        <v>109</v>
      </c>
      <c r="D481" s="102" t="s">
        <v>185</v>
      </c>
      <c r="E481" s="102" t="s">
        <v>587</v>
      </c>
      <c r="F481" s="102" t="s">
        <v>1327</v>
      </c>
      <c r="G481" s="102" t="s">
        <v>1328</v>
      </c>
      <c r="H481" s="102" t="s">
        <v>1329</v>
      </c>
      <c r="I481" s="102" t="s">
        <v>63</v>
      </c>
      <c r="J481" s="102" t="s">
        <v>1616</v>
      </c>
      <c r="K481" s="102" t="s">
        <v>591</v>
      </c>
      <c r="L481" s="104">
        <v>41733</v>
      </c>
      <c r="M481" s="102" t="s">
        <v>1617</v>
      </c>
      <c r="N481" s="102" t="s">
        <v>1618</v>
      </c>
      <c r="O481" s="102" t="s">
        <v>383</v>
      </c>
      <c r="P481" s="103">
        <v>1</v>
      </c>
      <c r="Q481" s="105">
        <v>8825000</v>
      </c>
      <c r="R481" s="103">
        <v>48</v>
      </c>
      <c r="S481" s="105">
        <v>0</v>
      </c>
      <c r="T481" s="105">
        <v>8825000</v>
      </c>
      <c r="U481" s="105">
        <v>0</v>
      </c>
      <c r="V481" s="105">
        <v>0</v>
      </c>
      <c r="W481" s="105">
        <v>0</v>
      </c>
      <c r="X481" s="105">
        <v>0</v>
      </c>
      <c r="Y481" s="105">
        <v>0</v>
      </c>
      <c r="Z481" s="105">
        <v>0</v>
      </c>
      <c r="AA481" s="105">
        <v>0</v>
      </c>
      <c r="AB481" s="105">
        <v>0</v>
      </c>
      <c r="AC481" s="8">
        <f t="shared" si="49"/>
        <v>8825000</v>
      </c>
      <c r="AD481" s="8">
        <f t="shared" si="50"/>
        <v>0</v>
      </c>
      <c r="AE481" s="8">
        <f t="shared" si="51"/>
        <v>0</v>
      </c>
      <c r="AF481" s="106">
        <f t="shared" si="52"/>
        <v>0</v>
      </c>
      <c r="AG481" s="8">
        <f t="shared" si="53"/>
        <v>0</v>
      </c>
      <c r="AH481" s="8">
        <f>IF($O481="Aktif",MAX(0,MIN($AE481,$AD481-SUM($AG481:AG481))),0)</f>
        <v>0</v>
      </c>
      <c r="AI481" s="8">
        <f>IF($O481="Aktif",MAX(0,MIN($AE481,$AD481-SUM($AG481:AH481))),0)</f>
        <v>0</v>
      </c>
      <c r="AJ481" s="8">
        <f>IF($O481="Aktif",MAX(0,MIN($AE481,$AD481-SUM($AG481:AI481))),0)</f>
        <v>0</v>
      </c>
      <c r="AK481" s="8">
        <f>IF($O481="Aktif",MAX(0,MIN($AE481,$AD481-SUM($AG481:AJ481))),0)</f>
        <v>0</v>
      </c>
      <c r="AL481" s="8">
        <f>IF($O481="Aktif",MAX(0,MIN($AE481,$AD481-SUM($AG481:AK481))),0)</f>
        <v>0</v>
      </c>
      <c r="AM481" s="8">
        <f>IF($O481="Aktif",MAX(0,MIN($AE481,$AD481-SUM($AG481:AL481))),0)</f>
        <v>0</v>
      </c>
      <c r="AN481" s="8">
        <f>IF($O481="Aktif",MAX(0,MIN($AE481,$AD481-SUM($AG481:AM481))),0)</f>
        <v>0</v>
      </c>
      <c r="AO481" s="8">
        <f>IF($O481="Aktif",MAX(0,MIN($AE481,$AD481-SUM($AG481:AN481))),0)</f>
        <v>0</v>
      </c>
      <c r="AP481" s="8">
        <f>IF($O481="Aktif",MAX(0,MIN($AE481,$AD481-SUM($AG481:AO481))),0)</f>
        <v>0</v>
      </c>
      <c r="AQ481" s="8">
        <f>IF($O481="Aktif",MAX(0,MIN($AE481,$AD481-SUM($AG481:AP481))),0)</f>
        <v>0</v>
      </c>
      <c r="AR481" s="8">
        <f>IF($O481="Aktif",MAX(0,MIN($AE481,$AD481-SUM($AG481:AQ481))),0)</f>
        <v>0</v>
      </c>
      <c r="AS481" s="8">
        <f>IF($O481="Aktif",MAX(0,MIN($AE481,$AD481-SUM($AG481:AR481))),0)</f>
        <v>0</v>
      </c>
      <c r="AT481" s="8">
        <f>IF($O481="Aktif",MAX(0,MIN($AE481,$AD481-SUM($AG481:AS481))),0)</f>
        <v>0</v>
      </c>
      <c r="AU481" s="8">
        <f>IF($O481="Aktif",MAX(0,MIN($AE481,$AD481-SUM($AG481:AT481))),0)</f>
        <v>0</v>
      </c>
      <c r="AV481" s="8">
        <f>IF($O481="Aktif",MAX(0,MIN($AE481,$AD481-SUM($AG481:AU481))),0)</f>
        <v>0</v>
      </c>
      <c r="AW481" s="8">
        <f t="shared" si="54"/>
        <v>0</v>
      </c>
      <c r="AX481" s="8">
        <f t="shared" si="55"/>
        <v>0</v>
      </c>
    </row>
    <row r="482" spans="1:50" ht="15" customHeight="1" x14ac:dyDescent="0.35">
      <c r="A482" s="102">
        <v>476</v>
      </c>
      <c r="B482" s="102" t="s">
        <v>1326</v>
      </c>
      <c r="C482" s="103">
        <v>110</v>
      </c>
      <c r="D482" s="102" t="s">
        <v>185</v>
      </c>
      <c r="E482" s="102" t="s">
        <v>587</v>
      </c>
      <c r="F482" s="102" t="s">
        <v>1327</v>
      </c>
      <c r="G482" s="102" t="s">
        <v>1328</v>
      </c>
      <c r="H482" s="102" t="s">
        <v>1329</v>
      </c>
      <c r="I482" s="102" t="s">
        <v>63</v>
      </c>
      <c r="J482" s="102" t="s">
        <v>1619</v>
      </c>
      <c r="K482" s="102" t="s">
        <v>591</v>
      </c>
      <c r="L482" s="104">
        <v>41734</v>
      </c>
      <c r="M482" s="102" t="s">
        <v>1620</v>
      </c>
      <c r="N482" s="102" t="s">
        <v>1621</v>
      </c>
      <c r="O482" s="102" t="s">
        <v>383</v>
      </c>
      <c r="P482" s="103">
        <v>1</v>
      </c>
      <c r="Q482" s="105">
        <v>4750000</v>
      </c>
      <c r="R482" s="103">
        <v>48</v>
      </c>
      <c r="S482" s="105">
        <v>0</v>
      </c>
      <c r="T482" s="105">
        <v>4750000</v>
      </c>
      <c r="U482" s="105">
        <v>0</v>
      </c>
      <c r="V482" s="105">
        <v>0</v>
      </c>
      <c r="W482" s="105">
        <v>0</v>
      </c>
      <c r="X482" s="105">
        <v>0</v>
      </c>
      <c r="Y482" s="105">
        <v>0</v>
      </c>
      <c r="Z482" s="105">
        <v>0</v>
      </c>
      <c r="AA482" s="105">
        <v>0</v>
      </c>
      <c r="AB482" s="105">
        <v>0</v>
      </c>
      <c r="AC482" s="8">
        <f t="shared" si="49"/>
        <v>4750000</v>
      </c>
      <c r="AD482" s="8">
        <f t="shared" si="50"/>
        <v>0</v>
      </c>
      <c r="AE482" s="8">
        <f t="shared" si="51"/>
        <v>0</v>
      </c>
      <c r="AF482" s="106">
        <f t="shared" si="52"/>
        <v>0</v>
      </c>
      <c r="AG482" s="8">
        <f t="shared" si="53"/>
        <v>0</v>
      </c>
      <c r="AH482" s="8">
        <f>IF($O482="Aktif",MAX(0,MIN($AE482,$AD482-SUM($AG482:AG482))),0)</f>
        <v>0</v>
      </c>
      <c r="AI482" s="8">
        <f>IF($O482="Aktif",MAX(0,MIN($AE482,$AD482-SUM($AG482:AH482))),0)</f>
        <v>0</v>
      </c>
      <c r="AJ482" s="8">
        <f>IF($O482="Aktif",MAX(0,MIN($AE482,$AD482-SUM($AG482:AI482))),0)</f>
        <v>0</v>
      </c>
      <c r="AK482" s="8">
        <f>IF($O482="Aktif",MAX(0,MIN($AE482,$AD482-SUM($AG482:AJ482))),0)</f>
        <v>0</v>
      </c>
      <c r="AL482" s="8">
        <f>IF($O482="Aktif",MAX(0,MIN($AE482,$AD482-SUM($AG482:AK482))),0)</f>
        <v>0</v>
      </c>
      <c r="AM482" s="8">
        <f>IF($O482="Aktif",MAX(0,MIN($AE482,$AD482-SUM($AG482:AL482))),0)</f>
        <v>0</v>
      </c>
      <c r="AN482" s="8">
        <f>IF($O482="Aktif",MAX(0,MIN($AE482,$AD482-SUM($AG482:AM482))),0)</f>
        <v>0</v>
      </c>
      <c r="AO482" s="8">
        <f>IF($O482="Aktif",MAX(0,MIN($AE482,$AD482-SUM($AG482:AN482))),0)</f>
        <v>0</v>
      </c>
      <c r="AP482" s="8">
        <f>IF($O482="Aktif",MAX(0,MIN($AE482,$AD482-SUM($AG482:AO482))),0)</f>
        <v>0</v>
      </c>
      <c r="AQ482" s="8">
        <f>IF($O482="Aktif",MAX(0,MIN($AE482,$AD482-SUM($AG482:AP482))),0)</f>
        <v>0</v>
      </c>
      <c r="AR482" s="8">
        <f>IF($O482="Aktif",MAX(0,MIN($AE482,$AD482-SUM($AG482:AQ482))),0)</f>
        <v>0</v>
      </c>
      <c r="AS482" s="8">
        <f>IF($O482="Aktif",MAX(0,MIN($AE482,$AD482-SUM($AG482:AR482))),0)</f>
        <v>0</v>
      </c>
      <c r="AT482" s="8">
        <f>IF($O482="Aktif",MAX(0,MIN($AE482,$AD482-SUM($AG482:AS482))),0)</f>
        <v>0</v>
      </c>
      <c r="AU482" s="8">
        <f>IF($O482="Aktif",MAX(0,MIN($AE482,$AD482-SUM($AG482:AT482))),0)</f>
        <v>0</v>
      </c>
      <c r="AV482" s="8">
        <f>IF($O482="Aktif",MAX(0,MIN($AE482,$AD482-SUM($AG482:AU482))),0)</f>
        <v>0</v>
      </c>
      <c r="AW482" s="8">
        <f t="shared" si="54"/>
        <v>0</v>
      </c>
      <c r="AX482" s="8">
        <f t="shared" si="55"/>
        <v>0</v>
      </c>
    </row>
    <row r="483" spans="1:50" ht="15" customHeight="1" x14ac:dyDescent="0.35">
      <c r="A483" s="102">
        <v>477</v>
      </c>
      <c r="B483" s="102" t="s">
        <v>1326</v>
      </c>
      <c r="C483" s="103">
        <v>111</v>
      </c>
      <c r="D483" s="102" t="s">
        <v>185</v>
      </c>
      <c r="E483" s="102" t="s">
        <v>587</v>
      </c>
      <c r="F483" s="102" t="s">
        <v>1327</v>
      </c>
      <c r="G483" s="102" t="s">
        <v>1328</v>
      </c>
      <c r="H483" s="102" t="s">
        <v>1329</v>
      </c>
      <c r="I483" s="102" t="s">
        <v>63</v>
      </c>
      <c r="J483" s="102" t="s">
        <v>1622</v>
      </c>
      <c r="K483" s="102" t="s">
        <v>591</v>
      </c>
      <c r="L483" s="104">
        <v>41740</v>
      </c>
      <c r="M483" s="102" t="s">
        <v>1623</v>
      </c>
      <c r="N483" s="102" t="s">
        <v>1624</v>
      </c>
      <c r="O483" s="102" t="s">
        <v>383</v>
      </c>
      <c r="P483" s="103">
        <v>1</v>
      </c>
      <c r="Q483" s="105">
        <v>22800000</v>
      </c>
      <c r="R483" s="103">
        <v>48</v>
      </c>
      <c r="S483" s="105">
        <v>0</v>
      </c>
      <c r="T483" s="105">
        <v>22800000</v>
      </c>
      <c r="U483" s="105">
        <v>0</v>
      </c>
      <c r="V483" s="105">
        <v>0</v>
      </c>
      <c r="W483" s="105">
        <v>0</v>
      </c>
      <c r="X483" s="105">
        <v>0</v>
      </c>
      <c r="Y483" s="105">
        <v>0</v>
      </c>
      <c r="Z483" s="105">
        <v>0</v>
      </c>
      <c r="AA483" s="105">
        <v>0</v>
      </c>
      <c r="AB483" s="105">
        <v>0</v>
      </c>
      <c r="AC483" s="8">
        <f t="shared" si="49"/>
        <v>22800000</v>
      </c>
      <c r="AD483" s="8">
        <f t="shared" si="50"/>
        <v>0</v>
      </c>
      <c r="AE483" s="8">
        <f t="shared" si="51"/>
        <v>0</v>
      </c>
      <c r="AF483" s="106">
        <f t="shared" si="52"/>
        <v>0</v>
      </c>
      <c r="AG483" s="8">
        <f t="shared" si="53"/>
        <v>0</v>
      </c>
      <c r="AH483" s="8">
        <f>IF($O483="Aktif",MAX(0,MIN($AE483,$AD483-SUM($AG483:AG483))),0)</f>
        <v>0</v>
      </c>
      <c r="AI483" s="8">
        <f>IF($O483="Aktif",MAX(0,MIN($AE483,$AD483-SUM($AG483:AH483))),0)</f>
        <v>0</v>
      </c>
      <c r="AJ483" s="8">
        <f>IF($O483="Aktif",MAX(0,MIN($AE483,$AD483-SUM($AG483:AI483))),0)</f>
        <v>0</v>
      </c>
      <c r="AK483" s="8">
        <f>IF($O483="Aktif",MAX(0,MIN($AE483,$AD483-SUM($AG483:AJ483))),0)</f>
        <v>0</v>
      </c>
      <c r="AL483" s="8">
        <f>IF($O483="Aktif",MAX(0,MIN($AE483,$AD483-SUM($AG483:AK483))),0)</f>
        <v>0</v>
      </c>
      <c r="AM483" s="8">
        <f>IF($O483="Aktif",MAX(0,MIN($AE483,$AD483-SUM($AG483:AL483))),0)</f>
        <v>0</v>
      </c>
      <c r="AN483" s="8">
        <f>IF($O483="Aktif",MAX(0,MIN($AE483,$AD483-SUM($AG483:AM483))),0)</f>
        <v>0</v>
      </c>
      <c r="AO483" s="8">
        <f>IF($O483="Aktif",MAX(0,MIN($AE483,$AD483-SUM($AG483:AN483))),0)</f>
        <v>0</v>
      </c>
      <c r="AP483" s="8">
        <f>IF($O483="Aktif",MAX(0,MIN($AE483,$AD483-SUM($AG483:AO483))),0)</f>
        <v>0</v>
      </c>
      <c r="AQ483" s="8">
        <f>IF($O483="Aktif",MAX(0,MIN($AE483,$AD483-SUM($AG483:AP483))),0)</f>
        <v>0</v>
      </c>
      <c r="AR483" s="8">
        <f>IF($O483="Aktif",MAX(0,MIN($AE483,$AD483-SUM($AG483:AQ483))),0)</f>
        <v>0</v>
      </c>
      <c r="AS483" s="8">
        <f>IF($O483="Aktif",MAX(0,MIN($AE483,$AD483-SUM($AG483:AR483))),0)</f>
        <v>0</v>
      </c>
      <c r="AT483" s="8">
        <f>IF($O483="Aktif",MAX(0,MIN($AE483,$AD483-SUM($AG483:AS483))),0)</f>
        <v>0</v>
      </c>
      <c r="AU483" s="8">
        <f>IF($O483="Aktif",MAX(0,MIN($AE483,$AD483-SUM($AG483:AT483))),0)</f>
        <v>0</v>
      </c>
      <c r="AV483" s="8">
        <f>IF($O483="Aktif",MAX(0,MIN($AE483,$AD483-SUM($AG483:AU483))),0)</f>
        <v>0</v>
      </c>
      <c r="AW483" s="8">
        <f t="shared" si="54"/>
        <v>0</v>
      </c>
      <c r="AX483" s="8">
        <f t="shared" si="55"/>
        <v>0</v>
      </c>
    </row>
    <row r="484" spans="1:50" ht="15" customHeight="1" x14ac:dyDescent="0.35">
      <c r="A484" s="102">
        <v>478</v>
      </c>
      <c r="B484" s="102" t="s">
        <v>1326</v>
      </c>
      <c r="C484" s="103">
        <v>112</v>
      </c>
      <c r="D484" s="102" t="s">
        <v>185</v>
      </c>
      <c r="E484" s="102" t="s">
        <v>587</v>
      </c>
      <c r="F484" s="102" t="s">
        <v>1327</v>
      </c>
      <c r="G484" s="102" t="s">
        <v>1328</v>
      </c>
      <c r="H484" s="102" t="s">
        <v>1329</v>
      </c>
      <c r="I484" s="102" t="s">
        <v>63</v>
      </c>
      <c r="J484" s="102" t="s">
        <v>1625</v>
      </c>
      <c r="K484" s="102" t="s">
        <v>591</v>
      </c>
      <c r="L484" s="104">
        <v>41740</v>
      </c>
      <c r="M484" s="102" t="s">
        <v>1626</v>
      </c>
      <c r="N484" s="102" t="s">
        <v>1627</v>
      </c>
      <c r="O484" s="102" t="s">
        <v>383</v>
      </c>
      <c r="P484" s="103">
        <v>1</v>
      </c>
      <c r="Q484" s="105">
        <v>20100000</v>
      </c>
      <c r="R484" s="103">
        <v>48</v>
      </c>
      <c r="S484" s="105">
        <v>0</v>
      </c>
      <c r="T484" s="105">
        <v>20100000</v>
      </c>
      <c r="U484" s="105">
        <v>0</v>
      </c>
      <c r="V484" s="105">
        <v>0</v>
      </c>
      <c r="W484" s="105">
        <v>0</v>
      </c>
      <c r="X484" s="105">
        <v>0</v>
      </c>
      <c r="Y484" s="105">
        <v>0</v>
      </c>
      <c r="Z484" s="105">
        <v>0</v>
      </c>
      <c r="AA484" s="105">
        <v>0</v>
      </c>
      <c r="AB484" s="105">
        <v>0</v>
      </c>
      <c r="AC484" s="8">
        <f t="shared" si="49"/>
        <v>20100000</v>
      </c>
      <c r="AD484" s="8">
        <f t="shared" si="50"/>
        <v>0</v>
      </c>
      <c r="AE484" s="8">
        <f t="shared" si="51"/>
        <v>0</v>
      </c>
      <c r="AF484" s="106">
        <f t="shared" si="52"/>
        <v>0</v>
      </c>
      <c r="AG484" s="8">
        <f t="shared" si="53"/>
        <v>0</v>
      </c>
      <c r="AH484" s="8">
        <f>IF($O484="Aktif",MAX(0,MIN($AE484,$AD484-SUM($AG484:AG484))),0)</f>
        <v>0</v>
      </c>
      <c r="AI484" s="8">
        <f>IF($O484="Aktif",MAX(0,MIN($AE484,$AD484-SUM($AG484:AH484))),0)</f>
        <v>0</v>
      </c>
      <c r="AJ484" s="8">
        <f>IF($O484="Aktif",MAX(0,MIN($AE484,$AD484-SUM($AG484:AI484))),0)</f>
        <v>0</v>
      </c>
      <c r="AK484" s="8">
        <f>IF($O484="Aktif",MAX(0,MIN($AE484,$AD484-SUM($AG484:AJ484))),0)</f>
        <v>0</v>
      </c>
      <c r="AL484" s="8">
        <f>IF($O484="Aktif",MAX(0,MIN($AE484,$AD484-SUM($AG484:AK484))),0)</f>
        <v>0</v>
      </c>
      <c r="AM484" s="8">
        <f>IF($O484="Aktif",MAX(0,MIN($AE484,$AD484-SUM($AG484:AL484))),0)</f>
        <v>0</v>
      </c>
      <c r="AN484" s="8">
        <f>IF($O484="Aktif",MAX(0,MIN($AE484,$AD484-SUM($AG484:AM484))),0)</f>
        <v>0</v>
      </c>
      <c r="AO484" s="8">
        <f>IF($O484="Aktif",MAX(0,MIN($AE484,$AD484-SUM($AG484:AN484))),0)</f>
        <v>0</v>
      </c>
      <c r="AP484" s="8">
        <f>IF($O484="Aktif",MAX(0,MIN($AE484,$AD484-SUM($AG484:AO484))),0)</f>
        <v>0</v>
      </c>
      <c r="AQ484" s="8">
        <f>IF($O484="Aktif",MAX(0,MIN($AE484,$AD484-SUM($AG484:AP484))),0)</f>
        <v>0</v>
      </c>
      <c r="AR484" s="8">
        <f>IF($O484="Aktif",MAX(0,MIN($AE484,$AD484-SUM($AG484:AQ484))),0)</f>
        <v>0</v>
      </c>
      <c r="AS484" s="8">
        <f>IF($O484="Aktif",MAX(0,MIN($AE484,$AD484-SUM($AG484:AR484))),0)</f>
        <v>0</v>
      </c>
      <c r="AT484" s="8">
        <f>IF($O484="Aktif",MAX(0,MIN($AE484,$AD484-SUM($AG484:AS484))),0)</f>
        <v>0</v>
      </c>
      <c r="AU484" s="8">
        <f>IF($O484="Aktif",MAX(0,MIN($AE484,$AD484-SUM($AG484:AT484))),0)</f>
        <v>0</v>
      </c>
      <c r="AV484" s="8">
        <f>IF($O484="Aktif",MAX(0,MIN($AE484,$AD484-SUM($AG484:AU484))),0)</f>
        <v>0</v>
      </c>
      <c r="AW484" s="8">
        <f t="shared" si="54"/>
        <v>0</v>
      </c>
      <c r="AX484" s="8">
        <f t="shared" si="55"/>
        <v>0</v>
      </c>
    </row>
    <row r="485" spans="1:50" ht="15" customHeight="1" x14ac:dyDescent="0.35">
      <c r="A485" s="102">
        <v>479</v>
      </c>
      <c r="B485" s="102" t="s">
        <v>1326</v>
      </c>
      <c r="C485" s="103">
        <v>113</v>
      </c>
      <c r="D485" s="102" t="s">
        <v>185</v>
      </c>
      <c r="E485" s="102" t="s">
        <v>587</v>
      </c>
      <c r="F485" s="102" t="s">
        <v>1327</v>
      </c>
      <c r="G485" s="102" t="s">
        <v>1328</v>
      </c>
      <c r="H485" s="102" t="s">
        <v>1329</v>
      </c>
      <c r="I485" s="102" t="s">
        <v>63</v>
      </c>
      <c r="J485" s="102" t="s">
        <v>1628</v>
      </c>
      <c r="K485" s="102" t="s">
        <v>591</v>
      </c>
      <c r="L485" s="104">
        <v>41754</v>
      </c>
      <c r="M485" s="102" t="s">
        <v>1629</v>
      </c>
      <c r="N485" s="102" t="s">
        <v>1630</v>
      </c>
      <c r="O485" s="102" t="s">
        <v>383</v>
      </c>
      <c r="P485" s="103">
        <v>1</v>
      </c>
      <c r="Q485" s="105">
        <v>16500000</v>
      </c>
      <c r="R485" s="103">
        <v>48</v>
      </c>
      <c r="S485" s="105">
        <v>0</v>
      </c>
      <c r="T485" s="105">
        <v>16500000</v>
      </c>
      <c r="U485" s="105">
        <v>0</v>
      </c>
      <c r="V485" s="105">
        <v>0</v>
      </c>
      <c r="W485" s="105">
        <v>0</v>
      </c>
      <c r="X485" s="105">
        <v>0</v>
      </c>
      <c r="Y485" s="105">
        <v>0</v>
      </c>
      <c r="Z485" s="105">
        <v>0</v>
      </c>
      <c r="AA485" s="105">
        <v>0</v>
      </c>
      <c r="AB485" s="105">
        <v>0</v>
      </c>
      <c r="AC485" s="8">
        <f t="shared" si="49"/>
        <v>16500000</v>
      </c>
      <c r="AD485" s="8">
        <f t="shared" si="50"/>
        <v>0</v>
      </c>
      <c r="AE485" s="8">
        <f t="shared" si="51"/>
        <v>0</v>
      </c>
      <c r="AF485" s="106">
        <f t="shared" si="52"/>
        <v>0</v>
      </c>
      <c r="AG485" s="8">
        <f t="shared" si="53"/>
        <v>0</v>
      </c>
      <c r="AH485" s="8">
        <f>IF($O485="Aktif",MAX(0,MIN($AE485,$AD485-SUM($AG485:AG485))),0)</f>
        <v>0</v>
      </c>
      <c r="AI485" s="8">
        <f>IF($O485="Aktif",MAX(0,MIN($AE485,$AD485-SUM($AG485:AH485))),0)</f>
        <v>0</v>
      </c>
      <c r="AJ485" s="8">
        <f>IF($O485="Aktif",MAX(0,MIN($AE485,$AD485-SUM($AG485:AI485))),0)</f>
        <v>0</v>
      </c>
      <c r="AK485" s="8">
        <f>IF($O485="Aktif",MAX(0,MIN($AE485,$AD485-SUM($AG485:AJ485))),0)</f>
        <v>0</v>
      </c>
      <c r="AL485" s="8">
        <f>IF($O485="Aktif",MAX(0,MIN($AE485,$AD485-SUM($AG485:AK485))),0)</f>
        <v>0</v>
      </c>
      <c r="AM485" s="8">
        <f>IF($O485="Aktif",MAX(0,MIN($AE485,$AD485-SUM($AG485:AL485))),0)</f>
        <v>0</v>
      </c>
      <c r="AN485" s="8">
        <f>IF($O485="Aktif",MAX(0,MIN($AE485,$AD485-SUM($AG485:AM485))),0)</f>
        <v>0</v>
      </c>
      <c r="AO485" s="8">
        <f>IF($O485="Aktif",MAX(0,MIN($AE485,$AD485-SUM($AG485:AN485))),0)</f>
        <v>0</v>
      </c>
      <c r="AP485" s="8">
        <f>IF($O485="Aktif",MAX(0,MIN($AE485,$AD485-SUM($AG485:AO485))),0)</f>
        <v>0</v>
      </c>
      <c r="AQ485" s="8">
        <f>IF($O485="Aktif",MAX(0,MIN($AE485,$AD485-SUM($AG485:AP485))),0)</f>
        <v>0</v>
      </c>
      <c r="AR485" s="8">
        <f>IF($O485="Aktif",MAX(0,MIN($AE485,$AD485-SUM($AG485:AQ485))),0)</f>
        <v>0</v>
      </c>
      <c r="AS485" s="8">
        <f>IF($O485="Aktif",MAX(0,MIN($AE485,$AD485-SUM($AG485:AR485))),0)</f>
        <v>0</v>
      </c>
      <c r="AT485" s="8">
        <f>IF($O485="Aktif",MAX(0,MIN($AE485,$AD485-SUM($AG485:AS485))),0)</f>
        <v>0</v>
      </c>
      <c r="AU485" s="8">
        <f>IF($O485="Aktif",MAX(0,MIN($AE485,$AD485-SUM($AG485:AT485))),0)</f>
        <v>0</v>
      </c>
      <c r="AV485" s="8">
        <f>IF($O485="Aktif",MAX(0,MIN($AE485,$AD485-SUM($AG485:AU485))),0)</f>
        <v>0</v>
      </c>
      <c r="AW485" s="8">
        <f t="shared" si="54"/>
        <v>0</v>
      </c>
      <c r="AX485" s="8">
        <f t="shared" si="55"/>
        <v>0</v>
      </c>
    </row>
    <row r="486" spans="1:50" ht="15" customHeight="1" x14ac:dyDescent="0.35">
      <c r="A486" s="102">
        <v>480</v>
      </c>
      <c r="B486" s="102" t="s">
        <v>1326</v>
      </c>
      <c r="C486" s="103">
        <v>114</v>
      </c>
      <c r="D486" s="102" t="s">
        <v>185</v>
      </c>
      <c r="E486" s="102" t="s">
        <v>587</v>
      </c>
      <c r="F486" s="102" t="s">
        <v>1327</v>
      </c>
      <c r="G486" s="102" t="s">
        <v>1328</v>
      </c>
      <c r="H486" s="102" t="s">
        <v>1329</v>
      </c>
      <c r="I486" s="102" t="s">
        <v>63</v>
      </c>
      <c r="J486" s="102" t="s">
        <v>1631</v>
      </c>
      <c r="K486" s="102" t="s">
        <v>591</v>
      </c>
      <c r="L486" s="104">
        <v>41754</v>
      </c>
      <c r="M486" s="102" t="s">
        <v>1632</v>
      </c>
      <c r="N486" s="102" t="s">
        <v>1633</v>
      </c>
      <c r="O486" s="102" t="s">
        <v>383</v>
      </c>
      <c r="P486" s="103">
        <v>1</v>
      </c>
      <c r="Q486" s="105">
        <v>4675000</v>
      </c>
      <c r="R486" s="103">
        <v>48</v>
      </c>
      <c r="S486" s="105">
        <v>0</v>
      </c>
      <c r="T486" s="105">
        <v>4675000</v>
      </c>
      <c r="U486" s="105">
        <v>0</v>
      </c>
      <c r="V486" s="105">
        <v>0</v>
      </c>
      <c r="W486" s="105">
        <v>0</v>
      </c>
      <c r="X486" s="105">
        <v>0</v>
      </c>
      <c r="Y486" s="105">
        <v>0</v>
      </c>
      <c r="Z486" s="105">
        <v>0</v>
      </c>
      <c r="AA486" s="105">
        <v>0</v>
      </c>
      <c r="AB486" s="105">
        <v>0</v>
      </c>
      <c r="AC486" s="8">
        <f t="shared" si="49"/>
        <v>4675000</v>
      </c>
      <c r="AD486" s="8">
        <f t="shared" si="50"/>
        <v>0</v>
      </c>
      <c r="AE486" s="8">
        <f t="shared" si="51"/>
        <v>0</v>
      </c>
      <c r="AF486" s="106">
        <f t="shared" si="52"/>
        <v>0</v>
      </c>
      <c r="AG486" s="8">
        <f t="shared" si="53"/>
        <v>0</v>
      </c>
      <c r="AH486" s="8">
        <f>IF($O486="Aktif",MAX(0,MIN($AE486,$AD486-SUM($AG486:AG486))),0)</f>
        <v>0</v>
      </c>
      <c r="AI486" s="8">
        <f>IF($O486="Aktif",MAX(0,MIN($AE486,$AD486-SUM($AG486:AH486))),0)</f>
        <v>0</v>
      </c>
      <c r="AJ486" s="8">
        <f>IF($O486="Aktif",MAX(0,MIN($AE486,$AD486-SUM($AG486:AI486))),0)</f>
        <v>0</v>
      </c>
      <c r="AK486" s="8">
        <f>IF($O486="Aktif",MAX(0,MIN($AE486,$AD486-SUM($AG486:AJ486))),0)</f>
        <v>0</v>
      </c>
      <c r="AL486" s="8">
        <f>IF($O486="Aktif",MAX(0,MIN($AE486,$AD486-SUM($AG486:AK486))),0)</f>
        <v>0</v>
      </c>
      <c r="AM486" s="8">
        <f>IF($O486="Aktif",MAX(0,MIN($AE486,$AD486-SUM($AG486:AL486))),0)</f>
        <v>0</v>
      </c>
      <c r="AN486" s="8">
        <f>IF($O486="Aktif",MAX(0,MIN($AE486,$AD486-SUM($AG486:AM486))),0)</f>
        <v>0</v>
      </c>
      <c r="AO486" s="8">
        <f>IF($O486="Aktif",MAX(0,MIN($AE486,$AD486-SUM($AG486:AN486))),0)</f>
        <v>0</v>
      </c>
      <c r="AP486" s="8">
        <f>IF($O486="Aktif",MAX(0,MIN($AE486,$AD486-SUM($AG486:AO486))),0)</f>
        <v>0</v>
      </c>
      <c r="AQ486" s="8">
        <f>IF($O486="Aktif",MAX(0,MIN($AE486,$AD486-SUM($AG486:AP486))),0)</f>
        <v>0</v>
      </c>
      <c r="AR486" s="8">
        <f>IF($O486="Aktif",MAX(0,MIN($AE486,$AD486-SUM($AG486:AQ486))),0)</f>
        <v>0</v>
      </c>
      <c r="AS486" s="8">
        <f>IF($O486="Aktif",MAX(0,MIN($AE486,$AD486-SUM($AG486:AR486))),0)</f>
        <v>0</v>
      </c>
      <c r="AT486" s="8">
        <f>IF($O486="Aktif",MAX(0,MIN($AE486,$AD486-SUM($AG486:AS486))),0)</f>
        <v>0</v>
      </c>
      <c r="AU486" s="8">
        <f>IF($O486="Aktif",MAX(0,MIN($AE486,$AD486-SUM($AG486:AT486))),0)</f>
        <v>0</v>
      </c>
      <c r="AV486" s="8">
        <f>IF($O486="Aktif",MAX(0,MIN($AE486,$AD486-SUM($AG486:AU486))),0)</f>
        <v>0</v>
      </c>
      <c r="AW486" s="8">
        <f t="shared" si="54"/>
        <v>0</v>
      </c>
      <c r="AX486" s="8">
        <f t="shared" si="55"/>
        <v>0</v>
      </c>
    </row>
    <row r="487" spans="1:50" ht="15" customHeight="1" x14ac:dyDescent="0.35">
      <c r="A487" s="102">
        <v>481</v>
      </c>
      <c r="B487" s="102" t="s">
        <v>1326</v>
      </c>
      <c r="C487" s="103">
        <v>115</v>
      </c>
      <c r="D487" s="102" t="s">
        <v>185</v>
      </c>
      <c r="E487" s="102" t="s">
        <v>587</v>
      </c>
      <c r="F487" s="102" t="s">
        <v>1327</v>
      </c>
      <c r="G487" s="102" t="s">
        <v>1328</v>
      </c>
      <c r="H487" s="102" t="s">
        <v>1329</v>
      </c>
      <c r="I487" s="102" t="s">
        <v>63</v>
      </c>
      <c r="J487" s="102" t="s">
        <v>1634</v>
      </c>
      <c r="K487" s="102" t="s">
        <v>591</v>
      </c>
      <c r="L487" s="104">
        <v>41754</v>
      </c>
      <c r="M487" s="102" t="s">
        <v>1635</v>
      </c>
      <c r="N487" s="102" t="s">
        <v>1636</v>
      </c>
      <c r="O487" s="102" t="s">
        <v>383</v>
      </c>
      <c r="P487" s="103">
        <v>1</v>
      </c>
      <c r="Q487" s="105">
        <v>8725000</v>
      </c>
      <c r="R487" s="103">
        <v>48</v>
      </c>
      <c r="S487" s="105">
        <v>0</v>
      </c>
      <c r="T487" s="105">
        <v>8725000</v>
      </c>
      <c r="U487" s="105">
        <v>0</v>
      </c>
      <c r="V487" s="105">
        <v>0</v>
      </c>
      <c r="W487" s="105">
        <v>0</v>
      </c>
      <c r="X487" s="105">
        <v>0</v>
      </c>
      <c r="Y487" s="105">
        <v>0</v>
      </c>
      <c r="Z487" s="105">
        <v>0</v>
      </c>
      <c r="AA487" s="105">
        <v>0</v>
      </c>
      <c r="AB487" s="105">
        <v>0</v>
      </c>
      <c r="AC487" s="8">
        <f t="shared" si="49"/>
        <v>8725000</v>
      </c>
      <c r="AD487" s="8">
        <f t="shared" si="50"/>
        <v>0</v>
      </c>
      <c r="AE487" s="8">
        <f t="shared" si="51"/>
        <v>0</v>
      </c>
      <c r="AF487" s="106">
        <f t="shared" si="52"/>
        <v>0</v>
      </c>
      <c r="AG487" s="8">
        <f t="shared" si="53"/>
        <v>0</v>
      </c>
      <c r="AH487" s="8">
        <f>IF($O487="Aktif",MAX(0,MIN($AE487,$AD487-SUM($AG487:AG487))),0)</f>
        <v>0</v>
      </c>
      <c r="AI487" s="8">
        <f>IF($O487="Aktif",MAX(0,MIN($AE487,$AD487-SUM($AG487:AH487))),0)</f>
        <v>0</v>
      </c>
      <c r="AJ487" s="8">
        <f>IF($O487="Aktif",MAX(0,MIN($AE487,$AD487-SUM($AG487:AI487))),0)</f>
        <v>0</v>
      </c>
      <c r="AK487" s="8">
        <f>IF($O487="Aktif",MAX(0,MIN($AE487,$AD487-SUM($AG487:AJ487))),0)</f>
        <v>0</v>
      </c>
      <c r="AL487" s="8">
        <f>IF($O487="Aktif",MAX(0,MIN($AE487,$AD487-SUM($AG487:AK487))),0)</f>
        <v>0</v>
      </c>
      <c r="AM487" s="8">
        <f>IF($O487="Aktif",MAX(0,MIN($AE487,$AD487-SUM($AG487:AL487))),0)</f>
        <v>0</v>
      </c>
      <c r="AN487" s="8">
        <f>IF($O487="Aktif",MAX(0,MIN($AE487,$AD487-SUM($AG487:AM487))),0)</f>
        <v>0</v>
      </c>
      <c r="AO487" s="8">
        <f>IF($O487="Aktif",MAX(0,MIN($AE487,$AD487-SUM($AG487:AN487))),0)</f>
        <v>0</v>
      </c>
      <c r="AP487" s="8">
        <f>IF($O487="Aktif",MAX(0,MIN($AE487,$AD487-SUM($AG487:AO487))),0)</f>
        <v>0</v>
      </c>
      <c r="AQ487" s="8">
        <f>IF($O487="Aktif",MAX(0,MIN($AE487,$AD487-SUM($AG487:AP487))),0)</f>
        <v>0</v>
      </c>
      <c r="AR487" s="8">
        <f>IF($O487="Aktif",MAX(0,MIN($AE487,$AD487-SUM($AG487:AQ487))),0)</f>
        <v>0</v>
      </c>
      <c r="AS487" s="8">
        <f>IF($O487="Aktif",MAX(0,MIN($AE487,$AD487-SUM($AG487:AR487))),0)</f>
        <v>0</v>
      </c>
      <c r="AT487" s="8">
        <f>IF($O487="Aktif",MAX(0,MIN($AE487,$AD487-SUM($AG487:AS487))),0)</f>
        <v>0</v>
      </c>
      <c r="AU487" s="8">
        <f>IF($O487="Aktif",MAX(0,MIN($AE487,$AD487-SUM($AG487:AT487))),0)</f>
        <v>0</v>
      </c>
      <c r="AV487" s="8">
        <f>IF($O487="Aktif",MAX(0,MIN($AE487,$AD487-SUM($AG487:AU487))),0)</f>
        <v>0</v>
      </c>
      <c r="AW487" s="8">
        <f t="shared" si="54"/>
        <v>0</v>
      </c>
      <c r="AX487" s="8">
        <f t="shared" si="55"/>
        <v>0</v>
      </c>
    </row>
    <row r="488" spans="1:50" ht="15" customHeight="1" x14ac:dyDescent="0.35">
      <c r="A488" s="102">
        <v>482</v>
      </c>
      <c r="B488" s="102" t="s">
        <v>1326</v>
      </c>
      <c r="C488" s="103">
        <v>116</v>
      </c>
      <c r="D488" s="102" t="s">
        <v>185</v>
      </c>
      <c r="E488" s="102" t="s">
        <v>587</v>
      </c>
      <c r="F488" s="102" t="s">
        <v>1327</v>
      </c>
      <c r="G488" s="102" t="s">
        <v>1328</v>
      </c>
      <c r="H488" s="102" t="s">
        <v>1329</v>
      </c>
      <c r="I488" s="102" t="s">
        <v>63</v>
      </c>
      <c r="J488" s="102" t="s">
        <v>1637</v>
      </c>
      <c r="K488" s="102" t="s">
        <v>591</v>
      </c>
      <c r="L488" s="104">
        <v>41758</v>
      </c>
      <c r="M488" s="102" t="s">
        <v>1638</v>
      </c>
      <c r="N488" s="102" t="s">
        <v>1639</v>
      </c>
      <c r="O488" s="102" t="s">
        <v>383</v>
      </c>
      <c r="P488" s="103">
        <v>1</v>
      </c>
      <c r="Q488" s="105">
        <v>11880000</v>
      </c>
      <c r="R488" s="103">
        <v>48</v>
      </c>
      <c r="S488" s="105">
        <v>0</v>
      </c>
      <c r="T488" s="105">
        <v>11880000</v>
      </c>
      <c r="U488" s="105">
        <v>0</v>
      </c>
      <c r="V488" s="105">
        <v>0</v>
      </c>
      <c r="W488" s="105">
        <v>0</v>
      </c>
      <c r="X488" s="105">
        <v>0</v>
      </c>
      <c r="Y488" s="105">
        <v>0</v>
      </c>
      <c r="Z488" s="105">
        <v>0</v>
      </c>
      <c r="AA488" s="105">
        <v>0</v>
      </c>
      <c r="AB488" s="105">
        <v>0</v>
      </c>
      <c r="AC488" s="8">
        <f t="shared" si="49"/>
        <v>11880000</v>
      </c>
      <c r="AD488" s="8">
        <f t="shared" si="50"/>
        <v>0</v>
      </c>
      <c r="AE488" s="8">
        <f t="shared" si="51"/>
        <v>0</v>
      </c>
      <c r="AF488" s="106">
        <f t="shared" si="52"/>
        <v>0</v>
      </c>
      <c r="AG488" s="8">
        <f t="shared" si="53"/>
        <v>0</v>
      </c>
      <c r="AH488" s="8">
        <f>IF($O488="Aktif",MAX(0,MIN($AE488,$AD488-SUM($AG488:AG488))),0)</f>
        <v>0</v>
      </c>
      <c r="AI488" s="8">
        <f>IF($O488="Aktif",MAX(0,MIN($AE488,$AD488-SUM($AG488:AH488))),0)</f>
        <v>0</v>
      </c>
      <c r="AJ488" s="8">
        <f>IF($O488="Aktif",MAX(0,MIN($AE488,$AD488-SUM($AG488:AI488))),0)</f>
        <v>0</v>
      </c>
      <c r="AK488" s="8">
        <f>IF($O488="Aktif",MAX(0,MIN($AE488,$AD488-SUM($AG488:AJ488))),0)</f>
        <v>0</v>
      </c>
      <c r="AL488" s="8">
        <f>IF($O488="Aktif",MAX(0,MIN($AE488,$AD488-SUM($AG488:AK488))),0)</f>
        <v>0</v>
      </c>
      <c r="AM488" s="8">
        <f>IF($O488="Aktif",MAX(0,MIN($AE488,$AD488-SUM($AG488:AL488))),0)</f>
        <v>0</v>
      </c>
      <c r="AN488" s="8">
        <f>IF($O488="Aktif",MAX(0,MIN($AE488,$AD488-SUM($AG488:AM488))),0)</f>
        <v>0</v>
      </c>
      <c r="AO488" s="8">
        <f>IF($O488="Aktif",MAX(0,MIN($AE488,$AD488-SUM($AG488:AN488))),0)</f>
        <v>0</v>
      </c>
      <c r="AP488" s="8">
        <f>IF($O488="Aktif",MAX(0,MIN($AE488,$AD488-SUM($AG488:AO488))),0)</f>
        <v>0</v>
      </c>
      <c r="AQ488" s="8">
        <f>IF($O488="Aktif",MAX(0,MIN($AE488,$AD488-SUM($AG488:AP488))),0)</f>
        <v>0</v>
      </c>
      <c r="AR488" s="8">
        <f>IF($O488="Aktif",MAX(0,MIN($AE488,$AD488-SUM($AG488:AQ488))),0)</f>
        <v>0</v>
      </c>
      <c r="AS488" s="8">
        <f>IF($O488="Aktif",MAX(0,MIN($AE488,$AD488-SUM($AG488:AR488))),0)</f>
        <v>0</v>
      </c>
      <c r="AT488" s="8">
        <f>IF($O488="Aktif",MAX(0,MIN($AE488,$AD488-SUM($AG488:AS488))),0)</f>
        <v>0</v>
      </c>
      <c r="AU488" s="8">
        <f>IF($O488="Aktif",MAX(0,MIN($AE488,$AD488-SUM($AG488:AT488))),0)</f>
        <v>0</v>
      </c>
      <c r="AV488" s="8">
        <f>IF($O488="Aktif",MAX(0,MIN($AE488,$AD488-SUM($AG488:AU488))),0)</f>
        <v>0</v>
      </c>
      <c r="AW488" s="8">
        <f t="shared" si="54"/>
        <v>0</v>
      </c>
      <c r="AX488" s="8">
        <f t="shared" si="55"/>
        <v>0</v>
      </c>
    </row>
    <row r="489" spans="1:50" ht="15" customHeight="1" x14ac:dyDescent="0.35">
      <c r="A489" s="102">
        <v>483</v>
      </c>
      <c r="B489" s="102" t="s">
        <v>1326</v>
      </c>
      <c r="C489" s="103">
        <v>117</v>
      </c>
      <c r="D489" s="102" t="s">
        <v>185</v>
      </c>
      <c r="E489" s="102" t="s">
        <v>587</v>
      </c>
      <c r="F489" s="102" t="s">
        <v>1327</v>
      </c>
      <c r="G489" s="102" t="s">
        <v>1328</v>
      </c>
      <c r="H489" s="102" t="s">
        <v>1329</v>
      </c>
      <c r="I489" s="102" t="s">
        <v>63</v>
      </c>
      <c r="J489" s="102" t="s">
        <v>1640</v>
      </c>
      <c r="K489" s="102" t="s">
        <v>591</v>
      </c>
      <c r="L489" s="104">
        <v>41759</v>
      </c>
      <c r="M489" s="102" t="s">
        <v>1641</v>
      </c>
      <c r="N489" s="102" t="s">
        <v>1642</v>
      </c>
      <c r="O489" s="102" t="s">
        <v>383</v>
      </c>
      <c r="P489" s="103">
        <v>1</v>
      </c>
      <c r="Q489" s="105">
        <v>12100000</v>
      </c>
      <c r="R489" s="103">
        <v>48</v>
      </c>
      <c r="S489" s="105">
        <v>0</v>
      </c>
      <c r="T489" s="105">
        <v>12100000</v>
      </c>
      <c r="U489" s="105">
        <v>0</v>
      </c>
      <c r="V489" s="105">
        <v>0</v>
      </c>
      <c r="W489" s="105">
        <v>0</v>
      </c>
      <c r="X489" s="105">
        <v>0</v>
      </c>
      <c r="Y489" s="105">
        <v>0</v>
      </c>
      <c r="Z489" s="105">
        <v>0</v>
      </c>
      <c r="AA489" s="105">
        <v>0</v>
      </c>
      <c r="AB489" s="105">
        <v>0</v>
      </c>
      <c r="AC489" s="8">
        <f t="shared" si="49"/>
        <v>12100000</v>
      </c>
      <c r="AD489" s="8">
        <f t="shared" si="50"/>
        <v>0</v>
      </c>
      <c r="AE489" s="8">
        <f t="shared" si="51"/>
        <v>0</v>
      </c>
      <c r="AF489" s="106">
        <f t="shared" si="52"/>
        <v>0</v>
      </c>
      <c r="AG489" s="8">
        <f t="shared" si="53"/>
        <v>0</v>
      </c>
      <c r="AH489" s="8">
        <f>IF($O489="Aktif",MAX(0,MIN($AE489,$AD489-SUM($AG489:AG489))),0)</f>
        <v>0</v>
      </c>
      <c r="AI489" s="8">
        <f>IF($O489="Aktif",MAX(0,MIN($AE489,$AD489-SUM($AG489:AH489))),0)</f>
        <v>0</v>
      </c>
      <c r="AJ489" s="8">
        <f>IF($O489="Aktif",MAX(0,MIN($AE489,$AD489-SUM($AG489:AI489))),0)</f>
        <v>0</v>
      </c>
      <c r="AK489" s="8">
        <f>IF($O489="Aktif",MAX(0,MIN($AE489,$AD489-SUM($AG489:AJ489))),0)</f>
        <v>0</v>
      </c>
      <c r="AL489" s="8">
        <f>IF($O489="Aktif",MAX(0,MIN($AE489,$AD489-SUM($AG489:AK489))),0)</f>
        <v>0</v>
      </c>
      <c r="AM489" s="8">
        <f>IF($O489="Aktif",MAX(0,MIN($AE489,$AD489-SUM($AG489:AL489))),0)</f>
        <v>0</v>
      </c>
      <c r="AN489" s="8">
        <f>IF($O489="Aktif",MAX(0,MIN($AE489,$AD489-SUM($AG489:AM489))),0)</f>
        <v>0</v>
      </c>
      <c r="AO489" s="8">
        <f>IF($O489="Aktif",MAX(0,MIN($AE489,$AD489-SUM($AG489:AN489))),0)</f>
        <v>0</v>
      </c>
      <c r="AP489" s="8">
        <f>IF($O489="Aktif",MAX(0,MIN($AE489,$AD489-SUM($AG489:AO489))),0)</f>
        <v>0</v>
      </c>
      <c r="AQ489" s="8">
        <f>IF($O489="Aktif",MAX(0,MIN($AE489,$AD489-SUM($AG489:AP489))),0)</f>
        <v>0</v>
      </c>
      <c r="AR489" s="8">
        <f>IF($O489="Aktif",MAX(0,MIN($AE489,$AD489-SUM($AG489:AQ489))),0)</f>
        <v>0</v>
      </c>
      <c r="AS489" s="8">
        <f>IF($O489="Aktif",MAX(0,MIN($AE489,$AD489-SUM($AG489:AR489))),0)</f>
        <v>0</v>
      </c>
      <c r="AT489" s="8">
        <f>IF($O489="Aktif",MAX(0,MIN($AE489,$AD489-SUM($AG489:AS489))),0)</f>
        <v>0</v>
      </c>
      <c r="AU489" s="8">
        <f>IF($O489="Aktif",MAX(0,MIN($AE489,$AD489-SUM($AG489:AT489))),0)</f>
        <v>0</v>
      </c>
      <c r="AV489" s="8">
        <f>IF($O489="Aktif",MAX(0,MIN($AE489,$AD489-SUM($AG489:AU489))),0)</f>
        <v>0</v>
      </c>
      <c r="AW489" s="8">
        <f t="shared" si="54"/>
        <v>0</v>
      </c>
      <c r="AX489" s="8">
        <f t="shared" si="55"/>
        <v>0</v>
      </c>
    </row>
    <row r="490" spans="1:50" ht="15" customHeight="1" x14ac:dyDescent="0.35">
      <c r="A490" s="102">
        <v>484</v>
      </c>
      <c r="B490" s="102" t="s">
        <v>1326</v>
      </c>
      <c r="C490" s="103">
        <v>118</v>
      </c>
      <c r="D490" s="102" t="s">
        <v>185</v>
      </c>
      <c r="E490" s="102" t="s">
        <v>587</v>
      </c>
      <c r="F490" s="102" t="s">
        <v>1327</v>
      </c>
      <c r="G490" s="102" t="s">
        <v>1328</v>
      </c>
      <c r="H490" s="102" t="s">
        <v>1329</v>
      </c>
      <c r="I490" s="102" t="s">
        <v>63</v>
      </c>
      <c r="J490" s="102" t="s">
        <v>1643</v>
      </c>
      <c r="K490" s="102" t="s">
        <v>591</v>
      </c>
      <c r="L490" s="104">
        <v>41803</v>
      </c>
      <c r="M490" s="102" t="s">
        <v>1644</v>
      </c>
      <c r="N490" s="102" t="s">
        <v>1645</v>
      </c>
      <c r="O490" s="102" t="s">
        <v>383</v>
      </c>
      <c r="P490" s="103">
        <v>1</v>
      </c>
      <c r="Q490" s="105">
        <v>18150000</v>
      </c>
      <c r="R490" s="103">
        <v>48</v>
      </c>
      <c r="S490" s="105">
        <v>0</v>
      </c>
      <c r="T490" s="105">
        <v>18150000</v>
      </c>
      <c r="U490" s="105">
        <v>0</v>
      </c>
      <c r="V490" s="105">
        <v>0</v>
      </c>
      <c r="W490" s="105">
        <v>0</v>
      </c>
      <c r="X490" s="105">
        <v>0</v>
      </c>
      <c r="Y490" s="105">
        <v>0</v>
      </c>
      <c r="Z490" s="105">
        <v>0</v>
      </c>
      <c r="AA490" s="105">
        <v>0</v>
      </c>
      <c r="AB490" s="105">
        <v>0</v>
      </c>
      <c r="AC490" s="8">
        <f t="shared" si="49"/>
        <v>18150000</v>
      </c>
      <c r="AD490" s="8">
        <f t="shared" si="50"/>
        <v>0</v>
      </c>
      <c r="AE490" s="8">
        <f t="shared" si="51"/>
        <v>0</v>
      </c>
      <c r="AF490" s="106">
        <f t="shared" si="52"/>
        <v>0</v>
      </c>
      <c r="AG490" s="8">
        <f t="shared" si="53"/>
        <v>0</v>
      </c>
      <c r="AH490" s="8">
        <f>IF($O490="Aktif",MAX(0,MIN($AE490,$AD490-SUM($AG490:AG490))),0)</f>
        <v>0</v>
      </c>
      <c r="AI490" s="8">
        <f>IF($O490="Aktif",MAX(0,MIN($AE490,$AD490-SUM($AG490:AH490))),0)</f>
        <v>0</v>
      </c>
      <c r="AJ490" s="8">
        <f>IF($O490="Aktif",MAX(0,MIN($AE490,$AD490-SUM($AG490:AI490))),0)</f>
        <v>0</v>
      </c>
      <c r="AK490" s="8">
        <f>IF($O490="Aktif",MAX(0,MIN($AE490,$AD490-SUM($AG490:AJ490))),0)</f>
        <v>0</v>
      </c>
      <c r="AL490" s="8">
        <f>IF($O490="Aktif",MAX(0,MIN($AE490,$AD490-SUM($AG490:AK490))),0)</f>
        <v>0</v>
      </c>
      <c r="AM490" s="8">
        <f>IF($O490="Aktif",MAX(0,MIN($AE490,$AD490-SUM($AG490:AL490))),0)</f>
        <v>0</v>
      </c>
      <c r="AN490" s="8">
        <f>IF($O490="Aktif",MAX(0,MIN($AE490,$AD490-SUM($AG490:AM490))),0)</f>
        <v>0</v>
      </c>
      <c r="AO490" s="8">
        <f>IF($O490="Aktif",MAX(0,MIN($AE490,$AD490-SUM($AG490:AN490))),0)</f>
        <v>0</v>
      </c>
      <c r="AP490" s="8">
        <f>IF($O490="Aktif",MAX(0,MIN($AE490,$AD490-SUM($AG490:AO490))),0)</f>
        <v>0</v>
      </c>
      <c r="AQ490" s="8">
        <f>IF($O490="Aktif",MAX(0,MIN($AE490,$AD490-SUM($AG490:AP490))),0)</f>
        <v>0</v>
      </c>
      <c r="AR490" s="8">
        <f>IF($O490="Aktif",MAX(0,MIN($AE490,$AD490-SUM($AG490:AQ490))),0)</f>
        <v>0</v>
      </c>
      <c r="AS490" s="8">
        <f>IF($O490="Aktif",MAX(0,MIN($AE490,$AD490-SUM($AG490:AR490))),0)</f>
        <v>0</v>
      </c>
      <c r="AT490" s="8">
        <f>IF($O490="Aktif",MAX(0,MIN($AE490,$AD490-SUM($AG490:AS490))),0)</f>
        <v>0</v>
      </c>
      <c r="AU490" s="8">
        <f>IF($O490="Aktif",MAX(0,MIN($AE490,$AD490-SUM($AG490:AT490))),0)</f>
        <v>0</v>
      </c>
      <c r="AV490" s="8">
        <f>IF($O490="Aktif",MAX(0,MIN($AE490,$AD490-SUM($AG490:AU490))),0)</f>
        <v>0</v>
      </c>
      <c r="AW490" s="8">
        <f t="shared" si="54"/>
        <v>0</v>
      </c>
      <c r="AX490" s="8">
        <f t="shared" si="55"/>
        <v>0</v>
      </c>
    </row>
    <row r="491" spans="1:50" ht="15" customHeight="1" x14ac:dyDescent="0.35">
      <c r="A491" s="102">
        <v>485</v>
      </c>
      <c r="B491" s="102" t="s">
        <v>1326</v>
      </c>
      <c r="C491" s="103">
        <v>119</v>
      </c>
      <c r="D491" s="102" t="s">
        <v>185</v>
      </c>
      <c r="E491" s="102" t="s">
        <v>587</v>
      </c>
      <c r="F491" s="102" t="s">
        <v>1327</v>
      </c>
      <c r="G491" s="102" t="s">
        <v>1328</v>
      </c>
      <c r="H491" s="102" t="s">
        <v>1329</v>
      </c>
      <c r="I491" s="102" t="s">
        <v>63</v>
      </c>
      <c r="J491" s="102" t="s">
        <v>1646</v>
      </c>
      <c r="K491" s="102" t="s">
        <v>591</v>
      </c>
      <c r="L491" s="104">
        <v>41810</v>
      </c>
      <c r="M491" s="102" t="s">
        <v>1647</v>
      </c>
      <c r="N491" s="102" t="s">
        <v>1648</v>
      </c>
      <c r="O491" s="102" t="s">
        <v>383</v>
      </c>
      <c r="P491" s="103">
        <v>1</v>
      </c>
      <c r="Q491" s="105">
        <v>14300000</v>
      </c>
      <c r="R491" s="103">
        <v>48</v>
      </c>
      <c r="S491" s="105">
        <v>0</v>
      </c>
      <c r="T491" s="105">
        <v>14300000</v>
      </c>
      <c r="U491" s="105">
        <v>0</v>
      </c>
      <c r="V491" s="105">
        <v>0</v>
      </c>
      <c r="W491" s="105">
        <v>0</v>
      </c>
      <c r="X491" s="105">
        <v>0</v>
      </c>
      <c r="Y491" s="105">
        <v>0</v>
      </c>
      <c r="Z491" s="105">
        <v>0</v>
      </c>
      <c r="AA491" s="105">
        <v>0</v>
      </c>
      <c r="AB491" s="105">
        <v>0</v>
      </c>
      <c r="AC491" s="8">
        <f t="shared" si="49"/>
        <v>14300000</v>
      </c>
      <c r="AD491" s="8">
        <f t="shared" si="50"/>
        <v>0</v>
      </c>
      <c r="AE491" s="8">
        <f t="shared" si="51"/>
        <v>0</v>
      </c>
      <c r="AF491" s="106">
        <f t="shared" si="52"/>
        <v>0</v>
      </c>
      <c r="AG491" s="8">
        <f t="shared" si="53"/>
        <v>0</v>
      </c>
      <c r="AH491" s="8">
        <f>IF($O491="Aktif",MAX(0,MIN($AE491,$AD491-SUM($AG491:AG491))),0)</f>
        <v>0</v>
      </c>
      <c r="AI491" s="8">
        <f>IF($O491="Aktif",MAX(0,MIN($AE491,$AD491-SUM($AG491:AH491))),0)</f>
        <v>0</v>
      </c>
      <c r="AJ491" s="8">
        <f>IF($O491="Aktif",MAX(0,MIN($AE491,$AD491-SUM($AG491:AI491))),0)</f>
        <v>0</v>
      </c>
      <c r="AK491" s="8">
        <f>IF($O491="Aktif",MAX(0,MIN($AE491,$AD491-SUM($AG491:AJ491))),0)</f>
        <v>0</v>
      </c>
      <c r="AL491" s="8">
        <f>IF($O491="Aktif",MAX(0,MIN($AE491,$AD491-SUM($AG491:AK491))),0)</f>
        <v>0</v>
      </c>
      <c r="AM491" s="8">
        <f>IF($O491="Aktif",MAX(0,MIN($AE491,$AD491-SUM($AG491:AL491))),0)</f>
        <v>0</v>
      </c>
      <c r="AN491" s="8">
        <f>IF($O491="Aktif",MAX(0,MIN($AE491,$AD491-SUM($AG491:AM491))),0)</f>
        <v>0</v>
      </c>
      <c r="AO491" s="8">
        <f>IF($O491="Aktif",MAX(0,MIN($AE491,$AD491-SUM($AG491:AN491))),0)</f>
        <v>0</v>
      </c>
      <c r="AP491" s="8">
        <f>IF($O491="Aktif",MAX(0,MIN($AE491,$AD491-SUM($AG491:AO491))),0)</f>
        <v>0</v>
      </c>
      <c r="AQ491" s="8">
        <f>IF($O491="Aktif",MAX(0,MIN($AE491,$AD491-SUM($AG491:AP491))),0)</f>
        <v>0</v>
      </c>
      <c r="AR491" s="8">
        <f>IF($O491="Aktif",MAX(0,MIN($AE491,$AD491-SUM($AG491:AQ491))),0)</f>
        <v>0</v>
      </c>
      <c r="AS491" s="8">
        <f>IF($O491="Aktif",MAX(0,MIN($AE491,$AD491-SUM($AG491:AR491))),0)</f>
        <v>0</v>
      </c>
      <c r="AT491" s="8">
        <f>IF($O491="Aktif",MAX(0,MIN($AE491,$AD491-SUM($AG491:AS491))),0)</f>
        <v>0</v>
      </c>
      <c r="AU491" s="8">
        <f>IF($O491="Aktif",MAX(0,MIN($AE491,$AD491-SUM($AG491:AT491))),0)</f>
        <v>0</v>
      </c>
      <c r="AV491" s="8">
        <f>IF($O491="Aktif",MAX(0,MIN($AE491,$AD491-SUM($AG491:AU491))),0)</f>
        <v>0</v>
      </c>
      <c r="AW491" s="8">
        <f t="shared" si="54"/>
        <v>0</v>
      </c>
      <c r="AX491" s="8">
        <f t="shared" si="55"/>
        <v>0</v>
      </c>
    </row>
    <row r="492" spans="1:50" ht="15" customHeight="1" x14ac:dyDescent="0.35">
      <c r="A492" s="102">
        <v>486</v>
      </c>
      <c r="B492" s="102" t="s">
        <v>1326</v>
      </c>
      <c r="C492" s="103">
        <v>120</v>
      </c>
      <c r="D492" s="102" t="s">
        <v>185</v>
      </c>
      <c r="E492" s="102" t="s">
        <v>587</v>
      </c>
      <c r="F492" s="102" t="s">
        <v>1327</v>
      </c>
      <c r="G492" s="102" t="s">
        <v>1328</v>
      </c>
      <c r="H492" s="102" t="s">
        <v>1329</v>
      </c>
      <c r="I492" s="102" t="s">
        <v>63</v>
      </c>
      <c r="J492" s="102" t="s">
        <v>1649</v>
      </c>
      <c r="K492" s="102" t="s">
        <v>591</v>
      </c>
      <c r="L492" s="104">
        <v>41817</v>
      </c>
      <c r="M492" s="102" t="s">
        <v>1650</v>
      </c>
      <c r="N492" s="102" t="s">
        <v>1651</v>
      </c>
      <c r="O492" s="102" t="s">
        <v>383</v>
      </c>
      <c r="P492" s="103">
        <v>1</v>
      </c>
      <c r="Q492" s="105">
        <v>3248190</v>
      </c>
      <c r="R492" s="103">
        <v>48</v>
      </c>
      <c r="S492" s="105">
        <v>0</v>
      </c>
      <c r="T492" s="105">
        <v>3248190</v>
      </c>
      <c r="U492" s="105">
        <v>0</v>
      </c>
      <c r="V492" s="105">
        <v>0</v>
      </c>
      <c r="W492" s="105">
        <v>0</v>
      </c>
      <c r="X492" s="105">
        <v>0</v>
      </c>
      <c r="Y492" s="105">
        <v>0</v>
      </c>
      <c r="Z492" s="105">
        <v>0</v>
      </c>
      <c r="AA492" s="105">
        <v>0</v>
      </c>
      <c r="AB492" s="105">
        <v>0</v>
      </c>
      <c r="AC492" s="8">
        <f t="shared" si="49"/>
        <v>3248190</v>
      </c>
      <c r="AD492" s="8">
        <f t="shared" si="50"/>
        <v>0</v>
      </c>
      <c r="AE492" s="8">
        <f t="shared" si="51"/>
        <v>0</v>
      </c>
      <c r="AF492" s="106">
        <f t="shared" si="52"/>
        <v>0</v>
      </c>
      <c r="AG492" s="8">
        <f t="shared" si="53"/>
        <v>0</v>
      </c>
      <c r="AH492" s="8">
        <f>IF($O492="Aktif",MAX(0,MIN($AE492,$AD492-SUM($AG492:AG492))),0)</f>
        <v>0</v>
      </c>
      <c r="AI492" s="8">
        <f>IF($O492="Aktif",MAX(0,MIN($AE492,$AD492-SUM($AG492:AH492))),0)</f>
        <v>0</v>
      </c>
      <c r="AJ492" s="8">
        <f>IF($O492="Aktif",MAX(0,MIN($AE492,$AD492-SUM($AG492:AI492))),0)</f>
        <v>0</v>
      </c>
      <c r="AK492" s="8">
        <f>IF($O492="Aktif",MAX(0,MIN($AE492,$AD492-SUM($AG492:AJ492))),0)</f>
        <v>0</v>
      </c>
      <c r="AL492" s="8">
        <f>IF($O492="Aktif",MAX(0,MIN($AE492,$AD492-SUM($AG492:AK492))),0)</f>
        <v>0</v>
      </c>
      <c r="AM492" s="8">
        <f>IF($O492="Aktif",MAX(0,MIN($AE492,$AD492-SUM($AG492:AL492))),0)</f>
        <v>0</v>
      </c>
      <c r="AN492" s="8">
        <f>IF($O492="Aktif",MAX(0,MIN($AE492,$AD492-SUM($AG492:AM492))),0)</f>
        <v>0</v>
      </c>
      <c r="AO492" s="8">
        <f>IF($O492="Aktif",MAX(0,MIN($AE492,$AD492-SUM($AG492:AN492))),0)</f>
        <v>0</v>
      </c>
      <c r="AP492" s="8">
        <f>IF($O492="Aktif",MAX(0,MIN($AE492,$AD492-SUM($AG492:AO492))),0)</f>
        <v>0</v>
      </c>
      <c r="AQ492" s="8">
        <f>IF($O492="Aktif",MAX(0,MIN($AE492,$AD492-SUM($AG492:AP492))),0)</f>
        <v>0</v>
      </c>
      <c r="AR492" s="8">
        <f>IF($O492="Aktif",MAX(0,MIN($AE492,$AD492-SUM($AG492:AQ492))),0)</f>
        <v>0</v>
      </c>
      <c r="AS492" s="8">
        <f>IF($O492="Aktif",MAX(0,MIN($AE492,$AD492-SUM($AG492:AR492))),0)</f>
        <v>0</v>
      </c>
      <c r="AT492" s="8">
        <f>IF($O492="Aktif",MAX(0,MIN($AE492,$AD492-SUM($AG492:AS492))),0)</f>
        <v>0</v>
      </c>
      <c r="AU492" s="8">
        <f>IF($O492="Aktif",MAX(0,MIN($AE492,$AD492-SUM($AG492:AT492))),0)</f>
        <v>0</v>
      </c>
      <c r="AV492" s="8">
        <f>IF($O492="Aktif",MAX(0,MIN($AE492,$AD492-SUM($AG492:AU492))),0)</f>
        <v>0</v>
      </c>
      <c r="AW492" s="8">
        <f t="shared" si="54"/>
        <v>0</v>
      </c>
      <c r="AX492" s="8">
        <f t="shared" si="55"/>
        <v>0</v>
      </c>
    </row>
    <row r="493" spans="1:50" ht="15" customHeight="1" x14ac:dyDescent="0.35">
      <c r="A493" s="102">
        <v>487</v>
      </c>
      <c r="B493" s="102" t="s">
        <v>1326</v>
      </c>
      <c r="C493" s="103">
        <v>121</v>
      </c>
      <c r="D493" s="102" t="s">
        <v>185</v>
      </c>
      <c r="E493" s="102" t="s">
        <v>587</v>
      </c>
      <c r="F493" s="102" t="s">
        <v>1327</v>
      </c>
      <c r="G493" s="102" t="s">
        <v>1328</v>
      </c>
      <c r="H493" s="102" t="s">
        <v>1329</v>
      </c>
      <c r="I493" s="102" t="s">
        <v>63</v>
      </c>
      <c r="J493" s="102" t="s">
        <v>1652</v>
      </c>
      <c r="K493" s="102" t="s">
        <v>591</v>
      </c>
      <c r="L493" s="104">
        <v>41820</v>
      </c>
      <c r="M493" s="102" t="s">
        <v>1641</v>
      </c>
      <c r="N493" s="102" t="s">
        <v>1653</v>
      </c>
      <c r="O493" s="102" t="s">
        <v>383</v>
      </c>
      <c r="P493" s="103">
        <v>1</v>
      </c>
      <c r="Q493" s="105">
        <v>13970000</v>
      </c>
      <c r="R493" s="103">
        <v>48</v>
      </c>
      <c r="S493" s="105">
        <v>0</v>
      </c>
      <c r="T493" s="105">
        <v>13970000</v>
      </c>
      <c r="U493" s="105">
        <v>0</v>
      </c>
      <c r="V493" s="105">
        <v>0</v>
      </c>
      <c r="W493" s="105">
        <v>0</v>
      </c>
      <c r="X493" s="105">
        <v>0</v>
      </c>
      <c r="Y493" s="105">
        <v>0</v>
      </c>
      <c r="Z493" s="105">
        <v>0</v>
      </c>
      <c r="AA493" s="105">
        <v>0</v>
      </c>
      <c r="AB493" s="105">
        <v>0</v>
      </c>
      <c r="AC493" s="8">
        <f t="shared" si="49"/>
        <v>13970000</v>
      </c>
      <c r="AD493" s="8">
        <f t="shared" si="50"/>
        <v>0</v>
      </c>
      <c r="AE493" s="8">
        <f t="shared" si="51"/>
        <v>0</v>
      </c>
      <c r="AF493" s="106">
        <f t="shared" si="52"/>
        <v>0</v>
      </c>
      <c r="AG493" s="8">
        <f t="shared" si="53"/>
        <v>0</v>
      </c>
      <c r="AH493" s="8">
        <f>IF($O493="Aktif",MAX(0,MIN($AE493,$AD493-SUM($AG493:AG493))),0)</f>
        <v>0</v>
      </c>
      <c r="AI493" s="8">
        <f>IF($O493="Aktif",MAX(0,MIN($AE493,$AD493-SUM($AG493:AH493))),0)</f>
        <v>0</v>
      </c>
      <c r="AJ493" s="8">
        <f>IF($O493="Aktif",MAX(0,MIN($AE493,$AD493-SUM($AG493:AI493))),0)</f>
        <v>0</v>
      </c>
      <c r="AK493" s="8">
        <f>IF($O493="Aktif",MAX(0,MIN($AE493,$AD493-SUM($AG493:AJ493))),0)</f>
        <v>0</v>
      </c>
      <c r="AL493" s="8">
        <f>IF($O493="Aktif",MAX(0,MIN($AE493,$AD493-SUM($AG493:AK493))),0)</f>
        <v>0</v>
      </c>
      <c r="AM493" s="8">
        <f>IF($O493="Aktif",MAX(0,MIN($AE493,$AD493-SUM($AG493:AL493))),0)</f>
        <v>0</v>
      </c>
      <c r="AN493" s="8">
        <f>IF($O493="Aktif",MAX(0,MIN($AE493,$AD493-SUM($AG493:AM493))),0)</f>
        <v>0</v>
      </c>
      <c r="AO493" s="8">
        <f>IF($O493="Aktif",MAX(0,MIN($AE493,$AD493-SUM($AG493:AN493))),0)</f>
        <v>0</v>
      </c>
      <c r="AP493" s="8">
        <f>IF($O493="Aktif",MAX(0,MIN($AE493,$AD493-SUM($AG493:AO493))),0)</f>
        <v>0</v>
      </c>
      <c r="AQ493" s="8">
        <f>IF($O493="Aktif",MAX(0,MIN($AE493,$AD493-SUM($AG493:AP493))),0)</f>
        <v>0</v>
      </c>
      <c r="AR493" s="8">
        <f>IF($O493="Aktif",MAX(0,MIN($AE493,$AD493-SUM($AG493:AQ493))),0)</f>
        <v>0</v>
      </c>
      <c r="AS493" s="8">
        <f>IF($O493="Aktif",MAX(0,MIN($AE493,$AD493-SUM($AG493:AR493))),0)</f>
        <v>0</v>
      </c>
      <c r="AT493" s="8">
        <f>IF($O493="Aktif",MAX(0,MIN($AE493,$AD493-SUM($AG493:AS493))),0)</f>
        <v>0</v>
      </c>
      <c r="AU493" s="8">
        <f>IF($O493="Aktif",MAX(0,MIN($AE493,$AD493-SUM($AG493:AT493))),0)</f>
        <v>0</v>
      </c>
      <c r="AV493" s="8">
        <f>IF($O493="Aktif",MAX(0,MIN($AE493,$AD493-SUM($AG493:AU493))),0)</f>
        <v>0</v>
      </c>
      <c r="AW493" s="8">
        <f t="shared" si="54"/>
        <v>0</v>
      </c>
      <c r="AX493" s="8">
        <f t="shared" si="55"/>
        <v>0</v>
      </c>
    </row>
    <row r="494" spans="1:50" ht="15" customHeight="1" x14ac:dyDescent="0.35">
      <c r="A494" s="102">
        <v>488</v>
      </c>
      <c r="B494" s="102" t="s">
        <v>1326</v>
      </c>
      <c r="C494" s="103">
        <v>122</v>
      </c>
      <c r="D494" s="102" t="s">
        <v>185</v>
      </c>
      <c r="E494" s="102" t="s">
        <v>587</v>
      </c>
      <c r="F494" s="102" t="s">
        <v>1327</v>
      </c>
      <c r="G494" s="102" t="s">
        <v>1328</v>
      </c>
      <c r="H494" s="102" t="s">
        <v>1329</v>
      </c>
      <c r="I494" s="102" t="s">
        <v>63</v>
      </c>
      <c r="J494" s="102" t="s">
        <v>1654</v>
      </c>
      <c r="K494" s="102" t="s">
        <v>591</v>
      </c>
      <c r="L494" s="104">
        <v>41820</v>
      </c>
      <c r="M494" s="102" t="s">
        <v>1590</v>
      </c>
      <c r="N494" s="102" t="s">
        <v>1655</v>
      </c>
      <c r="O494" s="102" t="s">
        <v>383</v>
      </c>
      <c r="P494" s="103">
        <v>1</v>
      </c>
      <c r="Q494" s="105">
        <v>5060000</v>
      </c>
      <c r="R494" s="103">
        <v>48</v>
      </c>
      <c r="S494" s="105">
        <v>0</v>
      </c>
      <c r="T494" s="105">
        <v>5060000</v>
      </c>
      <c r="U494" s="105">
        <v>0</v>
      </c>
      <c r="V494" s="105">
        <v>0</v>
      </c>
      <c r="W494" s="105">
        <v>0</v>
      </c>
      <c r="X494" s="105">
        <v>0</v>
      </c>
      <c r="Y494" s="105">
        <v>0</v>
      </c>
      <c r="Z494" s="105">
        <v>0</v>
      </c>
      <c r="AA494" s="105">
        <v>0</v>
      </c>
      <c r="AB494" s="105">
        <v>0</v>
      </c>
      <c r="AC494" s="8">
        <f t="shared" si="49"/>
        <v>5060000</v>
      </c>
      <c r="AD494" s="8">
        <f t="shared" si="50"/>
        <v>0</v>
      </c>
      <c r="AE494" s="8">
        <f t="shared" si="51"/>
        <v>0</v>
      </c>
      <c r="AF494" s="106">
        <f t="shared" si="52"/>
        <v>0</v>
      </c>
      <c r="AG494" s="8">
        <f t="shared" si="53"/>
        <v>0</v>
      </c>
      <c r="AH494" s="8">
        <f>IF($O494="Aktif",MAX(0,MIN($AE494,$AD494-SUM($AG494:AG494))),0)</f>
        <v>0</v>
      </c>
      <c r="AI494" s="8">
        <f>IF($O494="Aktif",MAX(0,MIN($AE494,$AD494-SUM($AG494:AH494))),0)</f>
        <v>0</v>
      </c>
      <c r="AJ494" s="8">
        <f>IF($O494="Aktif",MAX(0,MIN($AE494,$AD494-SUM($AG494:AI494))),0)</f>
        <v>0</v>
      </c>
      <c r="AK494" s="8">
        <f>IF($O494="Aktif",MAX(0,MIN($AE494,$AD494-SUM($AG494:AJ494))),0)</f>
        <v>0</v>
      </c>
      <c r="AL494" s="8">
        <f>IF($O494="Aktif",MAX(0,MIN($AE494,$AD494-SUM($AG494:AK494))),0)</f>
        <v>0</v>
      </c>
      <c r="AM494" s="8">
        <f>IF($O494="Aktif",MAX(0,MIN($AE494,$AD494-SUM($AG494:AL494))),0)</f>
        <v>0</v>
      </c>
      <c r="AN494" s="8">
        <f>IF($O494="Aktif",MAX(0,MIN($AE494,$AD494-SUM($AG494:AM494))),0)</f>
        <v>0</v>
      </c>
      <c r="AO494" s="8">
        <f>IF($O494="Aktif",MAX(0,MIN($AE494,$AD494-SUM($AG494:AN494))),0)</f>
        <v>0</v>
      </c>
      <c r="AP494" s="8">
        <f>IF($O494="Aktif",MAX(0,MIN($AE494,$AD494-SUM($AG494:AO494))),0)</f>
        <v>0</v>
      </c>
      <c r="AQ494" s="8">
        <f>IF($O494="Aktif",MAX(0,MIN($AE494,$AD494-SUM($AG494:AP494))),0)</f>
        <v>0</v>
      </c>
      <c r="AR494" s="8">
        <f>IF($O494="Aktif",MAX(0,MIN($AE494,$AD494-SUM($AG494:AQ494))),0)</f>
        <v>0</v>
      </c>
      <c r="AS494" s="8">
        <f>IF($O494="Aktif",MAX(0,MIN($AE494,$AD494-SUM($AG494:AR494))),0)</f>
        <v>0</v>
      </c>
      <c r="AT494" s="8">
        <f>IF($O494="Aktif",MAX(0,MIN($AE494,$AD494-SUM($AG494:AS494))),0)</f>
        <v>0</v>
      </c>
      <c r="AU494" s="8">
        <f>IF($O494="Aktif",MAX(0,MIN($AE494,$AD494-SUM($AG494:AT494))),0)</f>
        <v>0</v>
      </c>
      <c r="AV494" s="8">
        <f>IF($O494="Aktif",MAX(0,MIN($AE494,$AD494-SUM($AG494:AU494))),0)</f>
        <v>0</v>
      </c>
      <c r="AW494" s="8">
        <f t="shared" si="54"/>
        <v>0</v>
      </c>
      <c r="AX494" s="8">
        <f t="shared" si="55"/>
        <v>0</v>
      </c>
    </row>
    <row r="495" spans="1:50" ht="15" customHeight="1" x14ac:dyDescent="0.35">
      <c r="A495" s="102">
        <v>489</v>
      </c>
      <c r="B495" s="102" t="s">
        <v>1326</v>
      </c>
      <c r="C495" s="103">
        <v>123</v>
      </c>
      <c r="D495" s="102" t="s">
        <v>185</v>
      </c>
      <c r="E495" s="102" t="s">
        <v>587</v>
      </c>
      <c r="F495" s="102" t="s">
        <v>1327</v>
      </c>
      <c r="G495" s="102" t="s">
        <v>1328</v>
      </c>
      <c r="H495" s="102" t="s">
        <v>1329</v>
      </c>
      <c r="I495" s="102" t="s">
        <v>63</v>
      </c>
      <c r="J495" s="102" t="s">
        <v>1656</v>
      </c>
      <c r="K495" s="102" t="s">
        <v>591</v>
      </c>
      <c r="L495" s="104">
        <v>41820</v>
      </c>
      <c r="M495" s="102" t="s">
        <v>1657</v>
      </c>
      <c r="N495" s="102" t="s">
        <v>1658</v>
      </c>
      <c r="O495" s="102" t="s">
        <v>383</v>
      </c>
      <c r="P495" s="103">
        <v>1</v>
      </c>
      <c r="Q495" s="105">
        <v>15400000</v>
      </c>
      <c r="R495" s="103">
        <v>48</v>
      </c>
      <c r="S495" s="105">
        <v>0</v>
      </c>
      <c r="T495" s="105">
        <v>15400000</v>
      </c>
      <c r="U495" s="105">
        <v>0</v>
      </c>
      <c r="V495" s="105">
        <v>0</v>
      </c>
      <c r="W495" s="105">
        <v>0</v>
      </c>
      <c r="X495" s="105">
        <v>0</v>
      </c>
      <c r="Y495" s="105">
        <v>0</v>
      </c>
      <c r="Z495" s="105">
        <v>0</v>
      </c>
      <c r="AA495" s="105">
        <v>0</v>
      </c>
      <c r="AB495" s="105">
        <v>0</v>
      </c>
      <c r="AC495" s="8">
        <f t="shared" si="49"/>
        <v>15400000</v>
      </c>
      <c r="AD495" s="8">
        <f t="shared" si="50"/>
        <v>0</v>
      </c>
      <c r="AE495" s="8">
        <f t="shared" si="51"/>
        <v>0</v>
      </c>
      <c r="AF495" s="106">
        <f t="shared" si="52"/>
        <v>0</v>
      </c>
      <c r="AG495" s="8">
        <f t="shared" si="53"/>
        <v>0</v>
      </c>
      <c r="AH495" s="8">
        <f>IF($O495="Aktif",MAX(0,MIN($AE495,$AD495-SUM($AG495:AG495))),0)</f>
        <v>0</v>
      </c>
      <c r="AI495" s="8">
        <f>IF($O495="Aktif",MAX(0,MIN($AE495,$AD495-SUM($AG495:AH495))),0)</f>
        <v>0</v>
      </c>
      <c r="AJ495" s="8">
        <f>IF($O495="Aktif",MAX(0,MIN($AE495,$AD495-SUM($AG495:AI495))),0)</f>
        <v>0</v>
      </c>
      <c r="AK495" s="8">
        <f>IF($O495="Aktif",MAX(0,MIN($AE495,$AD495-SUM($AG495:AJ495))),0)</f>
        <v>0</v>
      </c>
      <c r="AL495" s="8">
        <f>IF($O495="Aktif",MAX(0,MIN($AE495,$AD495-SUM($AG495:AK495))),0)</f>
        <v>0</v>
      </c>
      <c r="AM495" s="8">
        <f>IF($O495="Aktif",MAX(0,MIN($AE495,$AD495-SUM($AG495:AL495))),0)</f>
        <v>0</v>
      </c>
      <c r="AN495" s="8">
        <f>IF($O495="Aktif",MAX(0,MIN($AE495,$AD495-SUM($AG495:AM495))),0)</f>
        <v>0</v>
      </c>
      <c r="AO495" s="8">
        <f>IF($O495="Aktif",MAX(0,MIN($AE495,$AD495-SUM($AG495:AN495))),0)</f>
        <v>0</v>
      </c>
      <c r="AP495" s="8">
        <f>IF($O495="Aktif",MAX(0,MIN($AE495,$AD495-SUM($AG495:AO495))),0)</f>
        <v>0</v>
      </c>
      <c r="AQ495" s="8">
        <f>IF($O495="Aktif",MAX(0,MIN($AE495,$AD495-SUM($AG495:AP495))),0)</f>
        <v>0</v>
      </c>
      <c r="AR495" s="8">
        <f>IF($O495="Aktif",MAX(0,MIN($AE495,$AD495-SUM($AG495:AQ495))),0)</f>
        <v>0</v>
      </c>
      <c r="AS495" s="8">
        <f>IF($O495="Aktif",MAX(0,MIN($AE495,$AD495-SUM($AG495:AR495))),0)</f>
        <v>0</v>
      </c>
      <c r="AT495" s="8">
        <f>IF($O495="Aktif",MAX(0,MIN($AE495,$AD495-SUM($AG495:AS495))),0)</f>
        <v>0</v>
      </c>
      <c r="AU495" s="8">
        <f>IF($O495="Aktif",MAX(0,MIN($AE495,$AD495-SUM($AG495:AT495))),0)</f>
        <v>0</v>
      </c>
      <c r="AV495" s="8">
        <f>IF($O495="Aktif",MAX(0,MIN($AE495,$AD495-SUM($AG495:AU495))),0)</f>
        <v>0</v>
      </c>
      <c r="AW495" s="8">
        <f t="shared" si="54"/>
        <v>0</v>
      </c>
      <c r="AX495" s="8">
        <f t="shared" si="55"/>
        <v>0</v>
      </c>
    </row>
    <row r="496" spans="1:50" ht="15" customHeight="1" x14ac:dyDescent="0.35">
      <c r="A496" s="102">
        <v>490</v>
      </c>
      <c r="B496" s="102" t="s">
        <v>1326</v>
      </c>
      <c r="C496" s="103">
        <v>124</v>
      </c>
      <c r="D496" s="102" t="s">
        <v>185</v>
      </c>
      <c r="E496" s="102" t="s">
        <v>587</v>
      </c>
      <c r="F496" s="102" t="s">
        <v>1327</v>
      </c>
      <c r="G496" s="102" t="s">
        <v>1328</v>
      </c>
      <c r="H496" s="102" t="s">
        <v>1329</v>
      </c>
      <c r="I496" s="102" t="s">
        <v>63</v>
      </c>
      <c r="J496" s="102" t="s">
        <v>1659</v>
      </c>
      <c r="K496" s="102" t="s">
        <v>591</v>
      </c>
      <c r="L496" s="104">
        <v>41820</v>
      </c>
      <c r="M496" s="102" t="s">
        <v>1660</v>
      </c>
      <c r="N496" s="102" t="s">
        <v>1661</v>
      </c>
      <c r="O496" s="102" t="s">
        <v>383</v>
      </c>
      <c r="P496" s="103">
        <v>1</v>
      </c>
      <c r="Q496" s="105">
        <v>1815000</v>
      </c>
      <c r="R496" s="103">
        <v>48</v>
      </c>
      <c r="S496" s="105">
        <v>0</v>
      </c>
      <c r="T496" s="105">
        <v>1815000</v>
      </c>
      <c r="U496" s="105">
        <v>0</v>
      </c>
      <c r="V496" s="105">
        <v>0</v>
      </c>
      <c r="W496" s="105">
        <v>0</v>
      </c>
      <c r="X496" s="105">
        <v>0</v>
      </c>
      <c r="Y496" s="105">
        <v>0</v>
      </c>
      <c r="Z496" s="105">
        <v>0</v>
      </c>
      <c r="AA496" s="105">
        <v>0</v>
      </c>
      <c r="AB496" s="105">
        <v>0</v>
      </c>
      <c r="AC496" s="8">
        <f t="shared" si="49"/>
        <v>1815000</v>
      </c>
      <c r="AD496" s="8">
        <f t="shared" si="50"/>
        <v>0</v>
      </c>
      <c r="AE496" s="8">
        <f t="shared" si="51"/>
        <v>0</v>
      </c>
      <c r="AF496" s="106">
        <f t="shared" si="52"/>
        <v>0</v>
      </c>
      <c r="AG496" s="8">
        <f t="shared" si="53"/>
        <v>0</v>
      </c>
      <c r="AH496" s="8">
        <f>IF($O496="Aktif",MAX(0,MIN($AE496,$AD496-SUM($AG496:AG496))),0)</f>
        <v>0</v>
      </c>
      <c r="AI496" s="8">
        <f>IF($O496="Aktif",MAX(0,MIN($AE496,$AD496-SUM($AG496:AH496))),0)</f>
        <v>0</v>
      </c>
      <c r="AJ496" s="8">
        <f>IF($O496="Aktif",MAX(0,MIN($AE496,$AD496-SUM($AG496:AI496))),0)</f>
        <v>0</v>
      </c>
      <c r="AK496" s="8">
        <f>IF($O496="Aktif",MAX(0,MIN($AE496,$AD496-SUM($AG496:AJ496))),0)</f>
        <v>0</v>
      </c>
      <c r="AL496" s="8">
        <f>IF($O496="Aktif",MAX(0,MIN($AE496,$AD496-SUM($AG496:AK496))),0)</f>
        <v>0</v>
      </c>
      <c r="AM496" s="8">
        <f>IF($O496="Aktif",MAX(0,MIN($AE496,$AD496-SUM($AG496:AL496))),0)</f>
        <v>0</v>
      </c>
      <c r="AN496" s="8">
        <f>IF($O496="Aktif",MAX(0,MIN($AE496,$AD496-SUM($AG496:AM496))),0)</f>
        <v>0</v>
      </c>
      <c r="AO496" s="8">
        <f>IF($O496="Aktif",MAX(0,MIN($AE496,$AD496-SUM($AG496:AN496))),0)</f>
        <v>0</v>
      </c>
      <c r="AP496" s="8">
        <f>IF($O496="Aktif",MAX(0,MIN($AE496,$AD496-SUM($AG496:AO496))),0)</f>
        <v>0</v>
      </c>
      <c r="AQ496" s="8">
        <f>IF($O496="Aktif",MAX(0,MIN($AE496,$AD496-SUM($AG496:AP496))),0)</f>
        <v>0</v>
      </c>
      <c r="AR496" s="8">
        <f>IF($O496="Aktif",MAX(0,MIN($AE496,$AD496-SUM($AG496:AQ496))),0)</f>
        <v>0</v>
      </c>
      <c r="AS496" s="8">
        <f>IF($O496="Aktif",MAX(0,MIN($AE496,$AD496-SUM($AG496:AR496))),0)</f>
        <v>0</v>
      </c>
      <c r="AT496" s="8">
        <f>IF($O496="Aktif",MAX(0,MIN($AE496,$AD496-SUM($AG496:AS496))),0)</f>
        <v>0</v>
      </c>
      <c r="AU496" s="8">
        <f>IF($O496="Aktif",MAX(0,MIN($AE496,$AD496-SUM($AG496:AT496))),0)</f>
        <v>0</v>
      </c>
      <c r="AV496" s="8">
        <f>IF($O496="Aktif",MAX(0,MIN($AE496,$AD496-SUM($AG496:AU496))),0)</f>
        <v>0</v>
      </c>
      <c r="AW496" s="8">
        <f t="shared" si="54"/>
        <v>0</v>
      </c>
      <c r="AX496" s="8">
        <f t="shared" si="55"/>
        <v>0</v>
      </c>
    </row>
    <row r="497" spans="1:50" ht="15" customHeight="1" x14ac:dyDescent="0.35">
      <c r="A497" s="102">
        <v>491</v>
      </c>
      <c r="B497" s="102" t="s">
        <v>1326</v>
      </c>
      <c r="C497" s="103">
        <v>125</v>
      </c>
      <c r="D497" s="102" t="s">
        <v>185</v>
      </c>
      <c r="E497" s="102" t="s">
        <v>587</v>
      </c>
      <c r="F497" s="102" t="s">
        <v>1327</v>
      </c>
      <c r="G497" s="102" t="s">
        <v>1328</v>
      </c>
      <c r="H497" s="102" t="s">
        <v>1329</v>
      </c>
      <c r="I497" s="102" t="s">
        <v>63</v>
      </c>
      <c r="J497" s="102" t="s">
        <v>1662</v>
      </c>
      <c r="K497" s="102" t="s">
        <v>591</v>
      </c>
      <c r="L497" s="104">
        <v>41820</v>
      </c>
      <c r="M497" s="102" t="s">
        <v>1663</v>
      </c>
      <c r="N497" s="102" t="s">
        <v>1664</v>
      </c>
      <c r="O497" s="102" t="s">
        <v>383</v>
      </c>
      <c r="P497" s="103">
        <v>1</v>
      </c>
      <c r="Q497" s="105">
        <v>8360000</v>
      </c>
      <c r="R497" s="103">
        <v>48</v>
      </c>
      <c r="S497" s="105">
        <v>0</v>
      </c>
      <c r="T497" s="105">
        <v>8360000</v>
      </c>
      <c r="U497" s="105">
        <v>0</v>
      </c>
      <c r="V497" s="105">
        <v>0</v>
      </c>
      <c r="W497" s="105">
        <v>0</v>
      </c>
      <c r="X497" s="105">
        <v>0</v>
      </c>
      <c r="Y497" s="105">
        <v>0</v>
      </c>
      <c r="Z497" s="105">
        <v>0</v>
      </c>
      <c r="AA497" s="105">
        <v>0</v>
      </c>
      <c r="AB497" s="105">
        <v>0</v>
      </c>
      <c r="AC497" s="8">
        <f t="shared" si="49"/>
        <v>8360000</v>
      </c>
      <c r="AD497" s="8">
        <f t="shared" si="50"/>
        <v>0</v>
      </c>
      <c r="AE497" s="8">
        <f t="shared" si="51"/>
        <v>0</v>
      </c>
      <c r="AF497" s="106">
        <f t="shared" si="52"/>
        <v>0</v>
      </c>
      <c r="AG497" s="8">
        <f t="shared" si="53"/>
        <v>0</v>
      </c>
      <c r="AH497" s="8">
        <f>IF($O497="Aktif",MAX(0,MIN($AE497,$AD497-SUM($AG497:AG497))),0)</f>
        <v>0</v>
      </c>
      <c r="AI497" s="8">
        <f>IF($O497="Aktif",MAX(0,MIN($AE497,$AD497-SUM($AG497:AH497))),0)</f>
        <v>0</v>
      </c>
      <c r="AJ497" s="8">
        <f>IF($O497="Aktif",MAX(0,MIN($AE497,$AD497-SUM($AG497:AI497))),0)</f>
        <v>0</v>
      </c>
      <c r="AK497" s="8">
        <f>IF($O497="Aktif",MAX(0,MIN($AE497,$AD497-SUM($AG497:AJ497))),0)</f>
        <v>0</v>
      </c>
      <c r="AL497" s="8">
        <f>IF($O497="Aktif",MAX(0,MIN($AE497,$AD497-SUM($AG497:AK497))),0)</f>
        <v>0</v>
      </c>
      <c r="AM497" s="8">
        <f>IF($O497="Aktif",MAX(0,MIN($AE497,$AD497-SUM($AG497:AL497))),0)</f>
        <v>0</v>
      </c>
      <c r="AN497" s="8">
        <f>IF($O497="Aktif",MAX(0,MIN($AE497,$AD497-SUM($AG497:AM497))),0)</f>
        <v>0</v>
      </c>
      <c r="AO497" s="8">
        <f>IF($O497="Aktif",MAX(0,MIN($AE497,$AD497-SUM($AG497:AN497))),0)</f>
        <v>0</v>
      </c>
      <c r="AP497" s="8">
        <f>IF($O497="Aktif",MAX(0,MIN($AE497,$AD497-SUM($AG497:AO497))),0)</f>
        <v>0</v>
      </c>
      <c r="AQ497" s="8">
        <f>IF($O497="Aktif",MAX(0,MIN($AE497,$AD497-SUM($AG497:AP497))),0)</f>
        <v>0</v>
      </c>
      <c r="AR497" s="8">
        <f>IF($O497="Aktif",MAX(0,MIN($AE497,$AD497-SUM($AG497:AQ497))),0)</f>
        <v>0</v>
      </c>
      <c r="AS497" s="8">
        <f>IF($O497="Aktif",MAX(0,MIN($AE497,$AD497-SUM($AG497:AR497))),0)</f>
        <v>0</v>
      </c>
      <c r="AT497" s="8">
        <f>IF($O497="Aktif",MAX(0,MIN($AE497,$AD497-SUM($AG497:AS497))),0)</f>
        <v>0</v>
      </c>
      <c r="AU497" s="8">
        <f>IF($O497="Aktif",MAX(0,MIN($AE497,$AD497-SUM($AG497:AT497))),0)</f>
        <v>0</v>
      </c>
      <c r="AV497" s="8">
        <f>IF($O497="Aktif",MAX(0,MIN($AE497,$AD497-SUM($AG497:AU497))),0)</f>
        <v>0</v>
      </c>
      <c r="AW497" s="8">
        <f t="shared" si="54"/>
        <v>0</v>
      </c>
      <c r="AX497" s="8">
        <f t="shared" si="55"/>
        <v>0</v>
      </c>
    </row>
    <row r="498" spans="1:50" ht="15" customHeight="1" x14ac:dyDescent="0.35">
      <c r="A498" s="102">
        <v>492</v>
      </c>
      <c r="B498" s="102" t="s">
        <v>1326</v>
      </c>
      <c r="C498" s="103">
        <v>126</v>
      </c>
      <c r="D498" s="102" t="s">
        <v>185</v>
      </c>
      <c r="E498" s="102" t="s">
        <v>587</v>
      </c>
      <c r="F498" s="102" t="s">
        <v>1327</v>
      </c>
      <c r="G498" s="102" t="s">
        <v>1328</v>
      </c>
      <c r="H498" s="102" t="s">
        <v>1329</v>
      </c>
      <c r="I498" s="102" t="s">
        <v>63</v>
      </c>
      <c r="J498" s="102" t="s">
        <v>1665</v>
      </c>
      <c r="K498" s="102" t="s">
        <v>591</v>
      </c>
      <c r="L498" s="104">
        <v>41838</v>
      </c>
      <c r="M498" s="102" t="s">
        <v>1666</v>
      </c>
      <c r="N498" s="102" t="s">
        <v>1667</v>
      </c>
      <c r="O498" s="102" t="s">
        <v>383</v>
      </c>
      <c r="P498" s="103">
        <v>1</v>
      </c>
      <c r="Q498" s="105">
        <v>49236760</v>
      </c>
      <c r="R498" s="103">
        <v>48</v>
      </c>
      <c r="S498" s="105">
        <v>0</v>
      </c>
      <c r="T498" s="105">
        <v>49236760</v>
      </c>
      <c r="U498" s="105">
        <v>0</v>
      </c>
      <c r="V498" s="105">
        <v>0</v>
      </c>
      <c r="W498" s="105">
        <v>0</v>
      </c>
      <c r="X498" s="105">
        <v>0</v>
      </c>
      <c r="Y498" s="105">
        <v>0</v>
      </c>
      <c r="Z498" s="105">
        <v>0</v>
      </c>
      <c r="AA498" s="105">
        <v>0</v>
      </c>
      <c r="AB498" s="105">
        <v>0</v>
      </c>
      <c r="AC498" s="8">
        <f t="shared" si="49"/>
        <v>49236760</v>
      </c>
      <c r="AD498" s="8">
        <f t="shared" si="50"/>
        <v>0</v>
      </c>
      <c r="AE498" s="8">
        <f t="shared" si="51"/>
        <v>0</v>
      </c>
      <c r="AF498" s="106">
        <f t="shared" si="52"/>
        <v>0</v>
      </c>
      <c r="AG498" s="8">
        <f t="shared" si="53"/>
        <v>0</v>
      </c>
      <c r="AH498" s="8">
        <f>IF($O498="Aktif",MAX(0,MIN($AE498,$AD498-SUM($AG498:AG498))),0)</f>
        <v>0</v>
      </c>
      <c r="AI498" s="8">
        <f>IF($O498="Aktif",MAX(0,MIN($AE498,$AD498-SUM($AG498:AH498))),0)</f>
        <v>0</v>
      </c>
      <c r="AJ498" s="8">
        <f>IF($O498="Aktif",MAX(0,MIN($AE498,$AD498-SUM($AG498:AI498))),0)</f>
        <v>0</v>
      </c>
      <c r="AK498" s="8">
        <f>IF($O498="Aktif",MAX(0,MIN($AE498,$AD498-SUM($AG498:AJ498))),0)</f>
        <v>0</v>
      </c>
      <c r="AL498" s="8">
        <f>IF($O498="Aktif",MAX(0,MIN($AE498,$AD498-SUM($AG498:AK498))),0)</f>
        <v>0</v>
      </c>
      <c r="AM498" s="8">
        <f>IF($O498="Aktif",MAX(0,MIN($AE498,$AD498-SUM($AG498:AL498))),0)</f>
        <v>0</v>
      </c>
      <c r="AN498" s="8">
        <f>IF($O498="Aktif",MAX(0,MIN($AE498,$AD498-SUM($AG498:AM498))),0)</f>
        <v>0</v>
      </c>
      <c r="AO498" s="8">
        <f>IF($O498="Aktif",MAX(0,MIN($AE498,$AD498-SUM($AG498:AN498))),0)</f>
        <v>0</v>
      </c>
      <c r="AP498" s="8">
        <f>IF($O498="Aktif",MAX(0,MIN($AE498,$AD498-SUM($AG498:AO498))),0)</f>
        <v>0</v>
      </c>
      <c r="AQ498" s="8">
        <f>IF($O498="Aktif",MAX(0,MIN($AE498,$AD498-SUM($AG498:AP498))),0)</f>
        <v>0</v>
      </c>
      <c r="AR498" s="8">
        <f>IF($O498="Aktif",MAX(0,MIN($AE498,$AD498-SUM($AG498:AQ498))),0)</f>
        <v>0</v>
      </c>
      <c r="AS498" s="8">
        <f>IF($O498="Aktif",MAX(0,MIN($AE498,$AD498-SUM($AG498:AR498))),0)</f>
        <v>0</v>
      </c>
      <c r="AT498" s="8">
        <f>IF($O498="Aktif",MAX(0,MIN($AE498,$AD498-SUM($AG498:AS498))),0)</f>
        <v>0</v>
      </c>
      <c r="AU498" s="8">
        <f>IF($O498="Aktif",MAX(0,MIN($AE498,$AD498-SUM($AG498:AT498))),0)</f>
        <v>0</v>
      </c>
      <c r="AV498" s="8">
        <f>IF($O498="Aktif",MAX(0,MIN($AE498,$AD498-SUM($AG498:AU498))),0)</f>
        <v>0</v>
      </c>
      <c r="AW498" s="8">
        <f t="shared" si="54"/>
        <v>0</v>
      </c>
      <c r="AX498" s="8">
        <f t="shared" si="55"/>
        <v>0</v>
      </c>
    </row>
    <row r="499" spans="1:50" ht="15" customHeight="1" x14ac:dyDescent="0.35">
      <c r="A499" s="102">
        <v>493</v>
      </c>
      <c r="B499" s="102" t="s">
        <v>1326</v>
      </c>
      <c r="C499" s="103">
        <v>127</v>
      </c>
      <c r="D499" s="102" t="s">
        <v>185</v>
      </c>
      <c r="E499" s="102" t="s">
        <v>587</v>
      </c>
      <c r="F499" s="102" t="s">
        <v>1327</v>
      </c>
      <c r="G499" s="102" t="s">
        <v>1328</v>
      </c>
      <c r="H499" s="102" t="s">
        <v>1329</v>
      </c>
      <c r="I499" s="102" t="s">
        <v>63</v>
      </c>
      <c r="J499" s="102" t="s">
        <v>1668</v>
      </c>
      <c r="K499" s="102" t="s">
        <v>591</v>
      </c>
      <c r="L499" s="104">
        <v>41859</v>
      </c>
      <c r="M499" s="102" t="s">
        <v>1669</v>
      </c>
      <c r="N499" s="102" t="s">
        <v>1670</v>
      </c>
      <c r="O499" s="102" t="s">
        <v>383</v>
      </c>
      <c r="P499" s="103">
        <v>1</v>
      </c>
      <c r="Q499" s="105">
        <v>21938675</v>
      </c>
      <c r="R499" s="103">
        <v>48</v>
      </c>
      <c r="S499" s="105">
        <v>0</v>
      </c>
      <c r="T499" s="105">
        <v>21938675</v>
      </c>
      <c r="U499" s="105">
        <v>0</v>
      </c>
      <c r="V499" s="105">
        <v>0</v>
      </c>
      <c r="W499" s="105">
        <v>0</v>
      </c>
      <c r="X499" s="105">
        <v>0</v>
      </c>
      <c r="Y499" s="105">
        <v>0</v>
      </c>
      <c r="Z499" s="105">
        <v>0</v>
      </c>
      <c r="AA499" s="105">
        <v>0</v>
      </c>
      <c r="AB499" s="105">
        <v>0</v>
      </c>
      <c r="AC499" s="8">
        <f t="shared" si="49"/>
        <v>21938675</v>
      </c>
      <c r="AD499" s="8">
        <f t="shared" si="50"/>
        <v>0</v>
      </c>
      <c r="AE499" s="8">
        <f t="shared" si="51"/>
        <v>0</v>
      </c>
      <c r="AF499" s="106">
        <f t="shared" si="52"/>
        <v>0</v>
      </c>
      <c r="AG499" s="8">
        <f t="shared" si="53"/>
        <v>0</v>
      </c>
      <c r="AH499" s="8">
        <f>IF($O499="Aktif",MAX(0,MIN($AE499,$AD499-SUM($AG499:AG499))),0)</f>
        <v>0</v>
      </c>
      <c r="AI499" s="8">
        <f>IF($O499="Aktif",MAX(0,MIN($AE499,$AD499-SUM($AG499:AH499))),0)</f>
        <v>0</v>
      </c>
      <c r="AJ499" s="8">
        <f>IF($O499="Aktif",MAX(0,MIN($AE499,$AD499-SUM($AG499:AI499))),0)</f>
        <v>0</v>
      </c>
      <c r="AK499" s="8">
        <f>IF($O499="Aktif",MAX(0,MIN($AE499,$AD499-SUM($AG499:AJ499))),0)</f>
        <v>0</v>
      </c>
      <c r="AL499" s="8">
        <f>IF($O499="Aktif",MAX(0,MIN($AE499,$AD499-SUM($AG499:AK499))),0)</f>
        <v>0</v>
      </c>
      <c r="AM499" s="8">
        <f>IF($O499="Aktif",MAX(0,MIN($AE499,$AD499-SUM($AG499:AL499))),0)</f>
        <v>0</v>
      </c>
      <c r="AN499" s="8">
        <f>IF($O499="Aktif",MAX(0,MIN($AE499,$AD499-SUM($AG499:AM499))),0)</f>
        <v>0</v>
      </c>
      <c r="AO499" s="8">
        <f>IF($O499="Aktif",MAX(0,MIN($AE499,$AD499-SUM($AG499:AN499))),0)</f>
        <v>0</v>
      </c>
      <c r="AP499" s="8">
        <f>IF($O499="Aktif",MAX(0,MIN($AE499,$AD499-SUM($AG499:AO499))),0)</f>
        <v>0</v>
      </c>
      <c r="AQ499" s="8">
        <f>IF($O499="Aktif",MAX(0,MIN($AE499,$AD499-SUM($AG499:AP499))),0)</f>
        <v>0</v>
      </c>
      <c r="AR499" s="8">
        <f>IF($O499="Aktif",MAX(0,MIN($AE499,$AD499-SUM($AG499:AQ499))),0)</f>
        <v>0</v>
      </c>
      <c r="AS499" s="8">
        <f>IF($O499="Aktif",MAX(0,MIN($AE499,$AD499-SUM($AG499:AR499))),0)</f>
        <v>0</v>
      </c>
      <c r="AT499" s="8">
        <f>IF($O499="Aktif",MAX(0,MIN($AE499,$AD499-SUM($AG499:AS499))),0)</f>
        <v>0</v>
      </c>
      <c r="AU499" s="8">
        <f>IF($O499="Aktif",MAX(0,MIN($AE499,$AD499-SUM($AG499:AT499))),0)</f>
        <v>0</v>
      </c>
      <c r="AV499" s="8">
        <f>IF($O499="Aktif",MAX(0,MIN($AE499,$AD499-SUM($AG499:AU499))),0)</f>
        <v>0</v>
      </c>
      <c r="AW499" s="8">
        <f t="shared" si="54"/>
        <v>0</v>
      </c>
      <c r="AX499" s="8">
        <f t="shared" si="55"/>
        <v>0</v>
      </c>
    </row>
    <row r="500" spans="1:50" ht="15" customHeight="1" x14ac:dyDescent="0.35">
      <c r="A500" s="102">
        <v>494</v>
      </c>
      <c r="B500" s="102" t="s">
        <v>1326</v>
      </c>
      <c r="C500" s="103">
        <v>128</v>
      </c>
      <c r="D500" s="102" t="s">
        <v>185</v>
      </c>
      <c r="E500" s="102" t="s">
        <v>587</v>
      </c>
      <c r="F500" s="102" t="s">
        <v>1327</v>
      </c>
      <c r="G500" s="102" t="s">
        <v>1328</v>
      </c>
      <c r="H500" s="102" t="s">
        <v>1329</v>
      </c>
      <c r="I500" s="102" t="s">
        <v>63</v>
      </c>
      <c r="J500" s="102" t="s">
        <v>1671</v>
      </c>
      <c r="K500" s="102" t="s">
        <v>591</v>
      </c>
      <c r="L500" s="104">
        <v>41866</v>
      </c>
      <c r="M500" s="102" t="s">
        <v>1672</v>
      </c>
      <c r="N500" s="102" t="s">
        <v>1673</v>
      </c>
      <c r="O500" s="102" t="s">
        <v>383</v>
      </c>
      <c r="P500" s="103">
        <v>1</v>
      </c>
      <c r="Q500" s="105">
        <v>5400000</v>
      </c>
      <c r="R500" s="103">
        <v>48</v>
      </c>
      <c r="S500" s="105">
        <v>0</v>
      </c>
      <c r="T500" s="105">
        <v>5400000</v>
      </c>
      <c r="U500" s="105">
        <v>0</v>
      </c>
      <c r="V500" s="105">
        <v>0</v>
      </c>
      <c r="W500" s="105">
        <v>0</v>
      </c>
      <c r="X500" s="105">
        <v>0</v>
      </c>
      <c r="Y500" s="105">
        <v>0</v>
      </c>
      <c r="Z500" s="105">
        <v>0</v>
      </c>
      <c r="AA500" s="105">
        <v>0</v>
      </c>
      <c r="AB500" s="105">
        <v>0</v>
      </c>
      <c r="AC500" s="8">
        <f t="shared" si="49"/>
        <v>5400000</v>
      </c>
      <c r="AD500" s="8">
        <f t="shared" si="50"/>
        <v>0</v>
      </c>
      <c r="AE500" s="8">
        <f t="shared" si="51"/>
        <v>0</v>
      </c>
      <c r="AF500" s="106">
        <f t="shared" si="52"/>
        <v>0</v>
      </c>
      <c r="AG500" s="8">
        <f t="shared" si="53"/>
        <v>0</v>
      </c>
      <c r="AH500" s="8">
        <f>IF($O500="Aktif",MAX(0,MIN($AE500,$AD500-SUM($AG500:AG500))),0)</f>
        <v>0</v>
      </c>
      <c r="AI500" s="8">
        <f>IF($O500="Aktif",MAX(0,MIN($AE500,$AD500-SUM($AG500:AH500))),0)</f>
        <v>0</v>
      </c>
      <c r="AJ500" s="8">
        <f>IF($O500="Aktif",MAX(0,MIN($AE500,$AD500-SUM($AG500:AI500))),0)</f>
        <v>0</v>
      </c>
      <c r="AK500" s="8">
        <f>IF($O500="Aktif",MAX(0,MIN($AE500,$AD500-SUM($AG500:AJ500))),0)</f>
        <v>0</v>
      </c>
      <c r="AL500" s="8">
        <f>IF($O500="Aktif",MAX(0,MIN($AE500,$AD500-SUM($AG500:AK500))),0)</f>
        <v>0</v>
      </c>
      <c r="AM500" s="8">
        <f>IF($O500="Aktif",MAX(0,MIN($AE500,$AD500-SUM($AG500:AL500))),0)</f>
        <v>0</v>
      </c>
      <c r="AN500" s="8">
        <f>IF($O500="Aktif",MAX(0,MIN($AE500,$AD500-SUM($AG500:AM500))),0)</f>
        <v>0</v>
      </c>
      <c r="AO500" s="8">
        <f>IF($O500="Aktif",MAX(0,MIN($AE500,$AD500-SUM($AG500:AN500))),0)</f>
        <v>0</v>
      </c>
      <c r="AP500" s="8">
        <f>IF($O500="Aktif",MAX(0,MIN($AE500,$AD500-SUM($AG500:AO500))),0)</f>
        <v>0</v>
      </c>
      <c r="AQ500" s="8">
        <f>IF($O500="Aktif",MAX(0,MIN($AE500,$AD500-SUM($AG500:AP500))),0)</f>
        <v>0</v>
      </c>
      <c r="AR500" s="8">
        <f>IF($O500="Aktif",MAX(0,MIN($AE500,$AD500-SUM($AG500:AQ500))),0)</f>
        <v>0</v>
      </c>
      <c r="AS500" s="8">
        <f>IF($O500="Aktif",MAX(0,MIN($AE500,$AD500-SUM($AG500:AR500))),0)</f>
        <v>0</v>
      </c>
      <c r="AT500" s="8">
        <f>IF($O500="Aktif",MAX(0,MIN($AE500,$AD500-SUM($AG500:AS500))),0)</f>
        <v>0</v>
      </c>
      <c r="AU500" s="8">
        <f>IF($O500="Aktif",MAX(0,MIN($AE500,$AD500-SUM($AG500:AT500))),0)</f>
        <v>0</v>
      </c>
      <c r="AV500" s="8">
        <f>IF($O500="Aktif",MAX(0,MIN($AE500,$AD500-SUM($AG500:AU500))),0)</f>
        <v>0</v>
      </c>
      <c r="AW500" s="8">
        <f t="shared" si="54"/>
        <v>0</v>
      </c>
      <c r="AX500" s="8">
        <f t="shared" si="55"/>
        <v>0</v>
      </c>
    </row>
    <row r="501" spans="1:50" ht="15" customHeight="1" x14ac:dyDescent="0.35">
      <c r="A501" s="102">
        <v>495</v>
      </c>
      <c r="B501" s="102" t="s">
        <v>1326</v>
      </c>
      <c r="C501" s="103">
        <v>129</v>
      </c>
      <c r="D501" s="102" t="s">
        <v>185</v>
      </c>
      <c r="E501" s="102" t="s">
        <v>587</v>
      </c>
      <c r="F501" s="102" t="s">
        <v>1327</v>
      </c>
      <c r="G501" s="102" t="s">
        <v>1328</v>
      </c>
      <c r="H501" s="102" t="s">
        <v>1329</v>
      </c>
      <c r="I501" s="102" t="s">
        <v>63</v>
      </c>
      <c r="J501" s="102" t="s">
        <v>1674</v>
      </c>
      <c r="K501" s="102" t="s">
        <v>591</v>
      </c>
      <c r="L501" s="104">
        <v>41880</v>
      </c>
      <c r="M501" s="102" t="s">
        <v>1675</v>
      </c>
      <c r="N501" s="102" t="s">
        <v>1676</v>
      </c>
      <c r="O501" s="102" t="s">
        <v>383</v>
      </c>
      <c r="P501" s="103">
        <v>1</v>
      </c>
      <c r="Q501" s="105">
        <v>13205000</v>
      </c>
      <c r="R501" s="103">
        <v>48</v>
      </c>
      <c r="S501" s="105">
        <v>0</v>
      </c>
      <c r="T501" s="105">
        <v>13205000</v>
      </c>
      <c r="U501" s="105">
        <v>0</v>
      </c>
      <c r="V501" s="105">
        <v>0</v>
      </c>
      <c r="W501" s="105">
        <v>0</v>
      </c>
      <c r="X501" s="105">
        <v>0</v>
      </c>
      <c r="Y501" s="105">
        <v>0</v>
      </c>
      <c r="Z501" s="105">
        <v>0</v>
      </c>
      <c r="AA501" s="105">
        <v>0</v>
      </c>
      <c r="AB501" s="105">
        <v>0</v>
      </c>
      <c r="AC501" s="8">
        <f t="shared" si="49"/>
        <v>13205000</v>
      </c>
      <c r="AD501" s="8">
        <f t="shared" si="50"/>
        <v>0</v>
      </c>
      <c r="AE501" s="8">
        <f t="shared" si="51"/>
        <v>0</v>
      </c>
      <c r="AF501" s="106">
        <f t="shared" si="52"/>
        <v>0</v>
      </c>
      <c r="AG501" s="8">
        <f t="shared" si="53"/>
        <v>0</v>
      </c>
      <c r="AH501" s="8">
        <f>IF($O501="Aktif",MAX(0,MIN($AE501,$AD501-SUM($AG501:AG501))),0)</f>
        <v>0</v>
      </c>
      <c r="AI501" s="8">
        <f>IF($O501="Aktif",MAX(0,MIN($AE501,$AD501-SUM($AG501:AH501))),0)</f>
        <v>0</v>
      </c>
      <c r="AJ501" s="8">
        <f>IF($O501="Aktif",MAX(0,MIN($AE501,$AD501-SUM($AG501:AI501))),0)</f>
        <v>0</v>
      </c>
      <c r="AK501" s="8">
        <f>IF($O501="Aktif",MAX(0,MIN($AE501,$AD501-SUM($AG501:AJ501))),0)</f>
        <v>0</v>
      </c>
      <c r="AL501" s="8">
        <f>IF($O501="Aktif",MAX(0,MIN($AE501,$AD501-SUM($AG501:AK501))),0)</f>
        <v>0</v>
      </c>
      <c r="AM501" s="8">
        <f>IF($O501="Aktif",MAX(0,MIN($AE501,$AD501-SUM($AG501:AL501))),0)</f>
        <v>0</v>
      </c>
      <c r="AN501" s="8">
        <f>IF($O501="Aktif",MAX(0,MIN($AE501,$AD501-SUM($AG501:AM501))),0)</f>
        <v>0</v>
      </c>
      <c r="AO501" s="8">
        <f>IF($O501="Aktif",MAX(0,MIN($AE501,$AD501-SUM($AG501:AN501))),0)</f>
        <v>0</v>
      </c>
      <c r="AP501" s="8">
        <f>IF($O501="Aktif",MAX(0,MIN($AE501,$AD501-SUM($AG501:AO501))),0)</f>
        <v>0</v>
      </c>
      <c r="AQ501" s="8">
        <f>IF($O501="Aktif",MAX(0,MIN($AE501,$AD501-SUM($AG501:AP501))),0)</f>
        <v>0</v>
      </c>
      <c r="AR501" s="8">
        <f>IF($O501="Aktif",MAX(0,MIN($AE501,$AD501-SUM($AG501:AQ501))),0)</f>
        <v>0</v>
      </c>
      <c r="AS501" s="8">
        <f>IF($O501="Aktif",MAX(0,MIN($AE501,$AD501-SUM($AG501:AR501))),0)</f>
        <v>0</v>
      </c>
      <c r="AT501" s="8">
        <f>IF($O501="Aktif",MAX(0,MIN($AE501,$AD501-SUM($AG501:AS501))),0)</f>
        <v>0</v>
      </c>
      <c r="AU501" s="8">
        <f>IF($O501="Aktif",MAX(0,MIN($AE501,$AD501-SUM($AG501:AT501))),0)</f>
        <v>0</v>
      </c>
      <c r="AV501" s="8">
        <f>IF($O501="Aktif",MAX(0,MIN($AE501,$AD501-SUM($AG501:AU501))),0)</f>
        <v>0</v>
      </c>
      <c r="AW501" s="8">
        <f t="shared" si="54"/>
        <v>0</v>
      </c>
      <c r="AX501" s="8">
        <f t="shared" si="55"/>
        <v>0</v>
      </c>
    </row>
    <row r="502" spans="1:50" ht="15" customHeight="1" x14ac:dyDescent="0.35">
      <c r="A502" s="102">
        <v>496</v>
      </c>
      <c r="B502" s="102" t="s">
        <v>1326</v>
      </c>
      <c r="C502" s="103">
        <v>130</v>
      </c>
      <c r="D502" s="102" t="s">
        <v>185</v>
      </c>
      <c r="E502" s="102" t="s">
        <v>587</v>
      </c>
      <c r="F502" s="102" t="s">
        <v>1327</v>
      </c>
      <c r="G502" s="102" t="s">
        <v>1328</v>
      </c>
      <c r="H502" s="102" t="s">
        <v>1329</v>
      </c>
      <c r="I502" s="102" t="s">
        <v>63</v>
      </c>
      <c r="J502" s="102" t="s">
        <v>1677</v>
      </c>
      <c r="K502" s="102" t="s">
        <v>591</v>
      </c>
      <c r="L502" s="104">
        <v>41880</v>
      </c>
      <c r="M502" s="102" t="s">
        <v>1678</v>
      </c>
      <c r="N502" s="102" t="s">
        <v>1679</v>
      </c>
      <c r="O502" s="102" t="s">
        <v>383</v>
      </c>
      <c r="P502" s="103">
        <v>1</v>
      </c>
      <c r="Q502" s="105">
        <v>8500000</v>
      </c>
      <c r="R502" s="103">
        <v>48</v>
      </c>
      <c r="S502" s="105">
        <v>0</v>
      </c>
      <c r="T502" s="105">
        <v>8500000</v>
      </c>
      <c r="U502" s="105">
        <v>0</v>
      </c>
      <c r="V502" s="105">
        <v>0</v>
      </c>
      <c r="W502" s="105">
        <v>0</v>
      </c>
      <c r="X502" s="105">
        <v>0</v>
      </c>
      <c r="Y502" s="105">
        <v>0</v>
      </c>
      <c r="Z502" s="105">
        <v>0</v>
      </c>
      <c r="AA502" s="105">
        <v>0</v>
      </c>
      <c r="AB502" s="105">
        <v>0</v>
      </c>
      <c r="AC502" s="8">
        <f t="shared" si="49"/>
        <v>8500000</v>
      </c>
      <c r="AD502" s="8">
        <f t="shared" si="50"/>
        <v>0</v>
      </c>
      <c r="AE502" s="8">
        <f t="shared" si="51"/>
        <v>0</v>
      </c>
      <c r="AF502" s="106">
        <f t="shared" si="52"/>
        <v>0</v>
      </c>
      <c r="AG502" s="8">
        <f t="shared" si="53"/>
        <v>0</v>
      </c>
      <c r="AH502" s="8">
        <f>IF($O502="Aktif",MAX(0,MIN($AE502,$AD502-SUM($AG502:AG502))),0)</f>
        <v>0</v>
      </c>
      <c r="AI502" s="8">
        <f>IF($O502="Aktif",MAX(0,MIN($AE502,$AD502-SUM($AG502:AH502))),0)</f>
        <v>0</v>
      </c>
      <c r="AJ502" s="8">
        <f>IF($O502="Aktif",MAX(0,MIN($AE502,$AD502-SUM($AG502:AI502))),0)</f>
        <v>0</v>
      </c>
      <c r="AK502" s="8">
        <f>IF($O502="Aktif",MAX(0,MIN($AE502,$AD502-SUM($AG502:AJ502))),0)</f>
        <v>0</v>
      </c>
      <c r="AL502" s="8">
        <f>IF($O502="Aktif",MAX(0,MIN($AE502,$AD502-SUM($AG502:AK502))),0)</f>
        <v>0</v>
      </c>
      <c r="AM502" s="8">
        <f>IF($O502="Aktif",MAX(0,MIN($AE502,$AD502-SUM($AG502:AL502))),0)</f>
        <v>0</v>
      </c>
      <c r="AN502" s="8">
        <f>IF($O502="Aktif",MAX(0,MIN($AE502,$AD502-SUM($AG502:AM502))),0)</f>
        <v>0</v>
      </c>
      <c r="AO502" s="8">
        <f>IF($O502="Aktif",MAX(0,MIN($AE502,$AD502-SUM($AG502:AN502))),0)</f>
        <v>0</v>
      </c>
      <c r="AP502" s="8">
        <f>IF($O502="Aktif",MAX(0,MIN($AE502,$AD502-SUM($AG502:AO502))),0)</f>
        <v>0</v>
      </c>
      <c r="AQ502" s="8">
        <f>IF($O502="Aktif",MAX(0,MIN($AE502,$AD502-SUM($AG502:AP502))),0)</f>
        <v>0</v>
      </c>
      <c r="AR502" s="8">
        <f>IF($O502="Aktif",MAX(0,MIN($AE502,$AD502-SUM($AG502:AQ502))),0)</f>
        <v>0</v>
      </c>
      <c r="AS502" s="8">
        <f>IF($O502="Aktif",MAX(0,MIN($AE502,$AD502-SUM($AG502:AR502))),0)</f>
        <v>0</v>
      </c>
      <c r="AT502" s="8">
        <f>IF($O502="Aktif",MAX(0,MIN($AE502,$AD502-SUM($AG502:AS502))),0)</f>
        <v>0</v>
      </c>
      <c r="AU502" s="8">
        <f>IF($O502="Aktif",MAX(0,MIN($AE502,$AD502-SUM($AG502:AT502))),0)</f>
        <v>0</v>
      </c>
      <c r="AV502" s="8">
        <f>IF($O502="Aktif",MAX(0,MIN($AE502,$AD502-SUM($AG502:AU502))),0)</f>
        <v>0</v>
      </c>
      <c r="AW502" s="8">
        <f t="shared" si="54"/>
        <v>0</v>
      </c>
      <c r="AX502" s="8">
        <f t="shared" si="55"/>
        <v>0</v>
      </c>
    </row>
    <row r="503" spans="1:50" ht="15" customHeight="1" x14ac:dyDescent="0.35">
      <c r="A503" s="102">
        <v>497</v>
      </c>
      <c r="B503" s="102" t="s">
        <v>1326</v>
      </c>
      <c r="C503" s="103">
        <v>131</v>
      </c>
      <c r="D503" s="102" t="s">
        <v>185</v>
      </c>
      <c r="E503" s="102" t="s">
        <v>587</v>
      </c>
      <c r="F503" s="102" t="s">
        <v>1327</v>
      </c>
      <c r="G503" s="102" t="s">
        <v>1328</v>
      </c>
      <c r="H503" s="102" t="s">
        <v>1329</v>
      </c>
      <c r="I503" s="102" t="s">
        <v>63</v>
      </c>
      <c r="J503" s="102" t="s">
        <v>1680</v>
      </c>
      <c r="K503" s="102" t="s">
        <v>591</v>
      </c>
      <c r="L503" s="104">
        <v>41880</v>
      </c>
      <c r="M503" s="102" t="s">
        <v>1681</v>
      </c>
      <c r="N503" s="102" t="s">
        <v>1682</v>
      </c>
      <c r="O503" s="102" t="s">
        <v>383</v>
      </c>
      <c r="P503" s="103">
        <v>1</v>
      </c>
      <c r="Q503" s="105">
        <v>2500000</v>
      </c>
      <c r="R503" s="103">
        <v>48</v>
      </c>
      <c r="S503" s="105">
        <v>0</v>
      </c>
      <c r="T503" s="105">
        <v>2500000</v>
      </c>
      <c r="U503" s="105">
        <v>0</v>
      </c>
      <c r="V503" s="105">
        <v>0</v>
      </c>
      <c r="W503" s="105">
        <v>0</v>
      </c>
      <c r="X503" s="105">
        <v>0</v>
      </c>
      <c r="Y503" s="105">
        <v>0</v>
      </c>
      <c r="Z503" s="105">
        <v>0</v>
      </c>
      <c r="AA503" s="105">
        <v>0</v>
      </c>
      <c r="AB503" s="105">
        <v>0</v>
      </c>
      <c r="AC503" s="8">
        <f t="shared" si="49"/>
        <v>2500000</v>
      </c>
      <c r="AD503" s="8">
        <f t="shared" si="50"/>
        <v>0</v>
      </c>
      <c r="AE503" s="8">
        <f t="shared" si="51"/>
        <v>0</v>
      </c>
      <c r="AF503" s="106">
        <f t="shared" si="52"/>
        <v>0</v>
      </c>
      <c r="AG503" s="8">
        <f t="shared" si="53"/>
        <v>0</v>
      </c>
      <c r="AH503" s="8">
        <f>IF($O503="Aktif",MAX(0,MIN($AE503,$AD503-SUM($AG503:AG503))),0)</f>
        <v>0</v>
      </c>
      <c r="AI503" s="8">
        <f>IF($O503="Aktif",MAX(0,MIN($AE503,$AD503-SUM($AG503:AH503))),0)</f>
        <v>0</v>
      </c>
      <c r="AJ503" s="8">
        <f>IF($O503="Aktif",MAX(0,MIN($AE503,$AD503-SUM($AG503:AI503))),0)</f>
        <v>0</v>
      </c>
      <c r="AK503" s="8">
        <f>IF($O503="Aktif",MAX(0,MIN($AE503,$AD503-SUM($AG503:AJ503))),0)</f>
        <v>0</v>
      </c>
      <c r="AL503" s="8">
        <f>IF($O503="Aktif",MAX(0,MIN($AE503,$AD503-SUM($AG503:AK503))),0)</f>
        <v>0</v>
      </c>
      <c r="AM503" s="8">
        <f>IF($O503="Aktif",MAX(0,MIN($AE503,$AD503-SUM($AG503:AL503))),0)</f>
        <v>0</v>
      </c>
      <c r="AN503" s="8">
        <f>IF($O503="Aktif",MAX(0,MIN($AE503,$AD503-SUM($AG503:AM503))),0)</f>
        <v>0</v>
      </c>
      <c r="AO503" s="8">
        <f>IF($O503="Aktif",MAX(0,MIN($AE503,$AD503-SUM($AG503:AN503))),0)</f>
        <v>0</v>
      </c>
      <c r="AP503" s="8">
        <f>IF($O503="Aktif",MAX(0,MIN($AE503,$AD503-SUM($AG503:AO503))),0)</f>
        <v>0</v>
      </c>
      <c r="AQ503" s="8">
        <f>IF($O503="Aktif",MAX(0,MIN($AE503,$AD503-SUM($AG503:AP503))),0)</f>
        <v>0</v>
      </c>
      <c r="AR503" s="8">
        <f>IF($O503="Aktif",MAX(0,MIN($AE503,$AD503-SUM($AG503:AQ503))),0)</f>
        <v>0</v>
      </c>
      <c r="AS503" s="8">
        <f>IF($O503="Aktif",MAX(0,MIN($AE503,$AD503-SUM($AG503:AR503))),0)</f>
        <v>0</v>
      </c>
      <c r="AT503" s="8">
        <f>IF($O503="Aktif",MAX(0,MIN($AE503,$AD503-SUM($AG503:AS503))),0)</f>
        <v>0</v>
      </c>
      <c r="AU503" s="8">
        <f>IF($O503="Aktif",MAX(0,MIN($AE503,$AD503-SUM($AG503:AT503))),0)</f>
        <v>0</v>
      </c>
      <c r="AV503" s="8">
        <f>IF($O503="Aktif",MAX(0,MIN($AE503,$AD503-SUM($AG503:AU503))),0)</f>
        <v>0</v>
      </c>
      <c r="AW503" s="8">
        <f t="shared" si="54"/>
        <v>0</v>
      </c>
      <c r="AX503" s="8">
        <f t="shared" si="55"/>
        <v>0</v>
      </c>
    </row>
    <row r="504" spans="1:50" ht="15" customHeight="1" x14ac:dyDescent="0.35">
      <c r="A504" s="102">
        <v>498</v>
      </c>
      <c r="B504" s="102" t="s">
        <v>1326</v>
      </c>
      <c r="C504" s="103">
        <v>132</v>
      </c>
      <c r="D504" s="102" t="s">
        <v>185</v>
      </c>
      <c r="E504" s="102" t="s">
        <v>587</v>
      </c>
      <c r="F504" s="102" t="s">
        <v>1327</v>
      </c>
      <c r="G504" s="102" t="s">
        <v>1328</v>
      </c>
      <c r="H504" s="102" t="s">
        <v>1329</v>
      </c>
      <c r="I504" s="102" t="s">
        <v>63</v>
      </c>
      <c r="J504" s="102" t="s">
        <v>1683</v>
      </c>
      <c r="K504" s="102" t="s">
        <v>591</v>
      </c>
      <c r="L504" s="104">
        <v>41908</v>
      </c>
      <c r="M504" s="102" t="s">
        <v>1420</v>
      </c>
      <c r="N504" s="102" t="s">
        <v>1684</v>
      </c>
      <c r="O504" s="102" t="s">
        <v>383</v>
      </c>
      <c r="P504" s="103">
        <v>1</v>
      </c>
      <c r="Q504" s="105">
        <v>3500000</v>
      </c>
      <c r="R504" s="103">
        <v>48</v>
      </c>
      <c r="S504" s="105">
        <v>0</v>
      </c>
      <c r="T504" s="105">
        <v>3500000</v>
      </c>
      <c r="U504" s="105">
        <v>0</v>
      </c>
      <c r="V504" s="105">
        <v>0</v>
      </c>
      <c r="W504" s="105">
        <v>0</v>
      </c>
      <c r="X504" s="105">
        <v>0</v>
      </c>
      <c r="Y504" s="105">
        <v>0</v>
      </c>
      <c r="Z504" s="105">
        <v>0</v>
      </c>
      <c r="AA504" s="105">
        <v>0</v>
      </c>
      <c r="AB504" s="105">
        <v>0</v>
      </c>
      <c r="AC504" s="8">
        <f t="shared" si="49"/>
        <v>3500000</v>
      </c>
      <c r="AD504" s="8">
        <f t="shared" si="50"/>
        <v>0</v>
      </c>
      <c r="AE504" s="8">
        <f t="shared" si="51"/>
        <v>0</v>
      </c>
      <c r="AF504" s="106">
        <f t="shared" si="52"/>
        <v>0</v>
      </c>
      <c r="AG504" s="8">
        <f t="shared" si="53"/>
        <v>0</v>
      </c>
      <c r="AH504" s="8">
        <f>IF($O504="Aktif",MAX(0,MIN($AE504,$AD504-SUM($AG504:AG504))),0)</f>
        <v>0</v>
      </c>
      <c r="AI504" s="8">
        <f>IF($O504="Aktif",MAX(0,MIN($AE504,$AD504-SUM($AG504:AH504))),0)</f>
        <v>0</v>
      </c>
      <c r="AJ504" s="8">
        <f>IF($O504="Aktif",MAX(0,MIN($AE504,$AD504-SUM($AG504:AI504))),0)</f>
        <v>0</v>
      </c>
      <c r="AK504" s="8">
        <f>IF($O504="Aktif",MAX(0,MIN($AE504,$AD504-SUM($AG504:AJ504))),0)</f>
        <v>0</v>
      </c>
      <c r="AL504" s="8">
        <f>IF($O504="Aktif",MAX(0,MIN($AE504,$AD504-SUM($AG504:AK504))),0)</f>
        <v>0</v>
      </c>
      <c r="AM504" s="8">
        <f>IF($O504="Aktif",MAX(0,MIN($AE504,$AD504-SUM($AG504:AL504))),0)</f>
        <v>0</v>
      </c>
      <c r="AN504" s="8">
        <f>IF($O504="Aktif",MAX(0,MIN($AE504,$AD504-SUM($AG504:AM504))),0)</f>
        <v>0</v>
      </c>
      <c r="AO504" s="8">
        <f>IF($O504="Aktif",MAX(0,MIN($AE504,$AD504-SUM($AG504:AN504))),0)</f>
        <v>0</v>
      </c>
      <c r="AP504" s="8">
        <f>IF($O504="Aktif",MAX(0,MIN($AE504,$AD504-SUM($AG504:AO504))),0)</f>
        <v>0</v>
      </c>
      <c r="AQ504" s="8">
        <f>IF($O504="Aktif",MAX(0,MIN($AE504,$AD504-SUM($AG504:AP504))),0)</f>
        <v>0</v>
      </c>
      <c r="AR504" s="8">
        <f>IF($O504="Aktif",MAX(0,MIN($AE504,$AD504-SUM($AG504:AQ504))),0)</f>
        <v>0</v>
      </c>
      <c r="AS504" s="8">
        <f>IF($O504="Aktif",MAX(0,MIN($AE504,$AD504-SUM($AG504:AR504))),0)</f>
        <v>0</v>
      </c>
      <c r="AT504" s="8">
        <f>IF($O504="Aktif",MAX(0,MIN($AE504,$AD504-SUM($AG504:AS504))),0)</f>
        <v>0</v>
      </c>
      <c r="AU504" s="8">
        <f>IF($O504="Aktif",MAX(0,MIN($AE504,$AD504-SUM($AG504:AT504))),0)</f>
        <v>0</v>
      </c>
      <c r="AV504" s="8">
        <f>IF($O504="Aktif",MAX(0,MIN($AE504,$AD504-SUM($AG504:AU504))),0)</f>
        <v>0</v>
      </c>
      <c r="AW504" s="8">
        <f t="shared" si="54"/>
        <v>0</v>
      </c>
      <c r="AX504" s="8">
        <f t="shared" si="55"/>
        <v>0</v>
      </c>
    </row>
    <row r="505" spans="1:50" ht="15" customHeight="1" x14ac:dyDescent="0.35">
      <c r="A505" s="102">
        <v>499</v>
      </c>
      <c r="B505" s="102" t="s">
        <v>1326</v>
      </c>
      <c r="C505" s="103">
        <v>133</v>
      </c>
      <c r="D505" s="102" t="s">
        <v>185</v>
      </c>
      <c r="E505" s="102" t="s">
        <v>587</v>
      </c>
      <c r="F505" s="102" t="s">
        <v>1327</v>
      </c>
      <c r="G505" s="102" t="s">
        <v>1328</v>
      </c>
      <c r="H505" s="102" t="s">
        <v>1329</v>
      </c>
      <c r="I505" s="102" t="s">
        <v>63</v>
      </c>
      <c r="J505" s="102" t="s">
        <v>1685</v>
      </c>
      <c r="K505" s="102" t="s">
        <v>591</v>
      </c>
      <c r="L505" s="104">
        <v>41915</v>
      </c>
      <c r="M505" s="102" t="s">
        <v>786</v>
      </c>
      <c r="N505" s="102" t="s">
        <v>1686</v>
      </c>
      <c r="O505" s="102" t="s">
        <v>383</v>
      </c>
      <c r="P505" s="103">
        <v>1</v>
      </c>
      <c r="Q505" s="105">
        <v>5830000</v>
      </c>
      <c r="R505" s="103">
        <v>48</v>
      </c>
      <c r="S505" s="105">
        <v>0</v>
      </c>
      <c r="T505" s="105">
        <v>5830000</v>
      </c>
      <c r="U505" s="105">
        <v>0</v>
      </c>
      <c r="V505" s="105">
        <v>0</v>
      </c>
      <c r="W505" s="105">
        <v>0</v>
      </c>
      <c r="X505" s="105">
        <v>0</v>
      </c>
      <c r="Y505" s="105">
        <v>0</v>
      </c>
      <c r="Z505" s="105">
        <v>0</v>
      </c>
      <c r="AA505" s="105">
        <v>0</v>
      </c>
      <c r="AB505" s="105">
        <v>0</v>
      </c>
      <c r="AC505" s="8">
        <f t="shared" si="49"/>
        <v>5830000</v>
      </c>
      <c r="AD505" s="8">
        <f t="shared" si="50"/>
        <v>0</v>
      </c>
      <c r="AE505" s="8">
        <f t="shared" si="51"/>
        <v>0</v>
      </c>
      <c r="AF505" s="106">
        <f t="shared" si="52"/>
        <v>0</v>
      </c>
      <c r="AG505" s="8">
        <f t="shared" si="53"/>
        <v>0</v>
      </c>
      <c r="AH505" s="8">
        <f>IF($O505="Aktif",MAX(0,MIN($AE505,$AD505-SUM($AG505:AG505))),0)</f>
        <v>0</v>
      </c>
      <c r="AI505" s="8">
        <f>IF($O505="Aktif",MAX(0,MIN($AE505,$AD505-SUM($AG505:AH505))),0)</f>
        <v>0</v>
      </c>
      <c r="AJ505" s="8">
        <f>IF($O505="Aktif",MAX(0,MIN($AE505,$AD505-SUM($AG505:AI505))),0)</f>
        <v>0</v>
      </c>
      <c r="AK505" s="8">
        <f>IF($O505="Aktif",MAX(0,MIN($AE505,$AD505-SUM($AG505:AJ505))),0)</f>
        <v>0</v>
      </c>
      <c r="AL505" s="8">
        <f>IF($O505="Aktif",MAX(0,MIN($AE505,$AD505-SUM($AG505:AK505))),0)</f>
        <v>0</v>
      </c>
      <c r="AM505" s="8">
        <f>IF($O505="Aktif",MAX(0,MIN($AE505,$AD505-SUM($AG505:AL505))),0)</f>
        <v>0</v>
      </c>
      <c r="AN505" s="8">
        <f>IF($O505="Aktif",MAX(0,MIN($AE505,$AD505-SUM($AG505:AM505))),0)</f>
        <v>0</v>
      </c>
      <c r="AO505" s="8">
        <f>IF($O505="Aktif",MAX(0,MIN($AE505,$AD505-SUM($AG505:AN505))),0)</f>
        <v>0</v>
      </c>
      <c r="AP505" s="8">
        <f>IF($O505="Aktif",MAX(0,MIN($AE505,$AD505-SUM($AG505:AO505))),0)</f>
        <v>0</v>
      </c>
      <c r="AQ505" s="8">
        <f>IF($O505="Aktif",MAX(0,MIN($AE505,$AD505-SUM($AG505:AP505))),0)</f>
        <v>0</v>
      </c>
      <c r="AR505" s="8">
        <f>IF($O505="Aktif",MAX(0,MIN($AE505,$AD505-SUM($AG505:AQ505))),0)</f>
        <v>0</v>
      </c>
      <c r="AS505" s="8">
        <f>IF($O505="Aktif",MAX(0,MIN($AE505,$AD505-SUM($AG505:AR505))),0)</f>
        <v>0</v>
      </c>
      <c r="AT505" s="8">
        <f>IF($O505="Aktif",MAX(0,MIN($AE505,$AD505-SUM($AG505:AS505))),0)</f>
        <v>0</v>
      </c>
      <c r="AU505" s="8">
        <f>IF($O505="Aktif",MAX(0,MIN($AE505,$AD505-SUM($AG505:AT505))),0)</f>
        <v>0</v>
      </c>
      <c r="AV505" s="8">
        <f>IF($O505="Aktif",MAX(0,MIN($AE505,$AD505-SUM($AG505:AU505))),0)</f>
        <v>0</v>
      </c>
      <c r="AW505" s="8">
        <f t="shared" si="54"/>
        <v>0</v>
      </c>
      <c r="AX505" s="8">
        <f t="shared" si="55"/>
        <v>0</v>
      </c>
    </row>
    <row r="506" spans="1:50" ht="15" customHeight="1" x14ac:dyDescent="0.35">
      <c r="A506" s="102">
        <v>500</v>
      </c>
      <c r="B506" s="102" t="s">
        <v>1326</v>
      </c>
      <c r="C506" s="103">
        <v>134</v>
      </c>
      <c r="D506" s="102" t="s">
        <v>185</v>
      </c>
      <c r="E506" s="102" t="s">
        <v>587</v>
      </c>
      <c r="F506" s="102" t="s">
        <v>1327</v>
      </c>
      <c r="G506" s="102" t="s">
        <v>1328</v>
      </c>
      <c r="H506" s="102" t="s">
        <v>1329</v>
      </c>
      <c r="I506" s="102" t="s">
        <v>63</v>
      </c>
      <c r="J506" s="102" t="s">
        <v>1687</v>
      </c>
      <c r="K506" s="102" t="s">
        <v>591</v>
      </c>
      <c r="L506" s="104">
        <v>41919</v>
      </c>
      <c r="M506" s="102" t="s">
        <v>1688</v>
      </c>
      <c r="N506" s="102" t="s">
        <v>1689</v>
      </c>
      <c r="O506" s="102" t="s">
        <v>383</v>
      </c>
      <c r="P506" s="103">
        <v>1</v>
      </c>
      <c r="Q506" s="105">
        <v>2750000</v>
      </c>
      <c r="R506" s="103">
        <v>48</v>
      </c>
      <c r="S506" s="105">
        <v>0</v>
      </c>
      <c r="T506" s="105">
        <v>2750000</v>
      </c>
      <c r="U506" s="105">
        <v>0</v>
      </c>
      <c r="V506" s="105">
        <v>0</v>
      </c>
      <c r="W506" s="105">
        <v>0</v>
      </c>
      <c r="X506" s="105">
        <v>0</v>
      </c>
      <c r="Y506" s="105">
        <v>0</v>
      </c>
      <c r="Z506" s="105">
        <v>0</v>
      </c>
      <c r="AA506" s="105">
        <v>0</v>
      </c>
      <c r="AB506" s="105">
        <v>0</v>
      </c>
      <c r="AC506" s="8">
        <f t="shared" si="49"/>
        <v>2750000</v>
      </c>
      <c r="AD506" s="8">
        <f t="shared" si="50"/>
        <v>0</v>
      </c>
      <c r="AE506" s="8">
        <f t="shared" si="51"/>
        <v>0</v>
      </c>
      <c r="AF506" s="106">
        <f t="shared" si="52"/>
        <v>0</v>
      </c>
      <c r="AG506" s="8">
        <f t="shared" si="53"/>
        <v>0</v>
      </c>
      <c r="AH506" s="8">
        <f>IF($O506="Aktif",MAX(0,MIN($AE506,$AD506-SUM($AG506:AG506))),0)</f>
        <v>0</v>
      </c>
      <c r="AI506" s="8">
        <f>IF($O506="Aktif",MAX(0,MIN($AE506,$AD506-SUM($AG506:AH506))),0)</f>
        <v>0</v>
      </c>
      <c r="AJ506" s="8">
        <f>IF($O506="Aktif",MAX(0,MIN($AE506,$AD506-SUM($AG506:AI506))),0)</f>
        <v>0</v>
      </c>
      <c r="AK506" s="8">
        <f>IF($O506="Aktif",MAX(0,MIN($AE506,$AD506-SUM($AG506:AJ506))),0)</f>
        <v>0</v>
      </c>
      <c r="AL506" s="8">
        <f>IF($O506="Aktif",MAX(0,MIN($AE506,$AD506-SUM($AG506:AK506))),0)</f>
        <v>0</v>
      </c>
      <c r="AM506" s="8">
        <f>IF($O506="Aktif",MAX(0,MIN($AE506,$AD506-SUM($AG506:AL506))),0)</f>
        <v>0</v>
      </c>
      <c r="AN506" s="8">
        <f>IF($O506="Aktif",MAX(0,MIN($AE506,$AD506-SUM($AG506:AM506))),0)</f>
        <v>0</v>
      </c>
      <c r="AO506" s="8">
        <f>IF($O506="Aktif",MAX(0,MIN($AE506,$AD506-SUM($AG506:AN506))),0)</f>
        <v>0</v>
      </c>
      <c r="AP506" s="8">
        <f>IF($O506="Aktif",MAX(0,MIN($AE506,$AD506-SUM($AG506:AO506))),0)</f>
        <v>0</v>
      </c>
      <c r="AQ506" s="8">
        <f>IF($O506="Aktif",MAX(0,MIN($AE506,$AD506-SUM($AG506:AP506))),0)</f>
        <v>0</v>
      </c>
      <c r="AR506" s="8">
        <f>IF($O506="Aktif",MAX(0,MIN($AE506,$AD506-SUM($AG506:AQ506))),0)</f>
        <v>0</v>
      </c>
      <c r="AS506" s="8">
        <f>IF($O506="Aktif",MAX(0,MIN($AE506,$AD506-SUM($AG506:AR506))),0)</f>
        <v>0</v>
      </c>
      <c r="AT506" s="8">
        <f>IF($O506="Aktif",MAX(0,MIN($AE506,$AD506-SUM($AG506:AS506))),0)</f>
        <v>0</v>
      </c>
      <c r="AU506" s="8">
        <f>IF($O506="Aktif",MAX(0,MIN($AE506,$AD506-SUM($AG506:AT506))),0)</f>
        <v>0</v>
      </c>
      <c r="AV506" s="8">
        <f>IF($O506="Aktif",MAX(0,MIN($AE506,$AD506-SUM($AG506:AU506))),0)</f>
        <v>0</v>
      </c>
      <c r="AW506" s="8">
        <f t="shared" si="54"/>
        <v>0</v>
      </c>
      <c r="AX506" s="8">
        <f t="shared" si="55"/>
        <v>0</v>
      </c>
    </row>
    <row r="507" spans="1:50" ht="15" customHeight="1" x14ac:dyDescent="0.35">
      <c r="A507" s="102">
        <v>501</v>
      </c>
      <c r="B507" s="102" t="s">
        <v>1326</v>
      </c>
      <c r="C507" s="103">
        <v>135</v>
      </c>
      <c r="D507" s="102" t="s">
        <v>185</v>
      </c>
      <c r="E507" s="102" t="s">
        <v>587</v>
      </c>
      <c r="F507" s="102" t="s">
        <v>1327</v>
      </c>
      <c r="G507" s="102" t="s">
        <v>1328</v>
      </c>
      <c r="H507" s="102" t="s">
        <v>1329</v>
      </c>
      <c r="I507" s="102" t="s">
        <v>63</v>
      </c>
      <c r="J507" s="102" t="s">
        <v>1690</v>
      </c>
      <c r="K507" s="102" t="s">
        <v>591</v>
      </c>
      <c r="L507" s="104">
        <v>41922</v>
      </c>
      <c r="M507" s="102" t="s">
        <v>1691</v>
      </c>
      <c r="N507" s="102" t="s">
        <v>1692</v>
      </c>
      <c r="O507" s="102" t="s">
        <v>383</v>
      </c>
      <c r="P507" s="103">
        <v>1</v>
      </c>
      <c r="Q507" s="105">
        <v>3200000</v>
      </c>
      <c r="R507" s="103">
        <v>48</v>
      </c>
      <c r="S507" s="105">
        <v>0</v>
      </c>
      <c r="T507" s="105">
        <v>3200000</v>
      </c>
      <c r="U507" s="105">
        <v>0</v>
      </c>
      <c r="V507" s="105">
        <v>0</v>
      </c>
      <c r="W507" s="105">
        <v>0</v>
      </c>
      <c r="X507" s="105">
        <v>0</v>
      </c>
      <c r="Y507" s="105">
        <v>0</v>
      </c>
      <c r="Z507" s="105">
        <v>0</v>
      </c>
      <c r="AA507" s="105">
        <v>0</v>
      </c>
      <c r="AB507" s="105">
        <v>0</v>
      </c>
      <c r="AC507" s="8">
        <f t="shared" si="49"/>
        <v>3200000</v>
      </c>
      <c r="AD507" s="8">
        <f t="shared" si="50"/>
        <v>0</v>
      </c>
      <c r="AE507" s="8">
        <f t="shared" si="51"/>
        <v>0</v>
      </c>
      <c r="AF507" s="106">
        <f t="shared" si="52"/>
        <v>0</v>
      </c>
      <c r="AG507" s="8">
        <f t="shared" si="53"/>
        <v>0</v>
      </c>
      <c r="AH507" s="8">
        <f>IF($O507="Aktif",MAX(0,MIN($AE507,$AD507-SUM($AG507:AG507))),0)</f>
        <v>0</v>
      </c>
      <c r="AI507" s="8">
        <f>IF($O507="Aktif",MAX(0,MIN($AE507,$AD507-SUM($AG507:AH507))),0)</f>
        <v>0</v>
      </c>
      <c r="AJ507" s="8">
        <f>IF($O507="Aktif",MAX(0,MIN($AE507,$AD507-SUM($AG507:AI507))),0)</f>
        <v>0</v>
      </c>
      <c r="AK507" s="8">
        <f>IF($O507="Aktif",MAX(0,MIN($AE507,$AD507-SUM($AG507:AJ507))),0)</f>
        <v>0</v>
      </c>
      <c r="AL507" s="8">
        <f>IF($O507="Aktif",MAX(0,MIN($AE507,$AD507-SUM($AG507:AK507))),0)</f>
        <v>0</v>
      </c>
      <c r="AM507" s="8">
        <f>IF($O507="Aktif",MAX(0,MIN($AE507,$AD507-SUM($AG507:AL507))),0)</f>
        <v>0</v>
      </c>
      <c r="AN507" s="8">
        <f>IF($O507="Aktif",MAX(0,MIN($AE507,$AD507-SUM($AG507:AM507))),0)</f>
        <v>0</v>
      </c>
      <c r="AO507" s="8">
        <f>IF($O507="Aktif",MAX(0,MIN($AE507,$AD507-SUM($AG507:AN507))),0)</f>
        <v>0</v>
      </c>
      <c r="AP507" s="8">
        <f>IF($O507="Aktif",MAX(0,MIN($AE507,$AD507-SUM($AG507:AO507))),0)</f>
        <v>0</v>
      </c>
      <c r="AQ507" s="8">
        <f>IF($O507="Aktif",MAX(0,MIN($AE507,$AD507-SUM($AG507:AP507))),0)</f>
        <v>0</v>
      </c>
      <c r="AR507" s="8">
        <f>IF($O507="Aktif",MAX(0,MIN($AE507,$AD507-SUM($AG507:AQ507))),0)</f>
        <v>0</v>
      </c>
      <c r="AS507" s="8">
        <f>IF($O507="Aktif",MAX(0,MIN($AE507,$AD507-SUM($AG507:AR507))),0)</f>
        <v>0</v>
      </c>
      <c r="AT507" s="8">
        <f>IF($O507="Aktif",MAX(0,MIN($AE507,$AD507-SUM($AG507:AS507))),0)</f>
        <v>0</v>
      </c>
      <c r="AU507" s="8">
        <f>IF($O507="Aktif",MAX(0,MIN($AE507,$AD507-SUM($AG507:AT507))),0)</f>
        <v>0</v>
      </c>
      <c r="AV507" s="8">
        <f>IF($O507="Aktif",MAX(0,MIN($AE507,$AD507-SUM($AG507:AU507))),0)</f>
        <v>0</v>
      </c>
      <c r="AW507" s="8">
        <f t="shared" si="54"/>
        <v>0</v>
      </c>
      <c r="AX507" s="8">
        <f t="shared" si="55"/>
        <v>0</v>
      </c>
    </row>
    <row r="508" spans="1:50" ht="15" customHeight="1" x14ac:dyDescent="0.35">
      <c r="A508" s="102">
        <v>502</v>
      </c>
      <c r="B508" s="102" t="s">
        <v>1326</v>
      </c>
      <c r="C508" s="103">
        <v>136</v>
      </c>
      <c r="D508" s="102" t="s">
        <v>185</v>
      </c>
      <c r="E508" s="102" t="s">
        <v>587</v>
      </c>
      <c r="F508" s="102" t="s">
        <v>1327</v>
      </c>
      <c r="G508" s="102" t="s">
        <v>1328</v>
      </c>
      <c r="H508" s="102" t="s">
        <v>1329</v>
      </c>
      <c r="I508" s="102" t="s">
        <v>63</v>
      </c>
      <c r="J508" s="102" t="s">
        <v>1693</v>
      </c>
      <c r="K508" s="102" t="s">
        <v>591</v>
      </c>
      <c r="L508" s="104">
        <v>41922</v>
      </c>
      <c r="M508" s="102" t="s">
        <v>1694</v>
      </c>
      <c r="N508" s="102" t="s">
        <v>1695</v>
      </c>
      <c r="O508" s="102" t="s">
        <v>383</v>
      </c>
      <c r="P508" s="103">
        <v>1</v>
      </c>
      <c r="Q508" s="105">
        <v>1350000</v>
      </c>
      <c r="R508" s="103">
        <v>48</v>
      </c>
      <c r="S508" s="105">
        <v>0</v>
      </c>
      <c r="T508" s="105">
        <v>1350000</v>
      </c>
      <c r="U508" s="105">
        <v>0</v>
      </c>
      <c r="V508" s="105">
        <v>0</v>
      </c>
      <c r="W508" s="105">
        <v>0</v>
      </c>
      <c r="X508" s="105">
        <v>0</v>
      </c>
      <c r="Y508" s="105">
        <v>0</v>
      </c>
      <c r="Z508" s="105">
        <v>0</v>
      </c>
      <c r="AA508" s="105">
        <v>0</v>
      </c>
      <c r="AB508" s="105">
        <v>0</v>
      </c>
      <c r="AC508" s="8">
        <f t="shared" si="49"/>
        <v>1350000</v>
      </c>
      <c r="AD508" s="8">
        <f t="shared" si="50"/>
        <v>0</v>
      </c>
      <c r="AE508" s="8">
        <f t="shared" si="51"/>
        <v>0</v>
      </c>
      <c r="AF508" s="106">
        <f t="shared" si="52"/>
        <v>0</v>
      </c>
      <c r="AG508" s="8">
        <f t="shared" si="53"/>
        <v>0</v>
      </c>
      <c r="AH508" s="8">
        <f>IF($O508="Aktif",MAX(0,MIN($AE508,$AD508-SUM($AG508:AG508))),0)</f>
        <v>0</v>
      </c>
      <c r="AI508" s="8">
        <f>IF($O508="Aktif",MAX(0,MIN($AE508,$AD508-SUM($AG508:AH508))),0)</f>
        <v>0</v>
      </c>
      <c r="AJ508" s="8">
        <f>IF($O508="Aktif",MAX(0,MIN($AE508,$AD508-SUM($AG508:AI508))),0)</f>
        <v>0</v>
      </c>
      <c r="AK508" s="8">
        <f>IF($O508="Aktif",MAX(0,MIN($AE508,$AD508-SUM($AG508:AJ508))),0)</f>
        <v>0</v>
      </c>
      <c r="AL508" s="8">
        <f>IF($O508="Aktif",MAX(0,MIN($AE508,$AD508-SUM($AG508:AK508))),0)</f>
        <v>0</v>
      </c>
      <c r="AM508" s="8">
        <f>IF($O508="Aktif",MAX(0,MIN($AE508,$AD508-SUM($AG508:AL508))),0)</f>
        <v>0</v>
      </c>
      <c r="AN508" s="8">
        <f>IF($O508="Aktif",MAX(0,MIN($AE508,$AD508-SUM($AG508:AM508))),0)</f>
        <v>0</v>
      </c>
      <c r="AO508" s="8">
        <f>IF($O508="Aktif",MAX(0,MIN($AE508,$AD508-SUM($AG508:AN508))),0)</f>
        <v>0</v>
      </c>
      <c r="AP508" s="8">
        <f>IF($O508="Aktif",MAX(0,MIN($AE508,$AD508-SUM($AG508:AO508))),0)</f>
        <v>0</v>
      </c>
      <c r="AQ508" s="8">
        <f>IF($O508="Aktif",MAX(0,MIN($AE508,$AD508-SUM($AG508:AP508))),0)</f>
        <v>0</v>
      </c>
      <c r="AR508" s="8">
        <f>IF($O508="Aktif",MAX(0,MIN($AE508,$AD508-SUM($AG508:AQ508))),0)</f>
        <v>0</v>
      </c>
      <c r="AS508" s="8">
        <f>IF($O508="Aktif",MAX(0,MIN($AE508,$AD508-SUM($AG508:AR508))),0)</f>
        <v>0</v>
      </c>
      <c r="AT508" s="8">
        <f>IF($O508="Aktif",MAX(0,MIN($AE508,$AD508-SUM($AG508:AS508))),0)</f>
        <v>0</v>
      </c>
      <c r="AU508" s="8">
        <f>IF($O508="Aktif",MAX(0,MIN($AE508,$AD508-SUM($AG508:AT508))),0)</f>
        <v>0</v>
      </c>
      <c r="AV508" s="8">
        <f>IF($O508="Aktif",MAX(0,MIN($AE508,$AD508-SUM($AG508:AU508))),0)</f>
        <v>0</v>
      </c>
      <c r="AW508" s="8">
        <f t="shared" si="54"/>
        <v>0</v>
      </c>
      <c r="AX508" s="8">
        <f t="shared" si="55"/>
        <v>0</v>
      </c>
    </row>
    <row r="509" spans="1:50" ht="15" customHeight="1" x14ac:dyDescent="0.35">
      <c r="A509" s="102">
        <v>503</v>
      </c>
      <c r="B509" s="102" t="s">
        <v>1326</v>
      </c>
      <c r="C509" s="103">
        <v>137</v>
      </c>
      <c r="D509" s="102" t="s">
        <v>185</v>
      </c>
      <c r="E509" s="102" t="s">
        <v>587</v>
      </c>
      <c r="F509" s="102" t="s">
        <v>1327</v>
      </c>
      <c r="G509" s="102" t="s">
        <v>1328</v>
      </c>
      <c r="H509" s="102" t="s">
        <v>1329</v>
      </c>
      <c r="I509" s="102" t="s">
        <v>63</v>
      </c>
      <c r="J509" s="102" t="s">
        <v>1696</v>
      </c>
      <c r="K509" s="102" t="s">
        <v>591</v>
      </c>
      <c r="L509" s="104">
        <v>41926</v>
      </c>
      <c r="M509" s="102" t="s">
        <v>1697</v>
      </c>
      <c r="N509" s="102" t="s">
        <v>1698</v>
      </c>
      <c r="O509" s="102" t="s">
        <v>383</v>
      </c>
      <c r="P509" s="103">
        <v>1</v>
      </c>
      <c r="Q509" s="105">
        <v>1500000</v>
      </c>
      <c r="R509" s="103">
        <v>48</v>
      </c>
      <c r="S509" s="105">
        <v>0</v>
      </c>
      <c r="T509" s="105">
        <v>1500000</v>
      </c>
      <c r="U509" s="105">
        <v>0</v>
      </c>
      <c r="V509" s="105">
        <v>0</v>
      </c>
      <c r="W509" s="105">
        <v>0</v>
      </c>
      <c r="X509" s="105">
        <v>0</v>
      </c>
      <c r="Y509" s="105">
        <v>0</v>
      </c>
      <c r="Z509" s="105">
        <v>0</v>
      </c>
      <c r="AA509" s="105">
        <v>0</v>
      </c>
      <c r="AB509" s="105">
        <v>0</v>
      </c>
      <c r="AC509" s="8">
        <f t="shared" si="49"/>
        <v>1500000</v>
      </c>
      <c r="AD509" s="8">
        <f t="shared" si="50"/>
        <v>0</v>
      </c>
      <c r="AE509" s="8">
        <f t="shared" si="51"/>
        <v>0</v>
      </c>
      <c r="AF509" s="106">
        <f t="shared" si="52"/>
        <v>0</v>
      </c>
      <c r="AG509" s="8">
        <f t="shared" si="53"/>
        <v>0</v>
      </c>
      <c r="AH509" s="8">
        <f>IF($O509="Aktif",MAX(0,MIN($AE509,$AD509-SUM($AG509:AG509))),0)</f>
        <v>0</v>
      </c>
      <c r="AI509" s="8">
        <f>IF($O509="Aktif",MAX(0,MIN($AE509,$AD509-SUM($AG509:AH509))),0)</f>
        <v>0</v>
      </c>
      <c r="AJ509" s="8">
        <f>IF($O509="Aktif",MAX(0,MIN($AE509,$AD509-SUM($AG509:AI509))),0)</f>
        <v>0</v>
      </c>
      <c r="AK509" s="8">
        <f>IF($O509="Aktif",MAX(0,MIN($AE509,$AD509-SUM($AG509:AJ509))),0)</f>
        <v>0</v>
      </c>
      <c r="AL509" s="8">
        <f>IF($O509="Aktif",MAX(0,MIN($AE509,$AD509-SUM($AG509:AK509))),0)</f>
        <v>0</v>
      </c>
      <c r="AM509" s="8">
        <f>IF($O509="Aktif",MAX(0,MIN($AE509,$AD509-SUM($AG509:AL509))),0)</f>
        <v>0</v>
      </c>
      <c r="AN509" s="8">
        <f>IF($O509="Aktif",MAX(0,MIN($AE509,$AD509-SUM($AG509:AM509))),0)</f>
        <v>0</v>
      </c>
      <c r="AO509" s="8">
        <f>IF($O509="Aktif",MAX(0,MIN($AE509,$AD509-SUM($AG509:AN509))),0)</f>
        <v>0</v>
      </c>
      <c r="AP509" s="8">
        <f>IF($O509="Aktif",MAX(0,MIN($AE509,$AD509-SUM($AG509:AO509))),0)</f>
        <v>0</v>
      </c>
      <c r="AQ509" s="8">
        <f>IF($O509="Aktif",MAX(0,MIN($AE509,$AD509-SUM($AG509:AP509))),0)</f>
        <v>0</v>
      </c>
      <c r="AR509" s="8">
        <f>IF($O509="Aktif",MAX(0,MIN($AE509,$AD509-SUM($AG509:AQ509))),0)</f>
        <v>0</v>
      </c>
      <c r="AS509" s="8">
        <f>IF($O509="Aktif",MAX(0,MIN($AE509,$AD509-SUM($AG509:AR509))),0)</f>
        <v>0</v>
      </c>
      <c r="AT509" s="8">
        <f>IF($O509="Aktif",MAX(0,MIN($AE509,$AD509-SUM($AG509:AS509))),0)</f>
        <v>0</v>
      </c>
      <c r="AU509" s="8">
        <f>IF($O509="Aktif",MAX(0,MIN($AE509,$AD509-SUM($AG509:AT509))),0)</f>
        <v>0</v>
      </c>
      <c r="AV509" s="8">
        <f>IF($O509="Aktif",MAX(0,MIN($AE509,$AD509-SUM($AG509:AU509))),0)</f>
        <v>0</v>
      </c>
      <c r="AW509" s="8">
        <f t="shared" si="54"/>
        <v>0</v>
      </c>
      <c r="AX509" s="8">
        <f t="shared" si="55"/>
        <v>0</v>
      </c>
    </row>
    <row r="510" spans="1:50" ht="15" customHeight="1" x14ac:dyDescent="0.35">
      <c r="A510" s="102">
        <v>504</v>
      </c>
      <c r="B510" s="102" t="s">
        <v>1326</v>
      </c>
      <c r="C510" s="103">
        <v>138</v>
      </c>
      <c r="D510" s="102" t="s">
        <v>185</v>
      </c>
      <c r="E510" s="102" t="s">
        <v>587</v>
      </c>
      <c r="F510" s="102" t="s">
        <v>1327</v>
      </c>
      <c r="G510" s="102" t="s">
        <v>1328</v>
      </c>
      <c r="H510" s="102" t="s">
        <v>1329</v>
      </c>
      <c r="I510" s="102" t="s">
        <v>63</v>
      </c>
      <c r="J510" s="102" t="s">
        <v>1699</v>
      </c>
      <c r="K510" s="102" t="s">
        <v>591</v>
      </c>
      <c r="L510" s="104">
        <v>41933</v>
      </c>
      <c r="M510" s="102" t="s">
        <v>1700</v>
      </c>
      <c r="N510" s="102" t="s">
        <v>1701</v>
      </c>
      <c r="O510" s="102" t="s">
        <v>383</v>
      </c>
      <c r="P510" s="103">
        <v>1</v>
      </c>
      <c r="Q510" s="105">
        <v>34000000</v>
      </c>
      <c r="R510" s="103">
        <v>48</v>
      </c>
      <c r="S510" s="105">
        <v>0</v>
      </c>
      <c r="T510" s="105">
        <v>34000000</v>
      </c>
      <c r="U510" s="105">
        <v>0</v>
      </c>
      <c r="V510" s="105">
        <v>0</v>
      </c>
      <c r="W510" s="105">
        <v>0</v>
      </c>
      <c r="X510" s="105">
        <v>0</v>
      </c>
      <c r="Y510" s="105">
        <v>0</v>
      </c>
      <c r="Z510" s="105">
        <v>0</v>
      </c>
      <c r="AA510" s="105">
        <v>0</v>
      </c>
      <c r="AB510" s="105">
        <v>0</v>
      </c>
      <c r="AC510" s="8">
        <f t="shared" si="49"/>
        <v>34000000</v>
      </c>
      <c r="AD510" s="8">
        <f t="shared" si="50"/>
        <v>0</v>
      </c>
      <c r="AE510" s="8">
        <f t="shared" si="51"/>
        <v>0</v>
      </c>
      <c r="AF510" s="106">
        <f t="shared" si="52"/>
        <v>0</v>
      </c>
      <c r="AG510" s="8">
        <f t="shared" si="53"/>
        <v>0</v>
      </c>
      <c r="AH510" s="8">
        <f>IF($O510="Aktif",MAX(0,MIN($AE510,$AD510-SUM($AG510:AG510))),0)</f>
        <v>0</v>
      </c>
      <c r="AI510" s="8">
        <f>IF($O510="Aktif",MAX(0,MIN($AE510,$AD510-SUM($AG510:AH510))),0)</f>
        <v>0</v>
      </c>
      <c r="AJ510" s="8">
        <f>IF($O510="Aktif",MAX(0,MIN($AE510,$AD510-SUM($AG510:AI510))),0)</f>
        <v>0</v>
      </c>
      <c r="AK510" s="8">
        <f>IF($O510="Aktif",MAX(0,MIN($AE510,$AD510-SUM($AG510:AJ510))),0)</f>
        <v>0</v>
      </c>
      <c r="AL510" s="8">
        <f>IF($O510="Aktif",MAX(0,MIN($AE510,$AD510-SUM($AG510:AK510))),0)</f>
        <v>0</v>
      </c>
      <c r="AM510" s="8">
        <f>IF($O510="Aktif",MAX(0,MIN($AE510,$AD510-SUM($AG510:AL510))),0)</f>
        <v>0</v>
      </c>
      <c r="AN510" s="8">
        <f>IF($O510="Aktif",MAX(0,MIN($AE510,$AD510-SUM($AG510:AM510))),0)</f>
        <v>0</v>
      </c>
      <c r="AO510" s="8">
        <f>IF($O510="Aktif",MAX(0,MIN($AE510,$AD510-SUM($AG510:AN510))),0)</f>
        <v>0</v>
      </c>
      <c r="AP510" s="8">
        <f>IF($O510="Aktif",MAX(0,MIN($AE510,$AD510-SUM($AG510:AO510))),0)</f>
        <v>0</v>
      </c>
      <c r="AQ510" s="8">
        <f>IF($O510="Aktif",MAX(0,MIN($AE510,$AD510-SUM($AG510:AP510))),0)</f>
        <v>0</v>
      </c>
      <c r="AR510" s="8">
        <f>IF($O510="Aktif",MAX(0,MIN($AE510,$AD510-SUM($AG510:AQ510))),0)</f>
        <v>0</v>
      </c>
      <c r="AS510" s="8">
        <f>IF($O510="Aktif",MAX(0,MIN($AE510,$AD510-SUM($AG510:AR510))),0)</f>
        <v>0</v>
      </c>
      <c r="AT510" s="8">
        <f>IF($O510="Aktif",MAX(0,MIN($AE510,$AD510-SUM($AG510:AS510))),0)</f>
        <v>0</v>
      </c>
      <c r="AU510" s="8">
        <f>IF($O510="Aktif",MAX(0,MIN($AE510,$AD510-SUM($AG510:AT510))),0)</f>
        <v>0</v>
      </c>
      <c r="AV510" s="8">
        <f>IF($O510="Aktif",MAX(0,MIN($AE510,$AD510-SUM($AG510:AU510))),0)</f>
        <v>0</v>
      </c>
      <c r="AW510" s="8">
        <f t="shared" si="54"/>
        <v>0</v>
      </c>
      <c r="AX510" s="8">
        <f t="shared" si="55"/>
        <v>0</v>
      </c>
    </row>
    <row r="511" spans="1:50" ht="15" customHeight="1" x14ac:dyDescent="0.35">
      <c r="A511" s="102">
        <v>505</v>
      </c>
      <c r="B511" s="102" t="s">
        <v>1326</v>
      </c>
      <c r="C511" s="103">
        <v>139</v>
      </c>
      <c r="D511" s="102" t="s">
        <v>185</v>
      </c>
      <c r="E511" s="102" t="s">
        <v>587</v>
      </c>
      <c r="F511" s="102" t="s">
        <v>1327</v>
      </c>
      <c r="G511" s="102" t="s">
        <v>1328</v>
      </c>
      <c r="H511" s="102" t="s">
        <v>1329</v>
      </c>
      <c r="I511" s="102" t="s">
        <v>63</v>
      </c>
      <c r="J511" s="102" t="s">
        <v>1702</v>
      </c>
      <c r="K511" s="102" t="s">
        <v>591</v>
      </c>
      <c r="L511" s="104">
        <v>41943</v>
      </c>
      <c r="M511" s="102" t="s">
        <v>1703</v>
      </c>
      <c r="N511" s="102" t="s">
        <v>1704</v>
      </c>
      <c r="O511" s="102" t="s">
        <v>383</v>
      </c>
      <c r="P511" s="103">
        <v>1</v>
      </c>
      <c r="Q511" s="105">
        <v>6000000</v>
      </c>
      <c r="R511" s="103">
        <v>48</v>
      </c>
      <c r="S511" s="105">
        <v>0</v>
      </c>
      <c r="T511" s="105">
        <v>6000000</v>
      </c>
      <c r="U511" s="105">
        <v>0</v>
      </c>
      <c r="V511" s="105">
        <v>0</v>
      </c>
      <c r="W511" s="105">
        <v>0</v>
      </c>
      <c r="X511" s="105">
        <v>0</v>
      </c>
      <c r="Y511" s="105">
        <v>0</v>
      </c>
      <c r="Z511" s="105">
        <v>0</v>
      </c>
      <c r="AA511" s="105">
        <v>0</v>
      </c>
      <c r="AB511" s="105">
        <v>0</v>
      </c>
      <c r="AC511" s="8">
        <f t="shared" si="49"/>
        <v>6000000</v>
      </c>
      <c r="AD511" s="8">
        <f t="shared" si="50"/>
        <v>0</v>
      </c>
      <c r="AE511" s="8">
        <f t="shared" si="51"/>
        <v>0</v>
      </c>
      <c r="AF511" s="106">
        <f t="shared" si="52"/>
        <v>0</v>
      </c>
      <c r="AG511" s="8">
        <f t="shared" si="53"/>
        <v>0</v>
      </c>
      <c r="AH511" s="8">
        <f>IF($O511="Aktif",MAX(0,MIN($AE511,$AD511-SUM($AG511:AG511))),0)</f>
        <v>0</v>
      </c>
      <c r="AI511" s="8">
        <f>IF($O511="Aktif",MAX(0,MIN($AE511,$AD511-SUM($AG511:AH511))),0)</f>
        <v>0</v>
      </c>
      <c r="AJ511" s="8">
        <f>IF($O511="Aktif",MAX(0,MIN($AE511,$AD511-SUM($AG511:AI511))),0)</f>
        <v>0</v>
      </c>
      <c r="AK511" s="8">
        <f>IF($O511="Aktif",MAX(0,MIN($AE511,$AD511-SUM($AG511:AJ511))),0)</f>
        <v>0</v>
      </c>
      <c r="AL511" s="8">
        <f>IF($O511="Aktif",MAX(0,MIN($AE511,$AD511-SUM($AG511:AK511))),0)</f>
        <v>0</v>
      </c>
      <c r="AM511" s="8">
        <f>IF($O511="Aktif",MAX(0,MIN($AE511,$AD511-SUM($AG511:AL511))),0)</f>
        <v>0</v>
      </c>
      <c r="AN511" s="8">
        <f>IF($O511="Aktif",MAX(0,MIN($AE511,$AD511-SUM($AG511:AM511))),0)</f>
        <v>0</v>
      </c>
      <c r="AO511" s="8">
        <f>IF($O511="Aktif",MAX(0,MIN($AE511,$AD511-SUM($AG511:AN511))),0)</f>
        <v>0</v>
      </c>
      <c r="AP511" s="8">
        <f>IF($O511="Aktif",MAX(0,MIN($AE511,$AD511-SUM($AG511:AO511))),0)</f>
        <v>0</v>
      </c>
      <c r="AQ511" s="8">
        <f>IF($O511="Aktif",MAX(0,MIN($AE511,$AD511-SUM($AG511:AP511))),0)</f>
        <v>0</v>
      </c>
      <c r="AR511" s="8">
        <f>IF($O511="Aktif",MAX(0,MIN($AE511,$AD511-SUM($AG511:AQ511))),0)</f>
        <v>0</v>
      </c>
      <c r="AS511" s="8">
        <f>IF($O511="Aktif",MAX(0,MIN($AE511,$AD511-SUM($AG511:AR511))),0)</f>
        <v>0</v>
      </c>
      <c r="AT511" s="8">
        <f>IF($O511="Aktif",MAX(0,MIN($AE511,$AD511-SUM($AG511:AS511))),0)</f>
        <v>0</v>
      </c>
      <c r="AU511" s="8">
        <f>IF($O511="Aktif",MAX(0,MIN($AE511,$AD511-SUM($AG511:AT511))),0)</f>
        <v>0</v>
      </c>
      <c r="AV511" s="8">
        <f>IF($O511="Aktif",MAX(0,MIN($AE511,$AD511-SUM($AG511:AU511))),0)</f>
        <v>0</v>
      </c>
      <c r="AW511" s="8">
        <f t="shared" si="54"/>
        <v>0</v>
      </c>
      <c r="AX511" s="8">
        <f t="shared" si="55"/>
        <v>0</v>
      </c>
    </row>
    <row r="512" spans="1:50" ht="15" customHeight="1" x14ac:dyDescent="0.35">
      <c r="A512" s="102">
        <v>506</v>
      </c>
      <c r="B512" s="102" t="s">
        <v>1326</v>
      </c>
      <c r="C512" s="103">
        <v>140</v>
      </c>
      <c r="D512" s="102" t="s">
        <v>185</v>
      </c>
      <c r="E512" s="102" t="s">
        <v>587</v>
      </c>
      <c r="F512" s="102" t="s">
        <v>1327</v>
      </c>
      <c r="G512" s="102" t="s">
        <v>1328</v>
      </c>
      <c r="H512" s="102" t="s">
        <v>1329</v>
      </c>
      <c r="I512" s="102" t="s">
        <v>63</v>
      </c>
      <c r="J512" s="102" t="s">
        <v>1705</v>
      </c>
      <c r="K512" s="102" t="s">
        <v>591</v>
      </c>
      <c r="L512" s="104">
        <v>41950</v>
      </c>
      <c r="M512" s="102" t="s">
        <v>1706</v>
      </c>
      <c r="N512" s="102" t="s">
        <v>1707</v>
      </c>
      <c r="O512" s="102" t="s">
        <v>383</v>
      </c>
      <c r="P512" s="103">
        <v>1</v>
      </c>
      <c r="Q512" s="105">
        <v>6000000</v>
      </c>
      <c r="R512" s="103">
        <v>48</v>
      </c>
      <c r="S512" s="105">
        <v>0</v>
      </c>
      <c r="T512" s="105">
        <v>6000000</v>
      </c>
      <c r="U512" s="105">
        <v>0</v>
      </c>
      <c r="V512" s="105">
        <v>0</v>
      </c>
      <c r="W512" s="105">
        <v>0</v>
      </c>
      <c r="X512" s="105">
        <v>0</v>
      </c>
      <c r="Y512" s="105">
        <v>0</v>
      </c>
      <c r="Z512" s="105">
        <v>0</v>
      </c>
      <c r="AA512" s="105">
        <v>0</v>
      </c>
      <c r="AB512" s="105">
        <v>0</v>
      </c>
      <c r="AC512" s="8">
        <f t="shared" si="49"/>
        <v>6000000</v>
      </c>
      <c r="AD512" s="8">
        <f t="shared" si="50"/>
        <v>0</v>
      </c>
      <c r="AE512" s="8">
        <f t="shared" si="51"/>
        <v>0</v>
      </c>
      <c r="AF512" s="106">
        <f t="shared" si="52"/>
        <v>0</v>
      </c>
      <c r="AG512" s="8">
        <f t="shared" si="53"/>
        <v>0</v>
      </c>
      <c r="AH512" s="8">
        <f>IF($O512="Aktif",MAX(0,MIN($AE512,$AD512-SUM($AG512:AG512))),0)</f>
        <v>0</v>
      </c>
      <c r="AI512" s="8">
        <f>IF($O512="Aktif",MAX(0,MIN($AE512,$AD512-SUM($AG512:AH512))),0)</f>
        <v>0</v>
      </c>
      <c r="AJ512" s="8">
        <f>IF($O512="Aktif",MAX(0,MIN($AE512,$AD512-SUM($AG512:AI512))),0)</f>
        <v>0</v>
      </c>
      <c r="AK512" s="8">
        <f>IF($O512="Aktif",MAX(0,MIN($AE512,$AD512-SUM($AG512:AJ512))),0)</f>
        <v>0</v>
      </c>
      <c r="AL512" s="8">
        <f>IF($O512="Aktif",MAX(0,MIN($AE512,$AD512-SUM($AG512:AK512))),0)</f>
        <v>0</v>
      </c>
      <c r="AM512" s="8">
        <f>IF($O512="Aktif",MAX(0,MIN($AE512,$AD512-SUM($AG512:AL512))),0)</f>
        <v>0</v>
      </c>
      <c r="AN512" s="8">
        <f>IF($O512="Aktif",MAX(0,MIN($AE512,$AD512-SUM($AG512:AM512))),0)</f>
        <v>0</v>
      </c>
      <c r="AO512" s="8">
        <f>IF($O512="Aktif",MAX(0,MIN($AE512,$AD512-SUM($AG512:AN512))),0)</f>
        <v>0</v>
      </c>
      <c r="AP512" s="8">
        <f>IF($O512="Aktif",MAX(0,MIN($AE512,$AD512-SUM($AG512:AO512))),0)</f>
        <v>0</v>
      </c>
      <c r="AQ512" s="8">
        <f>IF($O512="Aktif",MAX(0,MIN($AE512,$AD512-SUM($AG512:AP512))),0)</f>
        <v>0</v>
      </c>
      <c r="AR512" s="8">
        <f>IF($O512="Aktif",MAX(0,MIN($AE512,$AD512-SUM($AG512:AQ512))),0)</f>
        <v>0</v>
      </c>
      <c r="AS512" s="8">
        <f>IF($O512="Aktif",MAX(0,MIN($AE512,$AD512-SUM($AG512:AR512))),0)</f>
        <v>0</v>
      </c>
      <c r="AT512" s="8">
        <f>IF($O512="Aktif",MAX(0,MIN($AE512,$AD512-SUM($AG512:AS512))),0)</f>
        <v>0</v>
      </c>
      <c r="AU512" s="8">
        <f>IF($O512="Aktif",MAX(0,MIN($AE512,$AD512-SUM($AG512:AT512))),0)</f>
        <v>0</v>
      </c>
      <c r="AV512" s="8">
        <f>IF($O512="Aktif",MAX(0,MIN($AE512,$AD512-SUM($AG512:AU512))),0)</f>
        <v>0</v>
      </c>
      <c r="AW512" s="8">
        <f t="shared" si="54"/>
        <v>0</v>
      </c>
      <c r="AX512" s="8">
        <f t="shared" si="55"/>
        <v>0</v>
      </c>
    </row>
    <row r="513" spans="1:50" ht="15" customHeight="1" x14ac:dyDescent="0.35">
      <c r="A513" s="102">
        <v>507</v>
      </c>
      <c r="B513" s="102" t="s">
        <v>1326</v>
      </c>
      <c r="C513" s="103">
        <v>141</v>
      </c>
      <c r="D513" s="102" t="s">
        <v>185</v>
      </c>
      <c r="E513" s="102" t="s">
        <v>587</v>
      </c>
      <c r="F513" s="102" t="s">
        <v>1327</v>
      </c>
      <c r="G513" s="102" t="s">
        <v>1328</v>
      </c>
      <c r="H513" s="102" t="s">
        <v>1329</v>
      </c>
      <c r="I513" s="102" t="s">
        <v>63</v>
      </c>
      <c r="J513" s="102" t="s">
        <v>1708</v>
      </c>
      <c r="K513" s="102" t="s">
        <v>591</v>
      </c>
      <c r="L513" s="104">
        <v>41954</v>
      </c>
      <c r="M513" s="102" t="s">
        <v>1709</v>
      </c>
      <c r="N513" s="102" t="s">
        <v>1710</v>
      </c>
      <c r="O513" s="102" t="s">
        <v>383</v>
      </c>
      <c r="P513" s="103">
        <v>1</v>
      </c>
      <c r="Q513" s="105">
        <v>3150000</v>
      </c>
      <c r="R513" s="103">
        <v>48</v>
      </c>
      <c r="S513" s="105">
        <v>0</v>
      </c>
      <c r="T513" s="105">
        <v>3150000</v>
      </c>
      <c r="U513" s="105">
        <v>0</v>
      </c>
      <c r="V513" s="105">
        <v>0</v>
      </c>
      <c r="W513" s="105">
        <v>0</v>
      </c>
      <c r="X513" s="105">
        <v>0</v>
      </c>
      <c r="Y513" s="105">
        <v>0</v>
      </c>
      <c r="Z513" s="105">
        <v>0</v>
      </c>
      <c r="AA513" s="105">
        <v>0</v>
      </c>
      <c r="AB513" s="105">
        <v>0</v>
      </c>
      <c r="AC513" s="8">
        <f t="shared" si="49"/>
        <v>3150000</v>
      </c>
      <c r="AD513" s="8">
        <f t="shared" si="50"/>
        <v>0</v>
      </c>
      <c r="AE513" s="8">
        <f t="shared" si="51"/>
        <v>0</v>
      </c>
      <c r="AF513" s="106">
        <f t="shared" si="52"/>
        <v>0</v>
      </c>
      <c r="AG513" s="8">
        <f t="shared" si="53"/>
        <v>0</v>
      </c>
      <c r="AH513" s="8">
        <f>IF($O513="Aktif",MAX(0,MIN($AE513,$AD513-SUM($AG513:AG513))),0)</f>
        <v>0</v>
      </c>
      <c r="AI513" s="8">
        <f>IF($O513="Aktif",MAX(0,MIN($AE513,$AD513-SUM($AG513:AH513))),0)</f>
        <v>0</v>
      </c>
      <c r="AJ513" s="8">
        <f>IF($O513="Aktif",MAX(0,MIN($AE513,$AD513-SUM($AG513:AI513))),0)</f>
        <v>0</v>
      </c>
      <c r="AK513" s="8">
        <f>IF($O513="Aktif",MAX(0,MIN($AE513,$AD513-SUM($AG513:AJ513))),0)</f>
        <v>0</v>
      </c>
      <c r="AL513" s="8">
        <f>IF($O513="Aktif",MAX(0,MIN($AE513,$AD513-SUM($AG513:AK513))),0)</f>
        <v>0</v>
      </c>
      <c r="AM513" s="8">
        <f>IF($O513="Aktif",MAX(0,MIN($AE513,$AD513-SUM($AG513:AL513))),0)</f>
        <v>0</v>
      </c>
      <c r="AN513" s="8">
        <f>IF($O513="Aktif",MAX(0,MIN($AE513,$AD513-SUM($AG513:AM513))),0)</f>
        <v>0</v>
      </c>
      <c r="AO513" s="8">
        <f>IF($O513="Aktif",MAX(0,MIN($AE513,$AD513-SUM($AG513:AN513))),0)</f>
        <v>0</v>
      </c>
      <c r="AP513" s="8">
        <f>IF($O513="Aktif",MAX(0,MIN($AE513,$AD513-SUM($AG513:AO513))),0)</f>
        <v>0</v>
      </c>
      <c r="AQ513" s="8">
        <f>IF($O513="Aktif",MAX(0,MIN($AE513,$AD513-SUM($AG513:AP513))),0)</f>
        <v>0</v>
      </c>
      <c r="AR513" s="8">
        <f>IF($O513="Aktif",MAX(0,MIN($AE513,$AD513-SUM($AG513:AQ513))),0)</f>
        <v>0</v>
      </c>
      <c r="AS513" s="8">
        <f>IF($O513="Aktif",MAX(0,MIN($AE513,$AD513-SUM($AG513:AR513))),0)</f>
        <v>0</v>
      </c>
      <c r="AT513" s="8">
        <f>IF($O513="Aktif",MAX(0,MIN($AE513,$AD513-SUM($AG513:AS513))),0)</f>
        <v>0</v>
      </c>
      <c r="AU513" s="8">
        <f>IF($O513="Aktif",MAX(0,MIN($AE513,$AD513-SUM($AG513:AT513))),0)</f>
        <v>0</v>
      </c>
      <c r="AV513" s="8">
        <f>IF($O513="Aktif",MAX(0,MIN($AE513,$AD513-SUM($AG513:AU513))),0)</f>
        <v>0</v>
      </c>
      <c r="AW513" s="8">
        <f t="shared" si="54"/>
        <v>0</v>
      </c>
      <c r="AX513" s="8">
        <f t="shared" si="55"/>
        <v>0</v>
      </c>
    </row>
    <row r="514" spans="1:50" ht="15" customHeight="1" x14ac:dyDescent="0.35">
      <c r="A514" s="102">
        <v>508</v>
      </c>
      <c r="B514" s="102" t="s">
        <v>1326</v>
      </c>
      <c r="C514" s="103">
        <v>142</v>
      </c>
      <c r="D514" s="102" t="s">
        <v>185</v>
      </c>
      <c r="E514" s="102" t="s">
        <v>587</v>
      </c>
      <c r="F514" s="102" t="s">
        <v>1327</v>
      </c>
      <c r="G514" s="102" t="s">
        <v>1328</v>
      </c>
      <c r="H514" s="102" t="s">
        <v>1329</v>
      </c>
      <c r="I514" s="102" t="s">
        <v>63</v>
      </c>
      <c r="J514" s="102" t="s">
        <v>1711</v>
      </c>
      <c r="K514" s="102" t="s">
        <v>591</v>
      </c>
      <c r="L514" s="104">
        <v>41961</v>
      </c>
      <c r="M514" s="102" t="s">
        <v>1712</v>
      </c>
      <c r="N514" s="102" t="s">
        <v>1713</v>
      </c>
      <c r="O514" s="102" t="s">
        <v>383</v>
      </c>
      <c r="P514" s="103">
        <v>1</v>
      </c>
      <c r="Q514" s="105">
        <v>8211000</v>
      </c>
      <c r="R514" s="103">
        <v>48</v>
      </c>
      <c r="S514" s="105">
        <v>0</v>
      </c>
      <c r="T514" s="105">
        <v>8211000</v>
      </c>
      <c r="U514" s="105">
        <v>0</v>
      </c>
      <c r="V514" s="105">
        <v>0</v>
      </c>
      <c r="W514" s="105">
        <v>0</v>
      </c>
      <c r="X514" s="105">
        <v>0</v>
      </c>
      <c r="Y514" s="105">
        <v>0</v>
      </c>
      <c r="Z514" s="105">
        <v>0</v>
      </c>
      <c r="AA514" s="105">
        <v>0</v>
      </c>
      <c r="AB514" s="105">
        <v>0</v>
      </c>
      <c r="AC514" s="8">
        <f t="shared" si="49"/>
        <v>8211000</v>
      </c>
      <c r="AD514" s="8">
        <f t="shared" si="50"/>
        <v>0</v>
      </c>
      <c r="AE514" s="8">
        <f t="shared" si="51"/>
        <v>0</v>
      </c>
      <c r="AF514" s="106">
        <f t="shared" si="52"/>
        <v>0</v>
      </c>
      <c r="AG514" s="8">
        <f t="shared" si="53"/>
        <v>0</v>
      </c>
      <c r="AH514" s="8">
        <f>IF($O514="Aktif",MAX(0,MIN($AE514,$AD514-SUM($AG514:AG514))),0)</f>
        <v>0</v>
      </c>
      <c r="AI514" s="8">
        <f>IF($O514="Aktif",MAX(0,MIN($AE514,$AD514-SUM($AG514:AH514))),0)</f>
        <v>0</v>
      </c>
      <c r="AJ514" s="8">
        <f>IF($O514="Aktif",MAX(0,MIN($AE514,$AD514-SUM($AG514:AI514))),0)</f>
        <v>0</v>
      </c>
      <c r="AK514" s="8">
        <f>IF($O514="Aktif",MAX(0,MIN($AE514,$AD514-SUM($AG514:AJ514))),0)</f>
        <v>0</v>
      </c>
      <c r="AL514" s="8">
        <f>IF($O514="Aktif",MAX(0,MIN($AE514,$AD514-SUM($AG514:AK514))),0)</f>
        <v>0</v>
      </c>
      <c r="AM514" s="8">
        <f>IF($O514="Aktif",MAX(0,MIN($AE514,$AD514-SUM($AG514:AL514))),0)</f>
        <v>0</v>
      </c>
      <c r="AN514" s="8">
        <f>IF($O514="Aktif",MAX(0,MIN($AE514,$AD514-SUM($AG514:AM514))),0)</f>
        <v>0</v>
      </c>
      <c r="AO514" s="8">
        <f>IF($O514="Aktif",MAX(0,MIN($AE514,$AD514-SUM($AG514:AN514))),0)</f>
        <v>0</v>
      </c>
      <c r="AP514" s="8">
        <f>IF($O514="Aktif",MAX(0,MIN($AE514,$AD514-SUM($AG514:AO514))),0)</f>
        <v>0</v>
      </c>
      <c r="AQ514" s="8">
        <f>IF($O514="Aktif",MAX(0,MIN($AE514,$AD514-SUM($AG514:AP514))),0)</f>
        <v>0</v>
      </c>
      <c r="AR514" s="8">
        <f>IF($O514="Aktif",MAX(0,MIN($AE514,$AD514-SUM($AG514:AQ514))),0)</f>
        <v>0</v>
      </c>
      <c r="AS514" s="8">
        <f>IF($O514="Aktif",MAX(0,MIN($AE514,$AD514-SUM($AG514:AR514))),0)</f>
        <v>0</v>
      </c>
      <c r="AT514" s="8">
        <f>IF($O514="Aktif",MAX(0,MIN($AE514,$AD514-SUM($AG514:AS514))),0)</f>
        <v>0</v>
      </c>
      <c r="AU514" s="8">
        <f>IF($O514="Aktif",MAX(0,MIN($AE514,$AD514-SUM($AG514:AT514))),0)</f>
        <v>0</v>
      </c>
      <c r="AV514" s="8">
        <f>IF($O514="Aktif",MAX(0,MIN($AE514,$AD514-SUM($AG514:AU514))),0)</f>
        <v>0</v>
      </c>
      <c r="AW514" s="8">
        <f t="shared" si="54"/>
        <v>0</v>
      </c>
      <c r="AX514" s="8">
        <f t="shared" si="55"/>
        <v>0</v>
      </c>
    </row>
    <row r="515" spans="1:50" ht="15" customHeight="1" x14ac:dyDescent="0.35">
      <c r="A515" s="102">
        <v>509</v>
      </c>
      <c r="B515" s="102" t="s">
        <v>1326</v>
      </c>
      <c r="C515" s="103">
        <v>143</v>
      </c>
      <c r="D515" s="102" t="s">
        <v>185</v>
      </c>
      <c r="E515" s="102" t="s">
        <v>587</v>
      </c>
      <c r="F515" s="102" t="s">
        <v>1327</v>
      </c>
      <c r="G515" s="102" t="s">
        <v>1328</v>
      </c>
      <c r="H515" s="102" t="s">
        <v>1329</v>
      </c>
      <c r="I515" s="102" t="s">
        <v>63</v>
      </c>
      <c r="J515" s="102" t="s">
        <v>1714</v>
      </c>
      <c r="K515" s="102" t="s">
        <v>591</v>
      </c>
      <c r="L515" s="104">
        <v>41961</v>
      </c>
      <c r="M515" s="102" t="s">
        <v>1715</v>
      </c>
      <c r="N515" s="102" t="s">
        <v>1716</v>
      </c>
      <c r="O515" s="102" t="s">
        <v>383</v>
      </c>
      <c r="P515" s="103">
        <v>1</v>
      </c>
      <c r="Q515" s="105">
        <v>3500000</v>
      </c>
      <c r="R515" s="103">
        <v>48</v>
      </c>
      <c r="S515" s="105">
        <v>0</v>
      </c>
      <c r="T515" s="105">
        <v>3500000</v>
      </c>
      <c r="U515" s="105">
        <v>0</v>
      </c>
      <c r="V515" s="105">
        <v>0</v>
      </c>
      <c r="W515" s="105">
        <v>0</v>
      </c>
      <c r="X515" s="105">
        <v>0</v>
      </c>
      <c r="Y515" s="105">
        <v>0</v>
      </c>
      <c r="Z515" s="105">
        <v>0</v>
      </c>
      <c r="AA515" s="105">
        <v>0</v>
      </c>
      <c r="AB515" s="105">
        <v>0</v>
      </c>
      <c r="AC515" s="8">
        <f t="shared" si="49"/>
        <v>3500000</v>
      </c>
      <c r="AD515" s="8">
        <f t="shared" si="50"/>
        <v>0</v>
      </c>
      <c r="AE515" s="8">
        <f t="shared" si="51"/>
        <v>0</v>
      </c>
      <c r="AF515" s="106">
        <f t="shared" si="52"/>
        <v>0</v>
      </c>
      <c r="AG515" s="8">
        <f t="shared" si="53"/>
        <v>0</v>
      </c>
      <c r="AH515" s="8">
        <f>IF($O515="Aktif",MAX(0,MIN($AE515,$AD515-SUM($AG515:AG515))),0)</f>
        <v>0</v>
      </c>
      <c r="AI515" s="8">
        <f>IF($O515="Aktif",MAX(0,MIN($AE515,$AD515-SUM($AG515:AH515))),0)</f>
        <v>0</v>
      </c>
      <c r="AJ515" s="8">
        <f>IF($O515="Aktif",MAX(0,MIN($AE515,$AD515-SUM($AG515:AI515))),0)</f>
        <v>0</v>
      </c>
      <c r="AK515" s="8">
        <f>IF($O515="Aktif",MAX(0,MIN($AE515,$AD515-SUM($AG515:AJ515))),0)</f>
        <v>0</v>
      </c>
      <c r="AL515" s="8">
        <f>IF($O515="Aktif",MAX(0,MIN($AE515,$AD515-SUM($AG515:AK515))),0)</f>
        <v>0</v>
      </c>
      <c r="AM515" s="8">
        <f>IF($O515="Aktif",MAX(0,MIN($AE515,$AD515-SUM($AG515:AL515))),0)</f>
        <v>0</v>
      </c>
      <c r="AN515" s="8">
        <f>IF($O515="Aktif",MAX(0,MIN($AE515,$AD515-SUM($AG515:AM515))),0)</f>
        <v>0</v>
      </c>
      <c r="AO515" s="8">
        <f>IF($O515="Aktif",MAX(0,MIN($AE515,$AD515-SUM($AG515:AN515))),0)</f>
        <v>0</v>
      </c>
      <c r="AP515" s="8">
        <f>IF($O515="Aktif",MAX(0,MIN($AE515,$AD515-SUM($AG515:AO515))),0)</f>
        <v>0</v>
      </c>
      <c r="AQ515" s="8">
        <f>IF($O515="Aktif",MAX(0,MIN($AE515,$AD515-SUM($AG515:AP515))),0)</f>
        <v>0</v>
      </c>
      <c r="AR515" s="8">
        <f>IF($O515="Aktif",MAX(0,MIN($AE515,$AD515-SUM($AG515:AQ515))),0)</f>
        <v>0</v>
      </c>
      <c r="AS515" s="8">
        <f>IF($O515="Aktif",MAX(0,MIN($AE515,$AD515-SUM($AG515:AR515))),0)</f>
        <v>0</v>
      </c>
      <c r="AT515" s="8">
        <f>IF($O515="Aktif",MAX(0,MIN($AE515,$AD515-SUM($AG515:AS515))),0)</f>
        <v>0</v>
      </c>
      <c r="AU515" s="8">
        <f>IF($O515="Aktif",MAX(0,MIN($AE515,$AD515-SUM($AG515:AT515))),0)</f>
        <v>0</v>
      </c>
      <c r="AV515" s="8">
        <f>IF($O515="Aktif",MAX(0,MIN($AE515,$AD515-SUM($AG515:AU515))),0)</f>
        <v>0</v>
      </c>
      <c r="AW515" s="8">
        <f t="shared" si="54"/>
        <v>0</v>
      </c>
      <c r="AX515" s="8">
        <f t="shared" si="55"/>
        <v>0</v>
      </c>
    </row>
    <row r="516" spans="1:50" ht="15" customHeight="1" x14ac:dyDescent="0.35">
      <c r="A516" s="102">
        <v>510</v>
      </c>
      <c r="B516" s="102" t="s">
        <v>1326</v>
      </c>
      <c r="C516" s="103">
        <v>144</v>
      </c>
      <c r="D516" s="102" t="s">
        <v>185</v>
      </c>
      <c r="E516" s="102" t="s">
        <v>587</v>
      </c>
      <c r="F516" s="102" t="s">
        <v>1327</v>
      </c>
      <c r="G516" s="102" t="s">
        <v>1328</v>
      </c>
      <c r="H516" s="102" t="s">
        <v>1329</v>
      </c>
      <c r="I516" s="102" t="s">
        <v>63</v>
      </c>
      <c r="J516" s="102" t="s">
        <v>1717</v>
      </c>
      <c r="K516" s="102" t="s">
        <v>591</v>
      </c>
      <c r="L516" s="104">
        <v>41961</v>
      </c>
      <c r="M516" s="102" t="s">
        <v>1718</v>
      </c>
      <c r="N516" s="102" t="s">
        <v>1719</v>
      </c>
      <c r="O516" s="102" t="s">
        <v>383</v>
      </c>
      <c r="P516" s="103">
        <v>1</v>
      </c>
      <c r="Q516" s="105">
        <v>4600000</v>
      </c>
      <c r="R516" s="103">
        <v>48</v>
      </c>
      <c r="S516" s="105">
        <v>0</v>
      </c>
      <c r="T516" s="105">
        <v>4600000</v>
      </c>
      <c r="U516" s="105">
        <v>0</v>
      </c>
      <c r="V516" s="105">
        <v>0</v>
      </c>
      <c r="W516" s="105">
        <v>0</v>
      </c>
      <c r="X516" s="105">
        <v>0</v>
      </c>
      <c r="Y516" s="105">
        <v>0</v>
      </c>
      <c r="Z516" s="105">
        <v>0</v>
      </c>
      <c r="AA516" s="105">
        <v>0</v>
      </c>
      <c r="AB516" s="105">
        <v>0</v>
      </c>
      <c r="AC516" s="8">
        <f t="shared" si="49"/>
        <v>4600000</v>
      </c>
      <c r="AD516" s="8">
        <f t="shared" si="50"/>
        <v>0</v>
      </c>
      <c r="AE516" s="8">
        <f t="shared" si="51"/>
        <v>0</v>
      </c>
      <c r="AF516" s="106">
        <f t="shared" si="52"/>
        <v>0</v>
      </c>
      <c r="AG516" s="8">
        <f t="shared" si="53"/>
        <v>0</v>
      </c>
      <c r="AH516" s="8">
        <f>IF($O516="Aktif",MAX(0,MIN($AE516,$AD516-SUM($AG516:AG516))),0)</f>
        <v>0</v>
      </c>
      <c r="AI516" s="8">
        <f>IF($O516="Aktif",MAX(0,MIN($AE516,$AD516-SUM($AG516:AH516))),0)</f>
        <v>0</v>
      </c>
      <c r="AJ516" s="8">
        <f>IF($O516="Aktif",MAX(0,MIN($AE516,$AD516-SUM($AG516:AI516))),0)</f>
        <v>0</v>
      </c>
      <c r="AK516" s="8">
        <f>IF($O516="Aktif",MAX(0,MIN($AE516,$AD516-SUM($AG516:AJ516))),0)</f>
        <v>0</v>
      </c>
      <c r="AL516" s="8">
        <f>IF($O516="Aktif",MAX(0,MIN($AE516,$AD516-SUM($AG516:AK516))),0)</f>
        <v>0</v>
      </c>
      <c r="AM516" s="8">
        <f>IF($O516="Aktif",MAX(0,MIN($AE516,$AD516-SUM($AG516:AL516))),0)</f>
        <v>0</v>
      </c>
      <c r="AN516" s="8">
        <f>IF($O516="Aktif",MAX(0,MIN($AE516,$AD516-SUM($AG516:AM516))),0)</f>
        <v>0</v>
      </c>
      <c r="AO516" s="8">
        <f>IF($O516="Aktif",MAX(0,MIN($AE516,$AD516-SUM($AG516:AN516))),0)</f>
        <v>0</v>
      </c>
      <c r="AP516" s="8">
        <f>IF($O516="Aktif",MAX(0,MIN($AE516,$AD516-SUM($AG516:AO516))),0)</f>
        <v>0</v>
      </c>
      <c r="AQ516" s="8">
        <f>IF($O516="Aktif",MAX(0,MIN($AE516,$AD516-SUM($AG516:AP516))),0)</f>
        <v>0</v>
      </c>
      <c r="AR516" s="8">
        <f>IF($O516="Aktif",MAX(0,MIN($AE516,$AD516-SUM($AG516:AQ516))),0)</f>
        <v>0</v>
      </c>
      <c r="AS516" s="8">
        <f>IF($O516="Aktif",MAX(0,MIN($AE516,$AD516-SUM($AG516:AR516))),0)</f>
        <v>0</v>
      </c>
      <c r="AT516" s="8">
        <f>IF($O516="Aktif",MAX(0,MIN($AE516,$AD516-SUM($AG516:AS516))),0)</f>
        <v>0</v>
      </c>
      <c r="AU516" s="8">
        <f>IF($O516="Aktif",MAX(0,MIN($AE516,$AD516-SUM($AG516:AT516))),0)</f>
        <v>0</v>
      </c>
      <c r="AV516" s="8">
        <f>IF($O516="Aktif",MAX(0,MIN($AE516,$AD516-SUM($AG516:AU516))),0)</f>
        <v>0</v>
      </c>
      <c r="AW516" s="8">
        <f t="shared" si="54"/>
        <v>0</v>
      </c>
      <c r="AX516" s="8">
        <f t="shared" si="55"/>
        <v>0</v>
      </c>
    </row>
    <row r="517" spans="1:50" ht="15" customHeight="1" x14ac:dyDescent="0.35">
      <c r="A517" s="102">
        <v>511</v>
      </c>
      <c r="B517" s="102" t="s">
        <v>1326</v>
      </c>
      <c r="C517" s="103">
        <v>145</v>
      </c>
      <c r="D517" s="102" t="s">
        <v>185</v>
      </c>
      <c r="E517" s="102" t="s">
        <v>587</v>
      </c>
      <c r="F517" s="102" t="s">
        <v>1327</v>
      </c>
      <c r="G517" s="102" t="s">
        <v>1328</v>
      </c>
      <c r="H517" s="102" t="s">
        <v>1329</v>
      </c>
      <c r="I517" s="102" t="s">
        <v>63</v>
      </c>
      <c r="J517" s="102" t="s">
        <v>1720</v>
      </c>
      <c r="K517" s="102" t="s">
        <v>591</v>
      </c>
      <c r="L517" s="104">
        <v>41973</v>
      </c>
      <c r="M517" s="102" t="s">
        <v>1721</v>
      </c>
      <c r="N517" s="102" t="s">
        <v>1722</v>
      </c>
      <c r="O517" s="102" t="s">
        <v>383</v>
      </c>
      <c r="P517" s="103">
        <v>1</v>
      </c>
      <c r="Q517" s="105">
        <v>10000000</v>
      </c>
      <c r="R517" s="103">
        <v>48</v>
      </c>
      <c r="S517" s="105">
        <v>0</v>
      </c>
      <c r="T517" s="105">
        <v>10000000</v>
      </c>
      <c r="U517" s="105">
        <v>0</v>
      </c>
      <c r="V517" s="105">
        <v>0</v>
      </c>
      <c r="W517" s="105">
        <v>0</v>
      </c>
      <c r="X517" s="105">
        <v>0</v>
      </c>
      <c r="Y517" s="105">
        <v>0</v>
      </c>
      <c r="Z517" s="105">
        <v>0</v>
      </c>
      <c r="AA517" s="105">
        <v>0</v>
      </c>
      <c r="AB517" s="105">
        <v>0</v>
      </c>
      <c r="AC517" s="8">
        <f t="shared" si="49"/>
        <v>10000000</v>
      </c>
      <c r="AD517" s="8">
        <f t="shared" si="50"/>
        <v>0</v>
      </c>
      <c r="AE517" s="8">
        <f t="shared" si="51"/>
        <v>0</v>
      </c>
      <c r="AF517" s="106">
        <f t="shared" si="52"/>
        <v>0</v>
      </c>
      <c r="AG517" s="8">
        <f t="shared" si="53"/>
        <v>0</v>
      </c>
      <c r="AH517" s="8">
        <f>IF($O517="Aktif",MAX(0,MIN($AE517,$AD517-SUM($AG517:AG517))),0)</f>
        <v>0</v>
      </c>
      <c r="AI517" s="8">
        <f>IF($O517="Aktif",MAX(0,MIN($AE517,$AD517-SUM($AG517:AH517))),0)</f>
        <v>0</v>
      </c>
      <c r="AJ517" s="8">
        <f>IF($O517="Aktif",MAX(0,MIN($AE517,$AD517-SUM($AG517:AI517))),0)</f>
        <v>0</v>
      </c>
      <c r="AK517" s="8">
        <f>IF($O517="Aktif",MAX(0,MIN($AE517,$AD517-SUM($AG517:AJ517))),0)</f>
        <v>0</v>
      </c>
      <c r="AL517" s="8">
        <f>IF($O517="Aktif",MAX(0,MIN($AE517,$AD517-SUM($AG517:AK517))),0)</f>
        <v>0</v>
      </c>
      <c r="AM517" s="8">
        <f>IF($O517="Aktif",MAX(0,MIN($AE517,$AD517-SUM($AG517:AL517))),0)</f>
        <v>0</v>
      </c>
      <c r="AN517" s="8">
        <f>IF($O517="Aktif",MAX(0,MIN($AE517,$AD517-SUM($AG517:AM517))),0)</f>
        <v>0</v>
      </c>
      <c r="AO517" s="8">
        <f>IF($O517="Aktif",MAX(0,MIN($AE517,$AD517-SUM($AG517:AN517))),0)</f>
        <v>0</v>
      </c>
      <c r="AP517" s="8">
        <f>IF($O517="Aktif",MAX(0,MIN($AE517,$AD517-SUM($AG517:AO517))),0)</f>
        <v>0</v>
      </c>
      <c r="AQ517" s="8">
        <f>IF($O517="Aktif",MAX(0,MIN($AE517,$AD517-SUM($AG517:AP517))),0)</f>
        <v>0</v>
      </c>
      <c r="AR517" s="8">
        <f>IF($O517="Aktif",MAX(0,MIN($AE517,$AD517-SUM($AG517:AQ517))),0)</f>
        <v>0</v>
      </c>
      <c r="AS517" s="8">
        <f>IF($O517="Aktif",MAX(0,MIN($AE517,$AD517-SUM($AG517:AR517))),0)</f>
        <v>0</v>
      </c>
      <c r="AT517" s="8">
        <f>IF($O517="Aktif",MAX(0,MIN($AE517,$AD517-SUM($AG517:AS517))),0)</f>
        <v>0</v>
      </c>
      <c r="AU517" s="8">
        <f>IF($O517="Aktif",MAX(0,MIN($AE517,$AD517-SUM($AG517:AT517))),0)</f>
        <v>0</v>
      </c>
      <c r="AV517" s="8">
        <f>IF($O517="Aktif",MAX(0,MIN($AE517,$AD517-SUM($AG517:AU517))),0)</f>
        <v>0</v>
      </c>
      <c r="AW517" s="8">
        <f t="shared" si="54"/>
        <v>0</v>
      </c>
      <c r="AX517" s="8">
        <f t="shared" si="55"/>
        <v>0</v>
      </c>
    </row>
    <row r="518" spans="1:50" ht="15" customHeight="1" x14ac:dyDescent="0.35">
      <c r="A518" s="102">
        <v>512</v>
      </c>
      <c r="B518" s="102" t="s">
        <v>1326</v>
      </c>
      <c r="C518" s="103">
        <v>146</v>
      </c>
      <c r="D518" s="102" t="s">
        <v>185</v>
      </c>
      <c r="E518" s="102" t="s">
        <v>587</v>
      </c>
      <c r="F518" s="102" t="s">
        <v>1327</v>
      </c>
      <c r="G518" s="102" t="s">
        <v>1328</v>
      </c>
      <c r="H518" s="102" t="s">
        <v>1329</v>
      </c>
      <c r="I518" s="102" t="s">
        <v>63</v>
      </c>
      <c r="J518" s="102" t="s">
        <v>1723</v>
      </c>
      <c r="K518" s="102" t="s">
        <v>591</v>
      </c>
      <c r="L518" s="104">
        <v>41973</v>
      </c>
      <c r="M518" s="102" t="s">
        <v>1724</v>
      </c>
      <c r="N518" s="102" t="s">
        <v>1725</v>
      </c>
      <c r="O518" s="102" t="s">
        <v>383</v>
      </c>
      <c r="P518" s="103">
        <v>1</v>
      </c>
      <c r="Q518" s="105">
        <v>50000000</v>
      </c>
      <c r="R518" s="103">
        <v>48</v>
      </c>
      <c r="S518" s="105">
        <v>0</v>
      </c>
      <c r="T518" s="105">
        <v>50000000</v>
      </c>
      <c r="U518" s="105">
        <v>0</v>
      </c>
      <c r="V518" s="105">
        <v>0</v>
      </c>
      <c r="W518" s="105">
        <v>0</v>
      </c>
      <c r="X518" s="105">
        <v>0</v>
      </c>
      <c r="Y518" s="105">
        <v>0</v>
      </c>
      <c r="Z518" s="105">
        <v>0</v>
      </c>
      <c r="AA518" s="105">
        <v>0</v>
      </c>
      <c r="AB518" s="105">
        <v>0</v>
      </c>
      <c r="AC518" s="8">
        <f t="shared" si="49"/>
        <v>50000000</v>
      </c>
      <c r="AD518" s="8">
        <f t="shared" si="50"/>
        <v>0</v>
      </c>
      <c r="AE518" s="8">
        <f t="shared" si="51"/>
        <v>0</v>
      </c>
      <c r="AF518" s="106">
        <f t="shared" si="52"/>
        <v>0</v>
      </c>
      <c r="AG518" s="8">
        <f t="shared" si="53"/>
        <v>0</v>
      </c>
      <c r="AH518" s="8">
        <f>IF($O518="Aktif",MAX(0,MIN($AE518,$AD518-SUM($AG518:AG518))),0)</f>
        <v>0</v>
      </c>
      <c r="AI518" s="8">
        <f>IF($O518="Aktif",MAX(0,MIN($AE518,$AD518-SUM($AG518:AH518))),0)</f>
        <v>0</v>
      </c>
      <c r="AJ518" s="8">
        <f>IF($O518="Aktif",MAX(0,MIN($AE518,$AD518-SUM($AG518:AI518))),0)</f>
        <v>0</v>
      </c>
      <c r="AK518" s="8">
        <f>IF($O518="Aktif",MAX(0,MIN($AE518,$AD518-SUM($AG518:AJ518))),0)</f>
        <v>0</v>
      </c>
      <c r="AL518" s="8">
        <f>IF($O518="Aktif",MAX(0,MIN($AE518,$AD518-SUM($AG518:AK518))),0)</f>
        <v>0</v>
      </c>
      <c r="AM518" s="8">
        <f>IF($O518="Aktif",MAX(0,MIN($AE518,$AD518-SUM($AG518:AL518))),0)</f>
        <v>0</v>
      </c>
      <c r="AN518" s="8">
        <f>IF($O518="Aktif",MAX(0,MIN($AE518,$AD518-SUM($AG518:AM518))),0)</f>
        <v>0</v>
      </c>
      <c r="AO518" s="8">
        <f>IF($O518="Aktif",MAX(0,MIN($AE518,$AD518-SUM($AG518:AN518))),0)</f>
        <v>0</v>
      </c>
      <c r="AP518" s="8">
        <f>IF($O518="Aktif",MAX(0,MIN($AE518,$AD518-SUM($AG518:AO518))),0)</f>
        <v>0</v>
      </c>
      <c r="AQ518" s="8">
        <f>IF($O518="Aktif",MAX(0,MIN($AE518,$AD518-SUM($AG518:AP518))),0)</f>
        <v>0</v>
      </c>
      <c r="AR518" s="8">
        <f>IF($O518="Aktif",MAX(0,MIN($AE518,$AD518-SUM($AG518:AQ518))),0)</f>
        <v>0</v>
      </c>
      <c r="AS518" s="8">
        <f>IF($O518="Aktif",MAX(0,MIN($AE518,$AD518-SUM($AG518:AR518))),0)</f>
        <v>0</v>
      </c>
      <c r="AT518" s="8">
        <f>IF($O518="Aktif",MAX(0,MIN($AE518,$AD518-SUM($AG518:AS518))),0)</f>
        <v>0</v>
      </c>
      <c r="AU518" s="8">
        <f>IF($O518="Aktif",MAX(0,MIN($AE518,$AD518-SUM($AG518:AT518))),0)</f>
        <v>0</v>
      </c>
      <c r="AV518" s="8">
        <f>IF($O518="Aktif",MAX(0,MIN($AE518,$AD518-SUM($AG518:AU518))),0)</f>
        <v>0</v>
      </c>
      <c r="AW518" s="8">
        <f t="shared" si="54"/>
        <v>0</v>
      </c>
      <c r="AX518" s="8">
        <f t="shared" si="55"/>
        <v>0</v>
      </c>
    </row>
    <row r="519" spans="1:50" ht="15" customHeight="1" x14ac:dyDescent="0.35">
      <c r="A519" s="102">
        <v>513</v>
      </c>
      <c r="B519" s="102" t="s">
        <v>1326</v>
      </c>
      <c r="C519" s="103">
        <v>147</v>
      </c>
      <c r="D519" s="102" t="s">
        <v>185</v>
      </c>
      <c r="E519" s="102" t="s">
        <v>587</v>
      </c>
      <c r="F519" s="102" t="s">
        <v>1327</v>
      </c>
      <c r="G519" s="102" t="s">
        <v>1328</v>
      </c>
      <c r="H519" s="102" t="s">
        <v>1329</v>
      </c>
      <c r="I519" s="102" t="s">
        <v>63</v>
      </c>
      <c r="J519" s="102" t="s">
        <v>1726</v>
      </c>
      <c r="K519" s="102" t="s">
        <v>591</v>
      </c>
      <c r="L519" s="104">
        <v>41973</v>
      </c>
      <c r="M519" s="102" t="s">
        <v>809</v>
      </c>
      <c r="N519" s="102" t="s">
        <v>1727</v>
      </c>
      <c r="O519" s="102" t="s">
        <v>383</v>
      </c>
      <c r="P519" s="103">
        <v>1</v>
      </c>
      <c r="Q519" s="105">
        <v>15840000</v>
      </c>
      <c r="R519" s="103">
        <v>48</v>
      </c>
      <c r="S519" s="105">
        <v>0</v>
      </c>
      <c r="T519" s="105">
        <v>15840000</v>
      </c>
      <c r="U519" s="105">
        <v>0</v>
      </c>
      <c r="V519" s="105">
        <v>0</v>
      </c>
      <c r="W519" s="105">
        <v>0</v>
      </c>
      <c r="X519" s="105">
        <v>0</v>
      </c>
      <c r="Y519" s="105">
        <v>0</v>
      </c>
      <c r="Z519" s="105">
        <v>0</v>
      </c>
      <c r="AA519" s="105">
        <v>0</v>
      </c>
      <c r="AB519" s="105">
        <v>0</v>
      </c>
      <c r="AC519" s="8">
        <f t="shared" ref="AC519:AC582" si="56">T519+SUM(U519:AB519)</f>
        <v>15840000</v>
      </c>
      <c r="AD519" s="8">
        <f t="shared" ref="AD519:AD582" si="57">Q519-AC519</f>
        <v>0</v>
      </c>
      <c r="AE519" s="8">
        <f t="shared" ref="AE519:AE582" si="58">IF(O519="Aktif",AB519,0)</f>
        <v>0</v>
      </c>
      <c r="AF519" s="106">
        <f t="shared" ref="AF519:AF582" si="59">IF(AE519&gt;0,MAX(0,AD519)/AE519,0)</f>
        <v>0</v>
      </c>
      <c r="AG519" s="8">
        <f t="shared" ref="AG519:AG582" si="60">IF($O519="Aktif",MAX(0,MIN($AE519,$AD519-0)),0)</f>
        <v>0</v>
      </c>
      <c r="AH519" s="8">
        <f>IF($O519="Aktif",MAX(0,MIN($AE519,$AD519-SUM($AG519:AG519))),0)</f>
        <v>0</v>
      </c>
      <c r="AI519" s="8">
        <f>IF($O519="Aktif",MAX(0,MIN($AE519,$AD519-SUM($AG519:AH519))),0)</f>
        <v>0</v>
      </c>
      <c r="AJ519" s="8">
        <f>IF($O519="Aktif",MAX(0,MIN($AE519,$AD519-SUM($AG519:AI519))),0)</f>
        <v>0</v>
      </c>
      <c r="AK519" s="8">
        <f>IF($O519="Aktif",MAX(0,MIN($AE519,$AD519-SUM($AG519:AJ519))),0)</f>
        <v>0</v>
      </c>
      <c r="AL519" s="8">
        <f>IF($O519="Aktif",MAX(0,MIN($AE519,$AD519-SUM($AG519:AK519))),0)</f>
        <v>0</v>
      </c>
      <c r="AM519" s="8">
        <f>IF($O519="Aktif",MAX(0,MIN($AE519,$AD519-SUM($AG519:AL519))),0)</f>
        <v>0</v>
      </c>
      <c r="AN519" s="8">
        <f>IF($O519="Aktif",MAX(0,MIN($AE519,$AD519-SUM($AG519:AM519))),0)</f>
        <v>0</v>
      </c>
      <c r="AO519" s="8">
        <f>IF($O519="Aktif",MAX(0,MIN($AE519,$AD519-SUM($AG519:AN519))),0)</f>
        <v>0</v>
      </c>
      <c r="AP519" s="8">
        <f>IF($O519="Aktif",MAX(0,MIN($AE519,$AD519-SUM($AG519:AO519))),0)</f>
        <v>0</v>
      </c>
      <c r="AQ519" s="8">
        <f>IF($O519="Aktif",MAX(0,MIN($AE519,$AD519-SUM($AG519:AP519))),0)</f>
        <v>0</v>
      </c>
      <c r="AR519" s="8">
        <f>IF($O519="Aktif",MAX(0,MIN($AE519,$AD519-SUM($AG519:AQ519))),0)</f>
        <v>0</v>
      </c>
      <c r="AS519" s="8">
        <f>IF($O519="Aktif",MAX(0,MIN($AE519,$AD519-SUM($AG519:AR519))),0)</f>
        <v>0</v>
      </c>
      <c r="AT519" s="8">
        <f>IF($O519="Aktif",MAX(0,MIN($AE519,$AD519-SUM($AG519:AS519))),0)</f>
        <v>0</v>
      </c>
      <c r="AU519" s="8">
        <f>IF($O519="Aktif",MAX(0,MIN($AE519,$AD519-SUM($AG519:AT519))),0)</f>
        <v>0</v>
      </c>
      <c r="AV519" s="8">
        <f>IF($O519="Aktif",MAX(0,MIN($AE519,$AD519-SUM($AG519:AU519))),0)</f>
        <v>0</v>
      </c>
      <c r="AW519" s="8">
        <f t="shared" ref="AW519:AW582" si="61">SUM(AG519:AV519)</f>
        <v>0</v>
      </c>
      <c r="AX519" s="8">
        <f t="shared" ref="AX519:AX582" si="62">AD519-AW519</f>
        <v>0</v>
      </c>
    </row>
    <row r="520" spans="1:50" ht="15" customHeight="1" x14ac:dyDescent="0.35">
      <c r="A520" s="102">
        <v>514</v>
      </c>
      <c r="B520" s="102" t="s">
        <v>1326</v>
      </c>
      <c r="C520" s="103">
        <v>148</v>
      </c>
      <c r="D520" s="102" t="s">
        <v>185</v>
      </c>
      <c r="E520" s="102" t="s">
        <v>587</v>
      </c>
      <c r="F520" s="102" t="s">
        <v>1327</v>
      </c>
      <c r="G520" s="102" t="s">
        <v>1328</v>
      </c>
      <c r="H520" s="102" t="s">
        <v>1329</v>
      </c>
      <c r="I520" s="102" t="s">
        <v>63</v>
      </c>
      <c r="J520" s="102" t="s">
        <v>1728</v>
      </c>
      <c r="K520" s="102" t="s">
        <v>591</v>
      </c>
      <c r="L520" s="104">
        <v>41975</v>
      </c>
      <c r="M520" s="102" t="s">
        <v>1729</v>
      </c>
      <c r="N520" s="102" t="s">
        <v>1730</v>
      </c>
      <c r="O520" s="102" t="s">
        <v>383</v>
      </c>
      <c r="P520" s="103">
        <v>1</v>
      </c>
      <c r="Q520" s="105">
        <v>7500000</v>
      </c>
      <c r="R520" s="103">
        <v>48</v>
      </c>
      <c r="S520" s="105">
        <v>0</v>
      </c>
      <c r="T520" s="105">
        <v>7500000</v>
      </c>
      <c r="U520" s="105">
        <v>0</v>
      </c>
      <c r="V520" s="105">
        <v>0</v>
      </c>
      <c r="W520" s="105">
        <v>0</v>
      </c>
      <c r="X520" s="105">
        <v>0</v>
      </c>
      <c r="Y520" s="105">
        <v>0</v>
      </c>
      <c r="Z520" s="105">
        <v>0</v>
      </c>
      <c r="AA520" s="105">
        <v>0</v>
      </c>
      <c r="AB520" s="105">
        <v>0</v>
      </c>
      <c r="AC520" s="8">
        <f t="shared" si="56"/>
        <v>7500000</v>
      </c>
      <c r="AD520" s="8">
        <f t="shared" si="57"/>
        <v>0</v>
      </c>
      <c r="AE520" s="8">
        <f t="shared" si="58"/>
        <v>0</v>
      </c>
      <c r="AF520" s="106">
        <f t="shared" si="59"/>
        <v>0</v>
      </c>
      <c r="AG520" s="8">
        <f t="shared" si="60"/>
        <v>0</v>
      </c>
      <c r="AH520" s="8">
        <f>IF($O520="Aktif",MAX(0,MIN($AE520,$AD520-SUM($AG520:AG520))),0)</f>
        <v>0</v>
      </c>
      <c r="AI520" s="8">
        <f>IF($O520="Aktif",MAX(0,MIN($AE520,$AD520-SUM($AG520:AH520))),0)</f>
        <v>0</v>
      </c>
      <c r="AJ520" s="8">
        <f>IF($O520="Aktif",MAX(0,MIN($AE520,$AD520-SUM($AG520:AI520))),0)</f>
        <v>0</v>
      </c>
      <c r="AK520" s="8">
        <f>IF($O520="Aktif",MAX(0,MIN($AE520,$AD520-SUM($AG520:AJ520))),0)</f>
        <v>0</v>
      </c>
      <c r="AL520" s="8">
        <f>IF($O520="Aktif",MAX(0,MIN($AE520,$AD520-SUM($AG520:AK520))),0)</f>
        <v>0</v>
      </c>
      <c r="AM520" s="8">
        <f>IF($O520="Aktif",MAX(0,MIN($AE520,$AD520-SUM($AG520:AL520))),0)</f>
        <v>0</v>
      </c>
      <c r="AN520" s="8">
        <f>IF($O520="Aktif",MAX(0,MIN($AE520,$AD520-SUM($AG520:AM520))),0)</f>
        <v>0</v>
      </c>
      <c r="AO520" s="8">
        <f>IF($O520="Aktif",MAX(0,MIN($AE520,$AD520-SUM($AG520:AN520))),0)</f>
        <v>0</v>
      </c>
      <c r="AP520" s="8">
        <f>IF($O520="Aktif",MAX(0,MIN($AE520,$AD520-SUM($AG520:AO520))),0)</f>
        <v>0</v>
      </c>
      <c r="AQ520" s="8">
        <f>IF($O520="Aktif",MAX(0,MIN($AE520,$AD520-SUM($AG520:AP520))),0)</f>
        <v>0</v>
      </c>
      <c r="AR520" s="8">
        <f>IF($O520="Aktif",MAX(0,MIN($AE520,$AD520-SUM($AG520:AQ520))),0)</f>
        <v>0</v>
      </c>
      <c r="AS520" s="8">
        <f>IF($O520="Aktif",MAX(0,MIN($AE520,$AD520-SUM($AG520:AR520))),0)</f>
        <v>0</v>
      </c>
      <c r="AT520" s="8">
        <f>IF($O520="Aktif",MAX(0,MIN($AE520,$AD520-SUM($AG520:AS520))),0)</f>
        <v>0</v>
      </c>
      <c r="AU520" s="8">
        <f>IF($O520="Aktif",MAX(0,MIN($AE520,$AD520-SUM($AG520:AT520))),0)</f>
        <v>0</v>
      </c>
      <c r="AV520" s="8">
        <f>IF($O520="Aktif",MAX(0,MIN($AE520,$AD520-SUM($AG520:AU520))),0)</f>
        <v>0</v>
      </c>
      <c r="AW520" s="8">
        <f t="shared" si="61"/>
        <v>0</v>
      </c>
      <c r="AX520" s="8">
        <f t="shared" si="62"/>
        <v>0</v>
      </c>
    </row>
    <row r="521" spans="1:50" ht="15" customHeight="1" x14ac:dyDescent="0.35">
      <c r="A521" s="102">
        <v>515</v>
      </c>
      <c r="B521" s="102" t="s">
        <v>1326</v>
      </c>
      <c r="C521" s="103">
        <v>149</v>
      </c>
      <c r="D521" s="102" t="s">
        <v>185</v>
      </c>
      <c r="E521" s="102" t="s">
        <v>587</v>
      </c>
      <c r="F521" s="102" t="s">
        <v>1327</v>
      </c>
      <c r="G521" s="102" t="s">
        <v>1328</v>
      </c>
      <c r="H521" s="102" t="s">
        <v>1329</v>
      </c>
      <c r="I521" s="102" t="s">
        <v>63</v>
      </c>
      <c r="J521" s="102" t="s">
        <v>1731</v>
      </c>
      <c r="K521" s="102" t="s">
        <v>591</v>
      </c>
      <c r="L521" s="104">
        <v>41982</v>
      </c>
      <c r="M521" s="102" t="s">
        <v>1732</v>
      </c>
      <c r="N521" s="102" t="s">
        <v>1733</v>
      </c>
      <c r="O521" s="102" t="s">
        <v>383</v>
      </c>
      <c r="P521" s="103">
        <v>1</v>
      </c>
      <c r="Q521" s="105">
        <v>5924379</v>
      </c>
      <c r="R521" s="103">
        <v>48</v>
      </c>
      <c r="S521" s="105">
        <v>0</v>
      </c>
      <c r="T521" s="105">
        <v>5924379</v>
      </c>
      <c r="U521" s="105">
        <v>0</v>
      </c>
      <c r="V521" s="105">
        <v>0</v>
      </c>
      <c r="W521" s="105">
        <v>0</v>
      </c>
      <c r="X521" s="105">
        <v>0</v>
      </c>
      <c r="Y521" s="105">
        <v>0</v>
      </c>
      <c r="Z521" s="105">
        <v>0</v>
      </c>
      <c r="AA521" s="105">
        <v>0</v>
      </c>
      <c r="AB521" s="105">
        <v>0</v>
      </c>
      <c r="AC521" s="8">
        <f t="shared" si="56"/>
        <v>5924379</v>
      </c>
      <c r="AD521" s="8">
        <f t="shared" si="57"/>
        <v>0</v>
      </c>
      <c r="AE521" s="8">
        <f t="shared" si="58"/>
        <v>0</v>
      </c>
      <c r="AF521" s="106">
        <f t="shared" si="59"/>
        <v>0</v>
      </c>
      <c r="AG521" s="8">
        <f t="shared" si="60"/>
        <v>0</v>
      </c>
      <c r="AH521" s="8">
        <f>IF($O521="Aktif",MAX(0,MIN($AE521,$AD521-SUM($AG521:AG521))),0)</f>
        <v>0</v>
      </c>
      <c r="AI521" s="8">
        <f>IF($O521="Aktif",MAX(0,MIN($AE521,$AD521-SUM($AG521:AH521))),0)</f>
        <v>0</v>
      </c>
      <c r="AJ521" s="8">
        <f>IF($O521="Aktif",MAX(0,MIN($AE521,$AD521-SUM($AG521:AI521))),0)</f>
        <v>0</v>
      </c>
      <c r="AK521" s="8">
        <f>IF($O521="Aktif",MAX(0,MIN($AE521,$AD521-SUM($AG521:AJ521))),0)</f>
        <v>0</v>
      </c>
      <c r="AL521" s="8">
        <f>IF($O521="Aktif",MAX(0,MIN($AE521,$AD521-SUM($AG521:AK521))),0)</f>
        <v>0</v>
      </c>
      <c r="AM521" s="8">
        <f>IF($O521="Aktif",MAX(0,MIN($AE521,$AD521-SUM($AG521:AL521))),0)</f>
        <v>0</v>
      </c>
      <c r="AN521" s="8">
        <f>IF($O521="Aktif",MAX(0,MIN($AE521,$AD521-SUM($AG521:AM521))),0)</f>
        <v>0</v>
      </c>
      <c r="AO521" s="8">
        <f>IF($O521="Aktif",MAX(0,MIN($AE521,$AD521-SUM($AG521:AN521))),0)</f>
        <v>0</v>
      </c>
      <c r="AP521" s="8">
        <f>IF($O521="Aktif",MAX(0,MIN($AE521,$AD521-SUM($AG521:AO521))),0)</f>
        <v>0</v>
      </c>
      <c r="AQ521" s="8">
        <f>IF($O521="Aktif",MAX(0,MIN($AE521,$AD521-SUM($AG521:AP521))),0)</f>
        <v>0</v>
      </c>
      <c r="AR521" s="8">
        <f>IF($O521="Aktif",MAX(0,MIN($AE521,$AD521-SUM($AG521:AQ521))),0)</f>
        <v>0</v>
      </c>
      <c r="AS521" s="8">
        <f>IF($O521="Aktif",MAX(0,MIN($AE521,$AD521-SUM($AG521:AR521))),0)</f>
        <v>0</v>
      </c>
      <c r="AT521" s="8">
        <f>IF($O521="Aktif",MAX(0,MIN($AE521,$AD521-SUM($AG521:AS521))),0)</f>
        <v>0</v>
      </c>
      <c r="AU521" s="8">
        <f>IF($O521="Aktif",MAX(0,MIN($AE521,$AD521-SUM($AG521:AT521))),0)</f>
        <v>0</v>
      </c>
      <c r="AV521" s="8">
        <f>IF($O521="Aktif",MAX(0,MIN($AE521,$AD521-SUM($AG521:AU521))),0)</f>
        <v>0</v>
      </c>
      <c r="AW521" s="8">
        <f t="shared" si="61"/>
        <v>0</v>
      </c>
      <c r="AX521" s="8">
        <f t="shared" si="62"/>
        <v>0</v>
      </c>
    </row>
    <row r="522" spans="1:50" ht="15" customHeight="1" x14ac:dyDescent="0.35">
      <c r="A522" s="102">
        <v>516</v>
      </c>
      <c r="B522" s="102" t="s">
        <v>1326</v>
      </c>
      <c r="C522" s="103">
        <v>150</v>
      </c>
      <c r="D522" s="102" t="s">
        <v>185</v>
      </c>
      <c r="E522" s="102" t="s">
        <v>587</v>
      </c>
      <c r="F522" s="102" t="s">
        <v>1327</v>
      </c>
      <c r="G522" s="102" t="s">
        <v>1328</v>
      </c>
      <c r="H522" s="102" t="s">
        <v>1329</v>
      </c>
      <c r="I522" s="102" t="s">
        <v>63</v>
      </c>
      <c r="J522" s="102" t="s">
        <v>1734</v>
      </c>
      <c r="K522" s="102" t="s">
        <v>591</v>
      </c>
      <c r="L522" s="104">
        <v>41989</v>
      </c>
      <c r="M522" s="102" t="s">
        <v>1735</v>
      </c>
      <c r="N522" s="102" t="s">
        <v>1736</v>
      </c>
      <c r="O522" s="102" t="s">
        <v>383</v>
      </c>
      <c r="P522" s="103">
        <v>1</v>
      </c>
      <c r="Q522" s="105">
        <v>726626</v>
      </c>
      <c r="R522" s="103">
        <v>48</v>
      </c>
      <c r="S522" s="105">
        <v>0</v>
      </c>
      <c r="T522" s="105">
        <v>726626</v>
      </c>
      <c r="U522" s="105">
        <v>0</v>
      </c>
      <c r="V522" s="105">
        <v>0</v>
      </c>
      <c r="W522" s="105">
        <v>0</v>
      </c>
      <c r="X522" s="105">
        <v>0</v>
      </c>
      <c r="Y522" s="105">
        <v>0</v>
      </c>
      <c r="Z522" s="105">
        <v>0</v>
      </c>
      <c r="AA522" s="105">
        <v>0</v>
      </c>
      <c r="AB522" s="105">
        <v>0</v>
      </c>
      <c r="AC522" s="8">
        <f t="shared" si="56"/>
        <v>726626</v>
      </c>
      <c r="AD522" s="8">
        <f t="shared" si="57"/>
        <v>0</v>
      </c>
      <c r="AE522" s="8">
        <f t="shared" si="58"/>
        <v>0</v>
      </c>
      <c r="AF522" s="106">
        <f t="shared" si="59"/>
        <v>0</v>
      </c>
      <c r="AG522" s="8">
        <f t="shared" si="60"/>
        <v>0</v>
      </c>
      <c r="AH522" s="8">
        <f>IF($O522="Aktif",MAX(0,MIN($AE522,$AD522-SUM($AG522:AG522))),0)</f>
        <v>0</v>
      </c>
      <c r="AI522" s="8">
        <f>IF($O522="Aktif",MAX(0,MIN($AE522,$AD522-SUM($AG522:AH522))),0)</f>
        <v>0</v>
      </c>
      <c r="AJ522" s="8">
        <f>IF($O522="Aktif",MAX(0,MIN($AE522,$AD522-SUM($AG522:AI522))),0)</f>
        <v>0</v>
      </c>
      <c r="AK522" s="8">
        <f>IF($O522="Aktif",MAX(0,MIN($AE522,$AD522-SUM($AG522:AJ522))),0)</f>
        <v>0</v>
      </c>
      <c r="AL522" s="8">
        <f>IF($O522="Aktif",MAX(0,MIN($AE522,$AD522-SUM($AG522:AK522))),0)</f>
        <v>0</v>
      </c>
      <c r="AM522" s="8">
        <f>IF($O522="Aktif",MAX(0,MIN($AE522,$AD522-SUM($AG522:AL522))),0)</f>
        <v>0</v>
      </c>
      <c r="AN522" s="8">
        <f>IF($O522="Aktif",MAX(0,MIN($AE522,$AD522-SUM($AG522:AM522))),0)</f>
        <v>0</v>
      </c>
      <c r="AO522" s="8">
        <f>IF($O522="Aktif",MAX(0,MIN($AE522,$AD522-SUM($AG522:AN522))),0)</f>
        <v>0</v>
      </c>
      <c r="AP522" s="8">
        <f>IF($O522="Aktif",MAX(0,MIN($AE522,$AD522-SUM($AG522:AO522))),0)</f>
        <v>0</v>
      </c>
      <c r="AQ522" s="8">
        <f>IF($O522="Aktif",MAX(0,MIN($AE522,$AD522-SUM($AG522:AP522))),0)</f>
        <v>0</v>
      </c>
      <c r="AR522" s="8">
        <f>IF($O522="Aktif",MAX(0,MIN($AE522,$AD522-SUM($AG522:AQ522))),0)</f>
        <v>0</v>
      </c>
      <c r="AS522" s="8">
        <f>IF($O522="Aktif",MAX(0,MIN($AE522,$AD522-SUM($AG522:AR522))),0)</f>
        <v>0</v>
      </c>
      <c r="AT522" s="8">
        <f>IF($O522="Aktif",MAX(0,MIN($AE522,$AD522-SUM($AG522:AS522))),0)</f>
        <v>0</v>
      </c>
      <c r="AU522" s="8">
        <f>IF($O522="Aktif",MAX(0,MIN($AE522,$AD522-SUM($AG522:AT522))),0)</f>
        <v>0</v>
      </c>
      <c r="AV522" s="8">
        <f>IF($O522="Aktif",MAX(0,MIN($AE522,$AD522-SUM($AG522:AU522))),0)</f>
        <v>0</v>
      </c>
      <c r="AW522" s="8">
        <f t="shared" si="61"/>
        <v>0</v>
      </c>
      <c r="AX522" s="8">
        <f t="shared" si="62"/>
        <v>0</v>
      </c>
    </row>
    <row r="523" spans="1:50" ht="15" customHeight="1" x14ac:dyDescent="0.35">
      <c r="A523" s="102">
        <v>517</v>
      </c>
      <c r="B523" s="102" t="s">
        <v>1326</v>
      </c>
      <c r="C523" s="103">
        <v>151</v>
      </c>
      <c r="D523" s="102" t="s">
        <v>185</v>
      </c>
      <c r="E523" s="102" t="s">
        <v>587</v>
      </c>
      <c r="F523" s="102" t="s">
        <v>1327</v>
      </c>
      <c r="G523" s="102" t="s">
        <v>1328</v>
      </c>
      <c r="H523" s="102" t="s">
        <v>1329</v>
      </c>
      <c r="I523" s="102" t="s">
        <v>63</v>
      </c>
      <c r="J523" s="102" t="s">
        <v>1737</v>
      </c>
      <c r="K523" s="102" t="s">
        <v>591</v>
      </c>
      <c r="L523" s="104">
        <v>41992</v>
      </c>
      <c r="M523" s="102" t="s">
        <v>1738</v>
      </c>
      <c r="N523" s="102" t="s">
        <v>1739</v>
      </c>
      <c r="O523" s="102" t="s">
        <v>383</v>
      </c>
      <c r="P523" s="103">
        <v>1</v>
      </c>
      <c r="Q523" s="105">
        <v>1650000</v>
      </c>
      <c r="R523" s="103">
        <v>48</v>
      </c>
      <c r="S523" s="105">
        <v>0</v>
      </c>
      <c r="T523" s="105">
        <v>1650000</v>
      </c>
      <c r="U523" s="105">
        <v>0</v>
      </c>
      <c r="V523" s="105">
        <v>0</v>
      </c>
      <c r="W523" s="105">
        <v>0</v>
      </c>
      <c r="X523" s="105">
        <v>0</v>
      </c>
      <c r="Y523" s="105">
        <v>0</v>
      </c>
      <c r="Z523" s="105">
        <v>0</v>
      </c>
      <c r="AA523" s="105">
        <v>0</v>
      </c>
      <c r="AB523" s="105">
        <v>0</v>
      </c>
      <c r="AC523" s="8">
        <f t="shared" si="56"/>
        <v>1650000</v>
      </c>
      <c r="AD523" s="8">
        <f t="shared" si="57"/>
        <v>0</v>
      </c>
      <c r="AE523" s="8">
        <f t="shared" si="58"/>
        <v>0</v>
      </c>
      <c r="AF523" s="106">
        <f t="shared" si="59"/>
        <v>0</v>
      </c>
      <c r="AG523" s="8">
        <f t="shared" si="60"/>
        <v>0</v>
      </c>
      <c r="AH523" s="8">
        <f>IF($O523="Aktif",MAX(0,MIN($AE523,$AD523-SUM($AG523:AG523))),0)</f>
        <v>0</v>
      </c>
      <c r="AI523" s="8">
        <f>IF($O523="Aktif",MAX(0,MIN($AE523,$AD523-SUM($AG523:AH523))),0)</f>
        <v>0</v>
      </c>
      <c r="AJ523" s="8">
        <f>IF($O523="Aktif",MAX(0,MIN($AE523,$AD523-SUM($AG523:AI523))),0)</f>
        <v>0</v>
      </c>
      <c r="AK523" s="8">
        <f>IF($O523="Aktif",MAX(0,MIN($AE523,$AD523-SUM($AG523:AJ523))),0)</f>
        <v>0</v>
      </c>
      <c r="AL523" s="8">
        <f>IF($O523="Aktif",MAX(0,MIN($AE523,$AD523-SUM($AG523:AK523))),0)</f>
        <v>0</v>
      </c>
      <c r="AM523" s="8">
        <f>IF($O523="Aktif",MAX(0,MIN($AE523,$AD523-SUM($AG523:AL523))),0)</f>
        <v>0</v>
      </c>
      <c r="AN523" s="8">
        <f>IF($O523="Aktif",MAX(0,MIN($AE523,$AD523-SUM($AG523:AM523))),0)</f>
        <v>0</v>
      </c>
      <c r="AO523" s="8">
        <f>IF($O523="Aktif",MAX(0,MIN($AE523,$AD523-SUM($AG523:AN523))),0)</f>
        <v>0</v>
      </c>
      <c r="AP523" s="8">
        <f>IF($O523="Aktif",MAX(0,MIN($AE523,$AD523-SUM($AG523:AO523))),0)</f>
        <v>0</v>
      </c>
      <c r="AQ523" s="8">
        <f>IF($O523="Aktif",MAX(0,MIN($AE523,$AD523-SUM($AG523:AP523))),0)</f>
        <v>0</v>
      </c>
      <c r="AR523" s="8">
        <f>IF($O523="Aktif",MAX(0,MIN($AE523,$AD523-SUM($AG523:AQ523))),0)</f>
        <v>0</v>
      </c>
      <c r="AS523" s="8">
        <f>IF($O523="Aktif",MAX(0,MIN($AE523,$AD523-SUM($AG523:AR523))),0)</f>
        <v>0</v>
      </c>
      <c r="AT523" s="8">
        <f>IF($O523="Aktif",MAX(0,MIN($AE523,$AD523-SUM($AG523:AS523))),0)</f>
        <v>0</v>
      </c>
      <c r="AU523" s="8">
        <f>IF($O523="Aktif",MAX(0,MIN($AE523,$AD523-SUM($AG523:AT523))),0)</f>
        <v>0</v>
      </c>
      <c r="AV523" s="8">
        <f>IF($O523="Aktif",MAX(0,MIN($AE523,$AD523-SUM($AG523:AU523))),0)</f>
        <v>0</v>
      </c>
      <c r="AW523" s="8">
        <f t="shared" si="61"/>
        <v>0</v>
      </c>
      <c r="AX523" s="8">
        <f t="shared" si="62"/>
        <v>0</v>
      </c>
    </row>
    <row r="524" spans="1:50" ht="15" customHeight="1" x14ac:dyDescent="0.35">
      <c r="A524" s="102">
        <v>518</v>
      </c>
      <c r="B524" s="102" t="s">
        <v>1326</v>
      </c>
      <c r="C524" s="103">
        <v>152</v>
      </c>
      <c r="D524" s="102" t="s">
        <v>185</v>
      </c>
      <c r="E524" s="102" t="s">
        <v>587</v>
      </c>
      <c r="F524" s="102" t="s">
        <v>1327</v>
      </c>
      <c r="G524" s="102" t="s">
        <v>1328</v>
      </c>
      <c r="H524" s="102" t="s">
        <v>1329</v>
      </c>
      <c r="I524" s="102" t="s">
        <v>63</v>
      </c>
      <c r="J524" s="102" t="s">
        <v>1740</v>
      </c>
      <c r="K524" s="102" t="s">
        <v>591</v>
      </c>
      <c r="L524" s="104">
        <v>42003</v>
      </c>
      <c r="M524" s="102" t="s">
        <v>1741</v>
      </c>
      <c r="N524" s="102" t="s">
        <v>1742</v>
      </c>
      <c r="O524" s="102" t="s">
        <v>383</v>
      </c>
      <c r="P524" s="103">
        <v>1</v>
      </c>
      <c r="Q524" s="105">
        <v>12000000</v>
      </c>
      <c r="R524" s="103">
        <v>48</v>
      </c>
      <c r="S524" s="105">
        <v>0</v>
      </c>
      <c r="T524" s="105">
        <v>12000000</v>
      </c>
      <c r="U524" s="105">
        <v>0</v>
      </c>
      <c r="V524" s="105">
        <v>0</v>
      </c>
      <c r="W524" s="105">
        <v>0</v>
      </c>
      <c r="X524" s="105">
        <v>0</v>
      </c>
      <c r="Y524" s="105">
        <v>0</v>
      </c>
      <c r="Z524" s="105">
        <v>0</v>
      </c>
      <c r="AA524" s="105">
        <v>0</v>
      </c>
      <c r="AB524" s="105">
        <v>0</v>
      </c>
      <c r="AC524" s="8">
        <f t="shared" si="56"/>
        <v>12000000</v>
      </c>
      <c r="AD524" s="8">
        <f t="shared" si="57"/>
        <v>0</v>
      </c>
      <c r="AE524" s="8">
        <f t="shared" si="58"/>
        <v>0</v>
      </c>
      <c r="AF524" s="106">
        <f t="shared" si="59"/>
        <v>0</v>
      </c>
      <c r="AG524" s="8">
        <f t="shared" si="60"/>
        <v>0</v>
      </c>
      <c r="AH524" s="8">
        <f>IF($O524="Aktif",MAX(0,MIN($AE524,$AD524-SUM($AG524:AG524))),0)</f>
        <v>0</v>
      </c>
      <c r="AI524" s="8">
        <f>IF($O524="Aktif",MAX(0,MIN($AE524,$AD524-SUM($AG524:AH524))),0)</f>
        <v>0</v>
      </c>
      <c r="AJ524" s="8">
        <f>IF($O524="Aktif",MAX(0,MIN($AE524,$AD524-SUM($AG524:AI524))),0)</f>
        <v>0</v>
      </c>
      <c r="AK524" s="8">
        <f>IF($O524="Aktif",MAX(0,MIN($AE524,$AD524-SUM($AG524:AJ524))),0)</f>
        <v>0</v>
      </c>
      <c r="AL524" s="8">
        <f>IF($O524="Aktif",MAX(0,MIN($AE524,$AD524-SUM($AG524:AK524))),0)</f>
        <v>0</v>
      </c>
      <c r="AM524" s="8">
        <f>IF($O524="Aktif",MAX(0,MIN($AE524,$AD524-SUM($AG524:AL524))),0)</f>
        <v>0</v>
      </c>
      <c r="AN524" s="8">
        <f>IF($O524="Aktif",MAX(0,MIN($AE524,$AD524-SUM($AG524:AM524))),0)</f>
        <v>0</v>
      </c>
      <c r="AO524" s="8">
        <f>IF($O524="Aktif",MAX(0,MIN($AE524,$AD524-SUM($AG524:AN524))),0)</f>
        <v>0</v>
      </c>
      <c r="AP524" s="8">
        <f>IF($O524="Aktif",MAX(0,MIN($AE524,$AD524-SUM($AG524:AO524))),0)</f>
        <v>0</v>
      </c>
      <c r="AQ524" s="8">
        <f>IF($O524="Aktif",MAX(0,MIN($AE524,$AD524-SUM($AG524:AP524))),0)</f>
        <v>0</v>
      </c>
      <c r="AR524" s="8">
        <f>IF($O524="Aktif",MAX(0,MIN($AE524,$AD524-SUM($AG524:AQ524))),0)</f>
        <v>0</v>
      </c>
      <c r="AS524" s="8">
        <f>IF($O524="Aktif",MAX(0,MIN($AE524,$AD524-SUM($AG524:AR524))),0)</f>
        <v>0</v>
      </c>
      <c r="AT524" s="8">
        <f>IF($O524="Aktif",MAX(0,MIN($AE524,$AD524-SUM($AG524:AS524))),0)</f>
        <v>0</v>
      </c>
      <c r="AU524" s="8">
        <f>IF($O524="Aktif",MAX(0,MIN($AE524,$AD524-SUM($AG524:AT524))),0)</f>
        <v>0</v>
      </c>
      <c r="AV524" s="8">
        <f>IF($O524="Aktif",MAX(0,MIN($AE524,$AD524-SUM($AG524:AU524))),0)</f>
        <v>0</v>
      </c>
      <c r="AW524" s="8">
        <f t="shared" si="61"/>
        <v>0</v>
      </c>
      <c r="AX524" s="8">
        <f t="shared" si="62"/>
        <v>0</v>
      </c>
    </row>
    <row r="525" spans="1:50" ht="15" customHeight="1" x14ac:dyDescent="0.35">
      <c r="A525" s="102">
        <v>519</v>
      </c>
      <c r="B525" s="102" t="s">
        <v>1326</v>
      </c>
      <c r="C525" s="103">
        <v>153</v>
      </c>
      <c r="D525" s="102" t="s">
        <v>185</v>
      </c>
      <c r="E525" s="102" t="s">
        <v>587</v>
      </c>
      <c r="F525" s="102" t="s">
        <v>1327</v>
      </c>
      <c r="G525" s="102" t="s">
        <v>1328</v>
      </c>
      <c r="H525" s="102" t="s">
        <v>1329</v>
      </c>
      <c r="I525" s="102" t="s">
        <v>63</v>
      </c>
      <c r="J525" s="102" t="s">
        <v>1743</v>
      </c>
      <c r="K525" s="102" t="s">
        <v>591</v>
      </c>
      <c r="L525" s="104">
        <v>42003</v>
      </c>
      <c r="M525" s="102" t="s">
        <v>1744</v>
      </c>
      <c r="N525" s="102" t="s">
        <v>1745</v>
      </c>
      <c r="O525" s="102" t="s">
        <v>383</v>
      </c>
      <c r="P525" s="103">
        <v>1</v>
      </c>
      <c r="Q525" s="105">
        <v>9000000</v>
      </c>
      <c r="R525" s="103">
        <v>48</v>
      </c>
      <c r="S525" s="105">
        <v>0</v>
      </c>
      <c r="T525" s="105">
        <v>9000000</v>
      </c>
      <c r="U525" s="105">
        <v>0</v>
      </c>
      <c r="V525" s="105">
        <v>0</v>
      </c>
      <c r="W525" s="105">
        <v>0</v>
      </c>
      <c r="X525" s="105">
        <v>0</v>
      </c>
      <c r="Y525" s="105">
        <v>0</v>
      </c>
      <c r="Z525" s="105">
        <v>0</v>
      </c>
      <c r="AA525" s="105">
        <v>0</v>
      </c>
      <c r="AB525" s="105">
        <v>0</v>
      </c>
      <c r="AC525" s="8">
        <f t="shared" si="56"/>
        <v>9000000</v>
      </c>
      <c r="AD525" s="8">
        <f t="shared" si="57"/>
        <v>0</v>
      </c>
      <c r="AE525" s="8">
        <f t="shared" si="58"/>
        <v>0</v>
      </c>
      <c r="AF525" s="106">
        <f t="shared" si="59"/>
        <v>0</v>
      </c>
      <c r="AG525" s="8">
        <f t="shared" si="60"/>
        <v>0</v>
      </c>
      <c r="AH525" s="8">
        <f>IF($O525="Aktif",MAX(0,MIN($AE525,$AD525-SUM($AG525:AG525))),0)</f>
        <v>0</v>
      </c>
      <c r="AI525" s="8">
        <f>IF($O525="Aktif",MAX(0,MIN($AE525,$AD525-SUM($AG525:AH525))),0)</f>
        <v>0</v>
      </c>
      <c r="AJ525" s="8">
        <f>IF($O525="Aktif",MAX(0,MIN($AE525,$AD525-SUM($AG525:AI525))),0)</f>
        <v>0</v>
      </c>
      <c r="AK525" s="8">
        <f>IF($O525="Aktif",MAX(0,MIN($AE525,$AD525-SUM($AG525:AJ525))),0)</f>
        <v>0</v>
      </c>
      <c r="AL525" s="8">
        <f>IF($O525="Aktif",MAX(0,MIN($AE525,$AD525-SUM($AG525:AK525))),0)</f>
        <v>0</v>
      </c>
      <c r="AM525" s="8">
        <f>IF($O525="Aktif",MAX(0,MIN($AE525,$AD525-SUM($AG525:AL525))),0)</f>
        <v>0</v>
      </c>
      <c r="AN525" s="8">
        <f>IF($O525="Aktif",MAX(0,MIN($AE525,$AD525-SUM($AG525:AM525))),0)</f>
        <v>0</v>
      </c>
      <c r="AO525" s="8">
        <f>IF($O525="Aktif",MAX(0,MIN($AE525,$AD525-SUM($AG525:AN525))),0)</f>
        <v>0</v>
      </c>
      <c r="AP525" s="8">
        <f>IF($O525="Aktif",MAX(0,MIN($AE525,$AD525-SUM($AG525:AO525))),0)</f>
        <v>0</v>
      </c>
      <c r="AQ525" s="8">
        <f>IF($O525="Aktif",MAX(0,MIN($AE525,$AD525-SUM($AG525:AP525))),0)</f>
        <v>0</v>
      </c>
      <c r="AR525" s="8">
        <f>IF($O525="Aktif",MAX(0,MIN($AE525,$AD525-SUM($AG525:AQ525))),0)</f>
        <v>0</v>
      </c>
      <c r="AS525" s="8">
        <f>IF($O525="Aktif",MAX(0,MIN($AE525,$AD525-SUM($AG525:AR525))),0)</f>
        <v>0</v>
      </c>
      <c r="AT525" s="8">
        <f>IF($O525="Aktif",MAX(0,MIN($AE525,$AD525-SUM($AG525:AS525))),0)</f>
        <v>0</v>
      </c>
      <c r="AU525" s="8">
        <f>IF($O525="Aktif",MAX(0,MIN($AE525,$AD525-SUM($AG525:AT525))),0)</f>
        <v>0</v>
      </c>
      <c r="AV525" s="8">
        <f>IF($O525="Aktif",MAX(0,MIN($AE525,$AD525-SUM($AG525:AU525))),0)</f>
        <v>0</v>
      </c>
      <c r="AW525" s="8">
        <f t="shared" si="61"/>
        <v>0</v>
      </c>
      <c r="AX525" s="8">
        <f t="shared" si="62"/>
        <v>0</v>
      </c>
    </row>
    <row r="526" spans="1:50" ht="15" customHeight="1" x14ac:dyDescent="0.35">
      <c r="A526" s="102">
        <v>520</v>
      </c>
      <c r="B526" s="102" t="s">
        <v>1326</v>
      </c>
      <c r="C526" s="103">
        <v>154</v>
      </c>
      <c r="D526" s="102" t="s">
        <v>185</v>
      </c>
      <c r="E526" s="102" t="s">
        <v>587</v>
      </c>
      <c r="F526" s="102" t="s">
        <v>1327</v>
      </c>
      <c r="G526" s="102" t="s">
        <v>1328</v>
      </c>
      <c r="H526" s="102" t="s">
        <v>1329</v>
      </c>
      <c r="I526" s="102" t="s">
        <v>63</v>
      </c>
      <c r="J526" s="102" t="s">
        <v>1746</v>
      </c>
      <c r="K526" s="102" t="s">
        <v>591</v>
      </c>
      <c r="L526" s="104">
        <v>42004</v>
      </c>
      <c r="M526" s="102" t="s">
        <v>1747</v>
      </c>
      <c r="N526" s="102" t="s">
        <v>1748</v>
      </c>
      <c r="O526" s="102" t="s">
        <v>383</v>
      </c>
      <c r="P526" s="103">
        <v>1</v>
      </c>
      <c r="Q526" s="105">
        <v>11073000</v>
      </c>
      <c r="R526" s="103">
        <v>48</v>
      </c>
      <c r="S526" s="105">
        <v>0</v>
      </c>
      <c r="T526" s="105">
        <v>11073000</v>
      </c>
      <c r="U526" s="105">
        <v>0</v>
      </c>
      <c r="V526" s="105">
        <v>0</v>
      </c>
      <c r="W526" s="105">
        <v>0</v>
      </c>
      <c r="X526" s="105">
        <v>0</v>
      </c>
      <c r="Y526" s="105">
        <v>0</v>
      </c>
      <c r="Z526" s="105">
        <v>0</v>
      </c>
      <c r="AA526" s="105">
        <v>0</v>
      </c>
      <c r="AB526" s="105">
        <v>0</v>
      </c>
      <c r="AC526" s="8">
        <f t="shared" si="56"/>
        <v>11073000</v>
      </c>
      <c r="AD526" s="8">
        <f t="shared" si="57"/>
        <v>0</v>
      </c>
      <c r="AE526" s="8">
        <f t="shared" si="58"/>
        <v>0</v>
      </c>
      <c r="AF526" s="106">
        <f t="shared" si="59"/>
        <v>0</v>
      </c>
      <c r="AG526" s="8">
        <f t="shared" si="60"/>
        <v>0</v>
      </c>
      <c r="AH526" s="8">
        <f>IF($O526="Aktif",MAX(0,MIN($AE526,$AD526-SUM($AG526:AG526))),0)</f>
        <v>0</v>
      </c>
      <c r="AI526" s="8">
        <f>IF($O526="Aktif",MAX(0,MIN($AE526,$AD526-SUM($AG526:AH526))),0)</f>
        <v>0</v>
      </c>
      <c r="AJ526" s="8">
        <f>IF($O526="Aktif",MAX(0,MIN($AE526,$AD526-SUM($AG526:AI526))),0)</f>
        <v>0</v>
      </c>
      <c r="AK526" s="8">
        <f>IF($O526="Aktif",MAX(0,MIN($AE526,$AD526-SUM($AG526:AJ526))),0)</f>
        <v>0</v>
      </c>
      <c r="AL526" s="8">
        <f>IF($O526="Aktif",MAX(0,MIN($AE526,$AD526-SUM($AG526:AK526))),0)</f>
        <v>0</v>
      </c>
      <c r="AM526" s="8">
        <f>IF($O526="Aktif",MAX(0,MIN($AE526,$AD526-SUM($AG526:AL526))),0)</f>
        <v>0</v>
      </c>
      <c r="AN526" s="8">
        <f>IF($O526="Aktif",MAX(0,MIN($AE526,$AD526-SUM($AG526:AM526))),0)</f>
        <v>0</v>
      </c>
      <c r="AO526" s="8">
        <f>IF($O526="Aktif",MAX(0,MIN($AE526,$AD526-SUM($AG526:AN526))),0)</f>
        <v>0</v>
      </c>
      <c r="AP526" s="8">
        <f>IF($O526="Aktif",MAX(0,MIN($AE526,$AD526-SUM($AG526:AO526))),0)</f>
        <v>0</v>
      </c>
      <c r="AQ526" s="8">
        <f>IF($O526="Aktif",MAX(0,MIN($AE526,$AD526-SUM($AG526:AP526))),0)</f>
        <v>0</v>
      </c>
      <c r="AR526" s="8">
        <f>IF($O526="Aktif",MAX(0,MIN($AE526,$AD526-SUM($AG526:AQ526))),0)</f>
        <v>0</v>
      </c>
      <c r="AS526" s="8">
        <f>IF($O526="Aktif",MAX(0,MIN($AE526,$AD526-SUM($AG526:AR526))),0)</f>
        <v>0</v>
      </c>
      <c r="AT526" s="8">
        <f>IF($O526="Aktif",MAX(0,MIN($AE526,$AD526-SUM($AG526:AS526))),0)</f>
        <v>0</v>
      </c>
      <c r="AU526" s="8">
        <f>IF($O526="Aktif",MAX(0,MIN($AE526,$AD526-SUM($AG526:AT526))),0)</f>
        <v>0</v>
      </c>
      <c r="AV526" s="8">
        <f>IF($O526="Aktif",MAX(0,MIN($AE526,$AD526-SUM($AG526:AU526))),0)</f>
        <v>0</v>
      </c>
      <c r="AW526" s="8">
        <f t="shared" si="61"/>
        <v>0</v>
      </c>
      <c r="AX526" s="8">
        <f t="shared" si="62"/>
        <v>0</v>
      </c>
    </row>
    <row r="527" spans="1:50" ht="15" customHeight="1" x14ac:dyDescent="0.35">
      <c r="A527" s="102">
        <v>521</v>
      </c>
      <c r="B527" s="102" t="s">
        <v>1326</v>
      </c>
      <c r="C527" s="103">
        <v>155</v>
      </c>
      <c r="D527" s="102" t="s">
        <v>185</v>
      </c>
      <c r="E527" s="102" t="s">
        <v>587</v>
      </c>
      <c r="F527" s="102" t="s">
        <v>1327</v>
      </c>
      <c r="G527" s="102" t="s">
        <v>1328</v>
      </c>
      <c r="H527" s="102" t="s">
        <v>1329</v>
      </c>
      <c r="I527" s="102" t="s">
        <v>63</v>
      </c>
      <c r="J527" s="102" t="s">
        <v>1749</v>
      </c>
      <c r="K527" s="102" t="s">
        <v>591</v>
      </c>
      <c r="L527" s="104">
        <v>42020</v>
      </c>
      <c r="M527" s="102" t="s">
        <v>1750</v>
      </c>
      <c r="N527" s="102" t="s">
        <v>1751</v>
      </c>
      <c r="O527" s="102" t="s">
        <v>383</v>
      </c>
      <c r="P527" s="103">
        <v>1</v>
      </c>
      <c r="Q527" s="105">
        <v>5000000</v>
      </c>
      <c r="R527" s="103">
        <v>48</v>
      </c>
      <c r="S527" s="105">
        <v>0</v>
      </c>
      <c r="T527" s="105">
        <v>5000000</v>
      </c>
      <c r="U527" s="105">
        <v>0</v>
      </c>
      <c r="V527" s="105">
        <v>0</v>
      </c>
      <c r="W527" s="105">
        <v>0</v>
      </c>
      <c r="X527" s="105">
        <v>0</v>
      </c>
      <c r="Y527" s="105">
        <v>0</v>
      </c>
      <c r="Z527" s="105">
        <v>0</v>
      </c>
      <c r="AA527" s="105">
        <v>0</v>
      </c>
      <c r="AB527" s="105">
        <v>0</v>
      </c>
      <c r="AC527" s="8">
        <f t="shared" si="56"/>
        <v>5000000</v>
      </c>
      <c r="AD527" s="8">
        <f t="shared" si="57"/>
        <v>0</v>
      </c>
      <c r="AE527" s="8">
        <f t="shared" si="58"/>
        <v>0</v>
      </c>
      <c r="AF527" s="106">
        <f t="shared" si="59"/>
        <v>0</v>
      </c>
      <c r="AG527" s="8">
        <f t="shared" si="60"/>
        <v>0</v>
      </c>
      <c r="AH527" s="8">
        <f>IF($O527="Aktif",MAX(0,MIN($AE527,$AD527-SUM($AG527:AG527))),0)</f>
        <v>0</v>
      </c>
      <c r="AI527" s="8">
        <f>IF($O527="Aktif",MAX(0,MIN($AE527,$AD527-SUM($AG527:AH527))),0)</f>
        <v>0</v>
      </c>
      <c r="AJ527" s="8">
        <f>IF($O527="Aktif",MAX(0,MIN($AE527,$AD527-SUM($AG527:AI527))),0)</f>
        <v>0</v>
      </c>
      <c r="AK527" s="8">
        <f>IF($O527="Aktif",MAX(0,MIN($AE527,$AD527-SUM($AG527:AJ527))),0)</f>
        <v>0</v>
      </c>
      <c r="AL527" s="8">
        <f>IF($O527="Aktif",MAX(0,MIN($AE527,$AD527-SUM($AG527:AK527))),0)</f>
        <v>0</v>
      </c>
      <c r="AM527" s="8">
        <f>IF($O527="Aktif",MAX(0,MIN($AE527,$AD527-SUM($AG527:AL527))),0)</f>
        <v>0</v>
      </c>
      <c r="AN527" s="8">
        <f>IF($O527="Aktif",MAX(0,MIN($AE527,$AD527-SUM($AG527:AM527))),0)</f>
        <v>0</v>
      </c>
      <c r="AO527" s="8">
        <f>IF($O527="Aktif",MAX(0,MIN($AE527,$AD527-SUM($AG527:AN527))),0)</f>
        <v>0</v>
      </c>
      <c r="AP527" s="8">
        <f>IF($O527="Aktif",MAX(0,MIN($AE527,$AD527-SUM($AG527:AO527))),0)</f>
        <v>0</v>
      </c>
      <c r="AQ527" s="8">
        <f>IF($O527="Aktif",MAX(0,MIN($AE527,$AD527-SUM($AG527:AP527))),0)</f>
        <v>0</v>
      </c>
      <c r="AR527" s="8">
        <f>IF($O527="Aktif",MAX(0,MIN($AE527,$AD527-SUM($AG527:AQ527))),0)</f>
        <v>0</v>
      </c>
      <c r="AS527" s="8">
        <f>IF($O527="Aktif",MAX(0,MIN($AE527,$AD527-SUM($AG527:AR527))),0)</f>
        <v>0</v>
      </c>
      <c r="AT527" s="8">
        <f>IF($O527="Aktif",MAX(0,MIN($AE527,$AD527-SUM($AG527:AS527))),0)</f>
        <v>0</v>
      </c>
      <c r="AU527" s="8">
        <f>IF($O527="Aktif",MAX(0,MIN($AE527,$AD527-SUM($AG527:AT527))),0)</f>
        <v>0</v>
      </c>
      <c r="AV527" s="8">
        <f>IF($O527="Aktif",MAX(0,MIN($AE527,$AD527-SUM($AG527:AU527))),0)</f>
        <v>0</v>
      </c>
      <c r="AW527" s="8">
        <f t="shared" si="61"/>
        <v>0</v>
      </c>
      <c r="AX527" s="8">
        <f t="shared" si="62"/>
        <v>0</v>
      </c>
    </row>
    <row r="528" spans="1:50" ht="15" customHeight="1" x14ac:dyDescent="0.35">
      <c r="A528" s="102">
        <v>522</v>
      </c>
      <c r="B528" s="102" t="s">
        <v>1326</v>
      </c>
      <c r="C528" s="103">
        <v>156</v>
      </c>
      <c r="D528" s="102" t="s">
        <v>185</v>
      </c>
      <c r="E528" s="102" t="s">
        <v>587</v>
      </c>
      <c r="F528" s="102" t="s">
        <v>1327</v>
      </c>
      <c r="G528" s="102" t="s">
        <v>1328</v>
      </c>
      <c r="H528" s="102" t="s">
        <v>1329</v>
      </c>
      <c r="I528" s="102" t="s">
        <v>63</v>
      </c>
      <c r="J528" s="102" t="s">
        <v>1752</v>
      </c>
      <c r="K528" s="102" t="s">
        <v>591</v>
      </c>
      <c r="L528" s="104">
        <v>42020</v>
      </c>
      <c r="M528" s="102" t="s">
        <v>1753</v>
      </c>
      <c r="N528" s="102" t="s">
        <v>1754</v>
      </c>
      <c r="O528" s="102" t="s">
        <v>383</v>
      </c>
      <c r="P528" s="103">
        <v>1</v>
      </c>
      <c r="Q528" s="105">
        <v>3500000</v>
      </c>
      <c r="R528" s="103">
        <v>48</v>
      </c>
      <c r="S528" s="105">
        <v>0</v>
      </c>
      <c r="T528" s="105">
        <v>3500000</v>
      </c>
      <c r="U528" s="105">
        <v>0</v>
      </c>
      <c r="V528" s="105">
        <v>0</v>
      </c>
      <c r="W528" s="105">
        <v>0</v>
      </c>
      <c r="X528" s="105">
        <v>0</v>
      </c>
      <c r="Y528" s="105">
        <v>0</v>
      </c>
      <c r="Z528" s="105">
        <v>0</v>
      </c>
      <c r="AA528" s="105">
        <v>0</v>
      </c>
      <c r="AB528" s="105">
        <v>0</v>
      </c>
      <c r="AC528" s="8">
        <f t="shared" si="56"/>
        <v>3500000</v>
      </c>
      <c r="AD528" s="8">
        <f t="shared" si="57"/>
        <v>0</v>
      </c>
      <c r="AE528" s="8">
        <f t="shared" si="58"/>
        <v>0</v>
      </c>
      <c r="AF528" s="106">
        <f t="shared" si="59"/>
        <v>0</v>
      </c>
      <c r="AG528" s="8">
        <f t="shared" si="60"/>
        <v>0</v>
      </c>
      <c r="AH528" s="8">
        <f>IF($O528="Aktif",MAX(0,MIN($AE528,$AD528-SUM($AG528:AG528))),0)</f>
        <v>0</v>
      </c>
      <c r="AI528" s="8">
        <f>IF($O528="Aktif",MAX(0,MIN($AE528,$AD528-SUM($AG528:AH528))),0)</f>
        <v>0</v>
      </c>
      <c r="AJ528" s="8">
        <f>IF($O528="Aktif",MAX(0,MIN($AE528,$AD528-SUM($AG528:AI528))),0)</f>
        <v>0</v>
      </c>
      <c r="AK528" s="8">
        <f>IF($O528="Aktif",MAX(0,MIN($AE528,$AD528-SUM($AG528:AJ528))),0)</f>
        <v>0</v>
      </c>
      <c r="AL528" s="8">
        <f>IF($O528="Aktif",MAX(0,MIN($AE528,$AD528-SUM($AG528:AK528))),0)</f>
        <v>0</v>
      </c>
      <c r="AM528" s="8">
        <f>IF($O528="Aktif",MAX(0,MIN($AE528,$AD528-SUM($AG528:AL528))),0)</f>
        <v>0</v>
      </c>
      <c r="AN528" s="8">
        <f>IF($O528="Aktif",MAX(0,MIN($AE528,$AD528-SUM($AG528:AM528))),0)</f>
        <v>0</v>
      </c>
      <c r="AO528" s="8">
        <f>IF($O528="Aktif",MAX(0,MIN($AE528,$AD528-SUM($AG528:AN528))),0)</f>
        <v>0</v>
      </c>
      <c r="AP528" s="8">
        <f>IF($O528="Aktif",MAX(0,MIN($AE528,$AD528-SUM($AG528:AO528))),0)</f>
        <v>0</v>
      </c>
      <c r="AQ528" s="8">
        <f>IF($O528="Aktif",MAX(0,MIN($AE528,$AD528-SUM($AG528:AP528))),0)</f>
        <v>0</v>
      </c>
      <c r="AR528" s="8">
        <f>IF($O528="Aktif",MAX(0,MIN($AE528,$AD528-SUM($AG528:AQ528))),0)</f>
        <v>0</v>
      </c>
      <c r="AS528" s="8">
        <f>IF($O528="Aktif",MAX(0,MIN($AE528,$AD528-SUM($AG528:AR528))),0)</f>
        <v>0</v>
      </c>
      <c r="AT528" s="8">
        <f>IF($O528="Aktif",MAX(0,MIN($AE528,$AD528-SUM($AG528:AS528))),0)</f>
        <v>0</v>
      </c>
      <c r="AU528" s="8">
        <f>IF($O528="Aktif",MAX(0,MIN($AE528,$AD528-SUM($AG528:AT528))),0)</f>
        <v>0</v>
      </c>
      <c r="AV528" s="8">
        <f>IF($O528="Aktif",MAX(0,MIN($AE528,$AD528-SUM($AG528:AU528))),0)</f>
        <v>0</v>
      </c>
      <c r="AW528" s="8">
        <f t="shared" si="61"/>
        <v>0</v>
      </c>
      <c r="AX528" s="8">
        <f t="shared" si="62"/>
        <v>0</v>
      </c>
    </row>
    <row r="529" spans="1:50" ht="15" customHeight="1" x14ac:dyDescent="0.35">
      <c r="A529" s="102">
        <v>523</v>
      </c>
      <c r="B529" s="102" t="s">
        <v>1326</v>
      </c>
      <c r="C529" s="103">
        <v>157</v>
      </c>
      <c r="D529" s="102" t="s">
        <v>185</v>
      </c>
      <c r="E529" s="102" t="s">
        <v>587</v>
      </c>
      <c r="F529" s="102" t="s">
        <v>1327</v>
      </c>
      <c r="G529" s="102" t="s">
        <v>1328</v>
      </c>
      <c r="H529" s="102" t="s">
        <v>1329</v>
      </c>
      <c r="I529" s="102" t="s">
        <v>63</v>
      </c>
      <c r="J529" s="102" t="s">
        <v>1755</v>
      </c>
      <c r="K529" s="102" t="s">
        <v>591</v>
      </c>
      <c r="L529" s="104">
        <v>42024</v>
      </c>
      <c r="M529" s="102" t="s">
        <v>1756</v>
      </c>
      <c r="N529" s="102" t="s">
        <v>1757</v>
      </c>
      <c r="O529" s="102" t="s">
        <v>383</v>
      </c>
      <c r="P529" s="103">
        <v>1</v>
      </c>
      <c r="Q529" s="105">
        <v>3600000</v>
      </c>
      <c r="R529" s="103">
        <v>48</v>
      </c>
      <c r="S529" s="105">
        <v>0</v>
      </c>
      <c r="T529" s="105">
        <v>3600000</v>
      </c>
      <c r="U529" s="105">
        <v>0</v>
      </c>
      <c r="V529" s="105">
        <v>0</v>
      </c>
      <c r="W529" s="105">
        <v>0</v>
      </c>
      <c r="X529" s="105">
        <v>0</v>
      </c>
      <c r="Y529" s="105">
        <v>0</v>
      </c>
      <c r="Z529" s="105">
        <v>0</v>
      </c>
      <c r="AA529" s="105">
        <v>0</v>
      </c>
      <c r="AB529" s="105">
        <v>0</v>
      </c>
      <c r="AC529" s="8">
        <f t="shared" si="56"/>
        <v>3600000</v>
      </c>
      <c r="AD529" s="8">
        <f t="shared" si="57"/>
        <v>0</v>
      </c>
      <c r="AE529" s="8">
        <f t="shared" si="58"/>
        <v>0</v>
      </c>
      <c r="AF529" s="106">
        <f t="shared" si="59"/>
        <v>0</v>
      </c>
      <c r="AG529" s="8">
        <f t="shared" si="60"/>
        <v>0</v>
      </c>
      <c r="AH529" s="8">
        <f>IF($O529="Aktif",MAX(0,MIN($AE529,$AD529-SUM($AG529:AG529))),0)</f>
        <v>0</v>
      </c>
      <c r="AI529" s="8">
        <f>IF($O529="Aktif",MAX(0,MIN($AE529,$AD529-SUM($AG529:AH529))),0)</f>
        <v>0</v>
      </c>
      <c r="AJ529" s="8">
        <f>IF($O529="Aktif",MAX(0,MIN($AE529,$AD529-SUM($AG529:AI529))),0)</f>
        <v>0</v>
      </c>
      <c r="AK529" s="8">
        <f>IF($O529="Aktif",MAX(0,MIN($AE529,$AD529-SUM($AG529:AJ529))),0)</f>
        <v>0</v>
      </c>
      <c r="AL529" s="8">
        <f>IF($O529="Aktif",MAX(0,MIN($AE529,$AD529-SUM($AG529:AK529))),0)</f>
        <v>0</v>
      </c>
      <c r="AM529" s="8">
        <f>IF($O529="Aktif",MAX(0,MIN($AE529,$AD529-SUM($AG529:AL529))),0)</f>
        <v>0</v>
      </c>
      <c r="AN529" s="8">
        <f>IF($O529="Aktif",MAX(0,MIN($AE529,$AD529-SUM($AG529:AM529))),0)</f>
        <v>0</v>
      </c>
      <c r="AO529" s="8">
        <f>IF($O529="Aktif",MAX(0,MIN($AE529,$AD529-SUM($AG529:AN529))),0)</f>
        <v>0</v>
      </c>
      <c r="AP529" s="8">
        <f>IF($O529="Aktif",MAX(0,MIN($AE529,$AD529-SUM($AG529:AO529))),0)</f>
        <v>0</v>
      </c>
      <c r="AQ529" s="8">
        <f>IF($O529="Aktif",MAX(0,MIN($AE529,$AD529-SUM($AG529:AP529))),0)</f>
        <v>0</v>
      </c>
      <c r="AR529" s="8">
        <f>IF($O529="Aktif",MAX(0,MIN($AE529,$AD529-SUM($AG529:AQ529))),0)</f>
        <v>0</v>
      </c>
      <c r="AS529" s="8">
        <f>IF($O529="Aktif",MAX(0,MIN($AE529,$AD529-SUM($AG529:AR529))),0)</f>
        <v>0</v>
      </c>
      <c r="AT529" s="8">
        <f>IF($O529="Aktif",MAX(0,MIN($AE529,$AD529-SUM($AG529:AS529))),0)</f>
        <v>0</v>
      </c>
      <c r="AU529" s="8">
        <f>IF($O529="Aktif",MAX(0,MIN($AE529,$AD529-SUM($AG529:AT529))),0)</f>
        <v>0</v>
      </c>
      <c r="AV529" s="8">
        <f>IF($O529="Aktif",MAX(0,MIN($AE529,$AD529-SUM($AG529:AU529))),0)</f>
        <v>0</v>
      </c>
      <c r="AW529" s="8">
        <f t="shared" si="61"/>
        <v>0</v>
      </c>
      <c r="AX529" s="8">
        <f t="shared" si="62"/>
        <v>0</v>
      </c>
    </row>
    <row r="530" spans="1:50" ht="15" customHeight="1" x14ac:dyDescent="0.35">
      <c r="A530" s="102">
        <v>524</v>
      </c>
      <c r="B530" s="102" t="s">
        <v>1326</v>
      </c>
      <c r="C530" s="103">
        <v>158</v>
      </c>
      <c r="D530" s="102" t="s">
        <v>185</v>
      </c>
      <c r="E530" s="102" t="s">
        <v>587</v>
      </c>
      <c r="F530" s="102" t="s">
        <v>1327</v>
      </c>
      <c r="G530" s="102" t="s">
        <v>1328</v>
      </c>
      <c r="H530" s="102" t="s">
        <v>1329</v>
      </c>
      <c r="I530" s="102" t="s">
        <v>63</v>
      </c>
      <c r="J530" s="102" t="s">
        <v>1758</v>
      </c>
      <c r="K530" s="102" t="s">
        <v>591</v>
      </c>
      <c r="L530" s="104">
        <v>42052</v>
      </c>
      <c r="M530" s="102" t="s">
        <v>1759</v>
      </c>
      <c r="N530" s="102" t="s">
        <v>1760</v>
      </c>
      <c r="O530" s="102" t="s">
        <v>383</v>
      </c>
      <c r="P530" s="103">
        <v>1</v>
      </c>
      <c r="Q530" s="105">
        <v>1100000</v>
      </c>
      <c r="R530" s="103">
        <v>48</v>
      </c>
      <c r="S530" s="105">
        <v>0</v>
      </c>
      <c r="T530" s="105">
        <v>1100000</v>
      </c>
      <c r="U530" s="105">
        <v>0</v>
      </c>
      <c r="V530" s="105">
        <v>0</v>
      </c>
      <c r="W530" s="105">
        <v>0</v>
      </c>
      <c r="X530" s="105">
        <v>0</v>
      </c>
      <c r="Y530" s="105">
        <v>0</v>
      </c>
      <c r="Z530" s="105">
        <v>0</v>
      </c>
      <c r="AA530" s="105">
        <v>0</v>
      </c>
      <c r="AB530" s="105">
        <v>0</v>
      </c>
      <c r="AC530" s="8">
        <f t="shared" si="56"/>
        <v>1100000</v>
      </c>
      <c r="AD530" s="8">
        <f t="shared" si="57"/>
        <v>0</v>
      </c>
      <c r="AE530" s="8">
        <f t="shared" si="58"/>
        <v>0</v>
      </c>
      <c r="AF530" s="106">
        <f t="shared" si="59"/>
        <v>0</v>
      </c>
      <c r="AG530" s="8">
        <f t="shared" si="60"/>
        <v>0</v>
      </c>
      <c r="AH530" s="8">
        <f>IF($O530="Aktif",MAX(0,MIN($AE530,$AD530-SUM($AG530:AG530))),0)</f>
        <v>0</v>
      </c>
      <c r="AI530" s="8">
        <f>IF($O530="Aktif",MAX(0,MIN($AE530,$AD530-SUM($AG530:AH530))),0)</f>
        <v>0</v>
      </c>
      <c r="AJ530" s="8">
        <f>IF($O530="Aktif",MAX(0,MIN($AE530,$AD530-SUM($AG530:AI530))),0)</f>
        <v>0</v>
      </c>
      <c r="AK530" s="8">
        <f>IF($O530="Aktif",MAX(0,MIN($AE530,$AD530-SUM($AG530:AJ530))),0)</f>
        <v>0</v>
      </c>
      <c r="AL530" s="8">
        <f>IF($O530="Aktif",MAX(0,MIN($AE530,$AD530-SUM($AG530:AK530))),0)</f>
        <v>0</v>
      </c>
      <c r="AM530" s="8">
        <f>IF($O530="Aktif",MAX(0,MIN($AE530,$AD530-SUM($AG530:AL530))),0)</f>
        <v>0</v>
      </c>
      <c r="AN530" s="8">
        <f>IF($O530="Aktif",MAX(0,MIN($AE530,$AD530-SUM($AG530:AM530))),0)</f>
        <v>0</v>
      </c>
      <c r="AO530" s="8">
        <f>IF($O530="Aktif",MAX(0,MIN($AE530,$AD530-SUM($AG530:AN530))),0)</f>
        <v>0</v>
      </c>
      <c r="AP530" s="8">
        <f>IF($O530="Aktif",MAX(0,MIN($AE530,$AD530-SUM($AG530:AO530))),0)</f>
        <v>0</v>
      </c>
      <c r="AQ530" s="8">
        <f>IF($O530="Aktif",MAX(0,MIN($AE530,$AD530-SUM($AG530:AP530))),0)</f>
        <v>0</v>
      </c>
      <c r="AR530" s="8">
        <f>IF($O530="Aktif",MAX(0,MIN($AE530,$AD530-SUM($AG530:AQ530))),0)</f>
        <v>0</v>
      </c>
      <c r="AS530" s="8">
        <f>IF($O530="Aktif",MAX(0,MIN($AE530,$AD530-SUM($AG530:AR530))),0)</f>
        <v>0</v>
      </c>
      <c r="AT530" s="8">
        <f>IF($O530="Aktif",MAX(0,MIN($AE530,$AD530-SUM($AG530:AS530))),0)</f>
        <v>0</v>
      </c>
      <c r="AU530" s="8">
        <f>IF($O530="Aktif",MAX(0,MIN($AE530,$AD530-SUM($AG530:AT530))),0)</f>
        <v>0</v>
      </c>
      <c r="AV530" s="8">
        <f>IF($O530="Aktif",MAX(0,MIN($AE530,$AD530-SUM($AG530:AU530))),0)</f>
        <v>0</v>
      </c>
      <c r="AW530" s="8">
        <f t="shared" si="61"/>
        <v>0</v>
      </c>
      <c r="AX530" s="8">
        <f t="shared" si="62"/>
        <v>0</v>
      </c>
    </row>
    <row r="531" spans="1:50" ht="15" customHeight="1" x14ac:dyDescent="0.35">
      <c r="A531" s="102">
        <v>525</v>
      </c>
      <c r="B531" s="102" t="s">
        <v>1326</v>
      </c>
      <c r="C531" s="103">
        <v>159</v>
      </c>
      <c r="D531" s="102" t="s">
        <v>185</v>
      </c>
      <c r="E531" s="102" t="s">
        <v>587</v>
      </c>
      <c r="F531" s="102" t="s">
        <v>1327</v>
      </c>
      <c r="G531" s="102" t="s">
        <v>1328</v>
      </c>
      <c r="H531" s="102" t="s">
        <v>1329</v>
      </c>
      <c r="I531" s="102" t="s">
        <v>63</v>
      </c>
      <c r="J531" s="102" t="s">
        <v>1761</v>
      </c>
      <c r="K531" s="102" t="s">
        <v>591</v>
      </c>
      <c r="L531" s="104">
        <v>42063</v>
      </c>
      <c r="M531" s="102" t="s">
        <v>1762</v>
      </c>
      <c r="N531" s="102" t="s">
        <v>1763</v>
      </c>
      <c r="O531" s="102" t="s">
        <v>383</v>
      </c>
      <c r="P531" s="103">
        <v>1</v>
      </c>
      <c r="Q531" s="105">
        <v>94000000</v>
      </c>
      <c r="R531" s="103">
        <v>48</v>
      </c>
      <c r="S531" s="105">
        <v>0</v>
      </c>
      <c r="T531" s="105">
        <v>94000000</v>
      </c>
      <c r="U531" s="105">
        <v>0</v>
      </c>
      <c r="V531" s="105">
        <v>0</v>
      </c>
      <c r="W531" s="105">
        <v>0</v>
      </c>
      <c r="X531" s="105">
        <v>0</v>
      </c>
      <c r="Y531" s="105">
        <v>0</v>
      </c>
      <c r="Z531" s="105">
        <v>0</v>
      </c>
      <c r="AA531" s="105">
        <v>0</v>
      </c>
      <c r="AB531" s="105">
        <v>0</v>
      </c>
      <c r="AC531" s="8">
        <f t="shared" si="56"/>
        <v>94000000</v>
      </c>
      <c r="AD531" s="8">
        <f t="shared" si="57"/>
        <v>0</v>
      </c>
      <c r="AE531" s="8">
        <f t="shared" si="58"/>
        <v>0</v>
      </c>
      <c r="AF531" s="106">
        <f t="shared" si="59"/>
        <v>0</v>
      </c>
      <c r="AG531" s="8">
        <f t="shared" si="60"/>
        <v>0</v>
      </c>
      <c r="AH531" s="8">
        <f>IF($O531="Aktif",MAX(0,MIN($AE531,$AD531-SUM($AG531:AG531))),0)</f>
        <v>0</v>
      </c>
      <c r="AI531" s="8">
        <f>IF($O531="Aktif",MAX(0,MIN($AE531,$AD531-SUM($AG531:AH531))),0)</f>
        <v>0</v>
      </c>
      <c r="AJ531" s="8">
        <f>IF($O531="Aktif",MAX(0,MIN($AE531,$AD531-SUM($AG531:AI531))),0)</f>
        <v>0</v>
      </c>
      <c r="AK531" s="8">
        <f>IF($O531="Aktif",MAX(0,MIN($AE531,$AD531-SUM($AG531:AJ531))),0)</f>
        <v>0</v>
      </c>
      <c r="AL531" s="8">
        <f>IF($O531="Aktif",MAX(0,MIN($AE531,$AD531-SUM($AG531:AK531))),0)</f>
        <v>0</v>
      </c>
      <c r="AM531" s="8">
        <f>IF($O531="Aktif",MAX(0,MIN($AE531,$AD531-SUM($AG531:AL531))),0)</f>
        <v>0</v>
      </c>
      <c r="AN531" s="8">
        <f>IF($O531="Aktif",MAX(0,MIN($AE531,$AD531-SUM($AG531:AM531))),0)</f>
        <v>0</v>
      </c>
      <c r="AO531" s="8">
        <f>IF($O531="Aktif",MAX(0,MIN($AE531,$AD531-SUM($AG531:AN531))),0)</f>
        <v>0</v>
      </c>
      <c r="AP531" s="8">
        <f>IF($O531="Aktif",MAX(0,MIN($AE531,$AD531-SUM($AG531:AO531))),0)</f>
        <v>0</v>
      </c>
      <c r="AQ531" s="8">
        <f>IF($O531="Aktif",MAX(0,MIN($AE531,$AD531-SUM($AG531:AP531))),0)</f>
        <v>0</v>
      </c>
      <c r="AR531" s="8">
        <f>IF($O531="Aktif",MAX(0,MIN($AE531,$AD531-SUM($AG531:AQ531))),0)</f>
        <v>0</v>
      </c>
      <c r="AS531" s="8">
        <f>IF($O531="Aktif",MAX(0,MIN($AE531,$AD531-SUM($AG531:AR531))),0)</f>
        <v>0</v>
      </c>
      <c r="AT531" s="8">
        <f>IF($O531="Aktif",MAX(0,MIN($AE531,$AD531-SUM($AG531:AS531))),0)</f>
        <v>0</v>
      </c>
      <c r="AU531" s="8">
        <f>IF($O531="Aktif",MAX(0,MIN($AE531,$AD531-SUM($AG531:AT531))),0)</f>
        <v>0</v>
      </c>
      <c r="AV531" s="8">
        <f>IF($O531="Aktif",MAX(0,MIN($AE531,$AD531-SUM($AG531:AU531))),0)</f>
        <v>0</v>
      </c>
      <c r="AW531" s="8">
        <f t="shared" si="61"/>
        <v>0</v>
      </c>
      <c r="AX531" s="8">
        <f t="shared" si="62"/>
        <v>0</v>
      </c>
    </row>
    <row r="532" spans="1:50" ht="15" customHeight="1" x14ac:dyDescent="0.35">
      <c r="A532" s="102">
        <v>526</v>
      </c>
      <c r="B532" s="102" t="s">
        <v>1326</v>
      </c>
      <c r="C532" s="103">
        <v>160</v>
      </c>
      <c r="D532" s="102" t="s">
        <v>185</v>
      </c>
      <c r="E532" s="102" t="s">
        <v>587</v>
      </c>
      <c r="F532" s="102" t="s">
        <v>1327</v>
      </c>
      <c r="G532" s="102" t="s">
        <v>1328</v>
      </c>
      <c r="H532" s="102" t="s">
        <v>1329</v>
      </c>
      <c r="I532" s="102" t="s">
        <v>63</v>
      </c>
      <c r="J532" s="102" t="s">
        <v>1764</v>
      </c>
      <c r="K532" s="102" t="s">
        <v>591</v>
      </c>
      <c r="L532" s="104">
        <v>42063</v>
      </c>
      <c r="M532" s="102" t="s">
        <v>1765</v>
      </c>
      <c r="N532" s="102" t="s">
        <v>1766</v>
      </c>
      <c r="O532" s="102" t="s">
        <v>383</v>
      </c>
      <c r="P532" s="103">
        <v>1</v>
      </c>
      <c r="Q532" s="105">
        <v>750000</v>
      </c>
      <c r="R532" s="103">
        <v>48</v>
      </c>
      <c r="S532" s="105">
        <v>0</v>
      </c>
      <c r="T532" s="105">
        <v>750000</v>
      </c>
      <c r="U532" s="105">
        <v>0</v>
      </c>
      <c r="V532" s="105">
        <v>0</v>
      </c>
      <c r="W532" s="105">
        <v>0</v>
      </c>
      <c r="X532" s="105">
        <v>0</v>
      </c>
      <c r="Y532" s="105">
        <v>0</v>
      </c>
      <c r="Z532" s="105">
        <v>0</v>
      </c>
      <c r="AA532" s="105">
        <v>0</v>
      </c>
      <c r="AB532" s="105">
        <v>0</v>
      </c>
      <c r="AC532" s="8">
        <f t="shared" si="56"/>
        <v>750000</v>
      </c>
      <c r="AD532" s="8">
        <f t="shared" si="57"/>
        <v>0</v>
      </c>
      <c r="AE532" s="8">
        <f t="shared" si="58"/>
        <v>0</v>
      </c>
      <c r="AF532" s="106">
        <f t="shared" si="59"/>
        <v>0</v>
      </c>
      <c r="AG532" s="8">
        <f t="shared" si="60"/>
        <v>0</v>
      </c>
      <c r="AH532" s="8">
        <f>IF($O532="Aktif",MAX(0,MIN($AE532,$AD532-SUM($AG532:AG532))),0)</f>
        <v>0</v>
      </c>
      <c r="AI532" s="8">
        <f>IF($O532="Aktif",MAX(0,MIN($AE532,$AD532-SUM($AG532:AH532))),0)</f>
        <v>0</v>
      </c>
      <c r="AJ532" s="8">
        <f>IF($O532="Aktif",MAX(0,MIN($AE532,$AD532-SUM($AG532:AI532))),0)</f>
        <v>0</v>
      </c>
      <c r="AK532" s="8">
        <f>IF($O532="Aktif",MAX(0,MIN($AE532,$AD532-SUM($AG532:AJ532))),0)</f>
        <v>0</v>
      </c>
      <c r="AL532" s="8">
        <f>IF($O532="Aktif",MAX(0,MIN($AE532,$AD532-SUM($AG532:AK532))),0)</f>
        <v>0</v>
      </c>
      <c r="AM532" s="8">
        <f>IF($O532="Aktif",MAX(0,MIN($AE532,$AD532-SUM($AG532:AL532))),0)</f>
        <v>0</v>
      </c>
      <c r="AN532" s="8">
        <f>IF($O532="Aktif",MAX(0,MIN($AE532,$AD532-SUM($AG532:AM532))),0)</f>
        <v>0</v>
      </c>
      <c r="AO532" s="8">
        <f>IF($O532="Aktif",MAX(0,MIN($AE532,$AD532-SUM($AG532:AN532))),0)</f>
        <v>0</v>
      </c>
      <c r="AP532" s="8">
        <f>IF($O532="Aktif",MAX(0,MIN($AE532,$AD532-SUM($AG532:AO532))),0)</f>
        <v>0</v>
      </c>
      <c r="AQ532" s="8">
        <f>IF($O532="Aktif",MAX(0,MIN($AE532,$AD532-SUM($AG532:AP532))),0)</f>
        <v>0</v>
      </c>
      <c r="AR532" s="8">
        <f>IF($O532="Aktif",MAX(0,MIN($AE532,$AD532-SUM($AG532:AQ532))),0)</f>
        <v>0</v>
      </c>
      <c r="AS532" s="8">
        <f>IF($O532="Aktif",MAX(0,MIN($AE532,$AD532-SUM($AG532:AR532))),0)</f>
        <v>0</v>
      </c>
      <c r="AT532" s="8">
        <f>IF($O532="Aktif",MAX(0,MIN($AE532,$AD532-SUM($AG532:AS532))),0)</f>
        <v>0</v>
      </c>
      <c r="AU532" s="8">
        <f>IF($O532="Aktif",MAX(0,MIN($AE532,$AD532-SUM($AG532:AT532))),0)</f>
        <v>0</v>
      </c>
      <c r="AV532" s="8">
        <f>IF($O532="Aktif",MAX(0,MIN($AE532,$AD532-SUM($AG532:AU532))),0)</f>
        <v>0</v>
      </c>
      <c r="AW532" s="8">
        <f t="shared" si="61"/>
        <v>0</v>
      </c>
      <c r="AX532" s="8">
        <f t="shared" si="62"/>
        <v>0</v>
      </c>
    </row>
    <row r="533" spans="1:50" ht="15" customHeight="1" x14ac:dyDescent="0.35">
      <c r="A533" s="102">
        <v>527</v>
      </c>
      <c r="B533" s="102" t="s">
        <v>1326</v>
      </c>
      <c r="C533" s="103">
        <v>161</v>
      </c>
      <c r="D533" s="102" t="s">
        <v>185</v>
      </c>
      <c r="E533" s="102" t="s">
        <v>587</v>
      </c>
      <c r="F533" s="102" t="s">
        <v>1327</v>
      </c>
      <c r="G533" s="102" t="s">
        <v>1328</v>
      </c>
      <c r="H533" s="102" t="s">
        <v>1329</v>
      </c>
      <c r="I533" s="102" t="s">
        <v>63</v>
      </c>
      <c r="J533" s="102" t="s">
        <v>1767</v>
      </c>
      <c r="K533" s="102" t="s">
        <v>591</v>
      </c>
      <c r="L533" s="104">
        <v>42066</v>
      </c>
      <c r="M533" s="102" t="s">
        <v>1768</v>
      </c>
      <c r="N533" s="102" t="s">
        <v>1769</v>
      </c>
      <c r="O533" s="102" t="s">
        <v>383</v>
      </c>
      <c r="P533" s="103">
        <v>1</v>
      </c>
      <c r="Q533" s="105">
        <v>3095000</v>
      </c>
      <c r="R533" s="103">
        <v>48</v>
      </c>
      <c r="S533" s="105">
        <v>0</v>
      </c>
      <c r="T533" s="105">
        <v>3095000</v>
      </c>
      <c r="U533" s="105">
        <v>0</v>
      </c>
      <c r="V533" s="105">
        <v>0</v>
      </c>
      <c r="W533" s="105">
        <v>0</v>
      </c>
      <c r="X533" s="105">
        <v>0</v>
      </c>
      <c r="Y533" s="105">
        <v>0</v>
      </c>
      <c r="Z533" s="105">
        <v>0</v>
      </c>
      <c r="AA533" s="105">
        <v>0</v>
      </c>
      <c r="AB533" s="105">
        <v>0</v>
      </c>
      <c r="AC533" s="8">
        <f t="shared" si="56"/>
        <v>3095000</v>
      </c>
      <c r="AD533" s="8">
        <f t="shared" si="57"/>
        <v>0</v>
      </c>
      <c r="AE533" s="8">
        <f t="shared" si="58"/>
        <v>0</v>
      </c>
      <c r="AF533" s="106">
        <f t="shared" si="59"/>
        <v>0</v>
      </c>
      <c r="AG533" s="8">
        <f t="shared" si="60"/>
        <v>0</v>
      </c>
      <c r="AH533" s="8">
        <f>IF($O533="Aktif",MAX(0,MIN($AE533,$AD533-SUM($AG533:AG533))),0)</f>
        <v>0</v>
      </c>
      <c r="AI533" s="8">
        <f>IF($O533="Aktif",MAX(0,MIN($AE533,$AD533-SUM($AG533:AH533))),0)</f>
        <v>0</v>
      </c>
      <c r="AJ533" s="8">
        <f>IF($O533="Aktif",MAX(0,MIN($AE533,$AD533-SUM($AG533:AI533))),0)</f>
        <v>0</v>
      </c>
      <c r="AK533" s="8">
        <f>IF($O533="Aktif",MAX(0,MIN($AE533,$AD533-SUM($AG533:AJ533))),0)</f>
        <v>0</v>
      </c>
      <c r="AL533" s="8">
        <f>IF($O533="Aktif",MAX(0,MIN($AE533,$AD533-SUM($AG533:AK533))),0)</f>
        <v>0</v>
      </c>
      <c r="AM533" s="8">
        <f>IF($O533="Aktif",MAX(0,MIN($AE533,$AD533-SUM($AG533:AL533))),0)</f>
        <v>0</v>
      </c>
      <c r="AN533" s="8">
        <f>IF($O533="Aktif",MAX(0,MIN($AE533,$AD533-SUM($AG533:AM533))),0)</f>
        <v>0</v>
      </c>
      <c r="AO533" s="8">
        <f>IF($O533="Aktif",MAX(0,MIN($AE533,$AD533-SUM($AG533:AN533))),0)</f>
        <v>0</v>
      </c>
      <c r="AP533" s="8">
        <f>IF($O533="Aktif",MAX(0,MIN($AE533,$AD533-SUM($AG533:AO533))),0)</f>
        <v>0</v>
      </c>
      <c r="AQ533" s="8">
        <f>IF($O533="Aktif",MAX(0,MIN($AE533,$AD533-SUM($AG533:AP533))),0)</f>
        <v>0</v>
      </c>
      <c r="AR533" s="8">
        <f>IF($O533="Aktif",MAX(0,MIN($AE533,$AD533-SUM($AG533:AQ533))),0)</f>
        <v>0</v>
      </c>
      <c r="AS533" s="8">
        <f>IF($O533="Aktif",MAX(0,MIN($AE533,$AD533-SUM($AG533:AR533))),0)</f>
        <v>0</v>
      </c>
      <c r="AT533" s="8">
        <f>IF($O533="Aktif",MAX(0,MIN($AE533,$AD533-SUM($AG533:AS533))),0)</f>
        <v>0</v>
      </c>
      <c r="AU533" s="8">
        <f>IF($O533="Aktif",MAX(0,MIN($AE533,$AD533-SUM($AG533:AT533))),0)</f>
        <v>0</v>
      </c>
      <c r="AV533" s="8">
        <f>IF($O533="Aktif",MAX(0,MIN($AE533,$AD533-SUM($AG533:AU533))),0)</f>
        <v>0</v>
      </c>
      <c r="AW533" s="8">
        <f t="shared" si="61"/>
        <v>0</v>
      </c>
      <c r="AX533" s="8">
        <f t="shared" si="62"/>
        <v>0</v>
      </c>
    </row>
    <row r="534" spans="1:50" ht="15" customHeight="1" x14ac:dyDescent="0.35">
      <c r="A534" s="102">
        <v>528</v>
      </c>
      <c r="B534" s="102" t="s">
        <v>1326</v>
      </c>
      <c r="C534" s="103">
        <v>162</v>
      </c>
      <c r="D534" s="102" t="s">
        <v>185</v>
      </c>
      <c r="E534" s="102" t="s">
        <v>587</v>
      </c>
      <c r="F534" s="102" t="s">
        <v>1327</v>
      </c>
      <c r="G534" s="102" t="s">
        <v>1328</v>
      </c>
      <c r="H534" s="102" t="s">
        <v>1329</v>
      </c>
      <c r="I534" s="102" t="s">
        <v>63</v>
      </c>
      <c r="J534" s="102" t="s">
        <v>1770</v>
      </c>
      <c r="K534" s="102" t="s">
        <v>591</v>
      </c>
      <c r="L534" s="104">
        <v>42118</v>
      </c>
      <c r="M534" s="102" t="s">
        <v>1771</v>
      </c>
      <c r="N534" s="102" t="s">
        <v>1772</v>
      </c>
      <c r="O534" s="102" t="s">
        <v>383</v>
      </c>
      <c r="P534" s="103">
        <v>1</v>
      </c>
      <c r="Q534" s="105">
        <v>2800000</v>
      </c>
      <c r="R534" s="103">
        <v>48</v>
      </c>
      <c r="S534" s="105">
        <v>0</v>
      </c>
      <c r="T534" s="105">
        <v>2800000</v>
      </c>
      <c r="U534" s="105">
        <v>0</v>
      </c>
      <c r="V534" s="105">
        <v>0</v>
      </c>
      <c r="W534" s="105">
        <v>0</v>
      </c>
      <c r="X534" s="105">
        <v>0</v>
      </c>
      <c r="Y534" s="105">
        <v>0</v>
      </c>
      <c r="Z534" s="105">
        <v>0</v>
      </c>
      <c r="AA534" s="105">
        <v>0</v>
      </c>
      <c r="AB534" s="105">
        <v>0</v>
      </c>
      <c r="AC534" s="8">
        <f t="shared" si="56"/>
        <v>2800000</v>
      </c>
      <c r="AD534" s="8">
        <f t="shared" si="57"/>
        <v>0</v>
      </c>
      <c r="AE534" s="8">
        <f t="shared" si="58"/>
        <v>0</v>
      </c>
      <c r="AF534" s="106">
        <f t="shared" si="59"/>
        <v>0</v>
      </c>
      <c r="AG534" s="8">
        <f t="shared" si="60"/>
        <v>0</v>
      </c>
      <c r="AH534" s="8">
        <f>IF($O534="Aktif",MAX(0,MIN($AE534,$AD534-SUM($AG534:AG534))),0)</f>
        <v>0</v>
      </c>
      <c r="AI534" s="8">
        <f>IF($O534="Aktif",MAX(0,MIN($AE534,$AD534-SUM($AG534:AH534))),0)</f>
        <v>0</v>
      </c>
      <c r="AJ534" s="8">
        <f>IF($O534="Aktif",MAX(0,MIN($AE534,$AD534-SUM($AG534:AI534))),0)</f>
        <v>0</v>
      </c>
      <c r="AK534" s="8">
        <f>IF($O534="Aktif",MAX(0,MIN($AE534,$AD534-SUM($AG534:AJ534))),0)</f>
        <v>0</v>
      </c>
      <c r="AL534" s="8">
        <f>IF($O534="Aktif",MAX(0,MIN($AE534,$AD534-SUM($AG534:AK534))),0)</f>
        <v>0</v>
      </c>
      <c r="AM534" s="8">
        <f>IF($O534="Aktif",MAX(0,MIN($AE534,$AD534-SUM($AG534:AL534))),0)</f>
        <v>0</v>
      </c>
      <c r="AN534" s="8">
        <f>IF($O534="Aktif",MAX(0,MIN($AE534,$AD534-SUM($AG534:AM534))),0)</f>
        <v>0</v>
      </c>
      <c r="AO534" s="8">
        <f>IF($O534="Aktif",MAX(0,MIN($AE534,$AD534-SUM($AG534:AN534))),0)</f>
        <v>0</v>
      </c>
      <c r="AP534" s="8">
        <f>IF($O534="Aktif",MAX(0,MIN($AE534,$AD534-SUM($AG534:AO534))),0)</f>
        <v>0</v>
      </c>
      <c r="AQ534" s="8">
        <f>IF($O534="Aktif",MAX(0,MIN($AE534,$AD534-SUM($AG534:AP534))),0)</f>
        <v>0</v>
      </c>
      <c r="AR534" s="8">
        <f>IF($O534="Aktif",MAX(0,MIN($AE534,$AD534-SUM($AG534:AQ534))),0)</f>
        <v>0</v>
      </c>
      <c r="AS534" s="8">
        <f>IF($O534="Aktif",MAX(0,MIN($AE534,$AD534-SUM($AG534:AR534))),0)</f>
        <v>0</v>
      </c>
      <c r="AT534" s="8">
        <f>IF($O534="Aktif",MAX(0,MIN($AE534,$AD534-SUM($AG534:AS534))),0)</f>
        <v>0</v>
      </c>
      <c r="AU534" s="8">
        <f>IF($O534="Aktif",MAX(0,MIN($AE534,$AD534-SUM($AG534:AT534))),0)</f>
        <v>0</v>
      </c>
      <c r="AV534" s="8">
        <f>IF($O534="Aktif",MAX(0,MIN($AE534,$AD534-SUM($AG534:AU534))),0)</f>
        <v>0</v>
      </c>
      <c r="AW534" s="8">
        <f t="shared" si="61"/>
        <v>0</v>
      </c>
      <c r="AX534" s="8">
        <f t="shared" si="62"/>
        <v>0</v>
      </c>
    </row>
    <row r="535" spans="1:50" ht="15" customHeight="1" x14ac:dyDescent="0.35">
      <c r="A535" s="102">
        <v>529</v>
      </c>
      <c r="B535" s="102" t="s">
        <v>1326</v>
      </c>
      <c r="C535" s="103">
        <v>163</v>
      </c>
      <c r="D535" s="102" t="s">
        <v>185</v>
      </c>
      <c r="E535" s="102" t="s">
        <v>587</v>
      </c>
      <c r="F535" s="102" t="s">
        <v>1327</v>
      </c>
      <c r="G535" s="102" t="s">
        <v>1328</v>
      </c>
      <c r="H535" s="102" t="s">
        <v>1329</v>
      </c>
      <c r="I535" s="102" t="s">
        <v>63</v>
      </c>
      <c r="J535" s="102" t="s">
        <v>1773</v>
      </c>
      <c r="K535" s="102" t="s">
        <v>591</v>
      </c>
      <c r="L535" s="104">
        <v>42118</v>
      </c>
      <c r="M535" s="102" t="s">
        <v>1774</v>
      </c>
      <c r="N535" s="102" t="s">
        <v>1775</v>
      </c>
      <c r="O535" s="102" t="s">
        <v>383</v>
      </c>
      <c r="P535" s="103">
        <v>1</v>
      </c>
      <c r="Q535" s="105">
        <v>1000000</v>
      </c>
      <c r="R535" s="103">
        <v>48</v>
      </c>
      <c r="S535" s="105">
        <v>0</v>
      </c>
      <c r="T535" s="105">
        <v>1000000</v>
      </c>
      <c r="U535" s="105">
        <v>0</v>
      </c>
      <c r="V535" s="105">
        <v>0</v>
      </c>
      <c r="W535" s="105">
        <v>0</v>
      </c>
      <c r="X535" s="105">
        <v>0</v>
      </c>
      <c r="Y535" s="105">
        <v>0</v>
      </c>
      <c r="Z535" s="105">
        <v>0</v>
      </c>
      <c r="AA535" s="105">
        <v>0</v>
      </c>
      <c r="AB535" s="105">
        <v>0</v>
      </c>
      <c r="AC535" s="8">
        <f t="shared" si="56"/>
        <v>1000000</v>
      </c>
      <c r="AD535" s="8">
        <f t="shared" si="57"/>
        <v>0</v>
      </c>
      <c r="AE535" s="8">
        <f t="shared" si="58"/>
        <v>0</v>
      </c>
      <c r="AF535" s="106">
        <f t="shared" si="59"/>
        <v>0</v>
      </c>
      <c r="AG535" s="8">
        <f t="shared" si="60"/>
        <v>0</v>
      </c>
      <c r="AH535" s="8">
        <f>IF($O535="Aktif",MAX(0,MIN($AE535,$AD535-SUM($AG535:AG535))),0)</f>
        <v>0</v>
      </c>
      <c r="AI535" s="8">
        <f>IF($O535="Aktif",MAX(0,MIN($AE535,$AD535-SUM($AG535:AH535))),0)</f>
        <v>0</v>
      </c>
      <c r="AJ535" s="8">
        <f>IF($O535="Aktif",MAX(0,MIN($AE535,$AD535-SUM($AG535:AI535))),0)</f>
        <v>0</v>
      </c>
      <c r="AK535" s="8">
        <f>IF($O535="Aktif",MAX(0,MIN($AE535,$AD535-SUM($AG535:AJ535))),0)</f>
        <v>0</v>
      </c>
      <c r="AL535" s="8">
        <f>IF($O535="Aktif",MAX(0,MIN($AE535,$AD535-SUM($AG535:AK535))),0)</f>
        <v>0</v>
      </c>
      <c r="AM535" s="8">
        <f>IF($O535="Aktif",MAX(0,MIN($AE535,$AD535-SUM($AG535:AL535))),0)</f>
        <v>0</v>
      </c>
      <c r="AN535" s="8">
        <f>IF($O535="Aktif",MAX(0,MIN($AE535,$AD535-SUM($AG535:AM535))),0)</f>
        <v>0</v>
      </c>
      <c r="AO535" s="8">
        <f>IF($O535="Aktif",MAX(0,MIN($AE535,$AD535-SUM($AG535:AN535))),0)</f>
        <v>0</v>
      </c>
      <c r="AP535" s="8">
        <f>IF($O535="Aktif",MAX(0,MIN($AE535,$AD535-SUM($AG535:AO535))),0)</f>
        <v>0</v>
      </c>
      <c r="AQ535" s="8">
        <f>IF($O535="Aktif",MAX(0,MIN($AE535,$AD535-SUM($AG535:AP535))),0)</f>
        <v>0</v>
      </c>
      <c r="AR535" s="8">
        <f>IF($O535="Aktif",MAX(0,MIN($AE535,$AD535-SUM($AG535:AQ535))),0)</f>
        <v>0</v>
      </c>
      <c r="AS535" s="8">
        <f>IF($O535="Aktif",MAX(0,MIN($AE535,$AD535-SUM($AG535:AR535))),0)</f>
        <v>0</v>
      </c>
      <c r="AT535" s="8">
        <f>IF($O535="Aktif",MAX(0,MIN($AE535,$AD535-SUM($AG535:AS535))),0)</f>
        <v>0</v>
      </c>
      <c r="AU535" s="8">
        <f>IF($O535="Aktif",MAX(0,MIN($AE535,$AD535-SUM($AG535:AT535))),0)</f>
        <v>0</v>
      </c>
      <c r="AV535" s="8">
        <f>IF($O535="Aktif",MAX(0,MIN($AE535,$AD535-SUM($AG535:AU535))),0)</f>
        <v>0</v>
      </c>
      <c r="AW535" s="8">
        <f t="shared" si="61"/>
        <v>0</v>
      </c>
      <c r="AX535" s="8">
        <f t="shared" si="62"/>
        <v>0</v>
      </c>
    </row>
    <row r="536" spans="1:50" ht="15" customHeight="1" x14ac:dyDescent="0.35">
      <c r="A536" s="102">
        <v>530</v>
      </c>
      <c r="B536" s="102" t="s">
        <v>1326</v>
      </c>
      <c r="C536" s="103">
        <v>164</v>
      </c>
      <c r="D536" s="102" t="s">
        <v>185</v>
      </c>
      <c r="E536" s="102" t="s">
        <v>587</v>
      </c>
      <c r="F536" s="102" t="s">
        <v>1327</v>
      </c>
      <c r="G536" s="102" t="s">
        <v>1328</v>
      </c>
      <c r="H536" s="102" t="s">
        <v>1329</v>
      </c>
      <c r="I536" s="102" t="s">
        <v>63</v>
      </c>
      <c r="J536" s="102" t="s">
        <v>1776</v>
      </c>
      <c r="K536" s="102" t="s">
        <v>591</v>
      </c>
      <c r="L536" s="104">
        <v>42118</v>
      </c>
      <c r="M536" s="102" t="s">
        <v>1777</v>
      </c>
      <c r="N536" s="102" t="s">
        <v>1778</v>
      </c>
      <c r="O536" s="102" t="s">
        <v>383</v>
      </c>
      <c r="P536" s="103">
        <v>1</v>
      </c>
      <c r="Q536" s="105">
        <v>7688800</v>
      </c>
      <c r="R536" s="103">
        <v>48</v>
      </c>
      <c r="S536" s="105">
        <v>0</v>
      </c>
      <c r="T536" s="105">
        <v>7688800</v>
      </c>
      <c r="U536" s="105">
        <v>0</v>
      </c>
      <c r="V536" s="105">
        <v>0</v>
      </c>
      <c r="W536" s="105">
        <v>0</v>
      </c>
      <c r="X536" s="105">
        <v>0</v>
      </c>
      <c r="Y536" s="105">
        <v>0</v>
      </c>
      <c r="Z536" s="105">
        <v>0</v>
      </c>
      <c r="AA536" s="105">
        <v>0</v>
      </c>
      <c r="AB536" s="105">
        <v>0</v>
      </c>
      <c r="AC536" s="8">
        <f t="shared" si="56"/>
        <v>7688800</v>
      </c>
      <c r="AD536" s="8">
        <f t="shared" si="57"/>
        <v>0</v>
      </c>
      <c r="AE536" s="8">
        <f t="shared" si="58"/>
        <v>0</v>
      </c>
      <c r="AF536" s="106">
        <f t="shared" si="59"/>
        <v>0</v>
      </c>
      <c r="AG536" s="8">
        <f t="shared" si="60"/>
        <v>0</v>
      </c>
      <c r="AH536" s="8">
        <f>IF($O536="Aktif",MAX(0,MIN($AE536,$AD536-SUM($AG536:AG536))),0)</f>
        <v>0</v>
      </c>
      <c r="AI536" s="8">
        <f>IF($O536="Aktif",MAX(0,MIN($AE536,$AD536-SUM($AG536:AH536))),0)</f>
        <v>0</v>
      </c>
      <c r="AJ536" s="8">
        <f>IF($O536="Aktif",MAX(0,MIN($AE536,$AD536-SUM($AG536:AI536))),0)</f>
        <v>0</v>
      </c>
      <c r="AK536" s="8">
        <f>IF($O536="Aktif",MAX(0,MIN($AE536,$AD536-SUM($AG536:AJ536))),0)</f>
        <v>0</v>
      </c>
      <c r="AL536" s="8">
        <f>IF($O536="Aktif",MAX(0,MIN($AE536,$AD536-SUM($AG536:AK536))),0)</f>
        <v>0</v>
      </c>
      <c r="AM536" s="8">
        <f>IF($O536="Aktif",MAX(0,MIN($AE536,$AD536-SUM($AG536:AL536))),0)</f>
        <v>0</v>
      </c>
      <c r="AN536" s="8">
        <f>IF($O536="Aktif",MAX(0,MIN($AE536,$AD536-SUM($AG536:AM536))),0)</f>
        <v>0</v>
      </c>
      <c r="AO536" s="8">
        <f>IF($O536="Aktif",MAX(0,MIN($AE536,$AD536-SUM($AG536:AN536))),0)</f>
        <v>0</v>
      </c>
      <c r="AP536" s="8">
        <f>IF($O536="Aktif",MAX(0,MIN($AE536,$AD536-SUM($AG536:AO536))),0)</f>
        <v>0</v>
      </c>
      <c r="AQ536" s="8">
        <f>IF($O536="Aktif",MAX(0,MIN($AE536,$AD536-SUM($AG536:AP536))),0)</f>
        <v>0</v>
      </c>
      <c r="AR536" s="8">
        <f>IF($O536="Aktif",MAX(0,MIN($AE536,$AD536-SUM($AG536:AQ536))),0)</f>
        <v>0</v>
      </c>
      <c r="AS536" s="8">
        <f>IF($O536="Aktif",MAX(0,MIN($AE536,$AD536-SUM($AG536:AR536))),0)</f>
        <v>0</v>
      </c>
      <c r="AT536" s="8">
        <f>IF($O536="Aktif",MAX(0,MIN($AE536,$AD536-SUM($AG536:AS536))),0)</f>
        <v>0</v>
      </c>
      <c r="AU536" s="8">
        <f>IF($O536="Aktif",MAX(0,MIN($AE536,$AD536-SUM($AG536:AT536))),0)</f>
        <v>0</v>
      </c>
      <c r="AV536" s="8">
        <f>IF($O536="Aktif",MAX(0,MIN($AE536,$AD536-SUM($AG536:AU536))),0)</f>
        <v>0</v>
      </c>
      <c r="AW536" s="8">
        <f t="shared" si="61"/>
        <v>0</v>
      </c>
      <c r="AX536" s="8">
        <f t="shared" si="62"/>
        <v>0</v>
      </c>
    </row>
    <row r="537" spans="1:50" ht="15" customHeight="1" x14ac:dyDescent="0.35">
      <c r="A537" s="102">
        <v>531</v>
      </c>
      <c r="B537" s="102" t="s">
        <v>1326</v>
      </c>
      <c r="C537" s="103">
        <v>165</v>
      </c>
      <c r="D537" s="102" t="s">
        <v>185</v>
      </c>
      <c r="E537" s="102" t="s">
        <v>587</v>
      </c>
      <c r="F537" s="102" t="s">
        <v>1327</v>
      </c>
      <c r="G537" s="102" t="s">
        <v>1328</v>
      </c>
      <c r="H537" s="102" t="s">
        <v>1329</v>
      </c>
      <c r="I537" s="102" t="s">
        <v>63</v>
      </c>
      <c r="J537" s="102" t="s">
        <v>1779</v>
      </c>
      <c r="K537" s="102" t="s">
        <v>591</v>
      </c>
      <c r="L537" s="104">
        <v>42216</v>
      </c>
      <c r="M537" s="102" t="s">
        <v>1780</v>
      </c>
      <c r="N537" s="102" t="s">
        <v>1781</v>
      </c>
      <c r="O537" s="102" t="s">
        <v>383</v>
      </c>
      <c r="P537" s="103">
        <v>1</v>
      </c>
      <c r="Q537" s="105">
        <v>1370000</v>
      </c>
      <c r="R537" s="103">
        <v>48</v>
      </c>
      <c r="S537" s="105">
        <v>0</v>
      </c>
      <c r="T537" s="105">
        <v>1370000</v>
      </c>
      <c r="U537" s="105">
        <v>0</v>
      </c>
      <c r="V537" s="105">
        <v>0</v>
      </c>
      <c r="W537" s="105">
        <v>0</v>
      </c>
      <c r="X537" s="105">
        <v>0</v>
      </c>
      <c r="Y537" s="105">
        <v>0</v>
      </c>
      <c r="Z537" s="105">
        <v>0</v>
      </c>
      <c r="AA537" s="105">
        <v>0</v>
      </c>
      <c r="AB537" s="105">
        <v>0</v>
      </c>
      <c r="AC537" s="8">
        <f t="shared" si="56"/>
        <v>1370000</v>
      </c>
      <c r="AD537" s="8">
        <f t="shared" si="57"/>
        <v>0</v>
      </c>
      <c r="AE537" s="8">
        <f t="shared" si="58"/>
        <v>0</v>
      </c>
      <c r="AF537" s="106">
        <f t="shared" si="59"/>
        <v>0</v>
      </c>
      <c r="AG537" s="8">
        <f t="shared" si="60"/>
        <v>0</v>
      </c>
      <c r="AH537" s="8">
        <f>IF($O537="Aktif",MAX(0,MIN($AE537,$AD537-SUM($AG537:AG537))),0)</f>
        <v>0</v>
      </c>
      <c r="AI537" s="8">
        <f>IF($O537="Aktif",MAX(0,MIN($AE537,$AD537-SUM($AG537:AH537))),0)</f>
        <v>0</v>
      </c>
      <c r="AJ537" s="8">
        <f>IF($O537="Aktif",MAX(0,MIN($AE537,$AD537-SUM($AG537:AI537))),0)</f>
        <v>0</v>
      </c>
      <c r="AK537" s="8">
        <f>IF($O537="Aktif",MAX(0,MIN($AE537,$AD537-SUM($AG537:AJ537))),0)</f>
        <v>0</v>
      </c>
      <c r="AL537" s="8">
        <f>IF($O537="Aktif",MAX(0,MIN($AE537,$AD537-SUM($AG537:AK537))),0)</f>
        <v>0</v>
      </c>
      <c r="AM537" s="8">
        <f>IF($O537="Aktif",MAX(0,MIN($AE537,$AD537-SUM($AG537:AL537))),0)</f>
        <v>0</v>
      </c>
      <c r="AN537" s="8">
        <f>IF($O537="Aktif",MAX(0,MIN($AE537,$AD537-SUM($AG537:AM537))),0)</f>
        <v>0</v>
      </c>
      <c r="AO537" s="8">
        <f>IF($O537="Aktif",MAX(0,MIN($AE537,$AD537-SUM($AG537:AN537))),0)</f>
        <v>0</v>
      </c>
      <c r="AP537" s="8">
        <f>IF($O537="Aktif",MAX(0,MIN($AE537,$AD537-SUM($AG537:AO537))),0)</f>
        <v>0</v>
      </c>
      <c r="AQ537" s="8">
        <f>IF($O537="Aktif",MAX(0,MIN($AE537,$AD537-SUM($AG537:AP537))),0)</f>
        <v>0</v>
      </c>
      <c r="AR537" s="8">
        <f>IF($O537="Aktif",MAX(0,MIN($AE537,$AD537-SUM($AG537:AQ537))),0)</f>
        <v>0</v>
      </c>
      <c r="AS537" s="8">
        <f>IF($O537="Aktif",MAX(0,MIN($AE537,$AD537-SUM($AG537:AR537))),0)</f>
        <v>0</v>
      </c>
      <c r="AT537" s="8">
        <f>IF($O537="Aktif",MAX(0,MIN($AE537,$AD537-SUM($AG537:AS537))),0)</f>
        <v>0</v>
      </c>
      <c r="AU537" s="8">
        <f>IF($O537="Aktif",MAX(0,MIN($AE537,$AD537-SUM($AG537:AT537))),0)</f>
        <v>0</v>
      </c>
      <c r="AV537" s="8">
        <f>IF($O537="Aktif",MAX(0,MIN($AE537,$AD537-SUM($AG537:AU537))),0)</f>
        <v>0</v>
      </c>
      <c r="AW537" s="8">
        <f t="shared" si="61"/>
        <v>0</v>
      </c>
      <c r="AX537" s="8">
        <f t="shared" si="62"/>
        <v>0</v>
      </c>
    </row>
    <row r="538" spans="1:50" ht="15" customHeight="1" x14ac:dyDescent="0.35">
      <c r="A538" s="102">
        <v>532</v>
      </c>
      <c r="B538" s="102" t="s">
        <v>1326</v>
      </c>
      <c r="C538" s="103">
        <v>166</v>
      </c>
      <c r="D538" s="102" t="s">
        <v>185</v>
      </c>
      <c r="E538" s="102" t="s">
        <v>587</v>
      </c>
      <c r="F538" s="102" t="s">
        <v>1327</v>
      </c>
      <c r="G538" s="102" t="s">
        <v>1328</v>
      </c>
      <c r="H538" s="102" t="s">
        <v>1329</v>
      </c>
      <c r="I538" s="102" t="s">
        <v>63</v>
      </c>
      <c r="J538" s="102" t="s">
        <v>1782</v>
      </c>
      <c r="K538" s="102" t="s">
        <v>591</v>
      </c>
      <c r="L538" s="104">
        <v>42265</v>
      </c>
      <c r="M538" s="102" t="s">
        <v>1783</v>
      </c>
      <c r="N538" s="102" t="s">
        <v>1784</v>
      </c>
      <c r="O538" s="102" t="s">
        <v>383</v>
      </c>
      <c r="P538" s="103">
        <v>1</v>
      </c>
      <c r="Q538" s="105">
        <v>9000000</v>
      </c>
      <c r="R538" s="103">
        <v>48</v>
      </c>
      <c r="S538" s="105">
        <v>0</v>
      </c>
      <c r="T538" s="105">
        <v>9000000</v>
      </c>
      <c r="U538" s="105">
        <v>0</v>
      </c>
      <c r="V538" s="105">
        <v>0</v>
      </c>
      <c r="W538" s="105">
        <v>0</v>
      </c>
      <c r="X538" s="105">
        <v>0</v>
      </c>
      <c r="Y538" s="105">
        <v>0</v>
      </c>
      <c r="Z538" s="105">
        <v>0</v>
      </c>
      <c r="AA538" s="105">
        <v>0</v>
      </c>
      <c r="AB538" s="105">
        <v>0</v>
      </c>
      <c r="AC538" s="8">
        <f t="shared" si="56"/>
        <v>9000000</v>
      </c>
      <c r="AD538" s="8">
        <f t="shared" si="57"/>
        <v>0</v>
      </c>
      <c r="AE538" s="8">
        <f t="shared" si="58"/>
        <v>0</v>
      </c>
      <c r="AF538" s="106">
        <f t="shared" si="59"/>
        <v>0</v>
      </c>
      <c r="AG538" s="8">
        <f t="shared" si="60"/>
        <v>0</v>
      </c>
      <c r="AH538" s="8">
        <f>IF($O538="Aktif",MAX(0,MIN($AE538,$AD538-SUM($AG538:AG538))),0)</f>
        <v>0</v>
      </c>
      <c r="AI538" s="8">
        <f>IF($O538="Aktif",MAX(0,MIN($AE538,$AD538-SUM($AG538:AH538))),0)</f>
        <v>0</v>
      </c>
      <c r="AJ538" s="8">
        <f>IF($O538="Aktif",MAX(0,MIN($AE538,$AD538-SUM($AG538:AI538))),0)</f>
        <v>0</v>
      </c>
      <c r="AK538" s="8">
        <f>IF($O538="Aktif",MAX(0,MIN($AE538,$AD538-SUM($AG538:AJ538))),0)</f>
        <v>0</v>
      </c>
      <c r="AL538" s="8">
        <f>IF($O538="Aktif",MAX(0,MIN($AE538,$AD538-SUM($AG538:AK538))),0)</f>
        <v>0</v>
      </c>
      <c r="AM538" s="8">
        <f>IF($O538="Aktif",MAX(0,MIN($AE538,$AD538-SUM($AG538:AL538))),0)</f>
        <v>0</v>
      </c>
      <c r="AN538" s="8">
        <f>IF($O538="Aktif",MAX(0,MIN($AE538,$AD538-SUM($AG538:AM538))),0)</f>
        <v>0</v>
      </c>
      <c r="AO538" s="8">
        <f>IF($O538="Aktif",MAX(0,MIN($AE538,$AD538-SUM($AG538:AN538))),0)</f>
        <v>0</v>
      </c>
      <c r="AP538" s="8">
        <f>IF($O538="Aktif",MAX(0,MIN($AE538,$AD538-SUM($AG538:AO538))),0)</f>
        <v>0</v>
      </c>
      <c r="AQ538" s="8">
        <f>IF($O538="Aktif",MAX(0,MIN($AE538,$AD538-SUM($AG538:AP538))),0)</f>
        <v>0</v>
      </c>
      <c r="AR538" s="8">
        <f>IF($O538="Aktif",MAX(0,MIN($AE538,$AD538-SUM($AG538:AQ538))),0)</f>
        <v>0</v>
      </c>
      <c r="AS538" s="8">
        <f>IF($O538="Aktif",MAX(0,MIN($AE538,$AD538-SUM($AG538:AR538))),0)</f>
        <v>0</v>
      </c>
      <c r="AT538" s="8">
        <f>IF($O538="Aktif",MAX(0,MIN($AE538,$AD538-SUM($AG538:AS538))),0)</f>
        <v>0</v>
      </c>
      <c r="AU538" s="8">
        <f>IF($O538="Aktif",MAX(0,MIN($AE538,$AD538-SUM($AG538:AT538))),0)</f>
        <v>0</v>
      </c>
      <c r="AV538" s="8">
        <f>IF($O538="Aktif",MAX(0,MIN($AE538,$AD538-SUM($AG538:AU538))),0)</f>
        <v>0</v>
      </c>
      <c r="AW538" s="8">
        <f t="shared" si="61"/>
        <v>0</v>
      </c>
      <c r="AX538" s="8">
        <f t="shared" si="62"/>
        <v>0</v>
      </c>
    </row>
    <row r="539" spans="1:50" ht="15" customHeight="1" x14ac:dyDescent="0.35">
      <c r="A539" s="102">
        <v>533</v>
      </c>
      <c r="B539" s="102" t="s">
        <v>1326</v>
      </c>
      <c r="C539" s="103">
        <v>167</v>
      </c>
      <c r="D539" s="102" t="s">
        <v>185</v>
      </c>
      <c r="E539" s="102" t="s">
        <v>587</v>
      </c>
      <c r="F539" s="102" t="s">
        <v>1327</v>
      </c>
      <c r="G539" s="102" t="s">
        <v>1328</v>
      </c>
      <c r="H539" s="102" t="s">
        <v>1329</v>
      </c>
      <c r="I539" s="102" t="s">
        <v>63</v>
      </c>
      <c r="J539" s="102" t="s">
        <v>1785</v>
      </c>
      <c r="K539" s="102" t="s">
        <v>591</v>
      </c>
      <c r="L539" s="104">
        <v>42279</v>
      </c>
      <c r="M539" s="102" t="s">
        <v>1786</v>
      </c>
      <c r="N539" s="102" t="s">
        <v>1787</v>
      </c>
      <c r="O539" s="102" t="s">
        <v>383</v>
      </c>
      <c r="P539" s="103">
        <v>1</v>
      </c>
      <c r="Q539" s="105">
        <v>3625000</v>
      </c>
      <c r="R539" s="103">
        <v>48</v>
      </c>
      <c r="S539" s="105">
        <v>0</v>
      </c>
      <c r="T539" s="105">
        <v>3625000</v>
      </c>
      <c r="U539" s="105">
        <v>0</v>
      </c>
      <c r="V539" s="105">
        <v>0</v>
      </c>
      <c r="W539" s="105">
        <v>0</v>
      </c>
      <c r="X539" s="105">
        <v>0</v>
      </c>
      <c r="Y539" s="105">
        <v>0</v>
      </c>
      <c r="Z539" s="105">
        <v>0</v>
      </c>
      <c r="AA539" s="105">
        <v>0</v>
      </c>
      <c r="AB539" s="105">
        <v>0</v>
      </c>
      <c r="AC539" s="8">
        <f t="shared" si="56"/>
        <v>3625000</v>
      </c>
      <c r="AD539" s="8">
        <f t="shared" si="57"/>
        <v>0</v>
      </c>
      <c r="AE539" s="8">
        <f t="shared" si="58"/>
        <v>0</v>
      </c>
      <c r="AF539" s="106">
        <f t="shared" si="59"/>
        <v>0</v>
      </c>
      <c r="AG539" s="8">
        <f t="shared" si="60"/>
        <v>0</v>
      </c>
      <c r="AH539" s="8">
        <f>IF($O539="Aktif",MAX(0,MIN($AE539,$AD539-SUM($AG539:AG539))),0)</f>
        <v>0</v>
      </c>
      <c r="AI539" s="8">
        <f>IF($O539="Aktif",MAX(0,MIN($AE539,$AD539-SUM($AG539:AH539))),0)</f>
        <v>0</v>
      </c>
      <c r="AJ539" s="8">
        <f>IF($O539="Aktif",MAX(0,MIN($AE539,$AD539-SUM($AG539:AI539))),0)</f>
        <v>0</v>
      </c>
      <c r="AK539" s="8">
        <f>IF($O539="Aktif",MAX(0,MIN($AE539,$AD539-SUM($AG539:AJ539))),0)</f>
        <v>0</v>
      </c>
      <c r="AL539" s="8">
        <f>IF($O539="Aktif",MAX(0,MIN($AE539,$AD539-SUM($AG539:AK539))),0)</f>
        <v>0</v>
      </c>
      <c r="AM539" s="8">
        <f>IF($O539="Aktif",MAX(0,MIN($AE539,$AD539-SUM($AG539:AL539))),0)</f>
        <v>0</v>
      </c>
      <c r="AN539" s="8">
        <f>IF($O539="Aktif",MAX(0,MIN($AE539,$AD539-SUM($AG539:AM539))),0)</f>
        <v>0</v>
      </c>
      <c r="AO539" s="8">
        <f>IF($O539="Aktif",MAX(0,MIN($AE539,$AD539-SUM($AG539:AN539))),0)</f>
        <v>0</v>
      </c>
      <c r="AP539" s="8">
        <f>IF($O539="Aktif",MAX(0,MIN($AE539,$AD539-SUM($AG539:AO539))),0)</f>
        <v>0</v>
      </c>
      <c r="AQ539" s="8">
        <f>IF($O539="Aktif",MAX(0,MIN($AE539,$AD539-SUM($AG539:AP539))),0)</f>
        <v>0</v>
      </c>
      <c r="AR539" s="8">
        <f>IF($O539="Aktif",MAX(0,MIN($AE539,$AD539-SUM($AG539:AQ539))),0)</f>
        <v>0</v>
      </c>
      <c r="AS539" s="8">
        <f>IF($O539="Aktif",MAX(0,MIN($AE539,$AD539-SUM($AG539:AR539))),0)</f>
        <v>0</v>
      </c>
      <c r="AT539" s="8">
        <f>IF($O539="Aktif",MAX(0,MIN($AE539,$AD539-SUM($AG539:AS539))),0)</f>
        <v>0</v>
      </c>
      <c r="AU539" s="8">
        <f>IF($O539="Aktif",MAX(0,MIN($AE539,$AD539-SUM($AG539:AT539))),0)</f>
        <v>0</v>
      </c>
      <c r="AV539" s="8">
        <f>IF($O539="Aktif",MAX(0,MIN($AE539,$AD539-SUM($AG539:AU539))),0)</f>
        <v>0</v>
      </c>
      <c r="AW539" s="8">
        <f t="shared" si="61"/>
        <v>0</v>
      </c>
      <c r="AX539" s="8">
        <f t="shared" si="62"/>
        <v>0</v>
      </c>
    </row>
    <row r="540" spans="1:50" ht="15" customHeight="1" x14ac:dyDescent="0.35">
      <c r="A540" s="102">
        <v>534</v>
      </c>
      <c r="B540" s="102" t="s">
        <v>1326</v>
      </c>
      <c r="C540" s="103">
        <v>168</v>
      </c>
      <c r="D540" s="102" t="s">
        <v>185</v>
      </c>
      <c r="E540" s="102" t="s">
        <v>587</v>
      </c>
      <c r="F540" s="102" t="s">
        <v>1327</v>
      </c>
      <c r="G540" s="102" t="s">
        <v>1328</v>
      </c>
      <c r="H540" s="102" t="s">
        <v>1329</v>
      </c>
      <c r="I540" s="102" t="s">
        <v>63</v>
      </c>
      <c r="J540" s="102" t="s">
        <v>1788</v>
      </c>
      <c r="K540" s="102" t="s">
        <v>591</v>
      </c>
      <c r="L540" s="104">
        <v>42279</v>
      </c>
      <c r="M540" s="102" t="s">
        <v>1789</v>
      </c>
      <c r="N540" s="102" t="s">
        <v>1790</v>
      </c>
      <c r="O540" s="102" t="s">
        <v>383</v>
      </c>
      <c r="P540" s="103">
        <v>1</v>
      </c>
      <c r="Q540" s="105">
        <v>21810000</v>
      </c>
      <c r="R540" s="103">
        <v>48</v>
      </c>
      <c r="S540" s="105">
        <v>0</v>
      </c>
      <c r="T540" s="105">
        <v>21810000</v>
      </c>
      <c r="U540" s="105">
        <v>0</v>
      </c>
      <c r="V540" s="105">
        <v>0</v>
      </c>
      <c r="W540" s="105">
        <v>0</v>
      </c>
      <c r="X540" s="105">
        <v>0</v>
      </c>
      <c r="Y540" s="105">
        <v>0</v>
      </c>
      <c r="Z540" s="105">
        <v>0</v>
      </c>
      <c r="AA540" s="105">
        <v>0</v>
      </c>
      <c r="AB540" s="105">
        <v>0</v>
      </c>
      <c r="AC540" s="8">
        <f t="shared" si="56"/>
        <v>21810000</v>
      </c>
      <c r="AD540" s="8">
        <f t="shared" si="57"/>
        <v>0</v>
      </c>
      <c r="AE540" s="8">
        <f t="shared" si="58"/>
        <v>0</v>
      </c>
      <c r="AF540" s="106">
        <f t="shared" si="59"/>
        <v>0</v>
      </c>
      <c r="AG540" s="8">
        <f t="shared" si="60"/>
        <v>0</v>
      </c>
      <c r="AH540" s="8">
        <f>IF($O540="Aktif",MAX(0,MIN($AE540,$AD540-SUM($AG540:AG540))),0)</f>
        <v>0</v>
      </c>
      <c r="AI540" s="8">
        <f>IF($O540="Aktif",MAX(0,MIN($AE540,$AD540-SUM($AG540:AH540))),0)</f>
        <v>0</v>
      </c>
      <c r="AJ540" s="8">
        <f>IF($O540="Aktif",MAX(0,MIN($AE540,$AD540-SUM($AG540:AI540))),0)</f>
        <v>0</v>
      </c>
      <c r="AK540" s="8">
        <f>IF($O540="Aktif",MAX(0,MIN($AE540,$AD540-SUM($AG540:AJ540))),0)</f>
        <v>0</v>
      </c>
      <c r="AL540" s="8">
        <f>IF($O540="Aktif",MAX(0,MIN($AE540,$AD540-SUM($AG540:AK540))),0)</f>
        <v>0</v>
      </c>
      <c r="AM540" s="8">
        <f>IF($O540="Aktif",MAX(0,MIN($AE540,$AD540-SUM($AG540:AL540))),0)</f>
        <v>0</v>
      </c>
      <c r="AN540" s="8">
        <f>IF($O540="Aktif",MAX(0,MIN($AE540,$AD540-SUM($AG540:AM540))),0)</f>
        <v>0</v>
      </c>
      <c r="AO540" s="8">
        <f>IF($O540="Aktif",MAX(0,MIN($AE540,$AD540-SUM($AG540:AN540))),0)</f>
        <v>0</v>
      </c>
      <c r="AP540" s="8">
        <f>IF($O540="Aktif",MAX(0,MIN($AE540,$AD540-SUM($AG540:AO540))),0)</f>
        <v>0</v>
      </c>
      <c r="AQ540" s="8">
        <f>IF($O540="Aktif",MAX(0,MIN($AE540,$AD540-SUM($AG540:AP540))),0)</f>
        <v>0</v>
      </c>
      <c r="AR540" s="8">
        <f>IF($O540="Aktif",MAX(0,MIN($AE540,$AD540-SUM($AG540:AQ540))),0)</f>
        <v>0</v>
      </c>
      <c r="AS540" s="8">
        <f>IF($O540="Aktif",MAX(0,MIN($AE540,$AD540-SUM($AG540:AR540))),0)</f>
        <v>0</v>
      </c>
      <c r="AT540" s="8">
        <f>IF($O540="Aktif",MAX(0,MIN($AE540,$AD540-SUM($AG540:AS540))),0)</f>
        <v>0</v>
      </c>
      <c r="AU540" s="8">
        <f>IF($O540="Aktif",MAX(0,MIN($AE540,$AD540-SUM($AG540:AT540))),0)</f>
        <v>0</v>
      </c>
      <c r="AV540" s="8">
        <f>IF($O540="Aktif",MAX(0,MIN($AE540,$AD540-SUM($AG540:AU540))),0)</f>
        <v>0</v>
      </c>
      <c r="AW540" s="8">
        <f t="shared" si="61"/>
        <v>0</v>
      </c>
      <c r="AX540" s="8">
        <f t="shared" si="62"/>
        <v>0</v>
      </c>
    </row>
    <row r="541" spans="1:50" ht="15" customHeight="1" x14ac:dyDescent="0.35">
      <c r="A541" s="102">
        <v>535</v>
      </c>
      <c r="B541" s="102" t="s">
        <v>1326</v>
      </c>
      <c r="C541" s="103">
        <v>169</v>
      </c>
      <c r="D541" s="102" t="s">
        <v>185</v>
      </c>
      <c r="E541" s="102" t="s">
        <v>587</v>
      </c>
      <c r="F541" s="102" t="s">
        <v>1327</v>
      </c>
      <c r="G541" s="102" t="s">
        <v>1328</v>
      </c>
      <c r="H541" s="102" t="s">
        <v>1329</v>
      </c>
      <c r="I541" s="102" t="s">
        <v>63</v>
      </c>
      <c r="J541" s="102" t="s">
        <v>1791</v>
      </c>
      <c r="K541" s="102" t="s">
        <v>591</v>
      </c>
      <c r="L541" s="104">
        <v>42283</v>
      </c>
      <c r="M541" s="102" t="s">
        <v>1792</v>
      </c>
      <c r="N541" s="102" t="s">
        <v>1793</v>
      </c>
      <c r="O541" s="102" t="s">
        <v>383</v>
      </c>
      <c r="P541" s="103">
        <v>1</v>
      </c>
      <c r="Q541" s="105">
        <v>1175000</v>
      </c>
      <c r="R541" s="103">
        <v>48</v>
      </c>
      <c r="S541" s="105">
        <v>0</v>
      </c>
      <c r="T541" s="105">
        <v>1175000</v>
      </c>
      <c r="U541" s="105">
        <v>0</v>
      </c>
      <c r="V541" s="105">
        <v>0</v>
      </c>
      <c r="W541" s="105">
        <v>0</v>
      </c>
      <c r="X541" s="105">
        <v>0</v>
      </c>
      <c r="Y541" s="105">
        <v>0</v>
      </c>
      <c r="Z541" s="105">
        <v>0</v>
      </c>
      <c r="AA541" s="105">
        <v>0</v>
      </c>
      <c r="AB541" s="105">
        <v>0</v>
      </c>
      <c r="AC541" s="8">
        <f t="shared" si="56"/>
        <v>1175000</v>
      </c>
      <c r="AD541" s="8">
        <f t="shared" si="57"/>
        <v>0</v>
      </c>
      <c r="AE541" s="8">
        <f t="shared" si="58"/>
        <v>0</v>
      </c>
      <c r="AF541" s="106">
        <f t="shared" si="59"/>
        <v>0</v>
      </c>
      <c r="AG541" s="8">
        <f t="shared" si="60"/>
        <v>0</v>
      </c>
      <c r="AH541" s="8">
        <f>IF($O541="Aktif",MAX(0,MIN($AE541,$AD541-SUM($AG541:AG541))),0)</f>
        <v>0</v>
      </c>
      <c r="AI541" s="8">
        <f>IF($O541="Aktif",MAX(0,MIN($AE541,$AD541-SUM($AG541:AH541))),0)</f>
        <v>0</v>
      </c>
      <c r="AJ541" s="8">
        <f>IF($O541="Aktif",MAX(0,MIN($AE541,$AD541-SUM($AG541:AI541))),0)</f>
        <v>0</v>
      </c>
      <c r="AK541" s="8">
        <f>IF($O541="Aktif",MAX(0,MIN($AE541,$AD541-SUM($AG541:AJ541))),0)</f>
        <v>0</v>
      </c>
      <c r="AL541" s="8">
        <f>IF($O541="Aktif",MAX(0,MIN($AE541,$AD541-SUM($AG541:AK541))),0)</f>
        <v>0</v>
      </c>
      <c r="AM541" s="8">
        <f>IF($O541="Aktif",MAX(0,MIN($AE541,$AD541-SUM($AG541:AL541))),0)</f>
        <v>0</v>
      </c>
      <c r="AN541" s="8">
        <f>IF($O541="Aktif",MAX(0,MIN($AE541,$AD541-SUM($AG541:AM541))),0)</f>
        <v>0</v>
      </c>
      <c r="AO541" s="8">
        <f>IF($O541="Aktif",MAX(0,MIN($AE541,$AD541-SUM($AG541:AN541))),0)</f>
        <v>0</v>
      </c>
      <c r="AP541" s="8">
        <f>IF($O541="Aktif",MAX(0,MIN($AE541,$AD541-SUM($AG541:AO541))),0)</f>
        <v>0</v>
      </c>
      <c r="AQ541" s="8">
        <f>IF($O541="Aktif",MAX(0,MIN($AE541,$AD541-SUM($AG541:AP541))),0)</f>
        <v>0</v>
      </c>
      <c r="AR541" s="8">
        <f>IF($O541="Aktif",MAX(0,MIN($AE541,$AD541-SUM($AG541:AQ541))),0)</f>
        <v>0</v>
      </c>
      <c r="AS541" s="8">
        <f>IF($O541="Aktif",MAX(0,MIN($AE541,$AD541-SUM($AG541:AR541))),0)</f>
        <v>0</v>
      </c>
      <c r="AT541" s="8">
        <f>IF($O541="Aktif",MAX(0,MIN($AE541,$AD541-SUM($AG541:AS541))),0)</f>
        <v>0</v>
      </c>
      <c r="AU541" s="8">
        <f>IF($O541="Aktif",MAX(0,MIN($AE541,$AD541-SUM($AG541:AT541))),0)</f>
        <v>0</v>
      </c>
      <c r="AV541" s="8">
        <f>IF($O541="Aktif",MAX(0,MIN($AE541,$AD541-SUM($AG541:AU541))),0)</f>
        <v>0</v>
      </c>
      <c r="AW541" s="8">
        <f t="shared" si="61"/>
        <v>0</v>
      </c>
      <c r="AX541" s="8">
        <f t="shared" si="62"/>
        <v>0</v>
      </c>
    </row>
    <row r="542" spans="1:50" ht="15" customHeight="1" x14ac:dyDescent="0.35">
      <c r="A542" s="102">
        <v>536</v>
      </c>
      <c r="B542" s="102" t="s">
        <v>1326</v>
      </c>
      <c r="C542" s="103">
        <v>170</v>
      </c>
      <c r="D542" s="102" t="s">
        <v>185</v>
      </c>
      <c r="E542" s="102" t="s">
        <v>587</v>
      </c>
      <c r="F542" s="102" t="s">
        <v>1327</v>
      </c>
      <c r="G542" s="102" t="s">
        <v>1328</v>
      </c>
      <c r="H542" s="102" t="s">
        <v>1329</v>
      </c>
      <c r="I542" s="102" t="s">
        <v>63</v>
      </c>
      <c r="J542" s="102" t="s">
        <v>1794</v>
      </c>
      <c r="K542" s="102" t="s">
        <v>591</v>
      </c>
      <c r="L542" s="104">
        <v>42308</v>
      </c>
      <c r="M542" s="102" t="s">
        <v>1590</v>
      </c>
      <c r="N542" s="102" t="s">
        <v>1795</v>
      </c>
      <c r="O542" s="102" t="s">
        <v>383</v>
      </c>
      <c r="P542" s="103">
        <v>1</v>
      </c>
      <c r="Q542" s="105">
        <v>9900000</v>
      </c>
      <c r="R542" s="103">
        <v>48</v>
      </c>
      <c r="S542" s="105">
        <v>0</v>
      </c>
      <c r="T542" s="105">
        <v>9900000</v>
      </c>
      <c r="U542" s="105">
        <v>0</v>
      </c>
      <c r="V542" s="105">
        <v>0</v>
      </c>
      <c r="W542" s="105">
        <v>0</v>
      </c>
      <c r="X542" s="105">
        <v>0</v>
      </c>
      <c r="Y542" s="105">
        <v>0</v>
      </c>
      <c r="Z542" s="105">
        <v>0</v>
      </c>
      <c r="AA542" s="105">
        <v>0</v>
      </c>
      <c r="AB542" s="105">
        <v>0</v>
      </c>
      <c r="AC542" s="8">
        <f t="shared" si="56"/>
        <v>9900000</v>
      </c>
      <c r="AD542" s="8">
        <f t="shared" si="57"/>
        <v>0</v>
      </c>
      <c r="AE542" s="8">
        <f t="shared" si="58"/>
        <v>0</v>
      </c>
      <c r="AF542" s="106">
        <f t="shared" si="59"/>
        <v>0</v>
      </c>
      <c r="AG542" s="8">
        <f t="shared" si="60"/>
        <v>0</v>
      </c>
      <c r="AH542" s="8">
        <f>IF($O542="Aktif",MAX(0,MIN($AE542,$AD542-SUM($AG542:AG542))),0)</f>
        <v>0</v>
      </c>
      <c r="AI542" s="8">
        <f>IF($O542="Aktif",MAX(0,MIN($AE542,$AD542-SUM($AG542:AH542))),0)</f>
        <v>0</v>
      </c>
      <c r="AJ542" s="8">
        <f>IF($O542="Aktif",MAX(0,MIN($AE542,$AD542-SUM($AG542:AI542))),0)</f>
        <v>0</v>
      </c>
      <c r="AK542" s="8">
        <f>IF($O542="Aktif",MAX(0,MIN($AE542,$AD542-SUM($AG542:AJ542))),0)</f>
        <v>0</v>
      </c>
      <c r="AL542" s="8">
        <f>IF($O542="Aktif",MAX(0,MIN($AE542,$AD542-SUM($AG542:AK542))),0)</f>
        <v>0</v>
      </c>
      <c r="AM542" s="8">
        <f>IF($O542="Aktif",MAX(0,MIN($AE542,$AD542-SUM($AG542:AL542))),0)</f>
        <v>0</v>
      </c>
      <c r="AN542" s="8">
        <f>IF($O542="Aktif",MAX(0,MIN($AE542,$AD542-SUM($AG542:AM542))),0)</f>
        <v>0</v>
      </c>
      <c r="AO542" s="8">
        <f>IF($O542="Aktif",MAX(0,MIN($AE542,$AD542-SUM($AG542:AN542))),0)</f>
        <v>0</v>
      </c>
      <c r="AP542" s="8">
        <f>IF($O542="Aktif",MAX(0,MIN($AE542,$AD542-SUM($AG542:AO542))),0)</f>
        <v>0</v>
      </c>
      <c r="AQ542" s="8">
        <f>IF($O542="Aktif",MAX(0,MIN($AE542,$AD542-SUM($AG542:AP542))),0)</f>
        <v>0</v>
      </c>
      <c r="AR542" s="8">
        <f>IF($O542="Aktif",MAX(0,MIN($AE542,$AD542-SUM($AG542:AQ542))),0)</f>
        <v>0</v>
      </c>
      <c r="AS542" s="8">
        <f>IF($O542="Aktif",MAX(0,MIN($AE542,$AD542-SUM($AG542:AR542))),0)</f>
        <v>0</v>
      </c>
      <c r="AT542" s="8">
        <f>IF($O542="Aktif",MAX(0,MIN($AE542,$AD542-SUM($AG542:AS542))),0)</f>
        <v>0</v>
      </c>
      <c r="AU542" s="8">
        <f>IF($O542="Aktif",MAX(0,MIN($AE542,$AD542-SUM($AG542:AT542))),0)</f>
        <v>0</v>
      </c>
      <c r="AV542" s="8">
        <f>IF($O542="Aktif",MAX(0,MIN($AE542,$AD542-SUM($AG542:AU542))),0)</f>
        <v>0</v>
      </c>
      <c r="AW542" s="8">
        <f t="shared" si="61"/>
        <v>0</v>
      </c>
      <c r="AX542" s="8">
        <f t="shared" si="62"/>
        <v>0</v>
      </c>
    </row>
    <row r="543" spans="1:50" ht="15" customHeight="1" x14ac:dyDescent="0.35">
      <c r="A543" s="102">
        <v>537</v>
      </c>
      <c r="B543" s="102" t="s">
        <v>1326</v>
      </c>
      <c r="C543" s="103">
        <v>171</v>
      </c>
      <c r="D543" s="102" t="s">
        <v>185</v>
      </c>
      <c r="E543" s="102" t="s">
        <v>587</v>
      </c>
      <c r="F543" s="102" t="s">
        <v>1327</v>
      </c>
      <c r="G543" s="102" t="s">
        <v>1328</v>
      </c>
      <c r="H543" s="102" t="s">
        <v>1329</v>
      </c>
      <c r="I543" s="102" t="s">
        <v>63</v>
      </c>
      <c r="J543" s="102" t="s">
        <v>1796</v>
      </c>
      <c r="K543" s="102" t="s">
        <v>591</v>
      </c>
      <c r="L543" s="104">
        <v>42308</v>
      </c>
      <c r="M543" s="102" t="s">
        <v>1797</v>
      </c>
      <c r="N543" s="102" t="s">
        <v>1798</v>
      </c>
      <c r="O543" s="102" t="s">
        <v>383</v>
      </c>
      <c r="P543" s="103">
        <v>1</v>
      </c>
      <c r="Q543" s="105">
        <v>1900000</v>
      </c>
      <c r="R543" s="103">
        <v>48</v>
      </c>
      <c r="S543" s="105">
        <v>0</v>
      </c>
      <c r="T543" s="105">
        <v>1900000</v>
      </c>
      <c r="U543" s="105">
        <v>0</v>
      </c>
      <c r="V543" s="105">
        <v>0</v>
      </c>
      <c r="W543" s="105">
        <v>0</v>
      </c>
      <c r="X543" s="105">
        <v>0</v>
      </c>
      <c r="Y543" s="105">
        <v>0</v>
      </c>
      <c r="Z543" s="105">
        <v>0</v>
      </c>
      <c r="AA543" s="105">
        <v>0</v>
      </c>
      <c r="AB543" s="105">
        <v>0</v>
      </c>
      <c r="AC543" s="8">
        <f t="shared" si="56"/>
        <v>1900000</v>
      </c>
      <c r="AD543" s="8">
        <f t="shared" si="57"/>
        <v>0</v>
      </c>
      <c r="AE543" s="8">
        <f t="shared" si="58"/>
        <v>0</v>
      </c>
      <c r="AF543" s="106">
        <f t="shared" si="59"/>
        <v>0</v>
      </c>
      <c r="AG543" s="8">
        <f t="shared" si="60"/>
        <v>0</v>
      </c>
      <c r="AH543" s="8">
        <f>IF($O543="Aktif",MAX(0,MIN($AE543,$AD543-SUM($AG543:AG543))),0)</f>
        <v>0</v>
      </c>
      <c r="AI543" s="8">
        <f>IF($O543="Aktif",MAX(0,MIN($AE543,$AD543-SUM($AG543:AH543))),0)</f>
        <v>0</v>
      </c>
      <c r="AJ543" s="8">
        <f>IF($O543="Aktif",MAX(0,MIN($AE543,$AD543-SUM($AG543:AI543))),0)</f>
        <v>0</v>
      </c>
      <c r="AK543" s="8">
        <f>IF($O543="Aktif",MAX(0,MIN($AE543,$AD543-SUM($AG543:AJ543))),0)</f>
        <v>0</v>
      </c>
      <c r="AL543" s="8">
        <f>IF($O543="Aktif",MAX(0,MIN($AE543,$AD543-SUM($AG543:AK543))),0)</f>
        <v>0</v>
      </c>
      <c r="AM543" s="8">
        <f>IF($O543="Aktif",MAX(0,MIN($AE543,$AD543-SUM($AG543:AL543))),0)</f>
        <v>0</v>
      </c>
      <c r="AN543" s="8">
        <f>IF($O543="Aktif",MAX(0,MIN($AE543,$AD543-SUM($AG543:AM543))),0)</f>
        <v>0</v>
      </c>
      <c r="AO543" s="8">
        <f>IF($O543="Aktif",MAX(0,MIN($AE543,$AD543-SUM($AG543:AN543))),0)</f>
        <v>0</v>
      </c>
      <c r="AP543" s="8">
        <f>IF($O543="Aktif",MAX(0,MIN($AE543,$AD543-SUM($AG543:AO543))),0)</f>
        <v>0</v>
      </c>
      <c r="AQ543" s="8">
        <f>IF($O543="Aktif",MAX(0,MIN($AE543,$AD543-SUM($AG543:AP543))),0)</f>
        <v>0</v>
      </c>
      <c r="AR543" s="8">
        <f>IF($O543="Aktif",MAX(0,MIN($AE543,$AD543-SUM($AG543:AQ543))),0)</f>
        <v>0</v>
      </c>
      <c r="AS543" s="8">
        <f>IF($O543="Aktif",MAX(0,MIN($AE543,$AD543-SUM($AG543:AR543))),0)</f>
        <v>0</v>
      </c>
      <c r="AT543" s="8">
        <f>IF($O543="Aktif",MAX(0,MIN($AE543,$AD543-SUM($AG543:AS543))),0)</f>
        <v>0</v>
      </c>
      <c r="AU543" s="8">
        <f>IF($O543="Aktif",MAX(0,MIN($AE543,$AD543-SUM($AG543:AT543))),0)</f>
        <v>0</v>
      </c>
      <c r="AV543" s="8">
        <f>IF($O543="Aktif",MAX(0,MIN($AE543,$AD543-SUM($AG543:AU543))),0)</f>
        <v>0</v>
      </c>
      <c r="AW543" s="8">
        <f t="shared" si="61"/>
        <v>0</v>
      </c>
      <c r="AX543" s="8">
        <f t="shared" si="62"/>
        <v>0</v>
      </c>
    </row>
    <row r="544" spans="1:50" ht="15" customHeight="1" x14ac:dyDescent="0.35">
      <c r="A544" s="102">
        <v>538</v>
      </c>
      <c r="B544" s="102" t="s">
        <v>1326</v>
      </c>
      <c r="C544" s="103">
        <v>172</v>
      </c>
      <c r="D544" s="102" t="s">
        <v>185</v>
      </c>
      <c r="E544" s="102" t="s">
        <v>587</v>
      </c>
      <c r="F544" s="102" t="s">
        <v>1327</v>
      </c>
      <c r="G544" s="102" t="s">
        <v>1328</v>
      </c>
      <c r="H544" s="102" t="s">
        <v>1329</v>
      </c>
      <c r="I544" s="102" t="s">
        <v>63</v>
      </c>
      <c r="J544" s="102" t="s">
        <v>1799</v>
      </c>
      <c r="K544" s="102" t="s">
        <v>591</v>
      </c>
      <c r="L544" s="104">
        <v>42308</v>
      </c>
      <c r="M544" s="102" t="s">
        <v>1800</v>
      </c>
      <c r="N544" s="102" t="s">
        <v>1801</v>
      </c>
      <c r="O544" s="102" t="s">
        <v>383</v>
      </c>
      <c r="P544" s="103">
        <v>1</v>
      </c>
      <c r="Q544" s="105">
        <v>11100000</v>
      </c>
      <c r="R544" s="103">
        <v>48</v>
      </c>
      <c r="S544" s="105">
        <v>0</v>
      </c>
      <c r="T544" s="105">
        <v>11100000</v>
      </c>
      <c r="U544" s="105">
        <v>0</v>
      </c>
      <c r="V544" s="105">
        <v>0</v>
      </c>
      <c r="W544" s="105">
        <v>0</v>
      </c>
      <c r="X544" s="105">
        <v>0</v>
      </c>
      <c r="Y544" s="105">
        <v>0</v>
      </c>
      <c r="Z544" s="105">
        <v>0</v>
      </c>
      <c r="AA544" s="105">
        <v>0</v>
      </c>
      <c r="AB544" s="105">
        <v>0</v>
      </c>
      <c r="AC544" s="8">
        <f t="shared" si="56"/>
        <v>11100000</v>
      </c>
      <c r="AD544" s="8">
        <f t="shared" si="57"/>
        <v>0</v>
      </c>
      <c r="AE544" s="8">
        <f t="shared" si="58"/>
        <v>0</v>
      </c>
      <c r="AF544" s="106">
        <f t="shared" si="59"/>
        <v>0</v>
      </c>
      <c r="AG544" s="8">
        <f t="shared" si="60"/>
        <v>0</v>
      </c>
      <c r="AH544" s="8">
        <f>IF($O544="Aktif",MAX(0,MIN($AE544,$AD544-SUM($AG544:AG544))),0)</f>
        <v>0</v>
      </c>
      <c r="AI544" s="8">
        <f>IF($O544="Aktif",MAX(0,MIN($AE544,$AD544-SUM($AG544:AH544))),0)</f>
        <v>0</v>
      </c>
      <c r="AJ544" s="8">
        <f>IF($O544="Aktif",MAX(0,MIN($AE544,$AD544-SUM($AG544:AI544))),0)</f>
        <v>0</v>
      </c>
      <c r="AK544" s="8">
        <f>IF($O544="Aktif",MAX(0,MIN($AE544,$AD544-SUM($AG544:AJ544))),0)</f>
        <v>0</v>
      </c>
      <c r="AL544" s="8">
        <f>IF($O544="Aktif",MAX(0,MIN($AE544,$AD544-SUM($AG544:AK544))),0)</f>
        <v>0</v>
      </c>
      <c r="AM544" s="8">
        <f>IF($O544="Aktif",MAX(0,MIN($AE544,$AD544-SUM($AG544:AL544))),0)</f>
        <v>0</v>
      </c>
      <c r="AN544" s="8">
        <f>IF($O544="Aktif",MAX(0,MIN($AE544,$AD544-SUM($AG544:AM544))),0)</f>
        <v>0</v>
      </c>
      <c r="AO544" s="8">
        <f>IF($O544="Aktif",MAX(0,MIN($AE544,$AD544-SUM($AG544:AN544))),0)</f>
        <v>0</v>
      </c>
      <c r="AP544" s="8">
        <f>IF($O544="Aktif",MAX(0,MIN($AE544,$AD544-SUM($AG544:AO544))),0)</f>
        <v>0</v>
      </c>
      <c r="AQ544" s="8">
        <f>IF($O544="Aktif",MAX(0,MIN($AE544,$AD544-SUM($AG544:AP544))),0)</f>
        <v>0</v>
      </c>
      <c r="AR544" s="8">
        <f>IF($O544="Aktif",MAX(0,MIN($AE544,$AD544-SUM($AG544:AQ544))),0)</f>
        <v>0</v>
      </c>
      <c r="AS544" s="8">
        <f>IF($O544="Aktif",MAX(0,MIN($AE544,$AD544-SUM($AG544:AR544))),0)</f>
        <v>0</v>
      </c>
      <c r="AT544" s="8">
        <f>IF($O544="Aktif",MAX(0,MIN($AE544,$AD544-SUM($AG544:AS544))),0)</f>
        <v>0</v>
      </c>
      <c r="AU544" s="8">
        <f>IF($O544="Aktif",MAX(0,MIN($AE544,$AD544-SUM($AG544:AT544))),0)</f>
        <v>0</v>
      </c>
      <c r="AV544" s="8">
        <f>IF($O544="Aktif",MAX(0,MIN($AE544,$AD544-SUM($AG544:AU544))),0)</f>
        <v>0</v>
      </c>
      <c r="AW544" s="8">
        <f t="shared" si="61"/>
        <v>0</v>
      </c>
      <c r="AX544" s="8">
        <f t="shared" si="62"/>
        <v>0</v>
      </c>
    </row>
    <row r="545" spans="1:50" ht="15" customHeight="1" x14ac:dyDescent="0.35">
      <c r="A545" s="102">
        <v>539</v>
      </c>
      <c r="B545" s="102" t="s">
        <v>1326</v>
      </c>
      <c r="C545" s="103">
        <v>173</v>
      </c>
      <c r="D545" s="102" t="s">
        <v>185</v>
      </c>
      <c r="E545" s="102" t="s">
        <v>587</v>
      </c>
      <c r="F545" s="102" t="s">
        <v>1327</v>
      </c>
      <c r="G545" s="102" t="s">
        <v>1328</v>
      </c>
      <c r="H545" s="102" t="s">
        <v>1329</v>
      </c>
      <c r="I545" s="102" t="s">
        <v>63</v>
      </c>
      <c r="J545" s="102" t="s">
        <v>1802</v>
      </c>
      <c r="K545" s="102" t="s">
        <v>591</v>
      </c>
      <c r="L545" s="104">
        <v>42356</v>
      </c>
      <c r="M545" s="102" t="s">
        <v>1803</v>
      </c>
      <c r="N545" s="102" t="s">
        <v>1804</v>
      </c>
      <c r="O545" s="102" t="s">
        <v>383</v>
      </c>
      <c r="P545" s="103">
        <v>1</v>
      </c>
      <c r="Q545" s="105">
        <v>6200000</v>
      </c>
      <c r="R545" s="103">
        <v>48</v>
      </c>
      <c r="S545" s="105">
        <v>0</v>
      </c>
      <c r="T545" s="105">
        <v>6200000</v>
      </c>
      <c r="U545" s="105">
        <v>0</v>
      </c>
      <c r="V545" s="105">
        <v>0</v>
      </c>
      <c r="W545" s="105">
        <v>0</v>
      </c>
      <c r="X545" s="105">
        <v>0</v>
      </c>
      <c r="Y545" s="105">
        <v>0</v>
      </c>
      <c r="Z545" s="105">
        <v>0</v>
      </c>
      <c r="AA545" s="105">
        <v>0</v>
      </c>
      <c r="AB545" s="105">
        <v>0</v>
      </c>
      <c r="AC545" s="8">
        <f t="shared" si="56"/>
        <v>6200000</v>
      </c>
      <c r="AD545" s="8">
        <f t="shared" si="57"/>
        <v>0</v>
      </c>
      <c r="AE545" s="8">
        <f t="shared" si="58"/>
        <v>0</v>
      </c>
      <c r="AF545" s="106">
        <f t="shared" si="59"/>
        <v>0</v>
      </c>
      <c r="AG545" s="8">
        <f t="shared" si="60"/>
        <v>0</v>
      </c>
      <c r="AH545" s="8">
        <f>IF($O545="Aktif",MAX(0,MIN($AE545,$AD545-SUM($AG545:AG545))),0)</f>
        <v>0</v>
      </c>
      <c r="AI545" s="8">
        <f>IF($O545="Aktif",MAX(0,MIN($AE545,$AD545-SUM($AG545:AH545))),0)</f>
        <v>0</v>
      </c>
      <c r="AJ545" s="8">
        <f>IF($O545="Aktif",MAX(0,MIN($AE545,$AD545-SUM($AG545:AI545))),0)</f>
        <v>0</v>
      </c>
      <c r="AK545" s="8">
        <f>IF($O545="Aktif",MAX(0,MIN($AE545,$AD545-SUM($AG545:AJ545))),0)</f>
        <v>0</v>
      </c>
      <c r="AL545" s="8">
        <f>IF($O545="Aktif",MAX(0,MIN($AE545,$AD545-SUM($AG545:AK545))),0)</f>
        <v>0</v>
      </c>
      <c r="AM545" s="8">
        <f>IF($O545="Aktif",MAX(0,MIN($AE545,$AD545-SUM($AG545:AL545))),0)</f>
        <v>0</v>
      </c>
      <c r="AN545" s="8">
        <f>IF($O545="Aktif",MAX(0,MIN($AE545,$AD545-SUM($AG545:AM545))),0)</f>
        <v>0</v>
      </c>
      <c r="AO545" s="8">
        <f>IF($O545="Aktif",MAX(0,MIN($AE545,$AD545-SUM($AG545:AN545))),0)</f>
        <v>0</v>
      </c>
      <c r="AP545" s="8">
        <f>IF($O545="Aktif",MAX(0,MIN($AE545,$AD545-SUM($AG545:AO545))),0)</f>
        <v>0</v>
      </c>
      <c r="AQ545" s="8">
        <f>IF($O545="Aktif",MAX(0,MIN($AE545,$AD545-SUM($AG545:AP545))),0)</f>
        <v>0</v>
      </c>
      <c r="AR545" s="8">
        <f>IF($O545="Aktif",MAX(0,MIN($AE545,$AD545-SUM($AG545:AQ545))),0)</f>
        <v>0</v>
      </c>
      <c r="AS545" s="8">
        <f>IF($O545="Aktif",MAX(0,MIN($AE545,$AD545-SUM($AG545:AR545))),0)</f>
        <v>0</v>
      </c>
      <c r="AT545" s="8">
        <f>IF($O545="Aktif",MAX(0,MIN($AE545,$AD545-SUM($AG545:AS545))),0)</f>
        <v>0</v>
      </c>
      <c r="AU545" s="8">
        <f>IF($O545="Aktif",MAX(0,MIN($AE545,$AD545-SUM($AG545:AT545))),0)</f>
        <v>0</v>
      </c>
      <c r="AV545" s="8">
        <f>IF($O545="Aktif",MAX(0,MIN($AE545,$AD545-SUM($AG545:AU545))),0)</f>
        <v>0</v>
      </c>
      <c r="AW545" s="8">
        <f t="shared" si="61"/>
        <v>0</v>
      </c>
      <c r="AX545" s="8">
        <f t="shared" si="62"/>
        <v>0</v>
      </c>
    </row>
    <row r="546" spans="1:50" ht="15" customHeight="1" x14ac:dyDescent="0.35">
      <c r="A546" s="102">
        <v>540</v>
      </c>
      <c r="B546" s="102" t="s">
        <v>1326</v>
      </c>
      <c r="C546" s="103">
        <v>174</v>
      </c>
      <c r="D546" s="102" t="s">
        <v>185</v>
      </c>
      <c r="E546" s="102" t="s">
        <v>587</v>
      </c>
      <c r="F546" s="102" t="s">
        <v>1327</v>
      </c>
      <c r="G546" s="102" t="s">
        <v>1328</v>
      </c>
      <c r="H546" s="102" t="s">
        <v>1329</v>
      </c>
      <c r="I546" s="102" t="s">
        <v>63</v>
      </c>
      <c r="J546" s="102" t="s">
        <v>1805</v>
      </c>
      <c r="K546" s="102" t="s">
        <v>591</v>
      </c>
      <c r="L546" s="104">
        <v>42360</v>
      </c>
      <c r="M546" s="102" t="s">
        <v>1806</v>
      </c>
      <c r="N546" s="102" t="s">
        <v>1807</v>
      </c>
      <c r="O546" s="102" t="s">
        <v>383</v>
      </c>
      <c r="P546" s="103">
        <v>1</v>
      </c>
      <c r="Q546" s="105">
        <v>80000000</v>
      </c>
      <c r="R546" s="103">
        <v>48</v>
      </c>
      <c r="S546" s="105">
        <v>0</v>
      </c>
      <c r="T546" s="105">
        <v>80000000</v>
      </c>
      <c r="U546" s="105">
        <v>0</v>
      </c>
      <c r="V546" s="105">
        <v>0</v>
      </c>
      <c r="W546" s="105">
        <v>0</v>
      </c>
      <c r="X546" s="105">
        <v>0</v>
      </c>
      <c r="Y546" s="105">
        <v>0</v>
      </c>
      <c r="Z546" s="105">
        <v>0</v>
      </c>
      <c r="AA546" s="105">
        <v>0</v>
      </c>
      <c r="AB546" s="105">
        <v>0</v>
      </c>
      <c r="AC546" s="8">
        <f t="shared" si="56"/>
        <v>80000000</v>
      </c>
      <c r="AD546" s="8">
        <f t="shared" si="57"/>
        <v>0</v>
      </c>
      <c r="AE546" s="8">
        <f t="shared" si="58"/>
        <v>0</v>
      </c>
      <c r="AF546" s="106">
        <f t="shared" si="59"/>
        <v>0</v>
      </c>
      <c r="AG546" s="8">
        <f t="shared" si="60"/>
        <v>0</v>
      </c>
      <c r="AH546" s="8">
        <f>IF($O546="Aktif",MAX(0,MIN($AE546,$AD546-SUM($AG546:AG546))),0)</f>
        <v>0</v>
      </c>
      <c r="AI546" s="8">
        <f>IF($O546="Aktif",MAX(0,MIN($AE546,$AD546-SUM($AG546:AH546))),0)</f>
        <v>0</v>
      </c>
      <c r="AJ546" s="8">
        <f>IF($O546="Aktif",MAX(0,MIN($AE546,$AD546-SUM($AG546:AI546))),0)</f>
        <v>0</v>
      </c>
      <c r="AK546" s="8">
        <f>IF($O546="Aktif",MAX(0,MIN($AE546,$AD546-SUM($AG546:AJ546))),0)</f>
        <v>0</v>
      </c>
      <c r="AL546" s="8">
        <f>IF($O546="Aktif",MAX(0,MIN($AE546,$AD546-SUM($AG546:AK546))),0)</f>
        <v>0</v>
      </c>
      <c r="AM546" s="8">
        <f>IF($O546="Aktif",MAX(0,MIN($AE546,$AD546-SUM($AG546:AL546))),0)</f>
        <v>0</v>
      </c>
      <c r="AN546" s="8">
        <f>IF($O546="Aktif",MAX(0,MIN($AE546,$AD546-SUM($AG546:AM546))),0)</f>
        <v>0</v>
      </c>
      <c r="AO546" s="8">
        <f>IF($O546="Aktif",MAX(0,MIN($AE546,$AD546-SUM($AG546:AN546))),0)</f>
        <v>0</v>
      </c>
      <c r="AP546" s="8">
        <f>IF($O546="Aktif",MAX(0,MIN($AE546,$AD546-SUM($AG546:AO546))),0)</f>
        <v>0</v>
      </c>
      <c r="AQ546" s="8">
        <f>IF($O546="Aktif",MAX(0,MIN($AE546,$AD546-SUM($AG546:AP546))),0)</f>
        <v>0</v>
      </c>
      <c r="AR546" s="8">
        <f>IF($O546="Aktif",MAX(0,MIN($AE546,$AD546-SUM($AG546:AQ546))),0)</f>
        <v>0</v>
      </c>
      <c r="AS546" s="8">
        <f>IF($O546="Aktif",MAX(0,MIN($AE546,$AD546-SUM($AG546:AR546))),0)</f>
        <v>0</v>
      </c>
      <c r="AT546" s="8">
        <f>IF($O546="Aktif",MAX(0,MIN($AE546,$AD546-SUM($AG546:AS546))),0)</f>
        <v>0</v>
      </c>
      <c r="AU546" s="8">
        <f>IF($O546="Aktif",MAX(0,MIN($AE546,$AD546-SUM($AG546:AT546))),0)</f>
        <v>0</v>
      </c>
      <c r="AV546" s="8">
        <f>IF($O546="Aktif",MAX(0,MIN($AE546,$AD546-SUM($AG546:AU546))),0)</f>
        <v>0</v>
      </c>
      <c r="AW546" s="8">
        <f t="shared" si="61"/>
        <v>0</v>
      </c>
      <c r="AX546" s="8">
        <f t="shared" si="62"/>
        <v>0</v>
      </c>
    </row>
    <row r="547" spans="1:50" ht="15" customHeight="1" x14ac:dyDescent="0.35">
      <c r="A547" s="102">
        <v>541</v>
      </c>
      <c r="B547" s="102" t="s">
        <v>1326</v>
      </c>
      <c r="C547" s="103">
        <v>175</v>
      </c>
      <c r="D547" s="102" t="s">
        <v>185</v>
      </c>
      <c r="E547" s="102" t="s">
        <v>587</v>
      </c>
      <c r="F547" s="102" t="s">
        <v>1327</v>
      </c>
      <c r="G547" s="102" t="s">
        <v>1328</v>
      </c>
      <c r="H547" s="102" t="s">
        <v>1329</v>
      </c>
      <c r="I547" s="102" t="s">
        <v>63</v>
      </c>
      <c r="J547" s="102" t="s">
        <v>1808</v>
      </c>
      <c r="K547" s="102" t="s">
        <v>591</v>
      </c>
      <c r="L547" s="104">
        <v>42369</v>
      </c>
      <c r="M547" s="102" t="s">
        <v>1590</v>
      </c>
      <c r="N547" s="102" t="s">
        <v>1809</v>
      </c>
      <c r="O547" s="102" t="s">
        <v>383</v>
      </c>
      <c r="P547" s="103">
        <v>1</v>
      </c>
      <c r="Q547" s="105">
        <v>1450000</v>
      </c>
      <c r="R547" s="103">
        <v>48</v>
      </c>
      <c r="S547" s="105">
        <v>0</v>
      </c>
      <c r="T547" s="105">
        <v>1450000</v>
      </c>
      <c r="U547" s="105">
        <v>0</v>
      </c>
      <c r="V547" s="105">
        <v>0</v>
      </c>
      <c r="W547" s="105">
        <v>0</v>
      </c>
      <c r="X547" s="105">
        <v>0</v>
      </c>
      <c r="Y547" s="105">
        <v>0</v>
      </c>
      <c r="Z547" s="105">
        <v>0</v>
      </c>
      <c r="AA547" s="105">
        <v>0</v>
      </c>
      <c r="AB547" s="105">
        <v>0</v>
      </c>
      <c r="AC547" s="8">
        <f t="shared" si="56"/>
        <v>1450000</v>
      </c>
      <c r="AD547" s="8">
        <f t="shared" si="57"/>
        <v>0</v>
      </c>
      <c r="AE547" s="8">
        <f t="shared" si="58"/>
        <v>0</v>
      </c>
      <c r="AF547" s="106">
        <f t="shared" si="59"/>
        <v>0</v>
      </c>
      <c r="AG547" s="8">
        <f t="shared" si="60"/>
        <v>0</v>
      </c>
      <c r="AH547" s="8">
        <f>IF($O547="Aktif",MAX(0,MIN($AE547,$AD547-SUM($AG547:AG547))),0)</f>
        <v>0</v>
      </c>
      <c r="AI547" s="8">
        <f>IF($O547="Aktif",MAX(0,MIN($AE547,$AD547-SUM($AG547:AH547))),0)</f>
        <v>0</v>
      </c>
      <c r="AJ547" s="8">
        <f>IF($O547="Aktif",MAX(0,MIN($AE547,$AD547-SUM($AG547:AI547))),0)</f>
        <v>0</v>
      </c>
      <c r="AK547" s="8">
        <f>IF($O547="Aktif",MAX(0,MIN($AE547,$AD547-SUM($AG547:AJ547))),0)</f>
        <v>0</v>
      </c>
      <c r="AL547" s="8">
        <f>IF($O547="Aktif",MAX(0,MIN($AE547,$AD547-SUM($AG547:AK547))),0)</f>
        <v>0</v>
      </c>
      <c r="AM547" s="8">
        <f>IF($O547="Aktif",MAX(0,MIN($AE547,$AD547-SUM($AG547:AL547))),0)</f>
        <v>0</v>
      </c>
      <c r="AN547" s="8">
        <f>IF($O547="Aktif",MAX(0,MIN($AE547,$AD547-SUM($AG547:AM547))),0)</f>
        <v>0</v>
      </c>
      <c r="AO547" s="8">
        <f>IF($O547="Aktif",MAX(0,MIN($AE547,$AD547-SUM($AG547:AN547))),0)</f>
        <v>0</v>
      </c>
      <c r="AP547" s="8">
        <f>IF($O547="Aktif",MAX(0,MIN($AE547,$AD547-SUM($AG547:AO547))),0)</f>
        <v>0</v>
      </c>
      <c r="AQ547" s="8">
        <f>IF($O547="Aktif",MAX(0,MIN($AE547,$AD547-SUM($AG547:AP547))),0)</f>
        <v>0</v>
      </c>
      <c r="AR547" s="8">
        <f>IF($O547="Aktif",MAX(0,MIN($AE547,$AD547-SUM($AG547:AQ547))),0)</f>
        <v>0</v>
      </c>
      <c r="AS547" s="8">
        <f>IF($O547="Aktif",MAX(0,MIN($AE547,$AD547-SUM($AG547:AR547))),0)</f>
        <v>0</v>
      </c>
      <c r="AT547" s="8">
        <f>IF($O547="Aktif",MAX(0,MIN($AE547,$AD547-SUM($AG547:AS547))),0)</f>
        <v>0</v>
      </c>
      <c r="AU547" s="8">
        <f>IF($O547="Aktif",MAX(0,MIN($AE547,$AD547-SUM($AG547:AT547))),0)</f>
        <v>0</v>
      </c>
      <c r="AV547" s="8">
        <f>IF($O547="Aktif",MAX(0,MIN($AE547,$AD547-SUM($AG547:AU547))),0)</f>
        <v>0</v>
      </c>
      <c r="AW547" s="8">
        <f t="shared" si="61"/>
        <v>0</v>
      </c>
      <c r="AX547" s="8">
        <f t="shared" si="62"/>
        <v>0</v>
      </c>
    </row>
    <row r="548" spans="1:50" ht="15" customHeight="1" x14ac:dyDescent="0.35">
      <c r="A548" s="102">
        <v>542</v>
      </c>
      <c r="B548" s="102" t="s">
        <v>1326</v>
      </c>
      <c r="C548" s="103">
        <v>176</v>
      </c>
      <c r="D548" s="102" t="s">
        <v>185</v>
      </c>
      <c r="E548" s="102" t="s">
        <v>587</v>
      </c>
      <c r="F548" s="102" t="s">
        <v>1327</v>
      </c>
      <c r="G548" s="102" t="s">
        <v>1328</v>
      </c>
      <c r="H548" s="102" t="s">
        <v>1329</v>
      </c>
      <c r="I548" s="102" t="s">
        <v>63</v>
      </c>
      <c r="J548" s="102" t="s">
        <v>1810</v>
      </c>
      <c r="K548" s="102" t="s">
        <v>591</v>
      </c>
      <c r="L548" s="104">
        <v>42369</v>
      </c>
      <c r="M548" s="102" t="s">
        <v>1811</v>
      </c>
      <c r="N548" s="102" t="s">
        <v>1812</v>
      </c>
      <c r="O548" s="102" t="s">
        <v>383</v>
      </c>
      <c r="P548" s="103">
        <v>1</v>
      </c>
      <c r="Q548" s="105">
        <v>5000000</v>
      </c>
      <c r="R548" s="103">
        <v>48</v>
      </c>
      <c r="S548" s="105">
        <v>0</v>
      </c>
      <c r="T548" s="105">
        <v>5000000</v>
      </c>
      <c r="U548" s="105">
        <v>0</v>
      </c>
      <c r="V548" s="105">
        <v>0</v>
      </c>
      <c r="W548" s="105">
        <v>0</v>
      </c>
      <c r="X548" s="105">
        <v>0</v>
      </c>
      <c r="Y548" s="105">
        <v>0</v>
      </c>
      <c r="Z548" s="105">
        <v>0</v>
      </c>
      <c r="AA548" s="105">
        <v>0</v>
      </c>
      <c r="AB548" s="105">
        <v>0</v>
      </c>
      <c r="AC548" s="8">
        <f t="shared" si="56"/>
        <v>5000000</v>
      </c>
      <c r="AD548" s="8">
        <f t="shared" si="57"/>
        <v>0</v>
      </c>
      <c r="AE548" s="8">
        <f t="shared" si="58"/>
        <v>0</v>
      </c>
      <c r="AF548" s="106">
        <f t="shared" si="59"/>
        <v>0</v>
      </c>
      <c r="AG548" s="8">
        <f t="shared" si="60"/>
        <v>0</v>
      </c>
      <c r="AH548" s="8">
        <f>IF($O548="Aktif",MAX(0,MIN($AE548,$AD548-SUM($AG548:AG548))),0)</f>
        <v>0</v>
      </c>
      <c r="AI548" s="8">
        <f>IF($O548="Aktif",MAX(0,MIN($AE548,$AD548-SUM($AG548:AH548))),0)</f>
        <v>0</v>
      </c>
      <c r="AJ548" s="8">
        <f>IF($O548="Aktif",MAX(0,MIN($AE548,$AD548-SUM($AG548:AI548))),0)</f>
        <v>0</v>
      </c>
      <c r="AK548" s="8">
        <f>IF($O548="Aktif",MAX(0,MIN($AE548,$AD548-SUM($AG548:AJ548))),0)</f>
        <v>0</v>
      </c>
      <c r="AL548" s="8">
        <f>IF($O548="Aktif",MAX(0,MIN($AE548,$AD548-SUM($AG548:AK548))),0)</f>
        <v>0</v>
      </c>
      <c r="AM548" s="8">
        <f>IF($O548="Aktif",MAX(0,MIN($AE548,$AD548-SUM($AG548:AL548))),0)</f>
        <v>0</v>
      </c>
      <c r="AN548" s="8">
        <f>IF($O548="Aktif",MAX(0,MIN($AE548,$AD548-SUM($AG548:AM548))),0)</f>
        <v>0</v>
      </c>
      <c r="AO548" s="8">
        <f>IF($O548="Aktif",MAX(0,MIN($AE548,$AD548-SUM($AG548:AN548))),0)</f>
        <v>0</v>
      </c>
      <c r="AP548" s="8">
        <f>IF($O548="Aktif",MAX(0,MIN($AE548,$AD548-SUM($AG548:AO548))),0)</f>
        <v>0</v>
      </c>
      <c r="AQ548" s="8">
        <f>IF($O548="Aktif",MAX(0,MIN($AE548,$AD548-SUM($AG548:AP548))),0)</f>
        <v>0</v>
      </c>
      <c r="AR548" s="8">
        <f>IF($O548="Aktif",MAX(0,MIN($AE548,$AD548-SUM($AG548:AQ548))),0)</f>
        <v>0</v>
      </c>
      <c r="AS548" s="8">
        <f>IF($O548="Aktif",MAX(0,MIN($AE548,$AD548-SUM($AG548:AR548))),0)</f>
        <v>0</v>
      </c>
      <c r="AT548" s="8">
        <f>IF($O548="Aktif",MAX(0,MIN($AE548,$AD548-SUM($AG548:AS548))),0)</f>
        <v>0</v>
      </c>
      <c r="AU548" s="8">
        <f>IF($O548="Aktif",MAX(0,MIN($AE548,$AD548-SUM($AG548:AT548))),0)</f>
        <v>0</v>
      </c>
      <c r="AV548" s="8">
        <f>IF($O548="Aktif",MAX(0,MIN($AE548,$AD548-SUM($AG548:AU548))),0)</f>
        <v>0</v>
      </c>
      <c r="AW548" s="8">
        <f t="shared" si="61"/>
        <v>0</v>
      </c>
      <c r="AX548" s="8">
        <f t="shared" si="62"/>
        <v>0</v>
      </c>
    </row>
    <row r="549" spans="1:50" ht="15" customHeight="1" x14ac:dyDescent="0.35">
      <c r="A549" s="102">
        <v>543</v>
      </c>
      <c r="B549" s="102" t="s">
        <v>1326</v>
      </c>
      <c r="C549" s="103">
        <v>177</v>
      </c>
      <c r="D549" s="102" t="s">
        <v>185</v>
      </c>
      <c r="E549" s="102" t="s">
        <v>587</v>
      </c>
      <c r="F549" s="102" t="s">
        <v>1327</v>
      </c>
      <c r="G549" s="102" t="s">
        <v>1328</v>
      </c>
      <c r="H549" s="102" t="s">
        <v>1329</v>
      </c>
      <c r="I549" s="102" t="s">
        <v>63</v>
      </c>
      <c r="J549" s="102"/>
      <c r="K549" s="102" t="s">
        <v>591</v>
      </c>
      <c r="L549" s="104">
        <v>39666</v>
      </c>
      <c r="M549" s="102" t="s">
        <v>1813</v>
      </c>
      <c r="N549" s="102" t="s">
        <v>1814</v>
      </c>
      <c r="O549" s="102" t="s">
        <v>383</v>
      </c>
      <c r="P549" s="103">
        <v>1</v>
      </c>
      <c r="Q549" s="105">
        <v>11700000</v>
      </c>
      <c r="R549" s="102"/>
      <c r="S549" s="105">
        <v>0</v>
      </c>
      <c r="T549" s="105">
        <v>11700000</v>
      </c>
      <c r="U549" s="105">
        <v>0</v>
      </c>
      <c r="V549" s="105">
        <v>0</v>
      </c>
      <c r="W549" s="105">
        <v>0</v>
      </c>
      <c r="X549" s="105">
        <v>0</v>
      </c>
      <c r="Y549" s="105">
        <v>0</v>
      </c>
      <c r="Z549" s="105">
        <v>0</v>
      </c>
      <c r="AA549" s="105">
        <v>0</v>
      </c>
      <c r="AB549" s="105">
        <v>0</v>
      </c>
      <c r="AC549" s="8">
        <f t="shared" si="56"/>
        <v>11700000</v>
      </c>
      <c r="AD549" s="8">
        <f t="shared" si="57"/>
        <v>0</v>
      </c>
      <c r="AE549" s="8">
        <f t="shared" si="58"/>
        <v>0</v>
      </c>
      <c r="AF549" s="106">
        <f t="shared" si="59"/>
        <v>0</v>
      </c>
      <c r="AG549" s="8">
        <f t="shared" si="60"/>
        <v>0</v>
      </c>
      <c r="AH549" s="8">
        <f>IF($O549="Aktif",MAX(0,MIN($AE549,$AD549-SUM($AG549:AG549))),0)</f>
        <v>0</v>
      </c>
      <c r="AI549" s="8">
        <f>IF($O549="Aktif",MAX(0,MIN($AE549,$AD549-SUM($AG549:AH549))),0)</f>
        <v>0</v>
      </c>
      <c r="AJ549" s="8">
        <f>IF($O549="Aktif",MAX(0,MIN($AE549,$AD549-SUM($AG549:AI549))),0)</f>
        <v>0</v>
      </c>
      <c r="AK549" s="8">
        <f>IF($O549="Aktif",MAX(0,MIN($AE549,$AD549-SUM($AG549:AJ549))),0)</f>
        <v>0</v>
      </c>
      <c r="AL549" s="8">
        <f>IF($O549="Aktif",MAX(0,MIN($AE549,$AD549-SUM($AG549:AK549))),0)</f>
        <v>0</v>
      </c>
      <c r="AM549" s="8">
        <f>IF($O549="Aktif",MAX(0,MIN($AE549,$AD549-SUM($AG549:AL549))),0)</f>
        <v>0</v>
      </c>
      <c r="AN549" s="8">
        <f>IF($O549="Aktif",MAX(0,MIN($AE549,$AD549-SUM($AG549:AM549))),0)</f>
        <v>0</v>
      </c>
      <c r="AO549" s="8">
        <f>IF($O549="Aktif",MAX(0,MIN($AE549,$AD549-SUM($AG549:AN549))),0)</f>
        <v>0</v>
      </c>
      <c r="AP549" s="8">
        <f>IF($O549="Aktif",MAX(0,MIN($AE549,$AD549-SUM($AG549:AO549))),0)</f>
        <v>0</v>
      </c>
      <c r="AQ549" s="8">
        <f>IF($O549="Aktif",MAX(0,MIN($AE549,$AD549-SUM($AG549:AP549))),0)</f>
        <v>0</v>
      </c>
      <c r="AR549" s="8">
        <f>IF($O549="Aktif",MAX(0,MIN($AE549,$AD549-SUM($AG549:AQ549))),0)</f>
        <v>0</v>
      </c>
      <c r="AS549" s="8">
        <f>IF($O549="Aktif",MAX(0,MIN($AE549,$AD549-SUM($AG549:AR549))),0)</f>
        <v>0</v>
      </c>
      <c r="AT549" s="8">
        <f>IF($O549="Aktif",MAX(0,MIN($AE549,$AD549-SUM($AG549:AS549))),0)</f>
        <v>0</v>
      </c>
      <c r="AU549" s="8">
        <f>IF($O549="Aktif",MAX(0,MIN($AE549,$AD549-SUM($AG549:AT549))),0)</f>
        <v>0</v>
      </c>
      <c r="AV549" s="8">
        <f>IF($O549="Aktif",MAX(0,MIN($AE549,$AD549-SUM($AG549:AU549))),0)</f>
        <v>0</v>
      </c>
      <c r="AW549" s="8">
        <f t="shared" si="61"/>
        <v>0</v>
      </c>
      <c r="AX549" s="8">
        <f t="shared" si="62"/>
        <v>0</v>
      </c>
    </row>
    <row r="550" spans="1:50" ht="15" customHeight="1" x14ac:dyDescent="0.35">
      <c r="A550" s="102">
        <v>544</v>
      </c>
      <c r="B550" s="102" t="s">
        <v>1326</v>
      </c>
      <c r="C550" s="103">
        <v>178</v>
      </c>
      <c r="D550" s="102" t="s">
        <v>185</v>
      </c>
      <c r="E550" s="102" t="s">
        <v>587</v>
      </c>
      <c r="F550" s="102" t="s">
        <v>1327</v>
      </c>
      <c r="G550" s="102" t="s">
        <v>1328</v>
      </c>
      <c r="H550" s="102" t="s">
        <v>1329</v>
      </c>
      <c r="I550" s="102" t="s">
        <v>63</v>
      </c>
      <c r="J550" s="102"/>
      <c r="K550" s="102" t="s">
        <v>591</v>
      </c>
      <c r="L550" s="104">
        <v>39661</v>
      </c>
      <c r="M550" s="102" t="s">
        <v>1815</v>
      </c>
      <c r="N550" s="102" t="s">
        <v>1816</v>
      </c>
      <c r="O550" s="102" t="s">
        <v>383</v>
      </c>
      <c r="P550" s="103">
        <v>1</v>
      </c>
      <c r="Q550" s="105">
        <v>3377500</v>
      </c>
      <c r="R550" s="102"/>
      <c r="S550" s="105">
        <v>0</v>
      </c>
      <c r="T550" s="105">
        <v>3377500</v>
      </c>
      <c r="U550" s="105">
        <v>0</v>
      </c>
      <c r="V550" s="105">
        <v>0</v>
      </c>
      <c r="W550" s="105">
        <v>0</v>
      </c>
      <c r="X550" s="105">
        <v>0</v>
      </c>
      <c r="Y550" s="105">
        <v>0</v>
      </c>
      <c r="Z550" s="105">
        <v>0</v>
      </c>
      <c r="AA550" s="105">
        <v>0</v>
      </c>
      <c r="AB550" s="105">
        <v>0</v>
      </c>
      <c r="AC550" s="8">
        <f t="shared" si="56"/>
        <v>3377500</v>
      </c>
      <c r="AD550" s="8">
        <f t="shared" si="57"/>
        <v>0</v>
      </c>
      <c r="AE550" s="8">
        <f t="shared" si="58"/>
        <v>0</v>
      </c>
      <c r="AF550" s="106">
        <f t="shared" si="59"/>
        <v>0</v>
      </c>
      <c r="AG550" s="8">
        <f t="shared" si="60"/>
        <v>0</v>
      </c>
      <c r="AH550" s="8">
        <f>IF($O550="Aktif",MAX(0,MIN($AE550,$AD550-SUM($AG550:AG550))),0)</f>
        <v>0</v>
      </c>
      <c r="AI550" s="8">
        <f>IF($O550="Aktif",MAX(0,MIN($AE550,$AD550-SUM($AG550:AH550))),0)</f>
        <v>0</v>
      </c>
      <c r="AJ550" s="8">
        <f>IF($O550="Aktif",MAX(0,MIN($AE550,$AD550-SUM($AG550:AI550))),0)</f>
        <v>0</v>
      </c>
      <c r="AK550" s="8">
        <f>IF($O550="Aktif",MAX(0,MIN($AE550,$AD550-SUM($AG550:AJ550))),0)</f>
        <v>0</v>
      </c>
      <c r="AL550" s="8">
        <f>IF($O550="Aktif",MAX(0,MIN($AE550,$AD550-SUM($AG550:AK550))),0)</f>
        <v>0</v>
      </c>
      <c r="AM550" s="8">
        <f>IF($O550="Aktif",MAX(0,MIN($AE550,$AD550-SUM($AG550:AL550))),0)</f>
        <v>0</v>
      </c>
      <c r="AN550" s="8">
        <f>IF($O550="Aktif",MAX(0,MIN($AE550,$AD550-SUM($AG550:AM550))),0)</f>
        <v>0</v>
      </c>
      <c r="AO550" s="8">
        <f>IF($O550="Aktif",MAX(0,MIN($AE550,$AD550-SUM($AG550:AN550))),0)</f>
        <v>0</v>
      </c>
      <c r="AP550" s="8">
        <f>IF($O550="Aktif",MAX(0,MIN($AE550,$AD550-SUM($AG550:AO550))),0)</f>
        <v>0</v>
      </c>
      <c r="AQ550" s="8">
        <f>IF($O550="Aktif",MAX(0,MIN($AE550,$AD550-SUM($AG550:AP550))),0)</f>
        <v>0</v>
      </c>
      <c r="AR550" s="8">
        <f>IF($O550="Aktif",MAX(0,MIN($AE550,$AD550-SUM($AG550:AQ550))),0)</f>
        <v>0</v>
      </c>
      <c r="AS550" s="8">
        <f>IF($O550="Aktif",MAX(0,MIN($AE550,$AD550-SUM($AG550:AR550))),0)</f>
        <v>0</v>
      </c>
      <c r="AT550" s="8">
        <f>IF($O550="Aktif",MAX(0,MIN($AE550,$AD550-SUM($AG550:AS550))),0)</f>
        <v>0</v>
      </c>
      <c r="AU550" s="8">
        <f>IF($O550="Aktif",MAX(0,MIN($AE550,$AD550-SUM($AG550:AT550))),0)</f>
        <v>0</v>
      </c>
      <c r="AV550" s="8">
        <f>IF($O550="Aktif",MAX(0,MIN($AE550,$AD550-SUM($AG550:AU550))),0)</f>
        <v>0</v>
      </c>
      <c r="AW550" s="8">
        <f t="shared" si="61"/>
        <v>0</v>
      </c>
      <c r="AX550" s="8">
        <f t="shared" si="62"/>
        <v>0</v>
      </c>
    </row>
    <row r="551" spans="1:50" ht="15" customHeight="1" x14ac:dyDescent="0.35">
      <c r="A551" s="102">
        <v>545</v>
      </c>
      <c r="B551" s="102" t="s">
        <v>1326</v>
      </c>
      <c r="C551" s="103">
        <v>179</v>
      </c>
      <c r="D551" s="102" t="s">
        <v>185</v>
      </c>
      <c r="E551" s="102" t="s">
        <v>587</v>
      </c>
      <c r="F551" s="102" t="s">
        <v>1327</v>
      </c>
      <c r="G551" s="102" t="s">
        <v>1328</v>
      </c>
      <c r="H551" s="102" t="s">
        <v>1329</v>
      </c>
      <c r="I551" s="102" t="s">
        <v>63</v>
      </c>
      <c r="J551" s="102"/>
      <c r="K551" s="102" t="s">
        <v>591</v>
      </c>
      <c r="L551" s="104">
        <v>39661</v>
      </c>
      <c r="M551" s="102" t="s">
        <v>1817</v>
      </c>
      <c r="N551" s="102" t="s">
        <v>1818</v>
      </c>
      <c r="O551" s="102" t="s">
        <v>383</v>
      </c>
      <c r="P551" s="103">
        <v>1</v>
      </c>
      <c r="Q551" s="105">
        <v>475000</v>
      </c>
      <c r="R551" s="102"/>
      <c r="S551" s="105">
        <v>0</v>
      </c>
      <c r="T551" s="105">
        <v>475000</v>
      </c>
      <c r="U551" s="105">
        <v>0</v>
      </c>
      <c r="V551" s="105">
        <v>0</v>
      </c>
      <c r="W551" s="105">
        <v>0</v>
      </c>
      <c r="X551" s="105">
        <v>0</v>
      </c>
      <c r="Y551" s="105">
        <v>0</v>
      </c>
      <c r="Z551" s="105">
        <v>0</v>
      </c>
      <c r="AA551" s="105">
        <v>0</v>
      </c>
      <c r="AB551" s="105">
        <v>0</v>
      </c>
      <c r="AC551" s="8">
        <f t="shared" si="56"/>
        <v>475000</v>
      </c>
      <c r="AD551" s="8">
        <f t="shared" si="57"/>
        <v>0</v>
      </c>
      <c r="AE551" s="8">
        <f t="shared" si="58"/>
        <v>0</v>
      </c>
      <c r="AF551" s="106">
        <f t="shared" si="59"/>
        <v>0</v>
      </c>
      <c r="AG551" s="8">
        <f t="shared" si="60"/>
        <v>0</v>
      </c>
      <c r="AH551" s="8">
        <f>IF($O551="Aktif",MAX(0,MIN($AE551,$AD551-SUM($AG551:AG551))),0)</f>
        <v>0</v>
      </c>
      <c r="AI551" s="8">
        <f>IF($O551="Aktif",MAX(0,MIN($AE551,$AD551-SUM($AG551:AH551))),0)</f>
        <v>0</v>
      </c>
      <c r="AJ551" s="8">
        <f>IF($O551="Aktif",MAX(0,MIN($AE551,$AD551-SUM($AG551:AI551))),0)</f>
        <v>0</v>
      </c>
      <c r="AK551" s="8">
        <f>IF($O551="Aktif",MAX(0,MIN($AE551,$AD551-SUM($AG551:AJ551))),0)</f>
        <v>0</v>
      </c>
      <c r="AL551" s="8">
        <f>IF($O551="Aktif",MAX(0,MIN($AE551,$AD551-SUM($AG551:AK551))),0)</f>
        <v>0</v>
      </c>
      <c r="AM551" s="8">
        <f>IF($O551="Aktif",MAX(0,MIN($AE551,$AD551-SUM($AG551:AL551))),0)</f>
        <v>0</v>
      </c>
      <c r="AN551" s="8">
        <f>IF($O551="Aktif",MAX(0,MIN($AE551,$AD551-SUM($AG551:AM551))),0)</f>
        <v>0</v>
      </c>
      <c r="AO551" s="8">
        <f>IF($O551="Aktif",MAX(0,MIN($AE551,$AD551-SUM($AG551:AN551))),0)</f>
        <v>0</v>
      </c>
      <c r="AP551" s="8">
        <f>IF($O551="Aktif",MAX(0,MIN($AE551,$AD551-SUM($AG551:AO551))),0)</f>
        <v>0</v>
      </c>
      <c r="AQ551" s="8">
        <f>IF($O551="Aktif",MAX(0,MIN($AE551,$AD551-SUM($AG551:AP551))),0)</f>
        <v>0</v>
      </c>
      <c r="AR551" s="8">
        <f>IF($O551="Aktif",MAX(0,MIN($AE551,$AD551-SUM($AG551:AQ551))),0)</f>
        <v>0</v>
      </c>
      <c r="AS551" s="8">
        <f>IF($O551="Aktif",MAX(0,MIN($AE551,$AD551-SUM($AG551:AR551))),0)</f>
        <v>0</v>
      </c>
      <c r="AT551" s="8">
        <f>IF($O551="Aktif",MAX(0,MIN($AE551,$AD551-SUM($AG551:AS551))),0)</f>
        <v>0</v>
      </c>
      <c r="AU551" s="8">
        <f>IF($O551="Aktif",MAX(0,MIN($AE551,$AD551-SUM($AG551:AT551))),0)</f>
        <v>0</v>
      </c>
      <c r="AV551" s="8">
        <f>IF($O551="Aktif",MAX(0,MIN($AE551,$AD551-SUM($AG551:AU551))),0)</f>
        <v>0</v>
      </c>
      <c r="AW551" s="8">
        <f t="shared" si="61"/>
        <v>0</v>
      </c>
      <c r="AX551" s="8">
        <f t="shared" si="62"/>
        <v>0</v>
      </c>
    </row>
    <row r="552" spans="1:50" ht="15" customHeight="1" x14ac:dyDescent="0.35">
      <c r="A552" s="102">
        <v>546</v>
      </c>
      <c r="B552" s="102" t="s">
        <v>1326</v>
      </c>
      <c r="C552" s="103">
        <v>180</v>
      </c>
      <c r="D552" s="102" t="s">
        <v>185</v>
      </c>
      <c r="E552" s="102" t="s">
        <v>587</v>
      </c>
      <c r="F552" s="102" t="s">
        <v>1327</v>
      </c>
      <c r="G552" s="102" t="s">
        <v>1328</v>
      </c>
      <c r="H552" s="102" t="s">
        <v>1329</v>
      </c>
      <c r="I552" s="102" t="s">
        <v>63</v>
      </c>
      <c r="J552" s="102"/>
      <c r="K552" s="102" t="s">
        <v>591</v>
      </c>
      <c r="L552" s="104">
        <v>39661</v>
      </c>
      <c r="M552" s="102" t="s">
        <v>1819</v>
      </c>
      <c r="N552" s="102" t="s">
        <v>1820</v>
      </c>
      <c r="O552" s="102" t="s">
        <v>383</v>
      </c>
      <c r="P552" s="103">
        <v>1</v>
      </c>
      <c r="Q552" s="105">
        <v>625000</v>
      </c>
      <c r="R552" s="102"/>
      <c r="S552" s="105">
        <v>0</v>
      </c>
      <c r="T552" s="105">
        <v>625000</v>
      </c>
      <c r="U552" s="105">
        <v>0</v>
      </c>
      <c r="V552" s="105">
        <v>0</v>
      </c>
      <c r="W552" s="105">
        <v>0</v>
      </c>
      <c r="X552" s="105">
        <v>0</v>
      </c>
      <c r="Y552" s="105">
        <v>0</v>
      </c>
      <c r="Z552" s="105">
        <v>0</v>
      </c>
      <c r="AA552" s="105">
        <v>0</v>
      </c>
      <c r="AB552" s="105">
        <v>0</v>
      </c>
      <c r="AC552" s="8">
        <f t="shared" si="56"/>
        <v>625000</v>
      </c>
      <c r="AD552" s="8">
        <f t="shared" si="57"/>
        <v>0</v>
      </c>
      <c r="AE552" s="8">
        <f t="shared" si="58"/>
        <v>0</v>
      </c>
      <c r="AF552" s="106">
        <f t="shared" si="59"/>
        <v>0</v>
      </c>
      <c r="AG552" s="8">
        <f t="shared" si="60"/>
        <v>0</v>
      </c>
      <c r="AH552" s="8">
        <f>IF($O552="Aktif",MAX(0,MIN($AE552,$AD552-SUM($AG552:AG552))),0)</f>
        <v>0</v>
      </c>
      <c r="AI552" s="8">
        <f>IF($O552="Aktif",MAX(0,MIN($AE552,$AD552-SUM($AG552:AH552))),0)</f>
        <v>0</v>
      </c>
      <c r="AJ552" s="8">
        <f>IF($O552="Aktif",MAX(0,MIN($AE552,$AD552-SUM($AG552:AI552))),0)</f>
        <v>0</v>
      </c>
      <c r="AK552" s="8">
        <f>IF($O552="Aktif",MAX(0,MIN($AE552,$AD552-SUM($AG552:AJ552))),0)</f>
        <v>0</v>
      </c>
      <c r="AL552" s="8">
        <f>IF($O552="Aktif",MAX(0,MIN($AE552,$AD552-SUM($AG552:AK552))),0)</f>
        <v>0</v>
      </c>
      <c r="AM552" s="8">
        <f>IF($O552="Aktif",MAX(0,MIN($AE552,$AD552-SUM($AG552:AL552))),0)</f>
        <v>0</v>
      </c>
      <c r="AN552" s="8">
        <f>IF($O552="Aktif",MAX(0,MIN($AE552,$AD552-SUM($AG552:AM552))),0)</f>
        <v>0</v>
      </c>
      <c r="AO552" s="8">
        <f>IF($O552="Aktif",MAX(0,MIN($AE552,$AD552-SUM($AG552:AN552))),0)</f>
        <v>0</v>
      </c>
      <c r="AP552" s="8">
        <f>IF($O552="Aktif",MAX(0,MIN($AE552,$AD552-SUM($AG552:AO552))),0)</f>
        <v>0</v>
      </c>
      <c r="AQ552" s="8">
        <f>IF($O552="Aktif",MAX(0,MIN($AE552,$AD552-SUM($AG552:AP552))),0)</f>
        <v>0</v>
      </c>
      <c r="AR552" s="8">
        <f>IF($O552="Aktif",MAX(0,MIN($AE552,$AD552-SUM($AG552:AQ552))),0)</f>
        <v>0</v>
      </c>
      <c r="AS552" s="8">
        <f>IF($O552="Aktif",MAX(0,MIN($AE552,$AD552-SUM($AG552:AR552))),0)</f>
        <v>0</v>
      </c>
      <c r="AT552" s="8">
        <f>IF($O552="Aktif",MAX(0,MIN($AE552,$AD552-SUM($AG552:AS552))),0)</f>
        <v>0</v>
      </c>
      <c r="AU552" s="8">
        <f>IF($O552="Aktif",MAX(0,MIN($AE552,$AD552-SUM($AG552:AT552))),0)</f>
        <v>0</v>
      </c>
      <c r="AV552" s="8">
        <f>IF($O552="Aktif",MAX(0,MIN($AE552,$AD552-SUM($AG552:AU552))),0)</f>
        <v>0</v>
      </c>
      <c r="AW552" s="8">
        <f t="shared" si="61"/>
        <v>0</v>
      </c>
      <c r="AX552" s="8">
        <f t="shared" si="62"/>
        <v>0</v>
      </c>
    </row>
    <row r="553" spans="1:50" ht="15" customHeight="1" x14ac:dyDescent="0.35">
      <c r="A553" s="102">
        <v>547</v>
      </c>
      <c r="B553" s="102" t="s">
        <v>1326</v>
      </c>
      <c r="C553" s="103">
        <v>181</v>
      </c>
      <c r="D553" s="102" t="s">
        <v>185</v>
      </c>
      <c r="E553" s="102" t="s">
        <v>587</v>
      </c>
      <c r="F553" s="102" t="s">
        <v>1327</v>
      </c>
      <c r="G553" s="102" t="s">
        <v>1328</v>
      </c>
      <c r="H553" s="102" t="s">
        <v>1329</v>
      </c>
      <c r="I553" s="102" t="s">
        <v>63</v>
      </c>
      <c r="J553" s="102"/>
      <c r="K553" s="102" t="s">
        <v>591</v>
      </c>
      <c r="L553" s="104">
        <v>39661</v>
      </c>
      <c r="M553" s="102" t="s">
        <v>1821</v>
      </c>
      <c r="N553" s="102" t="s">
        <v>1822</v>
      </c>
      <c r="O553" s="102" t="s">
        <v>383</v>
      </c>
      <c r="P553" s="103">
        <v>1</v>
      </c>
      <c r="Q553" s="105">
        <v>313000</v>
      </c>
      <c r="R553" s="102"/>
      <c r="S553" s="105">
        <v>0</v>
      </c>
      <c r="T553" s="105">
        <v>313000</v>
      </c>
      <c r="U553" s="105">
        <v>0</v>
      </c>
      <c r="V553" s="105">
        <v>0</v>
      </c>
      <c r="W553" s="105">
        <v>0</v>
      </c>
      <c r="X553" s="105">
        <v>0</v>
      </c>
      <c r="Y553" s="105">
        <v>0</v>
      </c>
      <c r="Z553" s="105">
        <v>0</v>
      </c>
      <c r="AA553" s="105">
        <v>0</v>
      </c>
      <c r="AB553" s="105">
        <v>0</v>
      </c>
      <c r="AC553" s="8">
        <f t="shared" si="56"/>
        <v>313000</v>
      </c>
      <c r="AD553" s="8">
        <f t="shared" si="57"/>
        <v>0</v>
      </c>
      <c r="AE553" s="8">
        <f t="shared" si="58"/>
        <v>0</v>
      </c>
      <c r="AF553" s="106">
        <f t="shared" si="59"/>
        <v>0</v>
      </c>
      <c r="AG553" s="8">
        <f t="shared" si="60"/>
        <v>0</v>
      </c>
      <c r="AH553" s="8">
        <f>IF($O553="Aktif",MAX(0,MIN($AE553,$AD553-SUM($AG553:AG553))),0)</f>
        <v>0</v>
      </c>
      <c r="AI553" s="8">
        <f>IF($O553="Aktif",MAX(0,MIN($AE553,$AD553-SUM($AG553:AH553))),0)</f>
        <v>0</v>
      </c>
      <c r="AJ553" s="8">
        <f>IF($O553="Aktif",MAX(0,MIN($AE553,$AD553-SUM($AG553:AI553))),0)</f>
        <v>0</v>
      </c>
      <c r="AK553" s="8">
        <f>IF($O553="Aktif",MAX(0,MIN($AE553,$AD553-SUM($AG553:AJ553))),0)</f>
        <v>0</v>
      </c>
      <c r="AL553" s="8">
        <f>IF($O553="Aktif",MAX(0,MIN($AE553,$AD553-SUM($AG553:AK553))),0)</f>
        <v>0</v>
      </c>
      <c r="AM553" s="8">
        <f>IF($O553="Aktif",MAX(0,MIN($AE553,$AD553-SUM($AG553:AL553))),0)</f>
        <v>0</v>
      </c>
      <c r="AN553" s="8">
        <f>IF($O553="Aktif",MAX(0,MIN($AE553,$AD553-SUM($AG553:AM553))),0)</f>
        <v>0</v>
      </c>
      <c r="AO553" s="8">
        <f>IF($O553="Aktif",MAX(0,MIN($AE553,$AD553-SUM($AG553:AN553))),0)</f>
        <v>0</v>
      </c>
      <c r="AP553" s="8">
        <f>IF($O553="Aktif",MAX(0,MIN($AE553,$AD553-SUM($AG553:AO553))),0)</f>
        <v>0</v>
      </c>
      <c r="AQ553" s="8">
        <f>IF($O553="Aktif",MAX(0,MIN($AE553,$AD553-SUM($AG553:AP553))),0)</f>
        <v>0</v>
      </c>
      <c r="AR553" s="8">
        <f>IF($O553="Aktif",MAX(0,MIN($AE553,$AD553-SUM($AG553:AQ553))),0)</f>
        <v>0</v>
      </c>
      <c r="AS553" s="8">
        <f>IF($O553="Aktif",MAX(0,MIN($AE553,$AD553-SUM($AG553:AR553))),0)</f>
        <v>0</v>
      </c>
      <c r="AT553" s="8">
        <f>IF($O553="Aktif",MAX(0,MIN($AE553,$AD553-SUM($AG553:AS553))),0)</f>
        <v>0</v>
      </c>
      <c r="AU553" s="8">
        <f>IF($O553="Aktif",MAX(0,MIN($AE553,$AD553-SUM($AG553:AT553))),0)</f>
        <v>0</v>
      </c>
      <c r="AV553" s="8">
        <f>IF($O553="Aktif",MAX(0,MIN($AE553,$AD553-SUM($AG553:AU553))),0)</f>
        <v>0</v>
      </c>
      <c r="AW553" s="8">
        <f t="shared" si="61"/>
        <v>0</v>
      </c>
      <c r="AX553" s="8">
        <f t="shared" si="62"/>
        <v>0</v>
      </c>
    </row>
    <row r="554" spans="1:50" ht="15" customHeight="1" x14ac:dyDescent="0.35">
      <c r="A554" s="102">
        <v>548</v>
      </c>
      <c r="B554" s="102" t="s">
        <v>1326</v>
      </c>
      <c r="C554" s="103">
        <v>182</v>
      </c>
      <c r="D554" s="102" t="s">
        <v>185</v>
      </c>
      <c r="E554" s="102" t="s">
        <v>587</v>
      </c>
      <c r="F554" s="102" t="s">
        <v>1327</v>
      </c>
      <c r="G554" s="102" t="s">
        <v>1328</v>
      </c>
      <c r="H554" s="102" t="s">
        <v>1329</v>
      </c>
      <c r="I554" s="102" t="s">
        <v>63</v>
      </c>
      <c r="J554" s="102"/>
      <c r="K554" s="102" t="s">
        <v>591</v>
      </c>
      <c r="L554" s="104">
        <v>39780</v>
      </c>
      <c r="M554" s="102" t="s">
        <v>1823</v>
      </c>
      <c r="N554" s="102" t="s">
        <v>1824</v>
      </c>
      <c r="O554" s="102" t="s">
        <v>383</v>
      </c>
      <c r="P554" s="103">
        <v>1</v>
      </c>
      <c r="Q554" s="105">
        <v>9100000</v>
      </c>
      <c r="R554" s="102"/>
      <c r="S554" s="105">
        <v>0</v>
      </c>
      <c r="T554" s="105">
        <v>9100000</v>
      </c>
      <c r="U554" s="105">
        <v>0</v>
      </c>
      <c r="V554" s="105">
        <v>0</v>
      </c>
      <c r="W554" s="105">
        <v>0</v>
      </c>
      <c r="X554" s="105">
        <v>0</v>
      </c>
      <c r="Y554" s="105">
        <v>0</v>
      </c>
      <c r="Z554" s="105">
        <v>0</v>
      </c>
      <c r="AA554" s="105">
        <v>0</v>
      </c>
      <c r="AB554" s="105">
        <v>0</v>
      </c>
      <c r="AC554" s="8">
        <f t="shared" si="56"/>
        <v>9100000</v>
      </c>
      <c r="AD554" s="8">
        <f t="shared" si="57"/>
        <v>0</v>
      </c>
      <c r="AE554" s="8">
        <f t="shared" si="58"/>
        <v>0</v>
      </c>
      <c r="AF554" s="106">
        <f t="shared" si="59"/>
        <v>0</v>
      </c>
      <c r="AG554" s="8">
        <f t="shared" si="60"/>
        <v>0</v>
      </c>
      <c r="AH554" s="8">
        <f>IF($O554="Aktif",MAX(0,MIN($AE554,$AD554-SUM($AG554:AG554))),0)</f>
        <v>0</v>
      </c>
      <c r="AI554" s="8">
        <f>IF($O554="Aktif",MAX(0,MIN($AE554,$AD554-SUM($AG554:AH554))),0)</f>
        <v>0</v>
      </c>
      <c r="AJ554" s="8">
        <f>IF($O554="Aktif",MAX(0,MIN($AE554,$AD554-SUM($AG554:AI554))),0)</f>
        <v>0</v>
      </c>
      <c r="AK554" s="8">
        <f>IF($O554="Aktif",MAX(0,MIN($AE554,$AD554-SUM($AG554:AJ554))),0)</f>
        <v>0</v>
      </c>
      <c r="AL554" s="8">
        <f>IF($O554="Aktif",MAX(0,MIN($AE554,$AD554-SUM($AG554:AK554))),0)</f>
        <v>0</v>
      </c>
      <c r="AM554" s="8">
        <f>IF($O554="Aktif",MAX(0,MIN($AE554,$AD554-SUM($AG554:AL554))),0)</f>
        <v>0</v>
      </c>
      <c r="AN554" s="8">
        <f>IF($O554="Aktif",MAX(0,MIN($AE554,$AD554-SUM($AG554:AM554))),0)</f>
        <v>0</v>
      </c>
      <c r="AO554" s="8">
        <f>IF($O554="Aktif",MAX(0,MIN($AE554,$AD554-SUM($AG554:AN554))),0)</f>
        <v>0</v>
      </c>
      <c r="AP554" s="8">
        <f>IF($O554="Aktif",MAX(0,MIN($AE554,$AD554-SUM($AG554:AO554))),0)</f>
        <v>0</v>
      </c>
      <c r="AQ554" s="8">
        <f>IF($O554="Aktif",MAX(0,MIN($AE554,$AD554-SUM($AG554:AP554))),0)</f>
        <v>0</v>
      </c>
      <c r="AR554" s="8">
        <f>IF($O554="Aktif",MAX(0,MIN($AE554,$AD554-SUM($AG554:AQ554))),0)</f>
        <v>0</v>
      </c>
      <c r="AS554" s="8">
        <f>IF($O554="Aktif",MAX(0,MIN($AE554,$AD554-SUM($AG554:AR554))),0)</f>
        <v>0</v>
      </c>
      <c r="AT554" s="8">
        <f>IF($O554="Aktif",MAX(0,MIN($AE554,$AD554-SUM($AG554:AS554))),0)</f>
        <v>0</v>
      </c>
      <c r="AU554" s="8">
        <f>IF($O554="Aktif",MAX(0,MIN($AE554,$AD554-SUM($AG554:AT554))),0)</f>
        <v>0</v>
      </c>
      <c r="AV554" s="8">
        <f>IF($O554="Aktif",MAX(0,MIN($AE554,$AD554-SUM($AG554:AU554))),0)</f>
        <v>0</v>
      </c>
      <c r="AW554" s="8">
        <f t="shared" si="61"/>
        <v>0</v>
      </c>
      <c r="AX554" s="8">
        <f t="shared" si="62"/>
        <v>0</v>
      </c>
    </row>
    <row r="555" spans="1:50" ht="15" customHeight="1" x14ac:dyDescent="0.35">
      <c r="A555" s="102">
        <v>549</v>
      </c>
      <c r="B555" s="102" t="s">
        <v>1326</v>
      </c>
      <c r="C555" s="103">
        <v>183</v>
      </c>
      <c r="D555" s="102" t="s">
        <v>185</v>
      </c>
      <c r="E555" s="102" t="s">
        <v>587</v>
      </c>
      <c r="F555" s="102" t="s">
        <v>1327</v>
      </c>
      <c r="G555" s="102" t="s">
        <v>1328</v>
      </c>
      <c r="H555" s="102" t="s">
        <v>1329</v>
      </c>
      <c r="I555" s="102" t="s">
        <v>63</v>
      </c>
      <c r="J555" s="102"/>
      <c r="K555" s="102" t="s">
        <v>591</v>
      </c>
      <c r="L555" s="104">
        <v>39917</v>
      </c>
      <c r="M555" s="102" t="s">
        <v>1825</v>
      </c>
      <c r="N555" s="102" t="s">
        <v>1826</v>
      </c>
      <c r="O555" s="102" t="s">
        <v>383</v>
      </c>
      <c r="P555" s="103">
        <v>1</v>
      </c>
      <c r="Q555" s="105">
        <v>76631388</v>
      </c>
      <c r="R555" s="102"/>
      <c r="S555" s="105">
        <v>0</v>
      </c>
      <c r="T555" s="105">
        <v>76631388</v>
      </c>
      <c r="U555" s="105">
        <v>0</v>
      </c>
      <c r="V555" s="105">
        <v>0</v>
      </c>
      <c r="W555" s="105">
        <v>0</v>
      </c>
      <c r="X555" s="105">
        <v>0</v>
      </c>
      <c r="Y555" s="105">
        <v>0</v>
      </c>
      <c r="Z555" s="105">
        <v>0</v>
      </c>
      <c r="AA555" s="105">
        <v>0</v>
      </c>
      <c r="AB555" s="105">
        <v>0</v>
      </c>
      <c r="AC555" s="8">
        <f t="shared" si="56"/>
        <v>76631388</v>
      </c>
      <c r="AD555" s="8">
        <f t="shared" si="57"/>
        <v>0</v>
      </c>
      <c r="AE555" s="8">
        <f t="shared" si="58"/>
        <v>0</v>
      </c>
      <c r="AF555" s="106">
        <f t="shared" si="59"/>
        <v>0</v>
      </c>
      <c r="AG555" s="8">
        <f t="shared" si="60"/>
        <v>0</v>
      </c>
      <c r="AH555" s="8">
        <f>IF($O555="Aktif",MAX(0,MIN($AE555,$AD555-SUM($AG555:AG555))),0)</f>
        <v>0</v>
      </c>
      <c r="AI555" s="8">
        <f>IF($O555="Aktif",MAX(0,MIN($AE555,$AD555-SUM($AG555:AH555))),0)</f>
        <v>0</v>
      </c>
      <c r="AJ555" s="8">
        <f>IF($O555="Aktif",MAX(0,MIN($AE555,$AD555-SUM($AG555:AI555))),0)</f>
        <v>0</v>
      </c>
      <c r="AK555" s="8">
        <f>IF($O555="Aktif",MAX(0,MIN($AE555,$AD555-SUM($AG555:AJ555))),0)</f>
        <v>0</v>
      </c>
      <c r="AL555" s="8">
        <f>IF($O555="Aktif",MAX(0,MIN($AE555,$AD555-SUM($AG555:AK555))),0)</f>
        <v>0</v>
      </c>
      <c r="AM555" s="8">
        <f>IF($O555="Aktif",MAX(0,MIN($AE555,$AD555-SUM($AG555:AL555))),0)</f>
        <v>0</v>
      </c>
      <c r="AN555" s="8">
        <f>IF($O555="Aktif",MAX(0,MIN($AE555,$AD555-SUM($AG555:AM555))),0)</f>
        <v>0</v>
      </c>
      <c r="AO555" s="8">
        <f>IF($O555="Aktif",MAX(0,MIN($AE555,$AD555-SUM($AG555:AN555))),0)</f>
        <v>0</v>
      </c>
      <c r="AP555" s="8">
        <f>IF($O555="Aktif",MAX(0,MIN($AE555,$AD555-SUM($AG555:AO555))),0)</f>
        <v>0</v>
      </c>
      <c r="AQ555" s="8">
        <f>IF($O555="Aktif",MAX(0,MIN($AE555,$AD555-SUM($AG555:AP555))),0)</f>
        <v>0</v>
      </c>
      <c r="AR555" s="8">
        <f>IF($O555="Aktif",MAX(0,MIN($AE555,$AD555-SUM($AG555:AQ555))),0)</f>
        <v>0</v>
      </c>
      <c r="AS555" s="8">
        <f>IF($O555="Aktif",MAX(0,MIN($AE555,$AD555-SUM($AG555:AR555))),0)</f>
        <v>0</v>
      </c>
      <c r="AT555" s="8">
        <f>IF($O555="Aktif",MAX(0,MIN($AE555,$AD555-SUM($AG555:AS555))),0)</f>
        <v>0</v>
      </c>
      <c r="AU555" s="8">
        <f>IF($O555="Aktif",MAX(0,MIN($AE555,$AD555-SUM($AG555:AT555))),0)</f>
        <v>0</v>
      </c>
      <c r="AV555" s="8">
        <f>IF($O555="Aktif",MAX(0,MIN($AE555,$AD555-SUM($AG555:AU555))),0)</f>
        <v>0</v>
      </c>
      <c r="AW555" s="8">
        <f t="shared" si="61"/>
        <v>0</v>
      </c>
      <c r="AX555" s="8">
        <f t="shared" si="62"/>
        <v>0</v>
      </c>
    </row>
    <row r="556" spans="1:50" ht="15" customHeight="1" x14ac:dyDescent="0.35">
      <c r="A556" s="102">
        <v>550</v>
      </c>
      <c r="B556" s="102" t="s">
        <v>1326</v>
      </c>
      <c r="C556" s="103">
        <v>184</v>
      </c>
      <c r="D556" s="102" t="s">
        <v>185</v>
      </c>
      <c r="E556" s="102" t="s">
        <v>587</v>
      </c>
      <c r="F556" s="102" t="s">
        <v>1327</v>
      </c>
      <c r="G556" s="102" t="s">
        <v>1328</v>
      </c>
      <c r="H556" s="102" t="s">
        <v>1329</v>
      </c>
      <c r="I556" s="102" t="s">
        <v>63</v>
      </c>
      <c r="J556" s="102"/>
      <c r="K556" s="102" t="s">
        <v>591</v>
      </c>
      <c r="L556" s="104">
        <v>39962</v>
      </c>
      <c r="M556" s="102" t="s">
        <v>1827</v>
      </c>
      <c r="N556" s="102" t="s">
        <v>1828</v>
      </c>
      <c r="O556" s="102" t="s">
        <v>383</v>
      </c>
      <c r="P556" s="103">
        <v>1</v>
      </c>
      <c r="Q556" s="105">
        <v>595000</v>
      </c>
      <c r="R556" s="102"/>
      <c r="S556" s="105">
        <v>0</v>
      </c>
      <c r="T556" s="105">
        <v>595000</v>
      </c>
      <c r="U556" s="105">
        <v>0</v>
      </c>
      <c r="V556" s="105">
        <v>0</v>
      </c>
      <c r="W556" s="105">
        <v>0</v>
      </c>
      <c r="X556" s="105">
        <v>0</v>
      </c>
      <c r="Y556" s="105">
        <v>0</v>
      </c>
      <c r="Z556" s="105">
        <v>0</v>
      </c>
      <c r="AA556" s="105">
        <v>0</v>
      </c>
      <c r="AB556" s="105">
        <v>0</v>
      </c>
      <c r="AC556" s="8">
        <f t="shared" si="56"/>
        <v>595000</v>
      </c>
      <c r="AD556" s="8">
        <f t="shared" si="57"/>
        <v>0</v>
      </c>
      <c r="AE556" s="8">
        <f t="shared" si="58"/>
        <v>0</v>
      </c>
      <c r="AF556" s="106">
        <f t="shared" si="59"/>
        <v>0</v>
      </c>
      <c r="AG556" s="8">
        <f t="shared" si="60"/>
        <v>0</v>
      </c>
      <c r="AH556" s="8">
        <f>IF($O556="Aktif",MAX(0,MIN($AE556,$AD556-SUM($AG556:AG556))),0)</f>
        <v>0</v>
      </c>
      <c r="AI556" s="8">
        <f>IF($O556="Aktif",MAX(0,MIN($AE556,$AD556-SUM($AG556:AH556))),0)</f>
        <v>0</v>
      </c>
      <c r="AJ556" s="8">
        <f>IF($O556="Aktif",MAX(0,MIN($AE556,$AD556-SUM($AG556:AI556))),0)</f>
        <v>0</v>
      </c>
      <c r="AK556" s="8">
        <f>IF($O556="Aktif",MAX(0,MIN($AE556,$AD556-SUM($AG556:AJ556))),0)</f>
        <v>0</v>
      </c>
      <c r="AL556" s="8">
        <f>IF($O556="Aktif",MAX(0,MIN($AE556,$AD556-SUM($AG556:AK556))),0)</f>
        <v>0</v>
      </c>
      <c r="AM556" s="8">
        <f>IF($O556="Aktif",MAX(0,MIN($AE556,$AD556-SUM($AG556:AL556))),0)</f>
        <v>0</v>
      </c>
      <c r="AN556" s="8">
        <f>IF($O556="Aktif",MAX(0,MIN($AE556,$AD556-SUM($AG556:AM556))),0)</f>
        <v>0</v>
      </c>
      <c r="AO556" s="8">
        <f>IF($O556="Aktif",MAX(0,MIN($AE556,$AD556-SUM($AG556:AN556))),0)</f>
        <v>0</v>
      </c>
      <c r="AP556" s="8">
        <f>IF($O556="Aktif",MAX(0,MIN($AE556,$AD556-SUM($AG556:AO556))),0)</f>
        <v>0</v>
      </c>
      <c r="AQ556" s="8">
        <f>IF($O556="Aktif",MAX(0,MIN($AE556,$AD556-SUM($AG556:AP556))),0)</f>
        <v>0</v>
      </c>
      <c r="AR556" s="8">
        <f>IF($O556="Aktif",MAX(0,MIN($AE556,$AD556-SUM($AG556:AQ556))),0)</f>
        <v>0</v>
      </c>
      <c r="AS556" s="8">
        <f>IF($O556="Aktif",MAX(0,MIN($AE556,$AD556-SUM($AG556:AR556))),0)</f>
        <v>0</v>
      </c>
      <c r="AT556" s="8">
        <f>IF($O556="Aktif",MAX(0,MIN($AE556,$AD556-SUM($AG556:AS556))),0)</f>
        <v>0</v>
      </c>
      <c r="AU556" s="8">
        <f>IF($O556="Aktif",MAX(0,MIN($AE556,$AD556-SUM($AG556:AT556))),0)</f>
        <v>0</v>
      </c>
      <c r="AV556" s="8">
        <f>IF($O556="Aktif",MAX(0,MIN($AE556,$AD556-SUM($AG556:AU556))),0)</f>
        <v>0</v>
      </c>
      <c r="AW556" s="8">
        <f t="shared" si="61"/>
        <v>0</v>
      </c>
      <c r="AX556" s="8">
        <f t="shared" si="62"/>
        <v>0</v>
      </c>
    </row>
    <row r="557" spans="1:50" ht="15" customHeight="1" x14ac:dyDescent="0.35">
      <c r="A557" s="102">
        <v>551</v>
      </c>
      <c r="B557" s="102" t="s">
        <v>1326</v>
      </c>
      <c r="C557" s="103">
        <v>185</v>
      </c>
      <c r="D557" s="102" t="s">
        <v>185</v>
      </c>
      <c r="E557" s="102" t="s">
        <v>587</v>
      </c>
      <c r="F557" s="102" t="s">
        <v>1327</v>
      </c>
      <c r="G557" s="102" t="s">
        <v>1328</v>
      </c>
      <c r="H557" s="102" t="s">
        <v>1329</v>
      </c>
      <c r="I557" s="102" t="s">
        <v>63</v>
      </c>
      <c r="J557" s="102"/>
      <c r="K557" s="102" t="s">
        <v>591</v>
      </c>
      <c r="L557" s="104">
        <v>39983</v>
      </c>
      <c r="M557" s="102" t="s">
        <v>1829</v>
      </c>
      <c r="N557" s="102" t="s">
        <v>1830</v>
      </c>
      <c r="O557" s="102" t="s">
        <v>383</v>
      </c>
      <c r="P557" s="103">
        <v>1</v>
      </c>
      <c r="Q557" s="105">
        <v>3000000</v>
      </c>
      <c r="R557" s="102"/>
      <c r="S557" s="105">
        <v>0</v>
      </c>
      <c r="T557" s="105">
        <v>3000000</v>
      </c>
      <c r="U557" s="105">
        <v>0</v>
      </c>
      <c r="V557" s="105">
        <v>0</v>
      </c>
      <c r="W557" s="105">
        <v>0</v>
      </c>
      <c r="X557" s="105">
        <v>0</v>
      </c>
      <c r="Y557" s="105">
        <v>0</v>
      </c>
      <c r="Z557" s="105">
        <v>0</v>
      </c>
      <c r="AA557" s="105">
        <v>0</v>
      </c>
      <c r="AB557" s="105">
        <v>0</v>
      </c>
      <c r="AC557" s="8">
        <f t="shared" si="56"/>
        <v>3000000</v>
      </c>
      <c r="AD557" s="8">
        <f t="shared" si="57"/>
        <v>0</v>
      </c>
      <c r="AE557" s="8">
        <f t="shared" si="58"/>
        <v>0</v>
      </c>
      <c r="AF557" s="106">
        <f t="shared" si="59"/>
        <v>0</v>
      </c>
      <c r="AG557" s="8">
        <f t="shared" si="60"/>
        <v>0</v>
      </c>
      <c r="AH557" s="8">
        <f>IF($O557="Aktif",MAX(0,MIN($AE557,$AD557-SUM($AG557:AG557))),0)</f>
        <v>0</v>
      </c>
      <c r="AI557" s="8">
        <f>IF($O557="Aktif",MAX(0,MIN($AE557,$AD557-SUM($AG557:AH557))),0)</f>
        <v>0</v>
      </c>
      <c r="AJ557" s="8">
        <f>IF($O557="Aktif",MAX(0,MIN($AE557,$AD557-SUM($AG557:AI557))),0)</f>
        <v>0</v>
      </c>
      <c r="AK557" s="8">
        <f>IF($O557="Aktif",MAX(0,MIN($AE557,$AD557-SUM($AG557:AJ557))),0)</f>
        <v>0</v>
      </c>
      <c r="AL557" s="8">
        <f>IF($O557="Aktif",MAX(0,MIN($AE557,$AD557-SUM($AG557:AK557))),0)</f>
        <v>0</v>
      </c>
      <c r="AM557" s="8">
        <f>IF($O557="Aktif",MAX(0,MIN($AE557,$AD557-SUM($AG557:AL557))),0)</f>
        <v>0</v>
      </c>
      <c r="AN557" s="8">
        <f>IF($O557="Aktif",MAX(0,MIN($AE557,$AD557-SUM($AG557:AM557))),0)</f>
        <v>0</v>
      </c>
      <c r="AO557" s="8">
        <f>IF($O557="Aktif",MAX(0,MIN($AE557,$AD557-SUM($AG557:AN557))),0)</f>
        <v>0</v>
      </c>
      <c r="AP557" s="8">
        <f>IF($O557="Aktif",MAX(0,MIN($AE557,$AD557-SUM($AG557:AO557))),0)</f>
        <v>0</v>
      </c>
      <c r="AQ557" s="8">
        <f>IF($O557="Aktif",MAX(0,MIN($AE557,$AD557-SUM($AG557:AP557))),0)</f>
        <v>0</v>
      </c>
      <c r="AR557" s="8">
        <f>IF($O557="Aktif",MAX(0,MIN($AE557,$AD557-SUM($AG557:AQ557))),0)</f>
        <v>0</v>
      </c>
      <c r="AS557" s="8">
        <f>IF($O557="Aktif",MAX(0,MIN($AE557,$AD557-SUM($AG557:AR557))),0)</f>
        <v>0</v>
      </c>
      <c r="AT557" s="8">
        <f>IF($O557="Aktif",MAX(0,MIN($AE557,$AD557-SUM($AG557:AS557))),0)</f>
        <v>0</v>
      </c>
      <c r="AU557" s="8">
        <f>IF($O557="Aktif",MAX(0,MIN($AE557,$AD557-SUM($AG557:AT557))),0)</f>
        <v>0</v>
      </c>
      <c r="AV557" s="8">
        <f>IF($O557="Aktif",MAX(0,MIN($AE557,$AD557-SUM($AG557:AU557))),0)</f>
        <v>0</v>
      </c>
      <c r="AW557" s="8">
        <f t="shared" si="61"/>
        <v>0</v>
      </c>
      <c r="AX557" s="8">
        <f t="shared" si="62"/>
        <v>0</v>
      </c>
    </row>
    <row r="558" spans="1:50" ht="15" customHeight="1" x14ac:dyDescent="0.35">
      <c r="A558" s="102">
        <v>552</v>
      </c>
      <c r="B558" s="102" t="s">
        <v>1326</v>
      </c>
      <c r="C558" s="103">
        <v>186</v>
      </c>
      <c r="D558" s="102" t="s">
        <v>185</v>
      </c>
      <c r="E558" s="102" t="s">
        <v>587</v>
      </c>
      <c r="F558" s="102" t="s">
        <v>1327</v>
      </c>
      <c r="G558" s="102" t="s">
        <v>1328</v>
      </c>
      <c r="H558" s="102" t="s">
        <v>1329</v>
      </c>
      <c r="I558" s="102" t="s">
        <v>63</v>
      </c>
      <c r="J558" s="102"/>
      <c r="K558" s="102" t="s">
        <v>591</v>
      </c>
      <c r="L558" s="104">
        <v>40056</v>
      </c>
      <c r="M558" s="102" t="s">
        <v>1831</v>
      </c>
      <c r="N558" s="102" t="s">
        <v>1832</v>
      </c>
      <c r="O558" s="102" t="s">
        <v>383</v>
      </c>
      <c r="P558" s="103">
        <v>1</v>
      </c>
      <c r="Q558" s="105">
        <v>3300000</v>
      </c>
      <c r="R558" s="102"/>
      <c r="S558" s="105">
        <v>0</v>
      </c>
      <c r="T558" s="105">
        <v>3300000</v>
      </c>
      <c r="U558" s="105">
        <v>0</v>
      </c>
      <c r="V558" s="105">
        <v>0</v>
      </c>
      <c r="W558" s="105">
        <v>0</v>
      </c>
      <c r="X558" s="105">
        <v>0</v>
      </c>
      <c r="Y558" s="105">
        <v>0</v>
      </c>
      <c r="Z558" s="105">
        <v>0</v>
      </c>
      <c r="AA558" s="105">
        <v>0</v>
      </c>
      <c r="AB558" s="105">
        <v>0</v>
      </c>
      <c r="AC558" s="8">
        <f t="shared" si="56"/>
        <v>3300000</v>
      </c>
      <c r="AD558" s="8">
        <f t="shared" si="57"/>
        <v>0</v>
      </c>
      <c r="AE558" s="8">
        <f t="shared" si="58"/>
        <v>0</v>
      </c>
      <c r="AF558" s="106">
        <f t="shared" si="59"/>
        <v>0</v>
      </c>
      <c r="AG558" s="8">
        <f t="shared" si="60"/>
        <v>0</v>
      </c>
      <c r="AH558" s="8">
        <f>IF($O558="Aktif",MAX(0,MIN($AE558,$AD558-SUM($AG558:AG558))),0)</f>
        <v>0</v>
      </c>
      <c r="AI558" s="8">
        <f>IF($O558="Aktif",MAX(0,MIN($AE558,$AD558-SUM($AG558:AH558))),0)</f>
        <v>0</v>
      </c>
      <c r="AJ558" s="8">
        <f>IF($O558="Aktif",MAX(0,MIN($AE558,$AD558-SUM($AG558:AI558))),0)</f>
        <v>0</v>
      </c>
      <c r="AK558" s="8">
        <f>IF($O558="Aktif",MAX(0,MIN($AE558,$AD558-SUM($AG558:AJ558))),0)</f>
        <v>0</v>
      </c>
      <c r="AL558" s="8">
        <f>IF($O558="Aktif",MAX(0,MIN($AE558,$AD558-SUM($AG558:AK558))),0)</f>
        <v>0</v>
      </c>
      <c r="AM558" s="8">
        <f>IF($O558="Aktif",MAX(0,MIN($AE558,$AD558-SUM($AG558:AL558))),0)</f>
        <v>0</v>
      </c>
      <c r="AN558" s="8">
        <f>IF($O558="Aktif",MAX(0,MIN($AE558,$AD558-SUM($AG558:AM558))),0)</f>
        <v>0</v>
      </c>
      <c r="AO558" s="8">
        <f>IF($O558="Aktif",MAX(0,MIN($AE558,$AD558-SUM($AG558:AN558))),0)</f>
        <v>0</v>
      </c>
      <c r="AP558" s="8">
        <f>IF($O558="Aktif",MAX(0,MIN($AE558,$AD558-SUM($AG558:AO558))),0)</f>
        <v>0</v>
      </c>
      <c r="AQ558" s="8">
        <f>IF($O558="Aktif",MAX(0,MIN($AE558,$AD558-SUM($AG558:AP558))),0)</f>
        <v>0</v>
      </c>
      <c r="AR558" s="8">
        <f>IF($O558="Aktif",MAX(0,MIN($AE558,$AD558-SUM($AG558:AQ558))),0)</f>
        <v>0</v>
      </c>
      <c r="AS558" s="8">
        <f>IF($O558="Aktif",MAX(0,MIN($AE558,$AD558-SUM($AG558:AR558))),0)</f>
        <v>0</v>
      </c>
      <c r="AT558" s="8">
        <f>IF($O558="Aktif",MAX(0,MIN($AE558,$AD558-SUM($AG558:AS558))),0)</f>
        <v>0</v>
      </c>
      <c r="AU558" s="8">
        <f>IF($O558="Aktif",MAX(0,MIN($AE558,$AD558-SUM($AG558:AT558))),0)</f>
        <v>0</v>
      </c>
      <c r="AV558" s="8">
        <f>IF($O558="Aktif",MAX(0,MIN($AE558,$AD558-SUM($AG558:AU558))),0)</f>
        <v>0</v>
      </c>
      <c r="AW558" s="8">
        <f t="shared" si="61"/>
        <v>0</v>
      </c>
      <c r="AX558" s="8">
        <f t="shared" si="62"/>
        <v>0</v>
      </c>
    </row>
    <row r="559" spans="1:50" ht="15" customHeight="1" x14ac:dyDescent="0.35">
      <c r="A559" s="102">
        <v>553</v>
      </c>
      <c r="B559" s="102" t="s">
        <v>1326</v>
      </c>
      <c r="C559" s="103">
        <v>187</v>
      </c>
      <c r="D559" s="102" t="s">
        <v>185</v>
      </c>
      <c r="E559" s="102" t="s">
        <v>587</v>
      </c>
      <c r="F559" s="102" t="s">
        <v>1327</v>
      </c>
      <c r="G559" s="102" t="s">
        <v>1328</v>
      </c>
      <c r="H559" s="102" t="s">
        <v>1329</v>
      </c>
      <c r="I559" s="102" t="s">
        <v>63</v>
      </c>
      <c r="J559" s="102"/>
      <c r="K559" s="102" t="s">
        <v>591</v>
      </c>
      <c r="L559" s="104">
        <v>40162</v>
      </c>
      <c r="M559" s="102" t="s">
        <v>1833</v>
      </c>
      <c r="N559" s="102" t="s">
        <v>1834</v>
      </c>
      <c r="O559" s="102" t="s">
        <v>383</v>
      </c>
      <c r="P559" s="103">
        <v>1</v>
      </c>
      <c r="Q559" s="105">
        <v>340000</v>
      </c>
      <c r="R559" s="102"/>
      <c r="S559" s="105">
        <v>0</v>
      </c>
      <c r="T559" s="105">
        <v>340000</v>
      </c>
      <c r="U559" s="105">
        <v>0</v>
      </c>
      <c r="V559" s="105">
        <v>0</v>
      </c>
      <c r="W559" s="105">
        <v>0</v>
      </c>
      <c r="X559" s="105">
        <v>0</v>
      </c>
      <c r="Y559" s="105">
        <v>0</v>
      </c>
      <c r="Z559" s="105">
        <v>0</v>
      </c>
      <c r="AA559" s="105">
        <v>0</v>
      </c>
      <c r="AB559" s="105">
        <v>0</v>
      </c>
      <c r="AC559" s="8">
        <f t="shared" si="56"/>
        <v>340000</v>
      </c>
      <c r="AD559" s="8">
        <f t="shared" si="57"/>
        <v>0</v>
      </c>
      <c r="AE559" s="8">
        <f t="shared" si="58"/>
        <v>0</v>
      </c>
      <c r="AF559" s="106">
        <f t="shared" si="59"/>
        <v>0</v>
      </c>
      <c r="AG559" s="8">
        <f t="shared" si="60"/>
        <v>0</v>
      </c>
      <c r="AH559" s="8">
        <f>IF($O559="Aktif",MAX(0,MIN($AE559,$AD559-SUM($AG559:AG559))),0)</f>
        <v>0</v>
      </c>
      <c r="AI559" s="8">
        <f>IF($O559="Aktif",MAX(0,MIN($AE559,$AD559-SUM($AG559:AH559))),0)</f>
        <v>0</v>
      </c>
      <c r="AJ559" s="8">
        <f>IF($O559="Aktif",MAX(0,MIN($AE559,$AD559-SUM($AG559:AI559))),0)</f>
        <v>0</v>
      </c>
      <c r="AK559" s="8">
        <f>IF($O559="Aktif",MAX(0,MIN($AE559,$AD559-SUM($AG559:AJ559))),0)</f>
        <v>0</v>
      </c>
      <c r="AL559" s="8">
        <f>IF($O559="Aktif",MAX(0,MIN($AE559,$AD559-SUM($AG559:AK559))),0)</f>
        <v>0</v>
      </c>
      <c r="AM559" s="8">
        <f>IF($O559="Aktif",MAX(0,MIN($AE559,$AD559-SUM($AG559:AL559))),0)</f>
        <v>0</v>
      </c>
      <c r="AN559" s="8">
        <f>IF($O559="Aktif",MAX(0,MIN($AE559,$AD559-SUM($AG559:AM559))),0)</f>
        <v>0</v>
      </c>
      <c r="AO559" s="8">
        <f>IF($O559="Aktif",MAX(0,MIN($AE559,$AD559-SUM($AG559:AN559))),0)</f>
        <v>0</v>
      </c>
      <c r="AP559" s="8">
        <f>IF($O559="Aktif",MAX(0,MIN($AE559,$AD559-SUM($AG559:AO559))),0)</f>
        <v>0</v>
      </c>
      <c r="AQ559" s="8">
        <f>IF($O559="Aktif",MAX(0,MIN($AE559,$AD559-SUM($AG559:AP559))),0)</f>
        <v>0</v>
      </c>
      <c r="AR559" s="8">
        <f>IF($O559="Aktif",MAX(0,MIN($AE559,$AD559-SUM($AG559:AQ559))),0)</f>
        <v>0</v>
      </c>
      <c r="AS559" s="8">
        <f>IF($O559="Aktif",MAX(0,MIN($AE559,$AD559-SUM($AG559:AR559))),0)</f>
        <v>0</v>
      </c>
      <c r="AT559" s="8">
        <f>IF($O559="Aktif",MAX(0,MIN($AE559,$AD559-SUM($AG559:AS559))),0)</f>
        <v>0</v>
      </c>
      <c r="AU559" s="8">
        <f>IF($O559="Aktif",MAX(0,MIN($AE559,$AD559-SUM($AG559:AT559))),0)</f>
        <v>0</v>
      </c>
      <c r="AV559" s="8">
        <f>IF($O559="Aktif",MAX(0,MIN($AE559,$AD559-SUM($AG559:AU559))),0)</f>
        <v>0</v>
      </c>
      <c r="AW559" s="8">
        <f t="shared" si="61"/>
        <v>0</v>
      </c>
      <c r="AX559" s="8">
        <f t="shared" si="62"/>
        <v>0</v>
      </c>
    </row>
    <row r="560" spans="1:50" ht="15" customHeight="1" x14ac:dyDescent="0.35">
      <c r="A560" s="102">
        <v>554</v>
      </c>
      <c r="B560" s="102" t="s">
        <v>1326</v>
      </c>
      <c r="C560" s="103">
        <v>188</v>
      </c>
      <c r="D560" s="102" t="s">
        <v>185</v>
      </c>
      <c r="E560" s="102" t="s">
        <v>587</v>
      </c>
      <c r="F560" s="102" t="s">
        <v>1327</v>
      </c>
      <c r="G560" s="102" t="s">
        <v>1328</v>
      </c>
      <c r="H560" s="102" t="s">
        <v>1329</v>
      </c>
      <c r="I560" s="102" t="s">
        <v>63</v>
      </c>
      <c r="J560" s="102"/>
      <c r="K560" s="102" t="s">
        <v>591</v>
      </c>
      <c r="L560" s="104">
        <v>40179</v>
      </c>
      <c r="M560" s="102" t="s">
        <v>1835</v>
      </c>
      <c r="N560" s="102" t="s">
        <v>1836</v>
      </c>
      <c r="O560" s="102" t="s">
        <v>383</v>
      </c>
      <c r="P560" s="103">
        <v>1</v>
      </c>
      <c r="Q560" s="105">
        <v>235696452</v>
      </c>
      <c r="R560" s="102"/>
      <c r="S560" s="105">
        <v>0</v>
      </c>
      <c r="T560" s="105">
        <v>235696452</v>
      </c>
      <c r="U560" s="105">
        <v>0</v>
      </c>
      <c r="V560" s="105">
        <v>0</v>
      </c>
      <c r="W560" s="105">
        <v>0</v>
      </c>
      <c r="X560" s="105">
        <v>0</v>
      </c>
      <c r="Y560" s="105">
        <v>0</v>
      </c>
      <c r="Z560" s="105">
        <v>0</v>
      </c>
      <c r="AA560" s="105">
        <v>0</v>
      </c>
      <c r="AB560" s="105">
        <v>0</v>
      </c>
      <c r="AC560" s="8">
        <f t="shared" si="56"/>
        <v>235696452</v>
      </c>
      <c r="AD560" s="8">
        <f t="shared" si="57"/>
        <v>0</v>
      </c>
      <c r="AE560" s="8">
        <f t="shared" si="58"/>
        <v>0</v>
      </c>
      <c r="AF560" s="106">
        <f t="shared" si="59"/>
        <v>0</v>
      </c>
      <c r="AG560" s="8">
        <f t="shared" si="60"/>
        <v>0</v>
      </c>
      <c r="AH560" s="8">
        <f>IF($O560="Aktif",MAX(0,MIN($AE560,$AD560-SUM($AG560:AG560))),0)</f>
        <v>0</v>
      </c>
      <c r="AI560" s="8">
        <f>IF($O560="Aktif",MAX(0,MIN($AE560,$AD560-SUM($AG560:AH560))),0)</f>
        <v>0</v>
      </c>
      <c r="AJ560" s="8">
        <f>IF($O560="Aktif",MAX(0,MIN($AE560,$AD560-SUM($AG560:AI560))),0)</f>
        <v>0</v>
      </c>
      <c r="AK560" s="8">
        <f>IF($O560="Aktif",MAX(0,MIN($AE560,$AD560-SUM($AG560:AJ560))),0)</f>
        <v>0</v>
      </c>
      <c r="AL560" s="8">
        <f>IF($O560="Aktif",MAX(0,MIN($AE560,$AD560-SUM($AG560:AK560))),0)</f>
        <v>0</v>
      </c>
      <c r="AM560" s="8">
        <f>IF($O560="Aktif",MAX(0,MIN($AE560,$AD560-SUM($AG560:AL560))),0)</f>
        <v>0</v>
      </c>
      <c r="AN560" s="8">
        <f>IF($O560="Aktif",MAX(0,MIN($AE560,$AD560-SUM($AG560:AM560))),0)</f>
        <v>0</v>
      </c>
      <c r="AO560" s="8">
        <f>IF($O560="Aktif",MAX(0,MIN($AE560,$AD560-SUM($AG560:AN560))),0)</f>
        <v>0</v>
      </c>
      <c r="AP560" s="8">
        <f>IF($O560="Aktif",MAX(0,MIN($AE560,$AD560-SUM($AG560:AO560))),0)</f>
        <v>0</v>
      </c>
      <c r="AQ560" s="8">
        <f>IF($O560="Aktif",MAX(0,MIN($AE560,$AD560-SUM($AG560:AP560))),0)</f>
        <v>0</v>
      </c>
      <c r="AR560" s="8">
        <f>IF($O560="Aktif",MAX(0,MIN($AE560,$AD560-SUM($AG560:AQ560))),0)</f>
        <v>0</v>
      </c>
      <c r="AS560" s="8">
        <f>IF($O560="Aktif",MAX(0,MIN($AE560,$AD560-SUM($AG560:AR560))),0)</f>
        <v>0</v>
      </c>
      <c r="AT560" s="8">
        <f>IF($O560="Aktif",MAX(0,MIN($AE560,$AD560-SUM($AG560:AS560))),0)</f>
        <v>0</v>
      </c>
      <c r="AU560" s="8">
        <f>IF($O560="Aktif",MAX(0,MIN($AE560,$AD560-SUM($AG560:AT560))),0)</f>
        <v>0</v>
      </c>
      <c r="AV560" s="8">
        <f>IF($O560="Aktif",MAX(0,MIN($AE560,$AD560-SUM($AG560:AU560))),0)</f>
        <v>0</v>
      </c>
      <c r="AW560" s="8">
        <f t="shared" si="61"/>
        <v>0</v>
      </c>
      <c r="AX560" s="8">
        <f t="shared" si="62"/>
        <v>0</v>
      </c>
    </row>
    <row r="561" spans="1:50" ht="15" customHeight="1" x14ac:dyDescent="0.35">
      <c r="A561" s="102">
        <v>555</v>
      </c>
      <c r="B561" s="102" t="s">
        <v>1326</v>
      </c>
      <c r="C561" s="103">
        <v>189</v>
      </c>
      <c r="D561" s="102" t="s">
        <v>185</v>
      </c>
      <c r="E561" s="102" t="s">
        <v>587</v>
      </c>
      <c r="F561" s="102" t="s">
        <v>1327</v>
      </c>
      <c r="G561" s="102" t="s">
        <v>1328</v>
      </c>
      <c r="H561" s="102" t="s">
        <v>1329</v>
      </c>
      <c r="I561" s="102" t="s">
        <v>63</v>
      </c>
      <c r="J561" s="102"/>
      <c r="K561" s="102" t="s">
        <v>591</v>
      </c>
      <c r="L561" s="104">
        <v>40179</v>
      </c>
      <c r="M561" s="102" t="s">
        <v>1837</v>
      </c>
      <c r="N561" s="102" t="s">
        <v>1838</v>
      </c>
      <c r="O561" s="102" t="s">
        <v>383</v>
      </c>
      <c r="P561" s="103">
        <v>1</v>
      </c>
      <c r="Q561" s="105">
        <v>17800000</v>
      </c>
      <c r="R561" s="102"/>
      <c r="S561" s="105">
        <v>0</v>
      </c>
      <c r="T561" s="105">
        <v>17800000</v>
      </c>
      <c r="U561" s="105">
        <v>0</v>
      </c>
      <c r="V561" s="105">
        <v>0</v>
      </c>
      <c r="W561" s="105">
        <v>0</v>
      </c>
      <c r="X561" s="105">
        <v>0</v>
      </c>
      <c r="Y561" s="105">
        <v>0</v>
      </c>
      <c r="Z561" s="105">
        <v>0</v>
      </c>
      <c r="AA561" s="105">
        <v>0</v>
      </c>
      <c r="AB561" s="105">
        <v>0</v>
      </c>
      <c r="AC561" s="8">
        <f t="shared" si="56"/>
        <v>17800000</v>
      </c>
      <c r="AD561" s="8">
        <f t="shared" si="57"/>
        <v>0</v>
      </c>
      <c r="AE561" s="8">
        <f t="shared" si="58"/>
        <v>0</v>
      </c>
      <c r="AF561" s="106">
        <f t="shared" si="59"/>
        <v>0</v>
      </c>
      <c r="AG561" s="8">
        <f t="shared" si="60"/>
        <v>0</v>
      </c>
      <c r="AH561" s="8">
        <f>IF($O561="Aktif",MAX(0,MIN($AE561,$AD561-SUM($AG561:AG561))),0)</f>
        <v>0</v>
      </c>
      <c r="AI561" s="8">
        <f>IF($O561="Aktif",MAX(0,MIN($AE561,$AD561-SUM($AG561:AH561))),0)</f>
        <v>0</v>
      </c>
      <c r="AJ561" s="8">
        <f>IF($O561="Aktif",MAX(0,MIN($AE561,$AD561-SUM($AG561:AI561))),0)</f>
        <v>0</v>
      </c>
      <c r="AK561" s="8">
        <f>IF($O561="Aktif",MAX(0,MIN($AE561,$AD561-SUM($AG561:AJ561))),0)</f>
        <v>0</v>
      </c>
      <c r="AL561" s="8">
        <f>IF($O561="Aktif",MAX(0,MIN($AE561,$AD561-SUM($AG561:AK561))),0)</f>
        <v>0</v>
      </c>
      <c r="AM561" s="8">
        <f>IF($O561="Aktif",MAX(0,MIN($AE561,$AD561-SUM($AG561:AL561))),0)</f>
        <v>0</v>
      </c>
      <c r="AN561" s="8">
        <f>IF($O561="Aktif",MAX(0,MIN($AE561,$AD561-SUM($AG561:AM561))),0)</f>
        <v>0</v>
      </c>
      <c r="AO561" s="8">
        <f>IF($O561="Aktif",MAX(0,MIN($AE561,$AD561-SUM($AG561:AN561))),0)</f>
        <v>0</v>
      </c>
      <c r="AP561" s="8">
        <f>IF($O561="Aktif",MAX(0,MIN($AE561,$AD561-SUM($AG561:AO561))),0)</f>
        <v>0</v>
      </c>
      <c r="AQ561" s="8">
        <f>IF($O561="Aktif",MAX(0,MIN($AE561,$AD561-SUM($AG561:AP561))),0)</f>
        <v>0</v>
      </c>
      <c r="AR561" s="8">
        <f>IF($O561="Aktif",MAX(0,MIN($AE561,$AD561-SUM($AG561:AQ561))),0)</f>
        <v>0</v>
      </c>
      <c r="AS561" s="8">
        <f>IF($O561="Aktif",MAX(0,MIN($AE561,$AD561-SUM($AG561:AR561))),0)</f>
        <v>0</v>
      </c>
      <c r="AT561" s="8">
        <f>IF($O561="Aktif",MAX(0,MIN($AE561,$AD561-SUM($AG561:AS561))),0)</f>
        <v>0</v>
      </c>
      <c r="AU561" s="8">
        <f>IF($O561="Aktif",MAX(0,MIN($AE561,$AD561-SUM($AG561:AT561))),0)</f>
        <v>0</v>
      </c>
      <c r="AV561" s="8">
        <f>IF($O561="Aktif",MAX(0,MIN($AE561,$AD561-SUM($AG561:AU561))),0)</f>
        <v>0</v>
      </c>
      <c r="AW561" s="8">
        <f t="shared" si="61"/>
        <v>0</v>
      </c>
      <c r="AX561" s="8">
        <f t="shared" si="62"/>
        <v>0</v>
      </c>
    </row>
    <row r="562" spans="1:50" ht="15" customHeight="1" x14ac:dyDescent="0.35">
      <c r="A562" s="102">
        <v>556</v>
      </c>
      <c r="B562" s="102" t="s">
        <v>1326</v>
      </c>
      <c r="C562" s="103">
        <v>190</v>
      </c>
      <c r="D562" s="102" t="s">
        <v>185</v>
      </c>
      <c r="E562" s="102" t="s">
        <v>587</v>
      </c>
      <c r="F562" s="102" t="s">
        <v>1327</v>
      </c>
      <c r="G562" s="102" t="s">
        <v>1328</v>
      </c>
      <c r="H562" s="102" t="s">
        <v>1329</v>
      </c>
      <c r="I562" s="102" t="s">
        <v>63</v>
      </c>
      <c r="J562" s="102"/>
      <c r="K562" s="102" t="s">
        <v>591</v>
      </c>
      <c r="L562" s="104">
        <v>40256</v>
      </c>
      <c r="M562" s="102" t="s">
        <v>1829</v>
      </c>
      <c r="N562" s="102" t="s">
        <v>1830</v>
      </c>
      <c r="O562" s="102" t="s">
        <v>383</v>
      </c>
      <c r="P562" s="103">
        <v>1</v>
      </c>
      <c r="Q562" s="105">
        <v>2250000</v>
      </c>
      <c r="R562" s="102"/>
      <c r="S562" s="105">
        <v>0</v>
      </c>
      <c r="T562" s="105">
        <v>2250000</v>
      </c>
      <c r="U562" s="105">
        <v>0</v>
      </c>
      <c r="V562" s="105">
        <v>0</v>
      </c>
      <c r="W562" s="105">
        <v>0</v>
      </c>
      <c r="X562" s="105">
        <v>0</v>
      </c>
      <c r="Y562" s="105">
        <v>0</v>
      </c>
      <c r="Z562" s="105">
        <v>0</v>
      </c>
      <c r="AA562" s="105">
        <v>0</v>
      </c>
      <c r="AB562" s="105">
        <v>0</v>
      </c>
      <c r="AC562" s="8">
        <f t="shared" si="56"/>
        <v>2250000</v>
      </c>
      <c r="AD562" s="8">
        <f t="shared" si="57"/>
        <v>0</v>
      </c>
      <c r="AE562" s="8">
        <f t="shared" si="58"/>
        <v>0</v>
      </c>
      <c r="AF562" s="106">
        <f t="shared" si="59"/>
        <v>0</v>
      </c>
      <c r="AG562" s="8">
        <f t="shared" si="60"/>
        <v>0</v>
      </c>
      <c r="AH562" s="8">
        <f>IF($O562="Aktif",MAX(0,MIN($AE562,$AD562-SUM($AG562:AG562))),0)</f>
        <v>0</v>
      </c>
      <c r="AI562" s="8">
        <f>IF($O562="Aktif",MAX(0,MIN($AE562,$AD562-SUM($AG562:AH562))),0)</f>
        <v>0</v>
      </c>
      <c r="AJ562" s="8">
        <f>IF($O562="Aktif",MAX(0,MIN($AE562,$AD562-SUM($AG562:AI562))),0)</f>
        <v>0</v>
      </c>
      <c r="AK562" s="8">
        <f>IF($O562="Aktif",MAX(0,MIN($AE562,$AD562-SUM($AG562:AJ562))),0)</f>
        <v>0</v>
      </c>
      <c r="AL562" s="8">
        <f>IF($O562="Aktif",MAX(0,MIN($AE562,$AD562-SUM($AG562:AK562))),0)</f>
        <v>0</v>
      </c>
      <c r="AM562" s="8">
        <f>IF($O562="Aktif",MAX(0,MIN($AE562,$AD562-SUM($AG562:AL562))),0)</f>
        <v>0</v>
      </c>
      <c r="AN562" s="8">
        <f>IF($O562="Aktif",MAX(0,MIN($AE562,$AD562-SUM($AG562:AM562))),0)</f>
        <v>0</v>
      </c>
      <c r="AO562" s="8">
        <f>IF($O562="Aktif",MAX(0,MIN($AE562,$AD562-SUM($AG562:AN562))),0)</f>
        <v>0</v>
      </c>
      <c r="AP562" s="8">
        <f>IF($O562="Aktif",MAX(0,MIN($AE562,$AD562-SUM($AG562:AO562))),0)</f>
        <v>0</v>
      </c>
      <c r="AQ562" s="8">
        <f>IF($O562="Aktif",MAX(0,MIN($AE562,$AD562-SUM($AG562:AP562))),0)</f>
        <v>0</v>
      </c>
      <c r="AR562" s="8">
        <f>IF($O562="Aktif",MAX(0,MIN($AE562,$AD562-SUM($AG562:AQ562))),0)</f>
        <v>0</v>
      </c>
      <c r="AS562" s="8">
        <f>IF($O562="Aktif",MAX(0,MIN($AE562,$AD562-SUM($AG562:AR562))),0)</f>
        <v>0</v>
      </c>
      <c r="AT562" s="8">
        <f>IF($O562="Aktif",MAX(0,MIN($AE562,$AD562-SUM($AG562:AS562))),0)</f>
        <v>0</v>
      </c>
      <c r="AU562" s="8">
        <f>IF($O562="Aktif",MAX(0,MIN($AE562,$AD562-SUM($AG562:AT562))),0)</f>
        <v>0</v>
      </c>
      <c r="AV562" s="8">
        <f>IF($O562="Aktif",MAX(0,MIN($AE562,$AD562-SUM($AG562:AU562))),0)</f>
        <v>0</v>
      </c>
      <c r="AW562" s="8">
        <f t="shared" si="61"/>
        <v>0</v>
      </c>
      <c r="AX562" s="8">
        <f t="shared" si="62"/>
        <v>0</v>
      </c>
    </row>
    <row r="563" spans="1:50" ht="15" customHeight="1" x14ac:dyDescent="0.35">
      <c r="A563" s="102">
        <v>557</v>
      </c>
      <c r="B563" s="102" t="s">
        <v>1326</v>
      </c>
      <c r="C563" s="103">
        <v>191</v>
      </c>
      <c r="D563" s="102" t="s">
        <v>185</v>
      </c>
      <c r="E563" s="102" t="s">
        <v>587</v>
      </c>
      <c r="F563" s="102" t="s">
        <v>1327</v>
      </c>
      <c r="G563" s="102" t="s">
        <v>1328</v>
      </c>
      <c r="H563" s="102" t="s">
        <v>1329</v>
      </c>
      <c r="I563" s="102" t="s">
        <v>63</v>
      </c>
      <c r="J563" s="102"/>
      <c r="K563" s="102" t="s">
        <v>591</v>
      </c>
      <c r="L563" s="104">
        <v>40340</v>
      </c>
      <c r="M563" s="102" t="s">
        <v>1839</v>
      </c>
      <c r="N563" s="102" t="s">
        <v>1840</v>
      </c>
      <c r="O563" s="102" t="s">
        <v>383</v>
      </c>
      <c r="P563" s="103">
        <v>1</v>
      </c>
      <c r="Q563" s="105">
        <v>9075000</v>
      </c>
      <c r="R563" s="102"/>
      <c r="S563" s="105">
        <v>0</v>
      </c>
      <c r="T563" s="105">
        <v>9075000</v>
      </c>
      <c r="U563" s="105">
        <v>0</v>
      </c>
      <c r="V563" s="105">
        <v>0</v>
      </c>
      <c r="W563" s="105">
        <v>0</v>
      </c>
      <c r="X563" s="105">
        <v>0</v>
      </c>
      <c r="Y563" s="105">
        <v>0</v>
      </c>
      <c r="Z563" s="105">
        <v>0</v>
      </c>
      <c r="AA563" s="105">
        <v>0</v>
      </c>
      <c r="AB563" s="105">
        <v>0</v>
      </c>
      <c r="AC563" s="8">
        <f t="shared" si="56"/>
        <v>9075000</v>
      </c>
      <c r="AD563" s="8">
        <f t="shared" si="57"/>
        <v>0</v>
      </c>
      <c r="AE563" s="8">
        <f t="shared" si="58"/>
        <v>0</v>
      </c>
      <c r="AF563" s="106">
        <f t="shared" si="59"/>
        <v>0</v>
      </c>
      <c r="AG563" s="8">
        <f t="shared" si="60"/>
        <v>0</v>
      </c>
      <c r="AH563" s="8">
        <f>IF($O563="Aktif",MAX(0,MIN($AE563,$AD563-SUM($AG563:AG563))),0)</f>
        <v>0</v>
      </c>
      <c r="AI563" s="8">
        <f>IF($O563="Aktif",MAX(0,MIN($AE563,$AD563-SUM($AG563:AH563))),0)</f>
        <v>0</v>
      </c>
      <c r="AJ563" s="8">
        <f>IF($O563="Aktif",MAX(0,MIN($AE563,$AD563-SUM($AG563:AI563))),0)</f>
        <v>0</v>
      </c>
      <c r="AK563" s="8">
        <f>IF($O563="Aktif",MAX(0,MIN($AE563,$AD563-SUM($AG563:AJ563))),0)</f>
        <v>0</v>
      </c>
      <c r="AL563" s="8">
        <f>IF($O563="Aktif",MAX(0,MIN($AE563,$AD563-SUM($AG563:AK563))),0)</f>
        <v>0</v>
      </c>
      <c r="AM563" s="8">
        <f>IF($O563="Aktif",MAX(0,MIN($AE563,$AD563-SUM($AG563:AL563))),0)</f>
        <v>0</v>
      </c>
      <c r="AN563" s="8">
        <f>IF($O563="Aktif",MAX(0,MIN($AE563,$AD563-SUM($AG563:AM563))),0)</f>
        <v>0</v>
      </c>
      <c r="AO563" s="8">
        <f>IF($O563="Aktif",MAX(0,MIN($AE563,$AD563-SUM($AG563:AN563))),0)</f>
        <v>0</v>
      </c>
      <c r="AP563" s="8">
        <f>IF($O563="Aktif",MAX(0,MIN($AE563,$AD563-SUM($AG563:AO563))),0)</f>
        <v>0</v>
      </c>
      <c r="AQ563" s="8">
        <f>IF($O563="Aktif",MAX(0,MIN($AE563,$AD563-SUM($AG563:AP563))),0)</f>
        <v>0</v>
      </c>
      <c r="AR563" s="8">
        <f>IF($O563="Aktif",MAX(0,MIN($AE563,$AD563-SUM($AG563:AQ563))),0)</f>
        <v>0</v>
      </c>
      <c r="AS563" s="8">
        <f>IF($O563="Aktif",MAX(0,MIN($AE563,$AD563-SUM($AG563:AR563))),0)</f>
        <v>0</v>
      </c>
      <c r="AT563" s="8">
        <f>IF($O563="Aktif",MAX(0,MIN($AE563,$AD563-SUM($AG563:AS563))),0)</f>
        <v>0</v>
      </c>
      <c r="AU563" s="8">
        <f>IF($O563="Aktif",MAX(0,MIN($AE563,$AD563-SUM($AG563:AT563))),0)</f>
        <v>0</v>
      </c>
      <c r="AV563" s="8">
        <f>IF($O563="Aktif",MAX(0,MIN($AE563,$AD563-SUM($AG563:AU563))),0)</f>
        <v>0</v>
      </c>
      <c r="AW563" s="8">
        <f t="shared" si="61"/>
        <v>0</v>
      </c>
      <c r="AX563" s="8">
        <f t="shared" si="62"/>
        <v>0</v>
      </c>
    </row>
    <row r="564" spans="1:50" ht="15" customHeight="1" x14ac:dyDescent="0.35">
      <c r="A564" s="102">
        <v>558</v>
      </c>
      <c r="B564" s="102" t="s">
        <v>1326</v>
      </c>
      <c r="C564" s="103">
        <v>192</v>
      </c>
      <c r="D564" s="102" t="s">
        <v>185</v>
      </c>
      <c r="E564" s="102" t="s">
        <v>587</v>
      </c>
      <c r="F564" s="102" t="s">
        <v>1327</v>
      </c>
      <c r="G564" s="102" t="s">
        <v>1328</v>
      </c>
      <c r="H564" s="102" t="s">
        <v>1329</v>
      </c>
      <c r="I564" s="102" t="s">
        <v>63</v>
      </c>
      <c r="J564" s="102"/>
      <c r="K564" s="102" t="s">
        <v>591</v>
      </c>
      <c r="L564" s="104">
        <v>40408</v>
      </c>
      <c r="M564" s="102" t="s">
        <v>1841</v>
      </c>
      <c r="N564" s="102" t="s">
        <v>1842</v>
      </c>
      <c r="O564" s="102" t="s">
        <v>383</v>
      </c>
      <c r="P564" s="103">
        <v>1</v>
      </c>
      <c r="Q564" s="105">
        <v>800000</v>
      </c>
      <c r="R564" s="102"/>
      <c r="S564" s="105">
        <v>0</v>
      </c>
      <c r="T564" s="105">
        <v>800000</v>
      </c>
      <c r="U564" s="105">
        <v>0</v>
      </c>
      <c r="V564" s="105">
        <v>0</v>
      </c>
      <c r="W564" s="105">
        <v>0</v>
      </c>
      <c r="X564" s="105">
        <v>0</v>
      </c>
      <c r="Y564" s="105">
        <v>0</v>
      </c>
      <c r="Z564" s="105">
        <v>0</v>
      </c>
      <c r="AA564" s="105">
        <v>0</v>
      </c>
      <c r="AB564" s="105">
        <v>0</v>
      </c>
      <c r="AC564" s="8">
        <f t="shared" si="56"/>
        <v>800000</v>
      </c>
      <c r="AD564" s="8">
        <f t="shared" si="57"/>
        <v>0</v>
      </c>
      <c r="AE564" s="8">
        <f t="shared" si="58"/>
        <v>0</v>
      </c>
      <c r="AF564" s="106">
        <f t="shared" si="59"/>
        <v>0</v>
      </c>
      <c r="AG564" s="8">
        <f t="shared" si="60"/>
        <v>0</v>
      </c>
      <c r="AH564" s="8">
        <f>IF($O564="Aktif",MAX(0,MIN($AE564,$AD564-SUM($AG564:AG564))),0)</f>
        <v>0</v>
      </c>
      <c r="AI564" s="8">
        <f>IF($O564="Aktif",MAX(0,MIN($AE564,$AD564-SUM($AG564:AH564))),0)</f>
        <v>0</v>
      </c>
      <c r="AJ564" s="8">
        <f>IF($O564="Aktif",MAX(0,MIN($AE564,$AD564-SUM($AG564:AI564))),0)</f>
        <v>0</v>
      </c>
      <c r="AK564" s="8">
        <f>IF($O564="Aktif",MAX(0,MIN($AE564,$AD564-SUM($AG564:AJ564))),0)</f>
        <v>0</v>
      </c>
      <c r="AL564" s="8">
        <f>IF($O564="Aktif",MAX(0,MIN($AE564,$AD564-SUM($AG564:AK564))),0)</f>
        <v>0</v>
      </c>
      <c r="AM564" s="8">
        <f>IF($O564="Aktif",MAX(0,MIN($AE564,$AD564-SUM($AG564:AL564))),0)</f>
        <v>0</v>
      </c>
      <c r="AN564" s="8">
        <f>IF($O564="Aktif",MAX(0,MIN($AE564,$AD564-SUM($AG564:AM564))),0)</f>
        <v>0</v>
      </c>
      <c r="AO564" s="8">
        <f>IF($O564="Aktif",MAX(0,MIN($AE564,$AD564-SUM($AG564:AN564))),0)</f>
        <v>0</v>
      </c>
      <c r="AP564" s="8">
        <f>IF($O564="Aktif",MAX(0,MIN($AE564,$AD564-SUM($AG564:AO564))),0)</f>
        <v>0</v>
      </c>
      <c r="AQ564" s="8">
        <f>IF($O564="Aktif",MAX(0,MIN($AE564,$AD564-SUM($AG564:AP564))),0)</f>
        <v>0</v>
      </c>
      <c r="AR564" s="8">
        <f>IF($O564="Aktif",MAX(0,MIN($AE564,$AD564-SUM($AG564:AQ564))),0)</f>
        <v>0</v>
      </c>
      <c r="AS564" s="8">
        <f>IF($O564="Aktif",MAX(0,MIN($AE564,$AD564-SUM($AG564:AR564))),0)</f>
        <v>0</v>
      </c>
      <c r="AT564" s="8">
        <f>IF($O564="Aktif",MAX(0,MIN($AE564,$AD564-SUM($AG564:AS564))),0)</f>
        <v>0</v>
      </c>
      <c r="AU564" s="8">
        <f>IF($O564="Aktif",MAX(0,MIN($AE564,$AD564-SUM($AG564:AT564))),0)</f>
        <v>0</v>
      </c>
      <c r="AV564" s="8">
        <f>IF($O564="Aktif",MAX(0,MIN($AE564,$AD564-SUM($AG564:AU564))),0)</f>
        <v>0</v>
      </c>
      <c r="AW564" s="8">
        <f t="shared" si="61"/>
        <v>0</v>
      </c>
      <c r="AX564" s="8">
        <f t="shared" si="62"/>
        <v>0</v>
      </c>
    </row>
    <row r="565" spans="1:50" ht="15" customHeight="1" x14ac:dyDescent="0.35">
      <c r="A565" s="102">
        <v>559</v>
      </c>
      <c r="B565" s="102" t="s">
        <v>1326</v>
      </c>
      <c r="C565" s="103">
        <v>193</v>
      </c>
      <c r="D565" s="102" t="s">
        <v>185</v>
      </c>
      <c r="E565" s="102" t="s">
        <v>587</v>
      </c>
      <c r="F565" s="102" t="s">
        <v>1327</v>
      </c>
      <c r="G565" s="102" t="s">
        <v>1328</v>
      </c>
      <c r="H565" s="102" t="s">
        <v>1329</v>
      </c>
      <c r="I565" s="102" t="s">
        <v>63</v>
      </c>
      <c r="J565" s="102"/>
      <c r="K565" s="102" t="s">
        <v>591</v>
      </c>
      <c r="L565" s="104">
        <v>40414</v>
      </c>
      <c r="M565" s="102" t="s">
        <v>1843</v>
      </c>
      <c r="N565" s="102" t="s">
        <v>1844</v>
      </c>
      <c r="O565" s="102" t="s">
        <v>383</v>
      </c>
      <c r="P565" s="103">
        <v>1</v>
      </c>
      <c r="Q565" s="105">
        <v>9375000</v>
      </c>
      <c r="R565" s="102"/>
      <c r="S565" s="105">
        <v>0</v>
      </c>
      <c r="T565" s="105">
        <v>9375000</v>
      </c>
      <c r="U565" s="105">
        <v>0</v>
      </c>
      <c r="V565" s="105">
        <v>0</v>
      </c>
      <c r="W565" s="105">
        <v>0</v>
      </c>
      <c r="X565" s="105">
        <v>0</v>
      </c>
      <c r="Y565" s="105">
        <v>0</v>
      </c>
      <c r="Z565" s="105">
        <v>0</v>
      </c>
      <c r="AA565" s="105">
        <v>0</v>
      </c>
      <c r="AB565" s="105">
        <v>0</v>
      </c>
      <c r="AC565" s="8">
        <f t="shared" si="56"/>
        <v>9375000</v>
      </c>
      <c r="AD565" s="8">
        <f t="shared" si="57"/>
        <v>0</v>
      </c>
      <c r="AE565" s="8">
        <f t="shared" si="58"/>
        <v>0</v>
      </c>
      <c r="AF565" s="106">
        <f t="shared" si="59"/>
        <v>0</v>
      </c>
      <c r="AG565" s="8">
        <f t="shared" si="60"/>
        <v>0</v>
      </c>
      <c r="AH565" s="8">
        <f>IF($O565="Aktif",MAX(0,MIN($AE565,$AD565-SUM($AG565:AG565))),0)</f>
        <v>0</v>
      </c>
      <c r="AI565" s="8">
        <f>IF($O565="Aktif",MAX(0,MIN($AE565,$AD565-SUM($AG565:AH565))),0)</f>
        <v>0</v>
      </c>
      <c r="AJ565" s="8">
        <f>IF($O565="Aktif",MAX(0,MIN($AE565,$AD565-SUM($AG565:AI565))),0)</f>
        <v>0</v>
      </c>
      <c r="AK565" s="8">
        <f>IF($O565="Aktif",MAX(0,MIN($AE565,$AD565-SUM($AG565:AJ565))),0)</f>
        <v>0</v>
      </c>
      <c r="AL565" s="8">
        <f>IF($O565="Aktif",MAX(0,MIN($AE565,$AD565-SUM($AG565:AK565))),0)</f>
        <v>0</v>
      </c>
      <c r="AM565" s="8">
        <f>IF($O565="Aktif",MAX(0,MIN($AE565,$AD565-SUM($AG565:AL565))),0)</f>
        <v>0</v>
      </c>
      <c r="AN565" s="8">
        <f>IF($O565="Aktif",MAX(0,MIN($AE565,$AD565-SUM($AG565:AM565))),0)</f>
        <v>0</v>
      </c>
      <c r="AO565" s="8">
        <f>IF($O565="Aktif",MAX(0,MIN($AE565,$AD565-SUM($AG565:AN565))),0)</f>
        <v>0</v>
      </c>
      <c r="AP565" s="8">
        <f>IF($O565="Aktif",MAX(0,MIN($AE565,$AD565-SUM($AG565:AO565))),0)</f>
        <v>0</v>
      </c>
      <c r="AQ565" s="8">
        <f>IF($O565="Aktif",MAX(0,MIN($AE565,$AD565-SUM($AG565:AP565))),0)</f>
        <v>0</v>
      </c>
      <c r="AR565" s="8">
        <f>IF($O565="Aktif",MAX(0,MIN($AE565,$AD565-SUM($AG565:AQ565))),0)</f>
        <v>0</v>
      </c>
      <c r="AS565" s="8">
        <f>IF($O565="Aktif",MAX(0,MIN($AE565,$AD565-SUM($AG565:AR565))),0)</f>
        <v>0</v>
      </c>
      <c r="AT565" s="8">
        <f>IF($O565="Aktif",MAX(0,MIN($AE565,$AD565-SUM($AG565:AS565))),0)</f>
        <v>0</v>
      </c>
      <c r="AU565" s="8">
        <f>IF($O565="Aktif",MAX(0,MIN($AE565,$AD565-SUM($AG565:AT565))),0)</f>
        <v>0</v>
      </c>
      <c r="AV565" s="8">
        <f>IF($O565="Aktif",MAX(0,MIN($AE565,$AD565-SUM($AG565:AU565))),0)</f>
        <v>0</v>
      </c>
      <c r="AW565" s="8">
        <f t="shared" si="61"/>
        <v>0</v>
      </c>
      <c r="AX565" s="8">
        <f t="shared" si="62"/>
        <v>0</v>
      </c>
    </row>
    <row r="566" spans="1:50" ht="15" customHeight="1" x14ac:dyDescent="0.35">
      <c r="A566" s="102">
        <v>560</v>
      </c>
      <c r="B566" s="102" t="s">
        <v>1326</v>
      </c>
      <c r="C566" s="103">
        <v>194</v>
      </c>
      <c r="D566" s="102" t="s">
        <v>185</v>
      </c>
      <c r="E566" s="102" t="s">
        <v>587</v>
      </c>
      <c r="F566" s="102" t="s">
        <v>1327</v>
      </c>
      <c r="G566" s="102" t="s">
        <v>1328</v>
      </c>
      <c r="H566" s="102" t="s">
        <v>1329</v>
      </c>
      <c r="I566" s="102" t="s">
        <v>63</v>
      </c>
      <c r="J566" s="102"/>
      <c r="K566" s="102" t="s">
        <v>591</v>
      </c>
      <c r="L566" s="104">
        <v>40599</v>
      </c>
      <c r="M566" s="102" t="s">
        <v>1845</v>
      </c>
      <c r="N566" s="102" t="s">
        <v>1846</v>
      </c>
      <c r="O566" s="102" t="s">
        <v>383</v>
      </c>
      <c r="P566" s="103">
        <v>1</v>
      </c>
      <c r="Q566" s="105">
        <v>350000</v>
      </c>
      <c r="R566" s="102"/>
      <c r="S566" s="105">
        <v>0</v>
      </c>
      <c r="T566" s="105">
        <v>350000</v>
      </c>
      <c r="U566" s="105">
        <v>0</v>
      </c>
      <c r="V566" s="105">
        <v>0</v>
      </c>
      <c r="W566" s="105">
        <v>0</v>
      </c>
      <c r="X566" s="105">
        <v>0</v>
      </c>
      <c r="Y566" s="105">
        <v>0</v>
      </c>
      <c r="Z566" s="105">
        <v>0</v>
      </c>
      <c r="AA566" s="105">
        <v>0</v>
      </c>
      <c r="AB566" s="105">
        <v>0</v>
      </c>
      <c r="AC566" s="8">
        <f t="shared" si="56"/>
        <v>350000</v>
      </c>
      <c r="AD566" s="8">
        <f t="shared" si="57"/>
        <v>0</v>
      </c>
      <c r="AE566" s="8">
        <f t="shared" si="58"/>
        <v>0</v>
      </c>
      <c r="AF566" s="106">
        <f t="shared" si="59"/>
        <v>0</v>
      </c>
      <c r="AG566" s="8">
        <f t="shared" si="60"/>
        <v>0</v>
      </c>
      <c r="AH566" s="8">
        <f>IF($O566="Aktif",MAX(0,MIN($AE566,$AD566-SUM($AG566:AG566))),0)</f>
        <v>0</v>
      </c>
      <c r="AI566" s="8">
        <f>IF($O566="Aktif",MAX(0,MIN($AE566,$AD566-SUM($AG566:AH566))),0)</f>
        <v>0</v>
      </c>
      <c r="AJ566" s="8">
        <f>IF($O566="Aktif",MAX(0,MIN($AE566,$AD566-SUM($AG566:AI566))),0)</f>
        <v>0</v>
      </c>
      <c r="AK566" s="8">
        <f>IF($O566="Aktif",MAX(0,MIN($AE566,$AD566-SUM($AG566:AJ566))),0)</f>
        <v>0</v>
      </c>
      <c r="AL566" s="8">
        <f>IF($O566="Aktif",MAX(0,MIN($AE566,$AD566-SUM($AG566:AK566))),0)</f>
        <v>0</v>
      </c>
      <c r="AM566" s="8">
        <f>IF($O566="Aktif",MAX(0,MIN($AE566,$AD566-SUM($AG566:AL566))),0)</f>
        <v>0</v>
      </c>
      <c r="AN566" s="8">
        <f>IF($O566="Aktif",MAX(0,MIN($AE566,$AD566-SUM($AG566:AM566))),0)</f>
        <v>0</v>
      </c>
      <c r="AO566" s="8">
        <f>IF($O566="Aktif",MAX(0,MIN($AE566,$AD566-SUM($AG566:AN566))),0)</f>
        <v>0</v>
      </c>
      <c r="AP566" s="8">
        <f>IF($O566="Aktif",MAX(0,MIN($AE566,$AD566-SUM($AG566:AO566))),0)</f>
        <v>0</v>
      </c>
      <c r="AQ566" s="8">
        <f>IF($O566="Aktif",MAX(0,MIN($AE566,$AD566-SUM($AG566:AP566))),0)</f>
        <v>0</v>
      </c>
      <c r="AR566" s="8">
        <f>IF($O566="Aktif",MAX(0,MIN($AE566,$AD566-SUM($AG566:AQ566))),0)</f>
        <v>0</v>
      </c>
      <c r="AS566" s="8">
        <f>IF($O566="Aktif",MAX(0,MIN($AE566,$AD566-SUM($AG566:AR566))),0)</f>
        <v>0</v>
      </c>
      <c r="AT566" s="8">
        <f>IF($O566="Aktif",MAX(0,MIN($AE566,$AD566-SUM($AG566:AS566))),0)</f>
        <v>0</v>
      </c>
      <c r="AU566" s="8">
        <f>IF($O566="Aktif",MAX(0,MIN($AE566,$AD566-SUM($AG566:AT566))),0)</f>
        <v>0</v>
      </c>
      <c r="AV566" s="8">
        <f>IF($O566="Aktif",MAX(0,MIN($AE566,$AD566-SUM($AG566:AU566))),0)</f>
        <v>0</v>
      </c>
      <c r="AW566" s="8">
        <f t="shared" si="61"/>
        <v>0</v>
      </c>
      <c r="AX566" s="8">
        <f t="shared" si="62"/>
        <v>0</v>
      </c>
    </row>
    <row r="567" spans="1:50" ht="15" customHeight="1" x14ac:dyDescent="0.35">
      <c r="A567" s="102">
        <v>561</v>
      </c>
      <c r="B567" s="102" t="s">
        <v>1326</v>
      </c>
      <c r="C567" s="103">
        <v>195</v>
      </c>
      <c r="D567" s="102" t="s">
        <v>185</v>
      </c>
      <c r="E567" s="102" t="s">
        <v>587</v>
      </c>
      <c r="F567" s="102" t="s">
        <v>1327</v>
      </c>
      <c r="G567" s="102" t="s">
        <v>1328</v>
      </c>
      <c r="H567" s="102" t="s">
        <v>1329</v>
      </c>
      <c r="I567" s="102" t="s">
        <v>63</v>
      </c>
      <c r="J567" s="102"/>
      <c r="K567" s="102" t="s">
        <v>591</v>
      </c>
      <c r="L567" s="104">
        <v>42538</v>
      </c>
      <c r="M567" s="102" t="s">
        <v>1362</v>
      </c>
      <c r="N567" s="102" t="s">
        <v>1363</v>
      </c>
      <c r="O567" s="102" t="s">
        <v>383</v>
      </c>
      <c r="P567" s="103">
        <v>1</v>
      </c>
      <c r="Q567" s="105">
        <v>9126000</v>
      </c>
      <c r="R567" s="102"/>
      <c r="S567" s="105">
        <v>0</v>
      </c>
      <c r="T567" s="105">
        <v>9126000</v>
      </c>
      <c r="U567" s="105">
        <v>0</v>
      </c>
      <c r="V567" s="105">
        <v>0</v>
      </c>
      <c r="W567" s="105">
        <v>0</v>
      </c>
      <c r="X567" s="105">
        <v>0</v>
      </c>
      <c r="Y567" s="105">
        <v>0</v>
      </c>
      <c r="Z567" s="105">
        <v>0</v>
      </c>
      <c r="AA567" s="105">
        <v>0</v>
      </c>
      <c r="AB567" s="105">
        <v>0</v>
      </c>
      <c r="AC567" s="8">
        <f t="shared" si="56"/>
        <v>9126000</v>
      </c>
      <c r="AD567" s="8">
        <f t="shared" si="57"/>
        <v>0</v>
      </c>
      <c r="AE567" s="8">
        <f t="shared" si="58"/>
        <v>0</v>
      </c>
      <c r="AF567" s="106">
        <f t="shared" si="59"/>
        <v>0</v>
      </c>
      <c r="AG567" s="8">
        <f t="shared" si="60"/>
        <v>0</v>
      </c>
      <c r="AH567" s="8">
        <f>IF($O567="Aktif",MAX(0,MIN($AE567,$AD567-SUM($AG567:AG567))),0)</f>
        <v>0</v>
      </c>
      <c r="AI567" s="8">
        <f>IF($O567="Aktif",MAX(0,MIN($AE567,$AD567-SUM($AG567:AH567))),0)</f>
        <v>0</v>
      </c>
      <c r="AJ567" s="8">
        <f>IF($O567="Aktif",MAX(0,MIN($AE567,$AD567-SUM($AG567:AI567))),0)</f>
        <v>0</v>
      </c>
      <c r="AK567" s="8">
        <f>IF($O567="Aktif",MAX(0,MIN($AE567,$AD567-SUM($AG567:AJ567))),0)</f>
        <v>0</v>
      </c>
      <c r="AL567" s="8">
        <f>IF($O567="Aktif",MAX(0,MIN($AE567,$AD567-SUM($AG567:AK567))),0)</f>
        <v>0</v>
      </c>
      <c r="AM567" s="8">
        <f>IF($O567="Aktif",MAX(0,MIN($AE567,$AD567-SUM($AG567:AL567))),0)</f>
        <v>0</v>
      </c>
      <c r="AN567" s="8">
        <f>IF($O567="Aktif",MAX(0,MIN($AE567,$AD567-SUM($AG567:AM567))),0)</f>
        <v>0</v>
      </c>
      <c r="AO567" s="8">
        <f>IF($O567="Aktif",MAX(0,MIN($AE567,$AD567-SUM($AG567:AN567))),0)</f>
        <v>0</v>
      </c>
      <c r="AP567" s="8">
        <f>IF($O567="Aktif",MAX(0,MIN($AE567,$AD567-SUM($AG567:AO567))),0)</f>
        <v>0</v>
      </c>
      <c r="AQ567" s="8">
        <f>IF($O567="Aktif",MAX(0,MIN($AE567,$AD567-SUM($AG567:AP567))),0)</f>
        <v>0</v>
      </c>
      <c r="AR567" s="8">
        <f>IF($O567="Aktif",MAX(0,MIN($AE567,$AD567-SUM($AG567:AQ567))),0)</f>
        <v>0</v>
      </c>
      <c r="AS567" s="8">
        <f>IF($O567="Aktif",MAX(0,MIN($AE567,$AD567-SUM($AG567:AR567))),0)</f>
        <v>0</v>
      </c>
      <c r="AT567" s="8">
        <f>IF($O567="Aktif",MAX(0,MIN($AE567,$AD567-SUM($AG567:AS567))),0)</f>
        <v>0</v>
      </c>
      <c r="AU567" s="8">
        <f>IF($O567="Aktif",MAX(0,MIN($AE567,$AD567-SUM($AG567:AT567))),0)</f>
        <v>0</v>
      </c>
      <c r="AV567" s="8">
        <f>IF($O567="Aktif",MAX(0,MIN($AE567,$AD567-SUM($AG567:AU567))),0)</f>
        <v>0</v>
      </c>
      <c r="AW567" s="8">
        <f t="shared" si="61"/>
        <v>0</v>
      </c>
      <c r="AX567" s="8">
        <f t="shared" si="62"/>
        <v>0</v>
      </c>
    </row>
    <row r="568" spans="1:50" ht="15" customHeight="1" x14ac:dyDescent="0.35">
      <c r="A568" s="102">
        <v>562</v>
      </c>
      <c r="B568" s="102" t="s">
        <v>1326</v>
      </c>
      <c r="C568" s="103">
        <v>196</v>
      </c>
      <c r="D568" s="102" t="s">
        <v>185</v>
      </c>
      <c r="E568" s="102" t="s">
        <v>587</v>
      </c>
      <c r="F568" s="102" t="s">
        <v>1327</v>
      </c>
      <c r="G568" s="102" t="s">
        <v>1328</v>
      </c>
      <c r="H568" s="102" t="s">
        <v>1329</v>
      </c>
      <c r="I568" s="102" t="s">
        <v>63</v>
      </c>
      <c r="J568" s="102" t="s">
        <v>1847</v>
      </c>
      <c r="K568" s="102" t="s">
        <v>591</v>
      </c>
      <c r="L568" s="104">
        <v>42400</v>
      </c>
      <c r="M568" s="102" t="s">
        <v>1848</v>
      </c>
      <c r="N568" s="102" t="s">
        <v>1849</v>
      </c>
      <c r="O568" s="102" t="s">
        <v>383</v>
      </c>
      <c r="P568" s="103">
        <v>1</v>
      </c>
      <c r="Q568" s="105">
        <v>9250000</v>
      </c>
      <c r="R568" s="103">
        <v>48</v>
      </c>
      <c r="S568" s="105">
        <v>192708.33333333299</v>
      </c>
      <c r="T568" s="105">
        <v>9250000</v>
      </c>
      <c r="U568" s="105">
        <v>0</v>
      </c>
      <c r="V568" s="105">
        <v>0</v>
      </c>
      <c r="W568" s="105">
        <v>0</v>
      </c>
      <c r="X568" s="105">
        <v>0</v>
      </c>
      <c r="Y568" s="105">
        <v>0</v>
      </c>
      <c r="Z568" s="105">
        <v>0</v>
      </c>
      <c r="AA568" s="105">
        <v>0</v>
      </c>
      <c r="AB568" s="105">
        <v>0</v>
      </c>
      <c r="AC568" s="8">
        <f t="shared" si="56"/>
        <v>9250000</v>
      </c>
      <c r="AD568" s="8">
        <f t="shared" si="57"/>
        <v>0</v>
      </c>
      <c r="AE568" s="8">
        <f t="shared" si="58"/>
        <v>0</v>
      </c>
      <c r="AF568" s="106">
        <f t="shared" si="59"/>
        <v>0</v>
      </c>
      <c r="AG568" s="8">
        <f t="shared" si="60"/>
        <v>0</v>
      </c>
      <c r="AH568" s="8">
        <f>IF($O568="Aktif",MAX(0,MIN($AE568,$AD568-SUM($AG568:AG568))),0)</f>
        <v>0</v>
      </c>
      <c r="AI568" s="8">
        <f>IF($O568="Aktif",MAX(0,MIN($AE568,$AD568-SUM($AG568:AH568))),0)</f>
        <v>0</v>
      </c>
      <c r="AJ568" s="8">
        <f>IF($O568="Aktif",MAX(0,MIN($AE568,$AD568-SUM($AG568:AI568))),0)</f>
        <v>0</v>
      </c>
      <c r="AK568" s="8">
        <f>IF($O568="Aktif",MAX(0,MIN($AE568,$AD568-SUM($AG568:AJ568))),0)</f>
        <v>0</v>
      </c>
      <c r="AL568" s="8">
        <f>IF($O568="Aktif",MAX(0,MIN($AE568,$AD568-SUM($AG568:AK568))),0)</f>
        <v>0</v>
      </c>
      <c r="AM568" s="8">
        <f>IF($O568="Aktif",MAX(0,MIN($AE568,$AD568-SUM($AG568:AL568))),0)</f>
        <v>0</v>
      </c>
      <c r="AN568" s="8">
        <f>IF($O568="Aktif",MAX(0,MIN($AE568,$AD568-SUM($AG568:AM568))),0)</f>
        <v>0</v>
      </c>
      <c r="AO568" s="8">
        <f>IF($O568="Aktif",MAX(0,MIN($AE568,$AD568-SUM($AG568:AN568))),0)</f>
        <v>0</v>
      </c>
      <c r="AP568" s="8">
        <f>IF($O568="Aktif",MAX(0,MIN($AE568,$AD568-SUM($AG568:AO568))),0)</f>
        <v>0</v>
      </c>
      <c r="AQ568" s="8">
        <f>IF($O568="Aktif",MAX(0,MIN($AE568,$AD568-SUM($AG568:AP568))),0)</f>
        <v>0</v>
      </c>
      <c r="AR568" s="8">
        <f>IF($O568="Aktif",MAX(0,MIN($AE568,$AD568-SUM($AG568:AQ568))),0)</f>
        <v>0</v>
      </c>
      <c r="AS568" s="8">
        <f>IF($O568="Aktif",MAX(0,MIN($AE568,$AD568-SUM($AG568:AR568))),0)</f>
        <v>0</v>
      </c>
      <c r="AT568" s="8">
        <f>IF($O568="Aktif",MAX(0,MIN($AE568,$AD568-SUM($AG568:AS568))),0)</f>
        <v>0</v>
      </c>
      <c r="AU568" s="8">
        <f>IF($O568="Aktif",MAX(0,MIN($AE568,$AD568-SUM($AG568:AT568))),0)</f>
        <v>0</v>
      </c>
      <c r="AV568" s="8">
        <f>IF($O568="Aktif",MAX(0,MIN($AE568,$AD568-SUM($AG568:AU568))),0)</f>
        <v>0</v>
      </c>
      <c r="AW568" s="8">
        <f t="shared" si="61"/>
        <v>0</v>
      </c>
      <c r="AX568" s="8">
        <f t="shared" si="62"/>
        <v>0</v>
      </c>
    </row>
    <row r="569" spans="1:50" ht="15" customHeight="1" x14ac:dyDescent="0.35">
      <c r="A569" s="102">
        <v>563</v>
      </c>
      <c r="B569" s="102" t="s">
        <v>1326</v>
      </c>
      <c r="C569" s="103">
        <v>197</v>
      </c>
      <c r="D569" s="102" t="s">
        <v>185</v>
      </c>
      <c r="E569" s="102" t="s">
        <v>587</v>
      </c>
      <c r="F569" s="102" t="s">
        <v>1327</v>
      </c>
      <c r="G569" s="102" t="s">
        <v>1328</v>
      </c>
      <c r="H569" s="102" t="s">
        <v>1329</v>
      </c>
      <c r="I569" s="102" t="s">
        <v>63</v>
      </c>
      <c r="J569" s="102" t="s">
        <v>1850</v>
      </c>
      <c r="K569" s="102" t="s">
        <v>591</v>
      </c>
      <c r="L569" s="104">
        <v>41121</v>
      </c>
      <c r="M569" s="102" t="s">
        <v>1851</v>
      </c>
      <c r="N569" s="102" t="s">
        <v>1852</v>
      </c>
      <c r="O569" s="102" t="s">
        <v>383</v>
      </c>
      <c r="P569" s="103">
        <v>1</v>
      </c>
      <c r="Q569" s="105">
        <v>10371000</v>
      </c>
      <c r="R569" s="103">
        <v>96</v>
      </c>
      <c r="S569" s="105">
        <v>108031.25</v>
      </c>
      <c r="T569" s="105">
        <v>10371000</v>
      </c>
      <c r="U569" s="105">
        <v>0</v>
      </c>
      <c r="V569" s="105">
        <v>0</v>
      </c>
      <c r="W569" s="105">
        <v>0</v>
      </c>
      <c r="X569" s="105">
        <v>0</v>
      </c>
      <c r="Y569" s="105">
        <v>0</v>
      </c>
      <c r="Z569" s="105">
        <v>0</v>
      </c>
      <c r="AA569" s="105">
        <v>0</v>
      </c>
      <c r="AB569" s="105">
        <v>0</v>
      </c>
      <c r="AC569" s="8">
        <f t="shared" si="56"/>
        <v>10371000</v>
      </c>
      <c r="AD569" s="8">
        <f t="shared" si="57"/>
        <v>0</v>
      </c>
      <c r="AE569" s="8">
        <f t="shared" si="58"/>
        <v>0</v>
      </c>
      <c r="AF569" s="106">
        <f t="shared" si="59"/>
        <v>0</v>
      </c>
      <c r="AG569" s="8">
        <f t="shared" si="60"/>
        <v>0</v>
      </c>
      <c r="AH569" s="8">
        <f>IF($O569="Aktif",MAX(0,MIN($AE569,$AD569-SUM($AG569:AG569))),0)</f>
        <v>0</v>
      </c>
      <c r="AI569" s="8">
        <f>IF($O569="Aktif",MAX(0,MIN($AE569,$AD569-SUM($AG569:AH569))),0)</f>
        <v>0</v>
      </c>
      <c r="AJ569" s="8">
        <f>IF($O569="Aktif",MAX(0,MIN($AE569,$AD569-SUM($AG569:AI569))),0)</f>
        <v>0</v>
      </c>
      <c r="AK569" s="8">
        <f>IF($O569="Aktif",MAX(0,MIN($AE569,$AD569-SUM($AG569:AJ569))),0)</f>
        <v>0</v>
      </c>
      <c r="AL569" s="8">
        <f>IF($O569="Aktif",MAX(0,MIN($AE569,$AD569-SUM($AG569:AK569))),0)</f>
        <v>0</v>
      </c>
      <c r="AM569" s="8">
        <f>IF($O569="Aktif",MAX(0,MIN($AE569,$AD569-SUM($AG569:AL569))),0)</f>
        <v>0</v>
      </c>
      <c r="AN569" s="8">
        <f>IF($O569="Aktif",MAX(0,MIN($AE569,$AD569-SUM($AG569:AM569))),0)</f>
        <v>0</v>
      </c>
      <c r="AO569" s="8">
        <f>IF($O569="Aktif",MAX(0,MIN($AE569,$AD569-SUM($AG569:AN569))),0)</f>
        <v>0</v>
      </c>
      <c r="AP569" s="8">
        <f>IF($O569="Aktif",MAX(0,MIN($AE569,$AD569-SUM($AG569:AO569))),0)</f>
        <v>0</v>
      </c>
      <c r="AQ569" s="8">
        <f>IF($O569="Aktif",MAX(0,MIN($AE569,$AD569-SUM($AG569:AP569))),0)</f>
        <v>0</v>
      </c>
      <c r="AR569" s="8">
        <f>IF($O569="Aktif",MAX(0,MIN($AE569,$AD569-SUM($AG569:AQ569))),0)</f>
        <v>0</v>
      </c>
      <c r="AS569" s="8">
        <f>IF($O569="Aktif",MAX(0,MIN($AE569,$AD569-SUM($AG569:AR569))),0)</f>
        <v>0</v>
      </c>
      <c r="AT569" s="8">
        <f>IF($O569="Aktif",MAX(0,MIN($AE569,$AD569-SUM($AG569:AS569))),0)</f>
        <v>0</v>
      </c>
      <c r="AU569" s="8">
        <f>IF($O569="Aktif",MAX(0,MIN($AE569,$AD569-SUM($AG569:AT569))),0)</f>
        <v>0</v>
      </c>
      <c r="AV569" s="8">
        <f>IF($O569="Aktif",MAX(0,MIN($AE569,$AD569-SUM($AG569:AU569))),0)</f>
        <v>0</v>
      </c>
      <c r="AW569" s="8">
        <f t="shared" si="61"/>
        <v>0</v>
      </c>
      <c r="AX569" s="8">
        <f t="shared" si="62"/>
        <v>0</v>
      </c>
    </row>
    <row r="570" spans="1:50" ht="15" customHeight="1" x14ac:dyDescent="0.35">
      <c r="A570" s="102">
        <v>564</v>
      </c>
      <c r="B570" s="102" t="s">
        <v>1326</v>
      </c>
      <c r="C570" s="103">
        <v>198</v>
      </c>
      <c r="D570" s="102" t="s">
        <v>185</v>
      </c>
      <c r="E570" s="102" t="s">
        <v>587</v>
      </c>
      <c r="F570" s="102" t="s">
        <v>1327</v>
      </c>
      <c r="G570" s="102" t="s">
        <v>1328</v>
      </c>
      <c r="H570" s="102" t="s">
        <v>1329</v>
      </c>
      <c r="I570" s="102" t="s">
        <v>63</v>
      </c>
      <c r="J570" s="102" t="s">
        <v>1853</v>
      </c>
      <c r="K570" s="102" t="s">
        <v>591</v>
      </c>
      <c r="L570" s="104">
        <v>41121</v>
      </c>
      <c r="M570" s="102" t="s">
        <v>1854</v>
      </c>
      <c r="N570" s="102" t="s">
        <v>1855</v>
      </c>
      <c r="O570" s="102" t="s">
        <v>383</v>
      </c>
      <c r="P570" s="103">
        <v>1</v>
      </c>
      <c r="Q570" s="105">
        <v>5673500</v>
      </c>
      <c r="R570" s="103">
        <v>96</v>
      </c>
      <c r="S570" s="105">
        <v>59098.958333333299</v>
      </c>
      <c r="T570" s="105">
        <v>5673500</v>
      </c>
      <c r="U570" s="105">
        <v>0</v>
      </c>
      <c r="V570" s="105">
        <v>0</v>
      </c>
      <c r="W570" s="105">
        <v>0</v>
      </c>
      <c r="X570" s="105">
        <v>0</v>
      </c>
      <c r="Y570" s="105">
        <v>0</v>
      </c>
      <c r="Z570" s="105">
        <v>0</v>
      </c>
      <c r="AA570" s="105">
        <v>0</v>
      </c>
      <c r="AB570" s="105">
        <v>0</v>
      </c>
      <c r="AC570" s="8">
        <f t="shared" si="56"/>
        <v>5673500</v>
      </c>
      <c r="AD570" s="8">
        <f t="shared" si="57"/>
        <v>0</v>
      </c>
      <c r="AE570" s="8">
        <f t="shared" si="58"/>
        <v>0</v>
      </c>
      <c r="AF570" s="106">
        <f t="shared" si="59"/>
        <v>0</v>
      </c>
      <c r="AG570" s="8">
        <f t="shared" si="60"/>
        <v>0</v>
      </c>
      <c r="AH570" s="8">
        <f>IF($O570="Aktif",MAX(0,MIN($AE570,$AD570-SUM($AG570:AG570))),0)</f>
        <v>0</v>
      </c>
      <c r="AI570" s="8">
        <f>IF($O570="Aktif",MAX(0,MIN($AE570,$AD570-SUM($AG570:AH570))),0)</f>
        <v>0</v>
      </c>
      <c r="AJ570" s="8">
        <f>IF($O570="Aktif",MAX(0,MIN($AE570,$AD570-SUM($AG570:AI570))),0)</f>
        <v>0</v>
      </c>
      <c r="AK570" s="8">
        <f>IF($O570="Aktif",MAX(0,MIN($AE570,$AD570-SUM($AG570:AJ570))),0)</f>
        <v>0</v>
      </c>
      <c r="AL570" s="8">
        <f>IF($O570="Aktif",MAX(0,MIN($AE570,$AD570-SUM($AG570:AK570))),0)</f>
        <v>0</v>
      </c>
      <c r="AM570" s="8">
        <f>IF($O570="Aktif",MAX(0,MIN($AE570,$AD570-SUM($AG570:AL570))),0)</f>
        <v>0</v>
      </c>
      <c r="AN570" s="8">
        <f>IF($O570="Aktif",MAX(0,MIN($AE570,$AD570-SUM($AG570:AM570))),0)</f>
        <v>0</v>
      </c>
      <c r="AO570" s="8">
        <f>IF($O570="Aktif",MAX(0,MIN($AE570,$AD570-SUM($AG570:AN570))),0)</f>
        <v>0</v>
      </c>
      <c r="AP570" s="8">
        <f>IF($O570="Aktif",MAX(0,MIN($AE570,$AD570-SUM($AG570:AO570))),0)</f>
        <v>0</v>
      </c>
      <c r="AQ570" s="8">
        <f>IF($O570="Aktif",MAX(0,MIN($AE570,$AD570-SUM($AG570:AP570))),0)</f>
        <v>0</v>
      </c>
      <c r="AR570" s="8">
        <f>IF($O570="Aktif",MAX(0,MIN($AE570,$AD570-SUM($AG570:AQ570))),0)</f>
        <v>0</v>
      </c>
      <c r="AS570" s="8">
        <f>IF($O570="Aktif",MAX(0,MIN($AE570,$AD570-SUM($AG570:AR570))),0)</f>
        <v>0</v>
      </c>
      <c r="AT570" s="8">
        <f>IF($O570="Aktif",MAX(0,MIN($AE570,$AD570-SUM($AG570:AS570))),0)</f>
        <v>0</v>
      </c>
      <c r="AU570" s="8">
        <f>IF($O570="Aktif",MAX(0,MIN($AE570,$AD570-SUM($AG570:AT570))),0)</f>
        <v>0</v>
      </c>
      <c r="AV570" s="8">
        <f>IF($O570="Aktif",MAX(0,MIN($AE570,$AD570-SUM($AG570:AU570))),0)</f>
        <v>0</v>
      </c>
      <c r="AW570" s="8">
        <f t="shared" si="61"/>
        <v>0</v>
      </c>
      <c r="AX570" s="8">
        <f t="shared" si="62"/>
        <v>0</v>
      </c>
    </row>
    <row r="571" spans="1:50" ht="15" customHeight="1" x14ac:dyDescent="0.35">
      <c r="A571" s="102">
        <v>565</v>
      </c>
      <c r="B571" s="102" t="s">
        <v>1326</v>
      </c>
      <c r="C571" s="103">
        <v>199</v>
      </c>
      <c r="D571" s="102" t="s">
        <v>185</v>
      </c>
      <c r="E571" s="102" t="s">
        <v>587</v>
      </c>
      <c r="F571" s="102" t="s">
        <v>1327</v>
      </c>
      <c r="G571" s="102" t="s">
        <v>1328</v>
      </c>
      <c r="H571" s="102" t="s">
        <v>1329</v>
      </c>
      <c r="I571" s="102" t="s">
        <v>63</v>
      </c>
      <c r="J571" s="102" t="s">
        <v>1856</v>
      </c>
      <c r="K571" s="102" t="s">
        <v>591</v>
      </c>
      <c r="L571" s="104">
        <v>41121</v>
      </c>
      <c r="M571" s="102" t="s">
        <v>1857</v>
      </c>
      <c r="N571" s="102" t="s">
        <v>1858</v>
      </c>
      <c r="O571" s="102" t="s">
        <v>383</v>
      </c>
      <c r="P571" s="103">
        <v>1</v>
      </c>
      <c r="Q571" s="105">
        <v>11937000</v>
      </c>
      <c r="R571" s="103">
        <v>96</v>
      </c>
      <c r="S571" s="105">
        <v>124343.75</v>
      </c>
      <c r="T571" s="105">
        <v>11937000</v>
      </c>
      <c r="U571" s="105">
        <v>0</v>
      </c>
      <c r="V571" s="105">
        <v>0</v>
      </c>
      <c r="W571" s="105">
        <v>0</v>
      </c>
      <c r="X571" s="105">
        <v>0</v>
      </c>
      <c r="Y571" s="105">
        <v>0</v>
      </c>
      <c r="Z571" s="105">
        <v>0</v>
      </c>
      <c r="AA571" s="105">
        <v>0</v>
      </c>
      <c r="AB571" s="105">
        <v>0</v>
      </c>
      <c r="AC571" s="8">
        <f t="shared" si="56"/>
        <v>11937000</v>
      </c>
      <c r="AD571" s="8">
        <f t="shared" si="57"/>
        <v>0</v>
      </c>
      <c r="AE571" s="8">
        <f t="shared" si="58"/>
        <v>0</v>
      </c>
      <c r="AF571" s="106">
        <f t="shared" si="59"/>
        <v>0</v>
      </c>
      <c r="AG571" s="8">
        <f t="shared" si="60"/>
        <v>0</v>
      </c>
      <c r="AH571" s="8">
        <f>IF($O571="Aktif",MAX(0,MIN($AE571,$AD571-SUM($AG571:AG571))),0)</f>
        <v>0</v>
      </c>
      <c r="AI571" s="8">
        <f>IF($O571="Aktif",MAX(0,MIN($AE571,$AD571-SUM($AG571:AH571))),0)</f>
        <v>0</v>
      </c>
      <c r="AJ571" s="8">
        <f>IF($O571="Aktif",MAX(0,MIN($AE571,$AD571-SUM($AG571:AI571))),0)</f>
        <v>0</v>
      </c>
      <c r="AK571" s="8">
        <f>IF($O571="Aktif",MAX(0,MIN($AE571,$AD571-SUM($AG571:AJ571))),0)</f>
        <v>0</v>
      </c>
      <c r="AL571" s="8">
        <f>IF($O571="Aktif",MAX(0,MIN($AE571,$AD571-SUM($AG571:AK571))),0)</f>
        <v>0</v>
      </c>
      <c r="AM571" s="8">
        <f>IF($O571="Aktif",MAX(0,MIN($AE571,$AD571-SUM($AG571:AL571))),0)</f>
        <v>0</v>
      </c>
      <c r="AN571" s="8">
        <f>IF($O571="Aktif",MAX(0,MIN($AE571,$AD571-SUM($AG571:AM571))),0)</f>
        <v>0</v>
      </c>
      <c r="AO571" s="8">
        <f>IF($O571="Aktif",MAX(0,MIN($AE571,$AD571-SUM($AG571:AN571))),0)</f>
        <v>0</v>
      </c>
      <c r="AP571" s="8">
        <f>IF($O571="Aktif",MAX(0,MIN($AE571,$AD571-SUM($AG571:AO571))),0)</f>
        <v>0</v>
      </c>
      <c r="AQ571" s="8">
        <f>IF($O571="Aktif",MAX(0,MIN($AE571,$AD571-SUM($AG571:AP571))),0)</f>
        <v>0</v>
      </c>
      <c r="AR571" s="8">
        <f>IF($O571="Aktif",MAX(0,MIN($AE571,$AD571-SUM($AG571:AQ571))),0)</f>
        <v>0</v>
      </c>
      <c r="AS571" s="8">
        <f>IF($O571="Aktif",MAX(0,MIN($AE571,$AD571-SUM($AG571:AR571))),0)</f>
        <v>0</v>
      </c>
      <c r="AT571" s="8">
        <f>IF($O571="Aktif",MAX(0,MIN($AE571,$AD571-SUM($AG571:AS571))),0)</f>
        <v>0</v>
      </c>
      <c r="AU571" s="8">
        <f>IF($O571="Aktif",MAX(0,MIN($AE571,$AD571-SUM($AG571:AT571))),0)</f>
        <v>0</v>
      </c>
      <c r="AV571" s="8">
        <f>IF($O571="Aktif",MAX(0,MIN($AE571,$AD571-SUM($AG571:AU571))),0)</f>
        <v>0</v>
      </c>
      <c r="AW571" s="8">
        <f t="shared" si="61"/>
        <v>0</v>
      </c>
      <c r="AX571" s="8">
        <f t="shared" si="62"/>
        <v>0</v>
      </c>
    </row>
    <row r="572" spans="1:50" ht="15" customHeight="1" x14ac:dyDescent="0.35">
      <c r="A572" s="102">
        <v>566</v>
      </c>
      <c r="B572" s="102" t="s">
        <v>1326</v>
      </c>
      <c r="C572" s="103">
        <v>200</v>
      </c>
      <c r="D572" s="102" t="s">
        <v>185</v>
      </c>
      <c r="E572" s="102" t="s">
        <v>587</v>
      </c>
      <c r="F572" s="102" t="s">
        <v>1327</v>
      </c>
      <c r="G572" s="102" t="s">
        <v>1328</v>
      </c>
      <c r="H572" s="102" t="s">
        <v>1329</v>
      </c>
      <c r="I572" s="102" t="s">
        <v>63</v>
      </c>
      <c r="J572" s="102" t="s">
        <v>1859</v>
      </c>
      <c r="K572" s="102" t="s">
        <v>591</v>
      </c>
      <c r="L572" s="104">
        <v>41121</v>
      </c>
      <c r="M572" s="102" t="s">
        <v>1860</v>
      </c>
      <c r="N572" s="102" t="s">
        <v>1861</v>
      </c>
      <c r="O572" s="102" t="s">
        <v>383</v>
      </c>
      <c r="P572" s="103">
        <v>1</v>
      </c>
      <c r="Q572" s="105">
        <v>3005000</v>
      </c>
      <c r="R572" s="103">
        <v>96</v>
      </c>
      <c r="S572" s="105">
        <v>31302.083333333299</v>
      </c>
      <c r="T572" s="105">
        <v>3005000</v>
      </c>
      <c r="U572" s="105">
        <v>0</v>
      </c>
      <c r="V572" s="105">
        <v>0</v>
      </c>
      <c r="W572" s="105">
        <v>0</v>
      </c>
      <c r="X572" s="105">
        <v>0</v>
      </c>
      <c r="Y572" s="105">
        <v>0</v>
      </c>
      <c r="Z572" s="105">
        <v>0</v>
      </c>
      <c r="AA572" s="105">
        <v>0</v>
      </c>
      <c r="AB572" s="105">
        <v>0</v>
      </c>
      <c r="AC572" s="8">
        <f t="shared" si="56"/>
        <v>3005000</v>
      </c>
      <c r="AD572" s="8">
        <f t="shared" si="57"/>
        <v>0</v>
      </c>
      <c r="AE572" s="8">
        <f t="shared" si="58"/>
        <v>0</v>
      </c>
      <c r="AF572" s="106">
        <f t="shared" si="59"/>
        <v>0</v>
      </c>
      <c r="AG572" s="8">
        <f t="shared" si="60"/>
        <v>0</v>
      </c>
      <c r="AH572" s="8">
        <f>IF($O572="Aktif",MAX(0,MIN($AE572,$AD572-SUM($AG572:AG572))),0)</f>
        <v>0</v>
      </c>
      <c r="AI572" s="8">
        <f>IF($O572="Aktif",MAX(0,MIN($AE572,$AD572-SUM($AG572:AH572))),0)</f>
        <v>0</v>
      </c>
      <c r="AJ572" s="8">
        <f>IF($O572="Aktif",MAX(0,MIN($AE572,$AD572-SUM($AG572:AI572))),0)</f>
        <v>0</v>
      </c>
      <c r="AK572" s="8">
        <f>IF($O572="Aktif",MAX(0,MIN($AE572,$AD572-SUM($AG572:AJ572))),0)</f>
        <v>0</v>
      </c>
      <c r="AL572" s="8">
        <f>IF($O572="Aktif",MAX(0,MIN($AE572,$AD572-SUM($AG572:AK572))),0)</f>
        <v>0</v>
      </c>
      <c r="AM572" s="8">
        <f>IF($O572="Aktif",MAX(0,MIN($AE572,$AD572-SUM($AG572:AL572))),0)</f>
        <v>0</v>
      </c>
      <c r="AN572" s="8">
        <f>IF($O572="Aktif",MAX(0,MIN($AE572,$AD572-SUM($AG572:AM572))),0)</f>
        <v>0</v>
      </c>
      <c r="AO572" s="8">
        <f>IF($O572="Aktif",MAX(0,MIN($AE572,$AD572-SUM($AG572:AN572))),0)</f>
        <v>0</v>
      </c>
      <c r="AP572" s="8">
        <f>IF($O572="Aktif",MAX(0,MIN($AE572,$AD572-SUM($AG572:AO572))),0)</f>
        <v>0</v>
      </c>
      <c r="AQ572" s="8">
        <f>IF($O572="Aktif",MAX(0,MIN($AE572,$AD572-SUM($AG572:AP572))),0)</f>
        <v>0</v>
      </c>
      <c r="AR572" s="8">
        <f>IF($O572="Aktif",MAX(0,MIN($AE572,$AD572-SUM($AG572:AQ572))),0)</f>
        <v>0</v>
      </c>
      <c r="AS572" s="8">
        <f>IF($O572="Aktif",MAX(0,MIN($AE572,$AD572-SUM($AG572:AR572))),0)</f>
        <v>0</v>
      </c>
      <c r="AT572" s="8">
        <f>IF($O572="Aktif",MAX(0,MIN($AE572,$AD572-SUM($AG572:AS572))),0)</f>
        <v>0</v>
      </c>
      <c r="AU572" s="8">
        <f>IF($O572="Aktif",MAX(0,MIN($AE572,$AD572-SUM($AG572:AT572))),0)</f>
        <v>0</v>
      </c>
      <c r="AV572" s="8">
        <f>IF($O572="Aktif",MAX(0,MIN($AE572,$AD572-SUM($AG572:AU572))),0)</f>
        <v>0</v>
      </c>
      <c r="AW572" s="8">
        <f t="shared" si="61"/>
        <v>0</v>
      </c>
      <c r="AX572" s="8">
        <f t="shared" si="62"/>
        <v>0</v>
      </c>
    </row>
    <row r="573" spans="1:50" ht="15" customHeight="1" x14ac:dyDescent="0.35">
      <c r="A573" s="102">
        <v>567</v>
      </c>
      <c r="B573" s="102" t="s">
        <v>1326</v>
      </c>
      <c r="C573" s="103">
        <v>201</v>
      </c>
      <c r="D573" s="102" t="s">
        <v>185</v>
      </c>
      <c r="E573" s="102" t="s">
        <v>587</v>
      </c>
      <c r="F573" s="102" t="s">
        <v>1327</v>
      </c>
      <c r="G573" s="102" t="s">
        <v>1328</v>
      </c>
      <c r="H573" s="102" t="s">
        <v>1329</v>
      </c>
      <c r="I573" s="102" t="s">
        <v>63</v>
      </c>
      <c r="J573" s="102" t="s">
        <v>1862</v>
      </c>
      <c r="K573" s="102" t="s">
        <v>591</v>
      </c>
      <c r="L573" s="104">
        <v>41121</v>
      </c>
      <c r="M573" s="102" t="s">
        <v>1863</v>
      </c>
      <c r="N573" s="102" t="s">
        <v>1864</v>
      </c>
      <c r="O573" s="102" t="s">
        <v>383</v>
      </c>
      <c r="P573" s="103">
        <v>1</v>
      </c>
      <c r="Q573" s="105">
        <v>3600000</v>
      </c>
      <c r="R573" s="103">
        <v>96</v>
      </c>
      <c r="S573" s="105">
        <v>37500</v>
      </c>
      <c r="T573" s="105">
        <v>3600000</v>
      </c>
      <c r="U573" s="105">
        <v>0</v>
      </c>
      <c r="V573" s="105">
        <v>0</v>
      </c>
      <c r="W573" s="105">
        <v>0</v>
      </c>
      <c r="X573" s="105">
        <v>0</v>
      </c>
      <c r="Y573" s="105">
        <v>0</v>
      </c>
      <c r="Z573" s="105">
        <v>0</v>
      </c>
      <c r="AA573" s="105">
        <v>0</v>
      </c>
      <c r="AB573" s="105">
        <v>0</v>
      </c>
      <c r="AC573" s="8">
        <f t="shared" si="56"/>
        <v>3600000</v>
      </c>
      <c r="AD573" s="8">
        <f t="shared" si="57"/>
        <v>0</v>
      </c>
      <c r="AE573" s="8">
        <f t="shared" si="58"/>
        <v>0</v>
      </c>
      <c r="AF573" s="106">
        <f t="shared" si="59"/>
        <v>0</v>
      </c>
      <c r="AG573" s="8">
        <f t="shared" si="60"/>
        <v>0</v>
      </c>
      <c r="AH573" s="8">
        <f>IF($O573="Aktif",MAX(0,MIN($AE573,$AD573-SUM($AG573:AG573))),0)</f>
        <v>0</v>
      </c>
      <c r="AI573" s="8">
        <f>IF($O573="Aktif",MAX(0,MIN($AE573,$AD573-SUM($AG573:AH573))),0)</f>
        <v>0</v>
      </c>
      <c r="AJ573" s="8">
        <f>IF($O573="Aktif",MAX(0,MIN($AE573,$AD573-SUM($AG573:AI573))),0)</f>
        <v>0</v>
      </c>
      <c r="AK573" s="8">
        <f>IF($O573="Aktif",MAX(0,MIN($AE573,$AD573-SUM($AG573:AJ573))),0)</f>
        <v>0</v>
      </c>
      <c r="AL573" s="8">
        <f>IF($O573="Aktif",MAX(0,MIN($AE573,$AD573-SUM($AG573:AK573))),0)</f>
        <v>0</v>
      </c>
      <c r="AM573" s="8">
        <f>IF($O573="Aktif",MAX(0,MIN($AE573,$AD573-SUM($AG573:AL573))),0)</f>
        <v>0</v>
      </c>
      <c r="AN573" s="8">
        <f>IF($O573="Aktif",MAX(0,MIN($AE573,$AD573-SUM($AG573:AM573))),0)</f>
        <v>0</v>
      </c>
      <c r="AO573" s="8">
        <f>IF($O573="Aktif",MAX(0,MIN($AE573,$AD573-SUM($AG573:AN573))),0)</f>
        <v>0</v>
      </c>
      <c r="AP573" s="8">
        <f>IF($O573="Aktif",MAX(0,MIN($AE573,$AD573-SUM($AG573:AO573))),0)</f>
        <v>0</v>
      </c>
      <c r="AQ573" s="8">
        <f>IF($O573="Aktif",MAX(0,MIN($AE573,$AD573-SUM($AG573:AP573))),0)</f>
        <v>0</v>
      </c>
      <c r="AR573" s="8">
        <f>IF($O573="Aktif",MAX(0,MIN($AE573,$AD573-SUM($AG573:AQ573))),0)</f>
        <v>0</v>
      </c>
      <c r="AS573" s="8">
        <f>IF($O573="Aktif",MAX(0,MIN($AE573,$AD573-SUM($AG573:AR573))),0)</f>
        <v>0</v>
      </c>
      <c r="AT573" s="8">
        <f>IF($O573="Aktif",MAX(0,MIN($AE573,$AD573-SUM($AG573:AS573))),0)</f>
        <v>0</v>
      </c>
      <c r="AU573" s="8">
        <f>IF($O573="Aktif",MAX(0,MIN($AE573,$AD573-SUM($AG573:AT573))),0)</f>
        <v>0</v>
      </c>
      <c r="AV573" s="8">
        <f>IF($O573="Aktif",MAX(0,MIN($AE573,$AD573-SUM($AG573:AU573))),0)</f>
        <v>0</v>
      </c>
      <c r="AW573" s="8">
        <f t="shared" si="61"/>
        <v>0</v>
      </c>
      <c r="AX573" s="8">
        <f t="shared" si="62"/>
        <v>0</v>
      </c>
    </row>
    <row r="574" spans="1:50" ht="15" customHeight="1" x14ac:dyDescent="0.35">
      <c r="A574" s="102">
        <v>568</v>
      </c>
      <c r="B574" s="102" t="s">
        <v>1326</v>
      </c>
      <c r="C574" s="103">
        <v>202</v>
      </c>
      <c r="D574" s="102" t="s">
        <v>185</v>
      </c>
      <c r="E574" s="102" t="s">
        <v>587</v>
      </c>
      <c r="F574" s="102" t="s">
        <v>1327</v>
      </c>
      <c r="G574" s="102" t="s">
        <v>1328</v>
      </c>
      <c r="H574" s="102" t="s">
        <v>1329</v>
      </c>
      <c r="I574" s="102" t="s">
        <v>63</v>
      </c>
      <c r="J574" s="102" t="s">
        <v>1865</v>
      </c>
      <c r="K574" s="102" t="s">
        <v>591</v>
      </c>
      <c r="L574" s="104">
        <v>41121</v>
      </c>
      <c r="M574" s="102" t="s">
        <v>1866</v>
      </c>
      <c r="N574" s="102" t="s">
        <v>1867</v>
      </c>
      <c r="O574" s="102" t="s">
        <v>383</v>
      </c>
      <c r="P574" s="103">
        <v>1</v>
      </c>
      <c r="Q574" s="105">
        <v>8050000</v>
      </c>
      <c r="R574" s="103">
        <v>96</v>
      </c>
      <c r="S574" s="105">
        <v>83854.166666666701</v>
      </c>
      <c r="T574" s="105">
        <v>8050000</v>
      </c>
      <c r="U574" s="105">
        <v>0</v>
      </c>
      <c r="V574" s="105">
        <v>0</v>
      </c>
      <c r="W574" s="105">
        <v>0</v>
      </c>
      <c r="X574" s="105">
        <v>0</v>
      </c>
      <c r="Y574" s="105">
        <v>0</v>
      </c>
      <c r="Z574" s="105">
        <v>0</v>
      </c>
      <c r="AA574" s="105">
        <v>0</v>
      </c>
      <c r="AB574" s="105">
        <v>0</v>
      </c>
      <c r="AC574" s="8">
        <f t="shared" si="56"/>
        <v>8050000</v>
      </c>
      <c r="AD574" s="8">
        <f t="shared" si="57"/>
        <v>0</v>
      </c>
      <c r="AE574" s="8">
        <f t="shared" si="58"/>
        <v>0</v>
      </c>
      <c r="AF574" s="106">
        <f t="shared" si="59"/>
        <v>0</v>
      </c>
      <c r="AG574" s="8">
        <f t="shared" si="60"/>
        <v>0</v>
      </c>
      <c r="AH574" s="8">
        <f>IF($O574="Aktif",MAX(0,MIN($AE574,$AD574-SUM($AG574:AG574))),0)</f>
        <v>0</v>
      </c>
      <c r="AI574" s="8">
        <f>IF($O574="Aktif",MAX(0,MIN($AE574,$AD574-SUM($AG574:AH574))),0)</f>
        <v>0</v>
      </c>
      <c r="AJ574" s="8">
        <f>IF($O574="Aktif",MAX(0,MIN($AE574,$AD574-SUM($AG574:AI574))),0)</f>
        <v>0</v>
      </c>
      <c r="AK574" s="8">
        <f>IF($O574="Aktif",MAX(0,MIN($AE574,$AD574-SUM($AG574:AJ574))),0)</f>
        <v>0</v>
      </c>
      <c r="AL574" s="8">
        <f>IF($O574="Aktif",MAX(0,MIN($AE574,$AD574-SUM($AG574:AK574))),0)</f>
        <v>0</v>
      </c>
      <c r="AM574" s="8">
        <f>IF($O574="Aktif",MAX(0,MIN($AE574,$AD574-SUM($AG574:AL574))),0)</f>
        <v>0</v>
      </c>
      <c r="AN574" s="8">
        <f>IF($O574="Aktif",MAX(0,MIN($AE574,$AD574-SUM($AG574:AM574))),0)</f>
        <v>0</v>
      </c>
      <c r="AO574" s="8">
        <f>IF($O574="Aktif",MAX(0,MIN($AE574,$AD574-SUM($AG574:AN574))),0)</f>
        <v>0</v>
      </c>
      <c r="AP574" s="8">
        <f>IF($O574="Aktif",MAX(0,MIN($AE574,$AD574-SUM($AG574:AO574))),0)</f>
        <v>0</v>
      </c>
      <c r="AQ574" s="8">
        <f>IF($O574="Aktif",MAX(0,MIN($AE574,$AD574-SUM($AG574:AP574))),0)</f>
        <v>0</v>
      </c>
      <c r="AR574" s="8">
        <f>IF($O574="Aktif",MAX(0,MIN($AE574,$AD574-SUM($AG574:AQ574))),0)</f>
        <v>0</v>
      </c>
      <c r="AS574" s="8">
        <f>IF($O574="Aktif",MAX(0,MIN($AE574,$AD574-SUM($AG574:AR574))),0)</f>
        <v>0</v>
      </c>
      <c r="AT574" s="8">
        <f>IF($O574="Aktif",MAX(0,MIN($AE574,$AD574-SUM($AG574:AS574))),0)</f>
        <v>0</v>
      </c>
      <c r="AU574" s="8">
        <f>IF($O574="Aktif",MAX(0,MIN($AE574,$AD574-SUM($AG574:AT574))),0)</f>
        <v>0</v>
      </c>
      <c r="AV574" s="8">
        <f>IF($O574="Aktif",MAX(0,MIN($AE574,$AD574-SUM($AG574:AU574))),0)</f>
        <v>0</v>
      </c>
      <c r="AW574" s="8">
        <f t="shared" si="61"/>
        <v>0</v>
      </c>
      <c r="AX574" s="8">
        <f t="shared" si="62"/>
        <v>0</v>
      </c>
    </row>
    <row r="575" spans="1:50" ht="15" customHeight="1" x14ac:dyDescent="0.35">
      <c r="A575" s="102">
        <v>569</v>
      </c>
      <c r="B575" s="102" t="s">
        <v>1326</v>
      </c>
      <c r="C575" s="103">
        <v>203</v>
      </c>
      <c r="D575" s="102" t="s">
        <v>185</v>
      </c>
      <c r="E575" s="102" t="s">
        <v>587</v>
      </c>
      <c r="F575" s="102" t="s">
        <v>1327</v>
      </c>
      <c r="G575" s="102" t="s">
        <v>1328</v>
      </c>
      <c r="H575" s="102" t="s">
        <v>1329</v>
      </c>
      <c r="I575" s="102" t="s">
        <v>63</v>
      </c>
      <c r="J575" s="102" t="s">
        <v>1868</v>
      </c>
      <c r="K575" s="102" t="s">
        <v>591</v>
      </c>
      <c r="L575" s="104">
        <v>41121</v>
      </c>
      <c r="M575" s="102" t="s">
        <v>1869</v>
      </c>
      <c r="N575" s="102" t="s">
        <v>1870</v>
      </c>
      <c r="O575" s="102" t="s">
        <v>383</v>
      </c>
      <c r="P575" s="103">
        <v>1</v>
      </c>
      <c r="Q575" s="105">
        <v>3219000</v>
      </c>
      <c r="R575" s="103">
        <v>96</v>
      </c>
      <c r="S575" s="105">
        <v>33531.25</v>
      </c>
      <c r="T575" s="105">
        <v>3219000</v>
      </c>
      <c r="U575" s="105">
        <v>0</v>
      </c>
      <c r="V575" s="105">
        <v>0</v>
      </c>
      <c r="W575" s="105">
        <v>0</v>
      </c>
      <c r="X575" s="105">
        <v>0</v>
      </c>
      <c r="Y575" s="105">
        <v>0</v>
      </c>
      <c r="Z575" s="105">
        <v>0</v>
      </c>
      <c r="AA575" s="105">
        <v>0</v>
      </c>
      <c r="AB575" s="105">
        <v>0</v>
      </c>
      <c r="AC575" s="8">
        <f t="shared" si="56"/>
        <v>3219000</v>
      </c>
      <c r="AD575" s="8">
        <f t="shared" si="57"/>
        <v>0</v>
      </c>
      <c r="AE575" s="8">
        <f t="shared" si="58"/>
        <v>0</v>
      </c>
      <c r="AF575" s="106">
        <f t="shared" si="59"/>
        <v>0</v>
      </c>
      <c r="AG575" s="8">
        <f t="shared" si="60"/>
        <v>0</v>
      </c>
      <c r="AH575" s="8">
        <f>IF($O575="Aktif",MAX(0,MIN($AE575,$AD575-SUM($AG575:AG575))),0)</f>
        <v>0</v>
      </c>
      <c r="AI575" s="8">
        <f>IF($O575="Aktif",MAX(0,MIN($AE575,$AD575-SUM($AG575:AH575))),0)</f>
        <v>0</v>
      </c>
      <c r="AJ575" s="8">
        <f>IF($O575="Aktif",MAX(0,MIN($AE575,$AD575-SUM($AG575:AI575))),0)</f>
        <v>0</v>
      </c>
      <c r="AK575" s="8">
        <f>IF($O575="Aktif",MAX(0,MIN($AE575,$AD575-SUM($AG575:AJ575))),0)</f>
        <v>0</v>
      </c>
      <c r="AL575" s="8">
        <f>IF($O575="Aktif",MAX(0,MIN($AE575,$AD575-SUM($AG575:AK575))),0)</f>
        <v>0</v>
      </c>
      <c r="AM575" s="8">
        <f>IF($O575="Aktif",MAX(0,MIN($AE575,$AD575-SUM($AG575:AL575))),0)</f>
        <v>0</v>
      </c>
      <c r="AN575" s="8">
        <f>IF($O575="Aktif",MAX(0,MIN($AE575,$AD575-SUM($AG575:AM575))),0)</f>
        <v>0</v>
      </c>
      <c r="AO575" s="8">
        <f>IF($O575="Aktif",MAX(0,MIN($AE575,$AD575-SUM($AG575:AN575))),0)</f>
        <v>0</v>
      </c>
      <c r="AP575" s="8">
        <f>IF($O575="Aktif",MAX(0,MIN($AE575,$AD575-SUM($AG575:AO575))),0)</f>
        <v>0</v>
      </c>
      <c r="AQ575" s="8">
        <f>IF($O575="Aktif",MAX(0,MIN($AE575,$AD575-SUM($AG575:AP575))),0)</f>
        <v>0</v>
      </c>
      <c r="AR575" s="8">
        <f>IF($O575="Aktif",MAX(0,MIN($AE575,$AD575-SUM($AG575:AQ575))),0)</f>
        <v>0</v>
      </c>
      <c r="AS575" s="8">
        <f>IF($O575="Aktif",MAX(0,MIN($AE575,$AD575-SUM($AG575:AR575))),0)</f>
        <v>0</v>
      </c>
      <c r="AT575" s="8">
        <f>IF($O575="Aktif",MAX(0,MIN($AE575,$AD575-SUM($AG575:AS575))),0)</f>
        <v>0</v>
      </c>
      <c r="AU575" s="8">
        <f>IF($O575="Aktif",MAX(0,MIN($AE575,$AD575-SUM($AG575:AT575))),0)</f>
        <v>0</v>
      </c>
      <c r="AV575" s="8">
        <f>IF($O575="Aktif",MAX(0,MIN($AE575,$AD575-SUM($AG575:AU575))),0)</f>
        <v>0</v>
      </c>
      <c r="AW575" s="8">
        <f t="shared" si="61"/>
        <v>0</v>
      </c>
      <c r="AX575" s="8">
        <f t="shared" si="62"/>
        <v>0</v>
      </c>
    </row>
    <row r="576" spans="1:50" ht="15" customHeight="1" x14ac:dyDescent="0.35">
      <c r="A576" s="102">
        <v>570</v>
      </c>
      <c r="B576" s="102" t="s">
        <v>1326</v>
      </c>
      <c r="C576" s="103">
        <v>204</v>
      </c>
      <c r="D576" s="102" t="s">
        <v>185</v>
      </c>
      <c r="E576" s="102" t="s">
        <v>587</v>
      </c>
      <c r="F576" s="102" t="s">
        <v>1327</v>
      </c>
      <c r="G576" s="102" t="s">
        <v>1328</v>
      </c>
      <c r="H576" s="102" t="s">
        <v>1329</v>
      </c>
      <c r="I576" s="102" t="s">
        <v>63</v>
      </c>
      <c r="J576" s="102" t="s">
        <v>1871</v>
      </c>
      <c r="K576" s="102" t="s">
        <v>591</v>
      </c>
      <c r="L576" s="104">
        <v>41121</v>
      </c>
      <c r="M576" s="102" t="s">
        <v>1872</v>
      </c>
      <c r="N576" s="102" t="s">
        <v>1873</v>
      </c>
      <c r="O576" s="102" t="s">
        <v>383</v>
      </c>
      <c r="P576" s="103">
        <v>1</v>
      </c>
      <c r="Q576" s="105">
        <v>7700000</v>
      </c>
      <c r="R576" s="103">
        <v>96</v>
      </c>
      <c r="S576" s="105">
        <v>80208.333333333299</v>
      </c>
      <c r="T576" s="105">
        <v>7700000</v>
      </c>
      <c r="U576" s="105">
        <v>0</v>
      </c>
      <c r="V576" s="105">
        <v>0</v>
      </c>
      <c r="W576" s="105">
        <v>0</v>
      </c>
      <c r="X576" s="105">
        <v>0</v>
      </c>
      <c r="Y576" s="105">
        <v>0</v>
      </c>
      <c r="Z576" s="105">
        <v>0</v>
      </c>
      <c r="AA576" s="105">
        <v>0</v>
      </c>
      <c r="AB576" s="105">
        <v>0</v>
      </c>
      <c r="AC576" s="8">
        <f t="shared" si="56"/>
        <v>7700000</v>
      </c>
      <c r="AD576" s="8">
        <f t="shared" si="57"/>
        <v>0</v>
      </c>
      <c r="AE576" s="8">
        <f t="shared" si="58"/>
        <v>0</v>
      </c>
      <c r="AF576" s="106">
        <f t="shared" si="59"/>
        <v>0</v>
      </c>
      <c r="AG576" s="8">
        <f t="shared" si="60"/>
        <v>0</v>
      </c>
      <c r="AH576" s="8">
        <f>IF($O576="Aktif",MAX(0,MIN($AE576,$AD576-SUM($AG576:AG576))),0)</f>
        <v>0</v>
      </c>
      <c r="AI576" s="8">
        <f>IF($O576="Aktif",MAX(0,MIN($AE576,$AD576-SUM($AG576:AH576))),0)</f>
        <v>0</v>
      </c>
      <c r="AJ576" s="8">
        <f>IF($O576="Aktif",MAX(0,MIN($AE576,$AD576-SUM($AG576:AI576))),0)</f>
        <v>0</v>
      </c>
      <c r="AK576" s="8">
        <f>IF($O576="Aktif",MAX(0,MIN($AE576,$AD576-SUM($AG576:AJ576))),0)</f>
        <v>0</v>
      </c>
      <c r="AL576" s="8">
        <f>IF($O576="Aktif",MAX(0,MIN($AE576,$AD576-SUM($AG576:AK576))),0)</f>
        <v>0</v>
      </c>
      <c r="AM576" s="8">
        <f>IF($O576="Aktif",MAX(0,MIN($AE576,$AD576-SUM($AG576:AL576))),0)</f>
        <v>0</v>
      </c>
      <c r="AN576" s="8">
        <f>IF($O576="Aktif",MAX(0,MIN($AE576,$AD576-SUM($AG576:AM576))),0)</f>
        <v>0</v>
      </c>
      <c r="AO576" s="8">
        <f>IF($O576="Aktif",MAX(0,MIN($AE576,$AD576-SUM($AG576:AN576))),0)</f>
        <v>0</v>
      </c>
      <c r="AP576" s="8">
        <f>IF($O576="Aktif",MAX(0,MIN($AE576,$AD576-SUM($AG576:AO576))),0)</f>
        <v>0</v>
      </c>
      <c r="AQ576" s="8">
        <f>IF($O576="Aktif",MAX(0,MIN($AE576,$AD576-SUM($AG576:AP576))),0)</f>
        <v>0</v>
      </c>
      <c r="AR576" s="8">
        <f>IF($O576="Aktif",MAX(0,MIN($AE576,$AD576-SUM($AG576:AQ576))),0)</f>
        <v>0</v>
      </c>
      <c r="AS576" s="8">
        <f>IF($O576="Aktif",MAX(0,MIN($AE576,$AD576-SUM($AG576:AR576))),0)</f>
        <v>0</v>
      </c>
      <c r="AT576" s="8">
        <f>IF($O576="Aktif",MAX(0,MIN($AE576,$AD576-SUM($AG576:AS576))),0)</f>
        <v>0</v>
      </c>
      <c r="AU576" s="8">
        <f>IF($O576="Aktif",MAX(0,MIN($AE576,$AD576-SUM($AG576:AT576))),0)</f>
        <v>0</v>
      </c>
      <c r="AV576" s="8">
        <f>IF($O576="Aktif",MAX(0,MIN($AE576,$AD576-SUM($AG576:AU576))),0)</f>
        <v>0</v>
      </c>
      <c r="AW576" s="8">
        <f t="shared" si="61"/>
        <v>0</v>
      </c>
      <c r="AX576" s="8">
        <f t="shared" si="62"/>
        <v>0</v>
      </c>
    </row>
    <row r="577" spans="1:50" ht="15" customHeight="1" x14ac:dyDescent="0.35">
      <c r="A577" s="102">
        <v>571</v>
      </c>
      <c r="B577" s="102" t="s">
        <v>1326</v>
      </c>
      <c r="C577" s="103">
        <v>205</v>
      </c>
      <c r="D577" s="102" t="s">
        <v>185</v>
      </c>
      <c r="E577" s="102" t="s">
        <v>587</v>
      </c>
      <c r="F577" s="102" t="s">
        <v>1327</v>
      </c>
      <c r="G577" s="102" t="s">
        <v>1328</v>
      </c>
      <c r="H577" s="102" t="s">
        <v>1329</v>
      </c>
      <c r="I577" s="102" t="s">
        <v>63</v>
      </c>
      <c r="J577" s="102" t="s">
        <v>1874</v>
      </c>
      <c r="K577" s="102" t="s">
        <v>591</v>
      </c>
      <c r="L577" s="104">
        <v>41121</v>
      </c>
      <c r="M577" s="102" t="s">
        <v>1875</v>
      </c>
      <c r="N577" s="102" t="s">
        <v>1876</v>
      </c>
      <c r="O577" s="102" t="s">
        <v>383</v>
      </c>
      <c r="P577" s="103">
        <v>1</v>
      </c>
      <c r="Q577" s="105">
        <v>18560000</v>
      </c>
      <c r="R577" s="103">
        <v>96</v>
      </c>
      <c r="S577" s="105">
        <v>193333.33333333299</v>
      </c>
      <c r="T577" s="105">
        <v>18560000</v>
      </c>
      <c r="U577" s="105">
        <v>0</v>
      </c>
      <c r="V577" s="105">
        <v>0</v>
      </c>
      <c r="W577" s="105">
        <v>0</v>
      </c>
      <c r="X577" s="105">
        <v>0</v>
      </c>
      <c r="Y577" s="105">
        <v>0</v>
      </c>
      <c r="Z577" s="105">
        <v>0</v>
      </c>
      <c r="AA577" s="105">
        <v>0</v>
      </c>
      <c r="AB577" s="105">
        <v>0</v>
      </c>
      <c r="AC577" s="8">
        <f t="shared" si="56"/>
        <v>18560000</v>
      </c>
      <c r="AD577" s="8">
        <f t="shared" si="57"/>
        <v>0</v>
      </c>
      <c r="AE577" s="8">
        <f t="shared" si="58"/>
        <v>0</v>
      </c>
      <c r="AF577" s="106">
        <f t="shared" si="59"/>
        <v>0</v>
      </c>
      <c r="AG577" s="8">
        <f t="shared" si="60"/>
        <v>0</v>
      </c>
      <c r="AH577" s="8">
        <f>IF($O577="Aktif",MAX(0,MIN($AE577,$AD577-SUM($AG577:AG577))),0)</f>
        <v>0</v>
      </c>
      <c r="AI577" s="8">
        <f>IF($O577="Aktif",MAX(0,MIN($AE577,$AD577-SUM($AG577:AH577))),0)</f>
        <v>0</v>
      </c>
      <c r="AJ577" s="8">
        <f>IF($O577="Aktif",MAX(0,MIN($AE577,$AD577-SUM($AG577:AI577))),0)</f>
        <v>0</v>
      </c>
      <c r="AK577" s="8">
        <f>IF($O577="Aktif",MAX(0,MIN($AE577,$AD577-SUM($AG577:AJ577))),0)</f>
        <v>0</v>
      </c>
      <c r="AL577" s="8">
        <f>IF($O577="Aktif",MAX(0,MIN($AE577,$AD577-SUM($AG577:AK577))),0)</f>
        <v>0</v>
      </c>
      <c r="AM577" s="8">
        <f>IF($O577="Aktif",MAX(0,MIN($AE577,$AD577-SUM($AG577:AL577))),0)</f>
        <v>0</v>
      </c>
      <c r="AN577" s="8">
        <f>IF($O577="Aktif",MAX(0,MIN($AE577,$AD577-SUM($AG577:AM577))),0)</f>
        <v>0</v>
      </c>
      <c r="AO577" s="8">
        <f>IF($O577="Aktif",MAX(0,MIN($AE577,$AD577-SUM($AG577:AN577))),0)</f>
        <v>0</v>
      </c>
      <c r="AP577" s="8">
        <f>IF($O577="Aktif",MAX(0,MIN($AE577,$AD577-SUM($AG577:AO577))),0)</f>
        <v>0</v>
      </c>
      <c r="AQ577" s="8">
        <f>IF($O577="Aktif",MAX(0,MIN($AE577,$AD577-SUM($AG577:AP577))),0)</f>
        <v>0</v>
      </c>
      <c r="AR577" s="8">
        <f>IF($O577="Aktif",MAX(0,MIN($AE577,$AD577-SUM($AG577:AQ577))),0)</f>
        <v>0</v>
      </c>
      <c r="AS577" s="8">
        <f>IF($O577="Aktif",MAX(0,MIN($AE577,$AD577-SUM($AG577:AR577))),0)</f>
        <v>0</v>
      </c>
      <c r="AT577" s="8">
        <f>IF($O577="Aktif",MAX(0,MIN($AE577,$AD577-SUM($AG577:AS577))),0)</f>
        <v>0</v>
      </c>
      <c r="AU577" s="8">
        <f>IF($O577="Aktif",MAX(0,MIN($AE577,$AD577-SUM($AG577:AT577))),0)</f>
        <v>0</v>
      </c>
      <c r="AV577" s="8">
        <f>IF($O577="Aktif",MAX(0,MIN($AE577,$AD577-SUM($AG577:AU577))),0)</f>
        <v>0</v>
      </c>
      <c r="AW577" s="8">
        <f t="shared" si="61"/>
        <v>0</v>
      </c>
      <c r="AX577" s="8">
        <f t="shared" si="62"/>
        <v>0</v>
      </c>
    </row>
    <row r="578" spans="1:50" ht="15" customHeight="1" x14ac:dyDescent="0.35">
      <c r="A578" s="102">
        <v>572</v>
      </c>
      <c r="B578" s="102" t="s">
        <v>1326</v>
      </c>
      <c r="C578" s="103">
        <v>206</v>
      </c>
      <c r="D578" s="102" t="s">
        <v>185</v>
      </c>
      <c r="E578" s="102" t="s">
        <v>587</v>
      </c>
      <c r="F578" s="102" t="s">
        <v>1327</v>
      </c>
      <c r="G578" s="102" t="s">
        <v>1328</v>
      </c>
      <c r="H578" s="102" t="s">
        <v>1329</v>
      </c>
      <c r="I578" s="102" t="s">
        <v>63</v>
      </c>
      <c r="J578" s="102" t="s">
        <v>1877</v>
      </c>
      <c r="K578" s="102" t="s">
        <v>591</v>
      </c>
      <c r="L578" s="104">
        <v>41121</v>
      </c>
      <c r="M578" s="102" t="s">
        <v>1878</v>
      </c>
      <c r="N578" s="102" t="s">
        <v>1879</v>
      </c>
      <c r="O578" s="102" t="s">
        <v>383</v>
      </c>
      <c r="P578" s="103">
        <v>1</v>
      </c>
      <c r="Q578" s="105">
        <v>30735000</v>
      </c>
      <c r="R578" s="103">
        <v>96</v>
      </c>
      <c r="S578" s="105">
        <v>320156.25</v>
      </c>
      <c r="T578" s="105">
        <v>30735000</v>
      </c>
      <c r="U578" s="105">
        <v>0</v>
      </c>
      <c r="V578" s="105">
        <v>0</v>
      </c>
      <c r="W578" s="105">
        <v>0</v>
      </c>
      <c r="X578" s="105">
        <v>0</v>
      </c>
      <c r="Y578" s="105">
        <v>0</v>
      </c>
      <c r="Z578" s="105">
        <v>0</v>
      </c>
      <c r="AA578" s="105">
        <v>0</v>
      </c>
      <c r="AB578" s="105">
        <v>0</v>
      </c>
      <c r="AC578" s="8">
        <f t="shared" si="56"/>
        <v>30735000</v>
      </c>
      <c r="AD578" s="8">
        <f t="shared" si="57"/>
        <v>0</v>
      </c>
      <c r="AE578" s="8">
        <f t="shared" si="58"/>
        <v>0</v>
      </c>
      <c r="AF578" s="106">
        <f t="shared" si="59"/>
        <v>0</v>
      </c>
      <c r="AG578" s="8">
        <f t="shared" si="60"/>
        <v>0</v>
      </c>
      <c r="AH578" s="8">
        <f>IF($O578="Aktif",MAX(0,MIN($AE578,$AD578-SUM($AG578:AG578))),0)</f>
        <v>0</v>
      </c>
      <c r="AI578" s="8">
        <f>IF($O578="Aktif",MAX(0,MIN($AE578,$AD578-SUM($AG578:AH578))),0)</f>
        <v>0</v>
      </c>
      <c r="AJ578" s="8">
        <f>IF($O578="Aktif",MAX(0,MIN($AE578,$AD578-SUM($AG578:AI578))),0)</f>
        <v>0</v>
      </c>
      <c r="AK578" s="8">
        <f>IF($O578="Aktif",MAX(0,MIN($AE578,$AD578-SUM($AG578:AJ578))),0)</f>
        <v>0</v>
      </c>
      <c r="AL578" s="8">
        <f>IF($O578="Aktif",MAX(0,MIN($AE578,$AD578-SUM($AG578:AK578))),0)</f>
        <v>0</v>
      </c>
      <c r="AM578" s="8">
        <f>IF($O578="Aktif",MAX(0,MIN($AE578,$AD578-SUM($AG578:AL578))),0)</f>
        <v>0</v>
      </c>
      <c r="AN578" s="8">
        <f>IF($O578="Aktif",MAX(0,MIN($AE578,$AD578-SUM($AG578:AM578))),0)</f>
        <v>0</v>
      </c>
      <c r="AO578" s="8">
        <f>IF($O578="Aktif",MAX(0,MIN($AE578,$AD578-SUM($AG578:AN578))),0)</f>
        <v>0</v>
      </c>
      <c r="AP578" s="8">
        <f>IF($O578="Aktif",MAX(0,MIN($AE578,$AD578-SUM($AG578:AO578))),0)</f>
        <v>0</v>
      </c>
      <c r="AQ578" s="8">
        <f>IF($O578="Aktif",MAX(0,MIN($AE578,$AD578-SUM($AG578:AP578))),0)</f>
        <v>0</v>
      </c>
      <c r="AR578" s="8">
        <f>IF($O578="Aktif",MAX(0,MIN($AE578,$AD578-SUM($AG578:AQ578))),0)</f>
        <v>0</v>
      </c>
      <c r="AS578" s="8">
        <f>IF($O578="Aktif",MAX(0,MIN($AE578,$AD578-SUM($AG578:AR578))),0)</f>
        <v>0</v>
      </c>
      <c r="AT578" s="8">
        <f>IF($O578="Aktif",MAX(0,MIN($AE578,$AD578-SUM($AG578:AS578))),0)</f>
        <v>0</v>
      </c>
      <c r="AU578" s="8">
        <f>IF($O578="Aktif",MAX(0,MIN($AE578,$AD578-SUM($AG578:AT578))),0)</f>
        <v>0</v>
      </c>
      <c r="AV578" s="8">
        <f>IF($O578="Aktif",MAX(0,MIN($AE578,$AD578-SUM($AG578:AU578))),0)</f>
        <v>0</v>
      </c>
      <c r="AW578" s="8">
        <f t="shared" si="61"/>
        <v>0</v>
      </c>
      <c r="AX578" s="8">
        <f t="shared" si="62"/>
        <v>0</v>
      </c>
    </row>
    <row r="579" spans="1:50" ht="15" customHeight="1" x14ac:dyDescent="0.35">
      <c r="A579" s="102">
        <v>573</v>
      </c>
      <c r="B579" s="102" t="s">
        <v>1326</v>
      </c>
      <c r="C579" s="103">
        <v>207</v>
      </c>
      <c r="D579" s="102" t="s">
        <v>185</v>
      </c>
      <c r="E579" s="102" t="s">
        <v>587</v>
      </c>
      <c r="F579" s="102" t="s">
        <v>1327</v>
      </c>
      <c r="G579" s="102" t="s">
        <v>1328</v>
      </c>
      <c r="H579" s="102" t="s">
        <v>1329</v>
      </c>
      <c r="I579" s="102" t="s">
        <v>63</v>
      </c>
      <c r="J579" s="102" t="s">
        <v>1880</v>
      </c>
      <c r="K579" s="102" t="s">
        <v>591</v>
      </c>
      <c r="L579" s="104">
        <v>41121</v>
      </c>
      <c r="M579" s="102" t="s">
        <v>1881</v>
      </c>
      <c r="N579" s="102" t="s">
        <v>1882</v>
      </c>
      <c r="O579" s="102" t="s">
        <v>383</v>
      </c>
      <c r="P579" s="103">
        <v>1</v>
      </c>
      <c r="Q579" s="105">
        <v>29100000</v>
      </c>
      <c r="R579" s="103">
        <v>96</v>
      </c>
      <c r="S579" s="105">
        <v>303125</v>
      </c>
      <c r="T579" s="105">
        <v>29100000</v>
      </c>
      <c r="U579" s="105">
        <v>0</v>
      </c>
      <c r="V579" s="105">
        <v>0</v>
      </c>
      <c r="W579" s="105">
        <v>0</v>
      </c>
      <c r="X579" s="105">
        <v>0</v>
      </c>
      <c r="Y579" s="105">
        <v>0</v>
      </c>
      <c r="Z579" s="105">
        <v>0</v>
      </c>
      <c r="AA579" s="105">
        <v>0</v>
      </c>
      <c r="AB579" s="105">
        <v>0</v>
      </c>
      <c r="AC579" s="8">
        <f t="shared" si="56"/>
        <v>29100000</v>
      </c>
      <c r="AD579" s="8">
        <f t="shared" si="57"/>
        <v>0</v>
      </c>
      <c r="AE579" s="8">
        <f t="shared" si="58"/>
        <v>0</v>
      </c>
      <c r="AF579" s="106">
        <f t="shared" si="59"/>
        <v>0</v>
      </c>
      <c r="AG579" s="8">
        <f t="shared" si="60"/>
        <v>0</v>
      </c>
      <c r="AH579" s="8">
        <f>IF($O579="Aktif",MAX(0,MIN($AE579,$AD579-SUM($AG579:AG579))),0)</f>
        <v>0</v>
      </c>
      <c r="AI579" s="8">
        <f>IF($O579="Aktif",MAX(0,MIN($AE579,$AD579-SUM($AG579:AH579))),0)</f>
        <v>0</v>
      </c>
      <c r="AJ579" s="8">
        <f>IF($O579="Aktif",MAX(0,MIN($AE579,$AD579-SUM($AG579:AI579))),0)</f>
        <v>0</v>
      </c>
      <c r="AK579" s="8">
        <f>IF($O579="Aktif",MAX(0,MIN($AE579,$AD579-SUM($AG579:AJ579))),0)</f>
        <v>0</v>
      </c>
      <c r="AL579" s="8">
        <f>IF($O579="Aktif",MAX(0,MIN($AE579,$AD579-SUM($AG579:AK579))),0)</f>
        <v>0</v>
      </c>
      <c r="AM579" s="8">
        <f>IF($O579="Aktif",MAX(0,MIN($AE579,$AD579-SUM($AG579:AL579))),0)</f>
        <v>0</v>
      </c>
      <c r="AN579" s="8">
        <f>IF($O579="Aktif",MAX(0,MIN($AE579,$AD579-SUM($AG579:AM579))),0)</f>
        <v>0</v>
      </c>
      <c r="AO579" s="8">
        <f>IF($O579="Aktif",MAX(0,MIN($AE579,$AD579-SUM($AG579:AN579))),0)</f>
        <v>0</v>
      </c>
      <c r="AP579" s="8">
        <f>IF($O579="Aktif",MAX(0,MIN($AE579,$AD579-SUM($AG579:AO579))),0)</f>
        <v>0</v>
      </c>
      <c r="AQ579" s="8">
        <f>IF($O579="Aktif",MAX(0,MIN($AE579,$AD579-SUM($AG579:AP579))),0)</f>
        <v>0</v>
      </c>
      <c r="AR579" s="8">
        <f>IF($O579="Aktif",MAX(0,MIN($AE579,$AD579-SUM($AG579:AQ579))),0)</f>
        <v>0</v>
      </c>
      <c r="AS579" s="8">
        <f>IF($O579="Aktif",MAX(0,MIN($AE579,$AD579-SUM($AG579:AR579))),0)</f>
        <v>0</v>
      </c>
      <c r="AT579" s="8">
        <f>IF($O579="Aktif",MAX(0,MIN($AE579,$AD579-SUM($AG579:AS579))),0)</f>
        <v>0</v>
      </c>
      <c r="AU579" s="8">
        <f>IF($O579="Aktif",MAX(0,MIN($AE579,$AD579-SUM($AG579:AT579))),0)</f>
        <v>0</v>
      </c>
      <c r="AV579" s="8">
        <f>IF($O579="Aktif",MAX(0,MIN($AE579,$AD579-SUM($AG579:AU579))),0)</f>
        <v>0</v>
      </c>
      <c r="AW579" s="8">
        <f t="shared" si="61"/>
        <v>0</v>
      </c>
      <c r="AX579" s="8">
        <f t="shared" si="62"/>
        <v>0</v>
      </c>
    </row>
    <row r="580" spans="1:50" ht="15" customHeight="1" x14ac:dyDescent="0.35">
      <c r="A580" s="102">
        <v>574</v>
      </c>
      <c r="B580" s="102" t="s">
        <v>1326</v>
      </c>
      <c r="C580" s="103">
        <v>208</v>
      </c>
      <c r="D580" s="102" t="s">
        <v>185</v>
      </c>
      <c r="E580" s="102" t="s">
        <v>587</v>
      </c>
      <c r="F580" s="102" t="s">
        <v>1327</v>
      </c>
      <c r="G580" s="102" t="s">
        <v>1328</v>
      </c>
      <c r="H580" s="102" t="s">
        <v>1329</v>
      </c>
      <c r="I580" s="102" t="s">
        <v>63</v>
      </c>
      <c r="J580" s="102" t="s">
        <v>1883</v>
      </c>
      <c r="K580" s="102" t="s">
        <v>591</v>
      </c>
      <c r="L580" s="104">
        <v>41121</v>
      </c>
      <c r="M580" s="102" t="s">
        <v>1884</v>
      </c>
      <c r="N580" s="102" t="s">
        <v>1885</v>
      </c>
      <c r="O580" s="102" t="s">
        <v>383</v>
      </c>
      <c r="P580" s="103">
        <v>1</v>
      </c>
      <c r="Q580" s="105">
        <v>4000000</v>
      </c>
      <c r="R580" s="103">
        <v>96</v>
      </c>
      <c r="S580" s="105">
        <v>41666.666666666701</v>
      </c>
      <c r="T580" s="105">
        <v>4000000</v>
      </c>
      <c r="U580" s="105">
        <v>0</v>
      </c>
      <c r="V580" s="105">
        <v>0</v>
      </c>
      <c r="W580" s="105">
        <v>0</v>
      </c>
      <c r="X580" s="105">
        <v>0</v>
      </c>
      <c r="Y580" s="105">
        <v>0</v>
      </c>
      <c r="Z580" s="105">
        <v>0</v>
      </c>
      <c r="AA580" s="105">
        <v>0</v>
      </c>
      <c r="AB580" s="105">
        <v>0</v>
      </c>
      <c r="AC580" s="8">
        <f t="shared" si="56"/>
        <v>4000000</v>
      </c>
      <c r="AD580" s="8">
        <f t="shared" si="57"/>
        <v>0</v>
      </c>
      <c r="AE580" s="8">
        <f t="shared" si="58"/>
        <v>0</v>
      </c>
      <c r="AF580" s="106">
        <f t="shared" si="59"/>
        <v>0</v>
      </c>
      <c r="AG580" s="8">
        <f t="shared" si="60"/>
        <v>0</v>
      </c>
      <c r="AH580" s="8">
        <f>IF($O580="Aktif",MAX(0,MIN($AE580,$AD580-SUM($AG580:AG580))),0)</f>
        <v>0</v>
      </c>
      <c r="AI580" s="8">
        <f>IF($O580="Aktif",MAX(0,MIN($AE580,$AD580-SUM($AG580:AH580))),0)</f>
        <v>0</v>
      </c>
      <c r="AJ580" s="8">
        <f>IF($O580="Aktif",MAX(0,MIN($AE580,$AD580-SUM($AG580:AI580))),0)</f>
        <v>0</v>
      </c>
      <c r="AK580" s="8">
        <f>IF($O580="Aktif",MAX(0,MIN($AE580,$AD580-SUM($AG580:AJ580))),0)</f>
        <v>0</v>
      </c>
      <c r="AL580" s="8">
        <f>IF($O580="Aktif",MAX(0,MIN($AE580,$AD580-SUM($AG580:AK580))),0)</f>
        <v>0</v>
      </c>
      <c r="AM580" s="8">
        <f>IF($O580="Aktif",MAX(0,MIN($AE580,$AD580-SUM($AG580:AL580))),0)</f>
        <v>0</v>
      </c>
      <c r="AN580" s="8">
        <f>IF($O580="Aktif",MAX(0,MIN($AE580,$AD580-SUM($AG580:AM580))),0)</f>
        <v>0</v>
      </c>
      <c r="AO580" s="8">
        <f>IF($O580="Aktif",MAX(0,MIN($AE580,$AD580-SUM($AG580:AN580))),0)</f>
        <v>0</v>
      </c>
      <c r="AP580" s="8">
        <f>IF($O580="Aktif",MAX(0,MIN($AE580,$AD580-SUM($AG580:AO580))),0)</f>
        <v>0</v>
      </c>
      <c r="AQ580" s="8">
        <f>IF($O580="Aktif",MAX(0,MIN($AE580,$AD580-SUM($AG580:AP580))),0)</f>
        <v>0</v>
      </c>
      <c r="AR580" s="8">
        <f>IF($O580="Aktif",MAX(0,MIN($AE580,$AD580-SUM($AG580:AQ580))),0)</f>
        <v>0</v>
      </c>
      <c r="AS580" s="8">
        <f>IF($O580="Aktif",MAX(0,MIN($AE580,$AD580-SUM($AG580:AR580))),0)</f>
        <v>0</v>
      </c>
      <c r="AT580" s="8">
        <f>IF($O580="Aktif",MAX(0,MIN($AE580,$AD580-SUM($AG580:AS580))),0)</f>
        <v>0</v>
      </c>
      <c r="AU580" s="8">
        <f>IF($O580="Aktif",MAX(0,MIN($AE580,$AD580-SUM($AG580:AT580))),0)</f>
        <v>0</v>
      </c>
      <c r="AV580" s="8">
        <f>IF($O580="Aktif",MAX(0,MIN($AE580,$AD580-SUM($AG580:AU580))),0)</f>
        <v>0</v>
      </c>
      <c r="AW580" s="8">
        <f t="shared" si="61"/>
        <v>0</v>
      </c>
      <c r="AX580" s="8">
        <f t="shared" si="62"/>
        <v>0</v>
      </c>
    </row>
    <row r="581" spans="1:50" ht="15" customHeight="1" x14ac:dyDescent="0.35">
      <c r="A581" s="102">
        <v>575</v>
      </c>
      <c r="B581" s="102" t="s">
        <v>1326</v>
      </c>
      <c r="C581" s="103">
        <v>209</v>
      </c>
      <c r="D581" s="102" t="s">
        <v>185</v>
      </c>
      <c r="E581" s="102" t="s">
        <v>587</v>
      </c>
      <c r="F581" s="102" t="s">
        <v>1327</v>
      </c>
      <c r="G581" s="102" t="s">
        <v>1328</v>
      </c>
      <c r="H581" s="102" t="s">
        <v>1329</v>
      </c>
      <c r="I581" s="102" t="s">
        <v>63</v>
      </c>
      <c r="J581" s="102" t="s">
        <v>1886</v>
      </c>
      <c r="K581" s="102" t="s">
        <v>591</v>
      </c>
      <c r="L581" s="104">
        <v>41121</v>
      </c>
      <c r="M581" s="102" t="s">
        <v>1887</v>
      </c>
      <c r="N581" s="102" t="s">
        <v>1888</v>
      </c>
      <c r="O581" s="102" t="s">
        <v>383</v>
      </c>
      <c r="P581" s="103">
        <v>1</v>
      </c>
      <c r="Q581" s="105">
        <v>2790000</v>
      </c>
      <c r="R581" s="103">
        <v>96</v>
      </c>
      <c r="S581" s="105">
        <v>29062.5</v>
      </c>
      <c r="T581" s="105">
        <v>2790000</v>
      </c>
      <c r="U581" s="105">
        <v>0</v>
      </c>
      <c r="V581" s="105">
        <v>0</v>
      </c>
      <c r="W581" s="105">
        <v>0</v>
      </c>
      <c r="X581" s="105">
        <v>0</v>
      </c>
      <c r="Y581" s="105">
        <v>0</v>
      </c>
      <c r="Z581" s="105">
        <v>0</v>
      </c>
      <c r="AA581" s="105">
        <v>0</v>
      </c>
      <c r="AB581" s="105">
        <v>0</v>
      </c>
      <c r="AC581" s="8">
        <f t="shared" si="56"/>
        <v>2790000</v>
      </c>
      <c r="AD581" s="8">
        <f t="shared" si="57"/>
        <v>0</v>
      </c>
      <c r="AE581" s="8">
        <f t="shared" si="58"/>
        <v>0</v>
      </c>
      <c r="AF581" s="106">
        <f t="shared" si="59"/>
        <v>0</v>
      </c>
      <c r="AG581" s="8">
        <f t="shared" si="60"/>
        <v>0</v>
      </c>
      <c r="AH581" s="8">
        <f>IF($O581="Aktif",MAX(0,MIN($AE581,$AD581-SUM($AG581:AG581))),0)</f>
        <v>0</v>
      </c>
      <c r="AI581" s="8">
        <f>IF($O581="Aktif",MAX(0,MIN($AE581,$AD581-SUM($AG581:AH581))),0)</f>
        <v>0</v>
      </c>
      <c r="AJ581" s="8">
        <f>IF($O581="Aktif",MAX(0,MIN($AE581,$AD581-SUM($AG581:AI581))),0)</f>
        <v>0</v>
      </c>
      <c r="AK581" s="8">
        <f>IF($O581="Aktif",MAX(0,MIN($AE581,$AD581-SUM($AG581:AJ581))),0)</f>
        <v>0</v>
      </c>
      <c r="AL581" s="8">
        <f>IF($O581="Aktif",MAX(0,MIN($AE581,$AD581-SUM($AG581:AK581))),0)</f>
        <v>0</v>
      </c>
      <c r="AM581" s="8">
        <f>IF($O581="Aktif",MAX(0,MIN($AE581,$AD581-SUM($AG581:AL581))),0)</f>
        <v>0</v>
      </c>
      <c r="AN581" s="8">
        <f>IF($O581="Aktif",MAX(0,MIN($AE581,$AD581-SUM($AG581:AM581))),0)</f>
        <v>0</v>
      </c>
      <c r="AO581" s="8">
        <f>IF($O581="Aktif",MAX(0,MIN($AE581,$AD581-SUM($AG581:AN581))),0)</f>
        <v>0</v>
      </c>
      <c r="AP581" s="8">
        <f>IF($O581="Aktif",MAX(0,MIN($AE581,$AD581-SUM($AG581:AO581))),0)</f>
        <v>0</v>
      </c>
      <c r="AQ581" s="8">
        <f>IF($O581="Aktif",MAX(0,MIN($AE581,$AD581-SUM($AG581:AP581))),0)</f>
        <v>0</v>
      </c>
      <c r="AR581" s="8">
        <f>IF($O581="Aktif",MAX(0,MIN($AE581,$AD581-SUM($AG581:AQ581))),0)</f>
        <v>0</v>
      </c>
      <c r="AS581" s="8">
        <f>IF($O581="Aktif",MAX(0,MIN($AE581,$AD581-SUM($AG581:AR581))),0)</f>
        <v>0</v>
      </c>
      <c r="AT581" s="8">
        <f>IF($O581="Aktif",MAX(0,MIN($AE581,$AD581-SUM($AG581:AS581))),0)</f>
        <v>0</v>
      </c>
      <c r="AU581" s="8">
        <f>IF($O581="Aktif",MAX(0,MIN($AE581,$AD581-SUM($AG581:AT581))),0)</f>
        <v>0</v>
      </c>
      <c r="AV581" s="8">
        <f>IF($O581="Aktif",MAX(0,MIN($AE581,$AD581-SUM($AG581:AU581))),0)</f>
        <v>0</v>
      </c>
      <c r="AW581" s="8">
        <f t="shared" si="61"/>
        <v>0</v>
      </c>
      <c r="AX581" s="8">
        <f t="shared" si="62"/>
        <v>0</v>
      </c>
    </row>
    <row r="582" spans="1:50" ht="15" customHeight="1" x14ac:dyDescent="0.35">
      <c r="A582" s="102">
        <v>576</v>
      </c>
      <c r="B582" s="102" t="s">
        <v>1326</v>
      </c>
      <c r="C582" s="103">
        <v>210</v>
      </c>
      <c r="D582" s="102" t="s">
        <v>185</v>
      </c>
      <c r="E582" s="102" t="s">
        <v>587</v>
      </c>
      <c r="F582" s="102" t="s">
        <v>1327</v>
      </c>
      <c r="G582" s="102" t="s">
        <v>1328</v>
      </c>
      <c r="H582" s="102" t="s">
        <v>1329</v>
      </c>
      <c r="I582" s="102" t="s">
        <v>63</v>
      </c>
      <c r="J582" s="102" t="s">
        <v>1889</v>
      </c>
      <c r="K582" s="102" t="s">
        <v>591</v>
      </c>
      <c r="L582" s="104">
        <v>41121</v>
      </c>
      <c r="M582" s="102" t="s">
        <v>1890</v>
      </c>
      <c r="N582" s="102" t="s">
        <v>1891</v>
      </c>
      <c r="O582" s="102" t="s">
        <v>383</v>
      </c>
      <c r="P582" s="103">
        <v>1</v>
      </c>
      <c r="Q582" s="105">
        <v>23300000</v>
      </c>
      <c r="R582" s="103">
        <v>96</v>
      </c>
      <c r="S582" s="105">
        <v>242708.33333333299</v>
      </c>
      <c r="T582" s="105">
        <v>23300000</v>
      </c>
      <c r="U582" s="105">
        <v>0</v>
      </c>
      <c r="V582" s="105">
        <v>0</v>
      </c>
      <c r="W582" s="105">
        <v>0</v>
      </c>
      <c r="X582" s="105">
        <v>0</v>
      </c>
      <c r="Y582" s="105">
        <v>0</v>
      </c>
      <c r="Z582" s="105">
        <v>0</v>
      </c>
      <c r="AA582" s="105">
        <v>0</v>
      </c>
      <c r="AB582" s="105">
        <v>0</v>
      </c>
      <c r="AC582" s="8">
        <f t="shared" si="56"/>
        <v>23300000</v>
      </c>
      <c r="AD582" s="8">
        <f t="shared" si="57"/>
        <v>0</v>
      </c>
      <c r="AE582" s="8">
        <f t="shared" si="58"/>
        <v>0</v>
      </c>
      <c r="AF582" s="106">
        <f t="shared" si="59"/>
        <v>0</v>
      </c>
      <c r="AG582" s="8">
        <f t="shared" si="60"/>
        <v>0</v>
      </c>
      <c r="AH582" s="8">
        <f>IF($O582="Aktif",MAX(0,MIN($AE582,$AD582-SUM($AG582:AG582))),0)</f>
        <v>0</v>
      </c>
      <c r="AI582" s="8">
        <f>IF($O582="Aktif",MAX(0,MIN($AE582,$AD582-SUM($AG582:AH582))),0)</f>
        <v>0</v>
      </c>
      <c r="AJ582" s="8">
        <f>IF($O582="Aktif",MAX(0,MIN($AE582,$AD582-SUM($AG582:AI582))),0)</f>
        <v>0</v>
      </c>
      <c r="AK582" s="8">
        <f>IF($O582="Aktif",MAX(0,MIN($AE582,$AD582-SUM($AG582:AJ582))),0)</f>
        <v>0</v>
      </c>
      <c r="AL582" s="8">
        <f>IF($O582="Aktif",MAX(0,MIN($AE582,$AD582-SUM($AG582:AK582))),0)</f>
        <v>0</v>
      </c>
      <c r="AM582" s="8">
        <f>IF($O582="Aktif",MAX(0,MIN($AE582,$AD582-SUM($AG582:AL582))),0)</f>
        <v>0</v>
      </c>
      <c r="AN582" s="8">
        <f>IF($O582="Aktif",MAX(0,MIN($AE582,$AD582-SUM($AG582:AM582))),0)</f>
        <v>0</v>
      </c>
      <c r="AO582" s="8">
        <f>IF($O582="Aktif",MAX(0,MIN($AE582,$AD582-SUM($AG582:AN582))),0)</f>
        <v>0</v>
      </c>
      <c r="AP582" s="8">
        <f>IF($O582="Aktif",MAX(0,MIN($AE582,$AD582-SUM($AG582:AO582))),0)</f>
        <v>0</v>
      </c>
      <c r="AQ582" s="8">
        <f>IF($O582="Aktif",MAX(0,MIN($AE582,$AD582-SUM($AG582:AP582))),0)</f>
        <v>0</v>
      </c>
      <c r="AR582" s="8">
        <f>IF($O582="Aktif",MAX(0,MIN($AE582,$AD582-SUM($AG582:AQ582))),0)</f>
        <v>0</v>
      </c>
      <c r="AS582" s="8">
        <f>IF($O582="Aktif",MAX(0,MIN($AE582,$AD582-SUM($AG582:AR582))),0)</f>
        <v>0</v>
      </c>
      <c r="AT582" s="8">
        <f>IF($O582="Aktif",MAX(0,MIN($AE582,$AD582-SUM($AG582:AS582))),0)</f>
        <v>0</v>
      </c>
      <c r="AU582" s="8">
        <f>IF($O582="Aktif",MAX(0,MIN($AE582,$AD582-SUM($AG582:AT582))),0)</f>
        <v>0</v>
      </c>
      <c r="AV582" s="8">
        <f>IF($O582="Aktif",MAX(0,MIN($AE582,$AD582-SUM($AG582:AU582))),0)</f>
        <v>0</v>
      </c>
      <c r="AW582" s="8">
        <f t="shared" si="61"/>
        <v>0</v>
      </c>
      <c r="AX582" s="8">
        <f t="shared" si="62"/>
        <v>0</v>
      </c>
    </row>
    <row r="583" spans="1:50" ht="15" customHeight="1" x14ac:dyDescent="0.35">
      <c r="A583" s="102">
        <v>577</v>
      </c>
      <c r="B583" s="102" t="s">
        <v>1326</v>
      </c>
      <c r="C583" s="103">
        <v>211</v>
      </c>
      <c r="D583" s="102" t="s">
        <v>185</v>
      </c>
      <c r="E583" s="102" t="s">
        <v>587</v>
      </c>
      <c r="F583" s="102" t="s">
        <v>1327</v>
      </c>
      <c r="G583" s="102" t="s">
        <v>1328</v>
      </c>
      <c r="H583" s="102" t="s">
        <v>1329</v>
      </c>
      <c r="I583" s="102" t="s">
        <v>63</v>
      </c>
      <c r="J583" s="102" t="s">
        <v>1892</v>
      </c>
      <c r="K583" s="102" t="s">
        <v>591</v>
      </c>
      <c r="L583" s="104">
        <v>41121</v>
      </c>
      <c r="M583" s="102" t="s">
        <v>1893</v>
      </c>
      <c r="N583" s="102" t="s">
        <v>1894</v>
      </c>
      <c r="O583" s="102" t="s">
        <v>383</v>
      </c>
      <c r="P583" s="103">
        <v>1</v>
      </c>
      <c r="Q583" s="105">
        <v>15750000</v>
      </c>
      <c r="R583" s="103">
        <v>96</v>
      </c>
      <c r="S583" s="105">
        <v>164062.5</v>
      </c>
      <c r="T583" s="105">
        <v>15750000</v>
      </c>
      <c r="U583" s="105">
        <v>0</v>
      </c>
      <c r="V583" s="105">
        <v>0</v>
      </c>
      <c r="W583" s="105">
        <v>0</v>
      </c>
      <c r="X583" s="105">
        <v>0</v>
      </c>
      <c r="Y583" s="105">
        <v>0</v>
      </c>
      <c r="Z583" s="105">
        <v>0</v>
      </c>
      <c r="AA583" s="105">
        <v>0</v>
      </c>
      <c r="AB583" s="105">
        <v>0</v>
      </c>
      <c r="AC583" s="8">
        <f t="shared" ref="AC583:AC646" si="63">T583+SUM(U583:AB583)</f>
        <v>15750000</v>
      </c>
      <c r="AD583" s="8">
        <f t="shared" ref="AD583:AD646" si="64">Q583-AC583</f>
        <v>0</v>
      </c>
      <c r="AE583" s="8">
        <f t="shared" ref="AE583:AE646" si="65">IF(O583="Aktif",AB583,0)</f>
        <v>0</v>
      </c>
      <c r="AF583" s="106">
        <f t="shared" ref="AF583:AF646" si="66">IF(AE583&gt;0,MAX(0,AD583)/AE583,0)</f>
        <v>0</v>
      </c>
      <c r="AG583" s="8">
        <f t="shared" ref="AG583:AG646" si="67">IF($O583="Aktif",MAX(0,MIN($AE583,$AD583-0)),0)</f>
        <v>0</v>
      </c>
      <c r="AH583" s="8">
        <f>IF($O583="Aktif",MAX(0,MIN($AE583,$AD583-SUM($AG583:AG583))),0)</f>
        <v>0</v>
      </c>
      <c r="AI583" s="8">
        <f>IF($O583="Aktif",MAX(0,MIN($AE583,$AD583-SUM($AG583:AH583))),0)</f>
        <v>0</v>
      </c>
      <c r="AJ583" s="8">
        <f>IF($O583="Aktif",MAX(0,MIN($AE583,$AD583-SUM($AG583:AI583))),0)</f>
        <v>0</v>
      </c>
      <c r="AK583" s="8">
        <f>IF($O583="Aktif",MAX(0,MIN($AE583,$AD583-SUM($AG583:AJ583))),0)</f>
        <v>0</v>
      </c>
      <c r="AL583" s="8">
        <f>IF($O583="Aktif",MAX(0,MIN($AE583,$AD583-SUM($AG583:AK583))),0)</f>
        <v>0</v>
      </c>
      <c r="AM583" s="8">
        <f>IF($O583="Aktif",MAX(0,MIN($AE583,$AD583-SUM($AG583:AL583))),0)</f>
        <v>0</v>
      </c>
      <c r="AN583" s="8">
        <f>IF($O583="Aktif",MAX(0,MIN($AE583,$AD583-SUM($AG583:AM583))),0)</f>
        <v>0</v>
      </c>
      <c r="AO583" s="8">
        <f>IF($O583="Aktif",MAX(0,MIN($AE583,$AD583-SUM($AG583:AN583))),0)</f>
        <v>0</v>
      </c>
      <c r="AP583" s="8">
        <f>IF($O583="Aktif",MAX(0,MIN($AE583,$AD583-SUM($AG583:AO583))),0)</f>
        <v>0</v>
      </c>
      <c r="AQ583" s="8">
        <f>IF($O583="Aktif",MAX(0,MIN($AE583,$AD583-SUM($AG583:AP583))),0)</f>
        <v>0</v>
      </c>
      <c r="AR583" s="8">
        <f>IF($O583="Aktif",MAX(0,MIN($AE583,$AD583-SUM($AG583:AQ583))),0)</f>
        <v>0</v>
      </c>
      <c r="AS583" s="8">
        <f>IF($O583="Aktif",MAX(0,MIN($AE583,$AD583-SUM($AG583:AR583))),0)</f>
        <v>0</v>
      </c>
      <c r="AT583" s="8">
        <f>IF($O583="Aktif",MAX(0,MIN($AE583,$AD583-SUM($AG583:AS583))),0)</f>
        <v>0</v>
      </c>
      <c r="AU583" s="8">
        <f>IF($O583="Aktif",MAX(0,MIN($AE583,$AD583-SUM($AG583:AT583))),0)</f>
        <v>0</v>
      </c>
      <c r="AV583" s="8">
        <f>IF($O583="Aktif",MAX(0,MIN($AE583,$AD583-SUM($AG583:AU583))),0)</f>
        <v>0</v>
      </c>
      <c r="AW583" s="8">
        <f t="shared" ref="AW583:AW646" si="68">SUM(AG583:AV583)</f>
        <v>0</v>
      </c>
      <c r="AX583" s="8">
        <f t="shared" ref="AX583:AX646" si="69">AD583-AW583</f>
        <v>0</v>
      </c>
    </row>
    <row r="584" spans="1:50" ht="15" customHeight="1" x14ac:dyDescent="0.35">
      <c r="A584" s="102">
        <v>578</v>
      </c>
      <c r="B584" s="102" t="s">
        <v>1326</v>
      </c>
      <c r="C584" s="103">
        <v>212</v>
      </c>
      <c r="D584" s="102" t="s">
        <v>185</v>
      </c>
      <c r="E584" s="102" t="s">
        <v>587</v>
      </c>
      <c r="F584" s="102" t="s">
        <v>1327</v>
      </c>
      <c r="G584" s="102" t="s">
        <v>1328</v>
      </c>
      <c r="H584" s="102" t="s">
        <v>1329</v>
      </c>
      <c r="I584" s="102" t="s">
        <v>63</v>
      </c>
      <c r="J584" s="102" t="s">
        <v>1895</v>
      </c>
      <c r="K584" s="102" t="s">
        <v>591</v>
      </c>
      <c r="L584" s="104">
        <v>41152</v>
      </c>
      <c r="M584" s="102" t="s">
        <v>1896</v>
      </c>
      <c r="N584" s="102" t="s">
        <v>1897</v>
      </c>
      <c r="O584" s="102" t="s">
        <v>383</v>
      </c>
      <c r="P584" s="103">
        <v>1</v>
      </c>
      <c r="Q584" s="105">
        <v>4675000</v>
      </c>
      <c r="R584" s="103">
        <v>96</v>
      </c>
      <c r="S584" s="105">
        <v>48697.916666666701</v>
      </c>
      <c r="T584" s="105">
        <v>4675000</v>
      </c>
      <c r="U584" s="105">
        <v>0</v>
      </c>
      <c r="V584" s="105">
        <v>0</v>
      </c>
      <c r="W584" s="105">
        <v>0</v>
      </c>
      <c r="X584" s="105">
        <v>0</v>
      </c>
      <c r="Y584" s="105">
        <v>0</v>
      </c>
      <c r="Z584" s="105">
        <v>0</v>
      </c>
      <c r="AA584" s="105">
        <v>0</v>
      </c>
      <c r="AB584" s="105">
        <v>0</v>
      </c>
      <c r="AC584" s="8">
        <f t="shared" si="63"/>
        <v>4675000</v>
      </c>
      <c r="AD584" s="8">
        <f t="shared" si="64"/>
        <v>0</v>
      </c>
      <c r="AE584" s="8">
        <f t="shared" si="65"/>
        <v>0</v>
      </c>
      <c r="AF584" s="106">
        <f t="shared" si="66"/>
        <v>0</v>
      </c>
      <c r="AG584" s="8">
        <f t="shared" si="67"/>
        <v>0</v>
      </c>
      <c r="AH584" s="8">
        <f>IF($O584="Aktif",MAX(0,MIN($AE584,$AD584-SUM($AG584:AG584))),0)</f>
        <v>0</v>
      </c>
      <c r="AI584" s="8">
        <f>IF($O584="Aktif",MAX(0,MIN($AE584,$AD584-SUM($AG584:AH584))),0)</f>
        <v>0</v>
      </c>
      <c r="AJ584" s="8">
        <f>IF($O584="Aktif",MAX(0,MIN($AE584,$AD584-SUM($AG584:AI584))),0)</f>
        <v>0</v>
      </c>
      <c r="AK584" s="8">
        <f>IF($O584="Aktif",MAX(0,MIN($AE584,$AD584-SUM($AG584:AJ584))),0)</f>
        <v>0</v>
      </c>
      <c r="AL584" s="8">
        <f>IF($O584="Aktif",MAX(0,MIN($AE584,$AD584-SUM($AG584:AK584))),0)</f>
        <v>0</v>
      </c>
      <c r="AM584" s="8">
        <f>IF($O584="Aktif",MAX(0,MIN($AE584,$AD584-SUM($AG584:AL584))),0)</f>
        <v>0</v>
      </c>
      <c r="AN584" s="8">
        <f>IF($O584="Aktif",MAX(0,MIN($AE584,$AD584-SUM($AG584:AM584))),0)</f>
        <v>0</v>
      </c>
      <c r="AO584" s="8">
        <f>IF($O584="Aktif",MAX(0,MIN($AE584,$AD584-SUM($AG584:AN584))),0)</f>
        <v>0</v>
      </c>
      <c r="AP584" s="8">
        <f>IF($O584="Aktif",MAX(0,MIN($AE584,$AD584-SUM($AG584:AO584))),0)</f>
        <v>0</v>
      </c>
      <c r="AQ584" s="8">
        <f>IF($O584="Aktif",MAX(0,MIN($AE584,$AD584-SUM($AG584:AP584))),0)</f>
        <v>0</v>
      </c>
      <c r="AR584" s="8">
        <f>IF($O584="Aktif",MAX(0,MIN($AE584,$AD584-SUM($AG584:AQ584))),0)</f>
        <v>0</v>
      </c>
      <c r="AS584" s="8">
        <f>IF($O584="Aktif",MAX(0,MIN($AE584,$AD584-SUM($AG584:AR584))),0)</f>
        <v>0</v>
      </c>
      <c r="AT584" s="8">
        <f>IF($O584="Aktif",MAX(0,MIN($AE584,$AD584-SUM($AG584:AS584))),0)</f>
        <v>0</v>
      </c>
      <c r="AU584" s="8">
        <f>IF($O584="Aktif",MAX(0,MIN($AE584,$AD584-SUM($AG584:AT584))),0)</f>
        <v>0</v>
      </c>
      <c r="AV584" s="8">
        <f>IF($O584="Aktif",MAX(0,MIN($AE584,$AD584-SUM($AG584:AU584))),0)</f>
        <v>0</v>
      </c>
      <c r="AW584" s="8">
        <f t="shared" si="68"/>
        <v>0</v>
      </c>
      <c r="AX584" s="8">
        <f t="shared" si="69"/>
        <v>0</v>
      </c>
    </row>
    <row r="585" spans="1:50" ht="15" customHeight="1" x14ac:dyDescent="0.35">
      <c r="A585" s="102">
        <v>579</v>
      </c>
      <c r="B585" s="102" t="s">
        <v>1326</v>
      </c>
      <c r="C585" s="103">
        <v>213</v>
      </c>
      <c r="D585" s="102" t="s">
        <v>185</v>
      </c>
      <c r="E585" s="102" t="s">
        <v>587</v>
      </c>
      <c r="F585" s="102" t="s">
        <v>1327</v>
      </c>
      <c r="G585" s="102" t="s">
        <v>1328</v>
      </c>
      <c r="H585" s="102" t="s">
        <v>1329</v>
      </c>
      <c r="I585" s="102" t="s">
        <v>63</v>
      </c>
      <c r="J585" s="102" t="s">
        <v>1898</v>
      </c>
      <c r="K585" s="102" t="s">
        <v>591</v>
      </c>
      <c r="L585" s="104">
        <v>41152</v>
      </c>
      <c r="M585" s="102" t="s">
        <v>1899</v>
      </c>
      <c r="N585" s="102" t="s">
        <v>1900</v>
      </c>
      <c r="O585" s="102" t="s">
        <v>383</v>
      </c>
      <c r="P585" s="103">
        <v>1</v>
      </c>
      <c r="Q585" s="105">
        <v>24500000</v>
      </c>
      <c r="R585" s="103">
        <v>96</v>
      </c>
      <c r="S585" s="105">
        <v>255208.33333333299</v>
      </c>
      <c r="T585" s="105">
        <v>24500000</v>
      </c>
      <c r="U585" s="105">
        <v>0</v>
      </c>
      <c r="V585" s="105">
        <v>0</v>
      </c>
      <c r="W585" s="105">
        <v>0</v>
      </c>
      <c r="X585" s="105">
        <v>0</v>
      </c>
      <c r="Y585" s="105">
        <v>0</v>
      </c>
      <c r="Z585" s="105">
        <v>0</v>
      </c>
      <c r="AA585" s="105">
        <v>0</v>
      </c>
      <c r="AB585" s="105">
        <v>0</v>
      </c>
      <c r="AC585" s="8">
        <f t="shared" si="63"/>
        <v>24500000</v>
      </c>
      <c r="AD585" s="8">
        <f t="shared" si="64"/>
        <v>0</v>
      </c>
      <c r="AE585" s="8">
        <f t="shared" si="65"/>
        <v>0</v>
      </c>
      <c r="AF585" s="106">
        <f t="shared" si="66"/>
        <v>0</v>
      </c>
      <c r="AG585" s="8">
        <f t="shared" si="67"/>
        <v>0</v>
      </c>
      <c r="AH585" s="8">
        <f>IF($O585="Aktif",MAX(0,MIN($AE585,$AD585-SUM($AG585:AG585))),0)</f>
        <v>0</v>
      </c>
      <c r="AI585" s="8">
        <f>IF($O585="Aktif",MAX(0,MIN($AE585,$AD585-SUM($AG585:AH585))),0)</f>
        <v>0</v>
      </c>
      <c r="AJ585" s="8">
        <f>IF($O585="Aktif",MAX(0,MIN($AE585,$AD585-SUM($AG585:AI585))),0)</f>
        <v>0</v>
      </c>
      <c r="AK585" s="8">
        <f>IF($O585="Aktif",MAX(0,MIN($AE585,$AD585-SUM($AG585:AJ585))),0)</f>
        <v>0</v>
      </c>
      <c r="AL585" s="8">
        <f>IF($O585="Aktif",MAX(0,MIN($AE585,$AD585-SUM($AG585:AK585))),0)</f>
        <v>0</v>
      </c>
      <c r="AM585" s="8">
        <f>IF($O585="Aktif",MAX(0,MIN($AE585,$AD585-SUM($AG585:AL585))),0)</f>
        <v>0</v>
      </c>
      <c r="AN585" s="8">
        <f>IF($O585="Aktif",MAX(0,MIN($AE585,$AD585-SUM($AG585:AM585))),0)</f>
        <v>0</v>
      </c>
      <c r="AO585" s="8">
        <f>IF($O585="Aktif",MAX(0,MIN($AE585,$AD585-SUM($AG585:AN585))),0)</f>
        <v>0</v>
      </c>
      <c r="AP585" s="8">
        <f>IF($O585="Aktif",MAX(0,MIN($AE585,$AD585-SUM($AG585:AO585))),0)</f>
        <v>0</v>
      </c>
      <c r="AQ585" s="8">
        <f>IF($O585="Aktif",MAX(0,MIN($AE585,$AD585-SUM($AG585:AP585))),0)</f>
        <v>0</v>
      </c>
      <c r="AR585" s="8">
        <f>IF($O585="Aktif",MAX(0,MIN($AE585,$AD585-SUM($AG585:AQ585))),0)</f>
        <v>0</v>
      </c>
      <c r="AS585" s="8">
        <f>IF($O585="Aktif",MAX(0,MIN($AE585,$AD585-SUM($AG585:AR585))),0)</f>
        <v>0</v>
      </c>
      <c r="AT585" s="8">
        <f>IF($O585="Aktif",MAX(0,MIN($AE585,$AD585-SUM($AG585:AS585))),0)</f>
        <v>0</v>
      </c>
      <c r="AU585" s="8">
        <f>IF($O585="Aktif",MAX(0,MIN($AE585,$AD585-SUM($AG585:AT585))),0)</f>
        <v>0</v>
      </c>
      <c r="AV585" s="8">
        <f>IF($O585="Aktif",MAX(0,MIN($AE585,$AD585-SUM($AG585:AU585))),0)</f>
        <v>0</v>
      </c>
      <c r="AW585" s="8">
        <f t="shared" si="68"/>
        <v>0</v>
      </c>
      <c r="AX585" s="8">
        <f t="shared" si="69"/>
        <v>0</v>
      </c>
    </row>
    <row r="586" spans="1:50" ht="15" customHeight="1" x14ac:dyDescent="0.35">
      <c r="A586" s="102">
        <v>580</v>
      </c>
      <c r="B586" s="102" t="s">
        <v>1326</v>
      </c>
      <c r="C586" s="103">
        <v>214</v>
      </c>
      <c r="D586" s="102" t="s">
        <v>185</v>
      </c>
      <c r="E586" s="102" t="s">
        <v>587</v>
      </c>
      <c r="F586" s="102" t="s">
        <v>1327</v>
      </c>
      <c r="G586" s="102" t="s">
        <v>1328</v>
      </c>
      <c r="H586" s="102" t="s">
        <v>1329</v>
      </c>
      <c r="I586" s="102" t="s">
        <v>63</v>
      </c>
      <c r="J586" s="102" t="s">
        <v>1901</v>
      </c>
      <c r="K586" s="102" t="s">
        <v>591</v>
      </c>
      <c r="L586" s="104">
        <v>41232</v>
      </c>
      <c r="M586" s="102" t="s">
        <v>1902</v>
      </c>
      <c r="N586" s="102" t="s">
        <v>1903</v>
      </c>
      <c r="O586" s="102" t="s">
        <v>383</v>
      </c>
      <c r="P586" s="103">
        <v>1</v>
      </c>
      <c r="Q586" s="105">
        <v>36750000</v>
      </c>
      <c r="R586" s="103">
        <v>96</v>
      </c>
      <c r="S586" s="105">
        <v>382812.5</v>
      </c>
      <c r="T586" s="105">
        <v>36750000</v>
      </c>
      <c r="U586" s="105">
        <v>0</v>
      </c>
      <c r="V586" s="105">
        <v>0</v>
      </c>
      <c r="W586" s="105">
        <v>0</v>
      </c>
      <c r="X586" s="105">
        <v>0</v>
      </c>
      <c r="Y586" s="105">
        <v>0</v>
      </c>
      <c r="Z586" s="105">
        <v>0</v>
      </c>
      <c r="AA586" s="105">
        <v>0</v>
      </c>
      <c r="AB586" s="105">
        <v>0</v>
      </c>
      <c r="AC586" s="8">
        <f t="shared" si="63"/>
        <v>36750000</v>
      </c>
      <c r="AD586" s="8">
        <f t="shared" si="64"/>
        <v>0</v>
      </c>
      <c r="AE586" s="8">
        <f t="shared" si="65"/>
        <v>0</v>
      </c>
      <c r="AF586" s="106">
        <f t="shared" si="66"/>
        <v>0</v>
      </c>
      <c r="AG586" s="8">
        <f t="shared" si="67"/>
        <v>0</v>
      </c>
      <c r="AH586" s="8">
        <f>IF($O586="Aktif",MAX(0,MIN($AE586,$AD586-SUM($AG586:AG586))),0)</f>
        <v>0</v>
      </c>
      <c r="AI586" s="8">
        <f>IF($O586="Aktif",MAX(0,MIN($AE586,$AD586-SUM($AG586:AH586))),0)</f>
        <v>0</v>
      </c>
      <c r="AJ586" s="8">
        <f>IF($O586="Aktif",MAX(0,MIN($AE586,$AD586-SUM($AG586:AI586))),0)</f>
        <v>0</v>
      </c>
      <c r="AK586" s="8">
        <f>IF($O586="Aktif",MAX(0,MIN($AE586,$AD586-SUM($AG586:AJ586))),0)</f>
        <v>0</v>
      </c>
      <c r="AL586" s="8">
        <f>IF($O586="Aktif",MAX(0,MIN($AE586,$AD586-SUM($AG586:AK586))),0)</f>
        <v>0</v>
      </c>
      <c r="AM586" s="8">
        <f>IF($O586="Aktif",MAX(0,MIN($AE586,$AD586-SUM($AG586:AL586))),0)</f>
        <v>0</v>
      </c>
      <c r="AN586" s="8">
        <f>IF($O586="Aktif",MAX(0,MIN($AE586,$AD586-SUM($AG586:AM586))),0)</f>
        <v>0</v>
      </c>
      <c r="AO586" s="8">
        <f>IF($O586="Aktif",MAX(0,MIN($AE586,$AD586-SUM($AG586:AN586))),0)</f>
        <v>0</v>
      </c>
      <c r="AP586" s="8">
        <f>IF($O586="Aktif",MAX(0,MIN($AE586,$AD586-SUM($AG586:AO586))),0)</f>
        <v>0</v>
      </c>
      <c r="AQ586" s="8">
        <f>IF($O586="Aktif",MAX(0,MIN($AE586,$AD586-SUM($AG586:AP586))),0)</f>
        <v>0</v>
      </c>
      <c r="AR586" s="8">
        <f>IF($O586="Aktif",MAX(0,MIN($AE586,$AD586-SUM($AG586:AQ586))),0)</f>
        <v>0</v>
      </c>
      <c r="AS586" s="8">
        <f>IF($O586="Aktif",MAX(0,MIN($AE586,$AD586-SUM($AG586:AR586))),0)</f>
        <v>0</v>
      </c>
      <c r="AT586" s="8">
        <f>IF($O586="Aktif",MAX(0,MIN($AE586,$AD586-SUM($AG586:AS586))),0)</f>
        <v>0</v>
      </c>
      <c r="AU586" s="8">
        <f>IF($O586="Aktif",MAX(0,MIN($AE586,$AD586-SUM($AG586:AT586))),0)</f>
        <v>0</v>
      </c>
      <c r="AV586" s="8">
        <f>IF($O586="Aktif",MAX(0,MIN($AE586,$AD586-SUM($AG586:AU586))),0)</f>
        <v>0</v>
      </c>
      <c r="AW586" s="8">
        <f t="shared" si="68"/>
        <v>0</v>
      </c>
      <c r="AX586" s="8">
        <f t="shared" si="69"/>
        <v>0</v>
      </c>
    </row>
    <row r="587" spans="1:50" ht="15" customHeight="1" x14ac:dyDescent="0.35">
      <c r="A587" s="102">
        <v>581</v>
      </c>
      <c r="B587" s="102" t="s">
        <v>1326</v>
      </c>
      <c r="C587" s="103">
        <v>215</v>
      </c>
      <c r="D587" s="102" t="s">
        <v>185</v>
      </c>
      <c r="E587" s="102" t="s">
        <v>587</v>
      </c>
      <c r="F587" s="102" t="s">
        <v>1327</v>
      </c>
      <c r="G587" s="102" t="s">
        <v>1328</v>
      </c>
      <c r="H587" s="102" t="s">
        <v>1329</v>
      </c>
      <c r="I587" s="102" t="s">
        <v>63</v>
      </c>
      <c r="J587" s="102" t="s">
        <v>1904</v>
      </c>
      <c r="K587" s="102" t="s">
        <v>591</v>
      </c>
      <c r="L587" s="104">
        <v>42460</v>
      </c>
      <c r="M587" s="102" t="s">
        <v>1905</v>
      </c>
      <c r="N587" s="102" t="s">
        <v>1906</v>
      </c>
      <c r="O587" s="102" t="s">
        <v>383</v>
      </c>
      <c r="P587" s="103">
        <v>1</v>
      </c>
      <c r="Q587" s="105">
        <v>33000000</v>
      </c>
      <c r="R587" s="103">
        <v>48</v>
      </c>
      <c r="S587" s="105">
        <v>687500</v>
      </c>
      <c r="T587" s="105">
        <v>33000000</v>
      </c>
      <c r="U587" s="105">
        <v>0</v>
      </c>
      <c r="V587" s="105">
        <v>0</v>
      </c>
      <c r="W587" s="105">
        <v>0</v>
      </c>
      <c r="X587" s="105">
        <v>0</v>
      </c>
      <c r="Y587" s="105">
        <v>0</v>
      </c>
      <c r="Z587" s="105">
        <v>0</v>
      </c>
      <c r="AA587" s="105">
        <v>0</v>
      </c>
      <c r="AB587" s="105">
        <v>0</v>
      </c>
      <c r="AC587" s="8">
        <f t="shared" si="63"/>
        <v>33000000</v>
      </c>
      <c r="AD587" s="8">
        <f t="shared" si="64"/>
        <v>0</v>
      </c>
      <c r="AE587" s="8">
        <f t="shared" si="65"/>
        <v>0</v>
      </c>
      <c r="AF587" s="106">
        <f t="shared" si="66"/>
        <v>0</v>
      </c>
      <c r="AG587" s="8">
        <f t="shared" si="67"/>
        <v>0</v>
      </c>
      <c r="AH587" s="8">
        <f>IF($O587="Aktif",MAX(0,MIN($AE587,$AD587-SUM($AG587:AG587))),0)</f>
        <v>0</v>
      </c>
      <c r="AI587" s="8">
        <f>IF($O587="Aktif",MAX(0,MIN($AE587,$AD587-SUM($AG587:AH587))),0)</f>
        <v>0</v>
      </c>
      <c r="AJ587" s="8">
        <f>IF($O587="Aktif",MAX(0,MIN($AE587,$AD587-SUM($AG587:AI587))),0)</f>
        <v>0</v>
      </c>
      <c r="AK587" s="8">
        <f>IF($O587="Aktif",MAX(0,MIN($AE587,$AD587-SUM($AG587:AJ587))),0)</f>
        <v>0</v>
      </c>
      <c r="AL587" s="8">
        <f>IF($O587="Aktif",MAX(0,MIN($AE587,$AD587-SUM($AG587:AK587))),0)</f>
        <v>0</v>
      </c>
      <c r="AM587" s="8">
        <f>IF($O587="Aktif",MAX(0,MIN($AE587,$AD587-SUM($AG587:AL587))),0)</f>
        <v>0</v>
      </c>
      <c r="AN587" s="8">
        <f>IF($O587="Aktif",MAX(0,MIN($AE587,$AD587-SUM($AG587:AM587))),0)</f>
        <v>0</v>
      </c>
      <c r="AO587" s="8">
        <f>IF($O587="Aktif",MAX(0,MIN($AE587,$AD587-SUM($AG587:AN587))),0)</f>
        <v>0</v>
      </c>
      <c r="AP587" s="8">
        <f>IF($O587="Aktif",MAX(0,MIN($AE587,$AD587-SUM($AG587:AO587))),0)</f>
        <v>0</v>
      </c>
      <c r="AQ587" s="8">
        <f>IF($O587="Aktif",MAX(0,MIN($AE587,$AD587-SUM($AG587:AP587))),0)</f>
        <v>0</v>
      </c>
      <c r="AR587" s="8">
        <f>IF($O587="Aktif",MAX(0,MIN($AE587,$AD587-SUM($AG587:AQ587))),0)</f>
        <v>0</v>
      </c>
      <c r="AS587" s="8">
        <f>IF($O587="Aktif",MAX(0,MIN($AE587,$AD587-SUM($AG587:AR587))),0)</f>
        <v>0</v>
      </c>
      <c r="AT587" s="8">
        <f>IF($O587="Aktif",MAX(0,MIN($AE587,$AD587-SUM($AG587:AS587))),0)</f>
        <v>0</v>
      </c>
      <c r="AU587" s="8">
        <f>IF($O587="Aktif",MAX(0,MIN($AE587,$AD587-SUM($AG587:AT587))),0)</f>
        <v>0</v>
      </c>
      <c r="AV587" s="8">
        <f>IF($O587="Aktif",MAX(0,MIN($AE587,$AD587-SUM($AG587:AU587))),0)</f>
        <v>0</v>
      </c>
      <c r="AW587" s="8">
        <f t="shared" si="68"/>
        <v>0</v>
      </c>
      <c r="AX587" s="8">
        <f t="shared" si="69"/>
        <v>0</v>
      </c>
    </row>
    <row r="588" spans="1:50" ht="15" customHeight="1" x14ac:dyDescent="0.35">
      <c r="A588" s="102">
        <v>582</v>
      </c>
      <c r="B588" s="102" t="s">
        <v>1326</v>
      </c>
      <c r="C588" s="103">
        <v>216</v>
      </c>
      <c r="D588" s="102" t="s">
        <v>185</v>
      </c>
      <c r="E588" s="102" t="s">
        <v>587</v>
      </c>
      <c r="F588" s="102" t="s">
        <v>1327</v>
      </c>
      <c r="G588" s="102" t="s">
        <v>1328</v>
      </c>
      <c r="H588" s="102" t="s">
        <v>1329</v>
      </c>
      <c r="I588" s="102" t="s">
        <v>63</v>
      </c>
      <c r="J588" s="102" t="s">
        <v>1907</v>
      </c>
      <c r="K588" s="102" t="s">
        <v>591</v>
      </c>
      <c r="L588" s="104">
        <v>42468</v>
      </c>
      <c r="M588" s="102" t="s">
        <v>1908</v>
      </c>
      <c r="N588" s="102" t="s">
        <v>1909</v>
      </c>
      <c r="O588" s="102" t="s">
        <v>383</v>
      </c>
      <c r="P588" s="103">
        <v>1</v>
      </c>
      <c r="Q588" s="105">
        <v>21500000</v>
      </c>
      <c r="R588" s="103">
        <v>48</v>
      </c>
      <c r="S588" s="105">
        <v>447916.66666666698</v>
      </c>
      <c r="T588" s="105">
        <v>21500000</v>
      </c>
      <c r="U588" s="105">
        <v>0</v>
      </c>
      <c r="V588" s="105">
        <v>0</v>
      </c>
      <c r="W588" s="105">
        <v>0</v>
      </c>
      <c r="X588" s="105">
        <v>0</v>
      </c>
      <c r="Y588" s="105">
        <v>0</v>
      </c>
      <c r="Z588" s="105">
        <v>0</v>
      </c>
      <c r="AA588" s="105">
        <v>0</v>
      </c>
      <c r="AB588" s="105">
        <v>0</v>
      </c>
      <c r="AC588" s="8">
        <f t="shared" si="63"/>
        <v>21500000</v>
      </c>
      <c r="AD588" s="8">
        <f t="shared" si="64"/>
        <v>0</v>
      </c>
      <c r="AE588" s="8">
        <f t="shared" si="65"/>
        <v>0</v>
      </c>
      <c r="AF588" s="106">
        <f t="shared" si="66"/>
        <v>0</v>
      </c>
      <c r="AG588" s="8">
        <f t="shared" si="67"/>
        <v>0</v>
      </c>
      <c r="AH588" s="8">
        <f>IF($O588="Aktif",MAX(0,MIN($AE588,$AD588-SUM($AG588:AG588))),0)</f>
        <v>0</v>
      </c>
      <c r="AI588" s="8">
        <f>IF($O588="Aktif",MAX(0,MIN($AE588,$AD588-SUM($AG588:AH588))),0)</f>
        <v>0</v>
      </c>
      <c r="AJ588" s="8">
        <f>IF($O588="Aktif",MAX(0,MIN($AE588,$AD588-SUM($AG588:AI588))),0)</f>
        <v>0</v>
      </c>
      <c r="AK588" s="8">
        <f>IF($O588="Aktif",MAX(0,MIN($AE588,$AD588-SUM($AG588:AJ588))),0)</f>
        <v>0</v>
      </c>
      <c r="AL588" s="8">
        <f>IF($O588="Aktif",MAX(0,MIN($AE588,$AD588-SUM($AG588:AK588))),0)</f>
        <v>0</v>
      </c>
      <c r="AM588" s="8">
        <f>IF($O588="Aktif",MAX(0,MIN($AE588,$AD588-SUM($AG588:AL588))),0)</f>
        <v>0</v>
      </c>
      <c r="AN588" s="8">
        <f>IF($O588="Aktif",MAX(0,MIN($AE588,$AD588-SUM($AG588:AM588))),0)</f>
        <v>0</v>
      </c>
      <c r="AO588" s="8">
        <f>IF($O588="Aktif",MAX(0,MIN($AE588,$AD588-SUM($AG588:AN588))),0)</f>
        <v>0</v>
      </c>
      <c r="AP588" s="8">
        <f>IF($O588="Aktif",MAX(0,MIN($AE588,$AD588-SUM($AG588:AO588))),0)</f>
        <v>0</v>
      </c>
      <c r="AQ588" s="8">
        <f>IF($O588="Aktif",MAX(0,MIN($AE588,$AD588-SUM($AG588:AP588))),0)</f>
        <v>0</v>
      </c>
      <c r="AR588" s="8">
        <f>IF($O588="Aktif",MAX(0,MIN($AE588,$AD588-SUM($AG588:AQ588))),0)</f>
        <v>0</v>
      </c>
      <c r="AS588" s="8">
        <f>IF($O588="Aktif",MAX(0,MIN($AE588,$AD588-SUM($AG588:AR588))),0)</f>
        <v>0</v>
      </c>
      <c r="AT588" s="8">
        <f>IF($O588="Aktif",MAX(0,MIN($AE588,$AD588-SUM($AG588:AS588))),0)</f>
        <v>0</v>
      </c>
      <c r="AU588" s="8">
        <f>IF($O588="Aktif",MAX(0,MIN($AE588,$AD588-SUM($AG588:AT588))),0)</f>
        <v>0</v>
      </c>
      <c r="AV588" s="8">
        <f>IF($O588="Aktif",MAX(0,MIN($AE588,$AD588-SUM($AG588:AU588))),0)</f>
        <v>0</v>
      </c>
      <c r="AW588" s="8">
        <f t="shared" si="68"/>
        <v>0</v>
      </c>
      <c r="AX588" s="8">
        <f t="shared" si="69"/>
        <v>0</v>
      </c>
    </row>
    <row r="589" spans="1:50" ht="15" customHeight="1" x14ac:dyDescent="0.35">
      <c r="A589" s="102">
        <v>583</v>
      </c>
      <c r="B589" s="102" t="s">
        <v>1326</v>
      </c>
      <c r="C589" s="103">
        <v>217</v>
      </c>
      <c r="D589" s="102" t="s">
        <v>185</v>
      </c>
      <c r="E589" s="102" t="s">
        <v>587</v>
      </c>
      <c r="F589" s="102" t="s">
        <v>1327</v>
      </c>
      <c r="G589" s="102" t="s">
        <v>1328</v>
      </c>
      <c r="H589" s="102" t="s">
        <v>1329</v>
      </c>
      <c r="I589" s="102" t="s">
        <v>63</v>
      </c>
      <c r="J589" s="102" t="s">
        <v>1910</v>
      </c>
      <c r="K589" s="102" t="s">
        <v>591</v>
      </c>
      <c r="L589" s="104">
        <v>42563</v>
      </c>
      <c r="M589" s="102" t="s">
        <v>1911</v>
      </c>
      <c r="N589" s="102" t="s">
        <v>1912</v>
      </c>
      <c r="O589" s="102" t="s">
        <v>383</v>
      </c>
      <c r="P589" s="103">
        <v>1</v>
      </c>
      <c r="Q589" s="105">
        <v>8550000</v>
      </c>
      <c r="R589" s="103">
        <v>48</v>
      </c>
      <c r="S589" s="105">
        <v>178125</v>
      </c>
      <c r="T589" s="105">
        <v>8550000</v>
      </c>
      <c r="U589" s="105">
        <v>0</v>
      </c>
      <c r="V589" s="105">
        <v>0</v>
      </c>
      <c r="W589" s="105">
        <v>0</v>
      </c>
      <c r="X589" s="105">
        <v>0</v>
      </c>
      <c r="Y589" s="105">
        <v>0</v>
      </c>
      <c r="Z589" s="105">
        <v>0</v>
      </c>
      <c r="AA589" s="105">
        <v>0</v>
      </c>
      <c r="AB589" s="105">
        <v>0</v>
      </c>
      <c r="AC589" s="8">
        <f t="shared" si="63"/>
        <v>8550000</v>
      </c>
      <c r="AD589" s="8">
        <f t="shared" si="64"/>
        <v>0</v>
      </c>
      <c r="AE589" s="8">
        <f t="shared" si="65"/>
        <v>0</v>
      </c>
      <c r="AF589" s="106">
        <f t="shared" si="66"/>
        <v>0</v>
      </c>
      <c r="AG589" s="8">
        <f t="shared" si="67"/>
        <v>0</v>
      </c>
      <c r="AH589" s="8">
        <f>IF($O589="Aktif",MAX(0,MIN($AE589,$AD589-SUM($AG589:AG589))),0)</f>
        <v>0</v>
      </c>
      <c r="AI589" s="8">
        <f>IF($O589="Aktif",MAX(0,MIN($AE589,$AD589-SUM($AG589:AH589))),0)</f>
        <v>0</v>
      </c>
      <c r="AJ589" s="8">
        <f>IF($O589="Aktif",MAX(0,MIN($AE589,$AD589-SUM($AG589:AI589))),0)</f>
        <v>0</v>
      </c>
      <c r="AK589" s="8">
        <f>IF($O589="Aktif",MAX(0,MIN($AE589,$AD589-SUM($AG589:AJ589))),0)</f>
        <v>0</v>
      </c>
      <c r="AL589" s="8">
        <f>IF($O589="Aktif",MAX(0,MIN($AE589,$AD589-SUM($AG589:AK589))),0)</f>
        <v>0</v>
      </c>
      <c r="AM589" s="8">
        <f>IF($O589="Aktif",MAX(0,MIN($AE589,$AD589-SUM($AG589:AL589))),0)</f>
        <v>0</v>
      </c>
      <c r="AN589" s="8">
        <f>IF($O589="Aktif",MAX(0,MIN($AE589,$AD589-SUM($AG589:AM589))),0)</f>
        <v>0</v>
      </c>
      <c r="AO589" s="8">
        <f>IF($O589="Aktif",MAX(0,MIN($AE589,$AD589-SUM($AG589:AN589))),0)</f>
        <v>0</v>
      </c>
      <c r="AP589" s="8">
        <f>IF($O589="Aktif",MAX(0,MIN($AE589,$AD589-SUM($AG589:AO589))),0)</f>
        <v>0</v>
      </c>
      <c r="AQ589" s="8">
        <f>IF($O589="Aktif",MAX(0,MIN($AE589,$AD589-SUM($AG589:AP589))),0)</f>
        <v>0</v>
      </c>
      <c r="AR589" s="8">
        <f>IF($O589="Aktif",MAX(0,MIN($AE589,$AD589-SUM($AG589:AQ589))),0)</f>
        <v>0</v>
      </c>
      <c r="AS589" s="8">
        <f>IF($O589="Aktif",MAX(0,MIN($AE589,$AD589-SUM($AG589:AR589))),0)</f>
        <v>0</v>
      </c>
      <c r="AT589" s="8">
        <f>IF($O589="Aktif",MAX(0,MIN($AE589,$AD589-SUM($AG589:AS589))),0)</f>
        <v>0</v>
      </c>
      <c r="AU589" s="8">
        <f>IF($O589="Aktif",MAX(0,MIN($AE589,$AD589-SUM($AG589:AT589))),0)</f>
        <v>0</v>
      </c>
      <c r="AV589" s="8">
        <f>IF($O589="Aktif",MAX(0,MIN($AE589,$AD589-SUM($AG589:AU589))),0)</f>
        <v>0</v>
      </c>
      <c r="AW589" s="8">
        <f t="shared" si="68"/>
        <v>0</v>
      </c>
      <c r="AX589" s="8">
        <f t="shared" si="69"/>
        <v>0</v>
      </c>
    </row>
    <row r="590" spans="1:50" ht="15" customHeight="1" x14ac:dyDescent="0.35">
      <c r="A590" s="102">
        <v>584</v>
      </c>
      <c r="B590" s="102" t="s">
        <v>1326</v>
      </c>
      <c r="C590" s="103">
        <v>218</v>
      </c>
      <c r="D590" s="102" t="s">
        <v>185</v>
      </c>
      <c r="E590" s="102" t="s">
        <v>587</v>
      </c>
      <c r="F590" s="102" t="s">
        <v>1327</v>
      </c>
      <c r="G590" s="102" t="s">
        <v>1328</v>
      </c>
      <c r="H590" s="102" t="s">
        <v>1329</v>
      </c>
      <c r="I590" s="102" t="s">
        <v>63</v>
      </c>
      <c r="J590" s="102" t="s">
        <v>1913</v>
      </c>
      <c r="K590" s="102" t="s">
        <v>591</v>
      </c>
      <c r="L590" s="104">
        <v>42563</v>
      </c>
      <c r="M590" s="102" t="s">
        <v>1914</v>
      </c>
      <c r="N590" s="102" t="s">
        <v>1915</v>
      </c>
      <c r="O590" s="102" t="s">
        <v>383</v>
      </c>
      <c r="P590" s="103">
        <v>1</v>
      </c>
      <c r="Q590" s="105">
        <v>5000000</v>
      </c>
      <c r="R590" s="103">
        <v>48</v>
      </c>
      <c r="S590" s="105">
        <v>104166.66666666701</v>
      </c>
      <c r="T590" s="105">
        <v>5000000</v>
      </c>
      <c r="U590" s="105">
        <v>0</v>
      </c>
      <c r="V590" s="105">
        <v>0</v>
      </c>
      <c r="W590" s="105">
        <v>0</v>
      </c>
      <c r="X590" s="105">
        <v>0</v>
      </c>
      <c r="Y590" s="105">
        <v>0</v>
      </c>
      <c r="Z590" s="105">
        <v>0</v>
      </c>
      <c r="AA590" s="105">
        <v>0</v>
      </c>
      <c r="AB590" s="105">
        <v>0</v>
      </c>
      <c r="AC590" s="8">
        <f t="shared" si="63"/>
        <v>5000000</v>
      </c>
      <c r="AD590" s="8">
        <f t="shared" si="64"/>
        <v>0</v>
      </c>
      <c r="AE590" s="8">
        <f t="shared" si="65"/>
        <v>0</v>
      </c>
      <c r="AF590" s="106">
        <f t="shared" si="66"/>
        <v>0</v>
      </c>
      <c r="AG590" s="8">
        <f t="shared" si="67"/>
        <v>0</v>
      </c>
      <c r="AH590" s="8">
        <f>IF($O590="Aktif",MAX(0,MIN($AE590,$AD590-SUM($AG590:AG590))),0)</f>
        <v>0</v>
      </c>
      <c r="AI590" s="8">
        <f>IF($O590="Aktif",MAX(0,MIN($AE590,$AD590-SUM($AG590:AH590))),0)</f>
        <v>0</v>
      </c>
      <c r="AJ590" s="8">
        <f>IF($O590="Aktif",MAX(0,MIN($AE590,$AD590-SUM($AG590:AI590))),0)</f>
        <v>0</v>
      </c>
      <c r="AK590" s="8">
        <f>IF($O590="Aktif",MAX(0,MIN($AE590,$AD590-SUM($AG590:AJ590))),0)</f>
        <v>0</v>
      </c>
      <c r="AL590" s="8">
        <f>IF($O590="Aktif",MAX(0,MIN($AE590,$AD590-SUM($AG590:AK590))),0)</f>
        <v>0</v>
      </c>
      <c r="AM590" s="8">
        <f>IF($O590="Aktif",MAX(0,MIN($AE590,$AD590-SUM($AG590:AL590))),0)</f>
        <v>0</v>
      </c>
      <c r="AN590" s="8">
        <f>IF($O590="Aktif",MAX(0,MIN($AE590,$AD590-SUM($AG590:AM590))),0)</f>
        <v>0</v>
      </c>
      <c r="AO590" s="8">
        <f>IF($O590="Aktif",MAX(0,MIN($AE590,$AD590-SUM($AG590:AN590))),0)</f>
        <v>0</v>
      </c>
      <c r="AP590" s="8">
        <f>IF($O590="Aktif",MAX(0,MIN($AE590,$AD590-SUM($AG590:AO590))),0)</f>
        <v>0</v>
      </c>
      <c r="AQ590" s="8">
        <f>IF($O590="Aktif",MAX(0,MIN($AE590,$AD590-SUM($AG590:AP590))),0)</f>
        <v>0</v>
      </c>
      <c r="AR590" s="8">
        <f>IF($O590="Aktif",MAX(0,MIN($AE590,$AD590-SUM($AG590:AQ590))),0)</f>
        <v>0</v>
      </c>
      <c r="AS590" s="8">
        <f>IF($O590="Aktif",MAX(0,MIN($AE590,$AD590-SUM($AG590:AR590))),0)</f>
        <v>0</v>
      </c>
      <c r="AT590" s="8">
        <f>IF($O590="Aktif",MAX(0,MIN($AE590,$AD590-SUM($AG590:AS590))),0)</f>
        <v>0</v>
      </c>
      <c r="AU590" s="8">
        <f>IF($O590="Aktif",MAX(0,MIN($AE590,$AD590-SUM($AG590:AT590))),0)</f>
        <v>0</v>
      </c>
      <c r="AV590" s="8">
        <f>IF($O590="Aktif",MAX(0,MIN($AE590,$AD590-SUM($AG590:AU590))),0)</f>
        <v>0</v>
      </c>
      <c r="AW590" s="8">
        <f t="shared" si="68"/>
        <v>0</v>
      </c>
      <c r="AX590" s="8">
        <f t="shared" si="69"/>
        <v>0</v>
      </c>
    </row>
    <row r="591" spans="1:50" ht="15" customHeight="1" x14ac:dyDescent="0.35">
      <c r="A591" s="102">
        <v>585</v>
      </c>
      <c r="B591" s="102" t="s">
        <v>1326</v>
      </c>
      <c r="C591" s="103">
        <v>219</v>
      </c>
      <c r="D591" s="102" t="s">
        <v>185</v>
      </c>
      <c r="E591" s="102" t="s">
        <v>587</v>
      </c>
      <c r="F591" s="102" t="s">
        <v>1327</v>
      </c>
      <c r="G591" s="102" t="s">
        <v>1328</v>
      </c>
      <c r="H591" s="102" t="s">
        <v>1329</v>
      </c>
      <c r="I591" s="102" t="s">
        <v>63</v>
      </c>
      <c r="J591" s="102" t="s">
        <v>1916</v>
      </c>
      <c r="K591" s="102" t="s">
        <v>591</v>
      </c>
      <c r="L591" s="104">
        <v>42563</v>
      </c>
      <c r="M591" s="102" t="s">
        <v>1917</v>
      </c>
      <c r="N591" s="102" t="s">
        <v>1918</v>
      </c>
      <c r="O591" s="102" t="s">
        <v>383</v>
      </c>
      <c r="P591" s="103">
        <v>1</v>
      </c>
      <c r="Q591" s="105">
        <v>5000000</v>
      </c>
      <c r="R591" s="103">
        <v>48</v>
      </c>
      <c r="S591" s="105">
        <v>104166.66666666701</v>
      </c>
      <c r="T591" s="105">
        <v>5000000</v>
      </c>
      <c r="U591" s="105">
        <v>0</v>
      </c>
      <c r="V591" s="105">
        <v>0</v>
      </c>
      <c r="W591" s="105">
        <v>0</v>
      </c>
      <c r="X591" s="105">
        <v>0</v>
      </c>
      <c r="Y591" s="105">
        <v>0</v>
      </c>
      <c r="Z591" s="105">
        <v>0</v>
      </c>
      <c r="AA591" s="105">
        <v>0</v>
      </c>
      <c r="AB591" s="105">
        <v>0</v>
      </c>
      <c r="AC591" s="8">
        <f t="shared" si="63"/>
        <v>5000000</v>
      </c>
      <c r="AD591" s="8">
        <f t="shared" si="64"/>
        <v>0</v>
      </c>
      <c r="AE591" s="8">
        <f t="shared" si="65"/>
        <v>0</v>
      </c>
      <c r="AF591" s="106">
        <f t="shared" si="66"/>
        <v>0</v>
      </c>
      <c r="AG591" s="8">
        <f t="shared" si="67"/>
        <v>0</v>
      </c>
      <c r="AH591" s="8">
        <f>IF($O591="Aktif",MAX(0,MIN($AE591,$AD591-SUM($AG591:AG591))),0)</f>
        <v>0</v>
      </c>
      <c r="AI591" s="8">
        <f>IF($O591="Aktif",MAX(0,MIN($AE591,$AD591-SUM($AG591:AH591))),0)</f>
        <v>0</v>
      </c>
      <c r="AJ591" s="8">
        <f>IF($O591="Aktif",MAX(0,MIN($AE591,$AD591-SUM($AG591:AI591))),0)</f>
        <v>0</v>
      </c>
      <c r="AK591" s="8">
        <f>IF($O591="Aktif",MAX(0,MIN($AE591,$AD591-SUM($AG591:AJ591))),0)</f>
        <v>0</v>
      </c>
      <c r="AL591" s="8">
        <f>IF($O591="Aktif",MAX(0,MIN($AE591,$AD591-SUM($AG591:AK591))),0)</f>
        <v>0</v>
      </c>
      <c r="AM591" s="8">
        <f>IF($O591="Aktif",MAX(0,MIN($AE591,$AD591-SUM($AG591:AL591))),0)</f>
        <v>0</v>
      </c>
      <c r="AN591" s="8">
        <f>IF($O591="Aktif",MAX(0,MIN($AE591,$AD591-SUM($AG591:AM591))),0)</f>
        <v>0</v>
      </c>
      <c r="AO591" s="8">
        <f>IF($O591="Aktif",MAX(0,MIN($AE591,$AD591-SUM($AG591:AN591))),0)</f>
        <v>0</v>
      </c>
      <c r="AP591" s="8">
        <f>IF($O591="Aktif",MAX(0,MIN($AE591,$AD591-SUM($AG591:AO591))),0)</f>
        <v>0</v>
      </c>
      <c r="AQ591" s="8">
        <f>IF($O591="Aktif",MAX(0,MIN($AE591,$AD591-SUM($AG591:AP591))),0)</f>
        <v>0</v>
      </c>
      <c r="AR591" s="8">
        <f>IF($O591="Aktif",MAX(0,MIN($AE591,$AD591-SUM($AG591:AQ591))),0)</f>
        <v>0</v>
      </c>
      <c r="AS591" s="8">
        <f>IF($O591="Aktif",MAX(0,MIN($AE591,$AD591-SUM($AG591:AR591))),0)</f>
        <v>0</v>
      </c>
      <c r="AT591" s="8">
        <f>IF($O591="Aktif",MAX(0,MIN($AE591,$AD591-SUM($AG591:AS591))),0)</f>
        <v>0</v>
      </c>
      <c r="AU591" s="8">
        <f>IF($O591="Aktif",MAX(0,MIN($AE591,$AD591-SUM($AG591:AT591))),0)</f>
        <v>0</v>
      </c>
      <c r="AV591" s="8">
        <f>IF($O591="Aktif",MAX(0,MIN($AE591,$AD591-SUM($AG591:AU591))),0)</f>
        <v>0</v>
      </c>
      <c r="AW591" s="8">
        <f t="shared" si="68"/>
        <v>0</v>
      </c>
      <c r="AX591" s="8">
        <f t="shared" si="69"/>
        <v>0</v>
      </c>
    </row>
    <row r="592" spans="1:50" ht="15" customHeight="1" x14ac:dyDescent="0.35">
      <c r="A592" s="102">
        <v>586</v>
      </c>
      <c r="B592" s="102" t="s">
        <v>1326</v>
      </c>
      <c r="C592" s="103">
        <v>220</v>
      </c>
      <c r="D592" s="102" t="s">
        <v>185</v>
      </c>
      <c r="E592" s="102" t="s">
        <v>587</v>
      </c>
      <c r="F592" s="102" t="s">
        <v>1327</v>
      </c>
      <c r="G592" s="102" t="s">
        <v>1328</v>
      </c>
      <c r="H592" s="102" t="s">
        <v>1329</v>
      </c>
      <c r="I592" s="102" t="s">
        <v>63</v>
      </c>
      <c r="J592" s="102" t="s">
        <v>1919</v>
      </c>
      <c r="K592" s="102" t="s">
        <v>591</v>
      </c>
      <c r="L592" s="104">
        <v>42570</v>
      </c>
      <c r="M592" s="102" t="s">
        <v>1920</v>
      </c>
      <c r="N592" s="102" t="s">
        <v>1921</v>
      </c>
      <c r="O592" s="102" t="s">
        <v>383</v>
      </c>
      <c r="P592" s="103">
        <v>1</v>
      </c>
      <c r="Q592" s="105">
        <v>21500000</v>
      </c>
      <c r="R592" s="103">
        <v>48</v>
      </c>
      <c r="S592" s="105">
        <v>447916.66666666698</v>
      </c>
      <c r="T592" s="105">
        <v>21500000</v>
      </c>
      <c r="U592" s="105">
        <v>0</v>
      </c>
      <c r="V592" s="105">
        <v>0</v>
      </c>
      <c r="W592" s="105">
        <v>0</v>
      </c>
      <c r="X592" s="105">
        <v>0</v>
      </c>
      <c r="Y592" s="105">
        <v>0</v>
      </c>
      <c r="Z592" s="105">
        <v>0</v>
      </c>
      <c r="AA592" s="105">
        <v>0</v>
      </c>
      <c r="AB592" s="105">
        <v>0</v>
      </c>
      <c r="AC592" s="8">
        <f t="shared" si="63"/>
        <v>21500000</v>
      </c>
      <c r="AD592" s="8">
        <f t="shared" si="64"/>
        <v>0</v>
      </c>
      <c r="AE592" s="8">
        <f t="shared" si="65"/>
        <v>0</v>
      </c>
      <c r="AF592" s="106">
        <f t="shared" si="66"/>
        <v>0</v>
      </c>
      <c r="AG592" s="8">
        <f t="shared" si="67"/>
        <v>0</v>
      </c>
      <c r="AH592" s="8">
        <f>IF($O592="Aktif",MAX(0,MIN($AE592,$AD592-SUM($AG592:AG592))),0)</f>
        <v>0</v>
      </c>
      <c r="AI592" s="8">
        <f>IF($O592="Aktif",MAX(0,MIN($AE592,$AD592-SUM($AG592:AH592))),0)</f>
        <v>0</v>
      </c>
      <c r="AJ592" s="8">
        <f>IF($O592="Aktif",MAX(0,MIN($AE592,$AD592-SUM($AG592:AI592))),0)</f>
        <v>0</v>
      </c>
      <c r="AK592" s="8">
        <f>IF($O592="Aktif",MAX(0,MIN($AE592,$AD592-SUM($AG592:AJ592))),0)</f>
        <v>0</v>
      </c>
      <c r="AL592" s="8">
        <f>IF($O592="Aktif",MAX(0,MIN($AE592,$AD592-SUM($AG592:AK592))),0)</f>
        <v>0</v>
      </c>
      <c r="AM592" s="8">
        <f>IF($O592="Aktif",MAX(0,MIN($AE592,$AD592-SUM($AG592:AL592))),0)</f>
        <v>0</v>
      </c>
      <c r="AN592" s="8">
        <f>IF($O592="Aktif",MAX(0,MIN($AE592,$AD592-SUM($AG592:AM592))),0)</f>
        <v>0</v>
      </c>
      <c r="AO592" s="8">
        <f>IF($O592="Aktif",MAX(0,MIN($AE592,$AD592-SUM($AG592:AN592))),0)</f>
        <v>0</v>
      </c>
      <c r="AP592" s="8">
        <f>IF($O592="Aktif",MAX(0,MIN($AE592,$AD592-SUM($AG592:AO592))),0)</f>
        <v>0</v>
      </c>
      <c r="AQ592" s="8">
        <f>IF($O592="Aktif",MAX(0,MIN($AE592,$AD592-SUM($AG592:AP592))),0)</f>
        <v>0</v>
      </c>
      <c r="AR592" s="8">
        <f>IF($O592="Aktif",MAX(0,MIN($AE592,$AD592-SUM($AG592:AQ592))),0)</f>
        <v>0</v>
      </c>
      <c r="AS592" s="8">
        <f>IF($O592="Aktif",MAX(0,MIN($AE592,$AD592-SUM($AG592:AR592))),0)</f>
        <v>0</v>
      </c>
      <c r="AT592" s="8">
        <f>IF($O592="Aktif",MAX(0,MIN($AE592,$AD592-SUM($AG592:AS592))),0)</f>
        <v>0</v>
      </c>
      <c r="AU592" s="8">
        <f>IF($O592="Aktif",MAX(0,MIN($AE592,$AD592-SUM($AG592:AT592))),0)</f>
        <v>0</v>
      </c>
      <c r="AV592" s="8">
        <f>IF($O592="Aktif",MAX(0,MIN($AE592,$AD592-SUM($AG592:AU592))),0)</f>
        <v>0</v>
      </c>
      <c r="AW592" s="8">
        <f t="shared" si="68"/>
        <v>0</v>
      </c>
      <c r="AX592" s="8">
        <f t="shared" si="69"/>
        <v>0</v>
      </c>
    </row>
    <row r="593" spans="1:50" ht="15" customHeight="1" x14ac:dyDescent="0.35">
      <c r="A593" s="102">
        <v>587</v>
      </c>
      <c r="B593" s="102" t="s">
        <v>1326</v>
      </c>
      <c r="C593" s="103">
        <v>221</v>
      </c>
      <c r="D593" s="102" t="s">
        <v>185</v>
      </c>
      <c r="E593" s="102" t="s">
        <v>587</v>
      </c>
      <c r="F593" s="102" t="s">
        <v>1327</v>
      </c>
      <c r="G593" s="102" t="s">
        <v>1328</v>
      </c>
      <c r="H593" s="102" t="s">
        <v>1329</v>
      </c>
      <c r="I593" s="102" t="s">
        <v>63</v>
      </c>
      <c r="J593" s="102" t="s">
        <v>1922</v>
      </c>
      <c r="K593" s="102" t="s">
        <v>591</v>
      </c>
      <c r="L593" s="104">
        <v>42573</v>
      </c>
      <c r="M593" s="102" t="s">
        <v>1923</v>
      </c>
      <c r="N593" s="102" t="s">
        <v>1924</v>
      </c>
      <c r="O593" s="102" t="s">
        <v>383</v>
      </c>
      <c r="P593" s="103">
        <v>1</v>
      </c>
      <c r="Q593" s="105">
        <v>1100000</v>
      </c>
      <c r="R593" s="103">
        <v>48</v>
      </c>
      <c r="S593" s="105">
        <v>22916.666666666701</v>
      </c>
      <c r="T593" s="105">
        <v>1100000</v>
      </c>
      <c r="U593" s="105">
        <v>0</v>
      </c>
      <c r="V593" s="105">
        <v>0</v>
      </c>
      <c r="W593" s="105">
        <v>0</v>
      </c>
      <c r="X593" s="105">
        <v>0</v>
      </c>
      <c r="Y593" s="105">
        <v>0</v>
      </c>
      <c r="Z593" s="105">
        <v>0</v>
      </c>
      <c r="AA593" s="105">
        <v>0</v>
      </c>
      <c r="AB593" s="105">
        <v>0</v>
      </c>
      <c r="AC593" s="8">
        <f t="shared" si="63"/>
        <v>1100000</v>
      </c>
      <c r="AD593" s="8">
        <f t="shared" si="64"/>
        <v>0</v>
      </c>
      <c r="AE593" s="8">
        <f t="shared" si="65"/>
        <v>0</v>
      </c>
      <c r="AF593" s="106">
        <f t="shared" si="66"/>
        <v>0</v>
      </c>
      <c r="AG593" s="8">
        <f t="shared" si="67"/>
        <v>0</v>
      </c>
      <c r="AH593" s="8">
        <f>IF($O593="Aktif",MAX(0,MIN($AE593,$AD593-SUM($AG593:AG593))),0)</f>
        <v>0</v>
      </c>
      <c r="AI593" s="8">
        <f>IF($O593="Aktif",MAX(0,MIN($AE593,$AD593-SUM($AG593:AH593))),0)</f>
        <v>0</v>
      </c>
      <c r="AJ593" s="8">
        <f>IF($O593="Aktif",MAX(0,MIN($AE593,$AD593-SUM($AG593:AI593))),0)</f>
        <v>0</v>
      </c>
      <c r="AK593" s="8">
        <f>IF($O593="Aktif",MAX(0,MIN($AE593,$AD593-SUM($AG593:AJ593))),0)</f>
        <v>0</v>
      </c>
      <c r="AL593" s="8">
        <f>IF($O593="Aktif",MAX(0,MIN($AE593,$AD593-SUM($AG593:AK593))),0)</f>
        <v>0</v>
      </c>
      <c r="AM593" s="8">
        <f>IF($O593="Aktif",MAX(0,MIN($AE593,$AD593-SUM($AG593:AL593))),0)</f>
        <v>0</v>
      </c>
      <c r="AN593" s="8">
        <f>IF($O593="Aktif",MAX(0,MIN($AE593,$AD593-SUM($AG593:AM593))),0)</f>
        <v>0</v>
      </c>
      <c r="AO593" s="8">
        <f>IF($O593="Aktif",MAX(0,MIN($AE593,$AD593-SUM($AG593:AN593))),0)</f>
        <v>0</v>
      </c>
      <c r="AP593" s="8">
        <f>IF($O593="Aktif",MAX(0,MIN($AE593,$AD593-SUM($AG593:AO593))),0)</f>
        <v>0</v>
      </c>
      <c r="AQ593" s="8">
        <f>IF($O593="Aktif",MAX(0,MIN($AE593,$AD593-SUM($AG593:AP593))),0)</f>
        <v>0</v>
      </c>
      <c r="AR593" s="8">
        <f>IF($O593="Aktif",MAX(0,MIN($AE593,$AD593-SUM($AG593:AQ593))),0)</f>
        <v>0</v>
      </c>
      <c r="AS593" s="8">
        <f>IF($O593="Aktif",MAX(0,MIN($AE593,$AD593-SUM($AG593:AR593))),0)</f>
        <v>0</v>
      </c>
      <c r="AT593" s="8">
        <f>IF($O593="Aktif",MAX(0,MIN($AE593,$AD593-SUM($AG593:AS593))),0)</f>
        <v>0</v>
      </c>
      <c r="AU593" s="8">
        <f>IF($O593="Aktif",MAX(0,MIN($AE593,$AD593-SUM($AG593:AT593))),0)</f>
        <v>0</v>
      </c>
      <c r="AV593" s="8">
        <f>IF($O593="Aktif",MAX(0,MIN($AE593,$AD593-SUM($AG593:AU593))),0)</f>
        <v>0</v>
      </c>
      <c r="AW593" s="8">
        <f t="shared" si="68"/>
        <v>0</v>
      </c>
      <c r="AX593" s="8">
        <f t="shared" si="69"/>
        <v>0</v>
      </c>
    </row>
    <row r="594" spans="1:50" ht="15" customHeight="1" x14ac:dyDescent="0.35">
      <c r="A594" s="102">
        <v>588</v>
      </c>
      <c r="B594" s="102" t="s">
        <v>1326</v>
      </c>
      <c r="C594" s="103">
        <v>222</v>
      </c>
      <c r="D594" s="102" t="s">
        <v>185</v>
      </c>
      <c r="E594" s="102" t="s">
        <v>587</v>
      </c>
      <c r="F594" s="102" t="s">
        <v>1327</v>
      </c>
      <c r="G594" s="102" t="s">
        <v>1328</v>
      </c>
      <c r="H594" s="102" t="s">
        <v>1329</v>
      </c>
      <c r="I594" s="102" t="s">
        <v>63</v>
      </c>
      <c r="J594" s="102" t="s">
        <v>1925</v>
      </c>
      <c r="K594" s="102" t="s">
        <v>591</v>
      </c>
      <c r="L594" s="104">
        <v>42580</v>
      </c>
      <c r="M594" s="102" t="s">
        <v>1926</v>
      </c>
      <c r="N594" s="102" t="s">
        <v>1927</v>
      </c>
      <c r="O594" s="102" t="s">
        <v>383</v>
      </c>
      <c r="P594" s="103">
        <v>1</v>
      </c>
      <c r="Q594" s="105">
        <v>5150000</v>
      </c>
      <c r="R594" s="103">
        <v>48</v>
      </c>
      <c r="S594" s="105">
        <v>107291.66666666701</v>
      </c>
      <c r="T594" s="105">
        <v>5150000</v>
      </c>
      <c r="U594" s="105">
        <v>0</v>
      </c>
      <c r="V594" s="105">
        <v>0</v>
      </c>
      <c r="W594" s="105">
        <v>0</v>
      </c>
      <c r="X594" s="105">
        <v>0</v>
      </c>
      <c r="Y594" s="105">
        <v>0</v>
      </c>
      <c r="Z594" s="105">
        <v>0</v>
      </c>
      <c r="AA594" s="105">
        <v>0</v>
      </c>
      <c r="AB594" s="105">
        <v>0</v>
      </c>
      <c r="AC594" s="8">
        <f t="shared" si="63"/>
        <v>5150000</v>
      </c>
      <c r="AD594" s="8">
        <f t="shared" si="64"/>
        <v>0</v>
      </c>
      <c r="AE594" s="8">
        <f t="shared" si="65"/>
        <v>0</v>
      </c>
      <c r="AF594" s="106">
        <f t="shared" si="66"/>
        <v>0</v>
      </c>
      <c r="AG594" s="8">
        <f t="shared" si="67"/>
        <v>0</v>
      </c>
      <c r="AH594" s="8">
        <f>IF($O594="Aktif",MAX(0,MIN($AE594,$AD594-SUM($AG594:AG594))),0)</f>
        <v>0</v>
      </c>
      <c r="AI594" s="8">
        <f>IF($O594="Aktif",MAX(0,MIN($AE594,$AD594-SUM($AG594:AH594))),0)</f>
        <v>0</v>
      </c>
      <c r="AJ594" s="8">
        <f>IF($O594="Aktif",MAX(0,MIN($AE594,$AD594-SUM($AG594:AI594))),0)</f>
        <v>0</v>
      </c>
      <c r="AK594" s="8">
        <f>IF($O594="Aktif",MAX(0,MIN($AE594,$AD594-SUM($AG594:AJ594))),0)</f>
        <v>0</v>
      </c>
      <c r="AL594" s="8">
        <f>IF($O594="Aktif",MAX(0,MIN($AE594,$AD594-SUM($AG594:AK594))),0)</f>
        <v>0</v>
      </c>
      <c r="AM594" s="8">
        <f>IF($O594="Aktif",MAX(0,MIN($AE594,$AD594-SUM($AG594:AL594))),0)</f>
        <v>0</v>
      </c>
      <c r="AN594" s="8">
        <f>IF($O594="Aktif",MAX(0,MIN($AE594,$AD594-SUM($AG594:AM594))),0)</f>
        <v>0</v>
      </c>
      <c r="AO594" s="8">
        <f>IF($O594="Aktif",MAX(0,MIN($AE594,$AD594-SUM($AG594:AN594))),0)</f>
        <v>0</v>
      </c>
      <c r="AP594" s="8">
        <f>IF($O594="Aktif",MAX(0,MIN($AE594,$AD594-SUM($AG594:AO594))),0)</f>
        <v>0</v>
      </c>
      <c r="AQ594" s="8">
        <f>IF($O594="Aktif",MAX(0,MIN($AE594,$AD594-SUM($AG594:AP594))),0)</f>
        <v>0</v>
      </c>
      <c r="AR594" s="8">
        <f>IF($O594="Aktif",MAX(0,MIN($AE594,$AD594-SUM($AG594:AQ594))),0)</f>
        <v>0</v>
      </c>
      <c r="AS594" s="8">
        <f>IF($O594="Aktif",MAX(0,MIN($AE594,$AD594-SUM($AG594:AR594))),0)</f>
        <v>0</v>
      </c>
      <c r="AT594" s="8">
        <f>IF($O594="Aktif",MAX(0,MIN($AE594,$AD594-SUM($AG594:AS594))),0)</f>
        <v>0</v>
      </c>
      <c r="AU594" s="8">
        <f>IF($O594="Aktif",MAX(0,MIN($AE594,$AD594-SUM($AG594:AT594))),0)</f>
        <v>0</v>
      </c>
      <c r="AV594" s="8">
        <f>IF($O594="Aktif",MAX(0,MIN($AE594,$AD594-SUM($AG594:AU594))),0)</f>
        <v>0</v>
      </c>
      <c r="AW594" s="8">
        <f t="shared" si="68"/>
        <v>0</v>
      </c>
      <c r="AX594" s="8">
        <f t="shared" si="69"/>
        <v>0</v>
      </c>
    </row>
    <row r="595" spans="1:50" ht="15" customHeight="1" x14ac:dyDescent="0.35">
      <c r="A595" s="102">
        <v>589</v>
      </c>
      <c r="B595" s="102" t="s">
        <v>1326</v>
      </c>
      <c r="C595" s="103">
        <v>223</v>
      </c>
      <c r="D595" s="102" t="s">
        <v>185</v>
      </c>
      <c r="E595" s="102" t="s">
        <v>587</v>
      </c>
      <c r="F595" s="102" t="s">
        <v>1327</v>
      </c>
      <c r="G595" s="102" t="s">
        <v>1328</v>
      </c>
      <c r="H595" s="102" t="s">
        <v>1329</v>
      </c>
      <c r="I595" s="102" t="s">
        <v>63</v>
      </c>
      <c r="J595" s="102" t="s">
        <v>1928</v>
      </c>
      <c r="K595" s="102" t="s">
        <v>591</v>
      </c>
      <c r="L595" s="104">
        <v>42582</v>
      </c>
      <c r="M595" s="102" t="s">
        <v>1929</v>
      </c>
      <c r="N595" s="102" t="s">
        <v>1930</v>
      </c>
      <c r="O595" s="102" t="s">
        <v>383</v>
      </c>
      <c r="P595" s="103">
        <v>1</v>
      </c>
      <c r="Q595" s="105">
        <v>9370000</v>
      </c>
      <c r="R595" s="103">
        <v>48</v>
      </c>
      <c r="S595" s="105">
        <v>195208.33333333299</v>
      </c>
      <c r="T595" s="105">
        <v>9370000</v>
      </c>
      <c r="U595" s="105">
        <v>0</v>
      </c>
      <c r="V595" s="105">
        <v>0</v>
      </c>
      <c r="W595" s="105">
        <v>0</v>
      </c>
      <c r="X595" s="105">
        <v>0</v>
      </c>
      <c r="Y595" s="105">
        <v>0</v>
      </c>
      <c r="Z595" s="105">
        <v>0</v>
      </c>
      <c r="AA595" s="105">
        <v>0</v>
      </c>
      <c r="AB595" s="105">
        <v>0</v>
      </c>
      <c r="AC595" s="8">
        <f t="shared" si="63"/>
        <v>9370000</v>
      </c>
      <c r="AD595" s="8">
        <f t="shared" si="64"/>
        <v>0</v>
      </c>
      <c r="AE595" s="8">
        <f t="shared" si="65"/>
        <v>0</v>
      </c>
      <c r="AF595" s="106">
        <f t="shared" si="66"/>
        <v>0</v>
      </c>
      <c r="AG595" s="8">
        <f t="shared" si="67"/>
        <v>0</v>
      </c>
      <c r="AH595" s="8">
        <f>IF($O595="Aktif",MAX(0,MIN($AE595,$AD595-SUM($AG595:AG595))),0)</f>
        <v>0</v>
      </c>
      <c r="AI595" s="8">
        <f>IF($O595="Aktif",MAX(0,MIN($AE595,$AD595-SUM($AG595:AH595))),0)</f>
        <v>0</v>
      </c>
      <c r="AJ595" s="8">
        <f>IF($O595="Aktif",MAX(0,MIN($AE595,$AD595-SUM($AG595:AI595))),0)</f>
        <v>0</v>
      </c>
      <c r="AK595" s="8">
        <f>IF($O595="Aktif",MAX(0,MIN($AE595,$AD595-SUM($AG595:AJ595))),0)</f>
        <v>0</v>
      </c>
      <c r="AL595" s="8">
        <f>IF($O595="Aktif",MAX(0,MIN($AE595,$AD595-SUM($AG595:AK595))),0)</f>
        <v>0</v>
      </c>
      <c r="AM595" s="8">
        <f>IF($O595="Aktif",MAX(0,MIN($AE595,$AD595-SUM($AG595:AL595))),0)</f>
        <v>0</v>
      </c>
      <c r="AN595" s="8">
        <f>IF($O595="Aktif",MAX(0,MIN($AE595,$AD595-SUM($AG595:AM595))),0)</f>
        <v>0</v>
      </c>
      <c r="AO595" s="8">
        <f>IF($O595="Aktif",MAX(0,MIN($AE595,$AD595-SUM($AG595:AN595))),0)</f>
        <v>0</v>
      </c>
      <c r="AP595" s="8">
        <f>IF($O595="Aktif",MAX(0,MIN($AE595,$AD595-SUM($AG595:AO595))),0)</f>
        <v>0</v>
      </c>
      <c r="AQ595" s="8">
        <f>IF($O595="Aktif",MAX(0,MIN($AE595,$AD595-SUM($AG595:AP595))),0)</f>
        <v>0</v>
      </c>
      <c r="AR595" s="8">
        <f>IF($O595="Aktif",MAX(0,MIN($AE595,$AD595-SUM($AG595:AQ595))),0)</f>
        <v>0</v>
      </c>
      <c r="AS595" s="8">
        <f>IF($O595="Aktif",MAX(0,MIN($AE595,$AD595-SUM($AG595:AR595))),0)</f>
        <v>0</v>
      </c>
      <c r="AT595" s="8">
        <f>IF($O595="Aktif",MAX(0,MIN($AE595,$AD595-SUM($AG595:AS595))),0)</f>
        <v>0</v>
      </c>
      <c r="AU595" s="8">
        <f>IF($O595="Aktif",MAX(0,MIN($AE595,$AD595-SUM($AG595:AT595))),0)</f>
        <v>0</v>
      </c>
      <c r="AV595" s="8">
        <f>IF($O595="Aktif",MAX(0,MIN($AE595,$AD595-SUM($AG595:AU595))),0)</f>
        <v>0</v>
      </c>
      <c r="AW595" s="8">
        <f t="shared" si="68"/>
        <v>0</v>
      </c>
      <c r="AX595" s="8">
        <f t="shared" si="69"/>
        <v>0</v>
      </c>
    </row>
    <row r="596" spans="1:50" ht="15" customHeight="1" x14ac:dyDescent="0.35">
      <c r="A596" s="102">
        <v>590</v>
      </c>
      <c r="B596" s="102" t="s">
        <v>1326</v>
      </c>
      <c r="C596" s="103">
        <v>224</v>
      </c>
      <c r="D596" s="102" t="s">
        <v>185</v>
      </c>
      <c r="E596" s="102" t="s">
        <v>587</v>
      </c>
      <c r="F596" s="102" t="s">
        <v>1327</v>
      </c>
      <c r="G596" s="102" t="s">
        <v>1328</v>
      </c>
      <c r="H596" s="102" t="s">
        <v>1329</v>
      </c>
      <c r="I596" s="102" t="s">
        <v>63</v>
      </c>
      <c r="J596" s="102" t="s">
        <v>1931</v>
      </c>
      <c r="K596" s="102" t="s">
        <v>591</v>
      </c>
      <c r="L596" s="104">
        <v>42582</v>
      </c>
      <c r="M596" s="102" t="s">
        <v>1932</v>
      </c>
      <c r="N596" s="102" t="s">
        <v>1933</v>
      </c>
      <c r="O596" s="102" t="s">
        <v>383</v>
      </c>
      <c r="P596" s="103">
        <v>1</v>
      </c>
      <c r="Q596" s="105">
        <v>25700000</v>
      </c>
      <c r="R596" s="103">
        <v>48</v>
      </c>
      <c r="S596" s="105">
        <v>535416.66666666698</v>
      </c>
      <c r="T596" s="105">
        <v>25700000</v>
      </c>
      <c r="U596" s="105">
        <v>0</v>
      </c>
      <c r="V596" s="105">
        <v>0</v>
      </c>
      <c r="W596" s="105">
        <v>0</v>
      </c>
      <c r="X596" s="105">
        <v>0</v>
      </c>
      <c r="Y596" s="105">
        <v>0</v>
      </c>
      <c r="Z596" s="105">
        <v>0</v>
      </c>
      <c r="AA596" s="105">
        <v>0</v>
      </c>
      <c r="AB596" s="105">
        <v>0</v>
      </c>
      <c r="AC596" s="8">
        <f t="shared" si="63"/>
        <v>25700000</v>
      </c>
      <c r="AD596" s="8">
        <f t="shared" si="64"/>
        <v>0</v>
      </c>
      <c r="AE596" s="8">
        <f t="shared" si="65"/>
        <v>0</v>
      </c>
      <c r="AF596" s="106">
        <f t="shared" si="66"/>
        <v>0</v>
      </c>
      <c r="AG596" s="8">
        <f t="shared" si="67"/>
        <v>0</v>
      </c>
      <c r="AH596" s="8">
        <f>IF($O596="Aktif",MAX(0,MIN($AE596,$AD596-SUM($AG596:AG596))),0)</f>
        <v>0</v>
      </c>
      <c r="AI596" s="8">
        <f>IF($O596="Aktif",MAX(0,MIN($AE596,$AD596-SUM($AG596:AH596))),0)</f>
        <v>0</v>
      </c>
      <c r="AJ596" s="8">
        <f>IF($O596="Aktif",MAX(0,MIN($AE596,$AD596-SUM($AG596:AI596))),0)</f>
        <v>0</v>
      </c>
      <c r="AK596" s="8">
        <f>IF($O596="Aktif",MAX(0,MIN($AE596,$AD596-SUM($AG596:AJ596))),0)</f>
        <v>0</v>
      </c>
      <c r="AL596" s="8">
        <f>IF($O596="Aktif",MAX(0,MIN($AE596,$AD596-SUM($AG596:AK596))),0)</f>
        <v>0</v>
      </c>
      <c r="AM596" s="8">
        <f>IF($O596="Aktif",MAX(0,MIN($AE596,$AD596-SUM($AG596:AL596))),0)</f>
        <v>0</v>
      </c>
      <c r="AN596" s="8">
        <f>IF($O596="Aktif",MAX(0,MIN($AE596,$AD596-SUM($AG596:AM596))),0)</f>
        <v>0</v>
      </c>
      <c r="AO596" s="8">
        <f>IF($O596="Aktif",MAX(0,MIN($AE596,$AD596-SUM($AG596:AN596))),0)</f>
        <v>0</v>
      </c>
      <c r="AP596" s="8">
        <f>IF($O596="Aktif",MAX(0,MIN($AE596,$AD596-SUM($AG596:AO596))),0)</f>
        <v>0</v>
      </c>
      <c r="AQ596" s="8">
        <f>IF($O596="Aktif",MAX(0,MIN($AE596,$AD596-SUM($AG596:AP596))),0)</f>
        <v>0</v>
      </c>
      <c r="AR596" s="8">
        <f>IF($O596="Aktif",MAX(0,MIN($AE596,$AD596-SUM($AG596:AQ596))),0)</f>
        <v>0</v>
      </c>
      <c r="AS596" s="8">
        <f>IF($O596="Aktif",MAX(0,MIN($AE596,$AD596-SUM($AG596:AR596))),0)</f>
        <v>0</v>
      </c>
      <c r="AT596" s="8">
        <f>IF($O596="Aktif",MAX(0,MIN($AE596,$AD596-SUM($AG596:AS596))),0)</f>
        <v>0</v>
      </c>
      <c r="AU596" s="8">
        <f>IF($O596="Aktif",MAX(0,MIN($AE596,$AD596-SUM($AG596:AT596))),0)</f>
        <v>0</v>
      </c>
      <c r="AV596" s="8">
        <f>IF($O596="Aktif",MAX(0,MIN($AE596,$AD596-SUM($AG596:AU596))),0)</f>
        <v>0</v>
      </c>
      <c r="AW596" s="8">
        <f t="shared" si="68"/>
        <v>0</v>
      </c>
      <c r="AX596" s="8">
        <f t="shared" si="69"/>
        <v>0</v>
      </c>
    </row>
    <row r="597" spans="1:50" ht="15" customHeight="1" x14ac:dyDescent="0.35">
      <c r="A597" s="102">
        <v>591</v>
      </c>
      <c r="B597" s="102" t="s">
        <v>1326</v>
      </c>
      <c r="C597" s="103">
        <v>225</v>
      </c>
      <c r="D597" s="102" t="s">
        <v>185</v>
      </c>
      <c r="E597" s="102" t="s">
        <v>587</v>
      </c>
      <c r="F597" s="102" t="s">
        <v>1327</v>
      </c>
      <c r="G597" s="102" t="s">
        <v>1328</v>
      </c>
      <c r="H597" s="102" t="s">
        <v>1329</v>
      </c>
      <c r="I597" s="102" t="s">
        <v>63</v>
      </c>
      <c r="J597" s="102" t="s">
        <v>1934</v>
      </c>
      <c r="K597" s="102" t="s">
        <v>591</v>
      </c>
      <c r="L597" s="104">
        <v>42582</v>
      </c>
      <c r="M597" s="102" t="s">
        <v>1935</v>
      </c>
      <c r="N597" s="102" t="s">
        <v>1936</v>
      </c>
      <c r="O597" s="102" t="s">
        <v>383</v>
      </c>
      <c r="P597" s="103">
        <v>1</v>
      </c>
      <c r="Q597" s="105">
        <v>165000000</v>
      </c>
      <c r="R597" s="103">
        <v>48</v>
      </c>
      <c r="S597" s="105">
        <v>3437500</v>
      </c>
      <c r="T597" s="105">
        <v>165000000</v>
      </c>
      <c r="U597" s="105">
        <v>0</v>
      </c>
      <c r="V597" s="105">
        <v>0</v>
      </c>
      <c r="W597" s="105">
        <v>0</v>
      </c>
      <c r="X597" s="105">
        <v>0</v>
      </c>
      <c r="Y597" s="105">
        <v>0</v>
      </c>
      <c r="Z597" s="105">
        <v>0</v>
      </c>
      <c r="AA597" s="105">
        <v>0</v>
      </c>
      <c r="AB597" s="105">
        <v>0</v>
      </c>
      <c r="AC597" s="8">
        <f t="shared" si="63"/>
        <v>165000000</v>
      </c>
      <c r="AD597" s="8">
        <f t="shared" si="64"/>
        <v>0</v>
      </c>
      <c r="AE597" s="8">
        <f t="shared" si="65"/>
        <v>0</v>
      </c>
      <c r="AF597" s="106">
        <f t="shared" si="66"/>
        <v>0</v>
      </c>
      <c r="AG597" s="8">
        <f t="shared" si="67"/>
        <v>0</v>
      </c>
      <c r="AH597" s="8">
        <f>IF($O597="Aktif",MAX(0,MIN($AE597,$AD597-SUM($AG597:AG597))),0)</f>
        <v>0</v>
      </c>
      <c r="AI597" s="8">
        <f>IF($O597="Aktif",MAX(0,MIN($AE597,$AD597-SUM($AG597:AH597))),0)</f>
        <v>0</v>
      </c>
      <c r="AJ597" s="8">
        <f>IF($O597="Aktif",MAX(0,MIN($AE597,$AD597-SUM($AG597:AI597))),0)</f>
        <v>0</v>
      </c>
      <c r="AK597" s="8">
        <f>IF($O597="Aktif",MAX(0,MIN($AE597,$AD597-SUM($AG597:AJ597))),0)</f>
        <v>0</v>
      </c>
      <c r="AL597" s="8">
        <f>IF($O597="Aktif",MAX(0,MIN($AE597,$AD597-SUM($AG597:AK597))),0)</f>
        <v>0</v>
      </c>
      <c r="AM597" s="8">
        <f>IF($O597="Aktif",MAX(0,MIN($AE597,$AD597-SUM($AG597:AL597))),0)</f>
        <v>0</v>
      </c>
      <c r="AN597" s="8">
        <f>IF($O597="Aktif",MAX(0,MIN($AE597,$AD597-SUM($AG597:AM597))),0)</f>
        <v>0</v>
      </c>
      <c r="AO597" s="8">
        <f>IF($O597="Aktif",MAX(0,MIN($AE597,$AD597-SUM($AG597:AN597))),0)</f>
        <v>0</v>
      </c>
      <c r="AP597" s="8">
        <f>IF($O597="Aktif",MAX(0,MIN($AE597,$AD597-SUM($AG597:AO597))),0)</f>
        <v>0</v>
      </c>
      <c r="AQ597" s="8">
        <f>IF($O597="Aktif",MAX(0,MIN($AE597,$AD597-SUM($AG597:AP597))),0)</f>
        <v>0</v>
      </c>
      <c r="AR597" s="8">
        <f>IF($O597="Aktif",MAX(0,MIN($AE597,$AD597-SUM($AG597:AQ597))),0)</f>
        <v>0</v>
      </c>
      <c r="AS597" s="8">
        <f>IF($O597="Aktif",MAX(0,MIN($AE597,$AD597-SUM($AG597:AR597))),0)</f>
        <v>0</v>
      </c>
      <c r="AT597" s="8">
        <f>IF($O597="Aktif",MAX(0,MIN($AE597,$AD597-SUM($AG597:AS597))),0)</f>
        <v>0</v>
      </c>
      <c r="AU597" s="8">
        <f>IF($O597="Aktif",MAX(0,MIN($AE597,$AD597-SUM($AG597:AT597))),0)</f>
        <v>0</v>
      </c>
      <c r="AV597" s="8">
        <f>IF($O597="Aktif",MAX(0,MIN($AE597,$AD597-SUM($AG597:AU597))),0)</f>
        <v>0</v>
      </c>
      <c r="AW597" s="8">
        <f t="shared" si="68"/>
        <v>0</v>
      </c>
      <c r="AX597" s="8">
        <f t="shared" si="69"/>
        <v>0</v>
      </c>
    </row>
    <row r="598" spans="1:50" ht="15" customHeight="1" x14ac:dyDescent="0.35">
      <c r="A598" s="102">
        <v>592</v>
      </c>
      <c r="B598" s="102" t="s">
        <v>1326</v>
      </c>
      <c r="C598" s="103">
        <v>226</v>
      </c>
      <c r="D598" s="102" t="s">
        <v>185</v>
      </c>
      <c r="E598" s="102" t="s">
        <v>587</v>
      </c>
      <c r="F598" s="102" t="s">
        <v>1327</v>
      </c>
      <c r="G598" s="102" t="s">
        <v>1328</v>
      </c>
      <c r="H598" s="102" t="s">
        <v>1329</v>
      </c>
      <c r="I598" s="102" t="s">
        <v>63</v>
      </c>
      <c r="J598" s="102" t="s">
        <v>1937</v>
      </c>
      <c r="K598" s="102" t="s">
        <v>591</v>
      </c>
      <c r="L598" s="104">
        <v>42582</v>
      </c>
      <c r="M598" s="102" t="s">
        <v>1938</v>
      </c>
      <c r="N598" s="102" t="s">
        <v>1939</v>
      </c>
      <c r="O598" s="102" t="s">
        <v>383</v>
      </c>
      <c r="P598" s="103">
        <v>1</v>
      </c>
      <c r="Q598" s="105">
        <v>114560000</v>
      </c>
      <c r="R598" s="103">
        <v>48</v>
      </c>
      <c r="S598" s="105">
        <v>2386666.6666666698</v>
      </c>
      <c r="T598" s="105">
        <v>114560000</v>
      </c>
      <c r="U598" s="105">
        <v>0</v>
      </c>
      <c r="V598" s="105">
        <v>0</v>
      </c>
      <c r="W598" s="105">
        <v>0</v>
      </c>
      <c r="X598" s="105">
        <v>0</v>
      </c>
      <c r="Y598" s="105">
        <v>0</v>
      </c>
      <c r="Z598" s="105">
        <v>0</v>
      </c>
      <c r="AA598" s="105">
        <v>0</v>
      </c>
      <c r="AB598" s="105">
        <v>0</v>
      </c>
      <c r="AC598" s="8">
        <f t="shared" si="63"/>
        <v>114560000</v>
      </c>
      <c r="AD598" s="8">
        <f t="shared" si="64"/>
        <v>0</v>
      </c>
      <c r="AE598" s="8">
        <f t="shared" si="65"/>
        <v>0</v>
      </c>
      <c r="AF598" s="106">
        <f t="shared" si="66"/>
        <v>0</v>
      </c>
      <c r="AG598" s="8">
        <f t="shared" si="67"/>
        <v>0</v>
      </c>
      <c r="AH598" s="8">
        <f>IF($O598="Aktif",MAX(0,MIN($AE598,$AD598-SUM($AG598:AG598))),0)</f>
        <v>0</v>
      </c>
      <c r="AI598" s="8">
        <f>IF($O598="Aktif",MAX(0,MIN($AE598,$AD598-SUM($AG598:AH598))),0)</f>
        <v>0</v>
      </c>
      <c r="AJ598" s="8">
        <f>IF($O598="Aktif",MAX(0,MIN($AE598,$AD598-SUM($AG598:AI598))),0)</f>
        <v>0</v>
      </c>
      <c r="AK598" s="8">
        <f>IF($O598="Aktif",MAX(0,MIN($AE598,$AD598-SUM($AG598:AJ598))),0)</f>
        <v>0</v>
      </c>
      <c r="AL598" s="8">
        <f>IF($O598="Aktif",MAX(0,MIN($AE598,$AD598-SUM($AG598:AK598))),0)</f>
        <v>0</v>
      </c>
      <c r="AM598" s="8">
        <f>IF($O598="Aktif",MAX(0,MIN($AE598,$AD598-SUM($AG598:AL598))),0)</f>
        <v>0</v>
      </c>
      <c r="AN598" s="8">
        <f>IF($O598="Aktif",MAX(0,MIN($AE598,$AD598-SUM($AG598:AM598))),0)</f>
        <v>0</v>
      </c>
      <c r="AO598" s="8">
        <f>IF($O598="Aktif",MAX(0,MIN($AE598,$AD598-SUM($AG598:AN598))),0)</f>
        <v>0</v>
      </c>
      <c r="AP598" s="8">
        <f>IF($O598="Aktif",MAX(0,MIN($AE598,$AD598-SUM($AG598:AO598))),0)</f>
        <v>0</v>
      </c>
      <c r="AQ598" s="8">
        <f>IF($O598="Aktif",MAX(0,MIN($AE598,$AD598-SUM($AG598:AP598))),0)</f>
        <v>0</v>
      </c>
      <c r="AR598" s="8">
        <f>IF($O598="Aktif",MAX(0,MIN($AE598,$AD598-SUM($AG598:AQ598))),0)</f>
        <v>0</v>
      </c>
      <c r="AS598" s="8">
        <f>IF($O598="Aktif",MAX(0,MIN($AE598,$AD598-SUM($AG598:AR598))),0)</f>
        <v>0</v>
      </c>
      <c r="AT598" s="8">
        <f>IF($O598="Aktif",MAX(0,MIN($AE598,$AD598-SUM($AG598:AS598))),0)</f>
        <v>0</v>
      </c>
      <c r="AU598" s="8">
        <f>IF($O598="Aktif",MAX(0,MIN($AE598,$AD598-SUM($AG598:AT598))),0)</f>
        <v>0</v>
      </c>
      <c r="AV598" s="8">
        <f>IF($O598="Aktif",MAX(0,MIN($AE598,$AD598-SUM($AG598:AU598))),0)</f>
        <v>0</v>
      </c>
      <c r="AW598" s="8">
        <f t="shared" si="68"/>
        <v>0</v>
      </c>
      <c r="AX598" s="8">
        <f t="shared" si="69"/>
        <v>0</v>
      </c>
    </row>
    <row r="599" spans="1:50" ht="15" customHeight="1" x14ac:dyDescent="0.35">
      <c r="A599" s="102">
        <v>593</v>
      </c>
      <c r="B599" s="102" t="s">
        <v>1326</v>
      </c>
      <c r="C599" s="103">
        <v>227</v>
      </c>
      <c r="D599" s="102" t="s">
        <v>185</v>
      </c>
      <c r="E599" s="102" t="s">
        <v>587</v>
      </c>
      <c r="F599" s="102" t="s">
        <v>1327</v>
      </c>
      <c r="G599" s="102" t="s">
        <v>1328</v>
      </c>
      <c r="H599" s="102" t="s">
        <v>1329</v>
      </c>
      <c r="I599" s="102" t="s">
        <v>63</v>
      </c>
      <c r="J599" s="102" t="s">
        <v>1940</v>
      </c>
      <c r="K599" s="102" t="s">
        <v>591</v>
      </c>
      <c r="L599" s="104">
        <v>42587</v>
      </c>
      <c r="M599" s="102" t="s">
        <v>1941</v>
      </c>
      <c r="N599" s="102" t="s">
        <v>1942</v>
      </c>
      <c r="O599" s="102" t="s">
        <v>383</v>
      </c>
      <c r="P599" s="103">
        <v>1</v>
      </c>
      <c r="Q599" s="105">
        <v>8550000</v>
      </c>
      <c r="R599" s="103">
        <v>48</v>
      </c>
      <c r="S599" s="105">
        <v>178125</v>
      </c>
      <c r="T599" s="105">
        <v>8550000</v>
      </c>
      <c r="U599" s="105">
        <v>0</v>
      </c>
      <c r="V599" s="105">
        <v>0</v>
      </c>
      <c r="W599" s="105">
        <v>0</v>
      </c>
      <c r="X599" s="105">
        <v>0</v>
      </c>
      <c r="Y599" s="105">
        <v>0</v>
      </c>
      <c r="Z599" s="105">
        <v>0</v>
      </c>
      <c r="AA599" s="105">
        <v>0</v>
      </c>
      <c r="AB599" s="105">
        <v>0</v>
      </c>
      <c r="AC599" s="8">
        <f t="shared" si="63"/>
        <v>8550000</v>
      </c>
      <c r="AD599" s="8">
        <f t="shared" si="64"/>
        <v>0</v>
      </c>
      <c r="AE599" s="8">
        <f t="shared" si="65"/>
        <v>0</v>
      </c>
      <c r="AF599" s="106">
        <f t="shared" si="66"/>
        <v>0</v>
      </c>
      <c r="AG599" s="8">
        <f t="shared" si="67"/>
        <v>0</v>
      </c>
      <c r="AH599" s="8">
        <f>IF($O599="Aktif",MAX(0,MIN($AE599,$AD599-SUM($AG599:AG599))),0)</f>
        <v>0</v>
      </c>
      <c r="AI599" s="8">
        <f>IF($O599="Aktif",MAX(0,MIN($AE599,$AD599-SUM($AG599:AH599))),0)</f>
        <v>0</v>
      </c>
      <c r="AJ599" s="8">
        <f>IF($O599="Aktif",MAX(0,MIN($AE599,$AD599-SUM($AG599:AI599))),0)</f>
        <v>0</v>
      </c>
      <c r="AK599" s="8">
        <f>IF($O599="Aktif",MAX(0,MIN($AE599,$AD599-SUM($AG599:AJ599))),0)</f>
        <v>0</v>
      </c>
      <c r="AL599" s="8">
        <f>IF($O599="Aktif",MAX(0,MIN($AE599,$AD599-SUM($AG599:AK599))),0)</f>
        <v>0</v>
      </c>
      <c r="AM599" s="8">
        <f>IF($O599="Aktif",MAX(0,MIN($AE599,$AD599-SUM($AG599:AL599))),0)</f>
        <v>0</v>
      </c>
      <c r="AN599" s="8">
        <f>IF($O599="Aktif",MAX(0,MIN($AE599,$AD599-SUM($AG599:AM599))),0)</f>
        <v>0</v>
      </c>
      <c r="AO599" s="8">
        <f>IF($O599="Aktif",MAX(0,MIN($AE599,$AD599-SUM($AG599:AN599))),0)</f>
        <v>0</v>
      </c>
      <c r="AP599" s="8">
        <f>IF($O599="Aktif",MAX(0,MIN($AE599,$AD599-SUM($AG599:AO599))),0)</f>
        <v>0</v>
      </c>
      <c r="AQ599" s="8">
        <f>IF($O599="Aktif",MAX(0,MIN($AE599,$AD599-SUM($AG599:AP599))),0)</f>
        <v>0</v>
      </c>
      <c r="AR599" s="8">
        <f>IF($O599="Aktif",MAX(0,MIN($AE599,$AD599-SUM($AG599:AQ599))),0)</f>
        <v>0</v>
      </c>
      <c r="AS599" s="8">
        <f>IF($O599="Aktif",MAX(0,MIN($AE599,$AD599-SUM($AG599:AR599))),0)</f>
        <v>0</v>
      </c>
      <c r="AT599" s="8">
        <f>IF($O599="Aktif",MAX(0,MIN($AE599,$AD599-SUM($AG599:AS599))),0)</f>
        <v>0</v>
      </c>
      <c r="AU599" s="8">
        <f>IF($O599="Aktif",MAX(0,MIN($AE599,$AD599-SUM($AG599:AT599))),0)</f>
        <v>0</v>
      </c>
      <c r="AV599" s="8">
        <f>IF($O599="Aktif",MAX(0,MIN($AE599,$AD599-SUM($AG599:AU599))),0)</f>
        <v>0</v>
      </c>
      <c r="AW599" s="8">
        <f t="shared" si="68"/>
        <v>0</v>
      </c>
      <c r="AX599" s="8">
        <f t="shared" si="69"/>
        <v>0</v>
      </c>
    </row>
    <row r="600" spans="1:50" ht="15" customHeight="1" x14ac:dyDescent="0.35">
      <c r="A600" s="102">
        <v>594</v>
      </c>
      <c r="B600" s="102" t="s">
        <v>1326</v>
      </c>
      <c r="C600" s="103">
        <v>228</v>
      </c>
      <c r="D600" s="102" t="s">
        <v>185</v>
      </c>
      <c r="E600" s="102" t="s">
        <v>587</v>
      </c>
      <c r="F600" s="102" t="s">
        <v>1327</v>
      </c>
      <c r="G600" s="102" t="s">
        <v>1328</v>
      </c>
      <c r="H600" s="102" t="s">
        <v>1329</v>
      </c>
      <c r="I600" s="102" t="s">
        <v>63</v>
      </c>
      <c r="J600" s="102" t="s">
        <v>1943</v>
      </c>
      <c r="K600" s="102" t="s">
        <v>591</v>
      </c>
      <c r="L600" s="104">
        <v>42608</v>
      </c>
      <c r="M600" s="102" t="s">
        <v>1944</v>
      </c>
      <c r="N600" s="102" t="s">
        <v>1945</v>
      </c>
      <c r="O600" s="102" t="s">
        <v>383</v>
      </c>
      <c r="P600" s="103">
        <v>1</v>
      </c>
      <c r="Q600" s="105">
        <v>33000000</v>
      </c>
      <c r="R600" s="103">
        <v>48</v>
      </c>
      <c r="S600" s="105">
        <v>687500</v>
      </c>
      <c r="T600" s="105">
        <v>33000000</v>
      </c>
      <c r="U600" s="105">
        <v>0</v>
      </c>
      <c r="V600" s="105">
        <v>0</v>
      </c>
      <c r="W600" s="105">
        <v>0</v>
      </c>
      <c r="X600" s="105">
        <v>0</v>
      </c>
      <c r="Y600" s="105">
        <v>0</v>
      </c>
      <c r="Z600" s="105">
        <v>0</v>
      </c>
      <c r="AA600" s="105">
        <v>0</v>
      </c>
      <c r="AB600" s="105">
        <v>0</v>
      </c>
      <c r="AC600" s="8">
        <f t="shared" si="63"/>
        <v>33000000</v>
      </c>
      <c r="AD600" s="8">
        <f t="shared" si="64"/>
        <v>0</v>
      </c>
      <c r="AE600" s="8">
        <f t="shared" si="65"/>
        <v>0</v>
      </c>
      <c r="AF600" s="106">
        <f t="shared" si="66"/>
        <v>0</v>
      </c>
      <c r="AG600" s="8">
        <f t="shared" si="67"/>
        <v>0</v>
      </c>
      <c r="AH600" s="8">
        <f>IF($O600="Aktif",MAX(0,MIN($AE600,$AD600-SUM($AG600:AG600))),0)</f>
        <v>0</v>
      </c>
      <c r="AI600" s="8">
        <f>IF($O600="Aktif",MAX(0,MIN($AE600,$AD600-SUM($AG600:AH600))),0)</f>
        <v>0</v>
      </c>
      <c r="AJ600" s="8">
        <f>IF($O600="Aktif",MAX(0,MIN($AE600,$AD600-SUM($AG600:AI600))),0)</f>
        <v>0</v>
      </c>
      <c r="AK600" s="8">
        <f>IF($O600="Aktif",MAX(0,MIN($AE600,$AD600-SUM($AG600:AJ600))),0)</f>
        <v>0</v>
      </c>
      <c r="AL600" s="8">
        <f>IF($O600="Aktif",MAX(0,MIN($AE600,$AD600-SUM($AG600:AK600))),0)</f>
        <v>0</v>
      </c>
      <c r="AM600" s="8">
        <f>IF($O600="Aktif",MAX(0,MIN($AE600,$AD600-SUM($AG600:AL600))),0)</f>
        <v>0</v>
      </c>
      <c r="AN600" s="8">
        <f>IF($O600="Aktif",MAX(0,MIN($AE600,$AD600-SUM($AG600:AM600))),0)</f>
        <v>0</v>
      </c>
      <c r="AO600" s="8">
        <f>IF($O600="Aktif",MAX(0,MIN($AE600,$AD600-SUM($AG600:AN600))),0)</f>
        <v>0</v>
      </c>
      <c r="AP600" s="8">
        <f>IF($O600="Aktif",MAX(0,MIN($AE600,$AD600-SUM($AG600:AO600))),0)</f>
        <v>0</v>
      </c>
      <c r="AQ600" s="8">
        <f>IF($O600="Aktif",MAX(0,MIN($AE600,$AD600-SUM($AG600:AP600))),0)</f>
        <v>0</v>
      </c>
      <c r="AR600" s="8">
        <f>IF($O600="Aktif",MAX(0,MIN($AE600,$AD600-SUM($AG600:AQ600))),0)</f>
        <v>0</v>
      </c>
      <c r="AS600" s="8">
        <f>IF($O600="Aktif",MAX(0,MIN($AE600,$AD600-SUM($AG600:AR600))),0)</f>
        <v>0</v>
      </c>
      <c r="AT600" s="8">
        <f>IF($O600="Aktif",MAX(0,MIN($AE600,$AD600-SUM($AG600:AS600))),0)</f>
        <v>0</v>
      </c>
      <c r="AU600" s="8">
        <f>IF($O600="Aktif",MAX(0,MIN($AE600,$AD600-SUM($AG600:AT600))),0)</f>
        <v>0</v>
      </c>
      <c r="AV600" s="8">
        <f>IF($O600="Aktif",MAX(0,MIN($AE600,$AD600-SUM($AG600:AU600))),0)</f>
        <v>0</v>
      </c>
      <c r="AW600" s="8">
        <f t="shared" si="68"/>
        <v>0</v>
      </c>
      <c r="AX600" s="8">
        <f t="shared" si="69"/>
        <v>0</v>
      </c>
    </row>
    <row r="601" spans="1:50" ht="15" customHeight="1" x14ac:dyDescent="0.35">
      <c r="A601" s="102">
        <v>595</v>
      </c>
      <c r="B601" s="102" t="s">
        <v>1326</v>
      </c>
      <c r="C601" s="103">
        <v>229</v>
      </c>
      <c r="D601" s="102" t="s">
        <v>185</v>
      </c>
      <c r="E601" s="102" t="s">
        <v>587</v>
      </c>
      <c r="F601" s="102" t="s">
        <v>1327</v>
      </c>
      <c r="G601" s="102" t="s">
        <v>1328</v>
      </c>
      <c r="H601" s="102" t="s">
        <v>1329</v>
      </c>
      <c r="I601" s="102" t="s">
        <v>63</v>
      </c>
      <c r="J601" s="102" t="s">
        <v>1946</v>
      </c>
      <c r="K601" s="102" t="s">
        <v>591</v>
      </c>
      <c r="L601" s="104">
        <v>42612</v>
      </c>
      <c r="M601" s="102" t="s">
        <v>1947</v>
      </c>
      <c r="N601" s="102" t="s">
        <v>1948</v>
      </c>
      <c r="O601" s="102" t="s">
        <v>383</v>
      </c>
      <c r="P601" s="103">
        <v>1</v>
      </c>
      <c r="Q601" s="105">
        <v>6523000</v>
      </c>
      <c r="R601" s="103">
        <v>48</v>
      </c>
      <c r="S601" s="105">
        <v>135895.83333333299</v>
      </c>
      <c r="T601" s="105">
        <v>6523000</v>
      </c>
      <c r="U601" s="105">
        <v>0</v>
      </c>
      <c r="V601" s="105">
        <v>0</v>
      </c>
      <c r="W601" s="105">
        <v>0</v>
      </c>
      <c r="X601" s="105">
        <v>0</v>
      </c>
      <c r="Y601" s="105">
        <v>0</v>
      </c>
      <c r="Z601" s="105">
        <v>0</v>
      </c>
      <c r="AA601" s="105">
        <v>0</v>
      </c>
      <c r="AB601" s="105">
        <v>0</v>
      </c>
      <c r="AC601" s="8">
        <f t="shared" si="63"/>
        <v>6523000</v>
      </c>
      <c r="AD601" s="8">
        <f t="shared" si="64"/>
        <v>0</v>
      </c>
      <c r="AE601" s="8">
        <f t="shared" si="65"/>
        <v>0</v>
      </c>
      <c r="AF601" s="106">
        <f t="shared" si="66"/>
        <v>0</v>
      </c>
      <c r="AG601" s="8">
        <f t="shared" si="67"/>
        <v>0</v>
      </c>
      <c r="AH601" s="8">
        <f>IF($O601="Aktif",MAX(0,MIN($AE601,$AD601-SUM($AG601:AG601))),0)</f>
        <v>0</v>
      </c>
      <c r="AI601" s="8">
        <f>IF($O601="Aktif",MAX(0,MIN($AE601,$AD601-SUM($AG601:AH601))),0)</f>
        <v>0</v>
      </c>
      <c r="AJ601" s="8">
        <f>IF($O601="Aktif",MAX(0,MIN($AE601,$AD601-SUM($AG601:AI601))),0)</f>
        <v>0</v>
      </c>
      <c r="AK601" s="8">
        <f>IF($O601="Aktif",MAX(0,MIN($AE601,$AD601-SUM($AG601:AJ601))),0)</f>
        <v>0</v>
      </c>
      <c r="AL601" s="8">
        <f>IF($O601="Aktif",MAX(0,MIN($AE601,$AD601-SUM($AG601:AK601))),0)</f>
        <v>0</v>
      </c>
      <c r="AM601" s="8">
        <f>IF($O601="Aktif",MAX(0,MIN($AE601,$AD601-SUM($AG601:AL601))),0)</f>
        <v>0</v>
      </c>
      <c r="AN601" s="8">
        <f>IF($O601="Aktif",MAX(0,MIN($AE601,$AD601-SUM($AG601:AM601))),0)</f>
        <v>0</v>
      </c>
      <c r="AO601" s="8">
        <f>IF($O601="Aktif",MAX(0,MIN($AE601,$AD601-SUM($AG601:AN601))),0)</f>
        <v>0</v>
      </c>
      <c r="AP601" s="8">
        <f>IF($O601="Aktif",MAX(0,MIN($AE601,$AD601-SUM($AG601:AO601))),0)</f>
        <v>0</v>
      </c>
      <c r="AQ601" s="8">
        <f>IF($O601="Aktif",MAX(0,MIN($AE601,$AD601-SUM($AG601:AP601))),0)</f>
        <v>0</v>
      </c>
      <c r="AR601" s="8">
        <f>IF($O601="Aktif",MAX(0,MIN($AE601,$AD601-SUM($AG601:AQ601))),0)</f>
        <v>0</v>
      </c>
      <c r="AS601" s="8">
        <f>IF($O601="Aktif",MAX(0,MIN($AE601,$AD601-SUM($AG601:AR601))),0)</f>
        <v>0</v>
      </c>
      <c r="AT601" s="8">
        <f>IF($O601="Aktif",MAX(0,MIN($AE601,$AD601-SUM($AG601:AS601))),0)</f>
        <v>0</v>
      </c>
      <c r="AU601" s="8">
        <f>IF($O601="Aktif",MAX(0,MIN($AE601,$AD601-SUM($AG601:AT601))),0)</f>
        <v>0</v>
      </c>
      <c r="AV601" s="8">
        <f>IF($O601="Aktif",MAX(0,MIN($AE601,$AD601-SUM($AG601:AU601))),0)</f>
        <v>0</v>
      </c>
      <c r="AW601" s="8">
        <f t="shared" si="68"/>
        <v>0</v>
      </c>
      <c r="AX601" s="8">
        <f t="shared" si="69"/>
        <v>0</v>
      </c>
    </row>
    <row r="602" spans="1:50" ht="15" customHeight="1" x14ac:dyDescent="0.35">
      <c r="A602" s="102">
        <v>596</v>
      </c>
      <c r="B602" s="102" t="s">
        <v>1326</v>
      </c>
      <c r="C602" s="103">
        <v>230</v>
      </c>
      <c r="D602" s="102" t="s">
        <v>185</v>
      </c>
      <c r="E602" s="102" t="s">
        <v>587</v>
      </c>
      <c r="F602" s="102" t="s">
        <v>1327</v>
      </c>
      <c r="G602" s="102" t="s">
        <v>1328</v>
      </c>
      <c r="H602" s="102" t="s">
        <v>1329</v>
      </c>
      <c r="I602" s="102" t="s">
        <v>63</v>
      </c>
      <c r="J602" s="102" t="s">
        <v>1949</v>
      </c>
      <c r="K602" s="102" t="s">
        <v>591</v>
      </c>
      <c r="L602" s="104">
        <v>42613</v>
      </c>
      <c r="M602" s="102" t="s">
        <v>1950</v>
      </c>
      <c r="N602" s="102" t="s">
        <v>1951</v>
      </c>
      <c r="O602" s="102" t="s">
        <v>383</v>
      </c>
      <c r="P602" s="103">
        <v>1</v>
      </c>
      <c r="Q602" s="105">
        <v>38000000</v>
      </c>
      <c r="R602" s="103">
        <v>48</v>
      </c>
      <c r="S602" s="105">
        <v>791666.66666666698</v>
      </c>
      <c r="T602" s="105">
        <v>38000000</v>
      </c>
      <c r="U602" s="105">
        <v>0</v>
      </c>
      <c r="V602" s="105">
        <v>0</v>
      </c>
      <c r="W602" s="105">
        <v>0</v>
      </c>
      <c r="X602" s="105">
        <v>0</v>
      </c>
      <c r="Y602" s="105">
        <v>0</v>
      </c>
      <c r="Z602" s="105">
        <v>0</v>
      </c>
      <c r="AA602" s="105">
        <v>0</v>
      </c>
      <c r="AB602" s="105">
        <v>0</v>
      </c>
      <c r="AC602" s="8">
        <f t="shared" si="63"/>
        <v>38000000</v>
      </c>
      <c r="AD602" s="8">
        <f t="shared" si="64"/>
        <v>0</v>
      </c>
      <c r="AE602" s="8">
        <f t="shared" si="65"/>
        <v>0</v>
      </c>
      <c r="AF602" s="106">
        <f t="shared" si="66"/>
        <v>0</v>
      </c>
      <c r="AG602" s="8">
        <f t="shared" si="67"/>
        <v>0</v>
      </c>
      <c r="AH602" s="8">
        <f>IF($O602="Aktif",MAX(0,MIN($AE602,$AD602-SUM($AG602:AG602))),0)</f>
        <v>0</v>
      </c>
      <c r="AI602" s="8">
        <f>IF($O602="Aktif",MAX(0,MIN($AE602,$AD602-SUM($AG602:AH602))),0)</f>
        <v>0</v>
      </c>
      <c r="AJ602" s="8">
        <f>IF($O602="Aktif",MAX(0,MIN($AE602,$AD602-SUM($AG602:AI602))),0)</f>
        <v>0</v>
      </c>
      <c r="AK602" s="8">
        <f>IF($O602="Aktif",MAX(0,MIN($AE602,$AD602-SUM($AG602:AJ602))),0)</f>
        <v>0</v>
      </c>
      <c r="AL602" s="8">
        <f>IF($O602="Aktif",MAX(0,MIN($AE602,$AD602-SUM($AG602:AK602))),0)</f>
        <v>0</v>
      </c>
      <c r="AM602" s="8">
        <f>IF($O602="Aktif",MAX(0,MIN($AE602,$AD602-SUM($AG602:AL602))),0)</f>
        <v>0</v>
      </c>
      <c r="AN602" s="8">
        <f>IF($O602="Aktif",MAX(0,MIN($AE602,$AD602-SUM($AG602:AM602))),0)</f>
        <v>0</v>
      </c>
      <c r="AO602" s="8">
        <f>IF($O602="Aktif",MAX(0,MIN($AE602,$AD602-SUM($AG602:AN602))),0)</f>
        <v>0</v>
      </c>
      <c r="AP602" s="8">
        <f>IF($O602="Aktif",MAX(0,MIN($AE602,$AD602-SUM($AG602:AO602))),0)</f>
        <v>0</v>
      </c>
      <c r="AQ602" s="8">
        <f>IF($O602="Aktif",MAX(0,MIN($AE602,$AD602-SUM($AG602:AP602))),0)</f>
        <v>0</v>
      </c>
      <c r="AR602" s="8">
        <f>IF($O602="Aktif",MAX(0,MIN($AE602,$AD602-SUM($AG602:AQ602))),0)</f>
        <v>0</v>
      </c>
      <c r="AS602" s="8">
        <f>IF($O602="Aktif",MAX(0,MIN($AE602,$AD602-SUM($AG602:AR602))),0)</f>
        <v>0</v>
      </c>
      <c r="AT602" s="8">
        <f>IF($O602="Aktif",MAX(0,MIN($AE602,$AD602-SUM($AG602:AS602))),0)</f>
        <v>0</v>
      </c>
      <c r="AU602" s="8">
        <f>IF($O602="Aktif",MAX(0,MIN($AE602,$AD602-SUM($AG602:AT602))),0)</f>
        <v>0</v>
      </c>
      <c r="AV602" s="8">
        <f>IF($O602="Aktif",MAX(0,MIN($AE602,$AD602-SUM($AG602:AU602))),0)</f>
        <v>0</v>
      </c>
      <c r="AW602" s="8">
        <f t="shared" si="68"/>
        <v>0</v>
      </c>
      <c r="AX602" s="8">
        <f t="shared" si="69"/>
        <v>0</v>
      </c>
    </row>
    <row r="603" spans="1:50" ht="15" customHeight="1" x14ac:dyDescent="0.35">
      <c r="A603" s="102">
        <v>597</v>
      </c>
      <c r="B603" s="102" t="s">
        <v>1326</v>
      </c>
      <c r="C603" s="103">
        <v>231</v>
      </c>
      <c r="D603" s="102" t="s">
        <v>185</v>
      </c>
      <c r="E603" s="102" t="s">
        <v>587</v>
      </c>
      <c r="F603" s="102" t="s">
        <v>1327</v>
      </c>
      <c r="G603" s="102" t="s">
        <v>1328</v>
      </c>
      <c r="H603" s="102" t="s">
        <v>1329</v>
      </c>
      <c r="I603" s="102" t="s">
        <v>63</v>
      </c>
      <c r="J603" s="102" t="s">
        <v>1952</v>
      </c>
      <c r="K603" s="102" t="s">
        <v>591</v>
      </c>
      <c r="L603" s="104">
        <v>42613</v>
      </c>
      <c r="M603" s="102" t="s">
        <v>1953</v>
      </c>
      <c r="N603" s="102" t="s">
        <v>1954</v>
      </c>
      <c r="O603" s="102" t="s">
        <v>383</v>
      </c>
      <c r="P603" s="103">
        <v>1</v>
      </c>
      <c r="Q603" s="105">
        <v>73000000</v>
      </c>
      <c r="R603" s="103">
        <v>48</v>
      </c>
      <c r="S603" s="105">
        <v>1520833.33333333</v>
      </c>
      <c r="T603" s="105">
        <v>73000000</v>
      </c>
      <c r="U603" s="105">
        <v>0</v>
      </c>
      <c r="V603" s="105">
        <v>0</v>
      </c>
      <c r="W603" s="105">
        <v>0</v>
      </c>
      <c r="X603" s="105">
        <v>0</v>
      </c>
      <c r="Y603" s="105">
        <v>0</v>
      </c>
      <c r="Z603" s="105">
        <v>0</v>
      </c>
      <c r="AA603" s="105">
        <v>0</v>
      </c>
      <c r="AB603" s="105">
        <v>0</v>
      </c>
      <c r="AC603" s="8">
        <f t="shared" si="63"/>
        <v>73000000</v>
      </c>
      <c r="AD603" s="8">
        <f t="shared" si="64"/>
        <v>0</v>
      </c>
      <c r="AE603" s="8">
        <f t="shared" si="65"/>
        <v>0</v>
      </c>
      <c r="AF603" s="106">
        <f t="shared" si="66"/>
        <v>0</v>
      </c>
      <c r="AG603" s="8">
        <f t="shared" si="67"/>
        <v>0</v>
      </c>
      <c r="AH603" s="8">
        <f>IF($O603="Aktif",MAX(0,MIN($AE603,$AD603-SUM($AG603:AG603))),0)</f>
        <v>0</v>
      </c>
      <c r="AI603" s="8">
        <f>IF($O603="Aktif",MAX(0,MIN($AE603,$AD603-SUM($AG603:AH603))),0)</f>
        <v>0</v>
      </c>
      <c r="AJ603" s="8">
        <f>IF($O603="Aktif",MAX(0,MIN($AE603,$AD603-SUM($AG603:AI603))),0)</f>
        <v>0</v>
      </c>
      <c r="AK603" s="8">
        <f>IF($O603="Aktif",MAX(0,MIN($AE603,$AD603-SUM($AG603:AJ603))),0)</f>
        <v>0</v>
      </c>
      <c r="AL603" s="8">
        <f>IF($O603="Aktif",MAX(0,MIN($AE603,$AD603-SUM($AG603:AK603))),0)</f>
        <v>0</v>
      </c>
      <c r="AM603" s="8">
        <f>IF($O603="Aktif",MAX(0,MIN($AE603,$AD603-SUM($AG603:AL603))),0)</f>
        <v>0</v>
      </c>
      <c r="AN603" s="8">
        <f>IF($O603="Aktif",MAX(0,MIN($AE603,$AD603-SUM($AG603:AM603))),0)</f>
        <v>0</v>
      </c>
      <c r="AO603" s="8">
        <f>IF($O603="Aktif",MAX(0,MIN($AE603,$AD603-SUM($AG603:AN603))),0)</f>
        <v>0</v>
      </c>
      <c r="AP603" s="8">
        <f>IF($O603="Aktif",MAX(0,MIN($AE603,$AD603-SUM($AG603:AO603))),0)</f>
        <v>0</v>
      </c>
      <c r="AQ603" s="8">
        <f>IF($O603="Aktif",MAX(0,MIN($AE603,$AD603-SUM($AG603:AP603))),0)</f>
        <v>0</v>
      </c>
      <c r="AR603" s="8">
        <f>IF($O603="Aktif",MAX(0,MIN($AE603,$AD603-SUM($AG603:AQ603))),0)</f>
        <v>0</v>
      </c>
      <c r="AS603" s="8">
        <f>IF($O603="Aktif",MAX(0,MIN($AE603,$AD603-SUM($AG603:AR603))),0)</f>
        <v>0</v>
      </c>
      <c r="AT603" s="8">
        <f>IF($O603="Aktif",MAX(0,MIN($AE603,$AD603-SUM($AG603:AS603))),0)</f>
        <v>0</v>
      </c>
      <c r="AU603" s="8">
        <f>IF($O603="Aktif",MAX(0,MIN($AE603,$AD603-SUM($AG603:AT603))),0)</f>
        <v>0</v>
      </c>
      <c r="AV603" s="8">
        <f>IF($O603="Aktif",MAX(0,MIN($AE603,$AD603-SUM($AG603:AU603))),0)</f>
        <v>0</v>
      </c>
      <c r="AW603" s="8">
        <f t="shared" si="68"/>
        <v>0</v>
      </c>
      <c r="AX603" s="8">
        <f t="shared" si="69"/>
        <v>0</v>
      </c>
    </row>
    <row r="604" spans="1:50" ht="15" customHeight="1" x14ac:dyDescent="0.35">
      <c r="A604" s="102">
        <v>598</v>
      </c>
      <c r="B604" s="102" t="s">
        <v>1326</v>
      </c>
      <c r="C604" s="103">
        <v>232</v>
      </c>
      <c r="D604" s="102" t="s">
        <v>185</v>
      </c>
      <c r="E604" s="102" t="s">
        <v>587</v>
      </c>
      <c r="F604" s="102" t="s">
        <v>1327</v>
      </c>
      <c r="G604" s="102" t="s">
        <v>1328</v>
      </c>
      <c r="H604" s="102" t="s">
        <v>1329</v>
      </c>
      <c r="I604" s="102" t="s">
        <v>63</v>
      </c>
      <c r="J604" s="102"/>
      <c r="K604" s="102" t="s">
        <v>591</v>
      </c>
      <c r="L604" s="104">
        <v>44179</v>
      </c>
      <c r="M604" s="102" t="s">
        <v>1953</v>
      </c>
      <c r="N604" s="102" t="s">
        <v>1955</v>
      </c>
      <c r="O604" s="102" t="s">
        <v>487</v>
      </c>
      <c r="P604" s="103">
        <v>1</v>
      </c>
      <c r="Q604" s="105">
        <v>-73000000</v>
      </c>
      <c r="R604" s="102"/>
      <c r="S604" s="105">
        <v>0</v>
      </c>
      <c r="T604" s="105">
        <v>-73000000</v>
      </c>
      <c r="U604" s="105">
        <v>0</v>
      </c>
      <c r="V604" s="105">
        <v>0</v>
      </c>
      <c r="W604" s="105">
        <v>0</v>
      </c>
      <c r="X604" s="105">
        <v>0</v>
      </c>
      <c r="Y604" s="105">
        <v>0</v>
      </c>
      <c r="Z604" s="105">
        <v>0</v>
      </c>
      <c r="AA604" s="105">
        <v>0</v>
      </c>
      <c r="AB604" s="105">
        <v>0</v>
      </c>
      <c r="AC604" s="8">
        <f t="shared" si="63"/>
        <v>-73000000</v>
      </c>
      <c r="AD604" s="8">
        <f t="shared" si="64"/>
        <v>0</v>
      </c>
      <c r="AE604" s="8">
        <f t="shared" si="65"/>
        <v>0</v>
      </c>
      <c r="AF604" s="106">
        <f t="shared" si="66"/>
        <v>0</v>
      </c>
      <c r="AG604" s="8">
        <f t="shared" si="67"/>
        <v>0</v>
      </c>
      <c r="AH604" s="8">
        <f>IF($O604="Aktif",MAX(0,MIN($AE604,$AD604-SUM($AG604:AG604))),0)</f>
        <v>0</v>
      </c>
      <c r="AI604" s="8">
        <f>IF($O604="Aktif",MAX(0,MIN($AE604,$AD604-SUM($AG604:AH604))),0)</f>
        <v>0</v>
      </c>
      <c r="AJ604" s="8">
        <f>IF($O604="Aktif",MAX(0,MIN($AE604,$AD604-SUM($AG604:AI604))),0)</f>
        <v>0</v>
      </c>
      <c r="AK604" s="8">
        <f>IF($O604="Aktif",MAX(0,MIN($AE604,$AD604-SUM($AG604:AJ604))),0)</f>
        <v>0</v>
      </c>
      <c r="AL604" s="8">
        <f>IF($O604="Aktif",MAX(0,MIN($AE604,$AD604-SUM($AG604:AK604))),0)</f>
        <v>0</v>
      </c>
      <c r="AM604" s="8">
        <f>IF($O604="Aktif",MAX(0,MIN($AE604,$AD604-SUM($AG604:AL604))),0)</f>
        <v>0</v>
      </c>
      <c r="AN604" s="8">
        <f>IF($O604="Aktif",MAX(0,MIN($AE604,$AD604-SUM($AG604:AM604))),0)</f>
        <v>0</v>
      </c>
      <c r="AO604" s="8">
        <f>IF($O604="Aktif",MAX(0,MIN($AE604,$AD604-SUM($AG604:AN604))),0)</f>
        <v>0</v>
      </c>
      <c r="AP604" s="8">
        <f>IF($O604="Aktif",MAX(0,MIN($AE604,$AD604-SUM($AG604:AO604))),0)</f>
        <v>0</v>
      </c>
      <c r="AQ604" s="8">
        <f>IF($O604="Aktif",MAX(0,MIN($AE604,$AD604-SUM($AG604:AP604))),0)</f>
        <v>0</v>
      </c>
      <c r="AR604" s="8">
        <f>IF($O604="Aktif",MAX(0,MIN($AE604,$AD604-SUM($AG604:AQ604))),0)</f>
        <v>0</v>
      </c>
      <c r="AS604" s="8">
        <f>IF($O604="Aktif",MAX(0,MIN($AE604,$AD604-SUM($AG604:AR604))),0)</f>
        <v>0</v>
      </c>
      <c r="AT604" s="8">
        <f>IF($O604="Aktif",MAX(0,MIN($AE604,$AD604-SUM($AG604:AS604))),0)</f>
        <v>0</v>
      </c>
      <c r="AU604" s="8">
        <f>IF($O604="Aktif",MAX(0,MIN($AE604,$AD604-SUM($AG604:AT604))),0)</f>
        <v>0</v>
      </c>
      <c r="AV604" s="8">
        <f>IF($O604="Aktif",MAX(0,MIN($AE604,$AD604-SUM($AG604:AU604))),0)</f>
        <v>0</v>
      </c>
      <c r="AW604" s="8">
        <f t="shared" si="68"/>
        <v>0</v>
      </c>
      <c r="AX604" s="8">
        <f t="shared" si="69"/>
        <v>0</v>
      </c>
    </row>
    <row r="605" spans="1:50" ht="15" customHeight="1" x14ac:dyDescent="0.35">
      <c r="A605" s="102">
        <v>599</v>
      </c>
      <c r="B605" s="102" t="s">
        <v>1326</v>
      </c>
      <c r="C605" s="103">
        <v>233</v>
      </c>
      <c r="D605" s="102" t="s">
        <v>185</v>
      </c>
      <c r="E605" s="102" t="s">
        <v>587</v>
      </c>
      <c r="F605" s="102" t="s">
        <v>1327</v>
      </c>
      <c r="G605" s="102" t="s">
        <v>1328</v>
      </c>
      <c r="H605" s="102" t="s">
        <v>1329</v>
      </c>
      <c r="I605" s="102" t="s">
        <v>63</v>
      </c>
      <c r="J605" s="102" t="s">
        <v>1956</v>
      </c>
      <c r="K605" s="102" t="s">
        <v>591</v>
      </c>
      <c r="L605" s="104">
        <v>42619</v>
      </c>
      <c r="M605" s="102" t="s">
        <v>1957</v>
      </c>
      <c r="N605" s="102" t="s">
        <v>1958</v>
      </c>
      <c r="O605" s="102" t="s">
        <v>383</v>
      </c>
      <c r="P605" s="103">
        <v>1</v>
      </c>
      <c r="Q605" s="105">
        <v>19400000</v>
      </c>
      <c r="R605" s="103">
        <v>48</v>
      </c>
      <c r="S605" s="105">
        <v>404166.66666666698</v>
      </c>
      <c r="T605" s="105">
        <v>19400000</v>
      </c>
      <c r="U605" s="105">
        <v>0</v>
      </c>
      <c r="V605" s="105">
        <v>0</v>
      </c>
      <c r="W605" s="105">
        <v>0</v>
      </c>
      <c r="X605" s="105">
        <v>0</v>
      </c>
      <c r="Y605" s="105">
        <v>0</v>
      </c>
      <c r="Z605" s="105">
        <v>0</v>
      </c>
      <c r="AA605" s="105">
        <v>0</v>
      </c>
      <c r="AB605" s="105">
        <v>0</v>
      </c>
      <c r="AC605" s="8">
        <f t="shared" si="63"/>
        <v>19400000</v>
      </c>
      <c r="AD605" s="8">
        <f t="shared" si="64"/>
        <v>0</v>
      </c>
      <c r="AE605" s="8">
        <f t="shared" si="65"/>
        <v>0</v>
      </c>
      <c r="AF605" s="106">
        <f t="shared" si="66"/>
        <v>0</v>
      </c>
      <c r="AG605" s="8">
        <f t="shared" si="67"/>
        <v>0</v>
      </c>
      <c r="AH605" s="8">
        <f>IF($O605="Aktif",MAX(0,MIN($AE605,$AD605-SUM($AG605:AG605))),0)</f>
        <v>0</v>
      </c>
      <c r="AI605" s="8">
        <f>IF($O605="Aktif",MAX(0,MIN($AE605,$AD605-SUM($AG605:AH605))),0)</f>
        <v>0</v>
      </c>
      <c r="AJ605" s="8">
        <f>IF($O605="Aktif",MAX(0,MIN($AE605,$AD605-SUM($AG605:AI605))),0)</f>
        <v>0</v>
      </c>
      <c r="AK605" s="8">
        <f>IF($O605="Aktif",MAX(0,MIN($AE605,$AD605-SUM($AG605:AJ605))),0)</f>
        <v>0</v>
      </c>
      <c r="AL605" s="8">
        <f>IF($O605="Aktif",MAX(0,MIN($AE605,$AD605-SUM($AG605:AK605))),0)</f>
        <v>0</v>
      </c>
      <c r="AM605" s="8">
        <f>IF($O605="Aktif",MAX(0,MIN($AE605,$AD605-SUM($AG605:AL605))),0)</f>
        <v>0</v>
      </c>
      <c r="AN605" s="8">
        <f>IF($O605="Aktif",MAX(0,MIN($AE605,$AD605-SUM($AG605:AM605))),0)</f>
        <v>0</v>
      </c>
      <c r="AO605" s="8">
        <f>IF($O605="Aktif",MAX(0,MIN($AE605,$AD605-SUM($AG605:AN605))),0)</f>
        <v>0</v>
      </c>
      <c r="AP605" s="8">
        <f>IF($O605="Aktif",MAX(0,MIN($AE605,$AD605-SUM($AG605:AO605))),0)</f>
        <v>0</v>
      </c>
      <c r="AQ605" s="8">
        <f>IF($O605="Aktif",MAX(0,MIN($AE605,$AD605-SUM($AG605:AP605))),0)</f>
        <v>0</v>
      </c>
      <c r="AR605" s="8">
        <f>IF($O605="Aktif",MAX(0,MIN($AE605,$AD605-SUM($AG605:AQ605))),0)</f>
        <v>0</v>
      </c>
      <c r="AS605" s="8">
        <f>IF($O605="Aktif",MAX(0,MIN($AE605,$AD605-SUM($AG605:AR605))),0)</f>
        <v>0</v>
      </c>
      <c r="AT605" s="8">
        <f>IF($O605="Aktif",MAX(0,MIN($AE605,$AD605-SUM($AG605:AS605))),0)</f>
        <v>0</v>
      </c>
      <c r="AU605" s="8">
        <f>IF($O605="Aktif",MAX(0,MIN($AE605,$AD605-SUM($AG605:AT605))),0)</f>
        <v>0</v>
      </c>
      <c r="AV605" s="8">
        <f>IF($O605="Aktif",MAX(0,MIN($AE605,$AD605-SUM($AG605:AU605))),0)</f>
        <v>0</v>
      </c>
      <c r="AW605" s="8">
        <f t="shared" si="68"/>
        <v>0</v>
      </c>
      <c r="AX605" s="8">
        <f t="shared" si="69"/>
        <v>0</v>
      </c>
    </row>
    <row r="606" spans="1:50" ht="15" customHeight="1" x14ac:dyDescent="0.35">
      <c r="A606" s="102">
        <v>600</v>
      </c>
      <c r="B606" s="102" t="s">
        <v>1326</v>
      </c>
      <c r="C606" s="103">
        <v>234</v>
      </c>
      <c r="D606" s="102" t="s">
        <v>185</v>
      </c>
      <c r="E606" s="102" t="s">
        <v>587</v>
      </c>
      <c r="F606" s="102" t="s">
        <v>1327</v>
      </c>
      <c r="G606" s="102" t="s">
        <v>1328</v>
      </c>
      <c r="H606" s="102" t="s">
        <v>1329</v>
      </c>
      <c r="I606" s="102" t="s">
        <v>63</v>
      </c>
      <c r="J606" s="102" t="s">
        <v>1959</v>
      </c>
      <c r="K606" s="102" t="s">
        <v>591</v>
      </c>
      <c r="L606" s="104">
        <v>42626</v>
      </c>
      <c r="M606" s="102" t="s">
        <v>1960</v>
      </c>
      <c r="N606" s="102" t="s">
        <v>1961</v>
      </c>
      <c r="O606" s="102" t="s">
        <v>383</v>
      </c>
      <c r="P606" s="103">
        <v>1</v>
      </c>
      <c r="Q606" s="105">
        <v>5000000</v>
      </c>
      <c r="R606" s="103">
        <v>48</v>
      </c>
      <c r="S606" s="105">
        <v>104166.66666666701</v>
      </c>
      <c r="T606" s="105">
        <v>5000000</v>
      </c>
      <c r="U606" s="105">
        <v>0</v>
      </c>
      <c r="V606" s="105">
        <v>0</v>
      </c>
      <c r="W606" s="105">
        <v>0</v>
      </c>
      <c r="X606" s="105">
        <v>0</v>
      </c>
      <c r="Y606" s="105">
        <v>0</v>
      </c>
      <c r="Z606" s="105">
        <v>0</v>
      </c>
      <c r="AA606" s="105">
        <v>0</v>
      </c>
      <c r="AB606" s="105">
        <v>0</v>
      </c>
      <c r="AC606" s="8">
        <f t="shared" si="63"/>
        <v>5000000</v>
      </c>
      <c r="AD606" s="8">
        <f t="shared" si="64"/>
        <v>0</v>
      </c>
      <c r="AE606" s="8">
        <f t="shared" si="65"/>
        <v>0</v>
      </c>
      <c r="AF606" s="106">
        <f t="shared" si="66"/>
        <v>0</v>
      </c>
      <c r="AG606" s="8">
        <f t="shared" si="67"/>
        <v>0</v>
      </c>
      <c r="AH606" s="8">
        <f>IF($O606="Aktif",MAX(0,MIN($AE606,$AD606-SUM($AG606:AG606))),0)</f>
        <v>0</v>
      </c>
      <c r="AI606" s="8">
        <f>IF($O606="Aktif",MAX(0,MIN($AE606,$AD606-SUM($AG606:AH606))),0)</f>
        <v>0</v>
      </c>
      <c r="AJ606" s="8">
        <f>IF($O606="Aktif",MAX(0,MIN($AE606,$AD606-SUM($AG606:AI606))),0)</f>
        <v>0</v>
      </c>
      <c r="AK606" s="8">
        <f>IF($O606="Aktif",MAX(0,MIN($AE606,$AD606-SUM($AG606:AJ606))),0)</f>
        <v>0</v>
      </c>
      <c r="AL606" s="8">
        <f>IF($O606="Aktif",MAX(0,MIN($AE606,$AD606-SUM($AG606:AK606))),0)</f>
        <v>0</v>
      </c>
      <c r="AM606" s="8">
        <f>IF($O606="Aktif",MAX(0,MIN($AE606,$AD606-SUM($AG606:AL606))),0)</f>
        <v>0</v>
      </c>
      <c r="AN606" s="8">
        <f>IF($O606="Aktif",MAX(0,MIN($AE606,$AD606-SUM($AG606:AM606))),0)</f>
        <v>0</v>
      </c>
      <c r="AO606" s="8">
        <f>IF($O606="Aktif",MAX(0,MIN($AE606,$AD606-SUM($AG606:AN606))),0)</f>
        <v>0</v>
      </c>
      <c r="AP606" s="8">
        <f>IF($O606="Aktif",MAX(0,MIN($AE606,$AD606-SUM($AG606:AO606))),0)</f>
        <v>0</v>
      </c>
      <c r="AQ606" s="8">
        <f>IF($O606="Aktif",MAX(0,MIN($AE606,$AD606-SUM($AG606:AP606))),0)</f>
        <v>0</v>
      </c>
      <c r="AR606" s="8">
        <f>IF($O606="Aktif",MAX(0,MIN($AE606,$AD606-SUM($AG606:AQ606))),0)</f>
        <v>0</v>
      </c>
      <c r="AS606" s="8">
        <f>IF($O606="Aktif",MAX(0,MIN($AE606,$AD606-SUM($AG606:AR606))),0)</f>
        <v>0</v>
      </c>
      <c r="AT606" s="8">
        <f>IF($O606="Aktif",MAX(0,MIN($AE606,$AD606-SUM($AG606:AS606))),0)</f>
        <v>0</v>
      </c>
      <c r="AU606" s="8">
        <f>IF($O606="Aktif",MAX(0,MIN($AE606,$AD606-SUM($AG606:AT606))),0)</f>
        <v>0</v>
      </c>
      <c r="AV606" s="8">
        <f>IF($O606="Aktif",MAX(0,MIN($AE606,$AD606-SUM($AG606:AU606))),0)</f>
        <v>0</v>
      </c>
      <c r="AW606" s="8">
        <f t="shared" si="68"/>
        <v>0</v>
      </c>
      <c r="AX606" s="8">
        <f t="shared" si="69"/>
        <v>0</v>
      </c>
    </row>
    <row r="607" spans="1:50" ht="15" customHeight="1" x14ac:dyDescent="0.35">
      <c r="A607" s="102">
        <v>601</v>
      </c>
      <c r="B607" s="102" t="s">
        <v>1326</v>
      </c>
      <c r="C607" s="103">
        <v>235</v>
      </c>
      <c r="D607" s="102" t="s">
        <v>185</v>
      </c>
      <c r="E607" s="102" t="s">
        <v>587</v>
      </c>
      <c r="F607" s="102" t="s">
        <v>1327</v>
      </c>
      <c r="G607" s="102" t="s">
        <v>1328</v>
      </c>
      <c r="H607" s="102" t="s">
        <v>1329</v>
      </c>
      <c r="I607" s="102" t="s">
        <v>63</v>
      </c>
      <c r="J607" s="102" t="s">
        <v>1962</v>
      </c>
      <c r="K607" s="102" t="s">
        <v>591</v>
      </c>
      <c r="L607" s="104">
        <v>42629</v>
      </c>
      <c r="M607" s="102" t="s">
        <v>1963</v>
      </c>
      <c r="N607" s="102" t="s">
        <v>1964</v>
      </c>
      <c r="O607" s="102" t="s">
        <v>383</v>
      </c>
      <c r="P607" s="103">
        <v>1</v>
      </c>
      <c r="Q607" s="105">
        <v>7503920</v>
      </c>
      <c r="R607" s="103">
        <v>48</v>
      </c>
      <c r="S607" s="105">
        <v>156331.66666666701</v>
      </c>
      <c r="T607" s="105">
        <v>7503920</v>
      </c>
      <c r="U607" s="105">
        <v>0</v>
      </c>
      <c r="V607" s="105">
        <v>0</v>
      </c>
      <c r="W607" s="105">
        <v>0</v>
      </c>
      <c r="X607" s="105">
        <v>0</v>
      </c>
      <c r="Y607" s="105">
        <v>0</v>
      </c>
      <c r="Z607" s="105">
        <v>0</v>
      </c>
      <c r="AA607" s="105">
        <v>0</v>
      </c>
      <c r="AB607" s="105">
        <v>0</v>
      </c>
      <c r="AC607" s="8">
        <f t="shared" si="63"/>
        <v>7503920</v>
      </c>
      <c r="AD607" s="8">
        <f t="shared" si="64"/>
        <v>0</v>
      </c>
      <c r="AE607" s="8">
        <f t="shared" si="65"/>
        <v>0</v>
      </c>
      <c r="AF607" s="106">
        <f t="shared" si="66"/>
        <v>0</v>
      </c>
      <c r="AG607" s="8">
        <f t="shared" si="67"/>
        <v>0</v>
      </c>
      <c r="AH607" s="8">
        <f>IF($O607="Aktif",MAX(0,MIN($AE607,$AD607-SUM($AG607:AG607))),0)</f>
        <v>0</v>
      </c>
      <c r="AI607" s="8">
        <f>IF($O607="Aktif",MAX(0,MIN($AE607,$AD607-SUM($AG607:AH607))),0)</f>
        <v>0</v>
      </c>
      <c r="AJ607" s="8">
        <f>IF($O607="Aktif",MAX(0,MIN($AE607,$AD607-SUM($AG607:AI607))),0)</f>
        <v>0</v>
      </c>
      <c r="AK607" s="8">
        <f>IF($O607="Aktif",MAX(0,MIN($AE607,$AD607-SUM($AG607:AJ607))),0)</f>
        <v>0</v>
      </c>
      <c r="AL607" s="8">
        <f>IF($O607="Aktif",MAX(0,MIN($AE607,$AD607-SUM($AG607:AK607))),0)</f>
        <v>0</v>
      </c>
      <c r="AM607" s="8">
        <f>IF($O607="Aktif",MAX(0,MIN($AE607,$AD607-SUM($AG607:AL607))),0)</f>
        <v>0</v>
      </c>
      <c r="AN607" s="8">
        <f>IF($O607="Aktif",MAX(0,MIN($AE607,$AD607-SUM($AG607:AM607))),0)</f>
        <v>0</v>
      </c>
      <c r="AO607" s="8">
        <f>IF($O607="Aktif",MAX(0,MIN($AE607,$AD607-SUM($AG607:AN607))),0)</f>
        <v>0</v>
      </c>
      <c r="AP607" s="8">
        <f>IF($O607="Aktif",MAX(0,MIN($AE607,$AD607-SUM($AG607:AO607))),0)</f>
        <v>0</v>
      </c>
      <c r="AQ607" s="8">
        <f>IF($O607="Aktif",MAX(0,MIN($AE607,$AD607-SUM($AG607:AP607))),0)</f>
        <v>0</v>
      </c>
      <c r="AR607" s="8">
        <f>IF($O607="Aktif",MAX(0,MIN($AE607,$AD607-SUM($AG607:AQ607))),0)</f>
        <v>0</v>
      </c>
      <c r="AS607" s="8">
        <f>IF($O607="Aktif",MAX(0,MIN($AE607,$AD607-SUM($AG607:AR607))),0)</f>
        <v>0</v>
      </c>
      <c r="AT607" s="8">
        <f>IF($O607="Aktif",MAX(0,MIN($AE607,$AD607-SUM($AG607:AS607))),0)</f>
        <v>0</v>
      </c>
      <c r="AU607" s="8">
        <f>IF($O607="Aktif",MAX(0,MIN($AE607,$AD607-SUM($AG607:AT607))),0)</f>
        <v>0</v>
      </c>
      <c r="AV607" s="8">
        <f>IF($O607="Aktif",MAX(0,MIN($AE607,$AD607-SUM($AG607:AU607))),0)</f>
        <v>0</v>
      </c>
      <c r="AW607" s="8">
        <f t="shared" si="68"/>
        <v>0</v>
      </c>
      <c r="AX607" s="8">
        <f t="shared" si="69"/>
        <v>0</v>
      </c>
    </row>
    <row r="608" spans="1:50" ht="15" customHeight="1" x14ac:dyDescent="0.35">
      <c r="A608" s="102">
        <v>602</v>
      </c>
      <c r="B608" s="102" t="s">
        <v>1326</v>
      </c>
      <c r="C608" s="103">
        <v>236</v>
      </c>
      <c r="D608" s="102" t="s">
        <v>185</v>
      </c>
      <c r="E608" s="102" t="s">
        <v>587</v>
      </c>
      <c r="F608" s="102" t="s">
        <v>1327</v>
      </c>
      <c r="G608" s="102" t="s">
        <v>1328</v>
      </c>
      <c r="H608" s="102" t="s">
        <v>1329</v>
      </c>
      <c r="I608" s="102" t="s">
        <v>63</v>
      </c>
      <c r="J608" s="102" t="s">
        <v>1965</v>
      </c>
      <c r="K608" s="102" t="s">
        <v>591</v>
      </c>
      <c r="L608" s="104">
        <v>42643</v>
      </c>
      <c r="M608" s="102" t="s">
        <v>1966</v>
      </c>
      <c r="N608" s="102" t="s">
        <v>1967</v>
      </c>
      <c r="O608" s="102" t="s">
        <v>383</v>
      </c>
      <c r="P608" s="103">
        <v>1</v>
      </c>
      <c r="Q608" s="105">
        <v>7655000</v>
      </c>
      <c r="R608" s="103">
        <v>48</v>
      </c>
      <c r="S608" s="105">
        <v>159479.16666666701</v>
      </c>
      <c r="T608" s="105">
        <v>7655000</v>
      </c>
      <c r="U608" s="105">
        <v>0</v>
      </c>
      <c r="V608" s="105">
        <v>0</v>
      </c>
      <c r="W608" s="105">
        <v>0</v>
      </c>
      <c r="X608" s="105">
        <v>0</v>
      </c>
      <c r="Y608" s="105">
        <v>0</v>
      </c>
      <c r="Z608" s="105">
        <v>0</v>
      </c>
      <c r="AA608" s="105">
        <v>0</v>
      </c>
      <c r="AB608" s="105">
        <v>0</v>
      </c>
      <c r="AC608" s="8">
        <f t="shared" si="63"/>
        <v>7655000</v>
      </c>
      <c r="AD608" s="8">
        <f t="shared" si="64"/>
        <v>0</v>
      </c>
      <c r="AE608" s="8">
        <f t="shared" si="65"/>
        <v>0</v>
      </c>
      <c r="AF608" s="106">
        <f t="shared" si="66"/>
        <v>0</v>
      </c>
      <c r="AG608" s="8">
        <f t="shared" si="67"/>
        <v>0</v>
      </c>
      <c r="AH608" s="8">
        <f>IF($O608="Aktif",MAX(0,MIN($AE608,$AD608-SUM($AG608:AG608))),0)</f>
        <v>0</v>
      </c>
      <c r="AI608" s="8">
        <f>IF($O608="Aktif",MAX(0,MIN($AE608,$AD608-SUM($AG608:AH608))),0)</f>
        <v>0</v>
      </c>
      <c r="AJ608" s="8">
        <f>IF($O608="Aktif",MAX(0,MIN($AE608,$AD608-SUM($AG608:AI608))),0)</f>
        <v>0</v>
      </c>
      <c r="AK608" s="8">
        <f>IF($O608="Aktif",MAX(0,MIN($AE608,$AD608-SUM($AG608:AJ608))),0)</f>
        <v>0</v>
      </c>
      <c r="AL608" s="8">
        <f>IF($O608="Aktif",MAX(0,MIN($AE608,$AD608-SUM($AG608:AK608))),0)</f>
        <v>0</v>
      </c>
      <c r="AM608" s="8">
        <f>IF($O608="Aktif",MAX(0,MIN($AE608,$AD608-SUM($AG608:AL608))),0)</f>
        <v>0</v>
      </c>
      <c r="AN608" s="8">
        <f>IF($O608="Aktif",MAX(0,MIN($AE608,$AD608-SUM($AG608:AM608))),0)</f>
        <v>0</v>
      </c>
      <c r="AO608" s="8">
        <f>IF($O608="Aktif",MAX(0,MIN($AE608,$AD608-SUM($AG608:AN608))),0)</f>
        <v>0</v>
      </c>
      <c r="AP608" s="8">
        <f>IF($O608="Aktif",MAX(0,MIN($AE608,$AD608-SUM($AG608:AO608))),0)</f>
        <v>0</v>
      </c>
      <c r="AQ608" s="8">
        <f>IF($O608="Aktif",MAX(0,MIN($AE608,$AD608-SUM($AG608:AP608))),0)</f>
        <v>0</v>
      </c>
      <c r="AR608" s="8">
        <f>IF($O608="Aktif",MAX(0,MIN($AE608,$AD608-SUM($AG608:AQ608))),0)</f>
        <v>0</v>
      </c>
      <c r="AS608" s="8">
        <f>IF($O608="Aktif",MAX(0,MIN($AE608,$AD608-SUM($AG608:AR608))),0)</f>
        <v>0</v>
      </c>
      <c r="AT608" s="8">
        <f>IF($O608="Aktif",MAX(0,MIN($AE608,$AD608-SUM($AG608:AS608))),0)</f>
        <v>0</v>
      </c>
      <c r="AU608" s="8">
        <f>IF($O608="Aktif",MAX(0,MIN($AE608,$AD608-SUM($AG608:AT608))),0)</f>
        <v>0</v>
      </c>
      <c r="AV608" s="8">
        <f>IF($O608="Aktif",MAX(0,MIN($AE608,$AD608-SUM($AG608:AU608))),0)</f>
        <v>0</v>
      </c>
      <c r="AW608" s="8">
        <f t="shared" si="68"/>
        <v>0</v>
      </c>
      <c r="AX608" s="8">
        <f t="shared" si="69"/>
        <v>0</v>
      </c>
    </row>
    <row r="609" spans="1:50" ht="15" customHeight="1" x14ac:dyDescent="0.35">
      <c r="A609" s="102">
        <v>603</v>
      </c>
      <c r="B609" s="102" t="s">
        <v>1326</v>
      </c>
      <c r="C609" s="103">
        <v>237</v>
      </c>
      <c r="D609" s="102" t="s">
        <v>185</v>
      </c>
      <c r="E609" s="102" t="s">
        <v>587</v>
      </c>
      <c r="F609" s="102" t="s">
        <v>1327</v>
      </c>
      <c r="G609" s="102" t="s">
        <v>1328</v>
      </c>
      <c r="H609" s="102" t="s">
        <v>1329</v>
      </c>
      <c r="I609" s="102" t="s">
        <v>63</v>
      </c>
      <c r="J609" s="102" t="s">
        <v>1968</v>
      </c>
      <c r="K609" s="102" t="s">
        <v>591</v>
      </c>
      <c r="L609" s="104">
        <v>42661</v>
      </c>
      <c r="M609" s="102" t="s">
        <v>1969</v>
      </c>
      <c r="N609" s="102" t="s">
        <v>1970</v>
      </c>
      <c r="O609" s="102" t="s">
        <v>383</v>
      </c>
      <c r="P609" s="103">
        <v>1</v>
      </c>
      <c r="Q609" s="105">
        <v>10725000</v>
      </c>
      <c r="R609" s="103">
        <v>48</v>
      </c>
      <c r="S609" s="105">
        <v>223437.5</v>
      </c>
      <c r="T609" s="105">
        <v>10725000</v>
      </c>
      <c r="U609" s="105">
        <v>0</v>
      </c>
      <c r="V609" s="105">
        <v>0</v>
      </c>
      <c r="W609" s="105">
        <v>0</v>
      </c>
      <c r="X609" s="105">
        <v>0</v>
      </c>
      <c r="Y609" s="105">
        <v>0</v>
      </c>
      <c r="Z609" s="105">
        <v>0</v>
      </c>
      <c r="AA609" s="105">
        <v>0</v>
      </c>
      <c r="AB609" s="105">
        <v>0</v>
      </c>
      <c r="AC609" s="8">
        <f t="shared" si="63"/>
        <v>10725000</v>
      </c>
      <c r="AD609" s="8">
        <f t="shared" si="64"/>
        <v>0</v>
      </c>
      <c r="AE609" s="8">
        <f t="shared" si="65"/>
        <v>0</v>
      </c>
      <c r="AF609" s="106">
        <f t="shared" si="66"/>
        <v>0</v>
      </c>
      <c r="AG609" s="8">
        <f t="shared" si="67"/>
        <v>0</v>
      </c>
      <c r="AH609" s="8">
        <f>IF($O609="Aktif",MAX(0,MIN($AE609,$AD609-SUM($AG609:AG609))),0)</f>
        <v>0</v>
      </c>
      <c r="AI609" s="8">
        <f>IF($O609="Aktif",MAX(0,MIN($AE609,$AD609-SUM($AG609:AH609))),0)</f>
        <v>0</v>
      </c>
      <c r="AJ609" s="8">
        <f>IF($O609="Aktif",MAX(0,MIN($AE609,$AD609-SUM($AG609:AI609))),0)</f>
        <v>0</v>
      </c>
      <c r="AK609" s="8">
        <f>IF($O609="Aktif",MAX(0,MIN($AE609,$AD609-SUM($AG609:AJ609))),0)</f>
        <v>0</v>
      </c>
      <c r="AL609" s="8">
        <f>IF($O609="Aktif",MAX(0,MIN($AE609,$AD609-SUM($AG609:AK609))),0)</f>
        <v>0</v>
      </c>
      <c r="AM609" s="8">
        <f>IF($O609="Aktif",MAX(0,MIN($AE609,$AD609-SUM($AG609:AL609))),0)</f>
        <v>0</v>
      </c>
      <c r="AN609" s="8">
        <f>IF($O609="Aktif",MAX(0,MIN($AE609,$AD609-SUM($AG609:AM609))),0)</f>
        <v>0</v>
      </c>
      <c r="AO609" s="8">
        <f>IF($O609="Aktif",MAX(0,MIN($AE609,$AD609-SUM($AG609:AN609))),0)</f>
        <v>0</v>
      </c>
      <c r="AP609" s="8">
        <f>IF($O609="Aktif",MAX(0,MIN($AE609,$AD609-SUM($AG609:AO609))),0)</f>
        <v>0</v>
      </c>
      <c r="AQ609" s="8">
        <f>IF($O609="Aktif",MAX(0,MIN($AE609,$AD609-SUM($AG609:AP609))),0)</f>
        <v>0</v>
      </c>
      <c r="AR609" s="8">
        <f>IF($O609="Aktif",MAX(0,MIN($AE609,$AD609-SUM($AG609:AQ609))),0)</f>
        <v>0</v>
      </c>
      <c r="AS609" s="8">
        <f>IF($O609="Aktif",MAX(0,MIN($AE609,$AD609-SUM($AG609:AR609))),0)</f>
        <v>0</v>
      </c>
      <c r="AT609" s="8">
        <f>IF($O609="Aktif",MAX(0,MIN($AE609,$AD609-SUM($AG609:AS609))),0)</f>
        <v>0</v>
      </c>
      <c r="AU609" s="8">
        <f>IF($O609="Aktif",MAX(0,MIN($AE609,$AD609-SUM($AG609:AT609))),0)</f>
        <v>0</v>
      </c>
      <c r="AV609" s="8">
        <f>IF($O609="Aktif",MAX(0,MIN($AE609,$AD609-SUM($AG609:AU609))),0)</f>
        <v>0</v>
      </c>
      <c r="AW609" s="8">
        <f t="shared" si="68"/>
        <v>0</v>
      </c>
      <c r="AX609" s="8">
        <f t="shared" si="69"/>
        <v>0</v>
      </c>
    </row>
    <row r="610" spans="1:50" ht="15" customHeight="1" x14ac:dyDescent="0.35">
      <c r="A610" s="102">
        <v>604</v>
      </c>
      <c r="B610" s="102" t="s">
        <v>1326</v>
      </c>
      <c r="C610" s="103">
        <v>238</v>
      </c>
      <c r="D610" s="102" t="s">
        <v>185</v>
      </c>
      <c r="E610" s="102" t="s">
        <v>587</v>
      </c>
      <c r="F610" s="102" t="s">
        <v>1327</v>
      </c>
      <c r="G610" s="102" t="s">
        <v>1328</v>
      </c>
      <c r="H610" s="102" t="s">
        <v>1329</v>
      </c>
      <c r="I610" s="102" t="s">
        <v>63</v>
      </c>
      <c r="J610" s="102" t="s">
        <v>1971</v>
      </c>
      <c r="K610" s="102" t="s">
        <v>591</v>
      </c>
      <c r="L610" s="104">
        <v>42661</v>
      </c>
      <c r="M610" s="102" t="s">
        <v>1972</v>
      </c>
      <c r="N610" s="102" t="s">
        <v>1973</v>
      </c>
      <c r="O610" s="102" t="s">
        <v>383</v>
      </c>
      <c r="P610" s="103">
        <v>1</v>
      </c>
      <c r="Q610" s="105">
        <v>10725000</v>
      </c>
      <c r="R610" s="103">
        <v>48</v>
      </c>
      <c r="S610" s="105">
        <v>223437.5</v>
      </c>
      <c r="T610" s="105">
        <v>10725000</v>
      </c>
      <c r="U610" s="105">
        <v>0</v>
      </c>
      <c r="V610" s="105">
        <v>0</v>
      </c>
      <c r="W610" s="105">
        <v>0</v>
      </c>
      <c r="X610" s="105">
        <v>0</v>
      </c>
      <c r="Y610" s="105">
        <v>0</v>
      </c>
      <c r="Z610" s="105">
        <v>0</v>
      </c>
      <c r="AA610" s="105">
        <v>0</v>
      </c>
      <c r="AB610" s="105">
        <v>0</v>
      </c>
      <c r="AC610" s="8">
        <f t="shared" si="63"/>
        <v>10725000</v>
      </c>
      <c r="AD610" s="8">
        <f t="shared" si="64"/>
        <v>0</v>
      </c>
      <c r="AE610" s="8">
        <f t="shared" si="65"/>
        <v>0</v>
      </c>
      <c r="AF610" s="106">
        <f t="shared" si="66"/>
        <v>0</v>
      </c>
      <c r="AG610" s="8">
        <f t="shared" si="67"/>
        <v>0</v>
      </c>
      <c r="AH610" s="8">
        <f>IF($O610="Aktif",MAX(0,MIN($AE610,$AD610-SUM($AG610:AG610))),0)</f>
        <v>0</v>
      </c>
      <c r="AI610" s="8">
        <f>IF($O610="Aktif",MAX(0,MIN($AE610,$AD610-SUM($AG610:AH610))),0)</f>
        <v>0</v>
      </c>
      <c r="AJ610" s="8">
        <f>IF($O610="Aktif",MAX(0,MIN($AE610,$AD610-SUM($AG610:AI610))),0)</f>
        <v>0</v>
      </c>
      <c r="AK610" s="8">
        <f>IF($O610="Aktif",MAX(0,MIN($AE610,$AD610-SUM($AG610:AJ610))),0)</f>
        <v>0</v>
      </c>
      <c r="AL610" s="8">
        <f>IF($O610="Aktif",MAX(0,MIN($AE610,$AD610-SUM($AG610:AK610))),0)</f>
        <v>0</v>
      </c>
      <c r="AM610" s="8">
        <f>IF($O610="Aktif",MAX(0,MIN($AE610,$AD610-SUM($AG610:AL610))),0)</f>
        <v>0</v>
      </c>
      <c r="AN610" s="8">
        <f>IF($O610="Aktif",MAX(0,MIN($AE610,$AD610-SUM($AG610:AM610))),0)</f>
        <v>0</v>
      </c>
      <c r="AO610" s="8">
        <f>IF($O610="Aktif",MAX(0,MIN($AE610,$AD610-SUM($AG610:AN610))),0)</f>
        <v>0</v>
      </c>
      <c r="AP610" s="8">
        <f>IF($O610="Aktif",MAX(0,MIN($AE610,$AD610-SUM($AG610:AO610))),0)</f>
        <v>0</v>
      </c>
      <c r="AQ610" s="8">
        <f>IF($O610="Aktif",MAX(0,MIN($AE610,$AD610-SUM($AG610:AP610))),0)</f>
        <v>0</v>
      </c>
      <c r="AR610" s="8">
        <f>IF($O610="Aktif",MAX(0,MIN($AE610,$AD610-SUM($AG610:AQ610))),0)</f>
        <v>0</v>
      </c>
      <c r="AS610" s="8">
        <f>IF($O610="Aktif",MAX(0,MIN($AE610,$AD610-SUM($AG610:AR610))),0)</f>
        <v>0</v>
      </c>
      <c r="AT610" s="8">
        <f>IF($O610="Aktif",MAX(0,MIN($AE610,$AD610-SUM($AG610:AS610))),0)</f>
        <v>0</v>
      </c>
      <c r="AU610" s="8">
        <f>IF($O610="Aktif",MAX(0,MIN($AE610,$AD610-SUM($AG610:AT610))),0)</f>
        <v>0</v>
      </c>
      <c r="AV610" s="8">
        <f>IF($O610="Aktif",MAX(0,MIN($AE610,$AD610-SUM($AG610:AU610))),0)</f>
        <v>0</v>
      </c>
      <c r="AW610" s="8">
        <f t="shared" si="68"/>
        <v>0</v>
      </c>
      <c r="AX610" s="8">
        <f t="shared" si="69"/>
        <v>0</v>
      </c>
    </row>
    <row r="611" spans="1:50" ht="15" customHeight="1" x14ac:dyDescent="0.35">
      <c r="A611" s="102">
        <v>605</v>
      </c>
      <c r="B611" s="102" t="s">
        <v>1326</v>
      </c>
      <c r="C611" s="103">
        <v>239</v>
      </c>
      <c r="D611" s="102" t="s">
        <v>185</v>
      </c>
      <c r="E611" s="102" t="s">
        <v>587</v>
      </c>
      <c r="F611" s="102" t="s">
        <v>1327</v>
      </c>
      <c r="G611" s="102" t="s">
        <v>1328</v>
      </c>
      <c r="H611" s="102" t="s">
        <v>1329</v>
      </c>
      <c r="I611" s="102" t="s">
        <v>63</v>
      </c>
      <c r="J611" s="102" t="s">
        <v>1974</v>
      </c>
      <c r="K611" s="102" t="s">
        <v>591</v>
      </c>
      <c r="L611" s="104">
        <v>42671</v>
      </c>
      <c r="M611" s="102" t="s">
        <v>1975</v>
      </c>
      <c r="N611" s="102" t="s">
        <v>1976</v>
      </c>
      <c r="O611" s="102" t="s">
        <v>383</v>
      </c>
      <c r="P611" s="103">
        <v>1</v>
      </c>
      <c r="Q611" s="105">
        <v>10575000</v>
      </c>
      <c r="R611" s="103">
        <v>48</v>
      </c>
      <c r="S611" s="105">
        <v>220312.5</v>
      </c>
      <c r="T611" s="105">
        <v>10575000</v>
      </c>
      <c r="U611" s="105">
        <v>0</v>
      </c>
      <c r="V611" s="105">
        <v>0</v>
      </c>
      <c r="W611" s="105">
        <v>0</v>
      </c>
      <c r="X611" s="105">
        <v>0</v>
      </c>
      <c r="Y611" s="105">
        <v>0</v>
      </c>
      <c r="Z611" s="105">
        <v>0</v>
      </c>
      <c r="AA611" s="105">
        <v>0</v>
      </c>
      <c r="AB611" s="105">
        <v>0</v>
      </c>
      <c r="AC611" s="8">
        <f t="shared" si="63"/>
        <v>10575000</v>
      </c>
      <c r="AD611" s="8">
        <f t="shared" si="64"/>
        <v>0</v>
      </c>
      <c r="AE611" s="8">
        <f t="shared" si="65"/>
        <v>0</v>
      </c>
      <c r="AF611" s="106">
        <f t="shared" si="66"/>
        <v>0</v>
      </c>
      <c r="AG611" s="8">
        <f t="shared" si="67"/>
        <v>0</v>
      </c>
      <c r="AH611" s="8">
        <f>IF($O611="Aktif",MAX(0,MIN($AE611,$AD611-SUM($AG611:AG611))),0)</f>
        <v>0</v>
      </c>
      <c r="AI611" s="8">
        <f>IF($O611="Aktif",MAX(0,MIN($AE611,$AD611-SUM($AG611:AH611))),0)</f>
        <v>0</v>
      </c>
      <c r="AJ611" s="8">
        <f>IF($O611="Aktif",MAX(0,MIN($AE611,$AD611-SUM($AG611:AI611))),0)</f>
        <v>0</v>
      </c>
      <c r="AK611" s="8">
        <f>IF($O611="Aktif",MAX(0,MIN($AE611,$AD611-SUM($AG611:AJ611))),0)</f>
        <v>0</v>
      </c>
      <c r="AL611" s="8">
        <f>IF($O611="Aktif",MAX(0,MIN($AE611,$AD611-SUM($AG611:AK611))),0)</f>
        <v>0</v>
      </c>
      <c r="AM611" s="8">
        <f>IF($O611="Aktif",MAX(0,MIN($AE611,$AD611-SUM($AG611:AL611))),0)</f>
        <v>0</v>
      </c>
      <c r="AN611" s="8">
        <f>IF($O611="Aktif",MAX(0,MIN($AE611,$AD611-SUM($AG611:AM611))),0)</f>
        <v>0</v>
      </c>
      <c r="AO611" s="8">
        <f>IF($O611="Aktif",MAX(0,MIN($AE611,$AD611-SUM($AG611:AN611))),0)</f>
        <v>0</v>
      </c>
      <c r="AP611" s="8">
        <f>IF($O611="Aktif",MAX(0,MIN($AE611,$AD611-SUM($AG611:AO611))),0)</f>
        <v>0</v>
      </c>
      <c r="AQ611" s="8">
        <f>IF($O611="Aktif",MAX(0,MIN($AE611,$AD611-SUM($AG611:AP611))),0)</f>
        <v>0</v>
      </c>
      <c r="AR611" s="8">
        <f>IF($O611="Aktif",MAX(0,MIN($AE611,$AD611-SUM($AG611:AQ611))),0)</f>
        <v>0</v>
      </c>
      <c r="AS611" s="8">
        <f>IF($O611="Aktif",MAX(0,MIN($AE611,$AD611-SUM($AG611:AR611))),0)</f>
        <v>0</v>
      </c>
      <c r="AT611" s="8">
        <f>IF($O611="Aktif",MAX(0,MIN($AE611,$AD611-SUM($AG611:AS611))),0)</f>
        <v>0</v>
      </c>
      <c r="AU611" s="8">
        <f>IF($O611="Aktif",MAX(0,MIN($AE611,$AD611-SUM($AG611:AT611))),0)</f>
        <v>0</v>
      </c>
      <c r="AV611" s="8">
        <f>IF($O611="Aktif",MAX(0,MIN($AE611,$AD611-SUM($AG611:AU611))),0)</f>
        <v>0</v>
      </c>
      <c r="AW611" s="8">
        <f t="shared" si="68"/>
        <v>0</v>
      </c>
      <c r="AX611" s="8">
        <f t="shared" si="69"/>
        <v>0</v>
      </c>
    </row>
    <row r="612" spans="1:50" ht="15" customHeight="1" x14ac:dyDescent="0.35">
      <c r="A612" s="102">
        <v>606</v>
      </c>
      <c r="B612" s="102" t="s">
        <v>1326</v>
      </c>
      <c r="C612" s="103">
        <v>240</v>
      </c>
      <c r="D612" s="102" t="s">
        <v>185</v>
      </c>
      <c r="E612" s="102" t="s">
        <v>587</v>
      </c>
      <c r="F612" s="102" t="s">
        <v>1327</v>
      </c>
      <c r="G612" s="102" t="s">
        <v>1328</v>
      </c>
      <c r="H612" s="102" t="s">
        <v>1329</v>
      </c>
      <c r="I612" s="102" t="s">
        <v>63</v>
      </c>
      <c r="J612" s="102" t="s">
        <v>1977</v>
      </c>
      <c r="K612" s="102" t="s">
        <v>591</v>
      </c>
      <c r="L612" s="104">
        <v>42671</v>
      </c>
      <c r="M612" s="102" t="s">
        <v>1978</v>
      </c>
      <c r="N612" s="102" t="s">
        <v>1979</v>
      </c>
      <c r="O612" s="102" t="s">
        <v>383</v>
      </c>
      <c r="P612" s="103">
        <v>1</v>
      </c>
      <c r="Q612" s="105">
        <v>12690000</v>
      </c>
      <c r="R612" s="103">
        <v>48</v>
      </c>
      <c r="S612" s="105">
        <v>264375</v>
      </c>
      <c r="T612" s="105">
        <v>12690000</v>
      </c>
      <c r="U612" s="105">
        <v>0</v>
      </c>
      <c r="V612" s="105">
        <v>0</v>
      </c>
      <c r="W612" s="105">
        <v>0</v>
      </c>
      <c r="X612" s="105">
        <v>0</v>
      </c>
      <c r="Y612" s="105">
        <v>0</v>
      </c>
      <c r="Z612" s="105">
        <v>0</v>
      </c>
      <c r="AA612" s="105">
        <v>0</v>
      </c>
      <c r="AB612" s="105">
        <v>0</v>
      </c>
      <c r="AC612" s="8">
        <f t="shared" si="63"/>
        <v>12690000</v>
      </c>
      <c r="AD612" s="8">
        <f t="shared" si="64"/>
        <v>0</v>
      </c>
      <c r="AE612" s="8">
        <f t="shared" si="65"/>
        <v>0</v>
      </c>
      <c r="AF612" s="106">
        <f t="shared" si="66"/>
        <v>0</v>
      </c>
      <c r="AG612" s="8">
        <f t="shared" si="67"/>
        <v>0</v>
      </c>
      <c r="AH612" s="8">
        <f>IF($O612="Aktif",MAX(0,MIN($AE612,$AD612-SUM($AG612:AG612))),0)</f>
        <v>0</v>
      </c>
      <c r="AI612" s="8">
        <f>IF($O612="Aktif",MAX(0,MIN($AE612,$AD612-SUM($AG612:AH612))),0)</f>
        <v>0</v>
      </c>
      <c r="AJ612" s="8">
        <f>IF($O612="Aktif",MAX(0,MIN($AE612,$AD612-SUM($AG612:AI612))),0)</f>
        <v>0</v>
      </c>
      <c r="AK612" s="8">
        <f>IF($O612="Aktif",MAX(0,MIN($AE612,$AD612-SUM($AG612:AJ612))),0)</f>
        <v>0</v>
      </c>
      <c r="AL612" s="8">
        <f>IF($O612="Aktif",MAX(0,MIN($AE612,$AD612-SUM($AG612:AK612))),0)</f>
        <v>0</v>
      </c>
      <c r="AM612" s="8">
        <f>IF($O612="Aktif",MAX(0,MIN($AE612,$AD612-SUM($AG612:AL612))),0)</f>
        <v>0</v>
      </c>
      <c r="AN612" s="8">
        <f>IF($O612="Aktif",MAX(0,MIN($AE612,$AD612-SUM($AG612:AM612))),0)</f>
        <v>0</v>
      </c>
      <c r="AO612" s="8">
        <f>IF($O612="Aktif",MAX(0,MIN($AE612,$AD612-SUM($AG612:AN612))),0)</f>
        <v>0</v>
      </c>
      <c r="AP612" s="8">
        <f>IF($O612="Aktif",MAX(0,MIN($AE612,$AD612-SUM($AG612:AO612))),0)</f>
        <v>0</v>
      </c>
      <c r="AQ612" s="8">
        <f>IF($O612="Aktif",MAX(0,MIN($AE612,$AD612-SUM($AG612:AP612))),0)</f>
        <v>0</v>
      </c>
      <c r="AR612" s="8">
        <f>IF($O612="Aktif",MAX(0,MIN($AE612,$AD612-SUM($AG612:AQ612))),0)</f>
        <v>0</v>
      </c>
      <c r="AS612" s="8">
        <f>IF($O612="Aktif",MAX(0,MIN($AE612,$AD612-SUM($AG612:AR612))),0)</f>
        <v>0</v>
      </c>
      <c r="AT612" s="8">
        <f>IF($O612="Aktif",MAX(0,MIN($AE612,$AD612-SUM($AG612:AS612))),0)</f>
        <v>0</v>
      </c>
      <c r="AU612" s="8">
        <f>IF($O612="Aktif",MAX(0,MIN($AE612,$AD612-SUM($AG612:AT612))),0)</f>
        <v>0</v>
      </c>
      <c r="AV612" s="8">
        <f>IF($O612="Aktif",MAX(0,MIN($AE612,$AD612-SUM($AG612:AU612))),0)</f>
        <v>0</v>
      </c>
      <c r="AW612" s="8">
        <f t="shared" si="68"/>
        <v>0</v>
      </c>
      <c r="AX612" s="8">
        <f t="shared" si="69"/>
        <v>0</v>
      </c>
    </row>
    <row r="613" spans="1:50" ht="15" customHeight="1" x14ac:dyDescent="0.35">
      <c r="A613" s="102">
        <v>607</v>
      </c>
      <c r="B613" s="102" t="s">
        <v>1326</v>
      </c>
      <c r="C613" s="103">
        <v>241</v>
      </c>
      <c r="D613" s="102" t="s">
        <v>185</v>
      </c>
      <c r="E613" s="102" t="s">
        <v>587</v>
      </c>
      <c r="F613" s="102" t="s">
        <v>1327</v>
      </c>
      <c r="G613" s="102" t="s">
        <v>1328</v>
      </c>
      <c r="H613" s="102" t="s">
        <v>1329</v>
      </c>
      <c r="I613" s="102" t="s">
        <v>63</v>
      </c>
      <c r="J613" s="102" t="s">
        <v>1980</v>
      </c>
      <c r="K613" s="102" t="s">
        <v>591</v>
      </c>
      <c r="L613" s="104">
        <v>42671</v>
      </c>
      <c r="M613" s="102" t="s">
        <v>1981</v>
      </c>
      <c r="N613" s="102" t="s">
        <v>1982</v>
      </c>
      <c r="O613" s="102" t="s">
        <v>383</v>
      </c>
      <c r="P613" s="103">
        <v>1</v>
      </c>
      <c r="Q613" s="105">
        <v>6000000</v>
      </c>
      <c r="R613" s="103">
        <v>48</v>
      </c>
      <c r="S613" s="105">
        <v>125000</v>
      </c>
      <c r="T613" s="105">
        <v>6000000</v>
      </c>
      <c r="U613" s="105">
        <v>0</v>
      </c>
      <c r="V613" s="105">
        <v>0</v>
      </c>
      <c r="W613" s="105">
        <v>0</v>
      </c>
      <c r="X613" s="105">
        <v>0</v>
      </c>
      <c r="Y613" s="105">
        <v>0</v>
      </c>
      <c r="Z613" s="105">
        <v>0</v>
      </c>
      <c r="AA613" s="105">
        <v>0</v>
      </c>
      <c r="AB613" s="105">
        <v>0</v>
      </c>
      <c r="AC613" s="8">
        <f t="shared" si="63"/>
        <v>6000000</v>
      </c>
      <c r="AD613" s="8">
        <f t="shared" si="64"/>
        <v>0</v>
      </c>
      <c r="AE613" s="8">
        <f t="shared" si="65"/>
        <v>0</v>
      </c>
      <c r="AF613" s="106">
        <f t="shared" si="66"/>
        <v>0</v>
      </c>
      <c r="AG613" s="8">
        <f t="shared" si="67"/>
        <v>0</v>
      </c>
      <c r="AH613" s="8">
        <f>IF($O613="Aktif",MAX(0,MIN($AE613,$AD613-SUM($AG613:AG613))),0)</f>
        <v>0</v>
      </c>
      <c r="AI613" s="8">
        <f>IF($O613="Aktif",MAX(0,MIN($AE613,$AD613-SUM($AG613:AH613))),0)</f>
        <v>0</v>
      </c>
      <c r="AJ613" s="8">
        <f>IF($O613="Aktif",MAX(0,MIN($AE613,$AD613-SUM($AG613:AI613))),0)</f>
        <v>0</v>
      </c>
      <c r="AK613" s="8">
        <f>IF($O613="Aktif",MAX(0,MIN($AE613,$AD613-SUM($AG613:AJ613))),0)</f>
        <v>0</v>
      </c>
      <c r="AL613" s="8">
        <f>IF($O613="Aktif",MAX(0,MIN($AE613,$AD613-SUM($AG613:AK613))),0)</f>
        <v>0</v>
      </c>
      <c r="AM613" s="8">
        <f>IF($O613="Aktif",MAX(0,MIN($AE613,$AD613-SUM($AG613:AL613))),0)</f>
        <v>0</v>
      </c>
      <c r="AN613" s="8">
        <f>IF($O613="Aktif",MAX(0,MIN($AE613,$AD613-SUM($AG613:AM613))),0)</f>
        <v>0</v>
      </c>
      <c r="AO613" s="8">
        <f>IF($O613="Aktif",MAX(0,MIN($AE613,$AD613-SUM($AG613:AN613))),0)</f>
        <v>0</v>
      </c>
      <c r="AP613" s="8">
        <f>IF($O613="Aktif",MAX(0,MIN($AE613,$AD613-SUM($AG613:AO613))),0)</f>
        <v>0</v>
      </c>
      <c r="AQ613" s="8">
        <f>IF($O613="Aktif",MAX(0,MIN($AE613,$AD613-SUM($AG613:AP613))),0)</f>
        <v>0</v>
      </c>
      <c r="AR613" s="8">
        <f>IF($O613="Aktif",MAX(0,MIN($AE613,$AD613-SUM($AG613:AQ613))),0)</f>
        <v>0</v>
      </c>
      <c r="AS613" s="8">
        <f>IF($O613="Aktif",MAX(0,MIN($AE613,$AD613-SUM($AG613:AR613))),0)</f>
        <v>0</v>
      </c>
      <c r="AT613" s="8">
        <f>IF($O613="Aktif",MAX(0,MIN($AE613,$AD613-SUM($AG613:AS613))),0)</f>
        <v>0</v>
      </c>
      <c r="AU613" s="8">
        <f>IF($O613="Aktif",MAX(0,MIN($AE613,$AD613-SUM($AG613:AT613))),0)</f>
        <v>0</v>
      </c>
      <c r="AV613" s="8">
        <f>IF($O613="Aktif",MAX(0,MIN($AE613,$AD613-SUM($AG613:AU613))),0)</f>
        <v>0</v>
      </c>
      <c r="AW613" s="8">
        <f t="shared" si="68"/>
        <v>0</v>
      </c>
      <c r="AX613" s="8">
        <f t="shared" si="69"/>
        <v>0</v>
      </c>
    </row>
    <row r="614" spans="1:50" ht="15" customHeight="1" x14ac:dyDescent="0.35">
      <c r="A614" s="102">
        <v>608</v>
      </c>
      <c r="B614" s="102" t="s">
        <v>1326</v>
      </c>
      <c r="C614" s="103">
        <v>242</v>
      </c>
      <c r="D614" s="102" t="s">
        <v>185</v>
      </c>
      <c r="E614" s="102" t="s">
        <v>587</v>
      </c>
      <c r="F614" s="102" t="s">
        <v>1327</v>
      </c>
      <c r="G614" s="102" t="s">
        <v>1328</v>
      </c>
      <c r="H614" s="102" t="s">
        <v>1329</v>
      </c>
      <c r="I614" s="102" t="s">
        <v>63</v>
      </c>
      <c r="J614" s="102" t="s">
        <v>1983</v>
      </c>
      <c r="K614" s="102" t="s">
        <v>591</v>
      </c>
      <c r="L614" s="104">
        <v>42675</v>
      </c>
      <c r="M614" s="102" t="s">
        <v>1984</v>
      </c>
      <c r="N614" s="102" t="s">
        <v>1985</v>
      </c>
      <c r="O614" s="102" t="s">
        <v>383</v>
      </c>
      <c r="P614" s="103">
        <v>1</v>
      </c>
      <c r="Q614" s="105">
        <v>17500000</v>
      </c>
      <c r="R614" s="103">
        <v>48</v>
      </c>
      <c r="S614" s="105">
        <v>364583.33333333302</v>
      </c>
      <c r="T614" s="105">
        <v>17500000</v>
      </c>
      <c r="U614" s="105">
        <v>0</v>
      </c>
      <c r="V614" s="105">
        <v>0</v>
      </c>
      <c r="W614" s="105">
        <v>0</v>
      </c>
      <c r="X614" s="105">
        <v>0</v>
      </c>
      <c r="Y614" s="105">
        <v>0</v>
      </c>
      <c r="Z614" s="105">
        <v>0</v>
      </c>
      <c r="AA614" s="105">
        <v>0</v>
      </c>
      <c r="AB614" s="105">
        <v>0</v>
      </c>
      <c r="AC614" s="8">
        <f t="shared" si="63"/>
        <v>17500000</v>
      </c>
      <c r="AD614" s="8">
        <f t="shared" si="64"/>
        <v>0</v>
      </c>
      <c r="AE614" s="8">
        <f t="shared" si="65"/>
        <v>0</v>
      </c>
      <c r="AF614" s="106">
        <f t="shared" si="66"/>
        <v>0</v>
      </c>
      <c r="AG614" s="8">
        <f t="shared" si="67"/>
        <v>0</v>
      </c>
      <c r="AH614" s="8">
        <f>IF($O614="Aktif",MAX(0,MIN($AE614,$AD614-SUM($AG614:AG614))),0)</f>
        <v>0</v>
      </c>
      <c r="AI614" s="8">
        <f>IF($O614="Aktif",MAX(0,MIN($AE614,$AD614-SUM($AG614:AH614))),0)</f>
        <v>0</v>
      </c>
      <c r="AJ614" s="8">
        <f>IF($O614="Aktif",MAX(0,MIN($AE614,$AD614-SUM($AG614:AI614))),0)</f>
        <v>0</v>
      </c>
      <c r="AK614" s="8">
        <f>IF($O614="Aktif",MAX(0,MIN($AE614,$AD614-SUM($AG614:AJ614))),0)</f>
        <v>0</v>
      </c>
      <c r="AL614" s="8">
        <f>IF($O614="Aktif",MAX(0,MIN($AE614,$AD614-SUM($AG614:AK614))),0)</f>
        <v>0</v>
      </c>
      <c r="AM614" s="8">
        <f>IF($O614="Aktif",MAX(0,MIN($AE614,$AD614-SUM($AG614:AL614))),0)</f>
        <v>0</v>
      </c>
      <c r="AN614" s="8">
        <f>IF($O614="Aktif",MAX(0,MIN($AE614,$AD614-SUM($AG614:AM614))),0)</f>
        <v>0</v>
      </c>
      <c r="AO614" s="8">
        <f>IF($O614="Aktif",MAX(0,MIN($AE614,$AD614-SUM($AG614:AN614))),0)</f>
        <v>0</v>
      </c>
      <c r="AP614" s="8">
        <f>IF($O614="Aktif",MAX(0,MIN($AE614,$AD614-SUM($AG614:AO614))),0)</f>
        <v>0</v>
      </c>
      <c r="AQ614" s="8">
        <f>IF($O614="Aktif",MAX(0,MIN($AE614,$AD614-SUM($AG614:AP614))),0)</f>
        <v>0</v>
      </c>
      <c r="AR614" s="8">
        <f>IF($O614="Aktif",MAX(0,MIN($AE614,$AD614-SUM($AG614:AQ614))),0)</f>
        <v>0</v>
      </c>
      <c r="AS614" s="8">
        <f>IF($O614="Aktif",MAX(0,MIN($AE614,$AD614-SUM($AG614:AR614))),0)</f>
        <v>0</v>
      </c>
      <c r="AT614" s="8">
        <f>IF($O614="Aktif",MAX(0,MIN($AE614,$AD614-SUM($AG614:AS614))),0)</f>
        <v>0</v>
      </c>
      <c r="AU614" s="8">
        <f>IF($O614="Aktif",MAX(0,MIN($AE614,$AD614-SUM($AG614:AT614))),0)</f>
        <v>0</v>
      </c>
      <c r="AV614" s="8">
        <f>IF($O614="Aktif",MAX(0,MIN($AE614,$AD614-SUM($AG614:AU614))),0)</f>
        <v>0</v>
      </c>
      <c r="AW614" s="8">
        <f t="shared" si="68"/>
        <v>0</v>
      </c>
      <c r="AX614" s="8">
        <f t="shared" si="69"/>
        <v>0</v>
      </c>
    </row>
    <row r="615" spans="1:50" ht="15" customHeight="1" x14ac:dyDescent="0.35">
      <c r="A615" s="102">
        <v>609</v>
      </c>
      <c r="B615" s="102" t="s">
        <v>1326</v>
      </c>
      <c r="C615" s="103">
        <v>243</v>
      </c>
      <c r="D615" s="102" t="s">
        <v>185</v>
      </c>
      <c r="E615" s="102" t="s">
        <v>587</v>
      </c>
      <c r="F615" s="102" t="s">
        <v>1327</v>
      </c>
      <c r="G615" s="102" t="s">
        <v>1328</v>
      </c>
      <c r="H615" s="102" t="s">
        <v>1329</v>
      </c>
      <c r="I615" s="102" t="s">
        <v>63</v>
      </c>
      <c r="J615" s="102" t="s">
        <v>1986</v>
      </c>
      <c r="K615" s="102" t="s">
        <v>591</v>
      </c>
      <c r="L615" s="104">
        <v>42678</v>
      </c>
      <c r="M615" s="102" t="s">
        <v>1987</v>
      </c>
      <c r="N615" s="102" t="s">
        <v>1988</v>
      </c>
      <c r="O615" s="102" t="s">
        <v>383</v>
      </c>
      <c r="P615" s="103">
        <v>1</v>
      </c>
      <c r="Q615" s="105">
        <v>7250000</v>
      </c>
      <c r="R615" s="103">
        <v>48</v>
      </c>
      <c r="S615" s="105">
        <v>151041.66666666701</v>
      </c>
      <c r="T615" s="105">
        <v>7250000</v>
      </c>
      <c r="U615" s="105">
        <v>0</v>
      </c>
      <c r="V615" s="105">
        <v>0</v>
      </c>
      <c r="W615" s="105">
        <v>0</v>
      </c>
      <c r="X615" s="105">
        <v>0</v>
      </c>
      <c r="Y615" s="105">
        <v>0</v>
      </c>
      <c r="Z615" s="105">
        <v>0</v>
      </c>
      <c r="AA615" s="105">
        <v>0</v>
      </c>
      <c r="AB615" s="105">
        <v>0</v>
      </c>
      <c r="AC615" s="8">
        <f t="shared" si="63"/>
        <v>7250000</v>
      </c>
      <c r="AD615" s="8">
        <f t="shared" si="64"/>
        <v>0</v>
      </c>
      <c r="AE615" s="8">
        <f t="shared" si="65"/>
        <v>0</v>
      </c>
      <c r="AF615" s="106">
        <f t="shared" si="66"/>
        <v>0</v>
      </c>
      <c r="AG615" s="8">
        <f t="shared" si="67"/>
        <v>0</v>
      </c>
      <c r="AH615" s="8">
        <f>IF($O615="Aktif",MAX(0,MIN($AE615,$AD615-SUM($AG615:AG615))),0)</f>
        <v>0</v>
      </c>
      <c r="AI615" s="8">
        <f>IF($O615="Aktif",MAX(0,MIN($AE615,$AD615-SUM($AG615:AH615))),0)</f>
        <v>0</v>
      </c>
      <c r="AJ615" s="8">
        <f>IF($O615="Aktif",MAX(0,MIN($AE615,$AD615-SUM($AG615:AI615))),0)</f>
        <v>0</v>
      </c>
      <c r="AK615" s="8">
        <f>IF($O615="Aktif",MAX(0,MIN($AE615,$AD615-SUM($AG615:AJ615))),0)</f>
        <v>0</v>
      </c>
      <c r="AL615" s="8">
        <f>IF($O615="Aktif",MAX(0,MIN($AE615,$AD615-SUM($AG615:AK615))),0)</f>
        <v>0</v>
      </c>
      <c r="AM615" s="8">
        <f>IF($O615="Aktif",MAX(0,MIN($AE615,$AD615-SUM($AG615:AL615))),0)</f>
        <v>0</v>
      </c>
      <c r="AN615" s="8">
        <f>IF($O615="Aktif",MAX(0,MIN($AE615,$AD615-SUM($AG615:AM615))),0)</f>
        <v>0</v>
      </c>
      <c r="AO615" s="8">
        <f>IF($O615="Aktif",MAX(0,MIN($AE615,$AD615-SUM($AG615:AN615))),0)</f>
        <v>0</v>
      </c>
      <c r="AP615" s="8">
        <f>IF($O615="Aktif",MAX(0,MIN($AE615,$AD615-SUM($AG615:AO615))),0)</f>
        <v>0</v>
      </c>
      <c r="AQ615" s="8">
        <f>IF($O615="Aktif",MAX(0,MIN($AE615,$AD615-SUM($AG615:AP615))),0)</f>
        <v>0</v>
      </c>
      <c r="AR615" s="8">
        <f>IF($O615="Aktif",MAX(0,MIN($AE615,$AD615-SUM($AG615:AQ615))),0)</f>
        <v>0</v>
      </c>
      <c r="AS615" s="8">
        <f>IF($O615="Aktif",MAX(0,MIN($AE615,$AD615-SUM($AG615:AR615))),0)</f>
        <v>0</v>
      </c>
      <c r="AT615" s="8">
        <f>IF($O615="Aktif",MAX(0,MIN($AE615,$AD615-SUM($AG615:AS615))),0)</f>
        <v>0</v>
      </c>
      <c r="AU615" s="8">
        <f>IF($O615="Aktif",MAX(0,MIN($AE615,$AD615-SUM($AG615:AT615))),0)</f>
        <v>0</v>
      </c>
      <c r="AV615" s="8">
        <f>IF($O615="Aktif",MAX(0,MIN($AE615,$AD615-SUM($AG615:AU615))),0)</f>
        <v>0</v>
      </c>
      <c r="AW615" s="8">
        <f t="shared" si="68"/>
        <v>0</v>
      </c>
      <c r="AX615" s="8">
        <f t="shared" si="69"/>
        <v>0</v>
      </c>
    </row>
    <row r="616" spans="1:50" ht="15" customHeight="1" x14ac:dyDescent="0.35">
      <c r="A616" s="102">
        <v>610</v>
      </c>
      <c r="B616" s="102" t="s">
        <v>1326</v>
      </c>
      <c r="C616" s="103">
        <v>244</v>
      </c>
      <c r="D616" s="102" t="s">
        <v>185</v>
      </c>
      <c r="E616" s="102" t="s">
        <v>587</v>
      </c>
      <c r="F616" s="102" t="s">
        <v>1327</v>
      </c>
      <c r="G616" s="102" t="s">
        <v>1328</v>
      </c>
      <c r="H616" s="102" t="s">
        <v>1329</v>
      </c>
      <c r="I616" s="102" t="s">
        <v>63</v>
      </c>
      <c r="J616" s="102" t="s">
        <v>1989</v>
      </c>
      <c r="K616" s="102" t="s">
        <v>591</v>
      </c>
      <c r="L616" s="104">
        <v>42678</v>
      </c>
      <c r="M616" s="102" t="s">
        <v>1990</v>
      </c>
      <c r="N616" s="102" t="s">
        <v>1991</v>
      </c>
      <c r="O616" s="102" t="s">
        <v>383</v>
      </c>
      <c r="P616" s="103">
        <v>1</v>
      </c>
      <c r="Q616" s="105">
        <v>4158000</v>
      </c>
      <c r="R616" s="103">
        <v>48</v>
      </c>
      <c r="S616" s="105">
        <v>86625</v>
      </c>
      <c r="T616" s="105">
        <v>4158000</v>
      </c>
      <c r="U616" s="105">
        <v>0</v>
      </c>
      <c r="V616" s="105">
        <v>0</v>
      </c>
      <c r="W616" s="105">
        <v>0</v>
      </c>
      <c r="X616" s="105">
        <v>0</v>
      </c>
      <c r="Y616" s="105">
        <v>0</v>
      </c>
      <c r="Z616" s="105">
        <v>0</v>
      </c>
      <c r="AA616" s="105">
        <v>0</v>
      </c>
      <c r="AB616" s="105">
        <v>0</v>
      </c>
      <c r="AC616" s="8">
        <f t="shared" si="63"/>
        <v>4158000</v>
      </c>
      <c r="AD616" s="8">
        <f t="shared" si="64"/>
        <v>0</v>
      </c>
      <c r="AE616" s="8">
        <f t="shared" si="65"/>
        <v>0</v>
      </c>
      <c r="AF616" s="106">
        <f t="shared" si="66"/>
        <v>0</v>
      </c>
      <c r="AG616" s="8">
        <f t="shared" si="67"/>
        <v>0</v>
      </c>
      <c r="AH616" s="8">
        <f>IF($O616="Aktif",MAX(0,MIN($AE616,$AD616-SUM($AG616:AG616))),0)</f>
        <v>0</v>
      </c>
      <c r="AI616" s="8">
        <f>IF($O616="Aktif",MAX(0,MIN($AE616,$AD616-SUM($AG616:AH616))),0)</f>
        <v>0</v>
      </c>
      <c r="AJ616" s="8">
        <f>IF($O616="Aktif",MAX(0,MIN($AE616,$AD616-SUM($AG616:AI616))),0)</f>
        <v>0</v>
      </c>
      <c r="AK616" s="8">
        <f>IF($O616="Aktif",MAX(0,MIN($AE616,$AD616-SUM($AG616:AJ616))),0)</f>
        <v>0</v>
      </c>
      <c r="AL616" s="8">
        <f>IF($O616="Aktif",MAX(0,MIN($AE616,$AD616-SUM($AG616:AK616))),0)</f>
        <v>0</v>
      </c>
      <c r="AM616" s="8">
        <f>IF($O616="Aktif",MAX(0,MIN($AE616,$AD616-SUM($AG616:AL616))),0)</f>
        <v>0</v>
      </c>
      <c r="AN616" s="8">
        <f>IF($O616="Aktif",MAX(0,MIN($AE616,$AD616-SUM($AG616:AM616))),0)</f>
        <v>0</v>
      </c>
      <c r="AO616" s="8">
        <f>IF($O616="Aktif",MAX(0,MIN($AE616,$AD616-SUM($AG616:AN616))),0)</f>
        <v>0</v>
      </c>
      <c r="AP616" s="8">
        <f>IF($O616="Aktif",MAX(0,MIN($AE616,$AD616-SUM($AG616:AO616))),0)</f>
        <v>0</v>
      </c>
      <c r="AQ616" s="8">
        <f>IF($O616="Aktif",MAX(0,MIN($AE616,$AD616-SUM($AG616:AP616))),0)</f>
        <v>0</v>
      </c>
      <c r="AR616" s="8">
        <f>IF($O616="Aktif",MAX(0,MIN($AE616,$AD616-SUM($AG616:AQ616))),0)</f>
        <v>0</v>
      </c>
      <c r="AS616" s="8">
        <f>IF($O616="Aktif",MAX(0,MIN($AE616,$AD616-SUM($AG616:AR616))),0)</f>
        <v>0</v>
      </c>
      <c r="AT616" s="8">
        <f>IF($O616="Aktif",MAX(0,MIN($AE616,$AD616-SUM($AG616:AS616))),0)</f>
        <v>0</v>
      </c>
      <c r="AU616" s="8">
        <f>IF($O616="Aktif",MAX(0,MIN($AE616,$AD616-SUM($AG616:AT616))),0)</f>
        <v>0</v>
      </c>
      <c r="AV616" s="8">
        <f>IF($O616="Aktif",MAX(0,MIN($AE616,$AD616-SUM($AG616:AU616))),0)</f>
        <v>0</v>
      </c>
      <c r="AW616" s="8">
        <f t="shared" si="68"/>
        <v>0</v>
      </c>
      <c r="AX616" s="8">
        <f t="shared" si="69"/>
        <v>0</v>
      </c>
    </row>
    <row r="617" spans="1:50" ht="15" customHeight="1" x14ac:dyDescent="0.35">
      <c r="A617" s="102">
        <v>611</v>
      </c>
      <c r="B617" s="102" t="s">
        <v>1326</v>
      </c>
      <c r="C617" s="103">
        <v>245</v>
      </c>
      <c r="D617" s="102" t="s">
        <v>185</v>
      </c>
      <c r="E617" s="102" t="s">
        <v>587</v>
      </c>
      <c r="F617" s="102" t="s">
        <v>1327</v>
      </c>
      <c r="G617" s="102" t="s">
        <v>1328</v>
      </c>
      <c r="H617" s="102" t="s">
        <v>1329</v>
      </c>
      <c r="I617" s="102" t="s">
        <v>63</v>
      </c>
      <c r="J617" s="102" t="s">
        <v>1992</v>
      </c>
      <c r="K617" s="102" t="s">
        <v>591</v>
      </c>
      <c r="L617" s="104">
        <v>42678</v>
      </c>
      <c r="M617" s="102" t="s">
        <v>1993</v>
      </c>
      <c r="N617" s="102" t="s">
        <v>1994</v>
      </c>
      <c r="O617" s="102" t="s">
        <v>383</v>
      </c>
      <c r="P617" s="103">
        <v>1</v>
      </c>
      <c r="Q617" s="105">
        <v>3700000</v>
      </c>
      <c r="R617" s="103">
        <v>48</v>
      </c>
      <c r="S617" s="105">
        <v>77083.333333333299</v>
      </c>
      <c r="T617" s="105">
        <v>3700000</v>
      </c>
      <c r="U617" s="105">
        <v>0</v>
      </c>
      <c r="V617" s="105">
        <v>0</v>
      </c>
      <c r="W617" s="105">
        <v>0</v>
      </c>
      <c r="X617" s="105">
        <v>0</v>
      </c>
      <c r="Y617" s="105">
        <v>0</v>
      </c>
      <c r="Z617" s="105">
        <v>0</v>
      </c>
      <c r="AA617" s="105">
        <v>0</v>
      </c>
      <c r="AB617" s="105">
        <v>0</v>
      </c>
      <c r="AC617" s="8">
        <f t="shared" si="63"/>
        <v>3700000</v>
      </c>
      <c r="AD617" s="8">
        <f t="shared" si="64"/>
        <v>0</v>
      </c>
      <c r="AE617" s="8">
        <f t="shared" si="65"/>
        <v>0</v>
      </c>
      <c r="AF617" s="106">
        <f t="shared" si="66"/>
        <v>0</v>
      </c>
      <c r="AG617" s="8">
        <f t="shared" si="67"/>
        <v>0</v>
      </c>
      <c r="AH617" s="8">
        <f>IF($O617="Aktif",MAX(0,MIN($AE617,$AD617-SUM($AG617:AG617))),0)</f>
        <v>0</v>
      </c>
      <c r="AI617" s="8">
        <f>IF($O617="Aktif",MAX(0,MIN($AE617,$AD617-SUM($AG617:AH617))),0)</f>
        <v>0</v>
      </c>
      <c r="AJ617" s="8">
        <f>IF($O617="Aktif",MAX(0,MIN($AE617,$AD617-SUM($AG617:AI617))),0)</f>
        <v>0</v>
      </c>
      <c r="AK617" s="8">
        <f>IF($O617="Aktif",MAX(0,MIN($AE617,$AD617-SUM($AG617:AJ617))),0)</f>
        <v>0</v>
      </c>
      <c r="AL617" s="8">
        <f>IF($O617="Aktif",MAX(0,MIN($AE617,$AD617-SUM($AG617:AK617))),0)</f>
        <v>0</v>
      </c>
      <c r="AM617" s="8">
        <f>IF($O617="Aktif",MAX(0,MIN($AE617,$AD617-SUM($AG617:AL617))),0)</f>
        <v>0</v>
      </c>
      <c r="AN617" s="8">
        <f>IF($O617="Aktif",MAX(0,MIN($AE617,$AD617-SUM($AG617:AM617))),0)</f>
        <v>0</v>
      </c>
      <c r="AO617" s="8">
        <f>IF($O617="Aktif",MAX(0,MIN($AE617,$AD617-SUM($AG617:AN617))),0)</f>
        <v>0</v>
      </c>
      <c r="AP617" s="8">
        <f>IF($O617="Aktif",MAX(0,MIN($AE617,$AD617-SUM($AG617:AO617))),0)</f>
        <v>0</v>
      </c>
      <c r="AQ617" s="8">
        <f>IF($O617="Aktif",MAX(0,MIN($AE617,$AD617-SUM($AG617:AP617))),0)</f>
        <v>0</v>
      </c>
      <c r="AR617" s="8">
        <f>IF($O617="Aktif",MAX(0,MIN($AE617,$AD617-SUM($AG617:AQ617))),0)</f>
        <v>0</v>
      </c>
      <c r="AS617" s="8">
        <f>IF($O617="Aktif",MAX(0,MIN($AE617,$AD617-SUM($AG617:AR617))),0)</f>
        <v>0</v>
      </c>
      <c r="AT617" s="8">
        <f>IF($O617="Aktif",MAX(0,MIN($AE617,$AD617-SUM($AG617:AS617))),0)</f>
        <v>0</v>
      </c>
      <c r="AU617" s="8">
        <f>IF($O617="Aktif",MAX(0,MIN($AE617,$AD617-SUM($AG617:AT617))),0)</f>
        <v>0</v>
      </c>
      <c r="AV617" s="8">
        <f>IF($O617="Aktif",MAX(0,MIN($AE617,$AD617-SUM($AG617:AU617))),0)</f>
        <v>0</v>
      </c>
      <c r="AW617" s="8">
        <f t="shared" si="68"/>
        <v>0</v>
      </c>
      <c r="AX617" s="8">
        <f t="shared" si="69"/>
        <v>0</v>
      </c>
    </row>
    <row r="618" spans="1:50" ht="15" customHeight="1" x14ac:dyDescent="0.35">
      <c r="A618" s="102">
        <v>612</v>
      </c>
      <c r="B618" s="102" t="s">
        <v>1326</v>
      </c>
      <c r="C618" s="103">
        <v>246</v>
      </c>
      <c r="D618" s="102" t="s">
        <v>185</v>
      </c>
      <c r="E618" s="102" t="s">
        <v>587</v>
      </c>
      <c r="F618" s="102" t="s">
        <v>1327</v>
      </c>
      <c r="G618" s="102" t="s">
        <v>1328</v>
      </c>
      <c r="H618" s="102" t="s">
        <v>1329</v>
      </c>
      <c r="I618" s="102" t="s">
        <v>63</v>
      </c>
      <c r="J618" s="102" t="s">
        <v>1995</v>
      </c>
      <c r="K618" s="102" t="s">
        <v>591</v>
      </c>
      <c r="L618" s="104">
        <v>42679</v>
      </c>
      <c r="M618" s="102" t="s">
        <v>1996</v>
      </c>
      <c r="N618" s="102" t="s">
        <v>1997</v>
      </c>
      <c r="O618" s="102" t="s">
        <v>383</v>
      </c>
      <c r="P618" s="103">
        <v>1</v>
      </c>
      <c r="Q618" s="105">
        <v>1250000</v>
      </c>
      <c r="R618" s="103">
        <v>48</v>
      </c>
      <c r="S618" s="105">
        <v>26041.666666666701</v>
      </c>
      <c r="T618" s="105">
        <v>1250000</v>
      </c>
      <c r="U618" s="105">
        <v>0</v>
      </c>
      <c r="V618" s="105">
        <v>0</v>
      </c>
      <c r="W618" s="105">
        <v>0</v>
      </c>
      <c r="X618" s="105">
        <v>0</v>
      </c>
      <c r="Y618" s="105">
        <v>0</v>
      </c>
      <c r="Z618" s="105">
        <v>0</v>
      </c>
      <c r="AA618" s="105">
        <v>0</v>
      </c>
      <c r="AB618" s="105">
        <v>0</v>
      </c>
      <c r="AC618" s="8">
        <f t="shared" si="63"/>
        <v>1250000</v>
      </c>
      <c r="AD618" s="8">
        <f t="shared" si="64"/>
        <v>0</v>
      </c>
      <c r="AE618" s="8">
        <f t="shared" si="65"/>
        <v>0</v>
      </c>
      <c r="AF618" s="106">
        <f t="shared" si="66"/>
        <v>0</v>
      </c>
      <c r="AG618" s="8">
        <f t="shared" si="67"/>
        <v>0</v>
      </c>
      <c r="AH618" s="8">
        <f>IF($O618="Aktif",MAX(0,MIN($AE618,$AD618-SUM($AG618:AG618))),0)</f>
        <v>0</v>
      </c>
      <c r="AI618" s="8">
        <f>IF($O618="Aktif",MAX(0,MIN($AE618,$AD618-SUM($AG618:AH618))),0)</f>
        <v>0</v>
      </c>
      <c r="AJ618" s="8">
        <f>IF($O618="Aktif",MAX(0,MIN($AE618,$AD618-SUM($AG618:AI618))),0)</f>
        <v>0</v>
      </c>
      <c r="AK618" s="8">
        <f>IF($O618="Aktif",MAX(0,MIN($AE618,$AD618-SUM($AG618:AJ618))),0)</f>
        <v>0</v>
      </c>
      <c r="AL618" s="8">
        <f>IF($O618="Aktif",MAX(0,MIN($AE618,$AD618-SUM($AG618:AK618))),0)</f>
        <v>0</v>
      </c>
      <c r="AM618" s="8">
        <f>IF($O618="Aktif",MAX(0,MIN($AE618,$AD618-SUM($AG618:AL618))),0)</f>
        <v>0</v>
      </c>
      <c r="AN618" s="8">
        <f>IF($O618="Aktif",MAX(0,MIN($AE618,$AD618-SUM($AG618:AM618))),0)</f>
        <v>0</v>
      </c>
      <c r="AO618" s="8">
        <f>IF($O618="Aktif",MAX(0,MIN($AE618,$AD618-SUM($AG618:AN618))),0)</f>
        <v>0</v>
      </c>
      <c r="AP618" s="8">
        <f>IF($O618="Aktif",MAX(0,MIN($AE618,$AD618-SUM($AG618:AO618))),0)</f>
        <v>0</v>
      </c>
      <c r="AQ618" s="8">
        <f>IF($O618="Aktif",MAX(0,MIN($AE618,$AD618-SUM($AG618:AP618))),0)</f>
        <v>0</v>
      </c>
      <c r="AR618" s="8">
        <f>IF($O618="Aktif",MAX(0,MIN($AE618,$AD618-SUM($AG618:AQ618))),0)</f>
        <v>0</v>
      </c>
      <c r="AS618" s="8">
        <f>IF($O618="Aktif",MAX(0,MIN($AE618,$AD618-SUM($AG618:AR618))),0)</f>
        <v>0</v>
      </c>
      <c r="AT618" s="8">
        <f>IF($O618="Aktif",MAX(0,MIN($AE618,$AD618-SUM($AG618:AS618))),0)</f>
        <v>0</v>
      </c>
      <c r="AU618" s="8">
        <f>IF($O618="Aktif",MAX(0,MIN($AE618,$AD618-SUM($AG618:AT618))),0)</f>
        <v>0</v>
      </c>
      <c r="AV618" s="8">
        <f>IF($O618="Aktif",MAX(0,MIN($AE618,$AD618-SUM($AG618:AU618))),0)</f>
        <v>0</v>
      </c>
      <c r="AW618" s="8">
        <f t="shared" si="68"/>
        <v>0</v>
      </c>
      <c r="AX618" s="8">
        <f t="shared" si="69"/>
        <v>0</v>
      </c>
    </row>
    <row r="619" spans="1:50" ht="15" customHeight="1" x14ac:dyDescent="0.35">
      <c r="A619" s="102">
        <v>613</v>
      </c>
      <c r="B619" s="102" t="s">
        <v>1326</v>
      </c>
      <c r="C619" s="103">
        <v>247</v>
      </c>
      <c r="D619" s="102" t="s">
        <v>185</v>
      </c>
      <c r="E619" s="102" t="s">
        <v>587</v>
      </c>
      <c r="F619" s="102" t="s">
        <v>1327</v>
      </c>
      <c r="G619" s="102" t="s">
        <v>1328</v>
      </c>
      <c r="H619" s="102" t="s">
        <v>1329</v>
      </c>
      <c r="I619" s="102" t="s">
        <v>63</v>
      </c>
      <c r="J619" s="102" t="s">
        <v>1998</v>
      </c>
      <c r="K619" s="102" t="s">
        <v>591</v>
      </c>
      <c r="L619" s="104">
        <v>42696</v>
      </c>
      <c r="M619" s="102" t="s">
        <v>1999</v>
      </c>
      <c r="N619" s="102" t="s">
        <v>2000</v>
      </c>
      <c r="O619" s="102" t="s">
        <v>383</v>
      </c>
      <c r="P619" s="103">
        <v>1</v>
      </c>
      <c r="Q619" s="105">
        <v>2000000</v>
      </c>
      <c r="R619" s="103">
        <v>48</v>
      </c>
      <c r="S619" s="105">
        <v>41666.666666666701</v>
      </c>
      <c r="T619" s="105">
        <v>2000000</v>
      </c>
      <c r="U619" s="105">
        <v>0</v>
      </c>
      <c r="V619" s="105">
        <v>0</v>
      </c>
      <c r="W619" s="105">
        <v>0</v>
      </c>
      <c r="X619" s="105">
        <v>0</v>
      </c>
      <c r="Y619" s="105">
        <v>0</v>
      </c>
      <c r="Z619" s="105">
        <v>0</v>
      </c>
      <c r="AA619" s="105">
        <v>0</v>
      </c>
      <c r="AB619" s="105">
        <v>0</v>
      </c>
      <c r="AC619" s="8">
        <f t="shared" si="63"/>
        <v>2000000</v>
      </c>
      <c r="AD619" s="8">
        <f t="shared" si="64"/>
        <v>0</v>
      </c>
      <c r="AE619" s="8">
        <f t="shared" si="65"/>
        <v>0</v>
      </c>
      <c r="AF619" s="106">
        <f t="shared" si="66"/>
        <v>0</v>
      </c>
      <c r="AG619" s="8">
        <f t="shared" si="67"/>
        <v>0</v>
      </c>
      <c r="AH619" s="8">
        <f>IF($O619="Aktif",MAX(0,MIN($AE619,$AD619-SUM($AG619:AG619))),0)</f>
        <v>0</v>
      </c>
      <c r="AI619" s="8">
        <f>IF($O619="Aktif",MAX(0,MIN($AE619,$AD619-SUM($AG619:AH619))),0)</f>
        <v>0</v>
      </c>
      <c r="AJ619" s="8">
        <f>IF($O619="Aktif",MAX(0,MIN($AE619,$AD619-SUM($AG619:AI619))),0)</f>
        <v>0</v>
      </c>
      <c r="AK619" s="8">
        <f>IF($O619="Aktif",MAX(0,MIN($AE619,$AD619-SUM($AG619:AJ619))),0)</f>
        <v>0</v>
      </c>
      <c r="AL619" s="8">
        <f>IF($O619="Aktif",MAX(0,MIN($AE619,$AD619-SUM($AG619:AK619))),0)</f>
        <v>0</v>
      </c>
      <c r="AM619" s="8">
        <f>IF($O619="Aktif",MAX(0,MIN($AE619,$AD619-SUM($AG619:AL619))),0)</f>
        <v>0</v>
      </c>
      <c r="AN619" s="8">
        <f>IF($O619="Aktif",MAX(0,MIN($AE619,$AD619-SUM($AG619:AM619))),0)</f>
        <v>0</v>
      </c>
      <c r="AO619" s="8">
        <f>IF($O619="Aktif",MAX(0,MIN($AE619,$AD619-SUM($AG619:AN619))),0)</f>
        <v>0</v>
      </c>
      <c r="AP619" s="8">
        <f>IF($O619="Aktif",MAX(0,MIN($AE619,$AD619-SUM($AG619:AO619))),0)</f>
        <v>0</v>
      </c>
      <c r="AQ619" s="8">
        <f>IF($O619="Aktif",MAX(0,MIN($AE619,$AD619-SUM($AG619:AP619))),0)</f>
        <v>0</v>
      </c>
      <c r="AR619" s="8">
        <f>IF($O619="Aktif",MAX(0,MIN($AE619,$AD619-SUM($AG619:AQ619))),0)</f>
        <v>0</v>
      </c>
      <c r="AS619" s="8">
        <f>IF($O619="Aktif",MAX(0,MIN($AE619,$AD619-SUM($AG619:AR619))),0)</f>
        <v>0</v>
      </c>
      <c r="AT619" s="8">
        <f>IF($O619="Aktif",MAX(0,MIN($AE619,$AD619-SUM($AG619:AS619))),0)</f>
        <v>0</v>
      </c>
      <c r="AU619" s="8">
        <f>IF($O619="Aktif",MAX(0,MIN($AE619,$AD619-SUM($AG619:AT619))),0)</f>
        <v>0</v>
      </c>
      <c r="AV619" s="8">
        <f>IF($O619="Aktif",MAX(0,MIN($AE619,$AD619-SUM($AG619:AU619))),0)</f>
        <v>0</v>
      </c>
      <c r="AW619" s="8">
        <f t="shared" si="68"/>
        <v>0</v>
      </c>
      <c r="AX619" s="8">
        <f t="shared" si="69"/>
        <v>0</v>
      </c>
    </row>
    <row r="620" spans="1:50" ht="15" customHeight="1" x14ac:dyDescent="0.35">
      <c r="A620" s="102">
        <v>614</v>
      </c>
      <c r="B620" s="102" t="s">
        <v>1326</v>
      </c>
      <c r="C620" s="103">
        <v>248</v>
      </c>
      <c r="D620" s="102" t="s">
        <v>185</v>
      </c>
      <c r="E620" s="102" t="s">
        <v>587</v>
      </c>
      <c r="F620" s="102" t="s">
        <v>1327</v>
      </c>
      <c r="G620" s="102" t="s">
        <v>1328</v>
      </c>
      <c r="H620" s="102" t="s">
        <v>1329</v>
      </c>
      <c r="I620" s="102" t="s">
        <v>63</v>
      </c>
      <c r="J620" s="102" t="s">
        <v>2001</v>
      </c>
      <c r="K620" s="102" t="s">
        <v>591</v>
      </c>
      <c r="L620" s="104">
        <v>42699</v>
      </c>
      <c r="M620" s="102" t="s">
        <v>2002</v>
      </c>
      <c r="N620" s="102" t="s">
        <v>2003</v>
      </c>
      <c r="O620" s="102" t="s">
        <v>383</v>
      </c>
      <c r="P620" s="103">
        <v>1</v>
      </c>
      <c r="Q620" s="105">
        <v>3500000</v>
      </c>
      <c r="R620" s="103">
        <v>48</v>
      </c>
      <c r="S620" s="105">
        <v>72916.666666666701</v>
      </c>
      <c r="T620" s="105">
        <v>3500000</v>
      </c>
      <c r="U620" s="105">
        <v>0</v>
      </c>
      <c r="V620" s="105">
        <v>0</v>
      </c>
      <c r="W620" s="105">
        <v>0</v>
      </c>
      <c r="X620" s="105">
        <v>0</v>
      </c>
      <c r="Y620" s="105">
        <v>0</v>
      </c>
      <c r="Z620" s="105">
        <v>0</v>
      </c>
      <c r="AA620" s="105">
        <v>0</v>
      </c>
      <c r="AB620" s="105">
        <v>0</v>
      </c>
      <c r="AC620" s="8">
        <f t="shared" si="63"/>
        <v>3500000</v>
      </c>
      <c r="AD620" s="8">
        <f t="shared" si="64"/>
        <v>0</v>
      </c>
      <c r="AE620" s="8">
        <f t="shared" si="65"/>
        <v>0</v>
      </c>
      <c r="AF620" s="106">
        <f t="shared" si="66"/>
        <v>0</v>
      </c>
      <c r="AG620" s="8">
        <f t="shared" si="67"/>
        <v>0</v>
      </c>
      <c r="AH620" s="8">
        <f>IF($O620="Aktif",MAX(0,MIN($AE620,$AD620-SUM($AG620:AG620))),0)</f>
        <v>0</v>
      </c>
      <c r="AI620" s="8">
        <f>IF($O620="Aktif",MAX(0,MIN($AE620,$AD620-SUM($AG620:AH620))),0)</f>
        <v>0</v>
      </c>
      <c r="AJ620" s="8">
        <f>IF($O620="Aktif",MAX(0,MIN($AE620,$AD620-SUM($AG620:AI620))),0)</f>
        <v>0</v>
      </c>
      <c r="AK620" s="8">
        <f>IF($O620="Aktif",MAX(0,MIN($AE620,$AD620-SUM($AG620:AJ620))),0)</f>
        <v>0</v>
      </c>
      <c r="AL620" s="8">
        <f>IF($O620="Aktif",MAX(0,MIN($AE620,$AD620-SUM($AG620:AK620))),0)</f>
        <v>0</v>
      </c>
      <c r="AM620" s="8">
        <f>IF($O620="Aktif",MAX(0,MIN($AE620,$AD620-SUM($AG620:AL620))),0)</f>
        <v>0</v>
      </c>
      <c r="AN620" s="8">
        <f>IF($O620="Aktif",MAX(0,MIN($AE620,$AD620-SUM($AG620:AM620))),0)</f>
        <v>0</v>
      </c>
      <c r="AO620" s="8">
        <f>IF($O620="Aktif",MAX(0,MIN($AE620,$AD620-SUM($AG620:AN620))),0)</f>
        <v>0</v>
      </c>
      <c r="AP620" s="8">
        <f>IF($O620="Aktif",MAX(0,MIN($AE620,$AD620-SUM($AG620:AO620))),0)</f>
        <v>0</v>
      </c>
      <c r="AQ620" s="8">
        <f>IF($O620="Aktif",MAX(0,MIN($AE620,$AD620-SUM($AG620:AP620))),0)</f>
        <v>0</v>
      </c>
      <c r="AR620" s="8">
        <f>IF($O620="Aktif",MAX(0,MIN($AE620,$AD620-SUM($AG620:AQ620))),0)</f>
        <v>0</v>
      </c>
      <c r="AS620" s="8">
        <f>IF($O620="Aktif",MAX(0,MIN($AE620,$AD620-SUM($AG620:AR620))),0)</f>
        <v>0</v>
      </c>
      <c r="AT620" s="8">
        <f>IF($O620="Aktif",MAX(0,MIN($AE620,$AD620-SUM($AG620:AS620))),0)</f>
        <v>0</v>
      </c>
      <c r="AU620" s="8">
        <f>IF($O620="Aktif",MAX(0,MIN($AE620,$AD620-SUM($AG620:AT620))),0)</f>
        <v>0</v>
      </c>
      <c r="AV620" s="8">
        <f>IF($O620="Aktif",MAX(0,MIN($AE620,$AD620-SUM($AG620:AU620))),0)</f>
        <v>0</v>
      </c>
      <c r="AW620" s="8">
        <f t="shared" si="68"/>
        <v>0</v>
      </c>
      <c r="AX620" s="8">
        <f t="shared" si="69"/>
        <v>0</v>
      </c>
    </row>
    <row r="621" spans="1:50" ht="15" customHeight="1" x14ac:dyDescent="0.35">
      <c r="A621" s="102">
        <v>615</v>
      </c>
      <c r="B621" s="102" t="s">
        <v>1326</v>
      </c>
      <c r="C621" s="103">
        <v>249</v>
      </c>
      <c r="D621" s="102" t="s">
        <v>185</v>
      </c>
      <c r="E621" s="102" t="s">
        <v>587</v>
      </c>
      <c r="F621" s="102" t="s">
        <v>1327</v>
      </c>
      <c r="G621" s="102" t="s">
        <v>1328</v>
      </c>
      <c r="H621" s="102" t="s">
        <v>1329</v>
      </c>
      <c r="I621" s="102" t="s">
        <v>63</v>
      </c>
      <c r="J621" s="102" t="s">
        <v>2004</v>
      </c>
      <c r="K621" s="102" t="s">
        <v>591</v>
      </c>
      <c r="L621" s="104">
        <v>42704</v>
      </c>
      <c r="M621" s="102" t="s">
        <v>2005</v>
      </c>
      <c r="N621" s="102" t="s">
        <v>2006</v>
      </c>
      <c r="O621" s="102" t="s">
        <v>383</v>
      </c>
      <c r="P621" s="103">
        <v>1</v>
      </c>
      <c r="Q621" s="105">
        <v>118500000</v>
      </c>
      <c r="R621" s="103">
        <v>48</v>
      </c>
      <c r="S621" s="105">
        <v>2468750</v>
      </c>
      <c r="T621" s="105">
        <v>118500000</v>
      </c>
      <c r="U621" s="105">
        <v>0</v>
      </c>
      <c r="V621" s="105">
        <v>0</v>
      </c>
      <c r="W621" s="105">
        <v>0</v>
      </c>
      <c r="X621" s="105">
        <v>0</v>
      </c>
      <c r="Y621" s="105">
        <v>0</v>
      </c>
      <c r="Z621" s="105">
        <v>0</v>
      </c>
      <c r="AA621" s="105">
        <v>0</v>
      </c>
      <c r="AB621" s="105">
        <v>0</v>
      </c>
      <c r="AC621" s="8">
        <f t="shared" si="63"/>
        <v>118500000</v>
      </c>
      <c r="AD621" s="8">
        <f t="shared" si="64"/>
        <v>0</v>
      </c>
      <c r="AE621" s="8">
        <f t="shared" si="65"/>
        <v>0</v>
      </c>
      <c r="AF621" s="106">
        <f t="shared" si="66"/>
        <v>0</v>
      </c>
      <c r="AG621" s="8">
        <f t="shared" si="67"/>
        <v>0</v>
      </c>
      <c r="AH621" s="8">
        <f>IF($O621="Aktif",MAX(0,MIN($AE621,$AD621-SUM($AG621:AG621))),0)</f>
        <v>0</v>
      </c>
      <c r="AI621" s="8">
        <f>IF($O621="Aktif",MAX(0,MIN($AE621,$AD621-SUM($AG621:AH621))),0)</f>
        <v>0</v>
      </c>
      <c r="AJ621" s="8">
        <f>IF($O621="Aktif",MAX(0,MIN($AE621,$AD621-SUM($AG621:AI621))),0)</f>
        <v>0</v>
      </c>
      <c r="AK621" s="8">
        <f>IF($O621="Aktif",MAX(0,MIN($AE621,$AD621-SUM($AG621:AJ621))),0)</f>
        <v>0</v>
      </c>
      <c r="AL621" s="8">
        <f>IF($O621="Aktif",MAX(0,MIN($AE621,$AD621-SUM($AG621:AK621))),0)</f>
        <v>0</v>
      </c>
      <c r="AM621" s="8">
        <f>IF($O621="Aktif",MAX(0,MIN($AE621,$AD621-SUM($AG621:AL621))),0)</f>
        <v>0</v>
      </c>
      <c r="AN621" s="8">
        <f>IF($O621="Aktif",MAX(0,MIN($AE621,$AD621-SUM($AG621:AM621))),0)</f>
        <v>0</v>
      </c>
      <c r="AO621" s="8">
        <f>IF($O621="Aktif",MAX(0,MIN($AE621,$AD621-SUM($AG621:AN621))),0)</f>
        <v>0</v>
      </c>
      <c r="AP621" s="8">
        <f>IF($O621="Aktif",MAX(0,MIN($AE621,$AD621-SUM($AG621:AO621))),0)</f>
        <v>0</v>
      </c>
      <c r="AQ621" s="8">
        <f>IF($O621="Aktif",MAX(0,MIN($AE621,$AD621-SUM($AG621:AP621))),0)</f>
        <v>0</v>
      </c>
      <c r="AR621" s="8">
        <f>IF($O621="Aktif",MAX(0,MIN($AE621,$AD621-SUM($AG621:AQ621))),0)</f>
        <v>0</v>
      </c>
      <c r="AS621" s="8">
        <f>IF($O621="Aktif",MAX(0,MIN($AE621,$AD621-SUM($AG621:AR621))),0)</f>
        <v>0</v>
      </c>
      <c r="AT621" s="8">
        <f>IF($O621="Aktif",MAX(0,MIN($AE621,$AD621-SUM($AG621:AS621))),0)</f>
        <v>0</v>
      </c>
      <c r="AU621" s="8">
        <f>IF($O621="Aktif",MAX(0,MIN($AE621,$AD621-SUM($AG621:AT621))),0)</f>
        <v>0</v>
      </c>
      <c r="AV621" s="8">
        <f>IF($O621="Aktif",MAX(0,MIN($AE621,$AD621-SUM($AG621:AU621))),0)</f>
        <v>0</v>
      </c>
      <c r="AW621" s="8">
        <f t="shared" si="68"/>
        <v>0</v>
      </c>
      <c r="AX621" s="8">
        <f t="shared" si="69"/>
        <v>0</v>
      </c>
    </row>
    <row r="622" spans="1:50" ht="15" customHeight="1" x14ac:dyDescent="0.35">
      <c r="A622" s="102">
        <v>616</v>
      </c>
      <c r="B622" s="102" t="s">
        <v>1326</v>
      </c>
      <c r="C622" s="103">
        <v>250</v>
      </c>
      <c r="D622" s="102" t="s">
        <v>185</v>
      </c>
      <c r="E622" s="102" t="s">
        <v>587</v>
      </c>
      <c r="F622" s="102" t="s">
        <v>1327</v>
      </c>
      <c r="G622" s="102" t="s">
        <v>1328</v>
      </c>
      <c r="H622" s="102" t="s">
        <v>1329</v>
      </c>
      <c r="I622" s="102" t="s">
        <v>63</v>
      </c>
      <c r="J622" s="102"/>
      <c r="K622" s="102" t="s">
        <v>591</v>
      </c>
      <c r="L622" s="102" t="s">
        <v>2007</v>
      </c>
      <c r="M622" s="102" t="s">
        <v>2005</v>
      </c>
      <c r="N622" s="102" t="s">
        <v>2008</v>
      </c>
      <c r="O622" s="102" t="s">
        <v>487</v>
      </c>
      <c r="P622" s="103">
        <v>1</v>
      </c>
      <c r="Q622" s="105">
        <v>-118500000</v>
      </c>
      <c r="R622" s="102"/>
      <c r="S622" s="105">
        <v>0</v>
      </c>
      <c r="T622" s="105">
        <v>-118500000</v>
      </c>
      <c r="U622" s="105">
        <v>0</v>
      </c>
      <c r="V622" s="105">
        <v>0</v>
      </c>
      <c r="W622" s="105">
        <v>0</v>
      </c>
      <c r="X622" s="105">
        <v>0</v>
      </c>
      <c r="Y622" s="105">
        <v>0</v>
      </c>
      <c r="Z622" s="105">
        <v>0</v>
      </c>
      <c r="AA622" s="105">
        <v>0</v>
      </c>
      <c r="AB622" s="105">
        <v>0</v>
      </c>
      <c r="AC622" s="8">
        <f t="shared" si="63"/>
        <v>-118500000</v>
      </c>
      <c r="AD622" s="8">
        <f t="shared" si="64"/>
        <v>0</v>
      </c>
      <c r="AE622" s="8">
        <f t="shared" si="65"/>
        <v>0</v>
      </c>
      <c r="AF622" s="106">
        <f t="shared" si="66"/>
        <v>0</v>
      </c>
      <c r="AG622" s="8">
        <f t="shared" si="67"/>
        <v>0</v>
      </c>
      <c r="AH622" s="8">
        <f>IF($O622="Aktif",MAX(0,MIN($AE622,$AD622-SUM($AG622:AG622))),0)</f>
        <v>0</v>
      </c>
      <c r="AI622" s="8">
        <f>IF($O622="Aktif",MAX(0,MIN($AE622,$AD622-SUM($AG622:AH622))),0)</f>
        <v>0</v>
      </c>
      <c r="AJ622" s="8">
        <f>IF($O622="Aktif",MAX(0,MIN($AE622,$AD622-SUM($AG622:AI622))),0)</f>
        <v>0</v>
      </c>
      <c r="AK622" s="8">
        <f>IF($O622="Aktif",MAX(0,MIN($AE622,$AD622-SUM($AG622:AJ622))),0)</f>
        <v>0</v>
      </c>
      <c r="AL622" s="8">
        <f>IF($O622="Aktif",MAX(0,MIN($AE622,$AD622-SUM($AG622:AK622))),0)</f>
        <v>0</v>
      </c>
      <c r="AM622" s="8">
        <f>IF($O622="Aktif",MAX(0,MIN($AE622,$AD622-SUM($AG622:AL622))),0)</f>
        <v>0</v>
      </c>
      <c r="AN622" s="8">
        <f>IF($O622="Aktif",MAX(0,MIN($AE622,$AD622-SUM($AG622:AM622))),0)</f>
        <v>0</v>
      </c>
      <c r="AO622" s="8">
        <f>IF($O622="Aktif",MAX(0,MIN($AE622,$AD622-SUM($AG622:AN622))),0)</f>
        <v>0</v>
      </c>
      <c r="AP622" s="8">
        <f>IF($O622="Aktif",MAX(0,MIN($AE622,$AD622-SUM($AG622:AO622))),0)</f>
        <v>0</v>
      </c>
      <c r="AQ622" s="8">
        <f>IF($O622="Aktif",MAX(0,MIN($AE622,$AD622-SUM($AG622:AP622))),0)</f>
        <v>0</v>
      </c>
      <c r="AR622" s="8">
        <f>IF($O622="Aktif",MAX(0,MIN($AE622,$AD622-SUM($AG622:AQ622))),0)</f>
        <v>0</v>
      </c>
      <c r="AS622" s="8">
        <f>IF($O622="Aktif",MAX(0,MIN($AE622,$AD622-SUM($AG622:AR622))),0)</f>
        <v>0</v>
      </c>
      <c r="AT622" s="8">
        <f>IF($O622="Aktif",MAX(0,MIN($AE622,$AD622-SUM($AG622:AS622))),0)</f>
        <v>0</v>
      </c>
      <c r="AU622" s="8">
        <f>IF($O622="Aktif",MAX(0,MIN($AE622,$AD622-SUM($AG622:AT622))),0)</f>
        <v>0</v>
      </c>
      <c r="AV622" s="8">
        <f>IF($O622="Aktif",MAX(0,MIN($AE622,$AD622-SUM($AG622:AU622))),0)</f>
        <v>0</v>
      </c>
      <c r="AW622" s="8">
        <f t="shared" si="68"/>
        <v>0</v>
      </c>
      <c r="AX622" s="8">
        <f t="shared" si="69"/>
        <v>0</v>
      </c>
    </row>
    <row r="623" spans="1:50" ht="15" customHeight="1" x14ac:dyDescent="0.35">
      <c r="A623" s="102">
        <v>617</v>
      </c>
      <c r="B623" s="102" t="s">
        <v>1326</v>
      </c>
      <c r="C623" s="103">
        <v>251</v>
      </c>
      <c r="D623" s="102" t="s">
        <v>185</v>
      </c>
      <c r="E623" s="102" t="s">
        <v>587</v>
      </c>
      <c r="F623" s="102" t="s">
        <v>1327</v>
      </c>
      <c r="G623" s="102" t="s">
        <v>1328</v>
      </c>
      <c r="H623" s="102" t="s">
        <v>1329</v>
      </c>
      <c r="I623" s="102" t="s">
        <v>63</v>
      </c>
      <c r="J623" s="102" t="s">
        <v>2009</v>
      </c>
      <c r="K623" s="102" t="s">
        <v>591</v>
      </c>
      <c r="L623" s="104">
        <v>42706</v>
      </c>
      <c r="M623" s="102" t="s">
        <v>2010</v>
      </c>
      <c r="N623" s="102" t="s">
        <v>2011</v>
      </c>
      <c r="O623" s="102" t="s">
        <v>383</v>
      </c>
      <c r="P623" s="103">
        <v>1</v>
      </c>
      <c r="Q623" s="105">
        <v>10100000</v>
      </c>
      <c r="R623" s="103">
        <v>48</v>
      </c>
      <c r="S623" s="105">
        <v>210416.66666666701</v>
      </c>
      <c r="T623" s="105">
        <v>10100000</v>
      </c>
      <c r="U623" s="105">
        <v>0</v>
      </c>
      <c r="V623" s="105">
        <v>0</v>
      </c>
      <c r="W623" s="105">
        <v>0</v>
      </c>
      <c r="X623" s="105">
        <v>0</v>
      </c>
      <c r="Y623" s="105">
        <v>0</v>
      </c>
      <c r="Z623" s="105">
        <v>0</v>
      </c>
      <c r="AA623" s="105">
        <v>0</v>
      </c>
      <c r="AB623" s="105">
        <v>0</v>
      </c>
      <c r="AC623" s="8">
        <f t="shared" si="63"/>
        <v>10100000</v>
      </c>
      <c r="AD623" s="8">
        <f t="shared" si="64"/>
        <v>0</v>
      </c>
      <c r="AE623" s="8">
        <f t="shared" si="65"/>
        <v>0</v>
      </c>
      <c r="AF623" s="106">
        <f t="shared" si="66"/>
        <v>0</v>
      </c>
      <c r="AG623" s="8">
        <f t="shared" si="67"/>
        <v>0</v>
      </c>
      <c r="AH623" s="8">
        <f>IF($O623="Aktif",MAX(0,MIN($AE623,$AD623-SUM($AG623:AG623))),0)</f>
        <v>0</v>
      </c>
      <c r="AI623" s="8">
        <f>IF($O623="Aktif",MAX(0,MIN($AE623,$AD623-SUM($AG623:AH623))),0)</f>
        <v>0</v>
      </c>
      <c r="AJ623" s="8">
        <f>IF($O623="Aktif",MAX(0,MIN($AE623,$AD623-SUM($AG623:AI623))),0)</f>
        <v>0</v>
      </c>
      <c r="AK623" s="8">
        <f>IF($O623="Aktif",MAX(0,MIN($AE623,$AD623-SUM($AG623:AJ623))),0)</f>
        <v>0</v>
      </c>
      <c r="AL623" s="8">
        <f>IF($O623="Aktif",MAX(0,MIN($AE623,$AD623-SUM($AG623:AK623))),0)</f>
        <v>0</v>
      </c>
      <c r="AM623" s="8">
        <f>IF($O623="Aktif",MAX(0,MIN($AE623,$AD623-SUM($AG623:AL623))),0)</f>
        <v>0</v>
      </c>
      <c r="AN623" s="8">
        <f>IF($O623="Aktif",MAX(0,MIN($AE623,$AD623-SUM($AG623:AM623))),0)</f>
        <v>0</v>
      </c>
      <c r="AO623" s="8">
        <f>IF($O623="Aktif",MAX(0,MIN($AE623,$AD623-SUM($AG623:AN623))),0)</f>
        <v>0</v>
      </c>
      <c r="AP623" s="8">
        <f>IF($O623="Aktif",MAX(0,MIN($AE623,$AD623-SUM($AG623:AO623))),0)</f>
        <v>0</v>
      </c>
      <c r="AQ623" s="8">
        <f>IF($O623="Aktif",MAX(0,MIN($AE623,$AD623-SUM($AG623:AP623))),0)</f>
        <v>0</v>
      </c>
      <c r="AR623" s="8">
        <f>IF($O623="Aktif",MAX(0,MIN($AE623,$AD623-SUM($AG623:AQ623))),0)</f>
        <v>0</v>
      </c>
      <c r="AS623" s="8">
        <f>IF($O623="Aktif",MAX(0,MIN($AE623,$AD623-SUM($AG623:AR623))),0)</f>
        <v>0</v>
      </c>
      <c r="AT623" s="8">
        <f>IF($O623="Aktif",MAX(0,MIN($AE623,$AD623-SUM($AG623:AS623))),0)</f>
        <v>0</v>
      </c>
      <c r="AU623" s="8">
        <f>IF($O623="Aktif",MAX(0,MIN($AE623,$AD623-SUM($AG623:AT623))),0)</f>
        <v>0</v>
      </c>
      <c r="AV623" s="8">
        <f>IF($O623="Aktif",MAX(0,MIN($AE623,$AD623-SUM($AG623:AU623))),0)</f>
        <v>0</v>
      </c>
      <c r="AW623" s="8">
        <f t="shared" si="68"/>
        <v>0</v>
      </c>
      <c r="AX623" s="8">
        <f t="shared" si="69"/>
        <v>0</v>
      </c>
    </row>
    <row r="624" spans="1:50" ht="15" customHeight="1" x14ac:dyDescent="0.35">
      <c r="A624" s="102">
        <v>618</v>
      </c>
      <c r="B624" s="102" t="s">
        <v>1326</v>
      </c>
      <c r="C624" s="103">
        <v>252</v>
      </c>
      <c r="D624" s="102" t="s">
        <v>185</v>
      </c>
      <c r="E624" s="102" t="s">
        <v>587</v>
      </c>
      <c r="F624" s="102" t="s">
        <v>1327</v>
      </c>
      <c r="G624" s="102" t="s">
        <v>1328</v>
      </c>
      <c r="H624" s="102" t="s">
        <v>1329</v>
      </c>
      <c r="I624" s="102" t="s">
        <v>63</v>
      </c>
      <c r="J624" s="102" t="s">
        <v>2012</v>
      </c>
      <c r="K624" s="102" t="s">
        <v>591</v>
      </c>
      <c r="L624" s="104">
        <v>42769</v>
      </c>
      <c r="M624" s="102" t="s">
        <v>2013</v>
      </c>
      <c r="N624" s="102" t="s">
        <v>2014</v>
      </c>
      <c r="O624" s="102" t="s">
        <v>383</v>
      </c>
      <c r="P624" s="103">
        <v>1</v>
      </c>
      <c r="Q624" s="105">
        <v>1700000</v>
      </c>
      <c r="R624" s="103">
        <v>48</v>
      </c>
      <c r="S624" s="105">
        <v>35416.666666666701</v>
      </c>
      <c r="T624" s="105">
        <v>1700000</v>
      </c>
      <c r="U624" s="105">
        <v>0</v>
      </c>
      <c r="V624" s="105">
        <v>0</v>
      </c>
      <c r="W624" s="105">
        <v>0</v>
      </c>
      <c r="X624" s="105">
        <v>0</v>
      </c>
      <c r="Y624" s="105">
        <v>0</v>
      </c>
      <c r="Z624" s="105">
        <v>0</v>
      </c>
      <c r="AA624" s="105">
        <v>0</v>
      </c>
      <c r="AB624" s="105">
        <v>0</v>
      </c>
      <c r="AC624" s="8">
        <f t="shared" si="63"/>
        <v>1700000</v>
      </c>
      <c r="AD624" s="8">
        <f t="shared" si="64"/>
        <v>0</v>
      </c>
      <c r="AE624" s="8">
        <f t="shared" si="65"/>
        <v>0</v>
      </c>
      <c r="AF624" s="106">
        <f t="shared" si="66"/>
        <v>0</v>
      </c>
      <c r="AG624" s="8">
        <f t="shared" si="67"/>
        <v>0</v>
      </c>
      <c r="AH624" s="8">
        <f>IF($O624="Aktif",MAX(0,MIN($AE624,$AD624-SUM($AG624:AG624))),0)</f>
        <v>0</v>
      </c>
      <c r="AI624" s="8">
        <f>IF($O624="Aktif",MAX(0,MIN($AE624,$AD624-SUM($AG624:AH624))),0)</f>
        <v>0</v>
      </c>
      <c r="AJ624" s="8">
        <f>IF($O624="Aktif",MAX(0,MIN($AE624,$AD624-SUM($AG624:AI624))),0)</f>
        <v>0</v>
      </c>
      <c r="AK624" s="8">
        <f>IF($O624="Aktif",MAX(0,MIN($AE624,$AD624-SUM($AG624:AJ624))),0)</f>
        <v>0</v>
      </c>
      <c r="AL624" s="8">
        <f>IF($O624="Aktif",MAX(0,MIN($AE624,$AD624-SUM($AG624:AK624))),0)</f>
        <v>0</v>
      </c>
      <c r="AM624" s="8">
        <f>IF($O624="Aktif",MAX(0,MIN($AE624,$AD624-SUM($AG624:AL624))),0)</f>
        <v>0</v>
      </c>
      <c r="AN624" s="8">
        <f>IF($O624="Aktif",MAX(0,MIN($AE624,$AD624-SUM($AG624:AM624))),0)</f>
        <v>0</v>
      </c>
      <c r="AO624" s="8">
        <f>IF($O624="Aktif",MAX(0,MIN($AE624,$AD624-SUM($AG624:AN624))),0)</f>
        <v>0</v>
      </c>
      <c r="AP624" s="8">
        <f>IF($O624="Aktif",MAX(0,MIN($AE624,$AD624-SUM($AG624:AO624))),0)</f>
        <v>0</v>
      </c>
      <c r="AQ624" s="8">
        <f>IF($O624="Aktif",MAX(0,MIN($AE624,$AD624-SUM($AG624:AP624))),0)</f>
        <v>0</v>
      </c>
      <c r="AR624" s="8">
        <f>IF($O624="Aktif",MAX(0,MIN($AE624,$AD624-SUM($AG624:AQ624))),0)</f>
        <v>0</v>
      </c>
      <c r="AS624" s="8">
        <f>IF($O624="Aktif",MAX(0,MIN($AE624,$AD624-SUM($AG624:AR624))),0)</f>
        <v>0</v>
      </c>
      <c r="AT624" s="8">
        <f>IF($O624="Aktif",MAX(0,MIN($AE624,$AD624-SUM($AG624:AS624))),0)</f>
        <v>0</v>
      </c>
      <c r="AU624" s="8">
        <f>IF($O624="Aktif",MAX(0,MIN($AE624,$AD624-SUM($AG624:AT624))),0)</f>
        <v>0</v>
      </c>
      <c r="AV624" s="8">
        <f>IF($O624="Aktif",MAX(0,MIN($AE624,$AD624-SUM($AG624:AU624))),0)</f>
        <v>0</v>
      </c>
      <c r="AW624" s="8">
        <f t="shared" si="68"/>
        <v>0</v>
      </c>
      <c r="AX624" s="8">
        <f t="shared" si="69"/>
        <v>0</v>
      </c>
    </row>
    <row r="625" spans="1:50" ht="15" customHeight="1" x14ac:dyDescent="0.35">
      <c r="A625" s="102">
        <v>619</v>
      </c>
      <c r="B625" s="102" t="s">
        <v>1326</v>
      </c>
      <c r="C625" s="103">
        <v>253</v>
      </c>
      <c r="D625" s="102" t="s">
        <v>185</v>
      </c>
      <c r="E625" s="102" t="s">
        <v>587</v>
      </c>
      <c r="F625" s="102" t="s">
        <v>1327</v>
      </c>
      <c r="G625" s="102" t="s">
        <v>1328</v>
      </c>
      <c r="H625" s="102" t="s">
        <v>1329</v>
      </c>
      <c r="I625" s="102" t="s">
        <v>63</v>
      </c>
      <c r="J625" s="102" t="s">
        <v>2015</v>
      </c>
      <c r="K625" s="102" t="s">
        <v>591</v>
      </c>
      <c r="L625" s="104">
        <v>42776</v>
      </c>
      <c r="M625" s="102" t="s">
        <v>2016</v>
      </c>
      <c r="N625" s="102" t="s">
        <v>2017</v>
      </c>
      <c r="O625" s="102" t="s">
        <v>383</v>
      </c>
      <c r="P625" s="103">
        <v>1</v>
      </c>
      <c r="Q625" s="105">
        <v>3200000</v>
      </c>
      <c r="R625" s="103">
        <v>48</v>
      </c>
      <c r="S625" s="105">
        <v>66666.666666666701</v>
      </c>
      <c r="T625" s="105">
        <v>3200000</v>
      </c>
      <c r="U625" s="105">
        <v>0</v>
      </c>
      <c r="V625" s="105">
        <v>0</v>
      </c>
      <c r="W625" s="105">
        <v>0</v>
      </c>
      <c r="X625" s="105">
        <v>0</v>
      </c>
      <c r="Y625" s="105">
        <v>0</v>
      </c>
      <c r="Z625" s="105">
        <v>0</v>
      </c>
      <c r="AA625" s="105">
        <v>0</v>
      </c>
      <c r="AB625" s="105">
        <v>0</v>
      </c>
      <c r="AC625" s="8">
        <f t="shared" si="63"/>
        <v>3200000</v>
      </c>
      <c r="AD625" s="8">
        <f t="shared" si="64"/>
        <v>0</v>
      </c>
      <c r="AE625" s="8">
        <f t="shared" si="65"/>
        <v>0</v>
      </c>
      <c r="AF625" s="106">
        <f t="shared" si="66"/>
        <v>0</v>
      </c>
      <c r="AG625" s="8">
        <f t="shared" si="67"/>
        <v>0</v>
      </c>
      <c r="AH625" s="8">
        <f>IF($O625="Aktif",MAX(0,MIN($AE625,$AD625-SUM($AG625:AG625))),0)</f>
        <v>0</v>
      </c>
      <c r="AI625" s="8">
        <f>IF($O625="Aktif",MAX(0,MIN($AE625,$AD625-SUM($AG625:AH625))),0)</f>
        <v>0</v>
      </c>
      <c r="AJ625" s="8">
        <f>IF($O625="Aktif",MAX(0,MIN($AE625,$AD625-SUM($AG625:AI625))),0)</f>
        <v>0</v>
      </c>
      <c r="AK625" s="8">
        <f>IF($O625="Aktif",MAX(0,MIN($AE625,$AD625-SUM($AG625:AJ625))),0)</f>
        <v>0</v>
      </c>
      <c r="AL625" s="8">
        <f>IF($O625="Aktif",MAX(0,MIN($AE625,$AD625-SUM($AG625:AK625))),0)</f>
        <v>0</v>
      </c>
      <c r="AM625" s="8">
        <f>IF($O625="Aktif",MAX(0,MIN($AE625,$AD625-SUM($AG625:AL625))),0)</f>
        <v>0</v>
      </c>
      <c r="AN625" s="8">
        <f>IF($O625="Aktif",MAX(0,MIN($AE625,$AD625-SUM($AG625:AM625))),0)</f>
        <v>0</v>
      </c>
      <c r="AO625" s="8">
        <f>IF($O625="Aktif",MAX(0,MIN($AE625,$AD625-SUM($AG625:AN625))),0)</f>
        <v>0</v>
      </c>
      <c r="AP625" s="8">
        <f>IF($O625="Aktif",MAX(0,MIN($AE625,$AD625-SUM($AG625:AO625))),0)</f>
        <v>0</v>
      </c>
      <c r="AQ625" s="8">
        <f>IF($O625="Aktif",MAX(0,MIN($AE625,$AD625-SUM($AG625:AP625))),0)</f>
        <v>0</v>
      </c>
      <c r="AR625" s="8">
        <f>IF($O625="Aktif",MAX(0,MIN($AE625,$AD625-SUM($AG625:AQ625))),0)</f>
        <v>0</v>
      </c>
      <c r="AS625" s="8">
        <f>IF($O625="Aktif",MAX(0,MIN($AE625,$AD625-SUM($AG625:AR625))),0)</f>
        <v>0</v>
      </c>
      <c r="AT625" s="8">
        <f>IF($O625="Aktif",MAX(0,MIN($AE625,$AD625-SUM($AG625:AS625))),0)</f>
        <v>0</v>
      </c>
      <c r="AU625" s="8">
        <f>IF($O625="Aktif",MAX(0,MIN($AE625,$AD625-SUM($AG625:AT625))),0)</f>
        <v>0</v>
      </c>
      <c r="AV625" s="8">
        <f>IF($O625="Aktif",MAX(0,MIN($AE625,$AD625-SUM($AG625:AU625))),0)</f>
        <v>0</v>
      </c>
      <c r="AW625" s="8">
        <f t="shared" si="68"/>
        <v>0</v>
      </c>
      <c r="AX625" s="8">
        <f t="shared" si="69"/>
        <v>0</v>
      </c>
    </row>
    <row r="626" spans="1:50" ht="15" customHeight="1" x14ac:dyDescent="0.35">
      <c r="A626" s="102">
        <v>620</v>
      </c>
      <c r="B626" s="102" t="s">
        <v>1326</v>
      </c>
      <c r="C626" s="103">
        <v>254</v>
      </c>
      <c r="D626" s="102" t="s">
        <v>185</v>
      </c>
      <c r="E626" s="102" t="s">
        <v>587</v>
      </c>
      <c r="F626" s="102" t="s">
        <v>1327</v>
      </c>
      <c r="G626" s="102" t="s">
        <v>1328</v>
      </c>
      <c r="H626" s="102" t="s">
        <v>1329</v>
      </c>
      <c r="I626" s="102" t="s">
        <v>63</v>
      </c>
      <c r="J626" s="102" t="s">
        <v>2018</v>
      </c>
      <c r="K626" s="102" t="s">
        <v>591</v>
      </c>
      <c r="L626" s="104">
        <v>42794</v>
      </c>
      <c r="M626" s="102" t="s">
        <v>867</v>
      </c>
      <c r="N626" s="102" t="s">
        <v>2019</v>
      </c>
      <c r="O626" s="102" t="s">
        <v>383</v>
      </c>
      <c r="P626" s="103">
        <v>1</v>
      </c>
      <c r="Q626" s="105">
        <v>585000</v>
      </c>
      <c r="R626" s="103">
        <v>48</v>
      </c>
      <c r="S626" s="105">
        <v>12187.5</v>
      </c>
      <c r="T626" s="105">
        <v>585000</v>
      </c>
      <c r="U626" s="105">
        <v>0</v>
      </c>
      <c r="V626" s="105">
        <v>0</v>
      </c>
      <c r="W626" s="105">
        <v>0</v>
      </c>
      <c r="X626" s="105">
        <v>0</v>
      </c>
      <c r="Y626" s="105">
        <v>0</v>
      </c>
      <c r="Z626" s="105">
        <v>0</v>
      </c>
      <c r="AA626" s="105">
        <v>0</v>
      </c>
      <c r="AB626" s="105">
        <v>0</v>
      </c>
      <c r="AC626" s="8">
        <f t="shared" si="63"/>
        <v>585000</v>
      </c>
      <c r="AD626" s="8">
        <f t="shared" si="64"/>
        <v>0</v>
      </c>
      <c r="AE626" s="8">
        <f t="shared" si="65"/>
        <v>0</v>
      </c>
      <c r="AF626" s="106">
        <f t="shared" si="66"/>
        <v>0</v>
      </c>
      <c r="AG626" s="8">
        <f t="shared" si="67"/>
        <v>0</v>
      </c>
      <c r="AH626" s="8">
        <f>IF($O626="Aktif",MAX(0,MIN($AE626,$AD626-SUM($AG626:AG626))),0)</f>
        <v>0</v>
      </c>
      <c r="AI626" s="8">
        <f>IF($O626="Aktif",MAX(0,MIN($AE626,$AD626-SUM($AG626:AH626))),0)</f>
        <v>0</v>
      </c>
      <c r="AJ626" s="8">
        <f>IF($O626="Aktif",MAX(0,MIN($AE626,$AD626-SUM($AG626:AI626))),0)</f>
        <v>0</v>
      </c>
      <c r="AK626" s="8">
        <f>IF($O626="Aktif",MAX(0,MIN($AE626,$AD626-SUM($AG626:AJ626))),0)</f>
        <v>0</v>
      </c>
      <c r="AL626" s="8">
        <f>IF($O626="Aktif",MAX(0,MIN($AE626,$AD626-SUM($AG626:AK626))),0)</f>
        <v>0</v>
      </c>
      <c r="AM626" s="8">
        <f>IF($O626="Aktif",MAX(0,MIN($AE626,$AD626-SUM($AG626:AL626))),0)</f>
        <v>0</v>
      </c>
      <c r="AN626" s="8">
        <f>IF($O626="Aktif",MAX(0,MIN($AE626,$AD626-SUM($AG626:AM626))),0)</f>
        <v>0</v>
      </c>
      <c r="AO626" s="8">
        <f>IF($O626="Aktif",MAX(0,MIN($AE626,$AD626-SUM($AG626:AN626))),0)</f>
        <v>0</v>
      </c>
      <c r="AP626" s="8">
        <f>IF($O626="Aktif",MAX(0,MIN($AE626,$AD626-SUM($AG626:AO626))),0)</f>
        <v>0</v>
      </c>
      <c r="AQ626" s="8">
        <f>IF($O626="Aktif",MAX(0,MIN($AE626,$AD626-SUM($AG626:AP626))),0)</f>
        <v>0</v>
      </c>
      <c r="AR626" s="8">
        <f>IF($O626="Aktif",MAX(0,MIN($AE626,$AD626-SUM($AG626:AQ626))),0)</f>
        <v>0</v>
      </c>
      <c r="AS626" s="8">
        <f>IF($O626="Aktif",MAX(0,MIN($AE626,$AD626-SUM($AG626:AR626))),0)</f>
        <v>0</v>
      </c>
      <c r="AT626" s="8">
        <f>IF($O626="Aktif",MAX(0,MIN($AE626,$AD626-SUM($AG626:AS626))),0)</f>
        <v>0</v>
      </c>
      <c r="AU626" s="8">
        <f>IF($O626="Aktif",MAX(0,MIN($AE626,$AD626-SUM($AG626:AT626))),0)</f>
        <v>0</v>
      </c>
      <c r="AV626" s="8">
        <f>IF($O626="Aktif",MAX(0,MIN($AE626,$AD626-SUM($AG626:AU626))),0)</f>
        <v>0</v>
      </c>
      <c r="AW626" s="8">
        <f t="shared" si="68"/>
        <v>0</v>
      </c>
      <c r="AX626" s="8">
        <f t="shared" si="69"/>
        <v>0</v>
      </c>
    </row>
    <row r="627" spans="1:50" ht="15" customHeight="1" x14ac:dyDescent="0.35">
      <c r="A627" s="102">
        <v>621</v>
      </c>
      <c r="B627" s="102" t="s">
        <v>1326</v>
      </c>
      <c r="C627" s="103">
        <v>255</v>
      </c>
      <c r="D627" s="102" t="s">
        <v>185</v>
      </c>
      <c r="E627" s="102" t="s">
        <v>587</v>
      </c>
      <c r="F627" s="102" t="s">
        <v>1327</v>
      </c>
      <c r="G627" s="102" t="s">
        <v>1328</v>
      </c>
      <c r="H627" s="102" t="s">
        <v>1329</v>
      </c>
      <c r="I627" s="102" t="s">
        <v>63</v>
      </c>
      <c r="J627" s="102" t="s">
        <v>2020</v>
      </c>
      <c r="K627" s="102" t="s">
        <v>591</v>
      </c>
      <c r="L627" s="104">
        <v>42794</v>
      </c>
      <c r="M627" s="102" t="s">
        <v>2021</v>
      </c>
      <c r="N627" s="102" t="s">
        <v>2022</v>
      </c>
      <c r="O627" s="102" t="s">
        <v>383</v>
      </c>
      <c r="P627" s="103">
        <v>1</v>
      </c>
      <c r="Q627" s="105">
        <v>65000000</v>
      </c>
      <c r="R627" s="103">
        <v>48</v>
      </c>
      <c r="S627" s="105">
        <v>1354166.66666667</v>
      </c>
      <c r="T627" s="105">
        <v>65000000</v>
      </c>
      <c r="U627" s="105">
        <v>0</v>
      </c>
      <c r="V627" s="105">
        <v>0</v>
      </c>
      <c r="W627" s="105">
        <v>0</v>
      </c>
      <c r="X627" s="105">
        <v>0</v>
      </c>
      <c r="Y627" s="105">
        <v>0</v>
      </c>
      <c r="Z627" s="105">
        <v>0</v>
      </c>
      <c r="AA627" s="105">
        <v>0</v>
      </c>
      <c r="AB627" s="105">
        <v>0</v>
      </c>
      <c r="AC627" s="8">
        <f t="shared" si="63"/>
        <v>65000000</v>
      </c>
      <c r="AD627" s="8">
        <f t="shared" si="64"/>
        <v>0</v>
      </c>
      <c r="AE627" s="8">
        <f t="shared" si="65"/>
        <v>0</v>
      </c>
      <c r="AF627" s="106">
        <f t="shared" si="66"/>
        <v>0</v>
      </c>
      <c r="AG627" s="8">
        <f t="shared" si="67"/>
        <v>0</v>
      </c>
      <c r="AH627" s="8">
        <f>IF($O627="Aktif",MAX(0,MIN($AE627,$AD627-SUM($AG627:AG627))),0)</f>
        <v>0</v>
      </c>
      <c r="AI627" s="8">
        <f>IF($O627="Aktif",MAX(0,MIN($AE627,$AD627-SUM($AG627:AH627))),0)</f>
        <v>0</v>
      </c>
      <c r="AJ627" s="8">
        <f>IF($O627="Aktif",MAX(0,MIN($AE627,$AD627-SUM($AG627:AI627))),0)</f>
        <v>0</v>
      </c>
      <c r="AK627" s="8">
        <f>IF($O627="Aktif",MAX(0,MIN($AE627,$AD627-SUM($AG627:AJ627))),0)</f>
        <v>0</v>
      </c>
      <c r="AL627" s="8">
        <f>IF($O627="Aktif",MAX(0,MIN($AE627,$AD627-SUM($AG627:AK627))),0)</f>
        <v>0</v>
      </c>
      <c r="AM627" s="8">
        <f>IF($O627="Aktif",MAX(0,MIN($AE627,$AD627-SUM($AG627:AL627))),0)</f>
        <v>0</v>
      </c>
      <c r="AN627" s="8">
        <f>IF($O627="Aktif",MAX(0,MIN($AE627,$AD627-SUM($AG627:AM627))),0)</f>
        <v>0</v>
      </c>
      <c r="AO627" s="8">
        <f>IF($O627="Aktif",MAX(0,MIN($AE627,$AD627-SUM($AG627:AN627))),0)</f>
        <v>0</v>
      </c>
      <c r="AP627" s="8">
        <f>IF($O627="Aktif",MAX(0,MIN($AE627,$AD627-SUM($AG627:AO627))),0)</f>
        <v>0</v>
      </c>
      <c r="AQ627" s="8">
        <f>IF($O627="Aktif",MAX(0,MIN($AE627,$AD627-SUM($AG627:AP627))),0)</f>
        <v>0</v>
      </c>
      <c r="AR627" s="8">
        <f>IF($O627="Aktif",MAX(0,MIN($AE627,$AD627-SUM($AG627:AQ627))),0)</f>
        <v>0</v>
      </c>
      <c r="AS627" s="8">
        <f>IF($O627="Aktif",MAX(0,MIN($AE627,$AD627-SUM($AG627:AR627))),0)</f>
        <v>0</v>
      </c>
      <c r="AT627" s="8">
        <f>IF($O627="Aktif",MAX(0,MIN($AE627,$AD627-SUM($AG627:AS627))),0)</f>
        <v>0</v>
      </c>
      <c r="AU627" s="8">
        <f>IF($O627="Aktif",MAX(0,MIN($AE627,$AD627-SUM($AG627:AT627))),0)</f>
        <v>0</v>
      </c>
      <c r="AV627" s="8">
        <f>IF($O627="Aktif",MAX(0,MIN($AE627,$AD627-SUM($AG627:AU627))),0)</f>
        <v>0</v>
      </c>
      <c r="AW627" s="8">
        <f t="shared" si="68"/>
        <v>0</v>
      </c>
      <c r="AX627" s="8">
        <f t="shared" si="69"/>
        <v>0</v>
      </c>
    </row>
    <row r="628" spans="1:50" ht="15" customHeight="1" x14ac:dyDescent="0.35">
      <c r="A628" s="102">
        <v>622</v>
      </c>
      <c r="B628" s="102" t="s">
        <v>1326</v>
      </c>
      <c r="C628" s="103">
        <v>256</v>
      </c>
      <c r="D628" s="102" t="s">
        <v>185</v>
      </c>
      <c r="E628" s="102" t="s">
        <v>587</v>
      </c>
      <c r="F628" s="102" t="s">
        <v>1327</v>
      </c>
      <c r="G628" s="102" t="s">
        <v>1328</v>
      </c>
      <c r="H628" s="102" t="s">
        <v>1329</v>
      </c>
      <c r="I628" s="102" t="s">
        <v>63</v>
      </c>
      <c r="J628" s="102" t="s">
        <v>2023</v>
      </c>
      <c r="K628" s="102" t="s">
        <v>591</v>
      </c>
      <c r="L628" s="104">
        <v>42794</v>
      </c>
      <c r="M628" s="102" t="s">
        <v>2024</v>
      </c>
      <c r="N628" s="102" t="s">
        <v>2025</v>
      </c>
      <c r="O628" s="102" t="s">
        <v>383</v>
      </c>
      <c r="P628" s="103">
        <v>1</v>
      </c>
      <c r="Q628" s="105">
        <v>6035000</v>
      </c>
      <c r="R628" s="103">
        <v>48</v>
      </c>
      <c r="S628" s="105">
        <v>125729.16666666701</v>
      </c>
      <c r="T628" s="105">
        <v>6035000</v>
      </c>
      <c r="U628" s="105">
        <v>0</v>
      </c>
      <c r="V628" s="105">
        <v>0</v>
      </c>
      <c r="W628" s="105">
        <v>0</v>
      </c>
      <c r="X628" s="105">
        <v>0</v>
      </c>
      <c r="Y628" s="105">
        <v>0</v>
      </c>
      <c r="Z628" s="105">
        <v>0</v>
      </c>
      <c r="AA628" s="105">
        <v>0</v>
      </c>
      <c r="AB628" s="105">
        <v>0</v>
      </c>
      <c r="AC628" s="8">
        <f t="shared" si="63"/>
        <v>6035000</v>
      </c>
      <c r="AD628" s="8">
        <f t="shared" si="64"/>
        <v>0</v>
      </c>
      <c r="AE628" s="8">
        <f t="shared" si="65"/>
        <v>0</v>
      </c>
      <c r="AF628" s="106">
        <f t="shared" si="66"/>
        <v>0</v>
      </c>
      <c r="AG628" s="8">
        <f t="shared" si="67"/>
        <v>0</v>
      </c>
      <c r="AH628" s="8">
        <f>IF($O628="Aktif",MAX(0,MIN($AE628,$AD628-SUM($AG628:AG628))),0)</f>
        <v>0</v>
      </c>
      <c r="AI628" s="8">
        <f>IF($O628="Aktif",MAX(0,MIN($AE628,$AD628-SUM($AG628:AH628))),0)</f>
        <v>0</v>
      </c>
      <c r="AJ628" s="8">
        <f>IF($O628="Aktif",MAX(0,MIN($AE628,$AD628-SUM($AG628:AI628))),0)</f>
        <v>0</v>
      </c>
      <c r="AK628" s="8">
        <f>IF($O628="Aktif",MAX(0,MIN($AE628,$AD628-SUM($AG628:AJ628))),0)</f>
        <v>0</v>
      </c>
      <c r="AL628" s="8">
        <f>IF($O628="Aktif",MAX(0,MIN($AE628,$AD628-SUM($AG628:AK628))),0)</f>
        <v>0</v>
      </c>
      <c r="AM628" s="8">
        <f>IF($O628="Aktif",MAX(0,MIN($AE628,$AD628-SUM($AG628:AL628))),0)</f>
        <v>0</v>
      </c>
      <c r="AN628" s="8">
        <f>IF($O628="Aktif",MAX(0,MIN($AE628,$AD628-SUM($AG628:AM628))),0)</f>
        <v>0</v>
      </c>
      <c r="AO628" s="8">
        <f>IF($O628="Aktif",MAX(0,MIN($AE628,$AD628-SUM($AG628:AN628))),0)</f>
        <v>0</v>
      </c>
      <c r="AP628" s="8">
        <f>IF($O628="Aktif",MAX(0,MIN($AE628,$AD628-SUM($AG628:AO628))),0)</f>
        <v>0</v>
      </c>
      <c r="AQ628" s="8">
        <f>IF($O628="Aktif",MAX(0,MIN($AE628,$AD628-SUM($AG628:AP628))),0)</f>
        <v>0</v>
      </c>
      <c r="AR628" s="8">
        <f>IF($O628="Aktif",MAX(0,MIN($AE628,$AD628-SUM($AG628:AQ628))),0)</f>
        <v>0</v>
      </c>
      <c r="AS628" s="8">
        <f>IF($O628="Aktif",MAX(0,MIN($AE628,$AD628-SUM($AG628:AR628))),0)</f>
        <v>0</v>
      </c>
      <c r="AT628" s="8">
        <f>IF($O628="Aktif",MAX(0,MIN($AE628,$AD628-SUM($AG628:AS628))),0)</f>
        <v>0</v>
      </c>
      <c r="AU628" s="8">
        <f>IF($O628="Aktif",MAX(0,MIN($AE628,$AD628-SUM($AG628:AT628))),0)</f>
        <v>0</v>
      </c>
      <c r="AV628" s="8">
        <f>IF($O628="Aktif",MAX(0,MIN($AE628,$AD628-SUM($AG628:AU628))),0)</f>
        <v>0</v>
      </c>
      <c r="AW628" s="8">
        <f t="shared" si="68"/>
        <v>0</v>
      </c>
      <c r="AX628" s="8">
        <f t="shared" si="69"/>
        <v>0</v>
      </c>
    </row>
    <row r="629" spans="1:50" ht="15" customHeight="1" x14ac:dyDescent="0.35">
      <c r="A629" s="102">
        <v>623</v>
      </c>
      <c r="B629" s="102" t="s">
        <v>1326</v>
      </c>
      <c r="C629" s="103">
        <v>257</v>
      </c>
      <c r="D629" s="102" t="s">
        <v>185</v>
      </c>
      <c r="E629" s="102" t="s">
        <v>587</v>
      </c>
      <c r="F629" s="102" t="s">
        <v>1327</v>
      </c>
      <c r="G629" s="102" t="s">
        <v>1328</v>
      </c>
      <c r="H629" s="102" t="s">
        <v>1329</v>
      </c>
      <c r="I629" s="102" t="s">
        <v>63</v>
      </c>
      <c r="J629" s="102" t="s">
        <v>2026</v>
      </c>
      <c r="K629" s="102" t="s">
        <v>591</v>
      </c>
      <c r="L629" s="104">
        <v>42801</v>
      </c>
      <c r="M629" s="102" t="s">
        <v>2027</v>
      </c>
      <c r="N629" s="102" t="s">
        <v>2028</v>
      </c>
      <c r="O629" s="102" t="s">
        <v>383</v>
      </c>
      <c r="P629" s="103">
        <v>1</v>
      </c>
      <c r="Q629" s="105">
        <v>1525000</v>
      </c>
      <c r="R629" s="103">
        <v>48</v>
      </c>
      <c r="S629" s="105">
        <v>31770.833333333299</v>
      </c>
      <c r="T629" s="105">
        <v>1525000</v>
      </c>
      <c r="U629" s="105">
        <v>0</v>
      </c>
      <c r="V629" s="105">
        <v>0</v>
      </c>
      <c r="W629" s="105">
        <v>0</v>
      </c>
      <c r="X629" s="105">
        <v>0</v>
      </c>
      <c r="Y629" s="105">
        <v>0</v>
      </c>
      <c r="Z629" s="105">
        <v>0</v>
      </c>
      <c r="AA629" s="105">
        <v>0</v>
      </c>
      <c r="AB629" s="105">
        <v>0</v>
      </c>
      <c r="AC629" s="8">
        <f t="shared" si="63"/>
        <v>1525000</v>
      </c>
      <c r="AD629" s="8">
        <f t="shared" si="64"/>
        <v>0</v>
      </c>
      <c r="AE629" s="8">
        <f t="shared" si="65"/>
        <v>0</v>
      </c>
      <c r="AF629" s="106">
        <f t="shared" si="66"/>
        <v>0</v>
      </c>
      <c r="AG629" s="8">
        <f t="shared" si="67"/>
        <v>0</v>
      </c>
      <c r="AH629" s="8">
        <f>IF($O629="Aktif",MAX(0,MIN($AE629,$AD629-SUM($AG629:AG629))),0)</f>
        <v>0</v>
      </c>
      <c r="AI629" s="8">
        <f>IF($O629="Aktif",MAX(0,MIN($AE629,$AD629-SUM($AG629:AH629))),0)</f>
        <v>0</v>
      </c>
      <c r="AJ629" s="8">
        <f>IF($O629="Aktif",MAX(0,MIN($AE629,$AD629-SUM($AG629:AI629))),0)</f>
        <v>0</v>
      </c>
      <c r="AK629" s="8">
        <f>IF($O629="Aktif",MAX(0,MIN($AE629,$AD629-SUM($AG629:AJ629))),0)</f>
        <v>0</v>
      </c>
      <c r="AL629" s="8">
        <f>IF($O629="Aktif",MAX(0,MIN($AE629,$AD629-SUM($AG629:AK629))),0)</f>
        <v>0</v>
      </c>
      <c r="AM629" s="8">
        <f>IF($O629="Aktif",MAX(0,MIN($AE629,$AD629-SUM($AG629:AL629))),0)</f>
        <v>0</v>
      </c>
      <c r="AN629" s="8">
        <f>IF($O629="Aktif",MAX(0,MIN($AE629,$AD629-SUM($AG629:AM629))),0)</f>
        <v>0</v>
      </c>
      <c r="AO629" s="8">
        <f>IF($O629="Aktif",MAX(0,MIN($AE629,$AD629-SUM($AG629:AN629))),0)</f>
        <v>0</v>
      </c>
      <c r="AP629" s="8">
        <f>IF($O629="Aktif",MAX(0,MIN($AE629,$AD629-SUM($AG629:AO629))),0)</f>
        <v>0</v>
      </c>
      <c r="AQ629" s="8">
        <f>IF($O629="Aktif",MAX(0,MIN($AE629,$AD629-SUM($AG629:AP629))),0)</f>
        <v>0</v>
      </c>
      <c r="AR629" s="8">
        <f>IF($O629="Aktif",MAX(0,MIN($AE629,$AD629-SUM($AG629:AQ629))),0)</f>
        <v>0</v>
      </c>
      <c r="AS629" s="8">
        <f>IF($O629="Aktif",MAX(0,MIN($AE629,$AD629-SUM($AG629:AR629))),0)</f>
        <v>0</v>
      </c>
      <c r="AT629" s="8">
        <f>IF($O629="Aktif",MAX(0,MIN($AE629,$AD629-SUM($AG629:AS629))),0)</f>
        <v>0</v>
      </c>
      <c r="AU629" s="8">
        <f>IF($O629="Aktif",MAX(0,MIN($AE629,$AD629-SUM($AG629:AT629))),0)</f>
        <v>0</v>
      </c>
      <c r="AV629" s="8">
        <f>IF($O629="Aktif",MAX(0,MIN($AE629,$AD629-SUM($AG629:AU629))),0)</f>
        <v>0</v>
      </c>
      <c r="AW629" s="8">
        <f t="shared" si="68"/>
        <v>0</v>
      </c>
      <c r="AX629" s="8">
        <f t="shared" si="69"/>
        <v>0</v>
      </c>
    </row>
    <row r="630" spans="1:50" ht="15" customHeight="1" x14ac:dyDescent="0.35">
      <c r="A630" s="102">
        <v>624</v>
      </c>
      <c r="B630" s="102" t="s">
        <v>1326</v>
      </c>
      <c r="C630" s="103">
        <v>258</v>
      </c>
      <c r="D630" s="102" t="s">
        <v>185</v>
      </c>
      <c r="E630" s="102" t="s">
        <v>587</v>
      </c>
      <c r="F630" s="102" t="s">
        <v>1327</v>
      </c>
      <c r="G630" s="102" t="s">
        <v>1328</v>
      </c>
      <c r="H630" s="102" t="s">
        <v>1329</v>
      </c>
      <c r="I630" s="102" t="s">
        <v>63</v>
      </c>
      <c r="J630" s="102" t="s">
        <v>2029</v>
      </c>
      <c r="K630" s="102" t="s">
        <v>591</v>
      </c>
      <c r="L630" s="104">
        <v>42808</v>
      </c>
      <c r="M630" s="102" t="s">
        <v>2030</v>
      </c>
      <c r="N630" s="102" t="s">
        <v>2031</v>
      </c>
      <c r="O630" s="102" t="s">
        <v>383</v>
      </c>
      <c r="P630" s="103">
        <v>1</v>
      </c>
      <c r="Q630" s="105">
        <v>12600000</v>
      </c>
      <c r="R630" s="103">
        <v>48</v>
      </c>
      <c r="S630" s="105">
        <v>262500</v>
      </c>
      <c r="T630" s="105">
        <v>12600000</v>
      </c>
      <c r="U630" s="105">
        <v>0</v>
      </c>
      <c r="V630" s="105">
        <v>0</v>
      </c>
      <c r="W630" s="105">
        <v>0</v>
      </c>
      <c r="X630" s="105">
        <v>0</v>
      </c>
      <c r="Y630" s="105">
        <v>0</v>
      </c>
      <c r="Z630" s="105">
        <v>0</v>
      </c>
      <c r="AA630" s="105">
        <v>0</v>
      </c>
      <c r="AB630" s="105">
        <v>0</v>
      </c>
      <c r="AC630" s="8">
        <f t="shared" si="63"/>
        <v>12600000</v>
      </c>
      <c r="AD630" s="8">
        <f t="shared" si="64"/>
        <v>0</v>
      </c>
      <c r="AE630" s="8">
        <f t="shared" si="65"/>
        <v>0</v>
      </c>
      <c r="AF630" s="106">
        <f t="shared" si="66"/>
        <v>0</v>
      </c>
      <c r="AG630" s="8">
        <f t="shared" si="67"/>
        <v>0</v>
      </c>
      <c r="AH630" s="8">
        <f>IF($O630="Aktif",MAX(0,MIN($AE630,$AD630-SUM($AG630:AG630))),0)</f>
        <v>0</v>
      </c>
      <c r="AI630" s="8">
        <f>IF($O630="Aktif",MAX(0,MIN($AE630,$AD630-SUM($AG630:AH630))),0)</f>
        <v>0</v>
      </c>
      <c r="AJ630" s="8">
        <f>IF($O630="Aktif",MAX(0,MIN($AE630,$AD630-SUM($AG630:AI630))),0)</f>
        <v>0</v>
      </c>
      <c r="AK630" s="8">
        <f>IF($O630="Aktif",MAX(0,MIN($AE630,$AD630-SUM($AG630:AJ630))),0)</f>
        <v>0</v>
      </c>
      <c r="AL630" s="8">
        <f>IF($O630="Aktif",MAX(0,MIN($AE630,$AD630-SUM($AG630:AK630))),0)</f>
        <v>0</v>
      </c>
      <c r="AM630" s="8">
        <f>IF($O630="Aktif",MAX(0,MIN($AE630,$AD630-SUM($AG630:AL630))),0)</f>
        <v>0</v>
      </c>
      <c r="AN630" s="8">
        <f>IF($O630="Aktif",MAX(0,MIN($AE630,$AD630-SUM($AG630:AM630))),0)</f>
        <v>0</v>
      </c>
      <c r="AO630" s="8">
        <f>IF($O630="Aktif",MAX(0,MIN($AE630,$AD630-SUM($AG630:AN630))),0)</f>
        <v>0</v>
      </c>
      <c r="AP630" s="8">
        <f>IF($O630="Aktif",MAX(0,MIN($AE630,$AD630-SUM($AG630:AO630))),0)</f>
        <v>0</v>
      </c>
      <c r="AQ630" s="8">
        <f>IF($O630="Aktif",MAX(0,MIN($AE630,$AD630-SUM($AG630:AP630))),0)</f>
        <v>0</v>
      </c>
      <c r="AR630" s="8">
        <f>IF($O630="Aktif",MAX(0,MIN($AE630,$AD630-SUM($AG630:AQ630))),0)</f>
        <v>0</v>
      </c>
      <c r="AS630" s="8">
        <f>IF($O630="Aktif",MAX(0,MIN($AE630,$AD630-SUM($AG630:AR630))),0)</f>
        <v>0</v>
      </c>
      <c r="AT630" s="8">
        <f>IF($O630="Aktif",MAX(0,MIN($AE630,$AD630-SUM($AG630:AS630))),0)</f>
        <v>0</v>
      </c>
      <c r="AU630" s="8">
        <f>IF($O630="Aktif",MAX(0,MIN($AE630,$AD630-SUM($AG630:AT630))),0)</f>
        <v>0</v>
      </c>
      <c r="AV630" s="8">
        <f>IF($O630="Aktif",MAX(0,MIN($AE630,$AD630-SUM($AG630:AU630))),0)</f>
        <v>0</v>
      </c>
      <c r="AW630" s="8">
        <f t="shared" si="68"/>
        <v>0</v>
      </c>
      <c r="AX630" s="8">
        <f t="shared" si="69"/>
        <v>0</v>
      </c>
    </row>
    <row r="631" spans="1:50" ht="15" customHeight="1" x14ac:dyDescent="0.35">
      <c r="A631" s="102">
        <v>625</v>
      </c>
      <c r="B631" s="102" t="s">
        <v>1326</v>
      </c>
      <c r="C631" s="103">
        <v>259</v>
      </c>
      <c r="D631" s="102" t="s">
        <v>185</v>
      </c>
      <c r="E631" s="102" t="s">
        <v>587</v>
      </c>
      <c r="F631" s="102" t="s">
        <v>1327</v>
      </c>
      <c r="G631" s="102" t="s">
        <v>1328</v>
      </c>
      <c r="H631" s="102" t="s">
        <v>1329</v>
      </c>
      <c r="I631" s="102" t="s">
        <v>63</v>
      </c>
      <c r="J631" s="102" t="s">
        <v>2032</v>
      </c>
      <c r="K631" s="102" t="s">
        <v>591</v>
      </c>
      <c r="L631" s="104">
        <v>42811</v>
      </c>
      <c r="M631" s="102" t="s">
        <v>2033</v>
      </c>
      <c r="N631" s="102" t="s">
        <v>2034</v>
      </c>
      <c r="O631" s="102" t="s">
        <v>383</v>
      </c>
      <c r="P631" s="103">
        <v>1</v>
      </c>
      <c r="Q631" s="105">
        <v>16200000</v>
      </c>
      <c r="R631" s="103">
        <v>48</v>
      </c>
      <c r="S631" s="105">
        <v>337500</v>
      </c>
      <c r="T631" s="105">
        <v>16200000</v>
      </c>
      <c r="U631" s="105">
        <v>0</v>
      </c>
      <c r="V631" s="105">
        <v>0</v>
      </c>
      <c r="W631" s="105">
        <v>0</v>
      </c>
      <c r="X631" s="105">
        <v>0</v>
      </c>
      <c r="Y631" s="105">
        <v>0</v>
      </c>
      <c r="Z631" s="105">
        <v>0</v>
      </c>
      <c r="AA631" s="105">
        <v>0</v>
      </c>
      <c r="AB631" s="105">
        <v>0</v>
      </c>
      <c r="AC631" s="8">
        <f t="shared" si="63"/>
        <v>16200000</v>
      </c>
      <c r="AD631" s="8">
        <f t="shared" si="64"/>
        <v>0</v>
      </c>
      <c r="AE631" s="8">
        <f t="shared" si="65"/>
        <v>0</v>
      </c>
      <c r="AF631" s="106">
        <f t="shared" si="66"/>
        <v>0</v>
      </c>
      <c r="AG631" s="8">
        <f t="shared" si="67"/>
        <v>0</v>
      </c>
      <c r="AH631" s="8">
        <f>IF($O631="Aktif",MAX(0,MIN($AE631,$AD631-SUM($AG631:AG631))),0)</f>
        <v>0</v>
      </c>
      <c r="AI631" s="8">
        <f>IF($O631="Aktif",MAX(0,MIN($AE631,$AD631-SUM($AG631:AH631))),0)</f>
        <v>0</v>
      </c>
      <c r="AJ631" s="8">
        <f>IF($O631="Aktif",MAX(0,MIN($AE631,$AD631-SUM($AG631:AI631))),0)</f>
        <v>0</v>
      </c>
      <c r="AK631" s="8">
        <f>IF($O631="Aktif",MAX(0,MIN($AE631,$AD631-SUM($AG631:AJ631))),0)</f>
        <v>0</v>
      </c>
      <c r="AL631" s="8">
        <f>IF($O631="Aktif",MAX(0,MIN($AE631,$AD631-SUM($AG631:AK631))),0)</f>
        <v>0</v>
      </c>
      <c r="AM631" s="8">
        <f>IF($O631="Aktif",MAX(0,MIN($AE631,$AD631-SUM($AG631:AL631))),0)</f>
        <v>0</v>
      </c>
      <c r="AN631" s="8">
        <f>IF($O631="Aktif",MAX(0,MIN($AE631,$AD631-SUM($AG631:AM631))),0)</f>
        <v>0</v>
      </c>
      <c r="AO631" s="8">
        <f>IF($O631="Aktif",MAX(0,MIN($AE631,$AD631-SUM($AG631:AN631))),0)</f>
        <v>0</v>
      </c>
      <c r="AP631" s="8">
        <f>IF($O631="Aktif",MAX(0,MIN($AE631,$AD631-SUM($AG631:AO631))),0)</f>
        <v>0</v>
      </c>
      <c r="AQ631" s="8">
        <f>IF($O631="Aktif",MAX(0,MIN($AE631,$AD631-SUM($AG631:AP631))),0)</f>
        <v>0</v>
      </c>
      <c r="AR631" s="8">
        <f>IF($O631="Aktif",MAX(0,MIN($AE631,$AD631-SUM($AG631:AQ631))),0)</f>
        <v>0</v>
      </c>
      <c r="AS631" s="8">
        <f>IF($O631="Aktif",MAX(0,MIN($AE631,$AD631-SUM($AG631:AR631))),0)</f>
        <v>0</v>
      </c>
      <c r="AT631" s="8">
        <f>IF($O631="Aktif",MAX(0,MIN($AE631,$AD631-SUM($AG631:AS631))),0)</f>
        <v>0</v>
      </c>
      <c r="AU631" s="8">
        <f>IF($O631="Aktif",MAX(0,MIN($AE631,$AD631-SUM($AG631:AT631))),0)</f>
        <v>0</v>
      </c>
      <c r="AV631" s="8">
        <f>IF($O631="Aktif",MAX(0,MIN($AE631,$AD631-SUM($AG631:AU631))),0)</f>
        <v>0</v>
      </c>
      <c r="AW631" s="8">
        <f t="shared" si="68"/>
        <v>0</v>
      </c>
      <c r="AX631" s="8">
        <f t="shared" si="69"/>
        <v>0</v>
      </c>
    </row>
    <row r="632" spans="1:50" ht="15" customHeight="1" x14ac:dyDescent="0.35">
      <c r="A632" s="102">
        <v>626</v>
      </c>
      <c r="B632" s="102" t="s">
        <v>1326</v>
      </c>
      <c r="C632" s="103">
        <v>260</v>
      </c>
      <c r="D632" s="102" t="s">
        <v>185</v>
      </c>
      <c r="E632" s="102" t="s">
        <v>587</v>
      </c>
      <c r="F632" s="102" t="s">
        <v>1327</v>
      </c>
      <c r="G632" s="102" t="s">
        <v>1328</v>
      </c>
      <c r="H632" s="102" t="s">
        <v>1329</v>
      </c>
      <c r="I632" s="102" t="s">
        <v>63</v>
      </c>
      <c r="J632" s="102" t="s">
        <v>2035</v>
      </c>
      <c r="K632" s="102" t="s">
        <v>591</v>
      </c>
      <c r="L632" s="104">
        <v>42818</v>
      </c>
      <c r="M632" s="102" t="s">
        <v>2036</v>
      </c>
      <c r="N632" s="102" t="s">
        <v>2037</v>
      </c>
      <c r="O632" s="102" t="s">
        <v>383</v>
      </c>
      <c r="P632" s="103">
        <v>1</v>
      </c>
      <c r="Q632" s="105">
        <v>13843636</v>
      </c>
      <c r="R632" s="103">
        <v>48</v>
      </c>
      <c r="S632" s="105">
        <v>288409.08333333302</v>
      </c>
      <c r="T632" s="105">
        <v>13843636</v>
      </c>
      <c r="U632" s="105">
        <v>0</v>
      </c>
      <c r="V632" s="105">
        <v>0</v>
      </c>
      <c r="W632" s="105">
        <v>0</v>
      </c>
      <c r="X632" s="105">
        <v>0</v>
      </c>
      <c r="Y632" s="105">
        <v>0</v>
      </c>
      <c r="Z632" s="105">
        <v>0</v>
      </c>
      <c r="AA632" s="105">
        <v>0</v>
      </c>
      <c r="AB632" s="105">
        <v>0</v>
      </c>
      <c r="AC632" s="8">
        <f t="shared" si="63"/>
        <v>13843636</v>
      </c>
      <c r="AD632" s="8">
        <f t="shared" si="64"/>
        <v>0</v>
      </c>
      <c r="AE632" s="8">
        <f t="shared" si="65"/>
        <v>0</v>
      </c>
      <c r="AF632" s="106">
        <f t="shared" si="66"/>
        <v>0</v>
      </c>
      <c r="AG632" s="8">
        <f t="shared" si="67"/>
        <v>0</v>
      </c>
      <c r="AH632" s="8">
        <f>IF($O632="Aktif",MAX(0,MIN($AE632,$AD632-SUM($AG632:AG632))),0)</f>
        <v>0</v>
      </c>
      <c r="AI632" s="8">
        <f>IF($O632="Aktif",MAX(0,MIN($AE632,$AD632-SUM($AG632:AH632))),0)</f>
        <v>0</v>
      </c>
      <c r="AJ632" s="8">
        <f>IF($O632="Aktif",MAX(0,MIN($AE632,$AD632-SUM($AG632:AI632))),0)</f>
        <v>0</v>
      </c>
      <c r="AK632" s="8">
        <f>IF($O632="Aktif",MAX(0,MIN($AE632,$AD632-SUM($AG632:AJ632))),0)</f>
        <v>0</v>
      </c>
      <c r="AL632" s="8">
        <f>IF($O632="Aktif",MAX(0,MIN($AE632,$AD632-SUM($AG632:AK632))),0)</f>
        <v>0</v>
      </c>
      <c r="AM632" s="8">
        <f>IF($O632="Aktif",MAX(0,MIN($AE632,$AD632-SUM($AG632:AL632))),0)</f>
        <v>0</v>
      </c>
      <c r="AN632" s="8">
        <f>IF($O632="Aktif",MAX(0,MIN($AE632,$AD632-SUM($AG632:AM632))),0)</f>
        <v>0</v>
      </c>
      <c r="AO632" s="8">
        <f>IF($O632="Aktif",MAX(0,MIN($AE632,$AD632-SUM($AG632:AN632))),0)</f>
        <v>0</v>
      </c>
      <c r="AP632" s="8">
        <f>IF($O632="Aktif",MAX(0,MIN($AE632,$AD632-SUM($AG632:AO632))),0)</f>
        <v>0</v>
      </c>
      <c r="AQ632" s="8">
        <f>IF($O632="Aktif",MAX(0,MIN($AE632,$AD632-SUM($AG632:AP632))),0)</f>
        <v>0</v>
      </c>
      <c r="AR632" s="8">
        <f>IF($O632="Aktif",MAX(0,MIN($AE632,$AD632-SUM($AG632:AQ632))),0)</f>
        <v>0</v>
      </c>
      <c r="AS632" s="8">
        <f>IF($O632="Aktif",MAX(0,MIN($AE632,$AD632-SUM($AG632:AR632))),0)</f>
        <v>0</v>
      </c>
      <c r="AT632" s="8">
        <f>IF($O632="Aktif",MAX(0,MIN($AE632,$AD632-SUM($AG632:AS632))),0)</f>
        <v>0</v>
      </c>
      <c r="AU632" s="8">
        <f>IF($O632="Aktif",MAX(0,MIN($AE632,$AD632-SUM($AG632:AT632))),0)</f>
        <v>0</v>
      </c>
      <c r="AV632" s="8">
        <f>IF($O632="Aktif",MAX(0,MIN($AE632,$AD632-SUM($AG632:AU632))),0)</f>
        <v>0</v>
      </c>
      <c r="AW632" s="8">
        <f t="shared" si="68"/>
        <v>0</v>
      </c>
      <c r="AX632" s="8">
        <f t="shared" si="69"/>
        <v>0</v>
      </c>
    </row>
    <row r="633" spans="1:50" ht="15" customHeight="1" x14ac:dyDescent="0.35">
      <c r="A633" s="102">
        <v>627</v>
      </c>
      <c r="B633" s="102" t="s">
        <v>1326</v>
      </c>
      <c r="C633" s="103">
        <v>261</v>
      </c>
      <c r="D633" s="102" t="s">
        <v>185</v>
      </c>
      <c r="E633" s="102" t="s">
        <v>587</v>
      </c>
      <c r="F633" s="102" t="s">
        <v>1327</v>
      </c>
      <c r="G633" s="102" t="s">
        <v>1328</v>
      </c>
      <c r="H633" s="102" t="s">
        <v>1329</v>
      </c>
      <c r="I633" s="102" t="s">
        <v>63</v>
      </c>
      <c r="J633" s="102" t="s">
        <v>2038</v>
      </c>
      <c r="K633" s="102" t="s">
        <v>591</v>
      </c>
      <c r="L633" s="104">
        <v>42818</v>
      </c>
      <c r="M633" s="102" t="s">
        <v>2039</v>
      </c>
      <c r="N633" s="102" t="s">
        <v>2040</v>
      </c>
      <c r="O633" s="102" t="s">
        <v>383</v>
      </c>
      <c r="P633" s="103">
        <v>1</v>
      </c>
      <c r="Q633" s="105">
        <v>13843636</v>
      </c>
      <c r="R633" s="103">
        <v>48</v>
      </c>
      <c r="S633" s="105">
        <v>288409.08333333302</v>
      </c>
      <c r="T633" s="105">
        <v>13843636</v>
      </c>
      <c r="U633" s="105">
        <v>0</v>
      </c>
      <c r="V633" s="105">
        <v>0</v>
      </c>
      <c r="W633" s="105">
        <v>0</v>
      </c>
      <c r="X633" s="105">
        <v>0</v>
      </c>
      <c r="Y633" s="105">
        <v>0</v>
      </c>
      <c r="Z633" s="105">
        <v>0</v>
      </c>
      <c r="AA633" s="105">
        <v>0</v>
      </c>
      <c r="AB633" s="105">
        <v>0</v>
      </c>
      <c r="AC633" s="8">
        <f t="shared" si="63"/>
        <v>13843636</v>
      </c>
      <c r="AD633" s="8">
        <f t="shared" si="64"/>
        <v>0</v>
      </c>
      <c r="AE633" s="8">
        <f t="shared" si="65"/>
        <v>0</v>
      </c>
      <c r="AF633" s="106">
        <f t="shared" si="66"/>
        <v>0</v>
      </c>
      <c r="AG633" s="8">
        <f t="shared" si="67"/>
        <v>0</v>
      </c>
      <c r="AH633" s="8">
        <f>IF($O633="Aktif",MAX(0,MIN($AE633,$AD633-SUM($AG633:AG633))),0)</f>
        <v>0</v>
      </c>
      <c r="AI633" s="8">
        <f>IF($O633="Aktif",MAX(0,MIN($AE633,$AD633-SUM($AG633:AH633))),0)</f>
        <v>0</v>
      </c>
      <c r="AJ633" s="8">
        <f>IF($O633="Aktif",MAX(0,MIN($AE633,$AD633-SUM($AG633:AI633))),0)</f>
        <v>0</v>
      </c>
      <c r="AK633" s="8">
        <f>IF($O633="Aktif",MAX(0,MIN($AE633,$AD633-SUM($AG633:AJ633))),0)</f>
        <v>0</v>
      </c>
      <c r="AL633" s="8">
        <f>IF($O633="Aktif",MAX(0,MIN($AE633,$AD633-SUM($AG633:AK633))),0)</f>
        <v>0</v>
      </c>
      <c r="AM633" s="8">
        <f>IF($O633="Aktif",MAX(0,MIN($AE633,$AD633-SUM($AG633:AL633))),0)</f>
        <v>0</v>
      </c>
      <c r="AN633" s="8">
        <f>IF($O633="Aktif",MAX(0,MIN($AE633,$AD633-SUM($AG633:AM633))),0)</f>
        <v>0</v>
      </c>
      <c r="AO633" s="8">
        <f>IF($O633="Aktif",MAX(0,MIN($AE633,$AD633-SUM($AG633:AN633))),0)</f>
        <v>0</v>
      </c>
      <c r="AP633" s="8">
        <f>IF($O633="Aktif",MAX(0,MIN($AE633,$AD633-SUM($AG633:AO633))),0)</f>
        <v>0</v>
      </c>
      <c r="AQ633" s="8">
        <f>IF($O633="Aktif",MAX(0,MIN($AE633,$AD633-SUM($AG633:AP633))),0)</f>
        <v>0</v>
      </c>
      <c r="AR633" s="8">
        <f>IF($O633="Aktif",MAX(0,MIN($AE633,$AD633-SUM($AG633:AQ633))),0)</f>
        <v>0</v>
      </c>
      <c r="AS633" s="8">
        <f>IF($O633="Aktif",MAX(0,MIN($AE633,$AD633-SUM($AG633:AR633))),0)</f>
        <v>0</v>
      </c>
      <c r="AT633" s="8">
        <f>IF($O633="Aktif",MAX(0,MIN($AE633,$AD633-SUM($AG633:AS633))),0)</f>
        <v>0</v>
      </c>
      <c r="AU633" s="8">
        <f>IF($O633="Aktif",MAX(0,MIN($AE633,$AD633-SUM($AG633:AT633))),0)</f>
        <v>0</v>
      </c>
      <c r="AV633" s="8">
        <f>IF($O633="Aktif",MAX(0,MIN($AE633,$AD633-SUM($AG633:AU633))),0)</f>
        <v>0</v>
      </c>
      <c r="AW633" s="8">
        <f t="shared" si="68"/>
        <v>0</v>
      </c>
      <c r="AX633" s="8">
        <f t="shared" si="69"/>
        <v>0</v>
      </c>
    </row>
    <row r="634" spans="1:50" ht="15" customHeight="1" x14ac:dyDescent="0.35">
      <c r="A634" s="102">
        <v>628</v>
      </c>
      <c r="B634" s="102" t="s">
        <v>1326</v>
      </c>
      <c r="C634" s="103">
        <v>262</v>
      </c>
      <c r="D634" s="102" t="s">
        <v>185</v>
      </c>
      <c r="E634" s="102" t="s">
        <v>587</v>
      </c>
      <c r="F634" s="102" t="s">
        <v>1327</v>
      </c>
      <c r="G634" s="102" t="s">
        <v>1328</v>
      </c>
      <c r="H634" s="102" t="s">
        <v>1329</v>
      </c>
      <c r="I634" s="102" t="s">
        <v>63</v>
      </c>
      <c r="J634" s="102" t="s">
        <v>2041</v>
      </c>
      <c r="K634" s="102" t="s">
        <v>591</v>
      </c>
      <c r="L634" s="104">
        <v>42829</v>
      </c>
      <c r="M634" s="102" t="s">
        <v>2042</v>
      </c>
      <c r="N634" s="102" t="s">
        <v>2043</v>
      </c>
      <c r="O634" s="102" t="s">
        <v>383</v>
      </c>
      <c r="P634" s="103">
        <v>1</v>
      </c>
      <c r="Q634" s="105">
        <v>6000000</v>
      </c>
      <c r="R634" s="103">
        <v>48</v>
      </c>
      <c r="S634" s="105">
        <v>125000</v>
      </c>
      <c r="T634" s="105">
        <v>6000000</v>
      </c>
      <c r="U634" s="105">
        <v>0</v>
      </c>
      <c r="V634" s="105">
        <v>0</v>
      </c>
      <c r="W634" s="105">
        <v>0</v>
      </c>
      <c r="X634" s="105">
        <v>0</v>
      </c>
      <c r="Y634" s="105">
        <v>0</v>
      </c>
      <c r="Z634" s="105">
        <v>0</v>
      </c>
      <c r="AA634" s="105">
        <v>0</v>
      </c>
      <c r="AB634" s="105">
        <v>0</v>
      </c>
      <c r="AC634" s="8">
        <f t="shared" si="63"/>
        <v>6000000</v>
      </c>
      <c r="AD634" s="8">
        <f t="shared" si="64"/>
        <v>0</v>
      </c>
      <c r="AE634" s="8">
        <f t="shared" si="65"/>
        <v>0</v>
      </c>
      <c r="AF634" s="106">
        <f t="shared" si="66"/>
        <v>0</v>
      </c>
      <c r="AG634" s="8">
        <f t="shared" si="67"/>
        <v>0</v>
      </c>
      <c r="AH634" s="8">
        <f>IF($O634="Aktif",MAX(0,MIN($AE634,$AD634-SUM($AG634:AG634))),0)</f>
        <v>0</v>
      </c>
      <c r="AI634" s="8">
        <f>IF($O634="Aktif",MAX(0,MIN($AE634,$AD634-SUM($AG634:AH634))),0)</f>
        <v>0</v>
      </c>
      <c r="AJ634" s="8">
        <f>IF($O634="Aktif",MAX(0,MIN($AE634,$AD634-SUM($AG634:AI634))),0)</f>
        <v>0</v>
      </c>
      <c r="AK634" s="8">
        <f>IF($O634="Aktif",MAX(0,MIN($AE634,$AD634-SUM($AG634:AJ634))),0)</f>
        <v>0</v>
      </c>
      <c r="AL634" s="8">
        <f>IF($O634="Aktif",MAX(0,MIN($AE634,$AD634-SUM($AG634:AK634))),0)</f>
        <v>0</v>
      </c>
      <c r="AM634" s="8">
        <f>IF($O634="Aktif",MAX(0,MIN($AE634,$AD634-SUM($AG634:AL634))),0)</f>
        <v>0</v>
      </c>
      <c r="AN634" s="8">
        <f>IF($O634="Aktif",MAX(0,MIN($AE634,$AD634-SUM($AG634:AM634))),0)</f>
        <v>0</v>
      </c>
      <c r="AO634" s="8">
        <f>IF($O634="Aktif",MAX(0,MIN($AE634,$AD634-SUM($AG634:AN634))),0)</f>
        <v>0</v>
      </c>
      <c r="AP634" s="8">
        <f>IF($O634="Aktif",MAX(0,MIN($AE634,$AD634-SUM($AG634:AO634))),0)</f>
        <v>0</v>
      </c>
      <c r="AQ634" s="8">
        <f>IF($O634="Aktif",MAX(0,MIN($AE634,$AD634-SUM($AG634:AP634))),0)</f>
        <v>0</v>
      </c>
      <c r="AR634" s="8">
        <f>IF($O634="Aktif",MAX(0,MIN($AE634,$AD634-SUM($AG634:AQ634))),0)</f>
        <v>0</v>
      </c>
      <c r="AS634" s="8">
        <f>IF($O634="Aktif",MAX(0,MIN($AE634,$AD634-SUM($AG634:AR634))),0)</f>
        <v>0</v>
      </c>
      <c r="AT634" s="8">
        <f>IF($O634="Aktif",MAX(0,MIN($AE634,$AD634-SUM($AG634:AS634))),0)</f>
        <v>0</v>
      </c>
      <c r="AU634" s="8">
        <f>IF($O634="Aktif",MAX(0,MIN($AE634,$AD634-SUM($AG634:AT634))),0)</f>
        <v>0</v>
      </c>
      <c r="AV634" s="8">
        <f>IF($O634="Aktif",MAX(0,MIN($AE634,$AD634-SUM($AG634:AU634))),0)</f>
        <v>0</v>
      </c>
      <c r="AW634" s="8">
        <f t="shared" si="68"/>
        <v>0</v>
      </c>
      <c r="AX634" s="8">
        <f t="shared" si="69"/>
        <v>0</v>
      </c>
    </row>
    <row r="635" spans="1:50" ht="15" customHeight="1" x14ac:dyDescent="0.35">
      <c r="A635" s="102">
        <v>629</v>
      </c>
      <c r="B635" s="102" t="s">
        <v>1326</v>
      </c>
      <c r="C635" s="103">
        <v>263</v>
      </c>
      <c r="D635" s="102" t="s">
        <v>185</v>
      </c>
      <c r="E635" s="102" t="s">
        <v>587</v>
      </c>
      <c r="F635" s="102" t="s">
        <v>1327</v>
      </c>
      <c r="G635" s="102" t="s">
        <v>1328</v>
      </c>
      <c r="H635" s="102" t="s">
        <v>1329</v>
      </c>
      <c r="I635" s="102" t="s">
        <v>63</v>
      </c>
      <c r="J635" s="102" t="s">
        <v>2044</v>
      </c>
      <c r="K635" s="102" t="s">
        <v>591</v>
      </c>
      <c r="L635" s="104">
        <v>42832</v>
      </c>
      <c r="M635" s="102" t="s">
        <v>2045</v>
      </c>
      <c r="N635" s="102" t="s">
        <v>2046</v>
      </c>
      <c r="O635" s="102" t="s">
        <v>383</v>
      </c>
      <c r="P635" s="103">
        <v>5</v>
      </c>
      <c r="Q635" s="105">
        <v>11536364</v>
      </c>
      <c r="R635" s="103">
        <v>48</v>
      </c>
      <c r="S635" s="105">
        <v>240340.91666666701</v>
      </c>
      <c r="T635" s="105">
        <v>11536364</v>
      </c>
      <c r="U635" s="105">
        <v>0</v>
      </c>
      <c r="V635" s="105">
        <v>0</v>
      </c>
      <c r="W635" s="105">
        <v>0</v>
      </c>
      <c r="X635" s="105">
        <v>0</v>
      </c>
      <c r="Y635" s="105">
        <v>0</v>
      </c>
      <c r="Z635" s="105">
        <v>0</v>
      </c>
      <c r="AA635" s="105">
        <v>0</v>
      </c>
      <c r="AB635" s="105">
        <v>0</v>
      </c>
      <c r="AC635" s="8">
        <f t="shared" si="63"/>
        <v>11536364</v>
      </c>
      <c r="AD635" s="8">
        <f t="shared" si="64"/>
        <v>0</v>
      </c>
      <c r="AE635" s="8">
        <f t="shared" si="65"/>
        <v>0</v>
      </c>
      <c r="AF635" s="106">
        <f t="shared" si="66"/>
        <v>0</v>
      </c>
      <c r="AG635" s="8">
        <f t="shared" si="67"/>
        <v>0</v>
      </c>
      <c r="AH635" s="8">
        <f>IF($O635="Aktif",MAX(0,MIN($AE635,$AD635-SUM($AG635:AG635))),0)</f>
        <v>0</v>
      </c>
      <c r="AI635" s="8">
        <f>IF($O635="Aktif",MAX(0,MIN($AE635,$AD635-SUM($AG635:AH635))),0)</f>
        <v>0</v>
      </c>
      <c r="AJ635" s="8">
        <f>IF($O635="Aktif",MAX(0,MIN($AE635,$AD635-SUM($AG635:AI635))),0)</f>
        <v>0</v>
      </c>
      <c r="AK635" s="8">
        <f>IF($O635="Aktif",MAX(0,MIN($AE635,$AD635-SUM($AG635:AJ635))),0)</f>
        <v>0</v>
      </c>
      <c r="AL635" s="8">
        <f>IF($O635="Aktif",MAX(0,MIN($AE635,$AD635-SUM($AG635:AK635))),0)</f>
        <v>0</v>
      </c>
      <c r="AM635" s="8">
        <f>IF($O635="Aktif",MAX(0,MIN($AE635,$AD635-SUM($AG635:AL635))),0)</f>
        <v>0</v>
      </c>
      <c r="AN635" s="8">
        <f>IF($O635="Aktif",MAX(0,MIN($AE635,$AD635-SUM($AG635:AM635))),0)</f>
        <v>0</v>
      </c>
      <c r="AO635" s="8">
        <f>IF($O635="Aktif",MAX(0,MIN($AE635,$AD635-SUM($AG635:AN635))),0)</f>
        <v>0</v>
      </c>
      <c r="AP635" s="8">
        <f>IF($O635="Aktif",MAX(0,MIN($AE635,$AD635-SUM($AG635:AO635))),0)</f>
        <v>0</v>
      </c>
      <c r="AQ635" s="8">
        <f>IF($O635="Aktif",MAX(0,MIN($AE635,$AD635-SUM($AG635:AP635))),0)</f>
        <v>0</v>
      </c>
      <c r="AR635" s="8">
        <f>IF($O635="Aktif",MAX(0,MIN($AE635,$AD635-SUM($AG635:AQ635))),0)</f>
        <v>0</v>
      </c>
      <c r="AS635" s="8">
        <f>IF($O635="Aktif",MAX(0,MIN($AE635,$AD635-SUM($AG635:AR635))),0)</f>
        <v>0</v>
      </c>
      <c r="AT635" s="8">
        <f>IF($O635="Aktif",MAX(0,MIN($AE635,$AD635-SUM($AG635:AS635))),0)</f>
        <v>0</v>
      </c>
      <c r="AU635" s="8">
        <f>IF($O635="Aktif",MAX(0,MIN($AE635,$AD635-SUM($AG635:AT635))),0)</f>
        <v>0</v>
      </c>
      <c r="AV635" s="8">
        <f>IF($O635="Aktif",MAX(0,MIN($AE635,$AD635-SUM($AG635:AU635))),0)</f>
        <v>0</v>
      </c>
      <c r="AW635" s="8">
        <f t="shared" si="68"/>
        <v>0</v>
      </c>
      <c r="AX635" s="8">
        <f t="shared" si="69"/>
        <v>0</v>
      </c>
    </row>
    <row r="636" spans="1:50" ht="15" customHeight="1" x14ac:dyDescent="0.35">
      <c r="A636" s="102">
        <v>630</v>
      </c>
      <c r="B636" s="102" t="s">
        <v>1326</v>
      </c>
      <c r="C636" s="103">
        <v>264</v>
      </c>
      <c r="D636" s="102" t="s">
        <v>185</v>
      </c>
      <c r="E636" s="102" t="s">
        <v>587</v>
      </c>
      <c r="F636" s="102" t="s">
        <v>1327</v>
      </c>
      <c r="G636" s="102" t="s">
        <v>1328</v>
      </c>
      <c r="H636" s="102" t="s">
        <v>1329</v>
      </c>
      <c r="I636" s="102" t="s">
        <v>63</v>
      </c>
      <c r="J636" s="102" t="s">
        <v>2047</v>
      </c>
      <c r="K636" s="102" t="s">
        <v>591</v>
      </c>
      <c r="L636" s="104">
        <v>42832</v>
      </c>
      <c r="M636" s="102" t="s">
        <v>2048</v>
      </c>
      <c r="N636" s="102" t="s">
        <v>2049</v>
      </c>
      <c r="O636" s="102" t="s">
        <v>383</v>
      </c>
      <c r="P636" s="103">
        <v>5</v>
      </c>
      <c r="Q636" s="105">
        <v>11536364</v>
      </c>
      <c r="R636" s="103">
        <v>48</v>
      </c>
      <c r="S636" s="105">
        <v>240340.91666666701</v>
      </c>
      <c r="T636" s="105">
        <v>11536364</v>
      </c>
      <c r="U636" s="105">
        <v>0</v>
      </c>
      <c r="V636" s="105">
        <v>0</v>
      </c>
      <c r="W636" s="105">
        <v>0</v>
      </c>
      <c r="X636" s="105">
        <v>0</v>
      </c>
      <c r="Y636" s="105">
        <v>0</v>
      </c>
      <c r="Z636" s="105">
        <v>0</v>
      </c>
      <c r="AA636" s="105">
        <v>0</v>
      </c>
      <c r="AB636" s="105">
        <v>0</v>
      </c>
      <c r="AC636" s="8">
        <f t="shared" si="63"/>
        <v>11536364</v>
      </c>
      <c r="AD636" s="8">
        <f t="shared" si="64"/>
        <v>0</v>
      </c>
      <c r="AE636" s="8">
        <f t="shared" si="65"/>
        <v>0</v>
      </c>
      <c r="AF636" s="106">
        <f t="shared" si="66"/>
        <v>0</v>
      </c>
      <c r="AG636" s="8">
        <f t="shared" si="67"/>
        <v>0</v>
      </c>
      <c r="AH636" s="8">
        <f>IF($O636="Aktif",MAX(0,MIN($AE636,$AD636-SUM($AG636:AG636))),0)</f>
        <v>0</v>
      </c>
      <c r="AI636" s="8">
        <f>IF($O636="Aktif",MAX(0,MIN($AE636,$AD636-SUM($AG636:AH636))),0)</f>
        <v>0</v>
      </c>
      <c r="AJ636" s="8">
        <f>IF($O636="Aktif",MAX(0,MIN($AE636,$AD636-SUM($AG636:AI636))),0)</f>
        <v>0</v>
      </c>
      <c r="AK636" s="8">
        <f>IF($O636="Aktif",MAX(0,MIN($AE636,$AD636-SUM($AG636:AJ636))),0)</f>
        <v>0</v>
      </c>
      <c r="AL636" s="8">
        <f>IF($O636="Aktif",MAX(0,MIN($AE636,$AD636-SUM($AG636:AK636))),0)</f>
        <v>0</v>
      </c>
      <c r="AM636" s="8">
        <f>IF($O636="Aktif",MAX(0,MIN($AE636,$AD636-SUM($AG636:AL636))),0)</f>
        <v>0</v>
      </c>
      <c r="AN636" s="8">
        <f>IF($O636="Aktif",MAX(0,MIN($AE636,$AD636-SUM($AG636:AM636))),0)</f>
        <v>0</v>
      </c>
      <c r="AO636" s="8">
        <f>IF($O636="Aktif",MAX(0,MIN($AE636,$AD636-SUM($AG636:AN636))),0)</f>
        <v>0</v>
      </c>
      <c r="AP636" s="8">
        <f>IF($O636="Aktif",MAX(0,MIN($AE636,$AD636-SUM($AG636:AO636))),0)</f>
        <v>0</v>
      </c>
      <c r="AQ636" s="8">
        <f>IF($O636="Aktif",MAX(0,MIN($AE636,$AD636-SUM($AG636:AP636))),0)</f>
        <v>0</v>
      </c>
      <c r="AR636" s="8">
        <f>IF($O636="Aktif",MAX(0,MIN($AE636,$AD636-SUM($AG636:AQ636))),0)</f>
        <v>0</v>
      </c>
      <c r="AS636" s="8">
        <f>IF($O636="Aktif",MAX(0,MIN($AE636,$AD636-SUM($AG636:AR636))),0)</f>
        <v>0</v>
      </c>
      <c r="AT636" s="8">
        <f>IF($O636="Aktif",MAX(0,MIN($AE636,$AD636-SUM($AG636:AS636))),0)</f>
        <v>0</v>
      </c>
      <c r="AU636" s="8">
        <f>IF($O636="Aktif",MAX(0,MIN($AE636,$AD636-SUM($AG636:AT636))),0)</f>
        <v>0</v>
      </c>
      <c r="AV636" s="8">
        <f>IF($O636="Aktif",MAX(0,MIN($AE636,$AD636-SUM($AG636:AU636))),0)</f>
        <v>0</v>
      </c>
      <c r="AW636" s="8">
        <f t="shared" si="68"/>
        <v>0</v>
      </c>
      <c r="AX636" s="8">
        <f t="shared" si="69"/>
        <v>0</v>
      </c>
    </row>
    <row r="637" spans="1:50" ht="15" customHeight="1" x14ac:dyDescent="0.35">
      <c r="A637" s="102">
        <v>631</v>
      </c>
      <c r="B637" s="102" t="s">
        <v>1326</v>
      </c>
      <c r="C637" s="103">
        <v>265</v>
      </c>
      <c r="D637" s="102" t="s">
        <v>185</v>
      </c>
      <c r="E637" s="102" t="s">
        <v>587</v>
      </c>
      <c r="F637" s="102" t="s">
        <v>1327</v>
      </c>
      <c r="G637" s="102" t="s">
        <v>1328</v>
      </c>
      <c r="H637" s="102" t="s">
        <v>1329</v>
      </c>
      <c r="I637" s="102" t="s">
        <v>63</v>
      </c>
      <c r="J637" s="102" t="s">
        <v>2050</v>
      </c>
      <c r="K637" s="102" t="s">
        <v>591</v>
      </c>
      <c r="L637" s="104">
        <v>42832</v>
      </c>
      <c r="M637" s="102" t="s">
        <v>2051</v>
      </c>
      <c r="N637" s="102" t="s">
        <v>2052</v>
      </c>
      <c r="O637" s="102" t="s">
        <v>383</v>
      </c>
      <c r="P637" s="103">
        <v>1</v>
      </c>
      <c r="Q637" s="105">
        <v>2772727</v>
      </c>
      <c r="R637" s="103">
        <v>48</v>
      </c>
      <c r="S637" s="105">
        <v>57765.145833333299</v>
      </c>
      <c r="T637" s="105">
        <v>2772727</v>
      </c>
      <c r="U637" s="105">
        <v>0</v>
      </c>
      <c r="V637" s="105">
        <v>0</v>
      </c>
      <c r="W637" s="105">
        <v>0</v>
      </c>
      <c r="X637" s="105">
        <v>0</v>
      </c>
      <c r="Y637" s="105">
        <v>0</v>
      </c>
      <c r="Z637" s="105">
        <v>0</v>
      </c>
      <c r="AA637" s="105">
        <v>0</v>
      </c>
      <c r="AB637" s="105">
        <v>0</v>
      </c>
      <c r="AC637" s="8">
        <f t="shared" si="63"/>
        <v>2772727</v>
      </c>
      <c r="AD637" s="8">
        <f t="shared" si="64"/>
        <v>0</v>
      </c>
      <c r="AE637" s="8">
        <f t="shared" si="65"/>
        <v>0</v>
      </c>
      <c r="AF637" s="106">
        <f t="shared" si="66"/>
        <v>0</v>
      </c>
      <c r="AG637" s="8">
        <f t="shared" si="67"/>
        <v>0</v>
      </c>
      <c r="AH637" s="8">
        <f>IF($O637="Aktif",MAX(0,MIN($AE637,$AD637-SUM($AG637:AG637))),0)</f>
        <v>0</v>
      </c>
      <c r="AI637" s="8">
        <f>IF($O637="Aktif",MAX(0,MIN($AE637,$AD637-SUM($AG637:AH637))),0)</f>
        <v>0</v>
      </c>
      <c r="AJ637" s="8">
        <f>IF($O637="Aktif",MAX(0,MIN($AE637,$AD637-SUM($AG637:AI637))),0)</f>
        <v>0</v>
      </c>
      <c r="AK637" s="8">
        <f>IF($O637="Aktif",MAX(0,MIN($AE637,$AD637-SUM($AG637:AJ637))),0)</f>
        <v>0</v>
      </c>
      <c r="AL637" s="8">
        <f>IF($O637="Aktif",MAX(0,MIN($AE637,$AD637-SUM($AG637:AK637))),0)</f>
        <v>0</v>
      </c>
      <c r="AM637" s="8">
        <f>IF($O637="Aktif",MAX(0,MIN($AE637,$AD637-SUM($AG637:AL637))),0)</f>
        <v>0</v>
      </c>
      <c r="AN637" s="8">
        <f>IF($O637="Aktif",MAX(0,MIN($AE637,$AD637-SUM($AG637:AM637))),0)</f>
        <v>0</v>
      </c>
      <c r="AO637" s="8">
        <f>IF($O637="Aktif",MAX(0,MIN($AE637,$AD637-SUM($AG637:AN637))),0)</f>
        <v>0</v>
      </c>
      <c r="AP637" s="8">
        <f>IF($O637="Aktif",MAX(0,MIN($AE637,$AD637-SUM($AG637:AO637))),0)</f>
        <v>0</v>
      </c>
      <c r="AQ637" s="8">
        <f>IF($O637="Aktif",MAX(0,MIN($AE637,$AD637-SUM($AG637:AP637))),0)</f>
        <v>0</v>
      </c>
      <c r="AR637" s="8">
        <f>IF($O637="Aktif",MAX(0,MIN($AE637,$AD637-SUM($AG637:AQ637))),0)</f>
        <v>0</v>
      </c>
      <c r="AS637" s="8">
        <f>IF($O637="Aktif",MAX(0,MIN($AE637,$AD637-SUM($AG637:AR637))),0)</f>
        <v>0</v>
      </c>
      <c r="AT637" s="8">
        <f>IF($O637="Aktif",MAX(0,MIN($AE637,$AD637-SUM($AG637:AS637))),0)</f>
        <v>0</v>
      </c>
      <c r="AU637" s="8">
        <f>IF($O637="Aktif",MAX(0,MIN($AE637,$AD637-SUM($AG637:AT637))),0)</f>
        <v>0</v>
      </c>
      <c r="AV637" s="8">
        <f>IF($O637="Aktif",MAX(0,MIN($AE637,$AD637-SUM($AG637:AU637))),0)</f>
        <v>0</v>
      </c>
      <c r="AW637" s="8">
        <f t="shared" si="68"/>
        <v>0</v>
      </c>
      <c r="AX637" s="8">
        <f t="shared" si="69"/>
        <v>0</v>
      </c>
    </row>
    <row r="638" spans="1:50" ht="15" customHeight="1" x14ac:dyDescent="0.35">
      <c r="A638" s="102">
        <v>632</v>
      </c>
      <c r="B638" s="102" t="s">
        <v>1326</v>
      </c>
      <c r="C638" s="103">
        <v>266</v>
      </c>
      <c r="D638" s="102" t="s">
        <v>185</v>
      </c>
      <c r="E638" s="102" t="s">
        <v>587</v>
      </c>
      <c r="F638" s="102" t="s">
        <v>1327</v>
      </c>
      <c r="G638" s="102" t="s">
        <v>1328</v>
      </c>
      <c r="H638" s="102" t="s">
        <v>1329</v>
      </c>
      <c r="I638" s="102" t="s">
        <v>63</v>
      </c>
      <c r="J638" s="102" t="s">
        <v>2053</v>
      </c>
      <c r="K638" s="102" t="s">
        <v>591</v>
      </c>
      <c r="L638" s="104">
        <v>42832</v>
      </c>
      <c r="M638" s="102" t="s">
        <v>2054</v>
      </c>
      <c r="N638" s="102" t="s">
        <v>2055</v>
      </c>
      <c r="O638" s="102" t="s">
        <v>383</v>
      </c>
      <c r="P638" s="103">
        <v>1</v>
      </c>
      <c r="Q638" s="105">
        <v>2300000</v>
      </c>
      <c r="R638" s="103">
        <v>48</v>
      </c>
      <c r="S638" s="105">
        <v>47916.666666666701</v>
      </c>
      <c r="T638" s="105">
        <v>2300000</v>
      </c>
      <c r="U638" s="105">
        <v>0</v>
      </c>
      <c r="V638" s="105">
        <v>0</v>
      </c>
      <c r="W638" s="105">
        <v>0</v>
      </c>
      <c r="X638" s="105">
        <v>0</v>
      </c>
      <c r="Y638" s="105">
        <v>0</v>
      </c>
      <c r="Z638" s="105">
        <v>0</v>
      </c>
      <c r="AA638" s="105">
        <v>0</v>
      </c>
      <c r="AB638" s="105">
        <v>0</v>
      </c>
      <c r="AC638" s="8">
        <f t="shared" si="63"/>
        <v>2300000</v>
      </c>
      <c r="AD638" s="8">
        <f t="shared" si="64"/>
        <v>0</v>
      </c>
      <c r="AE638" s="8">
        <f t="shared" si="65"/>
        <v>0</v>
      </c>
      <c r="AF638" s="106">
        <f t="shared" si="66"/>
        <v>0</v>
      </c>
      <c r="AG638" s="8">
        <f t="shared" si="67"/>
        <v>0</v>
      </c>
      <c r="AH638" s="8">
        <f>IF($O638="Aktif",MAX(0,MIN($AE638,$AD638-SUM($AG638:AG638))),0)</f>
        <v>0</v>
      </c>
      <c r="AI638" s="8">
        <f>IF($O638="Aktif",MAX(0,MIN($AE638,$AD638-SUM($AG638:AH638))),0)</f>
        <v>0</v>
      </c>
      <c r="AJ638" s="8">
        <f>IF($O638="Aktif",MAX(0,MIN($AE638,$AD638-SUM($AG638:AI638))),0)</f>
        <v>0</v>
      </c>
      <c r="AK638" s="8">
        <f>IF($O638="Aktif",MAX(0,MIN($AE638,$AD638-SUM($AG638:AJ638))),0)</f>
        <v>0</v>
      </c>
      <c r="AL638" s="8">
        <f>IF($O638="Aktif",MAX(0,MIN($AE638,$AD638-SUM($AG638:AK638))),0)</f>
        <v>0</v>
      </c>
      <c r="AM638" s="8">
        <f>IF($O638="Aktif",MAX(0,MIN($AE638,$AD638-SUM($AG638:AL638))),0)</f>
        <v>0</v>
      </c>
      <c r="AN638" s="8">
        <f>IF($O638="Aktif",MAX(0,MIN($AE638,$AD638-SUM($AG638:AM638))),0)</f>
        <v>0</v>
      </c>
      <c r="AO638" s="8">
        <f>IF($O638="Aktif",MAX(0,MIN($AE638,$AD638-SUM($AG638:AN638))),0)</f>
        <v>0</v>
      </c>
      <c r="AP638" s="8">
        <f>IF($O638="Aktif",MAX(0,MIN($AE638,$AD638-SUM($AG638:AO638))),0)</f>
        <v>0</v>
      </c>
      <c r="AQ638" s="8">
        <f>IF($O638="Aktif",MAX(0,MIN($AE638,$AD638-SUM($AG638:AP638))),0)</f>
        <v>0</v>
      </c>
      <c r="AR638" s="8">
        <f>IF($O638="Aktif",MAX(0,MIN($AE638,$AD638-SUM($AG638:AQ638))),0)</f>
        <v>0</v>
      </c>
      <c r="AS638" s="8">
        <f>IF($O638="Aktif",MAX(0,MIN($AE638,$AD638-SUM($AG638:AR638))),0)</f>
        <v>0</v>
      </c>
      <c r="AT638" s="8">
        <f>IF($O638="Aktif",MAX(0,MIN($AE638,$AD638-SUM($AG638:AS638))),0)</f>
        <v>0</v>
      </c>
      <c r="AU638" s="8">
        <f>IF($O638="Aktif",MAX(0,MIN($AE638,$AD638-SUM($AG638:AT638))),0)</f>
        <v>0</v>
      </c>
      <c r="AV638" s="8">
        <f>IF($O638="Aktif",MAX(0,MIN($AE638,$AD638-SUM($AG638:AU638))),0)</f>
        <v>0</v>
      </c>
      <c r="AW638" s="8">
        <f t="shared" si="68"/>
        <v>0</v>
      </c>
      <c r="AX638" s="8">
        <f t="shared" si="69"/>
        <v>0</v>
      </c>
    </row>
    <row r="639" spans="1:50" ht="15" customHeight="1" x14ac:dyDescent="0.35">
      <c r="A639" s="102">
        <v>633</v>
      </c>
      <c r="B639" s="102" t="s">
        <v>1326</v>
      </c>
      <c r="C639" s="103">
        <v>267</v>
      </c>
      <c r="D639" s="102" t="s">
        <v>185</v>
      </c>
      <c r="E639" s="102" t="s">
        <v>587</v>
      </c>
      <c r="F639" s="102" t="s">
        <v>1327</v>
      </c>
      <c r="G639" s="102" t="s">
        <v>1328</v>
      </c>
      <c r="H639" s="102" t="s">
        <v>1329</v>
      </c>
      <c r="I639" s="102" t="s">
        <v>63</v>
      </c>
      <c r="J639" s="102" t="s">
        <v>2056</v>
      </c>
      <c r="K639" s="102" t="s">
        <v>591</v>
      </c>
      <c r="L639" s="104">
        <v>42837</v>
      </c>
      <c r="M639" s="102" t="s">
        <v>2057</v>
      </c>
      <c r="N639" s="102" t="s">
        <v>2058</v>
      </c>
      <c r="O639" s="102" t="s">
        <v>383</v>
      </c>
      <c r="P639" s="103">
        <v>1</v>
      </c>
      <c r="Q639" s="105">
        <v>3741700</v>
      </c>
      <c r="R639" s="103">
        <v>48</v>
      </c>
      <c r="S639" s="105">
        <v>77952.083333333299</v>
      </c>
      <c r="T639" s="105">
        <v>3741700</v>
      </c>
      <c r="U639" s="105">
        <v>0</v>
      </c>
      <c r="V639" s="105">
        <v>0</v>
      </c>
      <c r="W639" s="105">
        <v>0</v>
      </c>
      <c r="X639" s="105">
        <v>0</v>
      </c>
      <c r="Y639" s="105">
        <v>0</v>
      </c>
      <c r="Z639" s="105">
        <v>0</v>
      </c>
      <c r="AA639" s="105">
        <v>0</v>
      </c>
      <c r="AB639" s="105">
        <v>0</v>
      </c>
      <c r="AC639" s="8">
        <f t="shared" si="63"/>
        <v>3741700</v>
      </c>
      <c r="AD639" s="8">
        <f t="shared" si="64"/>
        <v>0</v>
      </c>
      <c r="AE639" s="8">
        <f t="shared" si="65"/>
        <v>0</v>
      </c>
      <c r="AF639" s="106">
        <f t="shared" si="66"/>
        <v>0</v>
      </c>
      <c r="AG639" s="8">
        <f t="shared" si="67"/>
        <v>0</v>
      </c>
      <c r="AH639" s="8">
        <f>IF($O639="Aktif",MAX(0,MIN($AE639,$AD639-SUM($AG639:AG639))),0)</f>
        <v>0</v>
      </c>
      <c r="AI639" s="8">
        <f>IF($O639="Aktif",MAX(0,MIN($AE639,$AD639-SUM($AG639:AH639))),0)</f>
        <v>0</v>
      </c>
      <c r="AJ639" s="8">
        <f>IF($O639="Aktif",MAX(0,MIN($AE639,$AD639-SUM($AG639:AI639))),0)</f>
        <v>0</v>
      </c>
      <c r="AK639" s="8">
        <f>IF($O639="Aktif",MAX(0,MIN($AE639,$AD639-SUM($AG639:AJ639))),0)</f>
        <v>0</v>
      </c>
      <c r="AL639" s="8">
        <f>IF($O639="Aktif",MAX(0,MIN($AE639,$AD639-SUM($AG639:AK639))),0)</f>
        <v>0</v>
      </c>
      <c r="AM639" s="8">
        <f>IF($O639="Aktif",MAX(0,MIN($AE639,$AD639-SUM($AG639:AL639))),0)</f>
        <v>0</v>
      </c>
      <c r="AN639" s="8">
        <f>IF($O639="Aktif",MAX(0,MIN($AE639,$AD639-SUM($AG639:AM639))),0)</f>
        <v>0</v>
      </c>
      <c r="AO639" s="8">
        <f>IF($O639="Aktif",MAX(0,MIN($AE639,$AD639-SUM($AG639:AN639))),0)</f>
        <v>0</v>
      </c>
      <c r="AP639" s="8">
        <f>IF($O639="Aktif",MAX(0,MIN($AE639,$AD639-SUM($AG639:AO639))),0)</f>
        <v>0</v>
      </c>
      <c r="AQ639" s="8">
        <f>IF($O639="Aktif",MAX(0,MIN($AE639,$AD639-SUM($AG639:AP639))),0)</f>
        <v>0</v>
      </c>
      <c r="AR639" s="8">
        <f>IF($O639="Aktif",MAX(0,MIN($AE639,$AD639-SUM($AG639:AQ639))),0)</f>
        <v>0</v>
      </c>
      <c r="AS639" s="8">
        <f>IF($O639="Aktif",MAX(0,MIN($AE639,$AD639-SUM($AG639:AR639))),0)</f>
        <v>0</v>
      </c>
      <c r="AT639" s="8">
        <f>IF($O639="Aktif",MAX(0,MIN($AE639,$AD639-SUM($AG639:AS639))),0)</f>
        <v>0</v>
      </c>
      <c r="AU639" s="8">
        <f>IF($O639="Aktif",MAX(0,MIN($AE639,$AD639-SUM($AG639:AT639))),0)</f>
        <v>0</v>
      </c>
      <c r="AV639" s="8">
        <f>IF($O639="Aktif",MAX(0,MIN($AE639,$AD639-SUM($AG639:AU639))),0)</f>
        <v>0</v>
      </c>
      <c r="AW639" s="8">
        <f t="shared" si="68"/>
        <v>0</v>
      </c>
      <c r="AX639" s="8">
        <f t="shared" si="69"/>
        <v>0</v>
      </c>
    </row>
    <row r="640" spans="1:50" ht="15" customHeight="1" x14ac:dyDescent="0.35">
      <c r="A640" s="102">
        <v>634</v>
      </c>
      <c r="B640" s="102" t="s">
        <v>1326</v>
      </c>
      <c r="C640" s="103">
        <v>268</v>
      </c>
      <c r="D640" s="102" t="s">
        <v>185</v>
      </c>
      <c r="E640" s="102" t="s">
        <v>587</v>
      </c>
      <c r="F640" s="102" t="s">
        <v>1327</v>
      </c>
      <c r="G640" s="102" t="s">
        <v>1328</v>
      </c>
      <c r="H640" s="102" t="s">
        <v>1329</v>
      </c>
      <c r="I640" s="102" t="s">
        <v>63</v>
      </c>
      <c r="J640" s="102" t="s">
        <v>2059</v>
      </c>
      <c r="K640" s="102" t="s">
        <v>591</v>
      </c>
      <c r="L640" s="104">
        <v>42838</v>
      </c>
      <c r="M640" s="102" t="s">
        <v>2060</v>
      </c>
      <c r="N640" s="102" t="s">
        <v>2061</v>
      </c>
      <c r="O640" s="102" t="s">
        <v>383</v>
      </c>
      <c r="P640" s="103">
        <v>1</v>
      </c>
      <c r="Q640" s="105">
        <v>13000000</v>
      </c>
      <c r="R640" s="103">
        <v>48</v>
      </c>
      <c r="S640" s="105">
        <v>270833.33333333302</v>
      </c>
      <c r="T640" s="105">
        <v>13000000</v>
      </c>
      <c r="U640" s="105">
        <v>0</v>
      </c>
      <c r="V640" s="105">
        <v>0</v>
      </c>
      <c r="W640" s="105">
        <v>0</v>
      </c>
      <c r="X640" s="105">
        <v>0</v>
      </c>
      <c r="Y640" s="105">
        <v>0</v>
      </c>
      <c r="Z640" s="105">
        <v>0</v>
      </c>
      <c r="AA640" s="105">
        <v>0</v>
      </c>
      <c r="AB640" s="105">
        <v>0</v>
      </c>
      <c r="AC640" s="8">
        <f t="shared" si="63"/>
        <v>13000000</v>
      </c>
      <c r="AD640" s="8">
        <f t="shared" si="64"/>
        <v>0</v>
      </c>
      <c r="AE640" s="8">
        <f t="shared" si="65"/>
        <v>0</v>
      </c>
      <c r="AF640" s="106">
        <f t="shared" si="66"/>
        <v>0</v>
      </c>
      <c r="AG640" s="8">
        <f t="shared" si="67"/>
        <v>0</v>
      </c>
      <c r="AH640" s="8">
        <f>IF($O640="Aktif",MAX(0,MIN($AE640,$AD640-SUM($AG640:AG640))),0)</f>
        <v>0</v>
      </c>
      <c r="AI640" s="8">
        <f>IF($O640="Aktif",MAX(0,MIN($AE640,$AD640-SUM($AG640:AH640))),0)</f>
        <v>0</v>
      </c>
      <c r="AJ640" s="8">
        <f>IF($O640="Aktif",MAX(0,MIN($AE640,$AD640-SUM($AG640:AI640))),0)</f>
        <v>0</v>
      </c>
      <c r="AK640" s="8">
        <f>IF($O640="Aktif",MAX(0,MIN($AE640,$AD640-SUM($AG640:AJ640))),0)</f>
        <v>0</v>
      </c>
      <c r="AL640" s="8">
        <f>IF($O640="Aktif",MAX(0,MIN($AE640,$AD640-SUM($AG640:AK640))),0)</f>
        <v>0</v>
      </c>
      <c r="AM640" s="8">
        <f>IF($O640="Aktif",MAX(0,MIN($AE640,$AD640-SUM($AG640:AL640))),0)</f>
        <v>0</v>
      </c>
      <c r="AN640" s="8">
        <f>IF($O640="Aktif",MAX(0,MIN($AE640,$AD640-SUM($AG640:AM640))),0)</f>
        <v>0</v>
      </c>
      <c r="AO640" s="8">
        <f>IF($O640="Aktif",MAX(0,MIN($AE640,$AD640-SUM($AG640:AN640))),0)</f>
        <v>0</v>
      </c>
      <c r="AP640" s="8">
        <f>IF($O640="Aktif",MAX(0,MIN($AE640,$AD640-SUM($AG640:AO640))),0)</f>
        <v>0</v>
      </c>
      <c r="AQ640" s="8">
        <f>IF($O640="Aktif",MAX(0,MIN($AE640,$AD640-SUM($AG640:AP640))),0)</f>
        <v>0</v>
      </c>
      <c r="AR640" s="8">
        <f>IF($O640="Aktif",MAX(0,MIN($AE640,$AD640-SUM($AG640:AQ640))),0)</f>
        <v>0</v>
      </c>
      <c r="AS640" s="8">
        <f>IF($O640="Aktif",MAX(0,MIN($AE640,$AD640-SUM($AG640:AR640))),0)</f>
        <v>0</v>
      </c>
      <c r="AT640" s="8">
        <f>IF($O640="Aktif",MAX(0,MIN($AE640,$AD640-SUM($AG640:AS640))),0)</f>
        <v>0</v>
      </c>
      <c r="AU640" s="8">
        <f>IF($O640="Aktif",MAX(0,MIN($AE640,$AD640-SUM($AG640:AT640))),0)</f>
        <v>0</v>
      </c>
      <c r="AV640" s="8">
        <f>IF($O640="Aktif",MAX(0,MIN($AE640,$AD640-SUM($AG640:AU640))),0)</f>
        <v>0</v>
      </c>
      <c r="AW640" s="8">
        <f t="shared" si="68"/>
        <v>0</v>
      </c>
      <c r="AX640" s="8">
        <f t="shared" si="69"/>
        <v>0</v>
      </c>
    </row>
    <row r="641" spans="1:50" ht="15" customHeight="1" x14ac:dyDescent="0.35">
      <c r="A641" s="102">
        <v>635</v>
      </c>
      <c r="B641" s="102" t="s">
        <v>1326</v>
      </c>
      <c r="C641" s="103">
        <v>269</v>
      </c>
      <c r="D641" s="102" t="s">
        <v>185</v>
      </c>
      <c r="E641" s="102" t="s">
        <v>587</v>
      </c>
      <c r="F641" s="102" t="s">
        <v>1327</v>
      </c>
      <c r="G641" s="102" t="s">
        <v>1328</v>
      </c>
      <c r="H641" s="102" t="s">
        <v>1329</v>
      </c>
      <c r="I641" s="102" t="s">
        <v>63</v>
      </c>
      <c r="J641" s="102" t="s">
        <v>2062</v>
      </c>
      <c r="K641" s="102" t="s">
        <v>591</v>
      </c>
      <c r="L641" s="104">
        <v>42846</v>
      </c>
      <c r="M641" s="102" t="s">
        <v>2063</v>
      </c>
      <c r="N641" s="102" t="s">
        <v>2064</v>
      </c>
      <c r="O641" s="102" t="s">
        <v>383</v>
      </c>
      <c r="P641" s="103">
        <v>6</v>
      </c>
      <c r="Q641" s="105">
        <v>13843636</v>
      </c>
      <c r="R641" s="103">
        <v>48</v>
      </c>
      <c r="S641" s="105">
        <v>288409.08333333302</v>
      </c>
      <c r="T641" s="105">
        <v>13843636</v>
      </c>
      <c r="U641" s="105">
        <v>0</v>
      </c>
      <c r="V641" s="105">
        <v>0</v>
      </c>
      <c r="W641" s="105">
        <v>0</v>
      </c>
      <c r="X641" s="105">
        <v>0</v>
      </c>
      <c r="Y641" s="105">
        <v>0</v>
      </c>
      <c r="Z641" s="105">
        <v>0</v>
      </c>
      <c r="AA641" s="105">
        <v>0</v>
      </c>
      <c r="AB641" s="105">
        <v>0</v>
      </c>
      <c r="AC641" s="8">
        <f t="shared" si="63"/>
        <v>13843636</v>
      </c>
      <c r="AD641" s="8">
        <f t="shared" si="64"/>
        <v>0</v>
      </c>
      <c r="AE641" s="8">
        <f t="shared" si="65"/>
        <v>0</v>
      </c>
      <c r="AF641" s="106">
        <f t="shared" si="66"/>
        <v>0</v>
      </c>
      <c r="AG641" s="8">
        <f t="shared" si="67"/>
        <v>0</v>
      </c>
      <c r="AH641" s="8">
        <f>IF($O641="Aktif",MAX(0,MIN($AE641,$AD641-SUM($AG641:AG641))),0)</f>
        <v>0</v>
      </c>
      <c r="AI641" s="8">
        <f>IF($O641="Aktif",MAX(0,MIN($AE641,$AD641-SUM($AG641:AH641))),0)</f>
        <v>0</v>
      </c>
      <c r="AJ641" s="8">
        <f>IF($O641="Aktif",MAX(0,MIN($AE641,$AD641-SUM($AG641:AI641))),0)</f>
        <v>0</v>
      </c>
      <c r="AK641" s="8">
        <f>IF($O641="Aktif",MAX(0,MIN($AE641,$AD641-SUM($AG641:AJ641))),0)</f>
        <v>0</v>
      </c>
      <c r="AL641" s="8">
        <f>IF($O641="Aktif",MAX(0,MIN($AE641,$AD641-SUM($AG641:AK641))),0)</f>
        <v>0</v>
      </c>
      <c r="AM641" s="8">
        <f>IF($O641="Aktif",MAX(0,MIN($AE641,$AD641-SUM($AG641:AL641))),0)</f>
        <v>0</v>
      </c>
      <c r="AN641" s="8">
        <f>IF($O641="Aktif",MAX(0,MIN($AE641,$AD641-SUM($AG641:AM641))),0)</f>
        <v>0</v>
      </c>
      <c r="AO641" s="8">
        <f>IF($O641="Aktif",MAX(0,MIN($AE641,$AD641-SUM($AG641:AN641))),0)</f>
        <v>0</v>
      </c>
      <c r="AP641" s="8">
        <f>IF($O641="Aktif",MAX(0,MIN($AE641,$AD641-SUM($AG641:AO641))),0)</f>
        <v>0</v>
      </c>
      <c r="AQ641" s="8">
        <f>IF($O641="Aktif",MAX(0,MIN($AE641,$AD641-SUM($AG641:AP641))),0)</f>
        <v>0</v>
      </c>
      <c r="AR641" s="8">
        <f>IF($O641="Aktif",MAX(0,MIN($AE641,$AD641-SUM($AG641:AQ641))),0)</f>
        <v>0</v>
      </c>
      <c r="AS641" s="8">
        <f>IF($O641="Aktif",MAX(0,MIN($AE641,$AD641-SUM($AG641:AR641))),0)</f>
        <v>0</v>
      </c>
      <c r="AT641" s="8">
        <f>IF($O641="Aktif",MAX(0,MIN($AE641,$AD641-SUM($AG641:AS641))),0)</f>
        <v>0</v>
      </c>
      <c r="AU641" s="8">
        <f>IF($O641="Aktif",MAX(0,MIN($AE641,$AD641-SUM($AG641:AT641))),0)</f>
        <v>0</v>
      </c>
      <c r="AV641" s="8">
        <f>IF($O641="Aktif",MAX(0,MIN($AE641,$AD641-SUM($AG641:AU641))),0)</f>
        <v>0</v>
      </c>
      <c r="AW641" s="8">
        <f t="shared" si="68"/>
        <v>0</v>
      </c>
      <c r="AX641" s="8">
        <f t="shared" si="69"/>
        <v>0</v>
      </c>
    </row>
    <row r="642" spans="1:50" ht="15" customHeight="1" x14ac:dyDescent="0.35">
      <c r="A642" s="102">
        <v>636</v>
      </c>
      <c r="B642" s="102" t="s">
        <v>1326</v>
      </c>
      <c r="C642" s="103">
        <v>270</v>
      </c>
      <c r="D642" s="102" t="s">
        <v>185</v>
      </c>
      <c r="E642" s="102" t="s">
        <v>587</v>
      </c>
      <c r="F642" s="102" t="s">
        <v>1327</v>
      </c>
      <c r="G642" s="102" t="s">
        <v>1328</v>
      </c>
      <c r="H642" s="102" t="s">
        <v>1329</v>
      </c>
      <c r="I642" s="102" t="s">
        <v>63</v>
      </c>
      <c r="J642" s="102" t="s">
        <v>2065</v>
      </c>
      <c r="K642" s="102" t="s">
        <v>591</v>
      </c>
      <c r="L642" s="104">
        <v>42855</v>
      </c>
      <c r="M642" s="102" t="s">
        <v>2066</v>
      </c>
      <c r="N642" s="102" t="s">
        <v>2067</v>
      </c>
      <c r="O642" s="102" t="s">
        <v>383</v>
      </c>
      <c r="P642" s="103">
        <v>1</v>
      </c>
      <c r="Q642" s="105">
        <v>799911000</v>
      </c>
      <c r="R642" s="103">
        <v>48</v>
      </c>
      <c r="S642" s="105">
        <v>16664812.5</v>
      </c>
      <c r="T642" s="105">
        <v>799911000</v>
      </c>
      <c r="U642" s="105">
        <v>0</v>
      </c>
      <c r="V642" s="105">
        <v>0</v>
      </c>
      <c r="W642" s="105">
        <v>0</v>
      </c>
      <c r="X642" s="105">
        <v>0</v>
      </c>
      <c r="Y642" s="105">
        <v>0</v>
      </c>
      <c r="Z642" s="105">
        <v>0</v>
      </c>
      <c r="AA642" s="105">
        <v>0</v>
      </c>
      <c r="AB642" s="105">
        <v>0</v>
      </c>
      <c r="AC642" s="8">
        <f t="shared" si="63"/>
        <v>799911000</v>
      </c>
      <c r="AD642" s="8">
        <f t="shared" si="64"/>
        <v>0</v>
      </c>
      <c r="AE642" s="8">
        <f t="shared" si="65"/>
        <v>0</v>
      </c>
      <c r="AF642" s="106">
        <f t="shared" si="66"/>
        <v>0</v>
      </c>
      <c r="AG642" s="8">
        <f t="shared" si="67"/>
        <v>0</v>
      </c>
      <c r="AH642" s="8">
        <f>IF($O642="Aktif",MAX(0,MIN($AE642,$AD642-SUM($AG642:AG642))),0)</f>
        <v>0</v>
      </c>
      <c r="AI642" s="8">
        <f>IF($O642="Aktif",MAX(0,MIN($AE642,$AD642-SUM($AG642:AH642))),0)</f>
        <v>0</v>
      </c>
      <c r="AJ642" s="8">
        <f>IF($O642="Aktif",MAX(0,MIN($AE642,$AD642-SUM($AG642:AI642))),0)</f>
        <v>0</v>
      </c>
      <c r="AK642" s="8">
        <f>IF($O642="Aktif",MAX(0,MIN($AE642,$AD642-SUM($AG642:AJ642))),0)</f>
        <v>0</v>
      </c>
      <c r="AL642" s="8">
        <f>IF($O642="Aktif",MAX(0,MIN($AE642,$AD642-SUM($AG642:AK642))),0)</f>
        <v>0</v>
      </c>
      <c r="AM642" s="8">
        <f>IF($O642="Aktif",MAX(0,MIN($AE642,$AD642-SUM($AG642:AL642))),0)</f>
        <v>0</v>
      </c>
      <c r="AN642" s="8">
        <f>IF($O642="Aktif",MAX(0,MIN($AE642,$AD642-SUM($AG642:AM642))),0)</f>
        <v>0</v>
      </c>
      <c r="AO642" s="8">
        <f>IF($O642="Aktif",MAX(0,MIN($AE642,$AD642-SUM($AG642:AN642))),0)</f>
        <v>0</v>
      </c>
      <c r="AP642" s="8">
        <f>IF($O642="Aktif",MAX(0,MIN($AE642,$AD642-SUM($AG642:AO642))),0)</f>
        <v>0</v>
      </c>
      <c r="AQ642" s="8">
        <f>IF($O642="Aktif",MAX(0,MIN($AE642,$AD642-SUM($AG642:AP642))),0)</f>
        <v>0</v>
      </c>
      <c r="AR642" s="8">
        <f>IF($O642="Aktif",MAX(0,MIN($AE642,$AD642-SUM($AG642:AQ642))),0)</f>
        <v>0</v>
      </c>
      <c r="AS642" s="8">
        <f>IF($O642="Aktif",MAX(0,MIN($AE642,$AD642-SUM($AG642:AR642))),0)</f>
        <v>0</v>
      </c>
      <c r="AT642" s="8">
        <f>IF($O642="Aktif",MAX(0,MIN($AE642,$AD642-SUM($AG642:AS642))),0)</f>
        <v>0</v>
      </c>
      <c r="AU642" s="8">
        <f>IF($O642="Aktif",MAX(0,MIN($AE642,$AD642-SUM($AG642:AT642))),0)</f>
        <v>0</v>
      </c>
      <c r="AV642" s="8">
        <f>IF($O642="Aktif",MAX(0,MIN($AE642,$AD642-SUM($AG642:AU642))),0)</f>
        <v>0</v>
      </c>
      <c r="AW642" s="8">
        <f t="shared" si="68"/>
        <v>0</v>
      </c>
      <c r="AX642" s="8">
        <f t="shared" si="69"/>
        <v>0</v>
      </c>
    </row>
    <row r="643" spans="1:50" ht="15" customHeight="1" x14ac:dyDescent="0.35">
      <c r="A643" s="102">
        <v>637</v>
      </c>
      <c r="B643" s="102" t="s">
        <v>1326</v>
      </c>
      <c r="C643" s="103">
        <v>271</v>
      </c>
      <c r="D643" s="102" t="s">
        <v>185</v>
      </c>
      <c r="E643" s="102" t="s">
        <v>587</v>
      </c>
      <c r="F643" s="102" t="s">
        <v>1327</v>
      </c>
      <c r="G643" s="102" t="s">
        <v>1328</v>
      </c>
      <c r="H643" s="102" t="s">
        <v>1329</v>
      </c>
      <c r="I643" s="102" t="s">
        <v>63</v>
      </c>
      <c r="J643" s="102"/>
      <c r="K643" s="102" t="s">
        <v>591</v>
      </c>
      <c r="L643" s="104">
        <v>44410</v>
      </c>
      <c r="M643" s="102" t="s">
        <v>2068</v>
      </c>
      <c r="N643" s="102" t="s">
        <v>2069</v>
      </c>
      <c r="O643" s="102" t="s">
        <v>487</v>
      </c>
      <c r="P643" s="103">
        <v>1</v>
      </c>
      <c r="Q643" s="105">
        <v>-799911000</v>
      </c>
      <c r="R643" s="102"/>
      <c r="S643" s="105">
        <v>0</v>
      </c>
      <c r="T643" s="105">
        <v>-799911000</v>
      </c>
      <c r="U643" s="105">
        <v>0</v>
      </c>
      <c r="V643" s="105">
        <v>0</v>
      </c>
      <c r="W643" s="105">
        <v>0</v>
      </c>
      <c r="X643" s="105">
        <v>0</v>
      </c>
      <c r="Y643" s="105">
        <v>0</v>
      </c>
      <c r="Z643" s="105">
        <v>0</v>
      </c>
      <c r="AA643" s="105">
        <v>0</v>
      </c>
      <c r="AB643" s="105">
        <v>0</v>
      </c>
      <c r="AC643" s="8">
        <f t="shared" si="63"/>
        <v>-799911000</v>
      </c>
      <c r="AD643" s="8">
        <f t="shared" si="64"/>
        <v>0</v>
      </c>
      <c r="AE643" s="8">
        <f t="shared" si="65"/>
        <v>0</v>
      </c>
      <c r="AF643" s="106">
        <f t="shared" si="66"/>
        <v>0</v>
      </c>
      <c r="AG643" s="8">
        <f t="shared" si="67"/>
        <v>0</v>
      </c>
      <c r="AH643" s="8">
        <f>IF($O643="Aktif",MAX(0,MIN($AE643,$AD643-SUM($AG643:AG643))),0)</f>
        <v>0</v>
      </c>
      <c r="AI643" s="8">
        <f>IF($O643="Aktif",MAX(0,MIN($AE643,$AD643-SUM($AG643:AH643))),0)</f>
        <v>0</v>
      </c>
      <c r="AJ643" s="8">
        <f>IF($O643="Aktif",MAX(0,MIN($AE643,$AD643-SUM($AG643:AI643))),0)</f>
        <v>0</v>
      </c>
      <c r="AK643" s="8">
        <f>IF($O643="Aktif",MAX(0,MIN($AE643,$AD643-SUM($AG643:AJ643))),0)</f>
        <v>0</v>
      </c>
      <c r="AL643" s="8">
        <f>IF($O643="Aktif",MAX(0,MIN($AE643,$AD643-SUM($AG643:AK643))),0)</f>
        <v>0</v>
      </c>
      <c r="AM643" s="8">
        <f>IF($O643="Aktif",MAX(0,MIN($AE643,$AD643-SUM($AG643:AL643))),0)</f>
        <v>0</v>
      </c>
      <c r="AN643" s="8">
        <f>IF($O643="Aktif",MAX(0,MIN($AE643,$AD643-SUM($AG643:AM643))),0)</f>
        <v>0</v>
      </c>
      <c r="AO643" s="8">
        <f>IF($O643="Aktif",MAX(0,MIN($AE643,$AD643-SUM($AG643:AN643))),0)</f>
        <v>0</v>
      </c>
      <c r="AP643" s="8">
        <f>IF($O643="Aktif",MAX(0,MIN($AE643,$AD643-SUM($AG643:AO643))),0)</f>
        <v>0</v>
      </c>
      <c r="AQ643" s="8">
        <f>IF($O643="Aktif",MAX(0,MIN($AE643,$AD643-SUM($AG643:AP643))),0)</f>
        <v>0</v>
      </c>
      <c r="AR643" s="8">
        <f>IF($O643="Aktif",MAX(0,MIN($AE643,$AD643-SUM($AG643:AQ643))),0)</f>
        <v>0</v>
      </c>
      <c r="AS643" s="8">
        <f>IF($O643="Aktif",MAX(0,MIN($AE643,$AD643-SUM($AG643:AR643))),0)</f>
        <v>0</v>
      </c>
      <c r="AT643" s="8">
        <f>IF($O643="Aktif",MAX(0,MIN($AE643,$AD643-SUM($AG643:AS643))),0)</f>
        <v>0</v>
      </c>
      <c r="AU643" s="8">
        <f>IF($O643="Aktif",MAX(0,MIN($AE643,$AD643-SUM($AG643:AT643))),0)</f>
        <v>0</v>
      </c>
      <c r="AV643" s="8">
        <f>IF($O643="Aktif",MAX(0,MIN($AE643,$AD643-SUM($AG643:AU643))),0)</f>
        <v>0</v>
      </c>
      <c r="AW643" s="8">
        <f t="shared" si="68"/>
        <v>0</v>
      </c>
      <c r="AX643" s="8">
        <f t="shared" si="69"/>
        <v>0</v>
      </c>
    </row>
    <row r="644" spans="1:50" ht="15" customHeight="1" x14ac:dyDescent="0.35">
      <c r="A644" s="102">
        <v>638</v>
      </c>
      <c r="B644" s="102" t="s">
        <v>1326</v>
      </c>
      <c r="C644" s="103">
        <v>272</v>
      </c>
      <c r="D644" s="102" t="s">
        <v>185</v>
      </c>
      <c r="E644" s="102" t="s">
        <v>587</v>
      </c>
      <c r="F644" s="102" t="s">
        <v>1327</v>
      </c>
      <c r="G644" s="102" t="s">
        <v>1328</v>
      </c>
      <c r="H644" s="102" t="s">
        <v>1329</v>
      </c>
      <c r="I644" s="102" t="s">
        <v>63</v>
      </c>
      <c r="J644" s="102" t="s">
        <v>2070</v>
      </c>
      <c r="K644" s="102" t="s">
        <v>591</v>
      </c>
      <c r="L644" s="104">
        <v>42855</v>
      </c>
      <c r="M644" s="102" t="s">
        <v>2071</v>
      </c>
      <c r="N644" s="102" t="s">
        <v>2072</v>
      </c>
      <c r="O644" s="102" t="s">
        <v>383</v>
      </c>
      <c r="P644" s="103">
        <v>1</v>
      </c>
      <c r="Q644" s="105">
        <v>16500000</v>
      </c>
      <c r="R644" s="103">
        <v>48</v>
      </c>
      <c r="S644" s="105">
        <v>343750</v>
      </c>
      <c r="T644" s="105">
        <v>16500000</v>
      </c>
      <c r="U644" s="105">
        <v>0</v>
      </c>
      <c r="V644" s="105">
        <v>0</v>
      </c>
      <c r="W644" s="105">
        <v>0</v>
      </c>
      <c r="X644" s="105">
        <v>0</v>
      </c>
      <c r="Y644" s="105">
        <v>0</v>
      </c>
      <c r="Z644" s="105">
        <v>0</v>
      </c>
      <c r="AA644" s="105">
        <v>0</v>
      </c>
      <c r="AB644" s="105">
        <v>0</v>
      </c>
      <c r="AC644" s="8">
        <f t="shared" si="63"/>
        <v>16500000</v>
      </c>
      <c r="AD644" s="8">
        <f t="shared" si="64"/>
        <v>0</v>
      </c>
      <c r="AE644" s="8">
        <f t="shared" si="65"/>
        <v>0</v>
      </c>
      <c r="AF644" s="106">
        <f t="shared" si="66"/>
        <v>0</v>
      </c>
      <c r="AG644" s="8">
        <f t="shared" si="67"/>
        <v>0</v>
      </c>
      <c r="AH644" s="8">
        <f>IF($O644="Aktif",MAX(0,MIN($AE644,$AD644-SUM($AG644:AG644))),0)</f>
        <v>0</v>
      </c>
      <c r="AI644" s="8">
        <f>IF($O644="Aktif",MAX(0,MIN($AE644,$AD644-SUM($AG644:AH644))),0)</f>
        <v>0</v>
      </c>
      <c r="AJ644" s="8">
        <f>IF($O644="Aktif",MAX(0,MIN($AE644,$AD644-SUM($AG644:AI644))),0)</f>
        <v>0</v>
      </c>
      <c r="AK644" s="8">
        <f>IF($O644="Aktif",MAX(0,MIN($AE644,$AD644-SUM($AG644:AJ644))),0)</f>
        <v>0</v>
      </c>
      <c r="AL644" s="8">
        <f>IF($O644="Aktif",MAX(0,MIN($AE644,$AD644-SUM($AG644:AK644))),0)</f>
        <v>0</v>
      </c>
      <c r="AM644" s="8">
        <f>IF($O644="Aktif",MAX(0,MIN($AE644,$AD644-SUM($AG644:AL644))),0)</f>
        <v>0</v>
      </c>
      <c r="AN644" s="8">
        <f>IF($O644="Aktif",MAX(0,MIN($AE644,$AD644-SUM($AG644:AM644))),0)</f>
        <v>0</v>
      </c>
      <c r="AO644" s="8">
        <f>IF($O644="Aktif",MAX(0,MIN($AE644,$AD644-SUM($AG644:AN644))),0)</f>
        <v>0</v>
      </c>
      <c r="AP644" s="8">
        <f>IF($O644="Aktif",MAX(0,MIN($AE644,$AD644-SUM($AG644:AO644))),0)</f>
        <v>0</v>
      </c>
      <c r="AQ644" s="8">
        <f>IF($O644="Aktif",MAX(0,MIN($AE644,$AD644-SUM($AG644:AP644))),0)</f>
        <v>0</v>
      </c>
      <c r="AR644" s="8">
        <f>IF($O644="Aktif",MAX(0,MIN($AE644,$AD644-SUM($AG644:AQ644))),0)</f>
        <v>0</v>
      </c>
      <c r="AS644" s="8">
        <f>IF($O644="Aktif",MAX(0,MIN($AE644,$AD644-SUM($AG644:AR644))),0)</f>
        <v>0</v>
      </c>
      <c r="AT644" s="8">
        <f>IF($O644="Aktif",MAX(0,MIN($AE644,$AD644-SUM($AG644:AS644))),0)</f>
        <v>0</v>
      </c>
      <c r="AU644" s="8">
        <f>IF($O644="Aktif",MAX(0,MIN($AE644,$AD644-SUM($AG644:AT644))),0)</f>
        <v>0</v>
      </c>
      <c r="AV644" s="8">
        <f>IF($O644="Aktif",MAX(0,MIN($AE644,$AD644-SUM($AG644:AU644))),0)</f>
        <v>0</v>
      </c>
      <c r="AW644" s="8">
        <f t="shared" si="68"/>
        <v>0</v>
      </c>
      <c r="AX644" s="8">
        <f t="shared" si="69"/>
        <v>0</v>
      </c>
    </row>
    <row r="645" spans="1:50" ht="15" customHeight="1" x14ac:dyDescent="0.35">
      <c r="A645" s="102">
        <v>639</v>
      </c>
      <c r="B645" s="102" t="s">
        <v>1326</v>
      </c>
      <c r="C645" s="103">
        <v>273</v>
      </c>
      <c r="D645" s="102" t="s">
        <v>185</v>
      </c>
      <c r="E645" s="102" t="s">
        <v>587</v>
      </c>
      <c r="F645" s="102" t="s">
        <v>1327</v>
      </c>
      <c r="G645" s="102" t="s">
        <v>1328</v>
      </c>
      <c r="H645" s="102" t="s">
        <v>1329</v>
      </c>
      <c r="I645" s="102" t="s">
        <v>63</v>
      </c>
      <c r="J645" s="102" t="s">
        <v>2073</v>
      </c>
      <c r="K645" s="102" t="s">
        <v>591</v>
      </c>
      <c r="L645" s="104">
        <v>42860</v>
      </c>
      <c r="M645" s="102" t="s">
        <v>2074</v>
      </c>
      <c r="N645" s="102" t="s">
        <v>2075</v>
      </c>
      <c r="O645" s="102" t="s">
        <v>383</v>
      </c>
      <c r="P645" s="103">
        <v>1</v>
      </c>
      <c r="Q645" s="105">
        <v>3610000</v>
      </c>
      <c r="R645" s="103">
        <v>48</v>
      </c>
      <c r="S645" s="105">
        <v>75208.333333333299</v>
      </c>
      <c r="T645" s="105">
        <v>3610000</v>
      </c>
      <c r="U645" s="105">
        <v>0</v>
      </c>
      <c r="V645" s="105">
        <v>0</v>
      </c>
      <c r="W645" s="105">
        <v>0</v>
      </c>
      <c r="X645" s="105">
        <v>0</v>
      </c>
      <c r="Y645" s="105">
        <v>0</v>
      </c>
      <c r="Z645" s="105">
        <v>0</v>
      </c>
      <c r="AA645" s="105">
        <v>0</v>
      </c>
      <c r="AB645" s="105">
        <v>0</v>
      </c>
      <c r="AC645" s="8">
        <f t="shared" si="63"/>
        <v>3610000</v>
      </c>
      <c r="AD645" s="8">
        <f t="shared" si="64"/>
        <v>0</v>
      </c>
      <c r="AE645" s="8">
        <f t="shared" si="65"/>
        <v>0</v>
      </c>
      <c r="AF645" s="106">
        <f t="shared" si="66"/>
        <v>0</v>
      </c>
      <c r="AG645" s="8">
        <f t="shared" si="67"/>
        <v>0</v>
      </c>
      <c r="AH645" s="8">
        <f>IF($O645="Aktif",MAX(0,MIN($AE645,$AD645-SUM($AG645:AG645))),0)</f>
        <v>0</v>
      </c>
      <c r="AI645" s="8">
        <f>IF($O645="Aktif",MAX(0,MIN($AE645,$AD645-SUM($AG645:AH645))),0)</f>
        <v>0</v>
      </c>
      <c r="AJ645" s="8">
        <f>IF($O645="Aktif",MAX(0,MIN($AE645,$AD645-SUM($AG645:AI645))),0)</f>
        <v>0</v>
      </c>
      <c r="AK645" s="8">
        <f>IF($O645="Aktif",MAX(0,MIN($AE645,$AD645-SUM($AG645:AJ645))),0)</f>
        <v>0</v>
      </c>
      <c r="AL645" s="8">
        <f>IF($O645="Aktif",MAX(0,MIN($AE645,$AD645-SUM($AG645:AK645))),0)</f>
        <v>0</v>
      </c>
      <c r="AM645" s="8">
        <f>IF($O645="Aktif",MAX(0,MIN($AE645,$AD645-SUM($AG645:AL645))),0)</f>
        <v>0</v>
      </c>
      <c r="AN645" s="8">
        <f>IF($O645="Aktif",MAX(0,MIN($AE645,$AD645-SUM($AG645:AM645))),0)</f>
        <v>0</v>
      </c>
      <c r="AO645" s="8">
        <f>IF($O645="Aktif",MAX(0,MIN($AE645,$AD645-SUM($AG645:AN645))),0)</f>
        <v>0</v>
      </c>
      <c r="AP645" s="8">
        <f>IF($O645="Aktif",MAX(0,MIN($AE645,$AD645-SUM($AG645:AO645))),0)</f>
        <v>0</v>
      </c>
      <c r="AQ645" s="8">
        <f>IF($O645="Aktif",MAX(0,MIN($AE645,$AD645-SUM($AG645:AP645))),0)</f>
        <v>0</v>
      </c>
      <c r="AR645" s="8">
        <f>IF($O645="Aktif",MAX(0,MIN($AE645,$AD645-SUM($AG645:AQ645))),0)</f>
        <v>0</v>
      </c>
      <c r="AS645" s="8">
        <f>IF($O645="Aktif",MAX(0,MIN($AE645,$AD645-SUM($AG645:AR645))),0)</f>
        <v>0</v>
      </c>
      <c r="AT645" s="8">
        <f>IF($O645="Aktif",MAX(0,MIN($AE645,$AD645-SUM($AG645:AS645))),0)</f>
        <v>0</v>
      </c>
      <c r="AU645" s="8">
        <f>IF($O645="Aktif",MAX(0,MIN($AE645,$AD645-SUM($AG645:AT645))),0)</f>
        <v>0</v>
      </c>
      <c r="AV645" s="8">
        <f>IF($O645="Aktif",MAX(0,MIN($AE645,$AD645-SUM($AG645:AU645))),0)</f>
        <v>0</v>
      </c>
      <c r="AW645" s="8">
        <f t="shared" si="68"/>
        <v>0</v>
      </c>
      <c r="AX645" s="8">
        <f t="shared" si="69"/>
        <v>0</v>
      </c>
    </row>
    <row r="646" spans="1:50" ht="15" customHeight="1" x14ac:dyDescent="0.35">
      <c r="A646" s="102">
        <v>640</v>
      </c>
      <c r="B646" s="102" t="s">
        <v>1326</v>
      </c>
      <c r="C646" s="103">
        <v>274</v>
      </c>
      <c r="D646" s="102" t="s">
        <v>185</v>
      </c>
      <c r="E646" s="102" t="s">
        <v>587</v>
      </c>
      <c r="F646" s="102" t="s">
        <v>1327</v>
      </c>
      <c r="G646" s="102" t="s">
        <v>1328</v>
      </c>
      <c r="H646" s="102" t="s">
        <v>1329</v>
      </c>
      <c r="I646" s="102" t="s">
        <v>63</v>
      </c>
      <c r="J646" s="102" t="s">
        <v>2076</v>
      </c>
      <c r="K646" s="102" t="s">
        <v>591</v>
      </c>
      <c r="L646" s="104">
        <v>42864</v>
      </c>
      <c r="M646" s="102" t="s">
        <v>2077</v>
      </c>
      <c r="N646" s="102" t="s">
        <v>2078</v>
      </c>
      <c r="O646" s="102" t="s">
        <v>383</v>
      </c>
      <c r="P646" s="103">
        <v>2</v>
      </c>
      <c r="Q646" s="105">
        <v>21272728</v>
      </c>
      <c r="R646" s="103">
        <v>48</v>
      </c>
      <c r="S646" s="105">
        <v>443181.83333333302</v>
      </c>
      <c r="T646" s="105">
        <v>21272728</v>
      </c>
      <c r="U646" s="105">
        <v>0</v>
      </c>
      <c r="V646" s="105">
        <v>0</v>
      </c>
      <c r="W646" s="105">
        <v>0</v>
      </c>
      <c r="X646" s="105">
        <v>0</v>
      </c>
      <c r="Y646" s="105">
        <v>0</v>
      </c>
      <c r="Z646" s="105">
        <v>0</v>
      </c>
      <c r="AA646" s="105">
        <v>0</v>
      </c>
      <c r="AB646" s="105">
        <v>0</v>
      </c>
      <c r="AC646" s="8">
        <f t="shared" si="63"/>
        <v>21272728</v>
      </c>
      <c r="AD646" s="8">
        <f t="shared" si="64"/>
        <v>0</v>
      </c>
      <c r="AE646" s="8">
        <f t="shared" si="65"/>
        <v>0</v>
      </c>
      <c r="AF646" s="106">
        <f t="shared" si="66"/>
        <v>0</v>
      </c>
      <c r="AG646" s="8">
        <f t="shared" si="67"/>
        <v>0</v>
      </c>
      <c r="AH646" s="8">
        <f>IF($O646="Aktif",MAX(0,MIN($AE646,$AD646-SUM($AG646:AG646))),0)</f>
        <v>0</v>
      </c>
      <c r="AI646" s="8">
        <f>IF($O646="Aktif",MAX(0,MIN($AE646,$AD646-SUM($AG646:AH646))),0)</f>
        <v>0</v>
      </c>
      <c r="AJ646" s="8">
        <f>IF($O646="Aktif",MAX(0,MIN($AE646,$AD646-SUM($AG646:AI646))),0)</f>
        <v>0</v>
      </c>
      <c r="AK646" s="8">
        <f>IF($O646="Aktif",MAX(0,MIN($AE646,$AD646-SUM($AG646:AJ646))),0)</f>
        <v>0</v>
      </c>
      <c r="AL646" s="8">
        <f>IF($O646="Aktif",MAX(0,MIN($AE646,$AD646-SUM($AG646:AK646))),0)</f>
        <v>0</v>
      </c>
      <c r="AM646" s="8">
        <f>IF($O646="Aktif",MAX(0,MIN($AE646,$AD646-SUM($AG646:AL646))),0)</f>
        <v>0</v>
      </c>
      <c r="AN646" s="8">
        <f>IF($O646="Aktif",MAX(0,MIN($AE646,$AD646-SUM($AG646:AM646))),0)</f>
        <v>0</v>
      </c>
      <c r="AO646" s="8">
        <f>IF($O646="Aktif",MAX(0,MIN($AE646,$AD646-SUM($AG646:AN646))),0)</f>
        <v>0</v>
      </c>
      <c r="AP646" s="8">
        <f>IF($O646="Aktif",MAX(0,MIN($AE646,$AD646-SUM($AG646:AO646))),0)</f>
        <v>0</v>
      </c>
      <c r="AQ646" s="8">
        <f>IF($O646="Aktif",MAX(0,MIN($AE646,$AD646-SUM($AG646:AP646))),0)</f>
        <v>0</v>
      </c>
      <c r="AR646" s="8">
        <f>IF($O646="Aktif",MAX(0,MIN($AE646,$AD646-SUM($AG646:AQ646))),0)</f>
        <v>0</v>
      </c>
      <c r="AS646" s="8">
        <f>IF($O646="Aktif",MAX(0,MIN($AE646,$AD646-SUM($AG646:AR646))),0)</f>
        <v>0</v>
      </c>
      <c r="AT646" s="8">
        <f>IF($O646="Aktif",MAX(0,MIN($AE646,$AD646-SUM($AG646:AS646))),0)</f>
        <v>0</v>
      </c>
      <c r="AU646" s="8">
        <f>IF($O646="Aktif",MAX(0,MIN($AE646,$AD646-SUM($AG646:AT646))),0)</f>
        <v>0</v>
      </c>
      <c r="AV646" s="8">
        <f>IF($O646="Aktif",MAX(0,MIN($AE646,$AD646-SUM($AG646:AU646))),0)</f>
        <v>0</v>
      </c>
      <c r="AW646" s="8">
        <f t="shared" si="68"/>
        <v>0</v>
      </c>
      <c r="AX646" s="8">
        <f t="shared" si="69"/>
        <v>0</v>
      </c>
    </row>
    <row r="647" spans="1:50" ht="15" customHeight="1" x14ac:dyDescent="0.35">
      <c r="A647" s="102">
        <v>641</v>
      </c>
      <c r="B647" s="102" t="s">
        <v>1326</v>
      </c>
      <c r="C647" s="103">
        <v>275</v>
      </c>
      <c r="D647" s="102" t="s">
        <v>185</v>
      </c>
      <c r="E647" s="102" t="s">
        <v>587</v>
      </c>
      <c r="F647" s="102" t="s">
        <v>1327</v>
      </c>
      <c r="G647" s="102" t="s">
        <v>1328</v>
      </c>
      <c r="H647" s="102" t="s">
        <v>1329</v>
      </c>
      <c r="I647" s="102" t="s">
        <v>63</v>
      </c>
      <c r="J647" s="102" t="s">
        <v>2079</v>
      </c>
      <c r="K647" s="102" t="s">
        <v>591</v>
      </c>
      <c r="L647" s="104">
        <v>42867</v>
      </c>
      <c r="M647" s="102" t="s">
        <v>2080</v>
      </c>
      <c r="N647" s="102" t="s">
        <v>2081</v>
      </c>
      <c r="O647" s="102" t="s">
        <v>383</v>
      </c>
      <c r="P647" s="103">
        <v>2</v>
      </c>
      <c r="Q647" s="105">
        <v>1780000</v>
      </c>
      <c r="R647" s="103">
        <v>48</v>
      </c>
      <c r="S647" s="105">
        <v>37083.333333333299</v>
      </c>
      <c r="T647" s="105">
        <v>1780000</v>
      </c>
      <c r="U647" s="105">
        <v>0</v>
      </c>
      <c r="V647" s="105">
        <v>0</v>
      </c>
      <c r="W647" s="105">
        <v>0</v>
      </c>
      <c r="X647" s="105">
        <v>0</v>
      </c>
      <c r="Y647" s="105">
        <v>0</v>
      </c>
      <c r="Z647" s="105">
        <v>0</v>
      </c>
      <c r="AA647" s="105">
        <v>0</v>
      </c>
      <c r="AB647" s="105">
        <v>0</v>
      </c>
      <c r="AC647" s="8">
        <f t="shared" ref="AC647:AC710" si="70">T647+SUM(U647:AB647)</f>
        <v>1780000</v>
      </c>
      <c r="AD647" s="8">
        <f t="shared" ref="AD647:AD710" si="71">Q647-AC647</f>
        <v>0</v>
      </c>
      <c r="AE647" s="8">
        <f t="shared" ref="AE647:AE710" si="72">IF(O647="Aktif",AB647,0)</f>
        <v>0</v>
      </c>
      <c r="AF647" s="106">
        <f t="shared" ref="AF647:AF710" si="73">IF(AE647&gt;0,MAX(0,AD647)/AE647,0)</f>
        <v>0</v>
      </c>
      <c r="AG647" s="8">
        <f t="shared" ref="AG647:AG710" si="74">IF($O647="Aktif",MAX(0,MIN($AE647,$AD647-0)),0)</f>
        <v>0</v>
      </c>
      <c r="AH647" s="8">
        <f>IF($O647="Aktif",MAX(0,MIN($AE647,$AD647-SUM($AG647:AG647))),0)</f>
        <v>0</v>
      </c>
      <c r="AI647" s="8">
        <f>IF($O647="Aktif",MAX(0,MIN($AE647,$AD647-SUM($AG647:AH647))),0)</f>
        <v>0</v>
      </c>
      <c r="AJ647" s="8">
        <f>IF($O647="Aktif",MAX(0,MIN($AE647,$AD647-SUM($AG647:AI647))),0)</f>
        <v>0</v>
      </c>
      <c r="AK647" s="8">
        <f>IF($O647="Aktif",MAX(0,MIN($AE647,$AD647-SUM($AG647:AJ647))),0)</f>
        <v>0</v>
      </c>
      <c r="AL647" s="8">
        <f>IF($O647="Aktif",MAX(0,MIN($AE647,$AD647-SUM($AG647:AK647))),0)</f>
        <v>0</v>
      </c>
      <c r="AM647" s="8">
        <f>IF($O647="Aktif",MAX(0,MIN($AE647,$AD647-SUM($AG647:AL647))),0)</f>
        <v>0</v>
      </c>
      <c r="AN647" s="8">
        <f>IF($O647="Aktif",MAX(0,MIN($AE647,$AD647-SUM($AG647:AM647))),0)</f>
        <v>0</v>
      </c>
      <c r="AO647" s="8">
        <f>IF($O647="Aktif",MAX(0,MIN($AE647,$AD647-SUM($AG647:AN647))),0)</f>
        <v>0</v>
      </c>
      <c r="AP647" s="8">
        <f>IF($O647="Aktif",MAX(0,MIN($AE647,$AD647-SUM($AG647:AO647))),0)</f>
        <v>0</v>
      </c>
      <c r="AQ647" s="8">
        <f>IF($O647="Aktif",MAX(0,MIN($AE647,$AD647-SUM($AG647:AP647))),0)</f>
        <v>0</v>
      </c>
      <c r="AR647" s="8">
        <f>IF($O647="Aktif",MAX(0,MIN($AE647,$AD647-SUM($AG647:AQ647))),0)</f>
        <v>0</v>
      </c>
      <c r="AS647" s="8">
        <f>IF($O647="Aktif",MAX(0,MIN($AE647,$AD647-SUM($AG647:AR647))),0)</f>
        <v>0</v>
      </c>
      <c r="AT647" s="8">
        <f>IF($O647="Aktif",MAX(0,MIN($AE647,$AD647-SUM($AG647:AS647))),0)</f>
        <v>0</v>
      </c>
      <c r="AU647" s="8">
        <f>IF($O647="Aktif",MAX(0,MIN($AE647,$AD647-SUM($AG647:AT647))),0)</f>
        <v>0</v>
      </c>
      <c r="AV647" s="8">
        <f>IF($O647="Aktif",MAX(0,MIN($AE647,$AD647-SUM($AG647:AU647))),0)</f>
        <v>0</v>
      </c>
      <c r="AW647" s="8">
        <f t="shared" ref="AW647:AW710" si="75">SUM(AG647:AV647)</f>
        <v>0</v>
      </c>
      <c r="AX647" s="8">
        <f t="shared" ref="AX647:AX710" si="76">AD647-AW647</f>
        <v>0</v>
      </c>
    </row>
    <row r="648" spans="1:50" ht="15" customHeight="1" x14ac:dyDescent="0.35">
      <c r="A648" s="102">
        <v>642</v>
      </c>
      <c r="B648" s="102" t="s">
        <v>1326</v>
      </c>
      <c r="C648" s="103">
        <v>276</v>
      </c>
      <c r="D648" s="102" t="s">
        <v>185</v>
      </c>
      <c r="E648" s="102" t="s">
        <v>587</v>
      </c>
      <c r="F648" s="102" t="s">
        <v>1327</v>
      </c>
      <c r="G648" s="102" t="s">
        <v>1328</v>
      </c>
      <c r="H648" s="102" t="s">
        <v>1329</v>
      </c>
      <c r="I648" s="102" t="s">
        <v>63</v>
      </c>
      <c r="J648" s="102" t="s">
        <v>2082</v>
      </c>
      <c r="K648" s="102" t="s">
        <v>591</v>
      </c>
      <c r="L648" s="104">
        <v>42871</v>
      </c>
      <c r="M648" s="102" t="s">
        <v>2083</v>
      </c>
      <c r="N648" s="102" t="s">
        <v>2084</v>
      </c>
      <c r="O648" s="102" t="s">
        <v>383</v>
      </c>
      <c r="P648" s="103">
        <v>1</v>
      </c>
      <c r="Q648" s="105">
        <v>9090910</v>
      </c>
      <c r="R648" s="103">
        <v>48</v>
      </c>
      <c r="S648" s="105">
        <v>189393.95833333299</v>
      </c>
      <c r="T648" s="105">
        <v>9090910</v>
      </c>
      <c r="U648" s="105">
        <v>0</v>
      </c>
      <c r="V648" s="105">
        <v>0</v>
      </c>
      <c r="W648" s="105">
        <v>0</v>
      </c>
      <c r="X648" s="105">
        <v>0</v>
      </c>
      <c r="Y648" s="105">
        <v>0</v>
      </c>
      <c r="Z648" s="105">
        <v>0</v>
      </c>
      <c r="AA648" s="105">
        <v>0</v>
      </c>
      <c r="AB648" s="105">
        <v>0</v>
      </c>
      <c r="AC648" s="8">
        <f t="shared" si="70"/>
        <v>9090910</v>
      </c>
      <c r="AD648" s="8">
        <f t="shared" si="71"/>
        <v>0</v>
      </c>
      <c r="AE648" s="8">
        <f t="shared" si="72"/>
        <v>0</v>
      </c>
      <c r="AF648" s="106">
        <f t="shared" si="73"/>
        <v>0</v>
      </c>
      <c r="AG648" s="8">
        <f t="shared" si="74"/>
        <v>0</v>
      </c>
      <c r="AH648" s="8">
        <f>IF($O648="Aktif",MAX(0,MIN($AE648,$AD648-SUM($AG648:AG648))),0)</f>
        <v>0</v>
      </c>
      <c r="AI648" s="8">
        <f>IF($O648="Aktif",MAX(0,MIN($AE648,$AD648-SUM($AG648:AH648))),0)</f>
        <v>0</v>
      </c>
      <c r="AJ648" s="8">
        <f>IF($O648="Aktif",MAX(0,MIN($AE648,$AD648-SUM($AG648:AI648))),0)</f>
        <v>0</v>
      </c>
      <c r="AK648" s="8">
        <f>IF($O648="Aktif",MAX(0,MIN($AE648,$AD648-SUM($AG648:AJ648))),0)</f>
        <v>0</v>
      </c>
      <c r="AL648" s="8">
        <f>IF($O648="Aktif",MAX(0,MIN($AE648,$AD648-SUM($AG648:AK648))),0)</f>
        <v>0</v>
      </c>
      <c r="AM648" s="8">
        <f>IF($O648="Aktif",MAX(0,MIN($AE648,$AD648-SUM($AG648:AL648))),0)</f>
        <v>0</v>
      </c>
      <c r="AN648" s="8">
        <f>IF($O648="Aktif",MAX(0,MIN($AE648,$AD648-SUM($AG648:AM648))),0)</f>
        <v>0</v>
      </c>
      <c r="AO648" s="8">
        <f>IF($O648="Aktif",MAX(0,MIN($AE648,$AD648-SUM($AG648:AN648))),0)</f>
        <v>0</v>
      </c>
      <c r="AP648" s="8">
        <f>IF($O648="Aktif",MAX(0,MIN($AE648,$AD648-SUM($AG648:AO648))),0)</f>
        <v>0</v>
      </c>
      <c r="AQ648" s="8">
        <f>IF($O648="Aktif",MAX(0,MIN($AE648,$AD648-SUM($AG648:AP648))),0)</f>
        <v>0</v>
      </c>
      <c r="AR648" s="8">
        <f>IF($O648="Aktif",MAX(0,MIN($AE648,$AD648-SUM($AG648:AQ648))),0)</f>
        <v>0</v>
      </c>
      <c r="AS648" s="8">
        <f>IF($O648="Aktif",MAX(0,MIN($AE648,$AD648-SUM($AG648:AR648))),0)</f>
        <v>0</v>
      </c>
      <c r="AT648" s="8">
        <f>IF($O648="Aktif",MAX(0,MIN($AE648,$AD648-SUM($AG648:AS648))),0)</f>
        <v>0</v>
      </c>
      <c r="AU648" s="8">
        <f>IF($O648="Aktif",MAX(0,MIN($AE648,$AD648-SUM($AG648:AT648))),0)</f>
        <v>0</v>
      </c>
      <c r="AV648" s="8">
        <f>IF($O648="Aktif",MAX(0,MIN($AE648,$AD648-SUM($AG648:AU648))),0)</f>
        <v>0</v>
      </c>
      <c r="AW648" s="8">
        <f t="shared" si="75"/>
        <v>0</v>
      </c>
      <c r="AX648" s="8">
        <f t="shared" si="76"/>
        <v>0</v>
      </c>
    </row>
    <row r="649" spans="1:50" ht="15" customHeight="1" x14ac:dyDescent="0.35">
      <c r="A649" s="102">
        <v>643</v>
      </c>
      <c r="B649" s="102" t="s">
        <v>1326</v>
      </c>
      <c r="C649" s="103">
        <v>277</v>
      </c>
      <c r="D649" s="102" t="s">
        <v>185</v>
      </c>
      <c r="E649" s="102" t="s">
        <v>587</v>
      </c>
      <c r="F649" s="102" t="s">
        <v>1327</v>
      </c>
      <c r="G649" s="102" t="s">
        <v>1328</v>
      </c>
      <c r="H649" s="102" t="s">
        <v>1329</v>
      </c>
      <c r="I649" s="102" t="s">
        <v>63</v>
      </c>
      <c r="J649" s="102" t="s">
        <v>2085</v>
      </c>
      <c r="K649" s="102" t="s">
        <v>591</v>
      </c>
      <c r="L649" s="104">
        <v>42878</v>
      </c>
      <c r="M649" s="102" t="s">
        <v>1926</v>
      </c>
      <c r="N649" s="102" t="s">
        <v>2086</v>
      </c>
      <c r="O649" s="102" t="s">
        <v>383</v>
      </c>
      <c r="P649" s="103">
        <v>1</v>
      </c>
      <c r="Q649" s="105">
        <v>6100000</v>
      </c>
      <c r="R649" s="103">
        <v>48</v>
      </c>
      <c r="S649" s="105">
        <v>127083.33333333299</v>
      </c>
      <c r="T649" s="105">
        <v>6100000</v>
      </c>
      <c r="U649" s="105">
        <v>0</v>
      </c>
      <c r="V649" s="105">
        <v>0</v>
      </c>
      <c r="W649" s="105">
        <v>0</v>
      </c>
      <c r="X649" s="105">
        <v>0</v>
      </c>
      <c r="Y649" s="105">
        <v>0</v>
      </c>
      <c r="Z649" s="105">
        <v>0</v>
      </c>
      <c r="AA649" s="105">
        <v>0</v>
      </c>
      <c r="AB649" s="105">
        <v>0</v>
      </c>
      <c r="AC649" s="8">
        <f t="shared" si="70"/>
        <v>6100000</v>
      </c>
      <c r="AD649" s="8">
        <f t="shared" si="71"/>
        <v>0</v>
      </c>
      <c r="AE649" s="8">
        <f t="shared" si="72"/>
        <v>0</v>
      </c>
      <c r="AF649" s="106">
        <f t="shared" si="73"/>
        <v>0</v>
      </c>
      <c r="AG649" s="8">
        <f t="shared" si="74"/>
        <v>0</v>
      </c>
      <c r="AH649" s="8">
        <f>IF($O649="Aktif",MAX(0,MIN($AE649,$AD649-SUM($AG649:AG649))),0)</f>
        <v>0</v>
      </c>
      <c r="AI649" s="8">
        <f>IF($O649="Aktif",MAX(0,MIN($AE649,$AD649-SUM($AG649:AH649))),0)</f>
        <v>0</v>
      </c>
      <c r="AJ649" s="8">
        <f>IF($O649="Aktif",MAX(0,MIN($AE649,$AD649-SUM($AG649:AI649))),0)</f>
        <v>0</v>
      </c>
      <c r="AK649" s="8">
        <f>IF($O649="Aktif",MAX(0,MIN($AE649,$AD649-SUM($AG649:AJ649))),0)</f>
        <v>0</v>
      </c>
      <c r="AL649" s="8">
        <f>IF($O649="Aktif",MAX(0,MIN($AE649,$AD649-SUM($AG649:AK649))),0)</f>
        <v>0</v>
      </c>
      <c r="AM649" s="8">
        <f>IF($O649="Aktif",MAX(0,MIN($AE649,$AD649-SUM($AG649:AL649))),0)</f>
        <v>0</v>
      </c>
      <c r="AN649" s="8">
        <f>IF($O649="Aktif",MAX(0,MIN($AE649,$AD649-SUM($AG649:AM649))),0)</f>
        <v>0</v>
      </c>
      <c r="AO649" s="8">
        <f>IF($O649="Aktif",MAX(0,MIN($AE649,$AD649-SUM($AG649:AN649))),0)</f>
        <v>0</v>
      </c>
      <c r="AP649" s="8">
        <f>IF($O649="Aktif",MAX(0,MIN($AE649,$AD649-SUM($AG649:AO649))),0)</f>
        <v>0</v>
      </c>
      <c r="AQ649" s="8">
        <f>IF($O649="Aktif",MAX(0,MIN($AE649,$AD649-SUM($AG649:AP649))),0)</f>
        <v>0</v>
      </c>
      <c r="AR649" s="8">
        <f>IF($O649="Aktif",MAX(0,MIN($AE649,$AD649-SUM($AG649:AQ649))),0)</f>
        <v>0</v>
      </c>
      <c r="AS649" s="8">
        <f>IF($O649="Aktif",MAX(0,MIN($AE649,$AD649-SUM($AG649:AR649))),0)</f>
        <v>0</v>
      </c>
      <c r="AT649" s="8">
        <f>IF($O649="Aktif",MAX(0,MIN($AE649,$AD649-SUM($AG649:AS649))),0)</f>
        <v>0</v>
      </c>
      <c r="AU649" s="8">
        <f>IF($O649="Aktif",MAX(0,MIN($AE649,$AD649-SUM($AG649:AT649))),0)</f>
        <v>0</v>
      </c>
      <c r="AV649" s="8">
        <f>IF($O649="Aktif",MAX(0,MIN($AE649,$AD649-SUM($AG649:AU649))),0)</f>
        <v>0</v>
      </c>
      <c r="AW649" s="8">
        <f t="shared" si="75"/>
        <v>0</v>
      </c>
      <c r="AX649" s="8">
        <f t="shared" si="76"/>
        <v>0</v>
      </c>
    </row>
    <row r="650" spans="1:50" ht="15" customHeight="1" x14ac:dyDescent="0.35">
      <c r="A650" s="102">
        <v>644</v>
      </c>
      <c r="B650" s="102" t="s">
        <v>1326</v>
      </c>
      <c r="C650" s="103">
        <v>278</v>
      </c>
      <c r="D650" s="102" t="s">
        <v>185</v>
      </c>
      <c r="E650" s="102" t="s">
        <v>587</v>
      </c>
      <c r="F650" s="102" t="s">
        <v>1327</v>
      </c>
      <c r="G650" s="102" t="s">
        <v>1328</v>
      </c>
      <c r="H650" s="102" t="s">
        <v>1329</v>
      </c>
      <c r="I650" s="102" t="s">
        <v>63</v>
      </c>
      <c r="J650" s="102" t="s">
        <v>2087</v>
      </c>
      <c r="K650" s="102" t="s">
        <v>591</v>
      </c>
      <c r="L650" s="104">
        <v>42878</v>
      </c>
      <c r="M650" s="102" t="s">
        <v>2088</v>
      </c>
      <c r="N650" s="102" t="s">
        <v>2089</v>
      </c>
      <c r="O650" s="102" t="s">
        <v>383</v>
      </c>
      <c r="P650" s="103">
        <v>1</v>
      </c>
      <c r="Q650" s="105">
        <v>1400000</v>
      </c>
      <c r="R650" s="103">
        <v>48</v>
      </c>
      <c r="S650" s="105">
        <v>29166.666666666701</v>
      </c>
      <c r="T650" s="105">
        <v>1400000</v>
      </c>
      <c r="U650" s="105">
        <v>0</v>
      </c>
      <c r="V650" s="105">
        <v>0</v>
      </c>
      <c r="W650" s="105">
        <v>0</v>
      </c>
      <c r="X650" s="105">
        <v>0</v>
      </c>
      <c r="Y650" s="105">
        <v>0</v>
      </c>
      <c r="Z650" s="105">
        <v>0</v>
      </c>
      <c r="AA650" s="105">
        <v>0</v>
      </c>
      <c r="AB650" s="105">
        <v>0</v>
      </c>
      <c r="AC650" s="8">
        <f t="shared" si="70"/>
        <v>1400000</v>
      </c>
      <c r="AD650" s="8">
        <f t="shared" si="71"/>
        <v>0</v>
      </c>
      <c r="AE650" s="8">
        <f t="shared" si="72"/>
        <v>0</v>
      </c>
      <c r="AF650" s="106">
        <f t="shared" si="73"/>
        <v>0</v>
      </c>
      <c r="AG650" s="8">
        <f t="shared" si="74"/>
        <v>0</v>
      </c>
      <c r="AH650" s="8">
        <f>IF($O650="Aktif",MAX(0,MIN($AE650,$AD650-SUM($AG650:AG650))),0)</f>
        <v>0</v>
      </c>
      <c r="AI650" s="8">
        <f>IF($O650="Aktif",MAX(0,MIN($AE650,$AD650-SUM($AG650:AH650))),0)</f>
        <v>0</v>
      </c>
      <c r="AJ650" s="8">
        <f>IF($O650="Aktif",MAX(0,MIN($AE650,$AD650-SUM($AG650:AI650))),0)</f>
        <v>0</v>
      </c>
      <c r="AK650" s="8">
        <f>IF($O650="Aktif",MAX(0,MIN($AE650,$AD650-SUM($AG650:AJ650))),0)</f>
        <v>0</v>
      </c>
      <c r="AL650" s="8">
        <f>IF($O650="Aktif",MAX(0,MIN($AE650,$AD650-SUM($AG650:AK650))),0)</f>
        <v>0</v>
      </c>
      <c r="AM650" s="8">
        <f>IF($O650="Aktif",MAX(0,MIN($AE650,$AD650-SUM($AG650:AL650))),0)</f>
        <v>0</v>
      </c>
      <c r="AN650" s="8">
        <f>IF($O650="Aktif",MAX(0,MIN($AE650,$AD650-SUM($AG650:AM650))),0)</f>
        <v>0</v>
      </c>
      <c r="AO650" s="8">
        <f>IF($O650="Aktif",MAX(0,MIN($AE650,$AD650-SUM($AG650:AN650))),0)</f>
        <v>0</v>
      </c>
      <c r="AP650" s="8">
        <f>IF($O650="Aktif",MAX(0,MIN($AE650,$AD650-SUM($AG650:AO650))),0)</f>
        <v>0</v>
      </c>
      <c r="AQ650" s="8">
        <f>IF($O650="Aktif",MAX(0,MIN($AE650,$AD650-SUM($AG650:AP650))),0)</f>
        <v>0</v>
      </c>
      <c r="AR650" s="8">
        <f>IF($O650="Aktif",MAX(0,MIN($AE650,$AD650-SUM($AG650:AQ650))),0)</f>
        <v>0</v>
      </c>
      <c r="AS650" s="8">
        <f>IF($O650="Aktif",MAX(0,MIN($AE650,$AD650-SUM($AG650:AR650))),0)</f>
        <v>0</v>
      </c>
      <c r="AT650" s="8">
        <f>IF($O650="Aktif",MAX(0,MIN($AE650,$AD650-SUM($AG650:AS650))),0)</f>
        <v>0</v>
      </c>
      <c r="AU650" s="8">
        <f>IF($O650="Aktif",MAX(0,MIN($AE650,$AD650-SUM($AG650:AT650))),0)</f>
        <v>0</v>
      </c>
      <c r="AV650" s="8">
        <f>IF($O650="Aktif",MAX(0,MIN($AE650,$AD650-SUM($AG650:AU650))),0)</f>
        <v>0</v>
      </c>
      <c r="AW650" s="8">
        <f t="shared" si="75"/>
        <v>0</v>
      </c>
      <c r="AX650" s="8">
        <f t="shared" si="76"/>
        <v>0</v>
      </c>
    </row>
    <row r="651" spans="1:50" ht="15" customHeight="1" x14ac:dyDescent="0.35">
      <c r="A651" s="102">
        <v>645</v>
      </c>
      <c r="B651" s="102" t="s">
        <v>1326</v>
      </c>
      <c r="C651" s="103">
        <v>279</v>
      </c>
      <c r="D651" s="102" t="s">
        <v>185</v>
      </c>
      <c r="E651" s="102" t="s">
        <v>587</v>
      </c>
      <c r="F651" s="102" t="s">
        <v>1327</v>
      </c>
      <c r="G651" s="102" t="s">
        <v>1328</v>
      </c>
      <c r="H651" s="102" t="s">
        <v>1329</v>
      </c>
      <c r="I651" s="102" t="s">
        <v>63</v>
      </c>
      <c r="J651" s="102" t="s">
        <v>2090</v>
      </c>
      <c r="K651" s="102" t="s">
        <v>591</v>
      </c>
      <c r="L651" s="104">
        <v>42878</v>
      </c>
      <c r="M651" s="102" t="s">
        <v>2091</v>
      </c>
      <c r="N651" s="102" t="s">
        <v>2092</v>
      </c>
      <c r="O651" s="102" t="s">
        <v>383</v>
      </c>
      <c r="P651" s="103">
        <v>1</v>
      </c>
      <c r="Q651" s="105">
        <v>1800000</v>
      </c>
      <c r="R651" s="103">
        <v>48</v>
      </c>
      <c r="S651" s="105">
        <v>37500</v>
      </c>
      <c r="T651" s="105">
        <v>1800000</v>
      </c>
      <c r="U651" s="105">
        <v>0</v>
      </c>
      <c r="V651" s="105">
        <v>0</v>
      </c>
      <c r="W651" s="105">
        <v>0</v>
      </c>
      <c r="X651" s="105">
        <v>0</v>
      </c>
      <c r="Y651" s="105">
        <v>0</v>
      </c>
      <c r="Z651" s="105">
        <v>0</v>
      </c>
      <c r="AA651" s="105">
        <v>0</v>
      </c>
      <c r="AB651" s="105">
        <v>0</v>
      </c>
      <c r="AC651" s="8">
        <f t="shared" si="70"/>
        <v>1800000</v>
      </c>
      <c r="AD651" s="8">
        <f t="shared" si="71"/>
        <v>0</v>
      </c>
      <c r="AE651" s="8">
        <f t="shared" si="72"/>
        <v>0</v>
      </c>
      <c r="AF651" s="106">
        <f t="shared" si="73"/>
        <v>0</v>
      </c>
      <c r="AG651" s="8">
        <f t="shared" si="74"/>
        <v>0</v>
      </c>
      <c r="AH651" s="8">
        <f>IF($O651="Aktif",MAX(0,MIN($AE651,$AD651-SUM($AG651:AG651))),0)</f>
        <v>0</v>
      </c>
      <c r="AI651" s="8">
        <f>IF($O651="Aktif",MAX(0,MIN($AE651,$AD651-SUM($AG651:AH651))),0)</f>
        <v>0</v>
      </c>
      <c r="AJ651" s="8">
        <f>IF($O651="Aktif",MAX(0,MIN($AE651,$AD651-SUM($AG651:AI651))),0)</f>
        <v>0</v>
      </c>
      <c r="AK651" s="8">
        <f>IF($O651="Aktif",MAX(0,MIN($AE651,$AD651-SUM($AG651:AJ651))),0)</f>
        <v>0</v>
      </c>
      <c r="AL651" s="8">
        <f>IF($O651="Aktif",MAX(0,MIN($AE651,$AD651-SUM($AG651:AK651))),0)</f>
        <v>0</v>
      </c>
      <c r="AM651" s="8">
        <f>IF($O651="Aktif",MAX(0,MIN($AE651,$AD651-SUM($AG651:AL651))),0)</f>
        <v>0</v>
      </c>
      <c r="AN651" s="8">
        <f>IF($O651="Aktif",MAX(0,MIN($AE651,$AD651-SUM($AG651:AM651))),0)</f>
        <v>0</v>
      </c>
      <c r="AO651" s="8">
        <f>IF($O651="Aktif",MAX(0,MIN($AE651,$AD651-SUM($AG651:AN651))),0)</f>
        <v>0</v>
      </c>
      <c r="AP651" s="8">
        <f>IF($O651="Aktif",MAX(0,MIN($AE651,$AD651-SUM($AG651:AO651))),0)</f>
        <v>0</v>
      </c>
      <c r="AQ651" s="8">
        <f>IF($O651="Aktif",MAX(0,MIN($AE651,$AD651-SUM($AG651:AP651))),0)</f>
        <v>0</v>
      </c>
      <c r="AR651" s="8">
        <f>IF($O651="Aktif",MAX(0,MIN($AE651,$AD651-SUM($AG651:AQ651))),0)</f>
        <v>0</v>
      </c>
      <c r="AS651" s="8">
        <f>IF($O651="Aktif",MAX(0,MIN($AE651,$AD651-SUM($AG651:AR651))),0)</f>
        <v>0</v>
      </c>
      <c r="AT651" s="8">
        <f>IF($O651="Aktif",MAX(0,MIN($AE651,$AD651-SUM($AG651:AS651))),0)</f>
        <v>0</v>
      </c>
      <c r="AU651" s="8">
        <f>IF($O651="Aktif",MAX(0,MIN($AE651,$AD651-SUM($AG651:AT651))),0)</f>
        <v>0</v>
      </c>
      <c r="AV651" s="8">
        <f>IF($O651="Aktif",MAX(0,MIN($AE651,$AD651-SUM($AG651:AU651))),0)</f>
        <v>0</v>
      </c>
      <c r="AW651" s="8">
        <f t="shared" si="75"/>
        <v>0</v>
      </c>
      <c r="AX651" s="8">
        <f t="shared" si="76"/>
        <v>0</v>
      </c>
    </row>
    <row r="652" spans="1:50" ht="15" customHeight="1" x14ac:dyDescent="0.35">
      <c r="A652" s="102">
        <v>646</v>
      </c>
      <c r="B652" s="102" t="s">
        <v>1326</v>
      </c>
      <c r="C652" s="103">
        <v>280</v>
      </c>
      <c r="D652" s="102" t="s">
        <v>185</v>
      </c>
      <c r="E652" s="102" t="s">
        <v>587</v>
      </c>
      <c r="F652" s="102" t="s">
        <v>1327</v>
      </c>
      <c r="G652" s="102" t="s">
        <v>1328</v>
      </c>
      <c r="H652" s="102" t="s">
        <v>1329</v>
      </c>
      <c r="I652" s="102" t="s">
        <v>63</v>
      </c>
      <c r="J652" s="102" t="s">
        <v>2093</v>
      </c>
      <c r="K652" s="102" t="s">
        <v>591</v>
      </c>
      <c r="L652" s="104">
        <v>42881</v>
      </c>
      <c r="M652" s="102" t="s">
        <v>2094</v>
      </c>
      <c r="N652" s="102" t="s">
        <v>2095</v>
      </c>
      <c r="O652" s="102" t="s">
        <v>383</v>
      </c>
      <c r="P652" s="103">
        <v>1</v>
      </c>
      <c r="Q652" s="105">
        <v>5600000</v>
      </c>
      <c r="R652" s="103">
        <v>48</v>
      </c>
      <c r="S652" s="105">
        <v>116666.66666666701</v>
      </c>
      <c r="T652" s="105">
        <v>5600000</v>
      </c>
      <c r="U652" s="105">
        <v>0</v>
      </c>
      <c r="V652" s="105">
        <v>0</v>
      </c>
      <c r="W652" s="105">
        <v>0</v>
      </c>
      <c r="X652" s="105">
        <v>0</v>
      </c>
      <c r="Y652" s="105">
        <v>0</v>
      </c>
      <c r="Z652" s="105">
        <v>0</v>
      </c>
      <c r="AA652" s="105">
        <v>0</v>
      </c>
      <c r="AB652" s="105">
        <v>0</v>
      </c>
      <c r="AC652" s="8">
        <f t="shared" si="70"/>
        <v>5600000</v>
      </c>
      <c r="AD652" s="8">
        <f t="shared" si="71"/>
        <v>0</v>
      </c>
      <c r="AE652" s="8">
        <f t="shared" si="72"/>
        <v>0</v>
      </c>
      <c r="AF652" s="106">
        <f t="shared" si="73"/>
        <v>0</v>
      </c>
      <c r="AG652" s="8">
        <f t="shared" si="74"/>
        <v>0</v>
      </c>
      <c r="AH652" s="8">
        <f>IF($O652="Aktif",MAX(0,MIN($AE652,$AD652-SUM($AG652:AG652))),0)</f>
        <v>0</v>
      </c>
      <c r="AI652" s="8">
        <f>IF($O652="Aktif",MAX(0,MIN($AE652,$AD652-SUM($AG652:AH652))),0)</f>
        <v>0</v>
      </c>
      <c r="AJ652" s="8">
        <f>IF($O652="Aktif",MAX(0,MIN($AE652,$AD652-SUM($AG652:AI652))),0)</f>
        <v>0</v>
      </c>
      <c r="AK652" s="8">
        <f>IF($O652="Aktif",MAX(0,MIN($AE652,$AD652-SUM($AG652:AJ652))),0)</f>
        <v>0</v>
      </c>
      <c r="AL652" s="8">
        <f>IF($O652="Aktif",MAX(0,MIN($AE652,$AD652-SUM($AG652:AK652))),0)</f>
        <v>0</v>
      </c>
      <c r="AM652" s="8">
        <f>IF($O652="Aktif",MAX(0,MIN($AE652,$AD652-SUM($AG652:AL652))),0)</f>
        <v>0</v>
      </c>
      <c r="AN652" s="8">
        <f>IF($O652="Aktif",MAX(0,MIN($AE652,$AD652-SUM($AG652:AM652))),0)</f>
        <v>0</v>
      </c>
      <c r="AO652" s="8">
        <f>IF($O652="Aktif",MAX(0,MIN($AE652,$AD652-SUM($AG652:AN652))),0)</f>
        <v>0</v>
      </c>
      <c r="AP652" s="8">
        <f>IF($O652="Aktif",MAX(0,MIN($AE652,$AD652-SUM($AG652:AO652))),0)</f>
        <v>0</v>
      </c>
      <c r="AQ652" s="8">
        <f>IF($O652="Aktif",MAX(0,MIN($AE652,$AD652-SUM($AG652:AP652))),0)</f>
        <v>0</v>
      </c>
      <c r="AR652" s="8">
        <f>IF($O652="Aktif",MAX(0,MIN($AE652,$AD652-SUM($AG652:AQ652))),0)</f>
        <v>0</v>
      </c>
      <c r="AS652" s="8">
        <f>IF($O652="Aktif",MAX(0,MIN($AE652,$AD652-SUM($AG652:AR652))),0)</f>
        <v>0</v>
      </c>
      <c r="AT652" s="8">
        <f>IF($O652="Aktif",MAX(0,MIN($AE652,$AD652-SUM($AG652:AS652))),0)</f>
        <v>0</v>
      </c>
      <c r="AU652" s="8">
        <f>IF($O652="Aktif",MAX(0,MIN($AE652,$AD652-SUM($AG652:AT652))),0)</f>
        <v>0</v>
      </c>
      <c r="AV652" s="8">
        <f>IF($O652="Aktif",MAX(0,MIN($AE652,$AD652-SUM($AG652:AU652))),0)</f>
        <v>0</v>
      </c>
      <c r="AW652" s="8">
        <f t="shared" si="75"/>
        <v>0</v>
      </c>
      <c r="AX652" s="8">
        <f t="shared" si="76"/>
        <v>0</v>
      </c>
    </row>
    <row r="653" spans="1:50" ht="15" customHeight="1" x14ac:dyDescent="0.35">
      <c r="A653" s="102">
        <v>647</v>
      </c>
      <c r="B653" s="102" t="s">
        <v>1326</v>
      </c>
      <c r="C653" s="103">
        <v>281</v>
      </c>
      <c r="D653" s="102" t="s">
        <v>185</v>
      </c>
      <c r="E653" s="102" t="s">
        <v>587</v>
      </c>
      <c r="F653" s="102" t="s">
        <v>1327</v>
      </c>
      <c r="G653" s="102" t="s">
        <v>1328</v>
      </c>
      <c r="H653" s="102" t="s">
        <v>1329</v>
      </c>
      <c r="I653" s="102" t="s">
        <v>63</v>
      </c>
      <c r="J653" s="102" t="s">
        <v>2096</v>
      </c>
      <c r="K653" s="102" t="s">
        <v>591</v>
      </c>
      <c r="L653" s="104">
        <v>42885</v>
      </c>
      <c r="M653" s="102" t="s">
        <v>2097</v>
      </c>
      <c r="N653" s="102" t="s">
        <v>2098</v>
      </c>
      <c r="O653" s="102" t="s">
        <v>383</v>
      </c>
      <c r="P653" s="103">
        <v>40</v>
      </c>
      <c r="Q653" s="105">
        <v>1400000</v>
      </c>
      <c r="R653" s="103">
        <v>48</v>
      </c>
      <c r="S653" s="105">
        <v>29166.666666666701</v>
      </c>
      <c r="T653" s="105">
        <v>1400000</v>
      </c>
      <c r="U653" s="105">
        <v>0</v>
      </c>
      <c r="V653" s="105">
        <v>0</v>
      </c>
      <c r="W653" s="105">
        <v>0</v>
      </c>
      <c r="X653" s="105">
        <v>0</v>
      </c>
      <c r="Y653" s="105">
        <v>0</v>
      </c>
      <c r="Z653" s="105">
        <v>0</v>
      </c>
      <c r="AA653" s="105">
        <v>0</v>
      </c>
      <c r="AB653" s="105">
        <v>0</v>
      </c>
      <c r="AC653" s="8">
        <f t="shared" si="70"/>
        <v>1400000</v>
      </c>
      <c r="AD653" s="8">
        <f t="shared" si="71"/>
        <v>0</v>
      </c>
      <c r="AE653" s="8">
        <f t="shared" si="72"/>
        <v>0</v>
      </c>
      <c r="AF653" s="106">
        <f t="shared" si="73"/>
        <v>0</v>
      </c>
      <c r="AG653" s="8">
        <f t="shared" si="74"/>
        <v>0</v>
      </c>
      <c r="AH653" s="8">
        <f>IF($O653="Aktif",MAX(0,MIN($AE653,$AD653-SUM($AG653:AG653))),0)</f>
        <v>0</v>
      </c>
      <c r="AI653" s="8">
        <f>IF($O653="Aktif",MAX(0,MIN($AE653,$AD653-SUM($AG653:AH653))),0)</f>
        <v>0</v>
      </c>
      <c r="AJ653" s="8">
        <f>IF($O653="Aktif",MAX(0,MIN($AE653,$AD653-SUM($AG653:AI653))),0)</f>
        <v>0</v>
      </c>
      <c r="AK653" s="8">
        <f>IF($O653="Aktif",MAX(0,MIN($AE653,$AD653-SUM($AG653:AJ653))),0)</f>
        <v>0</v>
      </c>
      <c r="AL653" s="8">
        <f>IF($O653="Aktif",MAX(0,MIN($AE653,$AD653-SUM($AG653:AK653))),0)</f>
        <v>0</v>
      </c>
      <c r="AM653" s="8">
        <f>IF($O653="Aktif",MAX(0,MIN($AE653,$AD653-SUM($AG653:AL653))),0)</f>
        <v>0</v>
      </c>
      <c r="AN653" s="8">
        <f>IF($O653="Aktif",MAX(0,MIN($AE653,$AD653-SUM($AG653:AM653))),0)</f>
        <v>0</v>
      </c>
      <c r="AO653" s="8">
        <f>IF($O653="Aktif",MAX(0,MIN($AE653,$AD653-SUM($AG653:AN653))),0)</f>
        <v>0</v>
      </c>
      <c r="AP653" s="8">
        <f>IF($O653="Aktif",MAX(0,MIN($AE653,$AD653-SUM($AG653:AO653))),0)</f>
        <v>0</v>
      </c>
      <c r="AQ653" s="8">
        <f>IF($O653="Aktif",MAX(0,MIN($AE653,$AD653-SUM($AG653:AP653))),0)</f>
        <v>0</v>
      </c>
      <c r="AR653" s="8">
        <f>IF($O653="Aktif",MAX(0,MIN($AE653,$AD653-SUM($AG653:AQ653))),0)</f>
        <v>0</v>
      </c>
      <c r="AS653" s="8">
        <f>IF($O653="Aktif",MAX(0,MIN($AE653,$AD653-SUM($AG653:AR653))),0)</f>
        <v>0</v>
      </c>
      <c r="AT653" s="8">
        <f>IF($O653="Aktif",MAX(0,MIN($AE653,$AD653-SUM($AG653:AS653))),0)</f>
        <v>0</v>
      </c>
      <c r="AU653" s="8">
        <f>IF($O653="Aktif",MAX(0,MIN($AE653,$AD653-SUM($AG653:AT653))),0)</f>
        <v>0</v>
      </c>
      <c r="AV653" s="8">
        <f>IF($O653="Aktif",MAX(0,MIN($AE653,$AD653-SUM($AG653:AU653))),0)</f>
        <v>0</v>
      </c>
      <c r="AW653" s="8">
        <f t="shared" si="75"/>
        <v>0</v>
      </c>
      <c r="AX653" s="8">
        <f t="shared" si="76"/>
        <v>0</v>
      </c>
    </row>
    <row r="654" spans="1:50" ht="15" customHeight="1" x14ac:dyDescent="0.35">
      <c r="A654" s="102">
        <v>648</v>
      </c>
      <c r="B654" s="102" t="s">
        <v>1326</v>
      </c>
      <c r="C654" s="103">
        <v>282</v>
      </c>
      <c r="D654" s="102" t="s">
        <v>185</v>
      </c>
      <c r="E654" s="102" t="s">
        <v>587</v>
      </c>
      <c r="F654" s="102" t="s">
        <v>1327</v>
      </c>
      <c r="G654" s="102" t="s">
        <v>1328</v>
      </c>
      <c r="H654" s="102" t="s">
        <v>1329</v>
      </c>
      <c r="I654" s="102" t="s">
        <v>63</v>
      </c>
      <c r="J654" s="102" t="s">
        <v>2099</v>
      </c>
      <c r="K654" s="102" t="s">
        <v>591</v>
      </c>
      <c r="L654" s="104">
        <v>42885</v>
      </c>
      <c r="M654" s="102" t="s">
        <v>2100</v>
      </c>
      <c r="N654" s="102" t="s">
        <v>2101</v>
      </c>
      <c r="O654" s="102" t="s">
        <v>383</v>
      </c>
      <c r="P654" s="103">
        <v>1</v>
      </c>
      <c r="Q654" s="105">
        <v>25000000</v>
      </c>
      <c r="R654" s="103">
        <v>48</v>
      </c>
      <c r="S654" s="105">
        <v>520833.33333333302</v>
      </c>
      <c r="T654" s="105">
        <v>25000000</v>
      </c>
      <c r="U654" s="105">
        <v>0</v>
      </c>
      <c r="V654" s="105">
        <v>0</v>
      </c>
      <c r="W654" s="105">
        <v>0</v>
      </c>
      <c r="X654" s="105">
        <v>0</v>
      </c>
      <c r="Y654" s="105">
        <v>0</v>
      </c>
      <c r="Z654" s="105">
        <v>0</v>
      </c>
      <c r="AA654" s="105">
        <v>0</v>
      </c>
      <c r="AB654" s="105">
        <v>0</v>
      </c>
      <c r="AC654" s="8">
        <f t="shared" si="70"/>
        <v>25000000</v>
      </c>
      <c r="AD654" s="8">
        <f t="shared" si="71"/>
        <v>0</v>
      </c>
      <c r="AE654" s="8">
        <f t="shared" si="72"/>
        <v>0</v>
      </c>
      <c r="AF654" s="106">
        <f t="shared" si="73"/>
        <v>0</v>
      </c>
      <c r="AG654" s="8">
        <f t="shared" si="74"/>
        <v>0</v>
      </c>
      <c r="AH654" s="8">
        <f>IF($O654="Aktif",MAX(0,MIN($AE654,$AD654-SUM($AG654:AG654))),0)</f>
        <v>0</v>
      </c>
      <c r="AI654" s="8">
        <f>IF($O654="Aktif",MAX(0,MIN($AE654,$AD654-SUM($AG654:AH654))),0)</f>
        <v>0</v>
      </c>
      <c r="AJ654" s="8">
        <f>IF($O654="Aktif",MAX(0,MIN($AE654,$AD654-SUM($AG654:AI654))),0)</f>
        <v>0</v>
      </c>
      <c r="AK654" s="8">
        <f>IF($O654="Aktif",MAX(0,MIN($AE654,$AD654-SUM($AG654:AJ654))),0)</f>
        <v>0</v>
      </c>
      <c r="AL654" s="8">
        <f>IF($O654="Aktif",MAX(0,MIN($AE654,$AD654-SUM($AG654:AK654))),0)</f>
        <v>0</v>
      </c>
      <c r="AM654" s="8">
        <f>IF($O654="Aktif",MAX(0,MIN($AE654,$AD654-SUM($AG654:AL654))),0)</f>
        <v>0</v>
      </c>
      <c r="AN654" s="8">
        <f>IF($O654="Aktif",MAX(0,MIN($AE654,$AD654-SUM($AG654:AM654))),0)</f>
        <v>0</v>
      </c>
      <c r="AO654" s="8">
        <f>IF($O654="Aktif",MAX(0,MIN($AE654,$AD654-SUM($AG654:AN654))),0)</f>
        <v>0</v>
      </c>
      <c r="AP654" s="8">
        <f>IF($O654="Aktif",MAX(0,MIN($AE654,$AD654-SUM($AG654:AO654))),0)</f>
        <v>0</v>
      </c>
      <c r="AQ654" s="8">
        <f>IF($O654="Aktif",MAX(0,MIN($AE654,$AD654-SUM($AG654:AP654))),0)</f>
        <v>0</v>
      </c>
      <c r="AR654" s="8">
        <f>IF($O654="Aktif",MAX(0,MIN($AE654,$AD654-SUM($AG654:AQ654))),0)</f>
        <v>0</v>
      </c>
      <c r="AS654" s="8">
        <f>IF($O654="Aktif",MAX(0,MIN($AE654,$AD654-SUM($AG654:AR654))),0)</f>
        <v>0</v>
      </c>
      <c r="AT654" s="8">
        <f>IF($O654="Aktif",MAX(0,MIN($AE654,$AD654-SUM($AG654:AS654))),0)</f>
        <v>0</v>
      </c>
      <c r="AU654" s="8">
        <f>IF($O654="Aktif",MAX(0,MIN($AE654,$AD654-SUM($AG654:AT654))),0)</f>
        <v>0</v>
      </c>
      <c r="AV654" s="8">
        <f>IF($O654="Aktif",MAX(0,MIN($AE654,$AD654-SUM($AG654:AU654))),0)</f>
        <v>0</v>
      </c>
      <c r="AW654" s="8">
        <f t="shared" si="75"/>
        <v>0</v>
      </c>
      <c r="AX654" s="8">
        <f t="shared" si="76"/>
        <v>0</v>
      </c>
    </row>
    <row r="655" spans="1:50" ht="15" customHeight="1" x14ac:dyDescent="0.35">
      <c r="A655" s="102">
        <v>649</v>
      </c>
      <c r="B655" s="102" t="s">
        <v>1326</v>
      </c>
      <c r="C655" s="103">
        <v>283</v>
      </c>
      <c r="D655" s="102" t="s">
        <v>185</v>
      </c>
      <c r="E655" s="102" t="s">
        <v>587</v>
      </c>
      <c r="F655" s="102" t="s">
        <v>1327</v>
      </c>
      <c r="G655" s="102" t="s">
        <v>1328</v>
      </c>
      <c r="H655" s="102" t="s">
        <v>1329</v>
      </c>
      <c r="I655" s="102" t="s">
        <v>63</v>
      </c>
      <c r="J655" s="102" t="s">
        <v>2102</v>
      </c>
      <c r="K655" s="102" t="s">
        <v>591</v>
      </c>
      <c r="L655" s="104">
        <v>42892</v>
      </c>
      <c r="M655" s="102" t="s">
        <v>2103</v>
      </c>
      <c r="N655" s="102" t="s">
        <v>2104</v>
      </c>
      <c r="O655" s="102" t="s">
        <v>383</v>
      </c>
      <c r="P655" s="103">
        <v>3</v>
      </c>
      <c r="Q655" s="105">
        <v>19296792</v>
      </c>
      <c r="R655" s="103">
        <v>48</v>
      </c>
      <c r="S655" s="105">
        <v>402016.5</v>
      </c>
      <c r="T655" s="105">
        <v>19296792</v>
      </c>
      <c r="U655" s="105">
        <v>0</v>
      </c>
      <c r="V655" s="105">
        <v>0</v>
      </c>
      <c r="W655" s="105">
        <v>0</v>
      </c>
      <c r="X655" s="105">
        <v>0</v>
      </c>
      <c r="Y655" s="105">
        <v>0</v>
      </c>
      <c r="Z655" s="105">
        <v>0</v>
      </c>
      <c r="AA655" s="105">
        <v>0</v>
      </c>
      <c r="AB655" s="105">
        <v>0</v>
      </c>
      <c r="AC655" s="8">
        <f t="shared" si="70"/>
        <v>19296792</v>
      </c>
      <c r="AD655" s="8">
        <f t="shared" si="71"/>
        <v>0</v>
      </c>
      <c r="AE655" s="8">
        <f t="shared" si="72"/>
        <v>0</v>
      </c>
      <c r="AF655" s="106">
        <f t="shared" si="73"/>
        <v>0</v>
      </c>
      <c r="AG655" s="8">
        <f t="shared" si="74"/>
        <v>0</v>
      </c>
      <c r="AH655" s="8">
        <f>IF($O655="Aktif",MAX(0,MIN($AE655,$AD655-SUM($AG655:AG655))),0)</f>
        <v>0</v>
      </c>
      <c r="AI655" s="8">
        <f>IF($O655="Aktif",MAX(0,MIN($AE655,$AD655-SUM($AG655:AH655))),0)</f>
        <v>0</v>
      </c>
      <c r="AJ655" s="8">
        <f>IF($O655="Aktif",MAX(0,MIN($AE655,$AD655-SUM($AG655:AI655))),0)</f>
        <v>0</v>
      </c>
      <c r="AK655" s="8">
        <f>IF($O655="Aktif",MAX(0,MIN($AE655,$AD655-SUM($AG655:AJ655))),0)</f>
        <v>0</v>
      </c>
      <c r="AL655" s="8">
        <f>IF($O655="Aktif",MAX(0,MIN($AE655,$AD655-SUM($AG655:AK655))),0)</f>
        <v>0</v>
      </c>
      <c r="AM655" s="8">
        <f>IF($O655="Aktif",MAX(0,MIN($AE655,$AD655-SUM($AG655:AL655))),0)</f>
        <v>0</v>
      </c>
      <c r="AN655" s="8">
        <f>IF($O655="Aktif",MAX(0,MIN($AE655,$AD655-SUM($AG655:AM655))),0)</f>
        <v>0</v>
      </c>
      <c r="AO655" s="8">
        <f>IF($O655="Aktif",MAX(0,MIN($AE655,$AD655-SUM($AG655:AN655))),0)</f>
        <v>0</v>
      </c>
      <c r="AP655" s="8">
        <f>IF($O655="Aktif",MAX(0,MIN($AE655,$AD655-SUM($AG655:AO655))),0)</f>
        <v>0</v>
      </c>
      <c r="AQ655" s="8">
        <f>IF($O655="Aktif",MAX(0,MIN($AE655,$AD655-SUM($AG655:AP655))),0)</f>
        <v>0</v>
      </c>
      <c r="AR655" s="8">
        <f>IF($O655="Aktif",MAX(0,MIN($AE655,$AD655-SUM($AG655:AQ655))),0)</f>
        <v>0</v>
      </c>
      <c r="AS655" s="8">
        <f>IF($O655="Aktif",MAX(0,MIN($AE655,$AD655-SUM($AG655:AR655))),0)</f>
        <v>0</v>
      </c>
      <c r="AT655" s="8">
        <f>IF($O655="Aktif",MAX(0,MIN($AE655,$AD655-SUM($AG655:AS655))),0)</f>
        <v>0</v>
      </c>
      <c r="AU655" s="8">
        <f>IF($O655="Aktif",MAX(0,MIN($AE655,$AD655-SUM($AG655:AT655))),0)</f>
        <v>0</v>
      </c>
      <c r="AV655" s="8">
        <f>IF($O655="Aktif",MAX(0,MIN($AE655,$AD655-SUM($AG655:AU655))),0)</f>
        <v>0</v>
      </c>
      <c r="AW655" s="8">
        <f t="shared" si="75"/>
        <v>0</v>
      </c>
      <c r="AX655" s="8">
        <f t="shared" si="76"/>
        <v>0</v>
      </c>
    </row>
    <row r="656" spans="1:50" ht="15" customHeight="1" x14ac:dyDescent="0.35">
      <c r="A656" s="102">
        <v>650</v>
      </c>
      <c r="B656" s="102" t="s">
        <v>1326</v>
      </c>
      <c r="C656" s="103">
        <v>284</v>
      </c>
      <c r="D656" s="102" t="s">
        <v>185</v>
      </c>
      <c r="E656" s="102" t="s">
        <v>587</v>
      </c>
      <c r="F656" s="102" t="s">
        <v>1327</v>
      </c>
      <c r="G656" s="102" t="s">
        <v>1328</v>
      </c>
      <c r="H656" s="102" t="s">
        <v>1329</v>
      </c>
      <c r="I656" s="102" t="s">
        <v>63</v>
      </c>
      <c r="J656" s="102" t="s">
        <v>2105</v>
      </c>
      <c r="K656" s="102" t="s">
        <v>591</v>
      </c>
      <c r="L656" s="104">
        <v>42892</v>
      </c>
      <c r="M656" s="102" t="s">
        <v>2106</v>
      </c>
      <c r="N656" s="102" t="s">
        <v>2107</v>
      </c>
      <c r="O656" s="102" t="s">
        <v>383</v>
      </c>
      <c r="P656" s="103">
        <v>4</v>
      </c>
      <c r="Q656" s="105">
        <v>3700000</v>
      </c>
      <c r="R656" s="103">
        <v>48</v>
      </c>
      <c r="S656" s="105">
        <v>77083.333333333299</v>
      </c>
      <c r="T656" s="105">
        <v>3700000</v>
      </c>
      <c r="U656" s="105">
        <v>0</v>
      </c>
      <c r="V656" s="105">
        <v>0</v>
      </c>
      <c r="W656" s="105">
        <v>0</v>
      </c>
      <c r="X656" s="105">
        <v>0</v>
      </c>
      <c r="Y656" s="105">
        <v>0</v>
      </c>
      <c r="Z656" s="105">
        <v>0</v>
      </c>
      <c r="AA656" s="105">
        <v>0</v>
      </c>
      <c r="AB656" s="105">
        <v>0</v>
      </c>
      <c r="AC656" s="8">
        <f t="shared" si="70"/>
        <v>3700000</v>
      </c>
      <c r="AD656" s="8">
        <f t="shared" si="71"/>
        <v>0</v>
      </c>
      <c r="AE656" s="8">
        <f t="shared" si="72"/>
        <v>0</v>
      </c>
      <c r="AF656" s="106">
        <f t="shared" si="73"/>
        <v>0</v>
      </c>
      <c r="AG656" s="8">
        <f t="shared" si="74"/>
        <v>0</v>
      </c>
      <c r="AH656" s="8">
        <f>IF($O656="Aktif",MAX(0,MIN($AE656,$AD656-SUM($AG656:AG656))),0)</f>
        <v>0</v>
      </c>
      <c r="AI656" s="8">
        <f>IF($O656="Aktif",MAX(0,MIN($AE656,$AD656-SUM($AG656:AH656))),0)</f>
        <v>0</v>
      </c>
      <c r="AJ656" s="8">
        <f>IF($O656="Aktif",MAX(0,MIN($AE656,$AD656-SUM($AG656:AI656))),0)</f>
        <v>0</v>
      </c>
      <c r="AK656" s="8">
        <f>IF($O656="Aktif",MAX(0,MIN($AE656,$AD656-SUM($AG656:AJ656))),0)</f>
        <v>0</v>
      </c>
      <c r="AL656" s="8">
        <f>IF($O656="Aktif",MAX(0,MIN($AE656,$AD656-SUM($AG656:AK656))),0)</f>
        <v>0</v>
      </c>
      <c r="AM656" s="8">
        <f>IF($O656="Aktif",MAX(0,MIN($AE656,$AD656-SUM($AG656:AL656))),0)</f>
        <v>0</v>
      </c>
      <c r="AN656" s="8">
        <f>IF($O656="Aktif",MAX(0,MIN($AE656,$AD656-SUM($AG656:AM656))),0)</f>
        <v>0</v>
      </c>
      <c r="AO656" s="8">
        <f>IF($O656="Aktif",MAX(0,MIN($AE656,$AD656-SUM($AG656:AN656))),0)</f>
        <v>0</v>
      </c>
      <c r="AP656" s="8">
        <f>IF($O656="Aktif",MAX(0,MIN($AE656,$AD656-SUM($AG656:AO656))),0)</f>
        <v>0</v>
      </c>
      <c r="AQ656" s="8">
        <f>IF($O656="Aktif",MAX(0,MIN($AE656,$AD656-SUM($AG656:AP656))),0)</f>
        <v>0</v>
      </c>
      <c r="AR656" s="8">
        <f>IF($O656="Aktif",MAX(0,MIN($AE656,$AD656-SUM($AG656:AQ656))),0)</f>
        <v>0</v>
      </c>
      <c r="AS656" s="8">
        <f>IF($O656="Aktif",MAX(0,MIN($AE656,$AD656-SUM($AG656:AR656))),0)</f>
        <v>0</v>
      </c>
      <c r="AT656" s="8">
        <f>IF($O656="Aktif",MAX(0,MIN($AE656,$AD656-SUM($AG656:AS656))),0)</f>
        <v>0</v>
      </c>
      <c r="AU656" s="8">
        <f>IF($O656="Aktif",MAX(0,MIN($AE656,$AD656-SUM($AG656:AT656))),0)</f>
        <v>0</v>
      </c>
      <c r="AV656" s="8">
        <f>IF($O656="Aktif",MAX(0,MIN($AE656,$AD656-SUM($AG656:AU656))),0)</f>
        <v>0</v>
      </c>
      <c r="AW656" s="8">
        <f t="shared" si="75"/>
        <v>0</v>
      </c>
      <c r="AX656" s="8">
        <f t="shared" si="76"/>
        <v>0</v>
      </c>
    </row>
    <row r="657" spans="1:50" ht="15" customHeight="1" x14ac:dyDescent="0.35">
      <c r="A657" s="102">
        <v>651</v>
      </c>
      <c r="B657" s="102" t="s">
        <v>1326</v>
      </c>
      <c r="C657" s="103">
        <v>285</v>
      </c>
      <c r="D657" s="102" t="s">
        <v>185</v>
      </c>
      <c r="E657" s="102" t="s">
        <v>587</v>
      </c>
      <c r="F657" s="102" t="s">
        <v>1327</v>
      </c>
      <c r="G657" s="102" t="s">
        <v>1328</v>
      </c>
      <c r="H657" s="102" t="s">
        <v>1329</v>
      </c>
      <c r="I657" s="102" t="s">
        <v>63</v>
      </c>
      <c r="J657" s="102" t="s">
        <v>2108</v>
      </c>
      <c r="K657" s="102" t="s">
        <v>591</v>
      </c>
      <c r="L657" s="104">
        <v>42895</v>
      </c>
      <c r="M657" s="102" t="s">
        <v>2109</v>
      </c>
      <c r="N657" s="102" t="s">
        <v>2110</v>
      </c>
      <c r="O657" s="102" t="s">
        <v>383</v>
      </c>
      <c r="P657" s="103">
        <v>2</v>
      </c>
      <c r="Q657" s="105">
        <v>7000000</v>
      </c>
      <c r="R657" s="103">
        <v>48</v>
      </c>
      <c r="S657" s="105">
        <v>145833.33333333299</v>
      </c>
      <c r="T657" s="105">
        <v>7000000</v>
      </c>
      <c r="U657" s="105">
        <v>0</v>
      </c>
      <c r="V657" s="105">
        <v>0</v>
      </c>
      <c r="W657" s="105">
        <v>0</v>
      </c>
      <c r="X657" s="105">
        <v>0</v>
      </c>
      <c r="Y657" s="105">
        <v>0</v>
      </c>
      <c r="Z657" s="105">
        <v>0</v>
      </c>
      <c r="AA657" s="105">
        <v>0</v>
      </c>
      <c r="AB657" s="105">
        <v>0</v>
      </c>
      <c r="AC657" s="8">
        <f t="shared" si="70"/>
        <v>7000000</v>
      </c>
      <c r="AD657" s="8">
        <f t="shared" si="71"/>
        <v>0</v>
      </c>
      <c r="AE657" s="8">
        <f t="shared" si="72"/>
        <v>0</v>
      </c>
      <c r="AF657" s="106">
        <f t="shared" si="73"/>
        <v>0</v>
      </c>
      <c r="AG657" s="8">
        <f t="shared" si="74"/>
        <v>0</v>
      </c>
      <c r="AH657" s="8">
        <f>IF($O657="Aktif",MAX(0,MIN($AE657,$AD657-SUM($AG657:AG657))),0)</f>
        <v>0</v>
      </c>
      <c r="AI657" s="8">
        <f>IF($O657="Aktif",MAX(0,MIN($AE657,$AD657-SUM($AG657:AH657))),0)</f>
        <v>0</v>
      </c>
      <c r="AJ657" s="8">
        <f>IF($O657="Aktif",MAX(0,MIN($AE657,$AD657-SUM($AG657:AI657))),0)</f>
        <v>0</v>
      </c>
      <c r="AK657" s="8">
        <f>IF($O657="Aktif",MAX(0,MIN($AE657,$AD657-SUM($AG657:AJ657))),0)</f>
        <v>0</v>
      </c>
      <c r="AL657" s="8">
        <f>IF($O657="Aktif",MAX(0,MIN($AE657,$AD657-SUM($AG657:AK657))),0)</f>
        <v>0</v>
      </c>
      <c r="AM657" s="8">
        <f>IF($O657="Aktif",MAX(0,MIN($AE657,$AD657-SUM($AG657:AL657))),0)</f>
        <v>0</v>
      </c>
      <c r="AN657" s="8">
        <f>IF($O657="Aktif",MAX(0,MIN($AE657,$AD657-SUM($AG657:AM657))),0)</f>
        <v>0</v>
      </c>
      <c r="AO657" s="8">
        <f>IF($O657="Aktif",MAX(0,MIN($AE657,$AD657-SUM($AG657:AN657))),0)</f>
        <v>0</v>
      </c>
      <c r="AP657" s="8">
        <f>IF($O657="Aktif",MAX(0,MIN($AE657,$AD657-SUM($AG657:AO657))),0)</f>
        <v>0</v>
      </c>
      <c r="AQ657" s="8">
        <f>IF($O657="Aktif",MAX(0,MIN($AE657,$AD657-SUM($AG657:AP657))),0)</f>
        <v>0</v>
      </c>
      <c r="AR657" s="8">
        <f>IF($O657="Aktif",MAX(0,MIN($AE657,$AD657-SUM($AG657:AQ657))),0)</f>
        <v>0</v>
      </c>
      <c r="AS657" s="8">
        <f>IF($O657="Aktif",MAX(0,MIN($AE657,$AD657-SUM($AG657:AR657))),0)</f>
        <v>0</v>
      </c>
      <c r="AT657" s="8">
        <f>IF($O657="Aktif",MAX(0,MIN($AE657,$AD657-SUM($AG657:AS657))),0)</f>
        <v>0</v>
      </c>
      <c r="AU657" s="8">
        <f>IF($O657="Aktif",MAX(0,MIN($AE657,$AD657-SUM($AG657:AT657))),0)</f>
        <v>0</v>
      </c>
      <c r="AV657" s="8">
        <f>IF($O657="Aktif",MAX(0,MIN($AE657,$AD657-SUM($AG657:AU657))),0)</f>
        <v>0</v>
      </c>
      <c r="AW657" s="8">
        <f t="shared" si="75"/>
        <v>0</v>
      </c>
      <c r="AX657" s="8">
        <f t="shared" si="76"/>
        <v>0</v>
      </c>
    </row>
    <row r="658" spans="1:50" ht="15" customHeight="1" x14ac:dyDescent="0.35">
      <c r="A658" s="102">
        <v>652</v>
      </c>
      <c r="B658" s="102" t="s">
        <v>1326</v>
      </c>
      <c r="C658" s="103">
        <v>286</v>
      </c>
      <c r="D658" s="102" t="s">
        <v>185</v>
      </c>
      <c r="E658" s="102" t="s">
        <v>587</v>
      </c>
      <c r="F658" s="102" t="s">
        <v>1327</v>
      </c>
      <c r="G658" s="102" t="s">
        <v>1328</v>
      </c>
      <c r="H658" s="102" t="s">
        <v>1329</v>
      </c>
      <c r="I658" s="102" t="s">
        <v>63</v>
      </c>
      <c r="J658" s="102" t="s">
        <v>2111</v>
      </c>
      <c r="K658" s="102" t="s">
        <v>591</v>
      </c>
      <c r="L658" s="104">
        <v>42899</v>
      </c>
      <c r="M658" s="102" t="s">
        <v>2112</v>
      </c>
      <c r="N658" s="102" t="s">
        <v>2113</v>
      </c>
      <c r="O658" s="102" t="s">
        <v>383</v>
      </c>
      <c r="P658" s="103">
        <v>1</v>
      </c>
      <c r="Q658" s="105">
        <v>2250000</v>
      </c>
      <c r="R658" s="103">
        <v>48</v>
      </c>
      <c r="S658" s="105">
        <v>46875</v>
      </c>
      <c r="T658" s="105">
        <v>2250000</v>
      </c>
      <c r="U658" s="105">
        <v>0</v>
      </c>
      <c r="V658" s="105">
        <v>0</v>
      </c>
      <c r="W658" s="105">
        <v>0</v>
      </c>
      <c r="X658" s="105">
        <v>0</v>
      </c>
      <c r="Y658" s="105">
        <v>0</v>
      </c>
      <c r="Z658" s="105">
        <v>0</v>
      </c>
      <c r="AA658" s="105">
        <v>0</v>
      </c>
      <c r="AB658" s="105">
        <v>0</v>
      </c>
      <c r="AC658" s="8">
        <f t="shared" si="70"/>
        <v>2250000</v>
      </c>
      <c r="AD658" s="8">
        <f t="shared" si="71"/>
        <v>0</v>
      </c>
      <c r="AE658" s="8">
        <f t="shared" si="72"/>
        <v>0</v>
      </c>
      <c r="AF658" s="106">
        <f t="shared" si="73"/>
        <v>0</v>
      </c>
      <c r="AG658" s="8">
        <f t="shared" si="74"/>
        <v>0</v>
      </c>
      <c r="AH658" s="8">
        <f>IF($O658="Aktif",MAX(0,MIN($AE658,$AD658-SUM($AG658:AG658))),0)</f>
        <v>0</v>
      </c>
      <c r="AI658" s="8">
        <f>IF($O658="Aktif",MAX(0,MIN($AE658,$AD658-SUM($AG658:AH658))),0)</f>
        <v>0</v>
      </c>
      <c r="AJ658" s="8">
        <f>IF($O658="Aktif",MAX(0,MIN($AE658,$AD658-SUM($AG658:AI658))),0)</f>
        <v>0</v>
      </c>
      <c r="AK658" s="8">
        <f>IF($O658="Aktif",MAX(0,MIN($AE658,$AD658-SUM($AG658:AJ658))),0)</f>
        <v>0</v>
      </c>
      <c r="AL658" s="8">
        <f>IF($O658="Aktif",MAX(0,MIN($AE658,$AD658-SUM($AG658:AK658))),0)</f>
        <v>0</v>
      </c>
      <c r="AM658" s="8">
        <f>IF($O658="Aktif",MAX(0,MIN($AE658,$AD658-SUM($AG658:AL658))),0)</f>
        <v>0</v>
      </c>
      <c r="AN658" s="8">
        <f>IF($O658="Aktif",MAX(0,MIN($AE658,$AD658-SUM($AG658:AM658))),0)</f>
        <v>0</v>
      </c>
      <c r="AO658" s="8">
        <f>IF($O658="Aktif",MAX(0,MIN($AE658,$AD658-SUM($AG658:AN658))),0)</f>
        <v>0</v>
      </c>
      <c r="AP658" s="8">
        <f>IF($O658="Aktif",MAX(0,MIN($AE658,$AD658-SUM($AG658:AO658))),0)</f>
        <v>0</v>
      </c>
      <c r="AQ658" s="8">
        <f>IF($O658="Aktif",MAX(0,MIN($AE658,$AD658-SUM($AG658:AP658))),0)</f>
        <v>0</v>
      </c>
      <c r="AR658" s="8">
        <f>IF($O658="Aktif",MAX(0,MIN($AE658,$AD658-SUM($AG658:AQ658))),0)</f>
        <v>0</v>
      </c>
      <c r="AS658" s="8">
        <f>IF($O658="Aktif",MAX(0,MIN($AE658,$AD658-SUM($AG658:AR658))),0)</f>
        <v>0</v>
      </c>
      <c r="AT658" s="8">
        <f>IF($O658="Aktif",MAX(0,MIN($AE658,$AD658-SUM($AG658:AS658))),0)</f>
        <v>0</v>
      </c>
      <c r="AU658" s="8">
        <f>IF($O658="Aktif",MAX(0,MIN($AE658,$AD658-SUM($AG658:AT658))),0)</f>
        <v>0</v>
      </c>
      <c r="AV658" s="8">
        <f>IF($O658="Aktif",MAX(0,MIN($AE658,$AD658-SUM($AG658:AU658))),0)</f>
        <v>0</v>
      </c>
      <c r="AW658" s="8">
        <f t="shared" si="75"/>
        <v>0</v>
      </c>
      <c r="AX658" s="8">
        <f t="shared" si="76"/>
        <v>0</v>
      </c>
    </row>
    <row r="659" spans="1:50" ht="15" customHeight="1" x14ac:dyDescent="0.35">
      <c r="A659" s="102">
        <v>653</v>
      </c>
      <c r="B659" s="102" t="s">
        <v>1326</v>
      </c>
      <c r="C659" s="103">
        <v>287</v>
      </c>
      <c r="D659" s="102" t="s">
        <v>185</v>
      </c>
      <c r="E659" s="102" t="s">
        <v>587</v>
      </c>
      <c r="F659" s="102" t="s">
        <v>1327</v>
      </c>
      <c r="G659" s="102" t="s">
        <v>1328</v>
      </c>
      <c r="H659" s="102" t="s">
        <v>1329</v>
      </c>
      <c r="I659" s="102" t="s">
        <v>63</v>
      </c>
      <c r="J659" s="102" t="s">
        <v>2114</v>
      </c>
      <c r="K659" s="102" t="s">
        <v>591</v>
      </c>
      <c r="L659" s="104">
        <v>42902</v>
      </c>
      <c r="M659" s="102" t="s">
        <v>2115</v>
      </c>
      <c r="N659" s="102" t="s">
        <v>2116</v>
      </c>
      <c r="O659" s="102" t="s">
        <v>383</v>
      </c>
      <c r="P659" s="103">
        <v>1</v>
      </c>
      <c r="Q659" s="105">
        <v>2392500</v>
      </c>
      <c r="R659" s="103">
        <v>48</v>
      </c>
      <c r="S659" s="105">
        <v>49843.75</v>
      </c>
      <c r="T659" s="105">
        <v>2392500</v>
      </c>
      <c r="U659" s="105">
        <v>0</v>
      </c>
      <c r="V659" s="105">
        <v>0</v>
      </c>
      <c r="W659" s="105">
        <v>0</v>
      </c>
      <c r="X659" s="105">
        <v>0</v>
      </c>
      <c r="Y659" s="105">
        <v>0</v>
      </c>
      <c r="Z659" s="105">
        <v>0</v>
      </c>
      <c r="AA659" s="105">
        <v>0</v>
      </c>
      <c r="AB659" s="105">
        <v>0</v>
      </c>
      <c r="AC659" s="8">
        <f t="shared" si="70"/>
        <v>2392500</v>
      </c>
      <c r="AD659" s="8">
        <f t="shared" si="71"/>
        <v>0</v>
      </c>
      <c r="AE659" s="8">
        <f t="shared" si="72"/>
        <v>0</v>
      </c>
      <c r="AF659" s="106">
        <f t="shared" si="73"/>
        <v>0</v>
      </c>
      <c r="AG659" s="8">
        <f t="shared" si="74"/>
        <v>0</v>
      </c>
      <c r="AH659" s="8">
        <f>IF($O659="Aktif",MAX(0,MIN($AE659,$AD659-SUM($AG659:AG659))),0)</f>
        <v>0</v>
      </c>
      <c r="AI659" s="8">
        <f>IF($O659="Aktif",MAX(0,MIN($AE659,$AD659-SUM($AG659:AH659))),0)</f>
        <v>0</v>
      </c>
      <c r="AJ659" s="8">
        <f>IF($O659="Aktif",MAX(0,MIN($AE659,$AD659-SUM($AG659:AI659))),0)</f>
        <v>0</v>
      </c>
      <c r="AK659" s="8">
        <f>IF($O659="Aktif",MAX(0,MIN($AE659,$AD659-SUM($AG659:AJ659))),0)</f>
        <v>0</v>
      </c>
      <c r="AL659" s="8">
        <f>IF($O659="Aktif",MAX(0,MIN($AE659,$AD659-SUM($AG659:AK659))),0)</f>
        <v>0</v>
      </c>
      <c r="AM659" s="8">
        <f>IF($O659="Aktif",MAX(0,MIN($AE659,$AD659-SUM($AG659:AL659))),0)</f>
        <v>0</v>
      </c>
      <c r="AN659" s="8">
        <f>IF($O659="Aktif",MAX(0,MIN($AE659,$AD659-SUM($AG659:AM659))),0)</f>
        <v>0</v>
      </c>
      <c r="AO659" s="8">
        <f>IF($O659="Aktif",MAX(0,MIN($AE659,$AD659-SUM($AG659:AN659))),0)</f>
        <v>0</v>
      </c>
      <c r="AP659" s="8">
        <f>IF($O659="Aktif",MAX(0,MIN($AE659,$AD659-SUM($AG659:AO659))),0)</f>
        <v>0</v>
      </c>
      <c r="AQ659" s="8">
        <f>IF($O659="Aktif",MAX(0,MIN($AE659,$AD659-SUM($AG659:AP659))),0)</f>
        <v>0</v>
      </c>
      <c r="AR659" s="8">
        <f>IF($O659="Aktif",MAX(0,MIN($AE659,$AD659-SUM($AG659:AQ659))),0)</f>
        <v>0</v>
      </c>
      <c r="AS659" s="8">
        <f>IF($O659="Aktif",MAX(0,MIN($AE659,$AD659-SUM($AG659:AR659))),0)</f>
        <v>0</v>
      </c>
      <c r="AT659" s="8">
        <f>IF($O659="Aktif",MAX(0,MIN($AE659,$AD659-SUM($AG659:AS659))),0)</f>
        <v>0</v>
      </c>
      <c r="AU659" s="8">
        <f>IF($O659="Aktif",MAX(0,MIN($AE659,$AD659-SUM($AG659:AT659))),0)</f>
        <v>0</v>
      </c>
      <c r="AV659" s="8">
        <f>IF($O659="Aktif",MAX(0,MIN($AE659,$AD659-SUM($AG659:AU659))),0)</f>
        <v>0</v>
      </c>
      <c r="AW659" s="8">
        <f t="shared" si="75"/>
        <v>0</v>
      </c>
      <c r="AX659" s="8">
        <f t="shared" si="76"/>
        <v>0</v>
      </c>
    </row>
    <row r="660" spans="1:50" ht="15" customHeight="1" x14ac:dyDescent="0.35">
      <c r="A660" s="102">
        <v>654</v>
      </c>
      <c r="B660" s="102" t="s">
        <v>1326</v>
      </c>
      <c r="C660" s="103">
        <v>288</v>
      </c>
      <c r="D660" s="102" t="s">
        <v>185</v>
      </c>
      <c r="E660" s="102" t="s">
        <v>587</v>
      </c>
      <c r="F660" s="102" t="s">
        <v>1327</v>
      </c>
      <c r="G660" s="102" t="s">
        <v>1328</v>
      </c>
      <c r="H660" s="102" t="s">
        <v>1329</v>
      </c>
      <c r="I660" s="102" t="s">
        <v>63</v>
      </c>
      <c r="J660" s="102" t="s">
        <v>2117</v>
      </c>
      <c r="K660" s="102" t="s">
        <v>591</v>
      </c>
      <c r="L660" s="104">
        <v>42916</v>
      </c>
      <c r="M660" s="102" t="s">
        <v>2118</v>
      </c>
      <c r="N660" s="102" t="s">
        <v>2119</v>
      </c>
      <c r="O660" s="102" t="s">
        <v>383</v>
      </c>
      <c r="P660" s="103">
        <v>1</v>
      </c>
      <c r="Q660" s="105">
        <v>85000000</v>
      </c>
      <c r="R660" s="103">
        <v>48</v>
      </c>
      <c r="S660" s="105">
        <v>1770833.33333333</v>
      </c>
      <c r="T660" s="105">
        <v>85000000</v>
      </c>
      <c r="U660" s="105">
        <v>0</v>
      </c>
      <c r="V660" s="105">
        <v>0</v>
      </c>
      <c r="W660" s="105">
        <v>0</v>
      </c>
      <c r="X660" s="105">
        <v>0</v>
      </c>
      <c r="Y660" s="105">
        <v>0</v>
      </c>
      <c r="Z660" s="105">
        <v>0</v>
      </c>
      <c r="AA660" s="105">
        <v>0</v>
      </c>
      <c r="AB660" s="105">
        <v>0</v>
      </c>
      <c r="AC660" s="8">
        <f t="shared" si="70"/>
        <v>85000000</v>
      </c>
      <c r="AD660" s="8">
        <f t="shared" si="71"/>
        <v>0</v>
      </c>
      <c r="AE660" s="8">
        <f t="shared" si="72"/>
        <v>0</v>
      </c>
      <c r="AF660" s="106">
        <f t="shared" si="73"/>
        <v>0</v>
      </c>
      <c r="AG660" s="8">
        <f t="shared" si="74"/>
        <v>0</v>
      </c>
      <c r="AH660" s="8">
        <f>IF($O660="Aktif",MAX(0,MIN($AE660,$AD660-SUM($AG660:AG660))),0)</f>
        <v>0</v>
      </c>
      <c r="AI660" s="8">
        <f>IF($O660="Aktif",MAX(0,MIN($AE660,$AD660-SUM($AG660:AH660))),0)</f>
        <v>0</v>
      </c>
      <c r="AJ660" s="8">
        <f>IF($O660="Aktif",MAX(0,MIN($AE660,$AD660-SUM($AG660:AI660))),0)</f>
        <v>0</v>
      </c>
      <c r="AK660" s="8">
        <f>IF($O660="Aktif",MAX(0,MIN($AE660,$AD660-SUM($AG660:AJ660))),0)</f>
        <v>0</v>
      </c>
      <c r="AL660" s="8">
        <f>IF($O660="Aktif",MAX(0,MIN($AE660,$AD660-SUM($AG660:AK660))),0)</f>
        <v>0</v>
      </c>
      <c r="AM660" s="8">
        <f>IF($O660="Aktif",MAX(0,MIN($AE660,$AD660-SUM($AG660:AL660))),0)</f>
        <v>0</v>
      </c>
      <c r="AN660" s="8">
        <f>IF($O660="Aktif",MAX(0,MIN($AE660,$AD660-SUM($AG660:AM660))),0)</f>
        <v>0</v>
      </c>
      <c r="AO660" s="8">
        <f>IF($O660="Aktif",MAX(0,MIN($AE660,$AD660-SUM($AG660:AN660))),0)</f>
        <v>0</v>
      </c>
      <c r="AP660" s="8">
        <f>IF($O660="Aktif",MAX(0,MIN($AE660,$AD660-SUM($AG660:AO660))),0)</f>
        <v>0</v>
      </c>
      <c r="AQ660" s="8">
        <f>IF($O660="Aktif",MAX(0,MIN($AE660,$AD660-SUM($AG660:AP660))),0)</f>
        <v>0</v>
      </c>
      <c r="AR660" s="8">
        <f>IF($O660="Aktif",MAX(0,MIN($AE660,$AD660-SUM($AG660:AQ660))),0)</f>
        <v>0</v>
      </c>
      <c r="AS660" s="8">
        <f>IF($O660="Aktif",MAX(0,MIN($AE660,$AD660-SUM($AG660:AR660))),0)</f>
        <v>0</v>
      </c>
      <c r="AT660" s="8">
        <f>IF($O660="Aktif",MAX(0,MIN($AE660,$AD660-SUM($AG660:AS660))),0)</f>
        <v>0</v>
      </c>
      <c r="AU660" s="8">
        <f>IF($O660="Aktif",MAX(0,MIN($AE660,$AD660-SUM($AG660:AT660))),0)</f>
        <v>0</v>
      </c>
      <c r="AV660" s="8">
        <f>IF($O660="Aktif",MAX(0,MIN($AE660,$AD660-SUM($AG660:AU660))),0)</f>
        <v>0</v>
      </c>
      <c r="AW660" s="8">
        <f t="shared" si="75"/>
        <v>0</v>
      </c>
      <c r="AX660" s="8">
        <f t="shared" si="76"/>
        <v>0</v>
      </c>
    </row>
    <row r="661" spans="1:50" ht="15" customHeight="1" x14ac:dyDescent="0.35">
      <c r="A661" s="102">
        <v>655</v>
      </c>
      <c r="B661" s="102" t="s">
        <v>1326</v>
      </c>
      <c r="C661" s="103">
        <v>289</v>
      </c>
      <c r="D661" s="102" t="s">
        <v>185</v>
      </c>
      <c r="E661" s="102" t="s">
        <v>587</v>
      </c>
      <c r="F661" s="102" t="s">
        <v>1327</v>
      </c>
      <c r="G661" s="102" t="s">
        <v>1328</v>
      </c>
      <c r="H661" s="102" t="s">
        <v>1329</v>
      </c>
      <c r="I661" s="102" t="s">
        <v>63</v>
      </c>
      <c r="J661" s="102" t="s">
        <v>2120</v>
      </c>
      <c r="K661" s="102" t="s">
        <v>591</v>
      </c>
      <c r="L661" s="104">
        <v>42916</v>
      </c>
      <c r="M661" s="102" t="s">
        <v>2121</v>
      </c>
      <c r="N661" s="102" t="s">
        <v>2122</v>
      </c>
      <c r="O661" s="102" t="s">
        <v>383</v>
      </c>
      <c r="P661" s="103">
        <v>1</v>
      </c>
      <c r="Q661" s="105">
        <v>85000000</v>
      </c>
      <c r="R661" s="103">
        <v>48</v>
      </c>
      <c r="S661" s="105">
        <v>1770833.33333333</v>
      </c>
      <c r="T661" s="105">
        <v>85000000</v>
      </c>
      <c r="U661" s="105">
        <v>0</v>
      </c>
      <c r="V661" s="105">
        <v>0</v>
      </c>
      <c r="W661" s="105">
        <v>0</v>
      </c>
      <c r="X661" s="105">
        <v>0</v>
      </c>
      <c r="Y661" s="105">
        <v>0</v>
      </c>
      <c r="Z661" s="105">
        <v>0</v>
      </c>
      <c r="AA661" s="105">
        <v>0</v>
      </c>
      <c r="AB661" s="105">
        <v>0</v>
      </c>
      <c r="AC661" s="8">
        <f t="shared" si="70"/>
        <v>85000000</v>
      </c>
      <c r="AD661" s="8">
        <f t="shared" si="71"/>
        <v>0</v>
      </c>
      <c r="AE661" s="8">
        <f t="shared" si="72"/>
        <v>0</v>
      </c>
      <c r="AF661" s="106">
        <f t="shared" si="73"/>
        <v>0</v>
      </c>
      <c r="AG661" s="8">
        <f t="shared" si="74"/>
        <v>0</v>
      </c>
      <c r="AH661" s="8">
        <f>IF($O661="Aktif",MAX(0,MIN($AE661,$AD661-SUM($AG661:AG661))),0)</f>
        <v>0</v>
      </c>
      <c r="AI661" s="8">
        <f>IF($O661="Aktif",MAX(0,MIN($AE661,$AD661-SUM($AG661:AH661))),0)</f>
        <v>0</v>
      </c>
      <c r="AJ661" s="8">
        <f>IF($O661="Aktif",MAX(0,MIN($AE661,$AD661-SUM($AG661:AI661))),0)</f>
        <v>0</v>
      </c>
      <c r="AK661" s="8">
        <f>IF($O661="Aktif",MAX(0,MIN($AE661,$AD661-SUM($AG661:AJ661))),0)</f>
        <v>0</v>
      </c>
      <c r="AL661" s="8">
        <f>IF($O661="Aktif",MAX(0,MIN($AE661,$AD661-SUM($AG661:AK661))),0)</f>
        <v>0</v>
      </c>
      <c r="AM661" s="8">
        <f>IF($O661="Aktif",MAX(0,MIN($AE661,$AD661-SUM($AG661:AL661))),0)</f>
        <v>0</v>
      </c>
      <c r="AN661" s="8">
        <f>IF($O661="Aktif",MAX(0,MIN($AE661,$AD661-SUM($AG661:AM661))),0)</f>
        <v>0</v>
      </c>
      <c r="AO661" s="8">
        <f>IF($O661="Aktif",MAX(0,MIN($AE661,$AD661-SUM($AG661:AN661))),0)</f>
        <v>0</v>
      </c>
      <c r="AP661" s="8">
        <f>IF($O661="Aktif",MAX(0,MIN($AE661,$AD661-SUM($AG661:AO661))),0)</f>
        <v>0</v>
      </c>
      <c r="AQ661" s="8">
        <f>IF($O661="Aktif",MAX(0,MIN($AE661,$AD661-SUM($AG661:AP661))),0)</f>
        <v>0</v>
      </c>
      <c r="AR661" s="8">
        <f>IF($O661="Aktif",MAX(0,MIN($AE661,$AD661-SUM($AG661:AQ661))),0)</f>
        <v>0</v>
      </c>
      <c r="AS661" s="8">
        <f>IF($O661="Aktif",MAX(0,MIN($AE661,$AD661-SUM($AG661:AR661))),0)</f>
        <v>0</v>
      </c>
      <c r="AT661" s="8">
        <f>IF($O661="Aktif",MAX(0,MIN($AE661,$AD661-SUM($AG661:AS661))),0)</f>
        <v>0</v>
      </c>
      <c r="AU661" s="8">
        <f>IF($O661="Aktif",MAX(0,MIN($AE661,$AD661-SUM($AG661:AT661))),0)</f>
        <v>0</v>
      </c>
      <c r="AV661" s="8">
        <f>IF($O661="Aktif",MAX(0,MIN($AE661,$AD661-SUM($AG661:AU661))),0)</f>
        <v>0</v>
      </c>
      <c r="AW661" s="8">
        <f t="shared" si="75"/>
        <v>0</v>
      </c>
      <c r="AX661" s="8">
        <f t="shared" si="76"/>
        <v>0</v>
      </c>
    </row>
    <row r="662" spans="1:50" ht="15" customHeight="1" x14ac:dyDescent="0.35">
      <c r="A662" s="102">
        <v>656</v>
      </c>
      <c r="B662" s="102" t="s">
        <v>1326</v>
      </c>
      <c r="C662" s="103">
        <v>290</v>
      </c>
      <c r="D662" s="102" t="s">
        <v>185</v>
      </c>
      <c r="E662" s="102" t="s">
        <v>587</v>
      </c>
      <c r="F662" s="102" t="s">
        <v>1327</v>
      </c>
      <c r="G662" s="102" t="s">
        <v>1328</v>
      </c>
      <c r="H662" s="102" t="s">
        <v>1329</v>
      </c>
      <c r="I662" s="102" t="s">
        <v>63</v>
      </c>
      <c r="J662" s="102" t="s">
        <v>2123</v>
      </c>
      <c r="K662" s="102" t="s">
        <v>591</v>
      </c>
      <c r="L662" s="104">
        <v>42920</v>
      </c>
      <c r="M662" s="102" t="s">
        <v>2103</v>
      </c>
      <c r="N662" s="102" t="s">
        <v>2124</v>
      </c>
      <c r="O662" s="102" t="s">
        <v>383</v>
      </c>
      <c r="P662" s="103">
        <v>3</v>
      </c>
      <c r="Q662" s="105">
        <v>19296792</v>
      </c>
      <c r="R662" s="103">
        <v>48</v>
      </c>
      <c r="S662" s="105">
        <v>402016.5</v>
      </c>
      <c r="T662" s="105">
        <v>19296792</v>
      </c>
      <c r="U662" s="105">
        <v>0</v>
      </c>
      <c r="V662" s="105">
        <v>0</v>
      </c>
      <c r="W662" s="105">
        <v>0</v>
      </c>
      <c r="X662" s="105">
        <v>0</v>
      </c>
      <c r="Y662" s="105">
        <v>0</v>
      </c>
      <c r="Z662" s="105">
        <v>0</v>
      </c>
      <c r="AA662" s="105">
        <v>0</v>
      </c>
      <c r="AB662" s="105">
        <v>0</v>
      </c>
      <c r="AC662" s="8">
        <f t="shared" si="70"/>
        <v>19296792</v>
      </c>
      <c r="AD662" s="8">
        <f t="shared" si="71"/>
        <v>0</v>
      </c>
      <c r="AE662" s="8">
        <f t="shared" si="72"/>
        <v>0</v>
      </c>
      <c r="AF662" s="106">
        <f t="shared" si="73"/>
        <v>0</v>
      </c>
      <c r="AG662" s="8">
        <f t="shared" si="74"/>
        <v>0</v>
      </c>
      <c r="AH662" s="8">
        <f>IF($O662="Aktif",MAX(0,MIN($AE662,$AD662-SUM($AG662:AG662))),0)</f>
        <v>0</v>
      </c>
      <c r="AI662" s="8">
        <f>IF($O662="Aktif",MAX(0,MIN($AE662,$AD662-SUM($AG662:AH662))),0)</f>
        <v>0</v>
      </c>
      <c r="AJ662" s="8">
        <f>IF($O662="Aktif",MAX(0,MIN($AE662,$AD662-SUM($AG662:AI662))),0)</f>
        <v>0</v>
      </c>
      <c r="AK662" s="8">
        <f>IF($O662="Aktif",MAX(0,MIN($AE662,$AD662-SUM($AG662:AJ662))),0)</f>
        <v>0</v>
      </c>
      <c r="AL662" s="8">
        <f>IF($O662="Aktif",MAX(0,MIN($AE662,$AD662-SUM($AG662:AK662))),0)</f>
        <v>0</v>
      </c>
      <c r="AM662" s="8">
        <f>IF($O662="Aktif",MAX(0,MIN($AE662,$AD662-SUM($AG662:AL662))),0)</f>
        <v>0</v>
      </c>
      <c r="AN662" s="8">
        <f>IF($O662="Aktif",MAX(0,MIN($AE662,$AD662-SUM($AG662:AM662))),0)</f>
        <v>0</v>
      </c>
      <c r="AO662" s="8">
        <f>IF($O662="Aktif",MAX(0,MIN($AE662,$AD662-SUM($AG662:AN662))),0)</f>
        <v>0</v>
      </c>
      <c r="AP662" s="8">
        <f>IF($O662="Aktif",MAX(0,MIN($AE662,$AD662-SUM($AG662:AO662))),0)</f>
        <v>0</v>
      </c>
      <c r="AQ662" s="8">
        <f>IF($O662="Aktif",MAX(0,MIN($AE662,$AD662-SUM($AG662:AP662))),0)</f>
        <v>0</v>
      </c>
      <c r="AR662" s="8">
        <f>IF($O662="Aktif",MAX(0,MIN($AE662,$AD662-SUM($AG662:AQ662))),0)</f>
        <v>0</v>
      </c>
      <c r="AS662" s="8">
        <f>IF($O662="Aktif",MAX(0,MIN($AE662,$AD662-SUM($AG662:AR662))),0)</f>
        <v>0</v>
      </c>
      <c r="AT662" s="8">
        <f>IF($O662="Aktif",MAX(0,MIN($AE662,$AD662-SUM($AG662:AS662))),0)</f>
        <v>0</v>
      </c>
      <c r="AU662" s="8">
        <f>IF($O662="Aktif",MAX(0,MIN($AE662,$AD662-SUM($AG662:AT662))),0)</f>
        <v>0</v>
      </c>
      <c r="AV662" s="8">
        <f>IF($O662="Aktif",MAX(0,MIN($AE662,$AD662-SUM($AG662:AU662))),0)</f>
        <v>0</v>
      </c>
      <c r="AW662" s="8">
        <f t="shared" si="75"/>
        <v>0</v>
      </c>
      <c r="AX662" s="8">
        <f t="shared" si="76"/>
        <v>0</v>
      </c>
    </row>
    <row r="663" spans="1:50" ht="15" customHeight="1" x14ac:dyDescent="0.35">
      <c r="A663" s="102">
        <v>657</v>
      </c>
      <c r="B663" s="102" t="s">
        <v>1326</v>
      </c>
      <c r="C663" s="103">
        <v>291</v>
      </c>
      <c r="D663" s="102" t="s">
        <v>185</v>
      </c>
      <c r="E663" s="102" t="s">
        <v>587</v>
      </c>
      <c r="F663" s="102" t="s">
        <v>1327</v>
      </c>
      <c r="G663" s="102" t="s">
        <v>1328</v>
      </c>
      <c r="H663" s="102" t="s">
        <v>1329</v>
      </c>
      <c r="I663" s="102" t="s">
        <v>63</v>
      </c>
      <c r="J663" s="102" t="s">
        <v>2125</v>
      </c>
      <c r="K663" s="102" t="s">
        <v>591</v>
      </c>
      <c r="L663" s="104">
        <v>42923</v>
      </c>
      <c r="M663" s="102" t="s">
        <v>2126</v>
      </c>
      <c r="N663" s="102" t="s">
        <v>2127</v>
      </c>
      <c r="O663" s="102" t="s">
        <v>383</v>
      </c>
      <c r="P663" s="103">
        <v>1</v>
      </c>
      <c r="Q663" s="105">
        <v>6430000</v>
      </c>
      <c r="R663" s="103">
        <v>48</v>
      </c>
      <c r="S663" s="105">
        <v>133958.33333333299</v>
      </c>
      <c r="T663" s="105">
        <v>6430000</v>
      </c>
      <c r="U663" s="105">
        <v>0</v>
      </c>
      <c r="V663" s="105">
        <v>0</v>
      </c>
      <c r="W663" s="105">
        <v>0</v>
      </c>
      <c r="X663" s="105">
        <v>0</v>
      </c>
      <c r="Y663" s="105">
        <v>0</v>
      </c>
      <c r="Z663" s="105">
        <v>0</v>
      </c>
      <c r="AA663" s="105">
        <v>0</v>
      </c>
      <c r="AB663" s="105">
        <v>0</v>
      </c>
      <c r="AC663" s="8">
        <f t="shared" si="70"/>
        <v>6430000</v>
      </c>
      <c r="AD663" s="8">
        <f t="shared" si="71"/>
        <v>0</v>
      </c>
      <c r="AE663" s="8">
        <f t="shared" si="72"/>
        <v>0</v>
      </c>
      <c r="AF663" s="106">
        <f t="shared" si="73"/>
        <v>0</v>
      </c>
      <c r="AG663" s="8">
        <f t="shared" si="74"/>
        <v>0</v>
      </c>
      <c r="AH663" s="8">
        <f>IF($O663="Aktif",MAX(0,MIN($AE663,$AD663-SUM($AG663:AG663))),0)</f>
        <v>0</v>
      </c>
      <c r="AI663" s="8">
        <f>IF($O663="Aktif",MAX(0,MIN($AE663,$AD663-SUM($AG663:AH663))),0)</f>
        <v>0</v>
      </c>
      <c r="AJ663" s="8">
        <f>IF($O663="Aktif",MAX(0,MIN($AE663,$AD663-SUM($AG663:AI663))),0)</f>
        <v>0</v>
      </c>
      <c r="AK663" s="8">
        <f>IF($O663="Aktif",MAX(0,MIN($AE663,$AD663-SUM($AG663:AJ663))),0)</f>
        <v>0</v>
      </c>
      <c r="AL663" s="8">
        <f>IF($O663="Aktif",MAX(0,MIN($AE663,$AD663-SUM($AG663:AK663))),0)</f>
        <v>0</v>
      </c>
      <c r="AM663" s="8">
        <f>IF($O663="Aktif",MAX(0,MIN($AE663,$AD663-SUM($AG663:AL663))),0)</f>
        <v>0</v>
      </c>
      <c r="AN663" s="8">
        <f>IF($O663="Aktif",MAX(0,MIN($AE663,$AD663-SUM($AG663:AM663))),0)</f>
        <v>0</v>
      </c>
      <c r="AO663" s="8">
        <f>IF($O663="Aktif",MAX(0,MIN($AE663,$AD663-SUM($AG663:AN663))),0)</f>
        <v>0</v>
      </c>
      <c r="AP663" s="8">
        <f>IF($O663="Aktif",MAX(0,MIN($AE663,$AD663-SUM($AG663:AO663))),0)</f>
        <v>0</v>
      </c>
      <c r="AQ663" s="8">
        <f>IF($O663="Aktif",MAX(0,MIN($AE663,$AD663-SUM($AG663:AP663))),0)</f>
        <v>0</v>
      </c>
      <c r="AR663" s="8">
        <f>IF($O663="Aktif",MAX(0,MIN($AE663,$AD663-SUM($AG663:AQ663))),0)</f>
        <v>0</v>
      </c>
      <c r="AS663" s="8">
        <f>IF($O663="Aktif",MAX(0,MIN($AE663,$AD663-SUM($AG663:AR663))),0)</f>
        <v>0</v>
      </c>
      <c r="AT663" s="8">
        <f>IF($O663="Aktif",MAX(0,MIN($AE663,$AD663-SUM($AG663:AS663))),0)</f>
        <v>0</v>
      </c>
      <c r="AU663" s="8">
        <f>IF($O663="Aktif",MAX(0,MIN($AE663,$AD663-SUM($AG663:AT663))),0)</f>
        <v>0</v>
      </c>
      <c r="AV663" s="8">
        <f>IF($O663="Aktif",MAX(0,MIN($AE663,$AD663-SUM($AG663:AU663))),0)</f>
        <v>0</v>
      </c>
      <c r="AW663" s="8">
        <f t="shared" si="75"/>
        <v>0</v>
      </c>
      <c r="AX663" s="8">
        <f t="shared" si="76"/>
        <v>0</v>
      </c>
    </row>
    <row r="664" spans="1:50" ht="15" customHeight="1" x14ac:dyDescent="0.35">
      <c r="A664" s="102">
        <v>658</v>
      </c>
      <c r="B664" s="102" t="s">
        <v>1326</v>
      </c>
      <c r="C664" s="103">
        <v>292</v>
      </c>
      <c r="D664" s="102" t="s">
        <v>185</v>
      </c>
      <c r="E664" s="102" t="s">
        <v>587</v>
      </c>
      <c r="F664" s="102" t="s">
        <v>1327</v>
      </c>
      <c r="G664" s="102" t="s">
        <v>1328</v>
      </c>
      <c r="H664" s="102" t="s">
        <v>1329</v>
      </c>
      <c r="I664" s="102" t="s">
        <v>63</v>
      </c>
      <c r="J664" s="102" t="s">
        <v>2128</v>
      </c>
      <c r="K664" s="102" t="s">
        <v>591</v>
      </c>
      <c r="L664" s="104">
        <v>42923</v>
      </c>
      <c r="M664" s="102" t="s">
        <v>2129</v>
      </c>
      <c r="N664" s="102" t="s">
        <v>2130</v>
      </c>
      <c r="O664" s="102" t="s">
        <v>383</v>
      </c>
      <c r="P664" s="103">
        <v>36</v>
      </c>
      <c r="Q664" s="105">
        <v>2947000</v>
      </c>
      <c r="R664" s="103">
        <v>48</v>
      </c>
      <c r="S664" s="105">
        <v>61395.833333333299</v>
      </c>
      <c r="T664" s="105">
        <v>2947000</v>
      </c>
      <c r="U664" s="105">
        <v>0</v>
      </c>
      <c r="V664" s="105">
        <v>0</v>
      </c>
      <c r="W664" s="105">
        <v>0</v>
      </c>
      <c r="X664" s="105">
        <v>0</v>
      </c>
      <c r="Y664" s="105">
        <v>0</v>
      </c>
      <c r="Z664" s="105">
        <v>0</v>
      </c>
      <c r="AA664" s="105">
        <v>0</v>
      </c>
      <c r="AB664" s="105">
        <v>0</v>
      </c>
      <c r="AC664" s="8">
        <f t="shared" si="70"/>
        <v>2947000</v>
      </c>
      <c r="AD664" s="8">
        <f t="shared" si="71"/>
        <v>0</v>
      </c>
      <c r="AE664" s="8">
        <f t="shared" si="72"/>
        <v>0</v>
      </c>
      <c r="AF664" s="106">
        <f t="shared" si="73"/>
        <v>0</v>
      </c>
      <c r="AG664" s="8">
        <f t="shared" si="74"/>
        <v>0</v>
      </c>
      <c r="AH664" s="8">
        <f>IF($O664="Aktif",MAX(0,MIN($AE664,$AD664-SUM($AG664:AG664))),0)</f>
        <v>0</v>
      </c>
      <c r="AI664" s="8">
        <f>IF($O664="Aktif",MAX(0,MIN($AE664,$AD664-SUM($AG664:AH664))),0)</f>
        <v>0</v>
      </c>
      <c r="AJ664" s="8">
        <f>IF($O664="Aktif",MAX(0,MIN($AE664,$AD664-SUM($AG664:AI664))),0)</f>
        <v>0</v>
      </c>
      <c r="AK664" s="8">
        <f>IF($O664="Aktif",MAX(0,MIN($AE664,$AD664-SUM($AG664:AJ664))),0)</f>
        <v>0</v>
      </c>
      <c r="AL664" s="8">
        <f>IF($O664="Aktif",MAX(0,MIN($AE664,$AD664-SUM($AG664:AK664))),0)</f>
        <v>0</v>
      </c>
      <c r="AM664" s="8">
        <f>IF($O664="Aktif",MAX(0,MIN($AE664,$AD664-SUM($AG664:AL664))),0)</f>
        <v>0</v>
      </c>
      <c r="AN664" s="8">
        <f>IF($O664="Aktif",MAX(0,MIN($AE664,$AD664-SUM($AG664:AM664))),0)</f>
        <v>0</v>
      </c>
      <c r="AO664" s="8">
        <f>IF($O664="Aktif",MAX(0,MIN($AE664,$AD664-SUM($AG664:AN664))),0)</f>
        <v>0</v>
      </c>
      <c r="AP664" s="8">
        <f>IF($O664="Aktif",MAX(0,MIN($AE664,$AD664-SUM($AG664:AO664))),0)</f>
        <v>0</v>
      </c>
      <c r="AQ664" s="8">
        <f>IF($O664="Aktif",MAX(0,MIN($AE664,$AD664-SUM($AG664:AP664))),0)</f>
        <v>0</v>
      </c>
      <c r="AR664" s="8">
        <f>IF($O664="Aktif",MAX(0,MIN($AE664,$AD664-SUM($AG664:AQ664))),0)</f>
        <v>0</v>
      </c>
      <c r="AS664" s="8">
        <f>IF($O664="Aktif",MAX(0,MIN($AE664,$AD664-SUM($AG664:AR664))),0)</f>
        <v>0</v>
      </c>
      <c r="AT664" s="8">
        <f>IF($O664="Aktif",MAX(0,MIN($AE664,$AD664-SUM($AG664:AS664))),0)</f>
        <v>0</v>
      </c>
      <c r="AU664" s="8">
        <f>IF($O664="Aktif",MAX(0,MIN($AE664,$AD664-SUM($AG664:AT664))),0)</f>
        <v>0</v>
      </c>
      <c r="AV664" s="8">
        <f>IF($O664="Aktif",MAX(0,MIN($AE664,$AD664-SUM($AG664:AU664))),0)</f>
        <v>0</v>
      </c>
      <c r="AW664" s="8">
        <f t="shared" si="75"/>
        <v>0</v>
      </c>
      <c r="AX664" s="8">
        <f t="shared" si="76"/>
        <v>0</v>
      </c>
    </row>
    <row r="665" spans="1:50" ht="15" customHeight="1" x14ac:dyDescent="0.35">
      <c r="A665" s="102">
        <v>659</v>
      </c>
      <c r="B665" s="102" t="s">
        <v>1326</v>
      </c>
      <c r="C665" s="103">
        <v>293</v>
      </c>
      <c r="D665" s="102" t="s">
        <v>185</v>
      </c>
      <c r="E665" s="102" t="s">
        <v>587</v>
      </c>
      <c r="F665" s="102" t="s">
        <v>1327</v>
      </c>
      <c r="G665" s="102" t="s">
        <v>1328</v>
      </c>
      <c r="H665" s="102" t="s">
        <v>1329</v>
      </c>
      <c r="I665" s="102" t="s">
        <v>63</v>
      </c>
      <c r="J665" s="102" t="s">
        <v>2131</v>
      </c>
      <c r="K665" s="102" t="s">
        <v>591</v>
      </c>
      <c r="L665" s="104">
        <v>42934</v>
      </c>
      <c r="M665" s="102" t="s">
        <v>2132</v>
      </c>
      <c r="N665" s="102" t="s">
        <v>2133</v>
      </c>
      <c r="O665" s="102" t="s">
        <v>383</v>
      </c>
      <c r="P665" s="103">
        <v>1</v>
      </c>
      <c r="Q665" s="105">
        <v>10266735</v>
      </c>
      <c r="R665" s="103">
        <v>48</v>
      </c>
      <c r="S665" s="105">
        <v>213890.3125</v>
      </c>
      <c r="T665" s="105">
        <v>10266735</v>
      </c>
      <c r="U665" s="105">
        <v>0</v>
      </c>
      <c r="V665" s="105">
        <v>0</v>
      </c>
      <c r="W665" s="105">
        <v>0</v>
      </c>
      <c r="X665" s="105">
        <v>0</v>
      </c>
      <c r="Y665" s="105">
        <v>0</v>
      </c>
      <c r="Z665" s="105">
        <v>0</v>
      </c>
      <c r="AA665" s="105">
        <v>0</v>
      </c>
      <c r="AB665" s="105">
        <v>0</v>
      </c>
      <c r="AC665" s="8">
        <f t="shared" si="70"/>
        <v>10266735</v>
      </c>
      <c r="AD665" s="8">
        <f t="shared" si="71"/>
        <v>0</v>
      </c>
      <c r="AE665" s="8">
        <f t="shared" si="72"/>
        <v>0</v>
      </c>
      <c r="AF665" s="106">
        <f t="shared" si="73"/>
        <v>0</v>
      </c>
      <c r="AG665" s="8">
        <f t="shared" si="74"/>
        <v>0</v>
      </c>
      <c r="AH665" s="8">
        <f>IF($O665="Aktif",MAX(0,MIN($AE665,$AD665-SUM($AG665:AG665))),0)</f>
        <v>0</v>
      </c>
      <c r="AI665" s="8">
        <f>IF($O665="Aktif",MAX(0,MIN($AE665,$AD665-SUM($AG665:AH665))),0)</f>
        <v>0</v>
      </c>
      <c r="AJ665" s="8">
        <f>IF($O665="Aktif",MAX(0,MIN($AE665,$AD665-SUM($AG665:AI665))),0)</f>
        <v>0</v>
      </c>
      <c r="AK665" s="8">
        <f>IF($O665="Aktif",MAX(0,MIN($AE665,$AD665-SUM($AG665:AJ665))),0)</f>
        <v>0</v>
      </c>
      <c r="AL665" s="8">
        <f>IF($O665="Aktif",MAX(0,MIN($AE665,$AD665-SUM($AG665:AK665))),0)</f>
        <v>0</v>
      </c>
      <c r="AM665" s="8">
        <f>IF($O665="Aktif",MAX(0,MIN($AE665,$AD665-SUM($AG665:AL665))),0)</f>
        <v>0</v>
      </c>
      <c r="AN665" s="8">
        <f>IF($O665="Aktif",MAX(0,MIN($AE665,$AD665-SUM($AG665:AM665))),0)</f>
        <v>0</v>
      </c>
      <c r="AO665" s="8">
        <f>IF($O665="Aktif",MAX(0,MIN($AE665,$AD665-SUM($AG665:AN665))),0)</f>
        <v>0</v>
      </c>
      <c r="AP665" s="8">
        <f>IF($O665="Aktif",MAX(0,MIN($AE665,$AD665-SUM($AG665:AO665))),0)</f>
        <v>0</v>
      </c>
      <c r="AQ665" s="8">
        <f>IF($O665="Aktif",MAX(0,MIN($AE665,$AD665-SUM($AG665:AP665))),0)</f>
        <v>0</v>
      </c>
      <c r="AR665" s="8">
        <f>IF($O665="Aktif",MAX(0,MIN($AE665,$AD665-SUM($AG665:AQ665))),0)</f>
        <v>0</v>
      </c>
      <c r="AS665" s="8">
        <f>IF($O665="Aktif",MAX(0,MIN($AE665,$AD665-SUM($AG665:AR665))),0)</f>
        <v>0</v>
      </c>
      <c r="AT665" s="8">
        <f>IF($O665="Aktif",MAX(0,MIN($AE665,$AD665-SUM($AG665:AS665))),0)</f>
        <v>0</v>
      </c>
      <c r="AU665" s="8">
        <f>IF($O665="Aktif",MAX(0,MIN($AE665,$AD665-SUM($AG665:AT665))),0)</f>
        <v>0</v>
      </c>
      <c r="AV665" s="8">
        <f>IF($O665="Aktif",MAX(0,MIN($AE665,$AD665-SUM($AG665:AU665))),0)</f>
        <v>0</v>
      </c>
      <c r="AW665" s="8">
        <f t="shared" si="75"/>
        <v>0</v>
      </c>
      <c r="AX665" s="8">
        <f t="shared" si="76"/>
        <v>0</v>
      </c>
    </row>
    <row r="666" spans="1:50" ht="15" customHeight="1" x14ac:dyDescent="0.35">
      <c r="A666" s="102">
        <v>660</v>
      </c>
      <c r="B666" s="102" t="s">
        <v>1326</v>
      </c>
      <c r="C666" s="103">
        <v>294</v>
      </c>
      <c r="D666" s="102" t="s">
        <v>185</v>
      </c>
      <c r="E666" s="102" t="s">
        <v>587</v>
      </c>
      <c r="F666" s="102" t="s">
        <v>1327</v>
      </c>
      <c r="G666" s="102" t="s">
        <v>1328</v>
      </c>
      <c r="H666" s="102" t="s">
        <v>1329</v>
      </c>
      <c r="I666" s="102" t="s">
        <v>63</v>
      </c>
      <c r="J666" s="102" t="s">
        <v>2134</v>
      </c>
      <c r="K666" s="102" t="s">
        <v>591</v>
      </c>
      <c r="L666" s="104">
        <v>42934</v>
      </c>
      <c r="M666" s="102" t="s">
        <v>2135</v>
      </c>
      <c r="N666" s="102" t="s">
        <v>2136</v>
      </c>
      <c r="O666" s="102" t="s">
        <v>383</v>
      </c>
      <c r="P666" s="103">
        <v>1</v>
      </c>
      <c r="Q666" s="105">
        <v>7375000</v>
      </c>
      <c r="R666" s="103">
        <v>48</v>
      </c>
      <c r="S666" s="105">
        <v>153645.83333333299</v>
      </c>
      <c r="T666" s="105">
        <v>7375000</v>
      </c>
      <c r="U666" s="105">
        <v>0</v>
      </c>
      <c r="V666" s="105">
        <v>0</v>
      </c>
      <c r="W666" s="105">
        <v>0</v>
      </c>
      <c r="X666" s="105">
        <v>0</v>
      </c>
      <c r="Y666" s="105">
        <v>0</v>
      </c>
      <c r="Z666" s="105">
        <v>0</v>
      </c>
      <c r="AA666" s="105">
        <v>0</v>
      </c>
      <c r="AB666" s="105">
        <v>0</v>
      </c>
      <c r="AC666" s="8">
        <f t="shared" si="70"/>
        <v>7375000</v>
      </c>
      <c r="AD666" s="8">
        <f t="shared" si="71"/>
        <v>0</v>
      </c>
      <c r="AE666" s="8">
        <f t="shared" si="72"/>
        <v>0</v>
      </c>
      <c r="AF666" s="106">
        <f t="shared" si="73"/>
        <v>0</v>
      </c>
      <c r="AG666" s="8">
        <f t="shared" si="74"/>
        <v>0</v>
      </c>
      <c r="AH666" s="8">
        <f>IF($O666="Aktif",MAX(0,MIN($AE666,$AD666-SUM($AG666:AG666))),0)</f>
        <v>0</v>
      </c>
      <c r="AI666" s="8">
        <f>IF($O666="Aktif",MAX(0,MIN($AE666,$AD666-SUM($AG666:AH666))),0)</f>
        <v>0</v>
      </c>
      <c r="AJ666" s="8">
        <f>IF($O666="Aktif",MAX(0,MIN($AE666,$AD666-SUM($AG666:AI666))),0)</f>
        <v>0</v>
      </c>
      <c r="AK666" s="8">
        <f>IF($O666="Aktif",MAX(0,MIN($AE666,$AD666-SUM($AG666:AJ666))),0)</f>
        <v>0</v>
      </c>
      <c r="AL666" s="8">
        <f>IF($O666="Aktif",MAX(0,MIN($AE666,$AD666-SUM($AG666:AK666))),0)</f>
        <v>0</v>
      </c>
      <c r="AM666" s="8">
        <f>IF($O666="Aktif",MAX(0,MIN($AE666,$AD666-SUM($AG666:AL666))),0)</f>
        <v>0</v>
      </c>
      <c r="AN666" s="8">
        <f>IF($O666="Aktif",MAX(0,MIN($AE666,$AD666-SUM($AG666:AM666))),0)</f>
        <v>0</v>
      </c>
      <c r="AO666" s="8">
        <f>IF($O666="Aktif",MAX(0,MIN($AE666,$AD666-SUM($AG666:AN666))),0)</f>
        <v>0</v>
      </c>
      <c r="AP666" s="8">
        <f>IF($O666="Aktif",MAX(0,MIN($AE666,$AD666-SUM($AG666:AO666))),0)</f>
        <v>0</v>
      </c>
      <c r="AQ666" s="8">
        <f>IF($O666="Aktif",MAX(0,MIN($AE666,$AD666-SUM($AG666:AP666))),0)</f>
        <v>0</v>
      </c>
      <c r="AR666" s="8">
        <f>IF($O666="Aktif",MAX(0,MIN($AE666,$AD666-SUM($AG666:AQ666))),0)</f>
        <v>0</v>
      </c>
      <c r="AS666" s="8">
        <f>IF($O666="Aktif",MAX(0,MIN($AE666,$AD666-SUM($AG666:AR666))),0)</f>
        <v>0</v>
      </c>
      <c r="AT666" s="8">
        <f>IF($O666="Aktif",MAX(0,MIN($AE666,$AD666-SUM($AG666:AS666))),0)</f>
        <v>0</v>
      </c>
      <c r="AU666" s="8">
        <f>IF($O666="Aktif",MAX(0,MIN($AE666,$AD666-SUM($AG666:AT666))),0)</f>
        <v>0</v>
      </c>
      <c r="AV666" s="8">
        <f>IF($O666="Aktif",MAX(0,MIN($AE666,$AD666-SUM($AG666:AU666))),0)</f>
        <v>0</v>
      </c>
      <c r="AW666" s="8">
        <f t="shared" si="75"/>
        <v>0</v>
      </c>
      <c r="AX666" s="8">
        <f t="shared" si="76"/>
        <v>0</v>
      </c>
    </row>
    <row r="667" spans="1:50" ht="15" customHeight="1" x14ac:dyDescent="0.35">
      <c r="A667" s="102">
        <v>661</v>
      </c>
      <c r="B667" s="102" t="s">
        <v>1326</v>
      </c>
      <c r="C667" s="103">
        <v>295</v>
      </c>
      <c r="D667" s="102" t="s">
        <v>185</v>
      </c>
      <c r="E667" s="102" t="s">
        <v>587</v>
      </c>
      <c r="F667" s="102" t="s">
        <v>1327</v>
      </c>
      <c r="G667" s="102" t="s">
        <v>1328</v>
      </c>
      <c r="H667" s="102" t="s">
        <v>1329</v>
      </c>
      <c r="I667" s="102" t="s">
        <v>63</v>
      </c>
      <c r="J667" s="102" t="s">
        <v>2137</v>
      </c>
      <c r="K667" s="102" t="s">
        <v>591</v>
      </c>
      <c r="L667" s="104">
        <v>42940</v>
      </c>
      <c r="M667" s="102" t="s">
        <v>2138</v>
      </c>
      <c r="N667" s="102" t="s">
        <v>2139</v>
      </c>
      <c r="O667" s="102" t="s">
        <v>383</v>
      </c>
      <c r="P667" s="103">
        <v>1</v>
      </c>
      <c r="Q667" s="105">
        <v>6015000</v>
      </c>
      <c r="R667" s="103">
        <v>48</v>
      </c>
      <c r="S667" s="105">
        <v>125312.5</v>
      </c>
      <c r="T667" s="105">
        <v>6015000</v>
      </c>
      <c r="U667" s="105">
        <v>0</v>
      </c>
      <c r="V667" s="105">
        <v>0</v>
      </c>
      <c r="W667" s="105">
        <v>0</v>
      </c>
      <c r="X667" s="105">
        <v>0</v>
      </c>
      <c r="Y667" s="105">
        <v>0</v>
      </c>
      <c r="Z667" s="105">
        <v>0</v>
      </c>
      <c r="AA667" s="105">
        <v>0</v>
      </c>
      <c r="AB667" s="105">
        <v>0</v>
      </c>
      <c r="AC667" s="8">
        <f t="shared" si="70"/>
        <v>6015000</v>
      </c>
      <c r="AD667" s="8">
        <f t="shared" si="71"/>
        <v>0</v>
      </c>
      <c r="AE667" s="8">
        <f t="shared" si="72"/>
        <v>0</v>
      </c>
      <c r="AF667" s="106">
        <f t="shared" si="73"/>
        <v>0</v>
      </c>
      <c r="AG667" s="8">
        <f t="shared" si="74"/>
        <v>0</v>
      </c>
      <c r="AH667" s="8">
        <f>IF($O667="Aktif",MAX(0,MIN($AE667,$AD667-SUM($AG667:AG667))),0)</f>
        <v>0</v>
      </c>
      <c r="AI667" s="8">
        <f>IF($O667="Aktif",MAX(0,MIN($AE667,$AD667-SUM($AG667:AH667))),0)</f>
        <v>0</v>
      </c>
      <c r="AJ667" s="8">
        <f>IF($O667="Aktif",MAX(0,MIN($AE667,$AD667-SUM($AG667:AI667))),0)</f>
        <v>0</v>
      </c>
      <c r="AK667" s="8">
        <f>IF($O667="Aktif",MAX(0,MIN($AE667,$AD667-SUM($AG667:AJ667))),0)</f>
        <v>0</v>
      </c>
      <c r="AL667" s="8">
        <f>IF($O667="Aktif",MAX(0,MIN($AE667,$AD667-SUM($AG667:AK667))),0)</f>
        <v>0</v>
      </c>
      <c r="AM667" s="8">
        <f>IF($O667="Aktif",MAX(0,MIN($AE667,$AD667-SUM($AG667:AL667))),0)</f>
        <v>0</v>
      </c>
      <c r="AN667" s="8">
        <f>IF($O667="Aktif",MAX(0,MIN($AE667,$AD667-SUM($AG667:AM667))),0)</f>
        <v>0</v>
      </c>
      <c r="AO667" s="8">
        <f>IF($O667="Aktif",MAX(0,MIN($AE667,$AD667-SUM($AG667:AN667))),0)</f>
        <v>0</v>
      </c>
      <c r="AP667" s="8">
        <f>IF($O667="Aktif",MAX(0,MIN($AE667,$AD667-SUM($AG667:AO667))),0)</f>
        <v>0</v>
      </c>
      <c r="AQ667" s="8">
        <f>IF($O667="Aktif",MAX(0,MIN($AE667,$AD667-SUM($AG667:AP667))),0)</f>
        <v>0</v>
      </c>
      <c r="AR667" s="8">
        <f>IF($O667="Aktif",MAX(0,MIN($AE667,$AD667-SUM($AG667:AQ667))),0)</f>
        <v>0</v>
      </c>
      <c r="AS667" s="8">
        <f>IF($O667="Aktif",MAX(0,MIN($AE667,$AD667-SUM($AG667:AR667))),0)</f>
        <v>0</v>
      </c>
      <c r="AT667" s="8">
        <f>IF($O667="Aktif",MAX(0,MIN($AE667,$AD667-SUM($AG667:AS667))),0)</f>
        <v>0</v>
      </c>
      <c r="AU667" s="8">
        <f>IF($O667="Aktif",MAX(0,MIN($AE667,$AD667-SUM($AG667:AT667))),0)</f>
        <v>0</v>
      </c>
      <c r="AV667" s="8">
        <f>IF($O667="Aktif",MAX(0,MIN($AE667,$AD667-SUM($AG667:AU667))),0)</f>
        <v>0</v>
      </c>
      <c r="AW667" s="8">
        <f t="shared" si="75"/>
        <v>0</v>
      </c>
      <c r="AX667" s="8">
        <f t="shared" si="76"/>
        <v>0</v>
      </c>
    </row>
    <row r="668" spans="1:50" ht="15" customHeight="1" x14ac:dyDescent="0.35">
      <c r="A668" s="102">
        <v>662</v>
      </c>
      <c r="B668" s="102" t="s">
        <v>1326</v>
      </c>
      <c r="C668" s="103">
        <v>296</v>
      </c>
      <c r="D668" s="102" t="s">
        <v>185</v>
      </c>
      <c r="E668" s="102" t="s">
        <v>587</v>
      </c>
      <c r="F668" s="102" t="s">
        <v>1327</v>
      </c>
      <c r="G668" s="102" t="s">
        <v>1328</v>
      </c>
      <c r="H668" s="102" t="s">
        <v>1329</v>
      </c>
      <c r="I668" s="102" t="s">
        <v>63</v>
      </c>
      <c r="J668" s="102" t="s">
        <v>2140</v>
      </c>
      <c r="K668" s="102" t="s">
        <v>591</v>
      </c>
      <c r="L668" s="104">
        <v>42944</v>
      </c>
      <c r="M668" s="102" t="s">
        <v>2141</v>
      </c>
      <c r="N668" s="102" t="s">
        <v>2142</v>
      </c>
      <c r="O668" s="102" t="s">
        <v>383</v>
      </c>
      <c r="P668" s="103">
        <v>80</v>
      </c>
      <c r="Q668" s="105">
        <v>28000000</v>
      </c>
      <c r="R668" s="103">
        <v>48</v>
      </c>
      <c r="S668" s="105">
        <v>583333.33333333302</v>
      </c>
      <c r="T668" s="105">
        <v>28000000</v>
      </c>
      <c r="U668" s="105">
        <v>0</v>
      </c>
      <c r="V668" s="105">
        <v>0</v>
      </c>
      <c r="W668" s="105">
        <v>0</v>
      </c>
      <c r="X668" s="105">
        <v>0</v>
      </c>
      <c r="Y668" s="105">
        <v>0</v>
      </c>
      <c r="Z668" s="105">
        <v>0</v>
      </c>
      <c r="AA668" s="105">
        <v>0</v>
      </c>
      <c r="AB668" s="105">
        <v>0</v>
      </c>
      <c r="AC668" s="8">
        <f t="shared" si="70"/>
        <v>28000000</v>
      </c>
      <c r="AD668" s="8">
        <f t="shared" si="71"/>
        <v>0</v>
      </c>
      <c r="AE668" s="8">
        <f t="shared" si="72"/>
        <v>0</v>
      </c>
      <c r="AF668" s="106">
        <f t="shared" si="73"/>
        <v>0</v>
      </c>
      <c r="AG668" s="8">
        <f t="shared" si="74"/>
        <v>0</v>
      </c>
      <c r="AH668" s="8">
        <f>IF($O668="Aktif",MAX(0,MIN($AE668,$AD668-SUM($AG668:AG668))),0)</f>
        <v>0</v>
      </c>
      <c r="AI668" s="8">
        <f>IF($O668="Aktif",MAX(0,MIN($AE668,$AD668-SUM($AG668:AH668))),0)</f>
        <v>0</v>
      </c>
      <c r="AJ668" s="8">
        <f>IF($O668="Aktif",MAX(0,MIN($AE668,$AD668-SUM($AG668:AI668))),0)</f>
        <v>0</v>
      </c>
      <c r="AK668" s="8">
        <f>IF($O668="Aktif",MAX(0,MIN($AE668,$AD668-SUM($AG668:AJ668))),0)</f>
        <v>0</v>
      </c>
      <c r="AL668" s="8">
        <f>IF($O668="Aktif",MAX(0,MIN($AE668,$AD668-SUM($AG668:AK668))),0)</f>
        <v>0</v>
      </c>
      <c r="AM668" s="8">
        <f>IF($O668="Aktif",MAX(0,MIN($AE668,$AD668-SUM($AG668:AL668))),0)</f>
        <v>0</v>
      </c>
      <c r="AN668" s="8">
        <f>IF($O668="Aktif",MAX(0,MIN($AE668,$AD668-SUM($AG668:AM668))),0)</f>
        <v>0</v>
      </c>
      <c r="AO668" s="8">
        <f>IF($O668="Aktif",MAX(0,MIN($AE668,$AD668-SUM($AG668:AN668))),0)</f>
        <v>0</v>
      </c>
      <c r="AP668" s="8">
        <f>IF($O668="Aktif",MAX(0,MIN($AE668,$AD668-SUM($AG668:AO668))),0)</f>
        <v>0</v>
      </c>
      <c r="AQ668" s="8">
        <f>IF($O668="Aktif",MAX(0,MIN($AE668,$AD668-SUM($AG668:AP668))),0)</f>
        <v>0</v>
      </c>
      <c r="AR668" s="8">
        <f>IF($O668="Aktif",MAX(0,MIN($AE668,$AD668-SUM($AG668:AQ668))),0)</f>
        <v>0</v>
      </c>
      <c r="AS668" s="8">
        <f>IF($O668="Aktif",MAX(0,MIN($AE668,$AD668-SUM($AG668:AR668))),0)</f>
        <v>0</v>
      </c>
      <c r="AT668" s="8">
        <f>IF($O668="Aktif",MAX(0,MIN($AE668,$AD668-SUM($AG668:AS668))),0)</f>
        <v>0</v>
      </c>
      <c r="AU668" s="8">
        <f>IF($O668="Aktif",MAX(0,MIN($AE668,$AD668-SUM($AG668:AT668))),0)</f>
        <v>0</v>
      </c>
      <c r="AV668" s="8">
        <f>IF($O668="Aktif",MAX(0,MIN($AE668,$AD668-SUM($AG668:AU668))),0)</f>
        <v>0</v>
      </c>
      <c r="AW668" s="8">
        <f t="shared" si="75"/>
        <v>0</v>
      </c>
      <c r="AX668" s="8">
        <f t="shared" si="76"/>
        <v>0</v>
      </c>
    </row>
    <row r="669" spans="1:50" ht="15" customHeight="1" x14ac:dyDescent="0.35">
      <c r="A669" s="102">
        <v>663</v>
      </c>
      <c r="B669" s="102" t="s">
        <v>1326</v>
      </c>
      <c r="C669" s="103">
        <v>297</v>
      </c>
      <c r="D669" s="102" t="s">
        <v>185</v>
      </c>
      <c r="E669" s="102" t="s">
        <v>587</v>
      </c>
      <c r="F669" s="102" t="s">
        <v>1327</v>
      </c>
      <c r="G669" s="102" t="s">
        <v>1328</v>
      </c>
      <c r="H669" s="102" t="s">
        <v>1329</v>
      </c>
      <c r="I669" s="102" t="s">
        <v>63</v>
      </c>
      <c r="J669" s="102" t="s">
        <v>2143</v>
      </c>
      <c r="K669" s="102" t="s">
        <v>591</v>
      </c>
      <c r="L669" s="104">
        <v>42944</v>
      </c>
      <c r="M669" s="102" t="s">
        <v>2144</v>
      </c>
      <c r="N669" s="102" t="s">
        <v>2145</v>
      </c>
      <c r="O669" s="102" t="s">
        <v>383</v>
      </c>
      <c r="P669" s="103">
        <v>3</v>
      </c>
      <c r="Q669" s="105">
        <v>6000000</v>
      </c>
      <c r="R669" s="103">
        <v>48</v>
      </c>
      <c r="S669" s="105">
        <v>125000</v>
      </c>
      <c r="T669" s="105">
        <v>6000000</v>
      </c>
      <c r="U669" s="105">
        <v>0</v>
      </c>
      <c r="V669" s="105">
        <v>0</v>
      </c>
      <c r="W669" s="105">
        <v>0</v>
      </c>
      <c r="X669" s="105">
        <v>0</v>
      </c>
      <c r="Y669" s="105">
        <v>0</v>
      </c>
      <c r="Z669" s="105">
        <v>0</v>
      </c>
      <c r="AA669" s="105">
        <v>0</v>
      </c>
      <c r="AB669" s="105">
        <v>0</v>
      </c>
      <c r="AC669" s="8">
        <f t="shared" si="70"/>
        <v>6000000</v>
      </c>
      <c r="AD669" s="8">
        <f t="shared" si="71"/>
        <v>0</v>
      </c>
      <c r="AE669" s="8">
        <f t="shared" si="72"/>
        <v>0</v>
      </c>
      <c r="AF669" s="106">
        <f t="shared" si="73"/>
        <v>0</v>
      </c>
      <c r="AG669" s="8">
        <f t="shared" si="74"/>
        <v>0</v>
      </c>
      <c r="AH669" s="8">
        <f>IF($O669="Aktif",MAX(0,MIN($AE669,$AD669-SUM($AG669:AG669))),0)</f>
        <v>0</v>
      </c>
      <c r="AI669" s="8">
        <f>IF($O669="Aktif",MAX(0,MIN($AE669,$AD669-SUM($AG669:AH669))),0)</f>
        <v>0</v>
      </c>
      <c r="AJ669" s="8">
        <f>IF($O669="Aktif",MAX(0,MIN($AE669,$AD669-SUM($AG669:AI669))),0)</f>
        <v>0</v>
      </c>
      <c r="AK669" s="8">
        <f>IF($O669="Aktif",MAX(0,MIN($AE669,$AD669-SUM($AG669:AJ669))),0)</f>
        <v>0</v>
      </c>
      <c r="AL669" s="8">
        <f>IF($O669="Aktif",MAX(0,MIN($AE669,$AD669-SUM($AG669:AK669))),0)</f>
        <v>0</v>
      </c>
      <c r="AM669" s="8">
        <f>IF($O669="Aktif",MAX(0,MIN($AE669,$AD669-SUM($AG669:AL669))),0)</f>
        <v>0</v>
      </c>
      <c r="AN669" s="8">
        <f>IF($O669="Aktif",MAX(0,MIN($AE669,$AD669-SUM($AG669:AM669))),0)</f>
        <v>0</v>
      </c>
      <c r="AO669" s="8">
        <f>IF($O669="Aktif",MAX(0,MIN($AE669,$AD669-SUM($AG669:AN669))),0)</f>
        <v>0</v>
      </c>
      <c r="AP669" s="8">
        <f>IF($O669="Aktif",MAX(0,MIN($AE669,$AD669-SUM($AG669:AO669))),0)</f>
        <v>0</v>
      </c>
      <c r="AQ669" s="8">
        <f>IF($O669="Aktif",MAX(0,MIN($AE669,$AD669-SUM($AG669:AP669))),0)</f>
        <v>0</v>
      </c>
      <c r="AR669" s="8">
        <f>IF($O669="Aktif",MAX(0,MIN($AE669,$AD669-SUM($AG669:AQ669))),0)</f>
        <v>0</v>
      </c>
      <c r="AS669" s="8">
        <f>IF($O669="Aktif",MAX(0,MIN($AE669,$AD669-SUM($AG669:AR669))),0)</f>
        <v>0</v>
      </c>
      <c r="AT669" s="8">
        <f>IF($O669="Aktif",MAX(0,MIN($AE669,$AD669-SUM($AG669:AS669))),0)</f>
        <v>0</v>
      </c>
      <c r="AU669" s="8">
        <f>IF($O669="Aktif",MAX(0,MIN($AE669,$AD669-SUM($AG669:AT669))),0)</f>
        <v>0</v>
      </c>
      <c r="AV669" s="8">
        <f>IF($O669="Aktif",MAX(0,MIN($AE669,$AD669-SUM($AG669:AU669))),0)</f>
        <v>0</v>
      </c>
      <c r="AW669" s="8">
        <f t="shared" si="75"/>
        <v>0</v>
      </c>
      <c r="AX669" s="8">
        <f t="shared" si="76"/>
        <v>0</v>
      </c>
    </row>
    <row r="670" spans="1:50" ht="15" customHeight="1" x14ac:dyDescent="0.35">
      <c r="A670" s="102">
        <v>664</v>
      </c>
      <c r="B670" s="102" t="s">
        <v>1326</v>
      </c>
      <c r="C670" s="103">
        <v>298</v>
      </c>
      <c r="D670" s="102" t="s">
        <v>185</v>
      </c>
      <c r="E670" s="102" t="s">
        <v>587</v>
      </c>
      <c r="F670" s="102" t="s">
        <v>1327</v>
      </c>
      <c r="G670" s="102" t="s">
        <v>1328</v>
      </c>
      <c r="H670" s="102" t="s">
        <v>1329</v>
      </c>
      <c r="I670" s="102" t="s">
        <v>63</v>
      </c>
      <c r="J670" s="102" t="s">
        <v>2146</v>
      </c>
      <c r="K670" s="102" t="s">
        <v>591</v>
      </c>
      <c r="L670" s="104">
        <v>42947</v>
      </c>
      <c r="M670" s="102" t="s">
        <v>2147</v>
      </c>
      <c r="N670" s="102" t="s">
        <v>2148</v>
      </c>
      <c r="O670" s="102" t="s">
        <v>383</v>
      </c>
      <c r="P670" s="103">
        <v>40</v>
      </c>
      <c r="Q670" s="105">
        <v>16000000</v>
      </c>
      <c r="R670" s="103">
        <v>48</v>
      </c>
      <c r="S670" s="105">
        <v>333333.33333333302</v>
      </c>
      <c r="T670" s="105">
        <v>16000000</v>
      </c>
      <c r="U670" s="105">
        <v>0</v>
      </c>
      <c r="V670" s="105">
        <v>0</v>
      </c>
      <c r="W670" s="105">
        <v>0</v>
      </c>
      <c r="X670" s="105">
        <v>0</v>
      </c>
      <c r="Y670" s="105">
        <v>0</v>
      </c>
      <c r="Z670" s="105">
        <v>0</v>
      </c>
      <c r="AA670" s="105">
        <v>0</v>
      </c>
      <c r="AB670" s="105">
        <v>0</v>
      </c>
      <c r="AC670" s="8">
        <f t="shared" si="70"/>
        <v>16000000</v>
      </c>
      <c r="AD670" s="8">
        <f t="shared" si="71"/>
        <v>0</v>
      </c>
      <c r="AE670" s="8">
        <f t="shared" si="72"/>
        <v>0</v>
      </c>
      <c r="AF670" s="106">
        <f t="shared" si="73"/>
        <v>0</v>
      </c>
      <c r="AG670" s="8">
        <f t="shared" si="74"/>
        <v>0</v>
      </c>
      <c r="AH670" s="8">
        <f>IF($O670="Aktif",MAX(0,MIN($AE670,$AD670-SUM($AG670:AG670))),0)</f>
        <v>0</v>
      </c>
      <c r="AI670" s="8">
        <f>IF($O670="Aktif",MAX(0,MIN($AE670,$AD670-SUM($AG670:AH670))),0)</f>
        <v>0</v>
      </c>
      <c r="AJ670" s="8">
        <f>IF($O670="Aktif",MAX(0,MIN($AE670,$AD670-SUM($AG670:AI670))),0)</f>
        <v>0</v>
      </c>
      <c r="AK670" s="8">
        <f>IF($O670="Aktif",MAX(0,MIN($AE670,$AD670-SUM($AG670:AJ670))),0)</f>
        <v>0</v>
      </c>
      <c r="AL670" s="8">
        <f>IF($O670="Aktif",MAX(0,MIN($AE670,$AD670-SUM($AG670:AK670))),0)</f>
        <v>0</v>
      </c>
      <c r="AM670" s="8">
        <f>IF($O670="Aktif",MAX(0,MIN($AE670,$AD670-SUM($AG670:AL670))),0)</f>
        <v>0</v>
      </c>
      <c r="AN670" s="8">
        <f>IF($O670="Aktif",MAX(0,MIN($AE670,$AD670-SUM($AG670:AM670))),0)</f>
        <v>0</v>
      </c>
      <c r="AO670" s="8">
        <f>IF($O670="Aktif",MAX(0,MIN($AE670,$AD670-SUM($AG670:AN670))),0)</f>
        <v>0</v>
      </c>
      <c r="AP670" s="8">
        <f>IF($O670="Aktif",MAX(0,MIN($AE670,$AD670-SUM($AG670:AO670))),0)</f>
        <v>0</v>
      </c>
      <c r="AQ670" s="8">
        <f>IF($O670="Aktif",MAX(0,MIN($AE670,$AD670-SUM($AG670:AP670))),0)</f>
        <v>0</v>
      </c>
      <c r="AR670" s="8">
        <f>IF($O670="Aktif",MAX(0,MIN($AE670,$AD670-SUM($AG670:AQ670))),0)</f>
        <v>0</v>
      </c>
      <c r="AS670" s="8">
        <f>IF($O670="Aktif",MAX(0,MIN($AE670,$AD670-SUM($AG670:AR670))),0)</f>
        <v>0</v>
      </c>
      <c r="AT670" s="8">
        <f>IF($O670="Aktif",MAX(0,MIN($AE670,$AD670-SUM($AG670:AS670))),0)</f>
        <v>0</v>
      </c>
      <c r="AU670" s="8">
        <f>IF($O670="Aktif",MAX(0,MIN($AE670,$AD670-SUM($AG670:AT670))),0)</f>
        <v>0</v>
      </c>
      <c r="AV670" s="8">
        <f>IF($O670="Aktif",MAX(0,MIN($AE670,$AD670-SUM($AG670:AU670))),0)</f>
        <v>0</v>
      </c>
      <c r="AW670" s="8">
        <f t="shared" si="75"/>
        <v>0</v>
      </c>
      <c r="AX670" s="8">
        <f t="shared" si="76"/>
        <v>0</v>
      </c>
    </row>
    <row r="671" spans="1:50" ht="15" customHeight="1" x14ac:dyDescent="0.35">
      <c r="A671" s="102">
        <v>665</v>
      </c>
      <c r="B671" s="102" t="s">
        <v>1326</v>
      </c>
      <c r="C671" s="103">
        <v>299</v>
      </c>
      <c r="D671" s="102" t="s">
        <v>185</v>
      </c>
      <c r="E671" s="102" t="s">
        <v>587</v>
      </c>
      <c r="F671" s="102" t="s">
        <v>1327</v>
      </c>
      <c r="G671" s="102" t="s">
        <v>1328</v>
      </c>
      <c r="H671" s="102" t="s">
        <v>1329</v>
      </c>
      <c r="I671" s="102" t="s">
        <v>63</v>
      </c>
      <c r="J671" s="102" t="s">
        <v>2149</v>
      </c>
      <c r="K671" s="102" t="s">
        <v>591</v>
      </c>
      <c r="L671" s="104">
        <v>42951</v>
      </c>
      <c r="M671" s="102" t="s">
        <v>1829</v>
      </c>
      <c r="N671" s="102" t="s">
        <v>2150</v>
      </c>
      <c r="O671" s="102" t="s">
        <v>383</v>
      </c>
      <c r="P671" s="103">
        <v>50</v>
      </c>
      <c r="Q671" s="105">
        <v>17500000</v>
      </c>
      <c r="R671" s="103">
        <v>48</v>
      </c>
      <c r="S671" s="105">
        <v>364583.33333333302</v>
      </c>
      <c r="T671" s="105">
        <v>17500000</v>
      </c>
      <c r="U671" s="105">
        <v>0</v>
      </c>
      <c r="V671" s="105">
        <v>0</v>
      </c>
      <c r="W671" s="105">
        <v>0</v>
      </c>
      <c r="X671" s="105">
        <v>0</v>
      </c>
      <c r="Y671" s="105">
        <v>0</v>
      </c>
      <c r="Z671" s="105">
        <v>0</v>
      </c>
      <c r="AA671" s="105">
        <v>0</v>
      </c>
      <c r="AB671" s="105">
        <v>0</v>
      </c>
      <c r="AC671" s="8">
        <f t="shared" si="70"/>
        <v>17500000</v>
      </c>
      <c r="AD671" s="8">
        <f t="shared" si="71"/>
        <v>0</v>
      </c>
      <c r="AE671" s="8">
        <f t="shared" si="72"/>
        <v>0</v>
      </c>
      <c r="AF671" s="106">
        <f t="shared" si="73"/>
        <v>0</v>
      </c>
      <c r="AG671" s="8">
        <f t="shared" si="74"/>
        <v>0</v>
      </c>
      <c r="AH671" s="8">
        <f>IF($O671="Aktif",MAX(0,MIN($AE671,$AD671-SUM($AG671:AG671))),0)</f>
        <v>0</v>
      </c>
      <c r="AI671" s="8">
        <f>IF($O671="Aktif",MAX(0,MIN($AE671,$AD671-SUM($AG671:AH671))),0)</f>
        <v>0</v>
      </c>
      <c r="AJ671" s="8">
        <f>IF($O671="Aktif",MAX(0,MIN($AE671,$AD671-SUM($AG671:AI671))),0)</f>
        <v>0</v>
      </c>
      <c r="AK671" s="8">
        <f>IF($O671="Aktif",MAX(0,MIN($AE671,$AD671-SUM($AG671:AJ671))),0)</f>
        <v>0</v>
      </c>
      <c r="AL671" s="8">
        <f>IF($O671="Aktif",MAX(0,MIN($AE671,$AD671-SUM($AG671:AK671))),0)</f>
        <v>0</v>
      </c>
      <c r="AM671" s="8">
        <f>IF($O671="Aktif",MAX(0,MIN($AE671,$AD671-SUM($AG671:AL671))),0)</f>
        <v>0</v>
      </c>
      <c r="AN671" s="8">
        <f>IF($O671="Aktif",MAX(0,MIN($AE671,$AD671-SUM($AG671:AM671))),0)</f>
        <v>0</v>
      </c>
      <c r="AO671" s="8">
        <f>IF($O671="Aktif",MAX(0,MIN($AE671,$AD671-SUM($AG671:AN671))),0)</f>
        <v>0</v>
      </c>
      <c r="AP671" s="8">
        <f>IF($O671="Aktif",MAX(0,MIN($AE671,$AD671-SUM($AG671:AO671))),0)</f>
        <v>0</v>
      </c>
      <c r="AQ671" s="8">
        <f>IF($O671="Aktif",MAX(0,MIN($AE671,$AD671-SUM($AG671:AP671))),0)</f>
        <v>0</v>
      </c>
      <c r="AR671" s="8">
        <f>IF($O671="Aktif",MAX(0,MIN($AE671,$AD671-SUM($AG671:AQ671))),0)</f>
        <v>0</v>
      </c>
      <c r="AS671" s="8">
        <f>IF($O671="Aktif",MAX(0,MIN($AE671,$AD671-SUM($AG671:AR671))),0)</f>
        <v>0</v>
      </c>
      <c r="AT671" s="8">
        <f>IF($O671="Aktif",MAX(0,MIN($AE671,$AD671-SUM($AG671:AS671))),0)</f>
        <v>0</v>
      </c>
      <c r="AU671" s="8">
        <f>IF($O671="Aktif",MAX(0,MIN($AE671,$AD671-SUM($AG671:AT671))),0)</f>
        <v>0</v>
      </c>
      <c r="AV671" s="8">
        <f>IF($O671="Aktif",MAX(0,MIN($AE671,$AD671-SUM($AG671:AU671))),0)</f>
        <v>0</v>
      </c>
      <c r="AW671" s="8">
        <f t="shared" si="75"/>
        <v>0</v>
      </c>
      <c r="AX671" s="8">
        <f t="shared" si="76"/>
        <v>0</v>
      </c>
    </row>
    <row r="672" spans="1:50" ht="15" customHeight="1" x14ac:dyDescent="0.35">
      <c r="A672" s="102">
        <v>666</v>
      </c>
      <c r="B672" s="102" t="s">
        <v>1326</v>
      </c>
      <c r="C672" s="103">
        <v>300</v>
      </c>
      <c r="D672" s="102" t="s">
        <v>185</v>
      </c>
      <c r="E672" s="102" t="s">
        <v>587</v>
      </c>
      <c r="F672" s="102" t="s">
        <v>1327</v>
      </c>
      <c r="G672" s="102" t="s">
        <v>1328</v>
      </c>
      <c r="H672" s="102" t="s">
        <v>1329</v>
      </c>
      <c r="I672" s="102" t="s">
        <v>63</v>
      </c>
      <c r="J672" s="102" t="s">
        <v>2151</v>
      </c>
      <c r="K672" s="102" t="s">
        <v>591</v>
      </c>
      <c r="L672" s="104">
        <v>42976</v>
      </c>
      <c r="M672" s="102" t="s">
        <v>2152</v>
      </c>
      <c r="N672" s="102" t="s">
        <v>2153</v>
      </c>
      <c r="O672" s="102" t="s">
        <v>383</v>
      </c>
      <c r="P672" s="103">
        <v>2</v>
      </c>
      <c r="Q672" s="105">
        <v>17438400</v>
      </c>
      <c r="R672" s="103">
        <v>48</v>
      </c>
      <c r="S672" s="105">
        <v>363300</v>
      </c>
      <c r="T672" s="105">
        <v>17438400</v>
      </c>
      <c r="U672" s="105">
        <v>0</v>
      </c>
      <c r="V672" s="105">
        <v>0</v>
      </c>
      <c r="W672" s="105">
        <v>0</v>
      </c>
      <c r="X672" s="105">
        <v>0</v>
      </c>
      <c r="Y672" s="105">
        <v>0</v>
      </c>
      <c r="Z672" s="105">
        <v>0</v>
      </c>
      <c r="AA672" s="105">
        <v>0</v>
      </c>
      <c r="AB672" s="105">
        <v>0</v>
      </c>
      <c r="AC672" s="8">
        <f t="shared" si="70"/>
        <v>17438400</v>
      </c>
      <c r="AD672" s="8">
        <f t="shared" si="71"/>
        <v>0</v>
      </c>
      <c r="AE672" s="8">
        <f t="shared" si="72"/>
        <v>0</v>
      </c>
      <c r="AF672" s="106">
        <f t="shared" si="73"/>
        <v>0</v>
      </c>
      <c r="AG672" s="8">
        <f t="shared" si="74"/>
        <v>0</v>
      </c>
      <c r="AH672" s="8">
        <f>IF($O672="Aktif",MAX(0,MIN($AE672,$AD672-SUM($AG672:AG672))),0)</f>
        <v>0</v>
      </c>
      <c r="AI672" s="8">
        <f>IF($O672="Aktif",MAX(0,MIN($AE672,$AD672-SUM($AG672:AH672))),0)</f>
        <v>0</v>
      </c>
      <c r="AJ672" s="8">
        <f>IF($O672="Aktif",MAX(0,MIN($AE672,$AD672-SUM($AG672:AI672))),0)</f>
        <v>0</v>
      </c>
      <c r="AK672" s="8">
        <f>IF($O672="Aktif",MAX(0,MIN($AE672,$AD672-SUM($AG672:AJ672))),0)</f>
        <v>0</v>
      </c>
      <c r="AL672" s="8">
        <f>IF($O672="Aktif",MAX(0,MIN($AE672,$AD672-SUM($AG672:AK672))),0)</f>
        <v>0</v>
      </c>
      <c r="AM672" s="8">
        <f>IF($O672="Aktif",MAX(0,MIN($AE672,$AD672-SUM($AG672:AL672))),0)</f>
        <v>0</v>
      </c>
      <c r="AN672" s="8">
        <f>IF($O672="Aktif",MAX(0,MIN($AE672,$AD672-SUM($AG672:AM672))),0)</f>
        <v>0</v>
      </c>
      <c r="AO672" s="8">
        <f>IF($O672="Aktif",MAX(0,MIN($AE672,$AD672-SUM($AG672:AN672))),0)</f>
        <v>0</v>
      </c>
      <c r="AP672" s="8">
        <f>IF($O672="Aktif",MAX(0,MIN($AE672,$AD672-SUM($AG672:AO672))),0)</f>
        <v>0</v>
      </c>
      <c r="AQ672" s="8">
        <f>IF($O672="Aktif",MAX(0,MIN($AE672,$AD672-SUM($AG672:AP672))),0)</f>
        <v>0</v>
      </c>
      <c r="AR672" s="8">
        <f>IF($O672="Aktif",MAX(0,MIN($AE672,$AD672-SUM($AG672:AQ672))),0)</f>
        <v>0</v>
      </c>
      <c r="AS672" s="8">
        <f>IF($O672="Aktif",MAX(0,MIN($AE672,$AD672-SUM($AG672:AR672))),0)</f>
        <v>0</v>
      </c>
      <c r="AT672" s="8">
        <f>IF($O672="Aktif",MAX(0,MIN($AE672,$AD672-SUM($AG672:AS672))),0)</f>
        <v>0</v>
      </c>
      <c r="AU672" s="8">
        <f>IF($O672="Aktif",MAX(0,MIN($AE672,$AD672-SUM($AG672:AT672))),0)</f>
        <v>0</v>
      </c>
      <c r="AV672" s="8">
        <f>IF($O672="Aktif",MAX(0,MIN($AE672,$AD672-SUM($AG672:AU672))),0)</f>
        <v>0</v>
      </c>
      <c r="AW672" s="8">
        <f t="shared" si="75"/>
        <v>0</v>
      </c>
      <c r="AX672" s="8">
        <f t="shared" si="76"/>
        <v>0</v>
      </c>
    </row>
    <row r="673" spans="1:50" ht="15" customHeight="1" x14ac:dyDescent="0.35">
      <c r="A673" s="102">
        <v>667</v>
      </c>
      <c r="B673" s="102" t="s">
        <v>1326</v>
      </c>
      <c r="C673" s="103">
        <v>301</v>
      </c>
      <c r="D673" s="102" t="s">
        <v>185</v>
      </c>
      <c r="E673" s="102" t="s">
        <v>587</v>
      </c>
      <c r="F673" s="102" t="s">
        <v>1327</v>
      </c>
      <c r="G673" s="102" t="s">
        <v>1328</v>
      </c>
      <c r="H673" s="102" t="s">
        <v>1329</v>
      </c>
      <c r="I673" s="102" t="s">
        <v>63</v>
      </c>
      <c r="J673" s="102" t="s">
        <v>2154</v>
      </c>
      <c r="K673" s="102" t="s">
        <v>591</v>
      </c>
      <c r="L673" s="104">
        <v>42983</v>
      </c>
      <c r="M673" s="102" t="s">
        <v>2155</v>
      </c>
      <c r="N673" s="102" t="s">
        <v>2156</v>
      </c>
      <c r="O673" s="102" t="s">
        <v>383</v>
      </c>
      <c r="P673" s="103">
        <v>1</v>
      </c>
      <c r="Q673" s="105">
        <v>7483400</v>
      </c>
      <c r="R673" s="103">
        <v>48</v>
      </c>
      <c r="S673" s="105">
        <v>155904.16666666701</v>
      </c>
      <c r="T673" s="105">
        <v>7483400</v>
      </c>
      <c r="U673" s="105">
        <v>0</v>
      </c>
      <c r="V673" s="105">
        <v>0</v>
      </c>
      <c r="W673" s="105">
        <v>0</v>
      </c>
      <c r="X673" s="105">
        <v>0</v>
      </c>
      <c r="Y673" s="105">
        <v>0</v>
      </c>
      <c r="Z673" s="105">
        <v>0</v>
      </c>
      <c r="AA673" s="105">
        <v>0</v>
      </c>
      <c r="AB673" s="105">
        <v>0</v>
      </c>
      <c r="AC673" s="8">
        <f t="shared" si="70"/>
        <v>7483400</v>
      </c>
      <c r="AD673" s="8">
        <f t="shared" si="71"/>
        <v>0</v>
      </c>
      <c r="AE673" s="8">
        <f t="shared" si="72"/>
        <v>0</v>
      </c>
      <c r="AF673" s="106">
        <f t="shared" si="73"/>
        <v>0</v>
      </c>
      <c r="AG673" s="8">
        <f t="shared" si="74"/>
        <v>0</v>
      </c>
      <c r="AH673" s="8">
        <f>IF($O673="Aktif",MAX(0,MIN($AE673,$AD673-SUM($AG673:AG673))),0)</f>
        <v>0</v>
      </c>
      <c r="AI673" s="8">
        <f>IF($O673="Aktif",MAX(0,MIN($AE673,$AD673-SUM($AG673:AH673))),0)</f>
        <v>0</v>
      </c>
      <c r="AJ673" s="8">
        <f>IF($O673="Aktif",MAX(0,MIN($AE673,$AD673-SUM($AG673:AI673))),0)</f>
        <v>0</v>
      </c>
      <c r="AK673" s="8">
        <f>IF($O673="Aktif",MAX(0,MIN($AE673,$AD673-SUM($AG673:AJ673))),0)</f>
        <v>0</v>
      </c>
      <c r="AL673" s="8">
        <f>IF($O673="Aktif",MAX(0,MIN($AE673,$AD673-SUM($AG673:AK673))),0)</f>
        <v>0</v>
      </c>
      <c r="AM673" s="8">
        <f>IF($O673="Aktif",MAX(0,MIN($AE673,$AD673-SUM($AG673:AL673))),0)</f>
        <v>0</v>
      </c>
      <c r="AN673" s="8">
        <f>IF($O673="Aktif",MAX(0,MIN($AE673,$AD673-SUM($AG673:AM673))),0)</f>
        <v>0</v>
      </c>
      <c r="AO673" s="8">
        <f>IF($O673="Aktif",MAX(0,MIN($AE673,$AD673-SUM($AG673:AN673))),0)</f>
        <v>0</v>
      </c>
      <c r="AP673" s="8">
        <f>IF($O673="Aktif",MAX(0,MIN($AE673,$AD673-SUM($AG673:AO673))),0)</f>
        <v>0</v>
      </c>
      <c r="AQ673" s="8">
        <f>IF($O673="Aktif",MAX(0,MIN($AE673,$AD673-SUM($AG673:AP673))),0)</f>
        <v>0</v>
      </c>
      <c r="AR673" s="8">
        <f>IF($O673="Aktif",MAX(0,MIN($AE673,$AD673-SUM($AG673:AQ673))),0)</f>
        <v>0</v>
      </c>
      <c r="AS673" s="8">
        <f>IF($O673="Aktif",MAX(0,MIN($AE673,$AD673-SUM($AG673:AR673))),0)</f>
        <v>0</v>
      </c>
      <c r="AT673" s="8">
        <f>IF($O673="Aktif",MAX(0,MIN($AE673,$AD673-SUM($AG673:AS673))),0)</f>
        <v>0</v>
      </c>
      <c r="AU673" s="8">
        <f>IF($O673="Aktif",MAX(0,MIN($AE673,$AD673-SUM($AG673:AT673))),0)</f>
        <v>0</v>
      </c>
      <c r="AV673" s="8">
        <f>IF($O673="Aktif",MAX(0,MIN($AE673,$AD673-SUM($AG673:AU673))),0)</f>
        <v>0</v>
      </c>
      <c r="AW673" s="8">
        <f t="shared" si="75"/>
        <v>0</v>
      </c>
      <c r="AX673" s="8">
        <f t="shared" si="76"/>
        <v>0</v>
      </c>
    </row>
    <row r="674" spans="1:50" ht="15" customHeight="1" x14ac:dyDescent="0.35">
      <c r="A674" s="102">
        <v>668</v>
      </c>
      <c r="B674" s="102" t="s">
        <v>1326</v>
      </c>
      <c r="C674" s="103">
        <v>302</v>
      </c>
      <c r="D674" s="102" t="s">
        <v>185</v>
      </c>
      <c r="E674" s="102" t="s">
        <v>587</v>
      </c>
      <c r="F674" s="102" t="s">
        <v>1327</v>
      </c>
      <c r="G674" s="102" t="s">
        <v>1328</v>
      </c>
      <c r="H674" s="102" t="s">
        <v>1329</v>
      </c>
      <c r="I674" s="102" t="s">
        <v>63</v>
      </c>
      <c r="J674" s="102" t="s">
        <v>2157</v>
      </c>
      <c r="K674" s="102" t="s">
        <v>591</v>
      </c>
      <c r="L674" s="104">
        <v>42983</v>
      </c>
      <c r="M674" s="102" t="s">
        <v>2158</v>
      </c>
      <c r="N674" s="102" t="s">
        <v>2159</v>
      </c>
      <c r="O674" s="102" t="s">
        <v>383</v>
      </c>
      <c r="P674" s="103">
        <v>1</v>
      </c>
      <c r="Q674" s="105">
        <v>4150000</v>
      </c>
      <c r="R674" s="103">
        <v>48</v>
      </c>
      <c r="S674" s="105">
        <v>86458.333333333299</v>
      </c>
      <c r="T674" s="105">
        <v>4150000</v>
      </c>
      <c r="U674" s="105">
        <v>0</v>
      </c>
      <c r="V674" s="105">
        <v>0</v>
      </c>
      <c r="W674" s="105">
        <v>0</v>
      </c>
      <c r="X674" s="105">
        <v>0</v>
      </c>
      <c r="Y674" s="105">
        <v>0</v>
      </c>
      <c r="Z674" s="105">
        <v>0</v>
      </c>
      <c r="AA674" s="105">
        <v>0</v>
      </c>
      <c r="AB674" s="105">
        <v>0</v>
      </c>
      <c r="AC674" s="8">
        <f t="shared" si="70"/>
        <v>4150000</v>
      </c>
      <c r="AD674" s="8">
        <f t="shared" si="71"/>
        <v>0</v>
      </c>
      <c r="AE674" s="8">
        <f t="shared" si="72"/>
        <v>0</v>
      </c>
      <c r="AF674" s="106">
        <f t="shared" si="73"/>
        <v>0</v>
      </c>
      <c r="AG674" s="8">
        <f t="shared" si="74"/>
        <v>0</v>
      </c>
      <c r="AH674" s="8">
        <f>IF($O674="Aktif",MAX(0,MIN($AE674,$AD674-SUM($AG674:AG674))),0)</f>
        <v>0</v>
      </c>
      <c r="AI674" s="8">
        <f>IF($O674="Aktif",MAX(0,MIN($AE674,$AD674-SUM($AG674:AH674))),0)</f>
        <v>0</v>
      </c>
      <c r="AJ674" s="8">
        <f>IF($O674="Aktif",MAX(0,MIN($AE674,$AD674-SUM($AG674:AI674))),0)</f>
        <v>0</v>
      </c>
      <c r="AK674" s="8">
        <f>IF($O674="Aktif",MAX(0,MIN($AE674,$AD674-SUM($AG674:AJ674))),0)</f>
        <v>0</v>
      </c>
      <c r="AL674" s="8">
        <f>IF($O674="Aktif",MAX(0,MIN($AE674,$AD674-SUM($AG674:AK674))),0)</f>
        <v>0</v>
      </c>
      <c r="AM674" s="8">
        <f>IF($O674="Aktif",MAX(0,MIN($AE674,$AD674-SUM($AG674:AL674))),0)</f>
        <v>0</v>
      </c>
      <c r="AN674" s="8">
        <f>IF($O674="Aktif",MAX(0,MIN($AE674,$AD674-SUM($AG674:AM674))),0)</f>
        <v>0</v>
      </c>
      <c r="AO674" s="8">
        <f>IF($O674="Aktif",MAX(0,MIN($AE674,$AD674-SUM($AG674:AN674))),0)</f>
        <v>0</v>
      </c>
      <c r="AP674" s="8">
        <f>IF($O674="Aktif",MAX(0,MIN($AE674,$AD674-SUM($AG674:AO674))),0)</f>
        <v>0</v>
      </c>
      <c r="AQ674" s="8">
        <f>IF($O674="Aktif",MAX(0,MIN($AE674,$AD674-SUM($AG674:AP674))),0)</f>
        <v>0</v>
      </c>
      <c r="AR674" s="8">
        <f>IF($O674="Aktif",MAX(0,MIN($AE674,$AD674-SUM($AG674:AQ674))),0)</f>
        <v>0</v>
      </c>
      <c r="AS674" s="8">
        <f>IF($O674="Aktif",MAX(0,MIN($AE674,$AD674-SUM($AG674:AR674))),0)</f>
        <v>0</v>
      </c>
      <c r="AT674" s="8">
        <f>IF($O674="Aktif",MAX(0,MIN($AE674,$AD674-SUM($AG674:AS674))),0)</f>
        <v>0</v>
      </c>
      <c r="AU674" s="8">
        <f>IF($O674="Aktif",MAX(0,MIN($AE674,$AD674-SUM($AG674:AT674))),0)</f>
        <v>0</v>
      </c>
      <c r="AV674" s="8">
        <f>IF($O674="Aktif",MAX(0,MIN($AE674,$AD674-SUM($AG674:AU674))),0)</f>
        <v>0</v>
      </c>
      <c r="AW674" s="8">
        <f t="shared" si="75"/>
        <v>0</v>
      </c>
      <c r="AX674" s="8">
        <f t="shared" si="76"/>
        <v>0</v>
      </c>
    </row>
    <row r="675" spans="1:50" ht="15" customHeight="1" x14ac:dyDescent="0.35">
      <c r="A675" s="102">
        <v>669</v>
      </c>
      <c r="B675" s="102" t="s">
        <v>1326</v>
      </c>
      <c r="C675" s="103">
        <v>303</v>
      </c>
      <c r="D675" s="102" t="s">
        <v>185</v>
      </c>
      <c r="E675" s="102" t="s">
        <v>587</v>
      </c>
      <c r="F675" s="102" t="s">
        <v>1327</v>
      </c>
      <c r="G675" s="102" t="s">
        <v>1328</v>
      </c>
      <c r="H675" s="102" t="s">
        <v>1329</v>
      </c>
      <c r="I675" s="102" t="s">
        <v>63</v>
      </c>
      <c r="J675" s="102" t="s">
        <v>2160</v>
      </c>
      <c r="K675" s="102" t="s">
        <v>591</v>
      </c>
      <c r="L675" s="104">
        <v>42983</v>
      </c>
      <c r="M675" s="102" t="s">
        <v>2161</v>
      </c>
      <c r="N675" s="102" t="s">
        <v>2162</v>
      </c>
      <c r="O675" s="102" t="s">
        <v>383</v>
      </c>
      <c r="P675" s="103">
        <v>1</v>
      </c>
      <c r="Q675" s="105">
        <v>5090910</v>
      </c>
      <c r="R675" s="103">
        <v>48</v>
      </c>
      <c r="S675" s="105">
        <v>106060.625</v>
      </c>
      <c r="T675" s="105">
        <v>5090910</v>
      </c>
      <c r="U675" s="105">
        <v>0</v>
      </c>
      <c r="V675" s="105">
        <v>0</v>
      </c>
      <c r="W675" s="105">
        <v>0</v>
      </c>
      <c r="X675" s="105">
        <v>0</v>
      </c>
      <c r="Y675" s="105">
        <v>0</v>
      </c>
      <c r="Z675" s="105">
        <v>0</v>
      </c>
      <c r="AA675" s="105">
        <v>0</v>
      </c>
      <c r="AB675" s="105">
        <v>0</v>
      </c>
      <c r="AC675" s="8">
        <f t="shared" si="70"/>
        <v>5090910</v>
      </c>
      <c r="AD675" s="8">
        <f t="shared" si="71"/>
        <v>0</v>
      </c>
      <c r="AE675" s="8">
        <f t="shared" si="72"/>
        <v>0</v>
      </c>
      <c r="AF675" s="106">
        <f t="shared" si="73"/>
        <v>0</v>
      </c>
      <c r="AG675" s="8">
        <f t="shared" si="74"/>
        <v>0</v>
      </c>
      <c r="AH675" s="8">
        <f>IF($O675="Aktif",MAX(0,MIN($AE675,$AD675-SUM($AG675:AG675))),0)</f>
        <v>0</v>
      </c>
      <c r="AI675" s="8">
        <f>IF($O675="Aktif",MAX(0,MIN($AE675,$AD675-SUM($AG675:AH675))),0)</f>
        <v>0</v>
      </c>
      <c r="AJ675" s="8">
        <f>IF($O675="Aktif",MAX(0,MIN($AE675,$AD675-SUM($AG675:AI675))),0)</f>
        <v>0</v>
      </c>
      <c r="AK675" s="8">
        <f>IF($O675="Aktif",MAX(0,MIN($AE675,$AD675-SUM($AG675:AJ675))),0)</f>
        <v>0</v>
      </c>
      <c r="AL675" s="8">
        <f>IF($O675="Aktif",MAX(0,MIN($AE675,$AD675-SUM($AG675:AK675))),0)</f>
        <v>0</v>
      </c>
      <c r="AM675" s="8">
        <f>IF($O675="Aktif",MAX(0,MIN($AE675,$AD675-SUM($AG675:AL675))),0)</f>
        <v>0</v>
      </c>
      <c r="AN675" s="8">
        <f>IF($O675="Aktif",MAX(0,MIN($AE675,$AD675-SUM($AG675:AM675))),0)</f>
        <v>0</v>
      </c>
      <c r="AO675" s="8">
        <f>IF($O675="Aktif",MAX(0,MIN($AE675,$AD675-SUM($AG675:AN675))),0)</f>
        <v>0</v>
      </c>
      <c r="AP675" s="8">
        <f>IF($O675="Aktif",MAX(0,MIN($AE675,$AD675-SUM($AG675:AO675))),0)</f>
        <v>0</v>
      </c>
      <c r="AQ675" s="8">
        <f>IF($O675="Aktif",MAX(0,MIN($AE675,$AD675-SUM($AG675:AP675))),0)</f>
        <v>0</v>
      </c>
      <c r="AR675" s="8">
        <f>IF($O675="Aktif",MAX(0,MIN($AE675,$AD675-SUM($AG675:AQ675))),0)</f>
        <v>0</v>
      </c>
      <c r="AS675" s="8">
        <f>IF($O675="Aktif",MAX(0,MIN($AE675,$AD675-SUM($AG675:AR675))),0)</f>
        <v>0</v>
      </c>
      <c r="AT675" s="8">
        <f>IF($O675="Aktif",MAX(0,MIN($AE675,$AD675-SUM($AG675:AS675))),0)</f>
        <v>0</v>
      </c>
      <c r="AU675" s="8">
        <f>IF($O675="Aktif",MAX(0,MIN($AE675,$AD675-SUM($AG675:AT675))),0)</f>
        <v>0</v>
      </c>
      <c r="AV675" s="8">
        <f>IF($O675="Aktif",MAX(0,MIN($AE675,$AD675-SUM($AG675:AU675))),0)</f>
        <v>0</v>
      </c>
      <c r="AW675" s="8">
        <f t="shared" si="75"/>
        <v>0</v>
      </c>
      <c r="AX675" s="8">
        <f t="shared" si="76"/>
        <v>0</v>
      </c>
    </row>
    <row r="676" spans="1:50" ht="15" customHeight="1" x14ac:dyDescent="0.35">
      <c r="A676" s="102">
        <v>670</v>
      </c>
      <c r="B676" s="102" t="s">
        <v>1326</v>
      </c>
      <c r="C676" s="103">
        <v>304</v>
      </c>
      <c r="D676" s="102" t="s">
        <v>185</v>
      </c>
      <c r="E676" s="102" t="s">
        <v>587</v>
      </c>
      <c r="F676" s="102" t="s">
        <v>1327</v>
      </c>
      <c r="G676" s="102" t="s">
        <v>1328</v>
      </c>
      <c r="H676" s="102" t="s">
        <v>1329</v>
      </c>
      <c r="I676" s="102" t="s">
        <v>63</v>
      </c>
      <c r="J676" s="102" t="s">
        <v>2163</v>
      </c>
      <c r="K676" s="102" t="s">
        <v>591</v>
      </c>
      <c r="L676" s="104">
        <v>42986</v>
      </c>
      <c r="M676" s="102" t="s">
        <v>2164</v>
      </c>
      <c r="N676" s="102" t="s">
        <v>2165</v>
      </c>
      <c r="O676" s="102" t="s">
        <v>383</v>
      </c>
      <c r="P676" s="103">
        <v>1</v>
      </c>
      <c r="Q676" s="105">
        <v>5885000</v>
      </c>
      <c r="R676" s="103">
        <v>48</v>
      </c>
      <c r="S676" s="105">
        <v>122604.16666666701</v>
      </c>
      <c r="T676" s="105">
        <v>5885000</v>
      </c>
      <c r="U676" s="105">
        <v>0</v>
      </c>
      <c r="V676" s="105">
        <v>0</v>
      </c>
      <c r="W676" s="105">
        <v>0</v>
      </c>
      <c r="X676" s="105">
        <v>0</v>
      </c>
      <c r="Y676" s="105">
        <v>0</v>
      </c>
      <c r="Z676" s="105">
        <v>0</v>
      </c>
      <c r="AA676" s="105">
        <v>0</v>
      </c>
      <c r="AB676" s="105">
        <v>0</v>
      </c>
      <c r="AC676" s="8">
        <f t="shared" si="70"/>
        <v>5885000</v>
      </c>
      <c r="AD676" s="8">
        <f t="shared" si="71"/>
        <v>0</v>
      </c>
      <c r="AE676" s="8">
        <f t="shared" si="72"/>
        <v>0</v>
      </c>
      <c r="AF676" s="106">
        <f t="shared" si="73"/>
        <v>0</v>
      </c>
      <c r="AG676" s="8">
        <f t="shared" si="74"/>
        <v>0</v>
      </c>
      <c r="AH676" s="8">
        <f>IF($O676="Aktif",MAX(0,MIN($AE676,$AD676-SUM($AG676:AG676))),0)</f>
        <v>0</v>
      </c>
      <c r="AI676" s="8">
        <f>IF($O676="Aktif",MAX(0,MIN($AE676,$AD676-SUM($AG676:AH676))),0)</f>
        <v>0</v>
      </c>
      <c r="AJ676" s="8">
        <f>IF($O676="Aktif",MAX(0,MIN($AE676,$AD676-SUM($AG676:AI676))),0)</f>
        <v>0</v>
      </c>
      <c r="AK676" s="8">
        <f>IF($O676="Aktif",MAX(0,MIN($AE676,$AD676-SUM($AG676:AJ676))),0)</f>
        <v>0</v>
      </c>
      <c r="AL676" s="8">
        <f>IF($O676="Aktif",MAX(0,MIN($AE676,$AD676-SUM($AG676:AK676))),0)</f>
        <v>0</v>
      </c>
      <c r="AM676" s="8">
        <f>IF($O676="Aktif",MAX(0,MIN($AE676,$AD676-SUM($AG676:AL676))),0)</f>
        <v>0</v>
      </c>
      <c r="AN676" s="8">
        <f>IF($O676="Aktif",MAX(0,MIN($AE676,$AD676-SUM($AG676:AM676))),0)</f>
        <v>0</v>
      </c>
      <c r="AO676" s="8">
        <f>IF($O676="Aktif",MAX(0,MIN($AE676,$AD676-SUM($AG676:AN676))),0)</f>
        <v>0</v>
      </c>
      <c r="AP676" s="8">
        <f>IF($O676="Aktif",MAX(0,MIN($AE676,$AD676-SUM($AG676:AO676))),0)</f>
        <v>0</v>
      </c>
      <c r="AQ676" s="8">
        <f>IF($O676="Aktif",MAX(0,MIN($AE676,$AD676-SUM($AG676:AP676))),0)</f>
        <v>0</v>
      </c>
      <c r="AR676" s="8">
        <f>IF($O676="Aktif",MAX(0,MIN($AE676,$AD676-SUM($AG676:AQ676))),0)</f>
        <v>0</v>
      </c>
      <c r="AS676" s="8">
        <f>IF($O676="Aktif",MAX(0,MIN($AE676,$AD676-SUM($AG676:AR676))),0)</f>
        <v>0</v>
      </c>
      <c r="AT676" s="8">
        <f>IF($O676="Aktif",MAX(0,MIN($AE676,$AD676-SUM($AG676:AS676))),0)</f>
        <v>0</v>
      </c>
      <c r="AU676" s="8">
        <f>IF($O676="Aktif",MAX(0,MIN($AE676,$AD676-SUM($AG676:AT676))),0)</f>
        <v>0</v>
      </c>
      <c r="AV676" s="8">
        <f>IF($O676="Aktif",MAX(0,MIN($AE676,$AD676-SUM($AG676:AU676))),0)</f>
        <v>0</v>
      </c>
      <c r="AW676" s="8">
        <f t="shared" si="75"/>
        <v>0</v>
      </c>
      <c r="AX676" s="8">
        <f t="shared" si="76"/>
        <v>0</v>
      </c>
    </row>
    <row r="677" spans="1:50" ht="15" customHeight="1" x14ac:dyDescent="0.35">
      <c r="A677" s="102">
        <v>671</v>
      </c>
      <c r="B677" s="102" t="s">
        <v>1326</v>
      </c>
      <c r="C677" s="103">
        <v>305</v>
      </c>
      <c r="D677" s="102" t="s">
        <v>185</v>
      </c>
      <c r="E677" s="102" t="s">
        <v>587</v>
      </c>
      <c r="F677" s="102" t="s">
        <v>1327</v>
      </c>
      <c r="G677" s="102" t="s">
        <v>1328</v>
      </c>
      <c r="H677" s="102" t="s">
        <v>1329</v>
      </c>
      <c r="I677" s="102" t="s">
        <v>63</v>
      </c>
      <c r="J677" s="102" t="s">
        <v>2166</v>
      </c>
      <c r="K677" s="102" t="s">
        <v>591</v>
      </c>
      <c r="L677" s="104">
        <v>42990</v>
      </c>
      <c r="M677" s="102" t="s">
        <v>2167</v>
      </c>
      <c r="N677" s="102" t="s">
        <v>2168</v>
      </c>
      <c r="O677" s="102" t="s">
        <v>383</v>
      </c>
      <c r="P677" s="103">
        <v>1</v>
      </c>
      <c r="Q677" s="105">
        <v>3538000</v>
      </c>
      <c r="R677" s="103">
        <v>48</v>
      </c>
      <c r="S677" s="105">
        <v>73708.333333333299</v>
      </c>
      <c r="T677" s="105">
        <v>3538000</v>
      </c>
      <c r="U677" s="105">
        <v>0</v>
      </c>
      <c r="V677" s="105">
        <v>0</v>
      </c>
      <c r="W677" s="105">
        <v>0</v>
      </c>
      <c r="X677" s="105">
        <v>0</v>
      </c>
      <c r="Y677" s="105">
        <v>0</v>
      </c>
      <c r="Z677" s="105">
        <v>0</v>
      </c>
      <c r="AA677" s="105">
        <v>0</v>
      </c>
      <c r="AB677" s="105">
        <v>0</v>
      </c>
      <c r="AC677" s="8">
        <f t="shared" si="70"/>
        <v>3538000</v>
      </c>
      <c r="AD677" s="8">
        <f t="shared" si="71"/>
        <v>0</v>
      </c>
      <c r="AE677" s="8">
        <f t="shared" si="72"/>
        <v>0</v>
      </c>
      <c r="AF677" s="106">
        <f t="shared" si="73"/>
        <v>0</v>
      </c>
      <c r="AG677" s="8">
        <f t="shared" si="74"/>
        <v>0</v>
      </c>
      <c r="AH677" s="8">
        <f>IF($O677="Aktif",MAX(0,MIN($AE677,$AD677-SUM($AG677:AG677))),0)</f>
        <v>0</v>
      </c>
      <c r="AI677" s="8">
        <f>IF($O677="Aktif",MAX(0,MIN($AE677,$AD677-SUM($AG677:AH677))),0)</f>
        <v>0</v>
      </c>
      <c r="AJ677" s="8">
        <f>IF($O677="Aktif",MAX(0,MIN($AE677,$AD677-SUM($AG677:AI677))),0)</f>
        <v>0</v>
      </c>
      <c r="AK677" s="8">
        <f>IF($O677="Aktif",MAX(0,MIN($AE677,$AD677-SUM($AG677:AJ677))),0)</f>
        <v>0</v>
      </c>
      <c r="AL677" s="8">
        <f>IF($O677="Aktif",MAX(0,MIN($AE677,$AD677-SUM($AG677:AK677))),0)</f>
        <v>0</v>
      </c>
      <c r="AM677" s="8">
        <f>IF($O677="Aktif",MAX(0,MIN($AE677,$AD677-SUM($AG677:AL677))),0)</f>
        <v>0</v>
      </c>
      <c r="AN677" s="8">
        <f>IF($O677="Aktif",MAX(0,MIN($AE677,$AD677-SUM($AG677:AM677))),0)</f>
        <v>0</v>
      </c>
      <c r="AO677" s="8">
        <f>IF($O677="Aktif",MAX(0,MIN($AE677,$AD677-SUM($AG677:AN677))),0)</f>
        <v>0</v>
      </c>
      <c r="AP677" s="8">
        <f>IF($O677="Aktif",MAX(0,MIN($AE677,$AD677-SUM($AG677:AO677))),0)</f>
        <v>0</v>
      </c>
      <c r="AQ677" s="8">
        <f>IF($O677="Aktif",MAX(0,MIN($AE677,$AD677-SUM($AG677:AP677))),0)</f>
        <v>0</v>
      </c>
      <c r="AR677" s="8">
        <f>IF($O677="Aktif",MAX(0,MIN($AE677,$AD677-SUM($AG677:AQ677))),0)</f>
        <v>0</v>
      </c>
      <c r="AS677" s="8">
        <f>IF($O677="Aktif",MAX(0,MIN($AE677,$AD677-SUM($AG677:AR677))),0)</f>
        <v>0</v>
      </c>
      <c r="AT677" s="8">
        <f>IF($O677="Aktif",MAX(0,MIN($AE677,$AD677-SUM($AG677:AS677))),0)</f>
        <v>0</v>
      </c>
      <c r="AU677" s="8">
        <f>IF($O677="Aktif",MAX(0,MIN($AE677,$AD677-SUM($AG677:AT677))),0)</f>
        <v>0</v>
      </c>
      <c r="AV677" s="8">
        <f>IF($O677="Aktif",MAX(0,MIN($AE677,$AD677-SUM($AG677:AU677))),0)</f>
        <v>0</v>
      </c>
      <c r="AW677" s="8">
        <f t="shared" si="75"/>
        <v>0</v>
      </c>
      <c r="AX677" s="8">
        <f t="shared" si="76"/>
        <v>0</v>
      </c>
    </row>
    <row r="678" spans="1:50" ht="15" customHeight="1" x14ac:dyDescent="0.35">
      <c r="A678" s="102">
        <v>672</v>
      </c>
      <c r="B678" s="102" t="s">
        <v>1326</v>
      </c>
      <c r="C678" s="103">
        <v>306</v>
      </c>
      <c r="D678" s="102" t="s">
        <v>185</v>
      </c>
      <c r="E678" s="102" t="s">
        <v>587</v>
      </c>
      <c r="F678" s="102" t="s">
        <v>1327</v>
      </c>
      <c r="G678" s="102" t="s">
        <v>1328</v>
      </c>
      <c r="H678" s="102" t="s">
        <v>1329</v>
      </c>
      <c r="I678" s="102" t="s">
        <v>63</v>
      </c>
      <c r="J678" s="102" t="s">
        <v>2169</v>
      </c>
      <c r="K678" s="102" t="s">
        <v>591</v>
      </c>
      <c r="L678" s="104">
        <v>43004</v>
      </c>
      <c r="M678" s="102" t="s">
        <v>2170</v>
      </c>
      <c r="N678" s="102" t="s">
        <v>2171</v>
      </c>
      <c r="O678" s="102" t="s">
        <v>383</v>
      </c>
      <c r="P678" s="103">
        <v>1</v>
      </c>
      <c r="Q678" s="105">
        <v>11607000</v>
      </c>
      <c r="R678" s="103">
        <v>48</v>
      </c>
      <c r="S678" s="105">
        <v>241812.5</v>
      </c>
      <c r="T678" s="105">
        <v>11607000</v>
      </c>
      <c r="U678" s="105">
        <v>0</v>
      </c>
      <c r="V678" s="105">
        <v>0</v>
      </c>
      <c r="W678" s="105">
        <v>0</v>
      </c>
      <c r="X678" s="105">
        <v>0</v>
      </c>
      <c r="Y678" s="105">
        <v>0</v>
      </c>
      <c r="Z678" s="105">
        <v>0</v>
      </c>
      <c r="AA678" s="105">
        <v>0</v>
      </c>
      <c r="AB678" s="105">
        <v>0</v>
      </c>
      <c r="AC678" s="8">
        <f t="shared" si="70"/>
        <v>11607000</v>
      </c>
      <c r="AD678" s="8">
        <f t="shared" si="71"/>
        <v>0</v>
      </c>
      <c r="AE678" s="8">
        <f t="shared" si="72"/>
        <v>0</v>
      </c>
      <c r="AF678" s="106">
        <f t="shared" si="73"/>
        <v>0</v>
      </c>
      <c r="AG678" s="8">
        <f t="shared" si="74"/>
        <v>0</v>
      </c>
      <c r="AH678" s="8">
        <f>IF($O678="Aktif",MAX(0,MIN($AE678,$AD678-SUM($AG678:AG678))),0)</f>
        <v>0</v>
      </c>
      <c r="AI678" s="8">
        <f>IF($O678="Aktif",MAX(0,MIN($AE678,$AD678-SUM($AG678:AH678))),0)</f>
        <v>0</v>
      </c>
      <c r="AJ678" s="8">
        <f>IF($O678="Aktif",MAX(0,MIN($AE678,$AD678-SUM($AG678:AI678))),0)</f>
        <v>0</v>
      </c>
      <c r="AK678" s="8">
        <f>IF($O678="Aktif",MAX(0,MIN($AE678,$AD678-SUM($AG678:AJ678))),0)</f>
        <v>0</v>
      </c>
      <c r="AL678" s="8">
        <f>IF($O678="Aktif",MAX(0,MIN($AE678,$AD678-SUM($AG678:AK678))),0)</f>
        <v>0</v>
      </c>
      <c r="AM678" s="8">
        <f>IF($O678="Aktif",MAX(0,MIN($AE678,$AD678-SUM($AG678:AL678))),0)</f>
        <v>0</v>
      </c>
      <c r="AN678" s="8">
        <f>IF($O678="Aktif",MAX(0,MIN($AE678,$AD678-SUM($AG678:AM678))),0)</f>
        <v>0</v>
      </c>
      <c r="AO678" s="8">
        <f>IF($O678="Aktif",MAX(0,MIN($AE678,$AD678-SUM($AG678:AN678))),0)</f>
        <v>0</v>
      </c>
      <c r="AP678" s="8">
        <f>IF($O678="Aktif",MAX(0,MIN($AE678,$AD678-SUM($AG678:AO678))),0)</f>
        <v>0</v>
      </c>
      <c r="AQ678" s="8">
        <f>IF($O678="Aktif",MAX(0,MIN($AE678,$AD678-SUM($AG678:AP678))),0)</f>
        <v>0</v>
      </c>
      <c r="AR678" s="8">
        <f>IF($O678="Aktif",MAX(0,MIN($AE678,$AD678-SUM($AG678:AQ678))),0)</f>
        <v>0</v>
      </c>
      <c r="AS678" s="8">
        <f>IF($O678="Aktif",MAX(0,MIN($AE678,$AD678-SUM($AG678:AR678))),0)</f>
        <v>0</v>
      </c>
      <c r="AT678" s="8">
        <f>IF($O678="Aktif",MAX(0,MIN($AE678,$AD678-SUM($AG678:AS678))),0)</f>
        <v>0</v>
      </c>
      <c r="AU678" s="8">
        <f>IF($O678="Aktif",MAX(0,MIN($AE678,$AD678-SUM($AG678:AT678))),0)</f>
        <v>0</v>
      </c>
      <c r="AV678" s="8">
        <f>IF($O678="Aktif",MAX(0,MIN($AE678,$AD678-SUM($AG678:AU678))),0)</f>
        <v>0</v>
      </c>
      <c r="AW678" s="8">
        <f t="shared" si="75"/>
        <v>0</v>
      </c>
      <c r="AX678" s="8">
        <f t="shared" si="76"/>
        <v>0</v>
      </c>
    </row>
    <row r="679" spans="1:50" ht="15" customHeight="1" x14ac:dyDescent="0.35">
      <c r="A679" s="102">
        <v>673</v>
      </c>
      <c r="B679" s="102" t="s">
        <v>1326</v>
      </c>
      <c r="C679" s="103">
        <v>307</v>
      </c>
      <c r="D679" s="102" t="s">
        <v>185</v>
      </c>
      <c r="E679" s="102" t="s">
        <v>587</v>
      </c>
      <c r="F679" s="102" t="s">
        <v>1327</v>
      </c>
      <c r="G679" s="102" t="s">
        <v>1328</v>
      </c>
      <c r="H679" s="102" t="s">
        <v>1329</v>
      </c>
      <c r="I679" s="102" t="s">
        <v>63</v>
      </c>
      <c r="J679" s="102" t="s">
        <v>2172</v>
      </c>
      <c r="K679" s="102" t="s">
        <v>591</v>
      </c>
      <c r="L679" s="104">
        <v>43007</v>
      </c>
      <c r="M679" s="102" t="s">
        <v>2173</v>
      </c>
      <c r="N679" s="102" t="s">
        <v>2174</v>
      </c>
      <c r="O679" s="102" t="s">
        <v>383</v>
      </c>
      <c r="P679" s="103">
        <v>3</v>
      </c>
      <c r="Q679" s="105">
        <v>2400000</v>
      </c>
      <c r="R679" s="103">
        <v>48</v>
      </c>
      <c r="S679" s="105">
        <v>50000</v>
      </c>
      <c r="T679" s="105">
        <v>2400000</v>
      </c>
      <c r="U679" s="105">
        <v>0</v>
      </c>
      <c r="V679" s="105">
        <v>0</v>
      </c>
      <c r="W679" s="105">
        <v>0</v>
      </c>
      <c r="X679" s="105">
        <v>0</v>
      </c>
      <c r="Y679" s="105">
        <v>0</v>
      </c>
      <c r="Z679" s="105">
        <v>0</v>
      </c>
      <c r="AA679" s="105">
        <v>0</v>
      </c>
      <c r="AB679" s="105">
        <v>0</v>
      </c>
      <c r="AC679" s="8">
        <f t="shared" si="70"/>
        <v>2400000</v>
      </c>
      <c r="AD679" s="8">
        <f t="shared" si="71"/>
        <v>0</v>
      </c>
      <c r="AE679" s="8">
        <f t="shared" si="72"/>
        <v>0</v>
      </c>
      <c r="AF679" s="106">
        <f t="shared" si="73"/>
        <v>0</v>
      </c>
      <c r="AG679" s="8">
        <f t="shared" si="74"/>
        <v>0</v>
      </c>
      <c r="AH679" s="8">
        <f>IF($O679="Aktif",MAX(0,MIN($AE679,$AD679-SUM($AG679:AG679))),0)</f>
        <v>0</v>
      </c>
      <c r="AI679" s="8">
        <f>IF($O679="Aktif",MAX(0,MIN($AE679,$AD679-SUM($AG679:AH679))),0)</f>
        <v>0</v>
      </c>
      <c r="AJ679" s="8">
        <f>IF($O679="Aktif",MAX(0,MIN($AE679,$AD679-SUM($AG679:AI679))),0)</f>
        <v>0</v>
      </c>
      <c r="AK679" s="8">
        <f>IF($O679="Aktif",MAX(0,MIN($AE679,$AD679-SUM($AG679:AJ679))),0)</f>
        <v>0</v>
      </c>
      <c r="AL679" s="8">
        <f>IF($O679="Aktif",MAX(0,MIN($AE679,$AD679-SUM($AG679:AK679))),0)</f>
        <v>0</v>
      </c>
      <c r="AM679" s="8">
        <f>IF($O679="Aktif",MAX(0,MIN($AE679,$AD679-SUM($AG679:AL679))),0)</f>
        <v>0</v>
      </c>
      <c r="AN679" s="8">
        <f>IF($O679="Aktif",MAX(0,MIN($AE679,$AD679-SUM($AG679:AM679))),0)</f>
        <v>0</v>
      </c>
      <c r="AO679" s="8">
        <f>IF($O679="Aktif",MAX(0,MIN($AE679,$AD679-SUM($AG679:AN679))),0)</f>
        <v>0</v>
      </c>
      <c r="AP679" s="8">
        <f>IF($O679="Aktif",MAX(0,MIN($AE679,$AD679-SUM($AG679:AO679))),0)</f>
        <v>0</v>
      </c>
      <c r="AQ679" s="8">
        <f>IF($O679="Aktif",MAX(0,MIN($AE679,$AD679-SUM($AG679:AP679))),0)</f>
        <v>0</v>
      </c>
      <c r="AR679" s="8">
        <f>IF($O679="Aktif",MAX(0,MIN($AE679,$AD679-SUM($AG679:AQ679))),0)</f>
        <v>0</v>
      </c>
      <c r="AS679" s="8">
        <f>IF($O679="Aktif",MAX(0,MIN($AE679,$AD679-SUM($AG679:AR679))),0)</f>
        <v>0</v>
      </c>
      <c r="AT679" s="8">
        <f>IF($O679="Aktif",MAX(0,MIN($AE679,$AD679-SUM($AG679:AS679))),0)</f>
        <v>0</v>
      </c>
      <c r="AU679" s="8">
        <f>IF($O679="Aktif",MAX(0,MIN($AE679,$AD679-SUM($AG679:AT679))),0)</f>
        <v>0</v>
      </c>
      <c r="AV679" s="8">
        <f>IF($O679="Aktif",MAX(0,MIN($AE679,$AD679-SUM($AG679:AU679))),0)</f>
        <v>0</v>
      </c>
      <c r="AW679" s="8">
        <f t="shared" si="75"/>
        <v>0</v>
      </c>
      <c r="AX679" s="8">
        <f t="shared" si="76"/>
        <v>0</v>
      </c>
    </row>
    <row r="680" spans="1:50" ht="15" customHeight="1" x14ac:dyDescent="0.35">
      <c r="A680" s="102">
        <v>674</v>
      </c>
      <c r="B680" s="102" t="s">
        <v>1326</v>
      </c>
      <c r="C680" s="103">
        <v>308</v>
      </c>
      <c r="D680" s="102" t="s">
        <v>185</v>
      </c>
      <c r="E680" s="102" t="s">
        <v>587</v>
      </c>
      <c r="F680" s="102" t="s">
        <v>1327</v>
      </c>
      <c r="G680" s="102" t="s">
        <v>1328</v>
      </c>
      <c r="H680" s="102" t="s">
        <v>1329</v>
      </c>
      <c r="I680" s="102" t="s">
        <v>63</v>
      </c>
      <c r="J680" s="102" t="s">
        <v>2175</v>
      </c>
      <c r="K680" s="102" t="s">
        <v>591</v>
      </c>
      <c r="L680" s="104">
        <v>43008</v>
      </c>
      <c r="M680" s="102" t="s">
        <v>2176</v>
      </c>
      <c r="N680" s="102" t="s">
        <v>2177</v>
      </c>
      <c r="O680" s="102" t="s">
        <v>383</v>
      </c>
      <c r="P680" s="103">
        <v>1</v>
      </c>
      <c r="Q680" s="105">
        <v>1399000</v>
      </c>
      <c r="R680" s="103">
        <v>48</v>
      </c>
      <c r="S680" s="105">
        <v>29145.833333333299</v>
      </c>
      <c r="T680" s="105">
        <v>1399000</v>
      </c>
      <c r="U680" s="105">
        <v>0</v>
      </c>
      <c r="V680" s="105">
        <v>0</v>
      </c>
      <c r="W680" s="105">
        <v>0</v>
      </c>
      <c r="X680" s="105">
        <v>0</v>
      </c>
      <c r="Y680" s="105">
        <v>0</v>
      </c>
      <c r="Z680" s="105">
        <v>0</v>
      </c>
      <c r="AA680" s="105">
        <v>0</v>
      </c>
      <c r="AB680" s="105">
        <v>0</v>
      </c>
      <c r="AC680" s="8">
        <f t="shared" si="70"/>
        <v>1399000</v>
      </c>
      <c r="AD680" s="8">
        <f t="shared" si="71"/>
        <v>0</v>
      </c>
      <c r="AE680" s="8">
        <f t="shared" si="72"/>
        <v>0</v>
      </c>
      <c r="AF680" s="106">
        <f t="shared" si="73"/>
        <v>0</v>
      </c>
      <c r="AG680" s="8">
        <f t="shared" si="74"/>
        <v>0</v>
      </c>
      <c r="AH680" s="8">
        <f>IF($O680="Aktif",MAX(0,MIN($AE680,$AD680-SUM($AG680:AG680))),0)</f>
        <v>0</v>
      </c>
      <c r="AI680" s="8">
        <f>IF($O680="Aktif",MAX(0,MIN($AE680,$AD680-SUM($AG680:AH680))),0)</f>
        <v>0</v>
      </c>
      <c r="AJ680" s="8">
        <f>IF($O680="Aktif",MAX(0,MIN($AE680,$AD680-SUM($AG680:AI680))),0)</f>
        <v>0</v>
      </c>
      <c r="AK680" s="8">
        <f>IF($O680="Aktif",MAX(0,MIN($AE680,$AD680-SUM($AG680:AJ680))),0)</f>
        <v>0</v>
      </c>
      <c r="AL680" s="8">
        <f>IF($O680="Aktif",MAX(0,MIN($AE680,$AD680-SUM($AG680:AK680))),0)</f>
        <v>0</v>
      </c>
      <c r="AM680" s="8">
        <f>IF($O680="Aktif",MAX(0,MIN($AE680,$AD680-SUM($AG680:AL680))),0)</f>
        <v>0</v>
      </c>
      <c r="AN680" s="8">
        <f>IF($O680="Aktif",MAX(0,MIN($AE680,$AD680-SUM($AG680:AM680))),0)</f>
        <v>0</v>
      </c>
      <c r="AO680" s="8">
        <f>IF($O680="Aktif",MAX(0,MIN($AE680,$AD680-SUM($AG680:AN680))),0)</f>
        <v>0</v>
      </c>
      <c r="AP680" s="8">
        <f>IF($O680="Aktif",MAX(0,MIN($AE680,$AD680-SUM($AG680:AO680))),0)</f>
        <v>0</v>
      </c>
      <c r="AQ680" s="8">
        <f>IF($O680="Aktif",MAX(0,MIN($AE680,$AD680-SUM($AG680:AP680))),0)</f>
        <v>0</v>
      </c>
      <c r="AR680" s="8">
        <f>IF($O680="Aktif",MAX(0,MIN($AE680,$AD680-SUM($AG680:AQ680))),0)</f>
        <v>0</v>
      </c>
      <c r="AS680" s="8">
        <f>IF($O680="Aktif",MAX(0,MIN($AE680,$AD680-SUM($AG680:AR680))),0)</f>
        <v>0</v>
      </c>
      <c r="AT680" s="8">
        <f>IF($O680="Aktif",MAX(0,MIN($AE680,$AD680-SUM($AG680:AS680))),0)</f>
        <v>0</v>
      </c>
      <c r="AU680" s="8">
        <f>IF($O680="Aktif",MAX(0,MIN($AE680,$AD680-SUM($AG680:AT680))),0)</f>
        <v>0</v>
      </c>
      <c r="AV680" s="8">
        <f>IF($O680="Aktif",MAX(0,MIN($AE680,$AD680-SUM($AG680:AU680))),0)</f>
        <v>0</v>
      </c>
      <c r="AW680" s="8">
        <f t="shared" si="75"/>
        <v>0</v>
      </c>
      <c r="AX680" s="8">
        <f t="shared" si="76"/>
        <v>0</v>
      </c>
    </row>
    <row r="681" spans="1:50" ht="15" customHeight="1" x14ac:dyDescent="0.35">
      <c r="A681" s="102">
        <v>675</v>
      </c>
      <c r="B681" s="102" t="s">
        <v>1326</v>
      </c>
      <c r="C681" s="103">
        <v>309</v>
      </c>
      <c r="D681" s="102" t="s">
        <v>185</v>
      </c>
      <c r="E681" s="102" t="s">
        <v>587</v>
      </c>
      <c r="F681" s="102" t="s">
        <v>1327</v>
      </c>
      <c r="G681" s="102" t="s">
        <v>1328</v>
      </c>
      <c r="H681" s="102" t="s">
        <v>1329</v>
      </c>
      <c r="I681" s="102" t="s">
        <v>63</v>
      </c>
      <c r="J681" s="102" t="s">
        <v>2178</v>
      </c>
      <c r="K681" s="102" t="s">
        <v>591</v>
      </c>
      <c r="L681" s="104">
        <v>43011</v>
      </c>
      <c r="M681" s="102" t="s">
        <v>2179</v>
      </c>
      <c r="N681" s="102" t="s">
        <v>2180</v>
      </c>
      <c r="O681" s="102" t="s">
        <v>383</v>
      </c>
      <c r="P681" s="103">
        <v>1</v>
      </c>
      <c r="Q681" s="105">
        <v>5000000</v>
      </c>
      <c r="R681" s="103">
        <v>48</v>
      </c>
      <c r="S681" s="105">
        <v>104166.66666666701</v>
      </c>
      <c r="T681" s="105">
        <v>5000000</v>
      </c>
      <c r="U681" s="105">
        <v>0</v>
      </c>
      <c r="V681" s="105">
        <v>0</v>
      </c>
      <c r="W681" s="105">
        <v>0</v>
      </c>
      <c r="X681" s="105">
        <v>0</v>
      </c>
      <c r="Y681" s="105">
        <v>0</v>
      </c>
      <c r="Z681" s="105">
        <v>0</v>
      </c>
      <c r="AA681" s="105">
        <v>0</v>
      </c>
      <c r="AB681" s="105">
        <v>0</v>
      </c>
      <c r="AC681" s="8">
        <f t="shared" si="70"/>
        <v>5000000</v>
      </c>
      <c r="AD681" s="8">
        <f t="shared" si="71"/>
        <v>0</v>
      </c>
      <c r="AE681" s="8">
        <f t="shared" si="72"/>
        <v>0</v>
      </c>
      <c r="AF681" s="106">
        <f t="shared" si="73"/>
        <v>0</v>
      </c>
      <c r="AG681" s="8">
        <f t="shared" si="74"/>
        <v>0</v>
      </c>
      <c r="AH681" s="8">
        <f>IF($O681="Aktif",MAX(0,MIN($AE681,$AD681-SUM($AG681:AG681))),0)</f>
        <v>0</v>
      </c>
      <c r="AI681" s="8">
        <f>IF($O681="Aktif",MAX(0,MIN($AE681,$AD681-SUM($AG681:AH681))),0)</f>
        <v>0</v>
      </c>
      <c r="AJ681" s="8">
        <f>IF($O681="Aktif",MAX(0,MIN($AE681,$AD681-SUM($AG681:AI681))),0)</f>
        <v>0</v>
      </c>
      <c r="AK681" s="8">
        <f>IF($O681="Aktif",MAX(0,MIN($AE681,$AD681-SUM($AG681:AJ681))),0)</f>
        <v>0</v>
      </c>
      <c r="AL681" s="8">
        <f>IF($O681="Aktif",MAX(0,MIN($AE681,$AD681-SUM($AG681:AK681))),0)</f>
        <v>0</v>
      </c>
      <c r="AM681" s="8">
        <f>IF($O681="Aktif",MAX(0,MIN($AE681,$AD681-SUM($AG681:AL681))),0)</f>
        <v>0</v>
      </c>
      <c r="AN681" s="8">
        <f>IF($O681="Aktif",MAX(0,MIN($AE681,$AD681-SUM($AG681:AM681))),0)</f>
        <v>0</v>
      </c>
      <c r="AO681" s="8">
        <f>IF($O681="Aktif",MAX(0,MIN($AE681,$AD681-SUM($AG681:AN681))),0)</f>
        <v>0</v>
      </c>
      <c r="AP681" s="8">
        <f>IF($O681="Aktif",MAX(0,MIN($AE681,$AD681-SUM($AG681:AO681))),0)</f>
        <v>0</v>
      </c>
      <c r="AQ681" s="8">
        <f>IF($O681="Aktif",MAX(0,MIN($AE681,$AD681-SUM($AG681:AP681))),0)</f>
        <v>0</v>
      </c>
      <c r="AR681" s="8">
        <f>IF($O681="Aktif",MAX(0,MIN($AE681,$AD681-SUM($AG681:AQ681))),0)</f>
        <v>0</v>
      </c>
      <c r="AS681" s="8">
        <f>IF($O681="Aktif",MAX(0,MIN($AE681,$AD681-SUM($AG681:AR681))),0)</f>
        <v>0</v>
      </c>
      <c r="AT681" s="8">
        <f>IF($O681="Aktif",MAX(0,MIN($AE681,$AD681-SUM($AG681:AS681))),0)</f>
        <v>0</v>
      </c>
      <c r="AU681" s="8">
        <f>IF($O681="Aktif",MAX(0,MIN($AE681,$AD681-SUM($AG681:AT681))),0)</f>
        <v>0</v>
      </c>
      <c r="AV681" s="8">
        <f>IF($O681="Aktif",MAX(0,MIN($AE681,$AD681-SUM($AG681:AU681))),0)</f>
        <v>0</v>
      </c>
      <c r="AW681" s="8">
        <f t="shared" si="75"/>
        <v>0</v>
      </c>
      <c r="AX681" s="8">
        <f t="shared" si="76"/>
        <v>0</v>
      </c>
    </row>
    <row r="682" spans="1:50" ht="15" customHeight="1" x14ac:dyDescent="0.35">
      <c r="A682" s="102">
        <v>676</v>
      </c>
      <c r="B682" s="102" t="s">
        <v>1326</v>
      </c>
      <c r="C682" s="103">
        <v>310</v>
      </c>
      <c r="D682" s="102" t="s">
        <v>185</v>
      </c>
      <c r="E682" s="102" t="s">
        <v>587</v>
      </c>
      <c r="F682" s="102" t="s">
        <v>1327</v>
      </c>
      <c r="G682" s="102" t="s">
        <v>1328</v>
      </c>
      <c r="H682" s="102" t="s">
        <v>1329</v>
      </c>
      <c r="I682" s="102" t="s">
        <v>63</v>
      </c>
      <c r="J682" s="102" t="s">
        <v>2181</v>
      </c>
      <c r="K682" s="102" t="s">
        <v>591</v>
      </c>
      <c r="L682" s="104">
        <v>43014</v>
      </c>
      <c r="M682" s="102" t="s">
        <v>2182</v>
      </c>
      <c r="N682" s="102" t="s">
        <v>2183</v>
      </c>
      <c r="O682" s="102" t="s">
        <v>383</v>
      </c>
      <c r="P682" s="103">
        <v>1</v>
      </c>
      <c r="Q682" s="105">
        <v>8805000</v>
      </c>
      <c r="R682" s="103">
        <v>48</v>
      </c>
      <c r="S682" s="105">
        <v>183437.5</v>
      </c>
      <c r="T682" s="105">
        <v>8805000</v>
      </c>
      <c r="U682" s="105">
        <v>0</v>
      </c>
      <c r="V682" s="105">
        <v>0</v>
      </c>
      <c r="W682" s="105">
        <v>0</v>
      </c>
      <c r="X682" s="105">
        <v>0</v>
      </c>
      <c r="Y682" s="105">
        <v>0</v>
      </c>
      <c r="Z682" s="105">
        <v>0</v>
      </c>
      <c r="AA682" s="105">
        <v>0</v>
      </c>
      <c r="AB682" s="105">
        <v>0</v>
      </c>
      <c r="AC682" s="8">
        <f t="shared" si="70"/>
        <v>8805000</v>
      </c>
      <c r="AD682" s="8">
        <f t="shared" si="71"/>
        <v>0</v>
      </c>
      <c r="AE682" s="8">
        <f t="shared" si="72"/>
        <v>0</v>
      </c>
      <c r="AF682" s="106">
        <f t="shared" si="73"/>
        <v>0</v>
      </c>
      <c r="AG682" s="8">
        <f t="shared" si="74"/>
        <v>0</v>
      </c>
      <c r="AH682" s="8">
        <f>IF($O682="Aktif",MAX(0,MIN($AE682,$AD682-SUM($AG682:AG682))),0)</f>
        <v>0</v>
      </c>
      <c r="AI682" s="8">
        <f>IF($O682="Aktif",MAX(0,MIN($AE682,$AD682-SUM($AG682:AH682))),0)</f>
        <v>0</v>
      </c>
      <c r="AJ682" s="8">
        <f>IF($O682="Aktif",MAX(0,MIN($AE682,$AD682-SUM($AG682:AI682))),0)</f>
        <v>0</v>
      </c>
      <c r="AK682" s="8">
        <f>IF($O682="Aktif",MAX(0,MIN($AE682,$AD682-SUM($AG682:AJ682))),0)</f>
        <v>0</v>
      </c>
      <c r="AL682" s="8">
        <f>IF($O682="Aktif",MAX(0,MIN($AE682,$AD682-SUM($AG682:AK682))),0)</f>
        <v>0</v>
      </c>
      <c r="AM682" s="8">
        <f>IF($O682="Aktif",MAX(0,MIN($AE682,$AD682-SUM($AG682:AL682))),0)</f>
        <v>0</v>
      </c>
      <c r="AN682" s="8">
        <f>IF($O682="Aktif",MAX(0,MIN($AE682,$AD682-SUM($AG682:AM682))),0)</f>
        <v>0</v>
      </c>
      <c r="AO682" s="8">
        <f>IF($O682="Aktif",MAX(0,MIN($AE682,$AD682-SUM($AG682:AN682))),0)</f>
        <v>0</v>
      </c>
      <c r="AP682" s="8">
        <f>IF($O682="Aktif",MAX(0,MIN($AE682,$AD682-SUM($AG682:AO682))),0)</f>
        <v>0</v>
      </c>
      <c r="AQ682" s="8">
        <f>IF($O682="Aktif",MAX(0,MIN($AE682,$AD682-SUM($AG682:AP682))),0)</f>
        <v>0</v>
      </c>
      <c r="AR682" s="8">
        <f>IF($O682="Aktif",MAX(0,MIN($AE682,$AD682-SUM($AG682:AQ682))),0)</f>
        <v>0</v>
      </c>
      <c r="AS682" s="8">
        <f>IF($O682="Aktif",MAX(0,MIN($AE682,$AD682-SUM($AG682:AR682))),0)</f>
        <v>0</v>
      </c>
      <c r="AT682" s="8">
        <f>IF($O682="Aktif",MAX(0,MIN($AE682,$AD682-SUM($AG682:AS682))),0)</f>
        <v>0</v>
      </c>
      <c r="AU682" s="8">
        <f>IF($O682="Aktif",MAX(0,MIN($AE682,$AD682-SUM($AG682:AT682))),0)</f>
        <v>0</v>
      </c>
      <c r="AV682" s="8">
        <f>IF($O682="Aktif",MAX(0,MIN($AE682,$AD682-SUM($AG682:AU682))),0)</f>
        <v>0</v>
      </c>
      <c r="AW682" s="8">
        <f t="shared" si="75"/>
        <v>0</v>
      </c>
      <c r="AX682" s="8">
        <f t="shared" si="76"/>
        <v>0</v>
      </c>
    </row>
    <row r="683" spans="1:50" ht="15" customHeight="1" x14ac:dyDescent="0.35">
      <c r="A683" s="102">
        <v>677</v>
      </c>
      <c r="B683" s="102" t="s">
        <v>1326</v>
      </c>
      <c r="C683" s="103">
        <v>311</v>
      </c>
      <c r="D683" s="102" t="s">
        <v>185</v>
      </c>
      <c r="E683" s="102" t="s">
        <v>587</v>
      </c>
      <c r="F683" s="102" t="s">
        <v>1327</v>
      </c>
      <c r="G683" s="102" t="s">
        <v>1328</v>
      </c>
      <c r="H683" s="102" t="s">
        <v>1329</v>
      </c>
      <c r="I683" s="102" t="s">
        <v>63</v>
      </c>
      <c r="J683" s="102" t="s">
        <v>2184</v>
      </c>
      <c r="K683" s="102" t="s">
        <v>591</v>
      </c>
      <c r="L683" s="104">
        <v>43035</v>
      </c>
      <c r="M683" s="102" t="s">
        <v>2185</v>
      </c>
      <c r="N683" s="102" t="s">
        <v>2186</v>
      </c>
      <c r="O683" s="102" t="s">
        <v>383</v>
      </c>
      <c r="P683" s="103">
        <v>1</v>
      </c>
      <c r="Q683" s="105">
        <v>3050000</v>
      </c>
      <c r="R683" s="103">
        <v>48</v>
      </c>
      <c r="S683" s="105">
        <v>63541.666666666701</v>
      </c>
      <c r="T683" s="105">
        <v>3050000</v>
      </c>
      <c r="U683" s="105">
        <v>0</v>
      </c>
      <c r="V683" s="105">
        <v>0</v>
      </c>
      <c r="W683" s="105">
        <v>0</v>
      </c>
      <c r="X683" s="105">
        <v>0</v>
      </c>
      <c r="Y683" s="105">
        <v>0</v>
      </c>
      <c r="Z683" s="105">
        <v>0</v>
      </c>
      <c r="AA683" s="105">
        <v>0</v>
      </c>
      <c r="AB683" s="105">
        <v>0</v>
      </c>
      <c r="AC683" s="8">
        <f t="shared" si="70"/>
        <v>3050000</v>
      </c>
      <c r="AD683" s="8">
        <f t="shared" si="71"/>
        <v>0</v>
      </c>
      <c r="AE683" s="8">
        <f t="shared" si="72"/>
        <v>0</v>
      </c>
      <c r="AF683" s="106">
        <f t="shared" si="73"/>
        <v>0</v>
      </c>
      <c r="AG683" s="8">
        <f t="shared" si="74"/>
        <v>0</v>
      </c>
      <c r="AH683" s="8">
        <f>IF($O683="Aktif",MAX(0,MIN($AE683,$AD683-SUM($AG683:AG683))),0)</f>
        <v>0</v>
      </c>
      <c r="AI683" s="8">
        <f>IF($O683="Aktif",MAX(0,MIN($AE683,$AD683-SUM($AG683:AH683))),0)</f>
        <v>0</v>
      </c>
      <c r="AJ683" s="8">
        <f>IF($O683="Aktif",MAX(0,MIN($AE683,$AD683-SUM($AG683:AI683))),0)</f>
        <v>0</v>
      </c>
      <c r="AK683" s="8">
        <f>IF($O683="Aktif",MAX(0,MIN($AE683,$AD683-SUM($AG683:AJ683))),0)</f>
        <v>0</v>
      </c>
      <c r="AL683" s="8">
        <f>IF($O683="Aktif",MAX(0,MIN($AE683,$AD683-SUM($AG683:AK683))),0)</f>
        <v>0</v>
      </c>
      <c r="AM683" s="8">
        <f>IF($O683="Aktif",MAX(0,MIN($AE683,$AD683-SUM($AG683:AL683))),0)</f>
        <v>0</v>
      </c>
      <c r="AN683" s="8">
        <f>IF($O683="Aktif",MAX(0,MIN($AE683,$AD683-SUM($AG683:AM683))),0)</f>
        <v>0</v>
      </c>
      <c r="AO683" s="8">
        <f>IF($O683="Aktif",MAX(0,MIN($AE683,$AD683-SUM($AG683:AN683))),0)</f>
        <v>0</v>
      </c>
      <c r="AP683" s="8">
        <f>IF($O683="Aktif",MAX(0,MIN($AE683,$AD683-SUM($AG683:AO683))),0)</f>
        <v>0</v>
      </c>
      <c r="AQ683" s="8">
        <f>IF($O683="Aktif",MAX(0,MIN($AE683,$AD683-SUM($AG683:AP683))),0)</f>
        <v>0</v>
      </c>
      <c r="AR683" s="8">
        <f>IF($O683="Aktif",MAX(0,MIN($AE683,$AD683-SUM($AG683:AQ683))),0)</f>
        <v>0</v>
      </c>
      <c r="AS683" s="8">
        <f>IF($O683="Aktif",MAX(0,MIN($AE683,$AD683-SUM($AG683:AR683))),0)</f>
        <v>0</v>
      </c>
      <c r="AT683" s="8">
        <f>IF($O683="Aktif",MAX(0,MIN($AE683,$AD683-SUM($AG683:AS683))),0)</f>
        <v>0</v>
      </c>
      <c r="AU683" s="8">
        <f>IF($O683="Aktif",MAX(0,MIN($AE683,$AD683-SUM($AG683:AT683))),0)</f>
        <v>0</v>
      </c>
      <c r="AV683" s="8">
        <f>IF($O683="Aktif",MAX(0,MIN($AE683,$AD683-SUM($AG683:AU683))),0)</f>
        <v>0</v>
      </c>
      <c r="AW683" s="8">
        <f t="shared" si="75"/>
        <v>0</v>
      </c>
      <c r="AX683" s="8">
        <f t="shared" si="76"/>
        <v>0</v>
      </c>
    </row>
    <row r="684" spans="1:50" ht="15" customHeight="1" x14ac:dyDescent="0.35">
      <c r="A684" s="102">
        <v>678</v>
      </c>
      <c r="B684" s="102" t="s">
        <v>1326</v>
      </c>
      <c r="C684" s="103">
        <v>312</v>
      </c>
      <c r="D684" s="102" t="s">
        <v>185</v>
      </c>
      <c r="E684" s="102" t="s">
        <v>587</v>
      </c>
      <c r="F684" s="102" t="s">
        <v>1327</v>
      </c>
      <c r="G684" s="102" t="s">
        <v>1328</v>
      </c>
      <c r="H684" s="102" t="s">
        <v>1329</v>
      </c>
      <c r="I684" s="102" t="s">
        <v>63</v>
      </c>
      <c r="J684" s="102" t="s">
        <v>2187</v>
      </c>
      <c r="K684" s="102" t="s">
        <v>591</v>
      </c>
      <c r="L684" s="104">
        <v>43039</v>
      </c>
      <c r="M684" s="102" t="s">
        <v>2179</v>
      </c>
      <c r="N684" s="102" t="s">
        <v>2188</v>
      </c>
      <c r="O684" s="102" t="s">
        <v>383</v>
      </c>
      <c r="P684" s="103">
        <v>1</v>
      </c>
      <c r="Q684" s="105">
        <v>18000000</v>
      </c>
      <c r="R684" s="103">
        <v>48</v>
      </c>
      <c r="S684" s="105">
        <v>375000</v>
      </c>
      <c r="T684" s="105">
        <v>18000000</v>
      </c>
      <c r="U684" s="105">
        <v>0</v>
      </c>
      <c r="V684" s="105">
        <v>0</v>
      </c>
      <c r="W684" s="105">
        <v>0</v>
      </c>
      <c r="X684" s="105">
        <v>0</v>
      </c>
      <c r="Y684" s="105">
        <v>0</v>
      </c>
      <c r="Z684" s="105">
        <v>0</v>
      </c>
      <c r="AA684" s="105">
        <v>0</v>
      </c>
      <c r="AB684" s="105">
        <v>0</v>
      </c>
      <c r="AC684" s="8">
        <f t="shared" si="70"/>
        <v>18000000</v>
      </c>
      <c r="AD684" s="8">
        <f t="shared" si="71"/>
        <v>0</v>
      </c>
      <c r="AE684" s="8">
        <f t="shared" si="72"/>
        <v>0</v>
      </c>
      <c r="AF684" s="106">
        <f t="shared" si="73"/>
        <v>0</v>
      </c>
      <c r="AG684" s="8">
        <f t="shared" si="74"/>
        <v>0</v>
      </c>
      <c r="AH684" s="8">
        <f>IF($O684="Aktif",MAX(0,MIN($AE684,$AD684-SUM($AG684:AG684))),0)</f>
        <v>0</v>
      </c>
      <c r="AI684" s="8">
        <f>IF($O684="Aktif",MAX(0,MIN($AE684,$AD684-SUM($AG684:AH684))),0)</f>
        <v>0</v>
      </c>
      <c r="AJ684" s="8">
        <f>IF($O684="Aktif",MAX(0,MIN($AE684,$AD684-SUM($AG684:AI684))),0)</f>
        <v>0</v>
      </c>
      <c r="AK684" s="8">
        <f>IF($O684="Aktif",MAX(0,MIN($AE684,$AD684-SUM($AG684:AJ684))),0)</f>
        <v>0</v>
      </c>
      <c r="AL684" s="8">
        <f>IF($O684="Aktif",MAX(0,MIN($AE684,$AD684-SUM($AG684:AK684))),0)</f>
        <v>0</v>
      </c>
      <c r="AM684" s="8">
        <f>IF($O684="Aktif",MAX(0,MIN($AE684,$AD684-SUM($AG684:AL684))),0)</f>
        <v>0</v>
      </c>
      <c r="AN684" s="8">
        <f>IF($O684="Aktif",MAX(0,MIN($AE684,$AD684-SUM($AG684:AM684))),0)</f>
        <v>0</v>
      </c>
      <c r="AO684" s="8">
        <f>IF($O684="Aktif",MAX(0,MIN($AE684,$AD684-SUM($AG684:AN684))),0)</f>
        <v>0</v>
      </c>
      <c r="AP684" s="8">
        <f>IF($O684="Aktif",MAX(0,MIN($AE684,$AD684-SUM($AG684:AO684))),0)</f>
        <v>0</v>
      </c>
      <c r="AQ684" s="8">
        <f>IF($O684="Aktif",MAX(0,MIN($AE684,$AD684-SUM($AG684:AP684))),0)</f>
        <v>0</v>
      </c>
      <c r="AR684" s="8">
        <f>IF($O684="Aktif",MAX(0,MIN($AE684,$AD684-SUM($AG684:AQ684))),0)</f>
        <v>0</v>
      </c>
      <c r="AS684" s="8">
        <f>IF($O684="Aktif",MAX(0,MIN($AE684,$AD684-SUM($AG684:AR684))),0)</f>
        <v>0</v>
      </c>
      <c r="AT684" s="8">
        <f>IF($O684="Aktif",MAX(0,MIN($AE684,$AD684-SUM($AG684:AS684))),0)</f>
        <v>0</v>
      </c>
      <c r="AU684" s="8">
        <f>IF($O684="Aktif",MAX(0,MIN($AE684,$AD684-SUM($AG684:AT684))),0)</f>
        <v>0</v>
      </c>
      <c r="AV684" s="8">
        <f>IF($O684="Aktif",MAX(0,MIN($AE684,$AD684-SUM($AG684:AU684))),0)</f>
        <v>0</v>
      </c>
      <c r="AW684" s="8">
        <f t="shared" si="75"/>
        <v>0</v>
      </c>
      <c r="AX684" s="8">
        <f t="shared" si="76"/>
        <v>0</v>
      </c>
    </row>
    <row r="685" spans="1:50" ht="15" customHeight="1" x14ac:dyDescent="0.35">
      <c r="A685" s="102">
        <v>679</v>
      </c>
      <c r="B685" s="102" t="s">
        <v>1326</v>
      </c>
      <c r="C685" s="103">
        <v>313</v>
      </c>
      <c r="D685" s="102" t="s">
        <v>185</v>
      </c>
      <c r="E685" s="102" t="s">
        <v>587</v>
      </c>
      <c r="F685" s="102" t="s">
        <v>1327</v>
      </c>
      <c r="G685" s="102" t="s">
        <v>1328</v>
      </c>
      <c r="H685" s="102" t="s">
        <v>1329</v>
      </c>
      <c r="I685" s="102" t="s">
        <v>63</v>
      </c>
      <c r="J685" s="102" t="s">
        <v>2189</v>
      </c>
      <c r="K685" s="102" t="s">
        <v>591</v>
      </c>
      <c r="L685" s="104">
        <v>43042</v>
      </c>
      <c r="M685" s="102" t="s">
        <v>2190</v>
      </c>
      <c r="N685" s="102" t="s">
        <v>2191</v>
      </c>
      <c r="O685" s="102" t="s">
        <v>383</v>
      </c>
      <c r="P685" s="103">
        <v>1</v>
      </c>
      <c r="Q685" s="105">
        <v>15500000</v>
      </c>
      <c r="R685" s="103">
        <v>48</v>
      </c>
      <c r="S685" s="105">
        <v>322916.66666666698</v>
      </c>
      <c r="T685" s="105">
        <v>15500000</v>
      </c>
      <c r="U685" s="105">
        <v>0</v>
      </c>
      <c r="V685" s="105">
        <v>0</v>
      </c>
      <c r="W685" s="105">
        <v>0</v>
      </c>
      <c r="X685" s="105">
        <v>0</v>
      </c>
      <c r="Y685" s="105">
        <v>0</v>
      </c>
      <c r="Z685" s="105">
        <v>0</v>
      </c>
      <c r="AA685" s="105">
        <v>0</v>
      </c>
      <c r="AB685" s="105">
        <v>0</v>
      </c>
      <c r="AC685" s="8">
        <f t="shared" si="70"/>
        <v>15500000</v>
      </c>
      <c r="AD685" s="8">
        <f t="shared" si="71"/>
        <v>0</v>
      </c>
      <c r="AE685" s="8">
        <f t="shared" si="72"/>
        <v>0</v>
      </c>
      <c r="AF685" s="106">
        <f t="shared" si="73"/>
        <v>0</v>
      </c>
      <c r="AG685" s="8">
        <f t="shared" si="74"/>
        <v>0</v>
      </c>
      <c r="AH685" s="8">
        <f>IF($O685="Aktif",MAX(0,MIN($AE685,$AD685-SUM($AG685:AG685))),0)</f>
        <v>0</v>
      </c>
      <c r="AI685" s="8">
        <f>IF($O685="Aktif",MAX(0,MIN($AE685,$AD685-SUM($AG685:AH685))),0)</f>
        <v>0</v>
      </c>
      <c r="AJ685" s="8">
        <f>IF($O685="Aktif",MAX(0,MIN($AE685,$AD685-SUM($AG685:AI685))),0)</f>
        <v>0</v>
      </c>
      <c r="AK685" s="8">
        <f>IF($O685="Aktif",MAX(0,MIN($AE685,$AD685-SUM($AG685:AJ685))),0)</f>
        <v>0</v>
      </c>
      <c r="AL685" s="8">
        <f>IF($O685="Aktif",MAX(0,MIN($AE685,$AD685-SUM($AG685:AK685))),0)</f>
        <v>0</v>
      </c>
      <c r="AM685" s="8">
        <f>IF($O685="Aktif",MAX(0,MIN($AE685,$AD685-SUM($AG685:AL685))),0)</f>
        <v>0</v>
      </c>
      <c r="AN685" s="8">
        <f>IF($O685="Aktif",MAX(0,MIN($AE685,$AD685-SUM($AG685:AM685))),0)</f>
        <v>0</v>
      </c>
      <c r="AO685" s="8">
        <f>IF($O685="Aktif",MAX(0,MIN($AE685,$AD685-SUM($AG685:AN685))),0)</f>
        <v>0</v>
      </c>
      <c r="AP685" s="8">
        <f>IF($O685="Aktif",MAX(0,MIN($AE685,$AD685-SUM($AG685:AO685))),0)</f>
        <v>0</v>
      </c>
      <c r="AQ685" s="8">
        <f>IF($O685="Aktif",MAX(0,MIN($AE685,$AD685-SUM($AG685:AP685))),0)</f>
        <v>0</v>
      </c>
      <c r="AR685" s="8">
        <f>IF($O685="Aktif",MAX(0,MIN($AE685,$AD685-SUM($AG685:AQ685))),0)</f>
        <v>0</v>
      </c>
      <c r="AS685" s="8">
        <f>IF($O685="Aktif",MAX(0,MIN($AE685,$AD685-SUM($AG685:AR685))),0)</f>
        <v>0</v>
      </c>
      <c r="AT685" s="8">
        <f>IF($O685="Aktif",MAX(0,MIN($AE685,$AD685-SUM($AG685:AS685))),0)</f>
        <v>0</v>
      </c>
      <c r="AU685" s="8">
        <f>IF($O685="Aktif",MAX(0,MIN($AE685,$AD685-SUM($AG685:AT685))),0)</f>
        <v>0</v>
      </c>
      <c r="AV685" s="8">
        <f>IF($O685="Aktif",MAX(0,MIN($AE685,$AD685-SUM($AG685:AU685))),0)</f>
        <v>0</v>
      </c>
      <c r="AW685" s="8">
        <f t="shared" si="75"/>
        <v>0</v>
      </c>
      <c r="AX685" s="8">
        <f t="shared" si="76"/>
        <v>0</v>
      </c>
    </row>
    <row r="686" spans="1:50" ht="15" customHeight="1" x14ac:dyDescent="0.35">
      <c r="A686" s="102">
        <v>680</v>
      </c>
      <c r="B686" s="102" t="s">
        <v>1326</v>
      </c>
      <c r="C686" s="103">
        <v>314</v>
      </c>
      <c r="D686" s="102" t="s">
        <v>185</v>
      </c>
      <c r="E686" s="102" t="s">
        <v>587</v>
      </c>
      <c r="F686" s="102" t="s">
        <v>1327</v>
      </c>
      <c r="G686" s="102" t="s">
        <v>1328</v>
      </c>
      <c r="H686" s="102" t="s">
        <v>1329</v>
      </c>
      <c r="I686" s="102" t="s">
        <v>63</v>
      </c>
      <c r="J686" s="102" t="s">
        <v>2192</v>
      </c>
      <c r="K686" s="102" t="s">
        <v>591</v>
      </c>
      <c r="L686" s="104">
        <v>43042</v>
      </c>
      <c r="M686" s="102" t="s">
        <v>2193</v>
      </c>
      <c r="N686" s="102" t="s">
        <v>2194</v>
      </c>
      <c r="O686" s="102" t="s">
        <v>383</v>
      </c>
      <c r="P686" s="103">
        <v>2</v>
      </c>
      <c r="Q686" s="105">
        <v>51000000</v>
      </c>
      <c r="R686" s="103">
        <v>48</v>
      </c>
      <c r="S686" s="105">
        <v>1062500</v>
      </c>
      <c r="T686" s="105">
        <v>51000000</v>
      </c>
      <c r="U686" s="105">
        <v>0</v>
      </c>
      <c r="V686" s="105">
        <v>0</v>
      </c>
      <c r="W686" s="105">
        <v>0</v>
      </c>
      <c r="X686" s="105">
        <v>0</v>
      </c>
      <c r="Y686" s="105">
        <v>0</v>
      </c>
      <c r="Z686" s="105">
        <v>0</v>
      </c>
      <c r="AA686" s="105">
        <v>0</v>
      </c>
      <c r="AB686" s="105">
        <v>0</v>
      </c>
      <c r="AC686" s="8">
        <f t="shared" si="70"/>
        <v>51000000</v>
      </c>
      <c r="AD686" s="8">
        <f t="shared" si="71"/>
        <v>0</v>
      </c>
      <c r="AE686" s="8">
        <f t="shared" si="72"/>
        <v>0</v>
      </c>
      <c r="AF686" s="106">
        <f t="shared" si="73"/>
        <v>0</v>
      </c>
      <c r="AG686" s="8">
        <f t="shared" si="74"/>
        <v>0</v>
      </c>
      <c r="AH686" s="8">
        <f>IF($O686="Aktif",MAX(0,MIN($AE686,$AD686-SUM($AG686:AG686))),0)</f>
        <v>0</v>
      </c>
      <c r="AI686" s="8">
        <f>IF($O686="Aktif",MAX(0,MIN($AE686,$AD686-SUM($AG686:AH686))),0)</f>
        <v>0</v>
      </c>
      <c r="AJ686" s="8">
        <f>IF($O686="Aktif",MAX(0,MIN($AE686,$AD686-SUM($AG686:AI686))),0)</f>
        <v>0</v>
      </c>
      <c r="AK686" s="8">
        <f>IF($O686="Aktif",MAX(0,MIN($AE686,$AD686-SUM($AG686:AJ686))),0)</f>
        <v>0</v>
      </c>
      <c r="AL686" s="8">
        <f>IF($O686="Aktif",MAX(0,MIN($AE686,$AD686-SUM($AG686:AK686))),0)</f>
        <v>0</v>
      </c>
      <c r="AM686" s="8">
        <f>IF($O686="Aktif",MAX(0,MIN($AE686,$AD686-SUM($AG686:AL686))),0)</f>
        <v>0</v>
      </c>
      <c r="AN686" s="8">
        <f>IF($O686="Aktif",MAX(0,MIN($AE686,$AD686-SUM($AG686:AM686))),0)</f>
        <v>0</v>
      </c>
      <c r="AO686" s="8">
        <f>IF($O686="Aktif",MAX(0,MIN($AE686,$AD686-SUM($AG686:AN686))),0)</f>
        <v>0</v>
      </c>
      <c r="AP686" s="8">
        <f>IF($O686="Aktif",MAX(0,MIN($AE686,$AD686-SUM($AG686:AO686))),0)</f>
        <v>0</v>
      </c>
      <c r="AQ686" s="8">
        <f>IF($O686="Aktif",MAX(0,MIN($AE686,$AD686-SUM($AG686:AP686))),0)</f>
        <v>0</v>
      </c>
      <c r="AR686" s="8">
        <f>IF($O686="Aktif",MAX(0,MIN($AE686,$AD686-SUM($AG686:AQ686))),0)</f>
        <v>0</v>
      </c>
      <c r="AS686" s="8">
        <f>IF($O686="Aktif",MAX(0,MIN($AE686,$AD686-SUM($AG686:AR686))),0)</f>
        <v>0</v>
      </c>
      <c r="AT686" s="8">
        <f>IF($O686="Aktif",MAX(0,MIN($AE686,$AD686-SUM($AG686:AS686))),0)</f>
        <v>0</v>
      </c>
      <c r="AU686" s="8">
        <f>IF($O686="Aktif",MAX(0,MIN($AE686,$AD686-SUM($AG686:AT686))),0)</f>
        <v>0</v>
      </c>
      <c r="AV686" s="8">
        <f>IF($O686="Aktif",MAX(0,MIN($AE686,$AD686-SUM($AG686:AU686))),0)</f>
        <v>0</v>
      </c>
      <c r="AW686" s="8">
        <f t="shared" si="75"/>
        <v>0</v>
      </c>
      <c r="AX686" s="8">
        <f t="shared" si="76"/>
        <v>0</v>
      </c>
    </row>
    <row r="687" spans="1:50" ht="15" customHeight="1" x14ac:dyDescent="0.35">
      <c r="A687" s="102">
        <v>681</v>
      </c>
      <c r="B687" s="102" t="s">
        <v>1326</v>
      </c>
      <c r="C687" s="103">
        <v>315</v>
      </c>
      <c r="D687" s="102" t="s">
        <v>185</v>
      </c>
      <c r="E687" s="102" t="s">
        <v>587</v>
      </c>
      <c r="F687" s="102" t="s">
        <v>1327</v>
      </c>
      <c r="G687" s="102" t="s">
        <v>1328</v>
      </c>
      <c r="H687" s="102" t="s">
        <v>1329</v>
      </c>
      <c r="I687" s="102" t="s">
        <v>63</v>
      </c>
      <c r="J687" s="102" t="s">
        <v>2195</v>
      </c>
      <c r="K687" s="102" t="s">
        <v>591</v>
      </c>
      <c r="L687" s="104">
        <v>43042</v>
      </c>
      <c r="M687" s="102" t="s">
        <v>2196</v>
      </c>
      <c r="N687" s="102" t="s">
        <v>2197</v>
      </c>
      <c r="O687" s="102" t="s">
        <v>383</v>
      </c>
      <c r="P687" s="103">
        <v>2</v>
      </c>
      <c r="Q687" s="105">
        <v>16000000</v>
      </c>
      <c r="R687" s="103">
        <v>48</v>
      </c>
      <c r="S687" s="105">
        <v>333333.33333333302</v>
      </c>
      <c r="T687" s="105">
        <v>16000000</v>
      </c>
      <c r="U687" s="105">
        <v>0</v>
      </c>
      <c r="V687" s="105">
        <v>0</v>
      </c>
      <c r="W687" s="105">
        <v>0</v>
      </c>
      <c r="X687" s="105">
        <v>0</v>
      </c>
      <c r="Y687" s="105">
        <v>0</v>
      </c>
      <c r="Z687" s="105">
        <v>0</v>
      </c>
      <c r="AA687" s="105">
        <v>0</v>
      </c>
      <c r="AB687" s="105">
        <v>0</v>
      </c>
      <c r="AC687" s="8">
        <f t="shared" si="70"/>
        <v>16000000</v>
      </c>
      <c r="AD687" s="8">
        <f t="shared" si="71"/>
        <v>0</v>
      </c>
      <c r="AE687" s="8">
        <f t="shared" si="72"/>
        <v>0</v>
      </c>
      <c r="AF687" s="106">
        <f t="shared" si="73"/>
        <v>0</v>
      </c>
      <c r="AG687" s="8">
        <f t="shared" si="74"/>
        <v>0</v>
      </c>
      <c r="AH687" s="8">
        <f>IF($O687="Aktif",MAX(0,MIN($AE687,$AD687-SUM($AG687:AG687))),0)</f>
        <v>0</v>
      </c>
      <c r="AI687" s="8">
        <f>IF($O687="Aktif",MAX(0,MIN($AE687,$AD687-SUM($AG687:AH687))),0)</f>
        <v>0</v>
      </c>
      <c r="AJ687" s="8">
        <f>IF($O687="Aktif",MAX(0,MIN($AE687,$AD687-SUM($AG687:AI687))),0)</f>
        <v>0</v>
      </c>
      <c r="AK687" s="8">
        <f>IF($O687="Aktif",MAX(0,MIN($AE687,$AD687-SUM($AG687:AJ687))),0)</f>
        <v>0</v>
      </c>
      <c r="AL687" s="8">
        <f>IF($O687="Aktif",MAX(0,MIN($AE687,$AD687-SUM($AG687:AK687))),0)</f>
        <v>0</v>
      </c>
      <c r="AM687" s="8">
        <f>IF($O687="Aktif",MAX(0,MIN($AE687,$AD687-SUM($AG687:AL687))),0)</f>
        <v>0</v>
      </c>
      <c r="AN687" s="8">
        <f>IF($O687="Aktif",MAX(0,MIN($AE687,$AD687-SUM($AG687:AM687))),0)</f>
        <v>0</v>
      </c>
      <c r="AO687" s="8">
        <f>IF($O687="Aktif",MAX(0,MIN($AE687,$AD687-SUM($AG687:AN687))),0)</f>
        <v>0</v>
      </c>
      <c r="AP687" s="8">
        <f>IF($O687="Aktif",MAX(0,MIN($AE687,$AD687-SUM($AG687:AO687))),0)</f>
        <v>0</v>
      </c>
      <c r="AQ687" s="8">
        <f>IF($O687="Aktif",MAX(0,MIN($AE687,$AD687-SUM($AG687:AP687))),0)</f>
        <v>0</v>
      </c>
      <c r="AR687" s="8">
        <f>IF($O687="Aktif",MAX(0,MIN($AE687,$AD687-SUM($AG687:AQ687))),0)</f>
        <v>0</v>
      </c>
      <c r="AS687" s="8">
        <f>IF($O687="Aktif",MAX(0,MIN($AE687,$AD687-SUM($AG687:AR687))),0)</f>
        <v>0</v>
      </c>
      <c r="AT687" s="8">
        <f>IF($O687="Aktif",MAX(0,MIN($AE687,$AD687-SUM($AG687:AS687))),0)</f>
        <v>0</v>
      </c>
      <c r="AU687" s="8">
        <f>IF($O687="Aktif",MAX(0,MIN($AE687,$AD687-SUM($AG687:AT687))),0)</f>
        <v>0</v>
      </c>
      <c r="AV687" s="8">
        <f>IF($O687="Aktif",MAX(0,MIN($AE687,$AD687-SUM($AG687:AU687))),0)</f>
        <v>0</v>
      </c>
      <c r="AW687" s="8">
        <f t="shared" si="75"/>
        <v>0</v>
      </c>
      <c r="AX687" s="8">
        <f t="shared" si="76"/>
        <v>0</v>
      </c>
    </row>
    <row r="688" spans="1:50" ht="15" customHeight="1" x14ac:dyDescent="0.35">
      <c r="A688" s="102">
        <v>682</v>
      </c>
      <c r="B688" s="102" t="s">
        <v>1326</v>
      </c>
      <c r="C688" s="103">
        <v>316</v>
      </c>
      <c r="D688" s="102" t="s">
        <v>185</v>
      </c>
      <c r="E688" s="102" t="s">
        <v>587</v>
      </c>
      <c r="F688" s="102" t="s">
        <v>1327</v>
      </c>
      <c r="G688" s="102" t="s">
        <v>1328</v>
      </c>
      <c r="H688" s="102" t="s">
        <v>1329</v>
      </c>
      <c r="I688" s="102" t="s">
        <v>63</v>
      </c>
      <c r="J688" s="102" t="s">
        <v>2198</v>
      </c>
      <c r="K688" s="102" t="s">
        <v>591</v>
      </c>
      <c r="L688" s="104">
        <v>43046</v>
      </c>
      <c r="M688" s="102" t="s">
        <v>2199</v>
      </c>
      <c r="N688" s="102" t="s">
        <v>2200</v>
      </c>
      <c r="O688" s="102" t="s">
        <v>383</v>
      </c>
      <c r="P688" s="103">
        <v>1</v>
      </c>
      <c r="Q688" s="105">
        <v>25500000</v>
      </c>
      <c r="R688" s="103">
        <v>48</v>
      </c>
      <c r="S688" s="105">
        <v>531250</v>
      </c>
      <c r="T688" s="105">
        <v>25500000</v>
      </c>
      <c r="U688" s="105">
        <v>0</v>
      </c>
      <c r="V688" s="105">
        <v>0</v>
      </c>
      <c r="W688" s="105">
        <v>0</v>
      </c>
      <c r="X688" s="105">
        <v>0</v>
      </c>
      <c r="Y688" s="105">
        <v>0</v>
      </c>
      <c r="Z688" s="105">
        <v>0</v>
      </c>
      <c r="AA688" s="105">
        <v>0</v>
      </c>
      <c r="AB688" s="105">
        <v>0</v>
      </c>
      <c r="AC688" s="8">
        <f t="shared" si="70"/>
        <v>25500000</v>
      </c>
      <c r="AD688" s="8">
        <f t="shared" si="71"/>
        <v>0</v>
      </c>
      <c r="AE688" s="8">
        <f t="shared" si="72"/>
        <v>0</v>
      </c>
      <c r="AF688" s="106">
        <f t="shared" si="73"/>
        <v>0</v>
      </c>
      <c r="AG688" s="8">
        <f t="shared" si="74"/>
        <v>0</v>
      </c>
      <c r="AH688" s="8">
        <f>IF($O688="Aktif",MAX(0,MIN($AE688,$AD688-SUM($AG688:AG688))),0)</f>
        <v>0</v>
      </c>
      <c r="AI688" s="8">
        <f>IF($O688="Aktif",MAX(0,MIN($AE688,$AD688-SUM($AG688:AH688))),0)</f>
        <v>0</v>
      </c>
      <c r="AJ688" s="8">
        <f>IF($O688="Aktif",MAX(0,MIN($AE688,$AD688-SUM($AG688:AI688))),0)</f>
        <v>0</v>
      </c>
      <c r="AK688" s="8">
        <f>IF($O688="Aktif",MAX(0,MIN($AE688,$AD688-SUM($AG688:AJ688))),0)</f>
        <v>0</v>
      </c>
      <c r="AL688" s="8">
        <f>IF($O688="Aktif",MAX(0,MIN($AE688,$AD688-SUM($AG688:AK688))),0)</f>
        <v>0</v>
      </c>
      <c r="AM688" s="8">
        <f>IF($O688="Aktif",MAX(0,MIN($AE688,$AD688-SUM($AG688:AL688))),0)</f>
        <v>0</v>
      </c>
      <c r="AN688" s="8">
        <f>IF($O688="Aktif",MAX(0,MIN($AE688,$AD688-SUM($AG688:AM688))),0)</f>
        <v>0</v>
      </c>
      <c r="AO688" s="8">
        <f>IF($O688="Aktif",MAX(0,MIN($AE688,$AD688-SUM($AG688:AN688))),0)</f>
        <v>0</v>
      </c>
      <c r="AP688" s="8">
        <f>IF($O688="Aktif",MAX(0,MIN($AE688,$AD688-SUM($AG688:AO688))),0)</f>
        <v>0</v>
      </c>
      <c r="AQ688" s="8">
        <f>IF($O688="Aktif",MAX(0,MIN($AE688,$AD688-SUM($AG688:AP688))),0)</f>
        <v>0</v>
      </c>
      <c r="AR688" s="8">
        <f>IF($O688="Aktif",MAX(0,MIN($AE688,$AD688-SUM($AG688:AQ688))),0)</f>
        <v>0</v>
      </c>
      <c r="AS688" s="8">
        <f>IF($O688="Aktif",MAX(0,MIN($AE688,$AD688-SUM($AG688:AR688))),0)</f>
        <v>0</v>
      </c>
      <c r="AT688" s="8">
        <f>IF($O688="Aktif",MAX(0,MIN($AE688,$AD688-SUM($AG688:AS688))),0)</f>
        <v>0</v>
      </c>
      <c r="AU688" s="8">
        <f>IF($O688="Aktif",MAX(0,MIN($AE688,$AD688-SUM($AG688:AT688))),0)</f>
        <v>0</v>
      </c>
      <c r="AV688" s="8">
        <f>IF($O688="Aktif",MAX(0,MIN($AE688,$AD688-SUM($AG688:AU688))),0)</f>
        <v>0</v>
      </c>
      <c r="AW688" s="8">
        <f t="shared" si="75"/>
        <v>0</v>
      </c>
      <c r="AX688" s="8">
        <f t="shared" si="76"/>
        <v>0</v>
      </c>
    </row>
    <row r="689" spans="1:50" ht="15" customHeight="1" x14ac:dyDescent="0.35">
      <c r="A689" s="102">
        <v>683</v>
      </c>
      <c r="B689" s="102" t="s">
        <v>1326</v>
      </c>
      <c r="C689" s="103">
        <v>317</v>
      </c>
      <c r="D689" s="102" t="s">
        <v>185</v>
      </c>
      <c r="E689" s="102" t="s">
        <v>587</v>
      </c>
      <c r="F689" s="102" t="s">
        <v>1327</v>
      </c>
      <c r="G689" s="102" t="s">
        <v>1328</v>
      </c>
      <c r="H689" s="102" t="s">
        <v>1329</v>
      </c>
      <c r="I689" s="102" t="s">
        <v>63</v>
      </c>
      <c r="J689" s="102" t="s">
        <v>2201</v>
      </c>
      <c r="K689" s="102" t="s">
        <v>591</v>
      </c>
      <c r="L689" s="104">
        <v>43052</v>
      </c>
      <c r="M689" s="102" t="s">
        <v>2202</v>
      </c>
      <c r="N689" s="102" t="s">
        <v>2203</v>
      </c>
      <c r="O689" s="102" t="s">
        <v>383</v>
      </c>
      <c r="P689" s="103">
        <v>2</v>
      </c>
      <c r="Q689" s="105">
        <v>17438400</v>
      </c>
      <c r="R689" s="103">
        <v>48</v>
      </c>
      <c r="S689" s="105">
        <v>363300</v>
      </c>
      <c r="T689" s="105">
        <v>17438400</v>
      </c>
      <c r="U689" s="105">
        <v>0</v>
      </c>
      <c r="V689" s="105">
        <v>0</v>
      </c>
      <c r="W689" s="105">
        <v>0</v>
      </c>
      <c r="X689" s="105">
        <v>0</v>
      </c>
      <c r="Y689" s="105">
        <v>0</v>
      </c>
      <c r="Z689" s="105">
        <v>0</v>
      </c>
      <c r="AA689" s="105">
        <v>0</v>
      </c>
      <c r="AB689" s="105">
        <v>0</v>
      </c>
      <c r="AC689" s="8">
        <f t="shared" si="70"/>
        <v>17438400</v>
      </c>
      <c r="AD689" s="8">
        <f t="shared" si="71"/>
        <v>0</v>
      </c>
      <c r="AE689" s="8">
        <f t="shared" si="72"/>
        <v>0</v>
      </c>
      <c r="AF689" s="106">
        <f t="shared" si="73"/>
        <v>0</v>
      </c>
      <c r="AG689" s="8">
        <f t="shared" si="74"/>
        <v>0</v>
      </c>
      <c r="AH689" s="8">
        <f>IF($O689="Aktif",MAX(0,MIN($AE689,$AD689-SUM($AG689:AG689))),0)</f>
        <v>0</v>
      </c>
      <c r="AI689" s="8">
        <f>IF($O689="Aktif",MAX(0,MIN($AE689,$AD689-SUM($AG689:AH689))),0)</f>
        <v>0</v>
      </c>
      <c r="AJ689" s="8">
        <f>IF($O689="Aktif",MAX(0,MIN($AE689,$AD689-SUM($AG689:AI689))),0)</f>
        <v>0</v>
      </c>
      <c r="AK689" s="8">
        <f>IF($O689="Aktif",MAX(0,MIN($AE689,$AD689-SUM($AG689:AJ689))),0)</f>
        <v>0</v>
      </c>
      <c r="AL689" s="8">
        <f>IF($O689="Aktif",MAX(0,MIN($AE689,$AD689-SUM($AG689:AK689))),0)</f>
        <v>0</v>
      </c>
      <c r="AM689" s="8">
        <f>IF($O689="Aktif",MAX(0,MIN($AE689,$AD689-SUM($AG689:AL689))),0)</f>
        <v>0</v>
      </c>
      <c r="AN689" s="8">
        <f>IF($O689="Aktif",MAX(0,MIN($AE689,$AD689-SUM($AG689:AM689))),0)</f>
        <v>0</v>
      </c>
      <c r="AO689" s="8">
        <f>IF($O689="Aktif",MAX(0,MIN($AE689,$AD689-SUM($AG689:AN689))),0)</f>
        <v>0</v>
      </c>
      <c r="AP689" s="8">
        <f>IF($O689="Aktif",MAX(0,MIN($AE689,$AD689-SUM($AG689:AO689))),0)</f>
        <v>0</v>
      </c>
      <c r="AQ689" s="8">
        <f>IF($O689="Aktif",MAX(0,MIN($AE689,$AD689-SUM($AG689:AP689))),0)</f>
        <v>0</v>
      </c>
      <c r="AR689" s="8">
        <f>IF($O689="Aktif",MAX(0,MIN($AE689,$AD689-SUM($AG689:AQ689))),0)</f>
        <v>0</v>
      </c>
      <c r="AS689" s="8">
        <f>IF($O689="Aktif",MAX(0,MIN($AE689,$AD689-SUM($AG689:AR689))),0)</f>
        <v>0</v>
      </c>
      <c r="AT689" s="8">
        <f>IF($O689="Aktif",MAX(0,MIN($AE689,$AD689-SUM($AG689:AS689))),0)</f>
        <v>0</v>
      </c>
      <c r="AU689" s="8">
        <f>IF($O689="Aktif",MAX(0,MIN($AE689,$AD689-SUM($AG689:AT689))),0)</f>
        <v>0</v>
      </c>
      <c r="AV689" s="8">
        <f>IF($O689="Aktif",MAX(0,MIN($AE689,$AD689-SUM($AG689:AU689))),0)</f>
        <v>0</v>
      </c>
      <c r="AW689" s="8">
        <f t="shared" si="75"/>
        <v>0</v>
      </c>
      <c r="AX689" s="8">
        <f t="shared" si="76"/>
        <v>0</v>
      </c>
    </row>
    <row r="690" spans="1:50" ht="15" customHeight="1" x14ac:dyDescent="0.35">
      <c r="A690" s="102">
        <v>684</v>
      </c>
      <c r="B690" s="102" t="s">
        <v>1326</v>
      </c>
      <c r="C690" s="103">
        <v>318</v>
      </c>
      <c r="D690" s="102" t="s">
        <v>185</v>
      </c>
      <c r="E690" s="102" t="s">
        <v>587</v>
      </c>
      <c r="F690" s="102" t="s">
        <v>1327</v>
      </c>
      <c r="G690" s="102" t="s">
        <v>1328</v>
      </c>
      <c r="H690" s="102" t="s">
        <v>1329</v>
      </c>
      <c r="I690" s="102" t="s">
        <v>63</v>
      </c>
      <c r="J690" s="102" t="s">
        <v>2204</v>
      </c>
      <c r="K690" s="102" t="s">
        <v>591</v>
      </c>
      <c r="L690" s="104">
        <v>43053</v>
      </c>
      <c r="M690" s="102" t="s">
        <v>2205</v>
      </c>
      <c r="N690" s="102" t="s">
        <v>2206</v>
      </c>
      <c r="O690" s="102" t="s">
        <v>383</v>
      </c>
      <c r="P690" s="103">
        <v>1</v>
      </c>
      <c r="Q690" s="105">
        <v>9500000</v>
      </c>
      <c r="R690" s="103">
        <v>48</v>
      </c>
      <c r="S690" s="105">
        <v>197916.66666666701</v>
      </c>
      <c r="T690" s="105">
        <v>9500000</v>
      </c>
      <c r="U690" s="105">
        <v>0</v>
      </c>
      <c r="V690" s="105">
        <v>0</v>
      </c>
      <c r="W690" s="105">
        <v>0</v>
      </c>
      <c r="X690" s="105">
        <v>0</v>
      </c>
      <c r="Y690" s="105">
        <v>0</v>
      </c>
      <c r="Z690" s="105">
        <v>0</v>
      </c>
      <c r="AA690" s="105">
        <v>0</v>
      </c>
      <c r="AB690" s="105">
        <v>0</v>
      </c>
      <c r="AC690" s="8">
        <f t="shared" si="70"/>
        <v>9500000</v>
      </c>
      <c r="AD690" s="8">
        <f t="shared" si="71"/>
        <v>0</v>
      </c>
      <c r="AE690" s="8">
        <f t="shared" si="72"/>
        <v>0</v>
      </c>
      <c r="AF690" s="106">
        <f t="shared" si="73"/>
        <v>0</v>
      </c>
      <c r="AG690" s="8">
        <f t="shared" si="74"/>
        <v>0</v>
      </c>
      <c r="AH690" s="8">
        <f>IF($O690="Aktif",MAX(0,MIN($AE690,$AD690-SUM($AG690:AG690))),0)</f>
        <v>0</v>
      </c>
      <c r="AI690" s="8">
        <f>IF($O690="Aktif",MAX(0,MIN($AE690,$AD690-SUM($AG690:AH690))),0)</f>
        <v>0</v>
      </c>
      <c r="AJ690" s="8">
        <f>IF($O690="Aktif",MAX(0,MIN($AE690,$AD690-SUM($AG690:AI690))),0)</f>
        <v>0</v>
      </c>
      <c r="AK690" s="8">
        <f>IF($O690="Aktif",MAX(0,MIN($AE690,$AD690-SUM($AG690:AJ690))),0)</f>
        <v>0</v>
      </c>
      <c r="AL690" s="8">
        <f>IF($O690="Aktif",MAX(0,MIN($AE690,$AD690-SUM($AG690:AK690))),0)</f>
        <v>0</v>
      </c>
      <c r="AM690" s="8">
        <f>IF($O690="Aktif",MAX(0,MIN($AE690,$AD690-SUM($AG690:AL690))),0)</f>
        <v>0</v>
      </c>
      <c r="AN690" s="8">
        <f>IF($O690="Aktif",MAX(0,MIN($AE690,$AD690-SUM($AG690:AM690))),0)</f>
        <v>0</v>
      </c>
      <c r="AO690" s="8">
        <f>IF($O690="Aktif",MAX(0,MIN($AE690,$AD690-SUM($AG690:AN690))),0)</f>
        <v>0</v>
      </c>
      <c r="AP690" s="8">
        <f>IF($O690="Aktif",MAX(0,MIN($AE690,$AD690-SUM($AG690:AO690))),0)</f>
        <v>0</v>
      </c>
      <c r="AQ690" s="8">
        <f>IF($O690="Aktif",MAX(0,MIN($AE690,$AD690-SUM($AG690:AP690))),0)</f>
        <v>0</v>
      </c>
      <c r="AR690" s="8">
        <f>IF($O690="Aktif",MAX(0,MIN($AE690,$AD690-SUM($AG690:AQ690))),0)</f>
        <v>0</v>
      </c>
      <c r="AS690" s="8">
        <f>IF($O690="Aktif",MAX(0,MIN($AE690,$AD690-SUM($AG690:AR690))),0)</f>
        <v>0</v>
      </c>
      <c r="AT690" s="8">
        <f>IF($O690="Aktif",MAX(0,MIN($AE690,$AD690-SUM($AG690:AS690))),0)</f>
        <v>0</v>
      </c>
      <c r="AU690" s="8">
        <f>IF($O690="Aktif",MAX(0,MIN($AE690,$AD690-SUM($AG690:AT690))),0)</f>
        <v>0</v>
      </c>
      <c r="AV690" s="8">
        <f>IF($O690="Aktif",MAX(0,MIN($AE690,$AD690-SUM($AG690:AU690))),0)</f>
        <v>0</v>
      </c>
      <c r="AW690" s="8">
        <f t="shared" si="75"/>
        <v>0</v>
      </c>
      <c r="AX690" s="8">
        <f t="shared" si="76"/>
        <v>0</v>
      </c>
    </row>
    <row r="691" spans="1:50" ht="15" customHeight="1" x14ac:dyDescent="0.35">
      <c r="A691" s="102">
        <v>685</v>
      </c>
      <c r="B691" s="102" t="s">
        <v>1326</v>
      </c>
      <c r="C691" s="103">
        <v>319</v>
      </c>
      <c r="D691" s="102" t="s">
        <v>185</v>
      </c>
      <c r="E691" s="102" t="s">
        <v>587</v>
      </c>
      <c r="F691" s="102" t="s">
        <v>1327</v>
      </c>
      <c r="G691" s="102" t="s">
        <v>1328</v>
      </c>
      <c r="H691" s="102" t="s">
        <v>1329</v>
      </c>
      <c r="I691" s="102" t="s">
        <v>63</v>
      </c>
      <c r="J691" s="102" t="s">
        <v>2207</v>
      </c>
      <c r="K691" s="102" t="s">
        <v>591</v>
      </c>
      <c r="L691" s="104">
        <v>43053</v>
      </c>
      <c r="M691" s="102" t="s">
        <v>2208</v>
      </c>
      <c r="N691" s="102" t="s">
        <v>2209</v>
      </c>
      <c r="O691" s="102" t="s">
        <v>383</v>
      </c>
      <c r="P691" s="103">
        <v>1</v>
      </c>
      <c r="Q691" s="105">
        <v>14000000</v>
      </c>
      <c r="R691" s="103">
        <v>48</v>
      </c>
      <c r="S691" s="105">
        <v>291666.66666666698</v>
      </c>
      <c r="T691" s="105">
        <v>14000000</v>
      </c>
      <c r="U691" s="105">
        <v>0</v>
      </c>
      <c r="V691" s="105">
        <v>0</v>
      </c>
      <c r="W691" s="105">
        <v>0</v>
      </c>
      <c r="X691" s="105">
        <v>0</v>
      </c>
      <c r="Y691" s="105">
        <v>0</v>
      </c>
      <c r="Z691" s="105">
        <v>0</v>
      </c>
      <c r="AA691" s="105">
        <v>0</v>
      </c>
      <c r="AB691" s="105">
        <v>0</v>
      </c>
      <c r="AC691" s="8">
        <f t="shared" si="70"/>
        <v>14000000</v>
      </c>
      <c r="AD691" s="8">
        <f t="shared" si="71"/>
        <v>0</v>
      </c>
      <c r="AE691" s="8">
        <f t="shared" si="72"/>
        <v>0</v>
      </c>
      <c r="AF691" s="106">
        <f t="shared" si="73"/>
        <v>0</v>
      </c>
      <c r="AG691" s="8">
        <f t="shared" si="74"/>
        <v>0</v>
      </c>
      <c r="AH691" s="8">
        <f>IF($O691="Aktif",MAX(0,MIN($AE691,$AD691-SUM($AG691:AG691))),0)</f>
        <v>0</v>
      </c>
      <c r="AI691" s="8">
        <f>IF($O691="Aktif",MAX(0,MIN($AE691,$AD691-SUM($AG691:AH691))),0)</f>
        <v>0</v>
      </c>
      <c r="AJ691" s="8">
        <f>IF($O691="Aktif",MAX(0,MIN($AE691,$AD691-SUM($AG691:AI691))),0)</f>
        <v>0</v>
      </c>
      <c r="AK691" s="8">
        <f>IF($O691="Aktif",MAX(0,MIN($AE691,$AD691-SUM($AG691:AJ691))),0)</f>
        <v>0</v>
      </c>
      <c r="AL691" s="8">
        <f>IF($O691="Aktif",MAX(0,MIN($AE691,$AD691-SUM($AG691:AK691))),0)</f>
        <v>0</v>
      </c>
      <c r="AM691" s="8">
        <f>IF($O691="Aktif",MAX(0,MIN($AE691,$AD691-SUM($AG691:AL691))),0)</f>
        <v>0</v>
      </c>
      <c r="AN691" s="8">
        <f>IF($O691="Aktif",MAX(0,MIN($AE691,$AD691-SUM($AG691:AM691))),0)</f>
        <v>0</v>
      </c>
      <c r="AO691" s="8">
        <f>IF($O691="Aktif",MAX(0,MIN($AE691,$AD691-SUM($AG691:AN691))),0)</f>
        <v>0</v>
      </c>
      <c r="AP691" s="8">
        <f>IF($O691="Aktif",MAX(0,MIN($AE691,$AD691-SUM($AG691:AO691))),0)</f>
        <v>0</v>
      </c>
      <c r="AQ691" s="8">
        <f>IF($O691="Aktif",MAX(0,MIN($AE691,$AD691-SUM($AG691:AP691))),0)</f>
        <v>0</v>
      </c>
      <c r="AR691" s="8">
        <f>IF($O691="Aktif",MAX(0,MIN($AE691,$AD691-SUM($AG691:AQ691))),0)</f>
        <v>0</v>
      </c>
      <c r="AS691" s="8">
        <f>IF($O691="Aktif",MAX(0,MIN($AE691,$AD691-SUM($AG691:AR691))),0)</f>
        <v>0</v>
      </c>
      <c r="AT691" s="8">
        <f>IF($O691="Aktif",MAX(0,MIN($AE691,$AD691-SUM($AG691:AS691))),0)</f>
        <v>0</v>
      </c>
      <c r="AU691" s="8">
        <f>IF($O691="Aktif",MAX(0,MIN($AE691,$AD691-SUM($AG691:AT691))),0)</f>
        <v>0</v>
      </c>
      <c r="AV691" s="8">
        <f>IF($O691="Aktif",MAX(0,MIN($AE691,$AD691-SUM($AG691:AU691))),0)</f>
        <v>0</v>
      </c>
      <c r="AW691" s="8">
        <f t="shared" si="75"/>
        <v>0</v>
      </c>
      <c r="AX691" s="8">
        <f t="shared" si="76"/>
        <v>0</v>
      </c>
    </row>
    <row r="692" spans="1:50" ht="15" customHeight="1" x14ac:dyDescent="0.35">
      <c r="A692" s="102">
        <v>686</v>
      </c>
      <c r="B692" s="102" t="s">
        <v>1326</v>
      </c>
      <c r="C692" s="103">
        <v>320</v>
      </c>
      <c r="D692" s="102" t="s">
        <v>185</v>
      </c>
      <c r="E692" s="102" t="s">
        <v>587</v>
      </c>
      <c r="F692" s="102" t="s">
        <v>1327</v>
      </c>
      <c r="G692" s="102" t="s">
        <v>1328</v>
      </c>
      <c r="H692" s="102" t="s">
        <v>1329</v>
      </c>
      <c r="I692" s="102" t="s">
        <v>63</v>
      </c>
      <c r="J692" s="102" t="s">
        <v>2210</v>
      </c>
      <c r="K692" s="102" t="s">
        <v>591</v>
      </c>
      <c r="L692" s="104">
        <v>43056</v>
      </c>
      <c r="M692" s="102" t="s">
        <v>2211</v>
      </c>
      <c r="N692" s="102" t="s">
        <v>2212</v>
      </c>
      <c r="O692" s="102" t="s">
        <v>383</v>
      </c>
      <c r="P692" s="103">
        <v>1</v>
      </c>
      <c r="Q692" s="105">
        <v>12500000</v>
      </c>
      <c r="R692" s="103">
        <v>48</v>
      </c>
      <c r="S692" s="105">
        <v>260416.66666666701</v>
      </c>
      <c r="T692" s="105">
        <v>12500000</v>
      </c>
      <c r="U692" s="105">
        <v>0</v>
      </c>
      <c r="V692" s="105">
        <v>0</v>
      </c>
      <c r="W692" s="105">
        <v>0</v>
      </c>
      <c r="X692" s="105">
        <v>0</v>
      </c>
      <c r="Y692" s="105">
        <v>0</v>
      </c>
      <c r="Z692" s="105">
        <v>0</v>
      </c>
      <c r="AA692" s="105">
        <v>0</v>
      </c>
      <c r="AB692" s="105">
        <v>0</v>
      </c>
      <c r="AC692" s="8">
        <f t="shared" si="70"/>
        <v>12500000</v>
      </c>
      <c r="AD692" s="8">
        <f t="shared" si="71"/>
        <v>0</v>
      </c>
      <c r="AE692" s="8">
        <f t="shared" si="72"/>
        <v>0</v>
      </c>
      <c r="AF692" s="106">
        <f t="shared" si="73"/>
        <v>0</v>
      </c>
      <c r="AG692" s="8">
        <f t="shared" si="74"/>
        <v>0</v>
      </c>
      <c r="AH692" s="8">
        <f>IF($O692="Aktif",MAX(0,MIN($AE692,$AD692-SUM($AG692:AG692))),0)</f>
        <v>0</v>
      </c>
      <c r="AI692" s="8">
        <f>IF($O692="Aktif",MAX(0,MIN($AE692,$AD692-SUM($AG692:AH692))),0)</f>
        <v>0</v>
      </c>
      <c r="AJ692" s="8">
        <f>IF($O692="Aktif",MAX(0,MIN($AE692,$AD692-SUM($AG692:AI692))),0)</f>
        <v>0</v>
      </c>
      <c r="AK692" s="8">
        <f>IF($O692="Aktif",MAX(0,MIN($AE692,$AD692-SUM($AG692:AJ692))),0)</f>
        <v>0</v>
      </c>
      <c r="AL692" s="8">
        <f>IF($O692="Aktif",MAX(0,MIN($AE692,$AD692-SUM($AG692:AK692))),0)</f>
        <v>0</v>
      </c>
      <c r="AM692" s="8">
        <f>IF($O692="Aktif",MAX(0,MIN($AE692,$AD692-SUM($AG692:AL692))),0)</f>
        <v>0</v>
      </c>
      <c r="AN692" s="8">
        <f>IF($O692="Aktif",MAX(0,MIN($AE692,$AD692-SUM($AG692:AM692))),0)</f>
        <v>0</v>
      </c>
      <c r="AO692" s="8">
        <f>IF($O692="Aktif",MAX(0,MIN($AE692,$AD692-SUM($AG692:AN692))),0)</f>
        <v>0</v>
      </c>
      <c r="AP692" s="8">
        <f>IF($O692="Aktif",MAX(0,MIN($AE692,$AD692-SUM($AG692:AO692))),0)</f>
        <v>0</v>
      </c>
      <c r="AQ692" s="8">
        <f>IF($O692="Aktif",MAX(0,MIN($AE692,$AD692-SUM($AG692:AP692))),0)</f>
        <v>0</v>
      </c>
      <c r="AR692" s="8">
        <f>IF($O692="Aktif",MAX(0,MIN($AE692,$AD692-SUM($AG692:AQ692))),0)</f>
        <v>0</v>
      </c>
      <c r="AS692" s="8">
        <f>IF($O692="Aktif",MAX(0,MIN($AE692,$AD692-SUM($AG692:AR692))),0)</f>
        <v>0</v>
      </c>
      <c r="AT692" s="8">
        <f>IF($O692="Aktif",MAX(0,MIN($AE692,$AD692-SUM($AG692:AS692))),0)</f>
        <v>0</v>
      </c>
      <c r="AU692" s="8">
        <f>IF($O692="Aktif",MAX(0,MIN($AE692,$AD692-SUM($AG692:AT692))),0)</f>
        <v>0</v>
      </c>
      <c r="AV692" s="8">
        <f>IF($O692="Aktif",MAX(0,MIN($AE692,$AD692-SUM($AG692:AU692))),0)</f>
        <v>0</v>
      </c>
      <c r="AW692" s="8">
        <f t="shared" si="75"/>
        <v>0</v>
      </c>
      <c r="AX692" s="8">
        <f t="shared" si="76"/>
        <v>0</v>
      </c>
    </row>
    <row r="693" spans="1:50" ht="15" customHeight="1" x14ac:dyDescent="0.35">
      <c r="A693" s="102">
        <v>687</v>
      </c>
      <c r="B693" s="102" t="s">
        <v>1326</v>
      </c>
      <c r="C693" s="103">
        <v>321</v>
      </c>
      <c r="D693" s="102" t="s">
        <v>185</v>
      </c>
      <c r="E693" s="102" t="s">
        <v>587</v>
      </c>
      <c r="F693" s="102" t="s">
        <v>1327</v>
      </c>
      <c r="G693" s="102" t="s">
        <v>1328</v>
      </c>
      <c r="H693" s="102" t="s">
        <v>1329</v>
      </c>
      <c r="I693" s="102" t="s">
        <v>63</v>
      </c>
      <c r="J693" s="102" t="s">
        <v>2213</v>
      </c>
      <c r="K693" s="102" t="s">
        <v>591</v>
      </c>
      <c r="L693" s="104">
        <v>43068</v>
      </c>
      <c r="M693" s="102" t="s">
        <v>2214</v>
      </c>
      <c r="N693" s="102" t="s">
        <v>2215</v>
      </c>
      <c r="O693" s="102" t="s">
        <v>383</v>
      </c>
      <c r="P693" s="103">
        <v>100</v>
      </c>
      <c r="Q693" s="105">
        <v>9800000</v>
      </c>
      <c r="R693" s="103">
        <v>48</v>
      </c>
      <c r="S693" s="105">
        <v>204166.66666666701</v>
      </c>
      <c r="T693" s="105">
        <v>9800000</v>
      </c>
      <c r="U693" s="105">
        <v>0</v>
      </c>
      <c r="V693" s="105">
        <v>0</v>
      </c>
      <c r="W693" s="105">
        <v>0</v>
      </c>
      <c r="X693" s="105">
        <v>0</v>
      </c>
      <c r="Y693" s="105">
        <v>0</v>
      </c>
      <c r="Z693" s="105">
        <v>0</v>
      </c>
      <c r="AA693" s="105">
        <v>0</v>
      </c>
      <c r="AB693" s="105">
        <v>0</v>
      </c>
      <c r="AC693" s="8">
        <f t="shared" si="70"/>
        <v>9800000</v>
      </c>
      <c r="AD693" s="8">
        <f t="shared" si="71"/>
        <v>0</v>
      </c>
      <c r="AE693" s="8">
        <f t="shared" si="72"/>
        <v>0</v>
      </c>
      <c r="AF693" s="106">
        <f t="shared" si="73"/>
        <v>0</v>
      </c>
      <c r="AG693" s="8">
        <f t="shared" si="74"/>
        <v>0</v>
      </c>
      <c r="AH693" s="8">
        <f>IF($O693="Aktif",MAX(0,MIN($AE693,$AD693-SUM($AG693:AG693))),0)</f>
        <v>0</v>
      </c>
      <c r="AI693" s="8">
        <f>IF($O693="Aktif",MAX(0,MIN($AE693,$AD693-SUM($AG693:AH693))),0)</f>
        <v>0</v>
      </c>
      <c r="AJ693" s="8">
        <f>IF($O693="Aktif",MAX(0,MIN($AE693,$AD693-SUM($AG693:AI693))),0)</f>
        <v>0</v>
      </c>
      <c r="AK693" s="8">
        <f>IF($O693="Aktif",MAX(0,MIN($AE693,$AD693-SUM($AG693:AJ693))),0)</f>
        <v>0</v>
      </c>
      <c r="AL693" s="8">
        <f>IF($O693="Aktif",MAX(0,MIN($AE693,$AD693-SUM($AG693:AK693))),0)</f>
        <v>0</v>
      </c>
      <c r="AM693" s="8">
        <f>IF($O693="Aktif",MAX(0,MIN($AE693,$AD693-SUM($AG693:AL693))),0)</f>
        <v>0</v>
      </c>
      <c r="AN693" s="8">
        <f>IF($O693="Aktif",MAX(0,MIN($AE693,$AD693-SUM($AG693:AM693))),0)</f>
        <v>0</v>
      </c>
      <c r="AO693" s="8">
        <f>IF($O693="Aktif",MAX(0,MIN($AE693,$AD693-SUM($AG693:AN693))),0)</f>
        <v>0</v>
      </c>
      <c r="AP693" s="8">
        <f>IF($O693="Aktif",MAX(0,MIN($AE693,$AD693-SUM($AG693:AO693))),0)</f>
        <v>0</v>
      </c>
      <c r="AQ693" s="8">
        <f>IF($O693="Aktif",MAX(0,MIN($AE693,$AD693-SUM($AG693:AP693))),0)</f>
        <v>0</v>
      </c>
      <c r="AR693" s="8">
        <f>IF($O693="Aktif",MAX(0,MIN($AE693,$AD693-SUM($AG693:AQ693))),0)</f>
        <v>0</v>
      </c>
      <c r="AS693" s="8">
        <f>IF($O693="Aktif",MAX(0,MIN($AE693,$AD693-SUM($AG693:AR693))),0)</f>
        <v>0</v>
      </c>
      <c r="AT693" s="8">
        <f>IF($O693="Aktif",MAX(0,MIN($AE693,$AD693-SUM($AG693:AS693))),0)</f>
        <v>0</v>
      </c>
      <c r="AU693" s="8">
        <f>IF($O693="Aktif",MAX(0,MIN($AE693,$AD693-SUM($AG693:AT693))),0)</f>
        <v>0</v>
      </c>
      <c r="AV693" s="8">
        <f>IF($O693="Aktif",MAX(0,MIN($AE693,$AD693-SUM($AG693:AU693))),0)</f>
        <v>0</v>
      </c>
      <c r="AW693" s="8">
        <f t="shared" si="75"/>
        <v>0</v>
      </c>
      <c r="AX693" s="8">
        <f t="shared" si="76"/>
        <v>0</v>
      </c>
    </row>
    <row r="694" spans="1:50" ht="15" customHeight="1" x14ac:dyDescent="0.35">
      <c r="A694" s="102">
        <v>688</v>
      </c>
      <c r="B694" s="102" t="s">
        <v>1326</v>
      </c>
      <c r="C694" s="103">
        <v>322</v>
      </c>
      <c r="D694" s="102" t="s">
        <v>185</v>
      </c>
      <c r="E694" s="102" t="s">
        <v>587</v>
      </c>
      <c r="F694" s="102" t="s">
        <v>1327</v>
      </c>
      <c r="G694" s="102" t="s">
        <v>1328</v>
      </c>
      <c r="H694" s="102" t="s">
        <v>1329</v>
      </c>
      <c r="I694" s="102" t="s">
        <v>63</v>
      </c>
      <c r="J694" s="102" t="s">
        <v>2216</v>
      </c>
      <c r="K694" s="102" t="s">
        <v>591</v>
      </c>
      <c r="L694" s="104">
        <v>43068</v>
      </c>
      <c r="M694" s="102" t="s">
        <v>2217</v>
      </c>
      <c r="N694" s="102" t="s">
        <v>2218</v>
      </c>
      <c r="O694" s="102" t="s">
        <v>383</v>
      </c>
      <c r="P694" s="103">
        <v>1</v>
      </c>
      <c r="Q694" s="105">
        <v>31202500</v>
      </c>
      <c r="R694" s="103">
        <v>48</v>
      </c>
      <c r="S694" s="105">
        <v>650052.08333333302</v>
      </c>
      <c r="T694" s="105">
        <v>31202500</v>
      </c>
      <c r="U694" s="105">
        <v>0</v>
      </c>
      <c r="V694" s="105">
        <v>0</v>
      </c>
      <c r="W694" s="105">
        <v>0</v>
      </c>
      <c r="X694" s="105">
        <v>0</v>
      </c>
      <c r="Y694" s="105">
        <v>0</v>
      </c>
      <c r="Z694" s="105">
        <v>0</v>
      </c>
      <c r="AA694" s="105">
        <v>0</v>
      </c>
      <c r="AB694" s="105">
        <v>0</v>
      </c>
      <c r="AC694" s="8">
        <f t="shared" si="70"/>
        <v>31202500</v>
      </c>
      <c r="AD694" s="8">
        <f t="shared" si="71"/>
        <v>0</v>
      </c>
      <c r="AE694" s="8">
        <f t="shared" si="72"/>
        <v>0</v>
      </c>
      <c r="AF694" s="106">
        <f t="shared" si="73"/>
        <v>0</v>
      </c>
      <c r="AG694" s="8">
        <f t="shared" si="74"/>
        <v>0</v>
      </c>
      <c r="AH694" s="8">
        <f>IF($O694="Aktif",MAX(0,MIN($AE694,$AD694-SUM($AG694:AG694))),0)</f>
        <v>0</v>
      </c>
      <c r="AI694" s="8">
        <f>IF($O694="Aktif",MAX(0,MIN($AE694,$AD694-SUM($AG694:AH694))),0)</f>
        <v>0</v>
      </c>
      <c r="AJ694" s="8">
        <f>IF($O694="Aktif",MAX(0,MIN($AE694,$AD694-SUM($AG694:AI694))),0)</f>
        <v>0</v>
      </c>
      <c r="AK694" s="8">
        <f>IF($O694="Aktif",MAX(0,MIN($AE694,$AD694-SUM($AG694:AJ694))),0)</f>
        <v>0</v>
      </c>
      <c r="AL694" s="8">
        <f>IF($O694="Aktif",MAX(0,MIN($AE694,$AD694-SUM($AG694:AK694))),0)</f>
        <v>0</v>
      </c>
      <c r="AM694" s="8">
        <f>IF($O694="Aktif",MAX(0,MIN($AE694,$AD694-SUM($AG694:AL694))),0)</f>
        <v>0</v>
      </c>
      <c r="AN694" s="8">
        <f>IF($O694="Aktif",MAX(0,MIN($AE694,$AD694-SUM($AG694:AM694))),0)</f>
        <v>0</v>
      </c>
      <c r="AO694" s="8">
        <f>IF($O694="Aktif",MAX(0,MIN($AE694,$AD694-SUM($AG694:AN694))),0)</f>
        <v>0</v>
      </c>
      <c r="AP694" s="8">
        <f>IF($O694="Aktif",MAX(0,MIN($AE694,$AD694-SUM($AG694:AO694))),0)</f>
        <v>0</v>
      </c>
      <c r="AQ694" s="8">
        <f>IF($O694="Aktif",MAX(0,MIN($AE694,$AD694-SUM($AG694:AP694))),0)</f>
        <v>0</v>
      </c>
      <c r="AR694" s="8">
        <f>IF($O694="Aktif",MAX(0,MIN($AE694,$AD694-SUM($AG694:AQ694))),0)</f>
        <v>0</v>
      </c>
      <c r="AS694" s="8">
        <f>IF($O694="Aktif",MAX(0,MIN($AE694,$AD694-SUM($AG694:AR694))),0)</f>
        <v>0</v>
      </c>
      <c r="AT694" s="8">
        <f>IF($O694="Aktif",MAX(0,MIN($AE694,$AD694-SUM($AG694:AS694))),0)</f>
        <v>0</v>
      </c>
      <c r="AU694" s="8">
        <f>IF($O694="Aktif",MAX(0,MIN($AE694,$AD694-SUM($AG694:AT694))),0)</f>
        <v>0</v>
      </c>
      <c r="AV694" s="8">
        <f>IF($O694="Aktif",MAX(0,MIN($AE694,$AD694-SUM($AG694:AU694))),0)</f>
        <v>0</v>
      </c>
      <c r="AW694" s="8">
        <f t="shared" si="75"/>
        <v>0</v>
      </c>
      <c r="AX694" s="8">
        <f t="shared" si="76"/>
        <v>0</v>
      </c>
    </row>
    <row r="695" spans="1:50" ht="15" customHeight="1" x14ac:dyDescent="0.35">
      <c r="A695" s="102">
        <v>689</v>
      </c>
      <c r="B695" s="102" t="s">
        <v>1326</v>
      </c>
      <c r="C695" s="103">
        <v>323</v>
      </c>
      <c r="D695" s="102" t="s">
        <v>185</v>
      </c>
      <c r="E695" s="102" t="s">
        <v>587</v>
      </c>
      <c r="F695" s="102" t="s">
        <v>1327</v>
      </c>
      <c r="G695" s="102" t="s">
        <v>1328</v>
      </c>
      <c r="H695" s="102" t="s">
        <v>1329</v>
      </c>
      <c r="I695" s="102" t="s">
        <v>63</v>
      </c>
      <c r="J695" s="102" t="s">
        <v>2219</v>
      </c>
      <c r="K695" s="102" t="s">
        <v>591</v>
      </c>
      <c r="L695" s="104">
        <v>43069</v>
      </c>
      <c r="M695" s="102" t="s">
        <v>2220</v>
      </c>
      <c r="N695" s="102" t="s">
        <v>2221</v>
      </c>
      <c r="O695" s="102" t="s">
        <v>383</v>
      </c>
      <c r="P695" s="103">
        <v>1</v>
      </c>
      <c r="Q695" s="105">
        <v>69500000</v>
      </c>
      <c r="R695" s="103">
        <v>48</v>
      </c>
      <c r="S695" s="105">
        <v>1447916.66666667</v>
      </c>
      <c r="T695" s="105">
        <v>69500000</v>
      </c>
      <c r="U695" s="105">
        <v>0</v>
      </c>
      <c r="V695" s="105">
        <v>0</v>
      </c>
      <c r="W695" s="105">
        <v>0</v>
      </c>
      <c r="X695" s="105">
        <v>0</v>
      </c>
      <c r="Y695" s="105">
        <v>0</v>
      </c>
      <c r="Z695" s="105">
        <v>0</v>
      </c>
      <c r="AA695" s="105">
        <v>0</v>
      </c>
      <c r="AB695" s="105">
        <v>0</v>
      </c>
      <c r="AC695" s="8">
        <f t="shared" si="70"/>
        <v>69500000</v>
      </c>
      <c r="AD695" s="8">
        <f t="shared" si="71"/>
        <v>0</v>
      </c>
      <c r="AE695" s="8">
        <f t="shared" si="72"/>
        <v>0</v>
      </c>
      <c r="AF695" s="106">
        <f t="shared" si="73"/>
        <v>0</v>
      </c>
      <c r="AG695" s="8">
        <f t="shared" si="74"/>
        <v>0</v>
      </c>
      <c r="AH695" s="8">
        <f>IF($O695="Aktif",MAX(0,MIN($AE695,$AD695-SUM($AG695:AG695))),0)</f>
        <v>0</v>
      </c>
      <c r="AI695" s="8">
        <f>IF($O695="Aktif",MAX(0,MIN($AE695,$AD695-SUM($AG695:AH695))),0)</f>
        <v>0</v>
      </c>
      <c r="AJ695" s="8">
        <f>IF($O695="Aktif",MAX(0,MIN($AE695,$AD695-SUM($AG695:AI695))),0)</f>
        <v>0</v>
      </c>
      <c r="AK695" s="8">
        <f>IF($O695="Aktif",MAX(0,MIN($AE695,$AD695-SUM($AG695:AJ695))),0)</f>
        <v>0</v>
      </c>
      <c r="AL695" s="8">
        <f>IF($O695="Aktif",MAX(0,MIN($AE695,$AD695-SUM($AG695:AK695))),0)</f>
        <v>0</v>
      </c>
      <c r="AM695" s="8">
        <f>IF($O695="Aktif",MAX(0,MIN($AE695,$AD695-SUM($AG695:AL695))),0)</f>
        <v>0</v>
      </c>
      <c r="AN695" s="8">
        <f>IF($O695="Aktif",MAX(0,MIN($AE695,$AD695-SUM($AG695:AM695))),0)</f>
        <v>0</v>
      </c>
      <c r="AO695" s="8">
        <f>IF($O695="Aktif",MAX(0,MIN($AE695,$AD695-SUM($AG695:AN695))),0)</f>
        <v>0</v>
      </c>
      <c r="AP695" s="8">
        <f>IF($O695="Aktif",MAX(0,MIN($AE695,$AD695-SUM($AG695:AO695))),0)</f>
        <v>0</v>
      </c>
      <c r="AQ695" s="8">
        <f>IF($O695="Aktif",MAX(0,MIN($AE695,$AD695-SUM($AG695:AP695))),0)</f>
        <v>0</v>
      </c>
      <c r="AR695" s="8">
        <f>IF($O695="Aktif",MAX(0,MIN($AE695,$AD695-SUM($AG695:AQ695))),0)</f>
        <v>0</v>
      </c>
      <c r="AS695" s="8">
        <f>IF($O695="Aktif",MAX(0,MIN($AE695,$AD695-SUM($AG695:AR695))),0)</f>
        <v>0</v>
      </c>
      <c r="AT695" s="8">
        <f>IF($O695="Aktif",MAX(0,MIN($AE695,$AD695-SUM($AG695:AS695))),0)</f>
        <v>0</v>
      </c>
      <c r="AU695" s="8">
        <f>IF($O695="Aktif",MAX(0,MIN($AE695,$AD695-SUM($AG695:AT695))),0)</f>
        <v>0</v>
      </c>
      <c r="AV695" s="8">
        <f>IF($O695="Aktif",MAX(0,MIN($AE695,$AD695-SUM($AG695:AU695))),0)</f>
        <v>0</v>
      </c>
      <c r="AW695" s="8">
        <f t="shared" si="75"/>
        <v>0</v>
      </c>
      <c r="AX695" s="8">
        <f t="shared" si="76"/>
        <v>0</v>
      </c>
    </row>
    <row r="696" spans="1:50" ht="15" customHeight="1" x14ac:dyDescent="0.35">
      <c r="A696" s="102">
        <v>690</v>
      </c>
      <c r="B696" s="102" t="s">
        <v>1326</v>
      </c>
      <c r="C696" s="103">
        <v>324</v>
      </c>
      <c r="D696" s="102" t="s">
        <v>185</v>
      </c>
      <c r="E696" s="102" t="s">
        <v>587</v>
      </c>
      <c r="F696" s="102" t="s">
        <v>1327</v>
      </c>
      <c r="G696" s="102" t="s">
        <v>1328</v>
      </c>
      <c r="H696" s="102" t="s">
        <v>1329</v>
      </c>
      <c r="I696" s="102" t="s">
        <v>63</v>
      </c>
      <c r="J696" s="102" t="s">
        <v>2222</v>
      </c>
      <c r="K696" s="102" t="s">
        <v>591</v>
      </c>
      <c r="L696" s="104">
        <v>43074</v>
      </c>
      <c r="M696" s="102" t="s">
        <v>2223</v>
      </c>
      <c r="N696" s="102" t="s">
        <v>2224</v>
      </c>
      <c r="O696" s="102" t="s">
        <v>383</v>
      </c>
      <c r="P696" s="103">
        <v>1</v>
      </c>
      <c r="Q696" s="105">
        <v>11523500</v>
      </c>
      <c r="R696" s="103">
        <v>48</v>
      </c>
      <c r="S696" s="105">
        <v>240072.91666666701</v>
      </c>
      <c r="T696" s="105">
        <v>11523500</v>
      </c>
      <c r="U696" s="105">
        <v>0</v>
      </c>
      <c r="V696" s="105">
        <v>0</v>
      </c>
      <c r="W696" s="105">
        <v>0</v>
      </c>
      <c r="X696" s="105">
        <v>0</v>
      </c>
      <c r="Y696" s="105">
        <v>0</v>
      </c>
      <c r="Z696" s="105">
        <v>0</v>
      </c>
      <c r="AA696" s="105">
        <v>0</v>
      </c>
      <c r="AB696" s="105">
        <v>0</v>
      </c>
      <c r="AC696" s="8">
        <f t="shared" si="70"/>
        <v>11523500</v>
      </c>
      <c r="AD696" s="8">
        <f t="shared" si="71"/>
        <v>0</v>
      </c>
      <c r="AE696" s="8">
        <f t="shared" si="72"/>
        <v>0</v>
      </c>
      <c r="AF696" s="106">
        <f t="shared" si="73"/>
        <v>0</v>
      </c>
      <c r="AG696" s="8">
        <f t="shared" si="74"/>
        <v>0</v>
      </c>
      <c r="AH696" s="8">
        <f>IF($O696="Aktif",MAX(0,MIN($AE696,$AD696-SUM($AG696:AG696))),0)</f>
        <v>0</v>
      </c>
      <c r="AI696" s="8">
        <f>IF($O696="Aktif",MAX(0,MIN($AE696,$AD696-SUM($AG696:AH696))),0)</f>
        <v>0</v>
      </c>
      <c r="AJ696" s="8">
        <f>IF($O696="Aktif",MAX(0,MIN($AE696,$AD696-SUM($AG696:AI696))),0)</f>
        <v>0</v>
      </c>
      <c r="AK696" s="8">
        <f>IF($O696="Aktif",MAX(0,MIN($AE696,$AD696-SUM($AG696:AJ696))),0)</f>
        <v>0</v>
      </c>
      <c r="AL696" s="8">
        <f>IF($O696="Aktif",MAX(0,MIN($AE696,$AD696-SUM($AG696:AK696))),0)</f>
        <v>0</v>
      </c>
      <c r="AM696" s="8">
        <f>IF($O696="Aktif",MAX(0,MIN($AE696,$AD696-SUM($AG696:AL696))),0)</f>
        <v>0</v>
      </c>
      <c r="AN696" s="8">
        <f>IF($O696="Aktif",MAX(0,MIN($AE696,$AD696-SUM($AG696:AM696))),0)</f>
        <v>0</v>
      </c>
      <c r="AO696" s="8">
        <f>IF($O696="Aktif",MAX(0,MIN($AE696,$AD696-SUM($AG696:AN696))),0)</f>
        <v>0</v>
      </c>
      <c r="AP696" s="8">
        <f>IF($O696="Aktif",MAX(0,MIN($AE696,$AD696-SUM($AG696:AO696))),0)</f>
        <v>0</v>
      </c>
      <c r="AQ696" s="8">
        <f>IF($O696="Aktif",MAX(0,MIN($AE696,$AD696-SUM($AG696:AP696))),0)</f>
        <v>0</v>
      </c>
      <c r="AR696" s="8">
        <f>IF($O696="Aktif",MAX(0,MIN($AE696,$AD696-SUM($AG696:AQ696))),0)</f>
        <v>0</v>
      </c>
      <c r="AS696" s="8">
        <f>IF($O696="Aktif",MAX(0,MIN($AE696,$AD696-SUM($AG696:AR696))),0)</f>
        <v>0</v>
      </c>
      <c r="AT696" s="8">
        <f>IF($O696="Aktif",MAX(0,MIN($AE696,$AD696-SUM($AG696:AS696))),0)</f>
        <v>0</v>
      </c>
      <c r="AU696" s="8">
        <f>IF($O696="Aktif",MAX(0,MIN($AE696,$AD696-SUM($AG696:AT696))),0)</f>
        <v>0</v>
      </c>
      <c r="AV696" s="8">
        <f>IF($O696="Aktif",MAX(0,MIN($AE696,$AD696-SUM($AG696:AU696))),0)</f>
        <v>0</v>
      </c>
      <c r="AW696" s="8">
        <f t="shared" si="75"/>
        <v>0</v>
      </c>
      <c r="AX696" s="8">
        <f t="shared" si="76"/>
        <v>0</v>
      </c>
    </row>
    <row r="697" spans="1:50" ht="15" customHeight="1" x14ac:dyDescent="0.35">
      <c r="A697" s="102">
        <v>691</v>
      </c>
      <c r="B697" s="102" t="s">
        <v>1326</v>
      </c>
      <c r="C697" s="103">
        <v>325</v>
      </c>
      <c r="D697" s="102" t="s">
        <v>185</v>
      </c>
      <c r="E697" s="102" t="s">
        <v>587</v>
      </c>
      <c r="F697" s="102" t="s">
        <v>1327</v>
      </c>
      <c r="G697" s="102" t="s">
        <v>1328</v>
      </c>
      <c r="H697" s="102" t="s">
        <v>1329</v>
      </c>
      <c r="I697" s="102" t="s">
        <v>63</v>
      </c>
      <c r="J697" s="102" t="s">
        <v>2225</v>
      </c>
      <c r="K697" s="102" t="s">
        <v>591</v>
      </c>
      <c r="L697" s="104">
        <v>43077</v>
      </c>
      <c r="M697" s="102" t="s">
        <v>2226</v>
      </c>
      <c r="N697" s="102" t="s">
        <v>2227</v>
      </c>
      <c r="O697" s="102" t="s">
        <v>383</v>
      </c>
      <c r="P697" s="103">
        <v>40</v>
      </c>
      <c r="Q697" s="105">
        <v>5000000</v>
      </c>
      <c r="R697" s="103">
        <v>48</v>
      </c>
      <c r="S697" s="105">
        <v>104166.66666666701</v>
      </c>
      <c r="T697" s="105">
        <v>5000000</v>
      </c>
      <c r="U697" s="105">
        <v>0</v>
      </c>
      <c r="V697" s="105">
        <v>0</v>
      </c>
      <c r="W697" s="105">
        <v>0</v>
      </c>
      <c r="X697" s="105">
        <v>0</v>
      </c>
      <c r="Y697" s="105">
        <v>0</v>
      </c>
      <c r="Z697" s="105">
        <v>0</v>
      </c>
      <c r="AA697" s="105">
        <v>0</v>
      </c>
      <c r="AB697" s="105">
        <v>0</v>
      </c>
      <c r="AC697" s="8">
        <f t="shared" si="70"/>
        <v>5000000</v>
      </c>
      <c r="AD697" s="8">
        <f t="shared" si="71"/>
        <v>0</v>
      </c>
      <c r="AE697" s="8">
        <f t="shared" si="72"/>
        <v>0</v>
      </c>
      <c r="AF697" s="106">
        <f t="shared" si="73"/>
        <v>0</v>
      </c>
      <c r="AG697" s="8">
        <f t="shared" si="74"/>
        <v>0</v>
      </c>
      <c r="AH697" s="8">
        <f>IF($O697="Aktif",MAX(0,MIN($AE697,$AD697-SUM($AG697:AG697))),0)</f>
        <v>0</v>
      </c>
      <c r="AI697" s="8">
        <f>IF($O697="Aktif",MAX(0,MIN($AE697,$AD697-SUM($AG697:AH697))),0)</f>
        <v>0</v>
      </c>
      <c r="AJ697" s="8">
        <f>IF($O697="Aktif",MAX(0,MIN($AE697,$AD697-SUM($AG697:AI697))),0)</f>
        <v>0</v>
      </c>
      <c r="AK697" s="8">
        <f>IF($O697="Aktif",MAX(0,MIN($AE697,$AD697-SUM($AG697:AJ697))),0)</f>
        <v>0</v>
      </c>
      <c r="AL697" s="8">
        <f>IF($O697="Aktif",MAX(0,MIN($AE697,$AD697-SUM($AG697:AK697))),0)</f>
        <v>0</v>
      </c>
      <c r="AM697" s="8">
        <f>IF($O697="Aktif",MAX(0,MIN($AE697,$AD697-SUM($AG697:AL697))),0)</f>
        <v>0</v>
      </c>
      <c r="AN697" s="8">
        <f>IF($O697="Aktif",MAX(0,MIN($AE697,$AD697-SUM($AG697:AM697))),0)</f>
        <v>0</v>
      </c>
      <c r="AO697" s="8">
        <f>IF($O697="Aktif",MAX(0,MIN($AE697,$AD697-SUM($AG697:AN697))),0)</f>
        <v>0</v>
      </c>
      <c r="AP697" s="8">
        <f>IF($O697="Aktif",MAX(0,MIN($AE697,$AD697-SUM($AG697:AO697))),0)</f>
        <v>0</v>
      </c>
      <c r="AQ697" s="8">
        <f>IF($O697="Aktif",MAX(0,MIN($AE697,$AD697-SUM($AG697:AP697))),0)</f>
        <v>0</v>
      </c>
      <c r="AR697" s="8">
        <f>IF($O697="Aktif",MAX(0,MIN($AE697,$AD697-SUM($AG697:AQ697))),0)</f>
        <v>0</v>
      </c>
      <c r="AS697" s="8">
        <f>IF($O697="Aktif",MAX(0,MIN($AE697,$AD697-SUM($AG697:AR697))),0)</f>
        <v>0</v>
      </c>
      <c r="AT697" s="8">
        <f>IF($O697="Aktif",MAX(0,MIN($AE697,$AD697-SUM($AG697:AS697))),0)</f>
        <v>0</v>
      </c>
      <c r="AU697" s="8">
        <f>IF($O697="Aktif",MAX(0,MIN($AE697,$AD697-SUM($AG697:AT697))),0)</f>
        <v>0</v>
      </c>
      <c r="AV697" s="8">
        <f>IF($O697="Aktif",MAX(0,MIN($AE697,$AD697-SUM($AG697:AU697))),0)</f>
        <v>0</v>
      </c>
      <c r="AW697" s="8">
        <f t="shared" si="75"/>
        <v>0</v>
      </c>
      <c r="AX697" s="8">
        <f t="shared" si="76"/>
        <v>0</v>
      </c>
    </row>
    <row r="698" spans="1:50" ht="15" customHeight="1" x14ac:dyDescent="0.35">
      <c r="A698" s="102">
        <v>692</v>
      </c>
      <c r="B698" s="102" t="s">
        <v>1326</v>
      </c>
      <c r="C698" s="103">
        <v>326</v>
      </c>
      <c r="D698" s="102" t="s">
        <v>185</v>
      </c>
      <c r="E698" s="102" t="s">
        <v>587</v>
      </c>
      <c r="F698" s="102" t="s">
        <v>1327</v>
      </c>
      <c r="G698" s="102" t="s">
        <v>1328</v>
      </c>
      <c r="H698" s="102" t="s">
        <v>1329</v>
      </c>
      <c r="I698" s="102" t="s">
        <v>63</v>
      </c>
      <c r="J698" s="102" t="s">
        <v>2228</v>
      </c>
      <c r="K698" s="102" t="s">
        <v>591</v>
      </c>
      <c r="L698" s="104">
        <v>43088</v>
      </c>
      <c r="M698" s="102" t="s">
        <v>2229</v>
      </c>
      <c r="N698" s="102" t="s">
        <v>2230</v>
      </c>
      <c r="O698" s="102" t="s">
        <v>383</v>
      </c>
      <c r="P698" s="103">
        <v>6</v>
      </c>
      <c r="Q698" s="105">
        <v>1450000</v>
      </c>
      <c r="R698" s="103">
        <v>48</v>
      </c>
      <c r="S698" s="105">
        <v>30208.333333333299</v>
      </c>
      <c r="T698" s="105">
        <v>1450000</v>
      </c>
      <c r="U698" s="105">
        <v>0</v>
      </c>
      <c r="V698" s="105">
        <v>0</v>
      </c>
      <c r="W698" s="105">
        <v>0</v>
      </c>
      <c r="X698" s="105">
        <v>0</v>
      </c>
      <c r="Y698" s="105">
        <v>0</v>
      </c>
      <c r="Z698" s="105">
        <v>0</v>
      </c>
      <c r="AA698" s="105">
        <v>0</v>
      </c>
      <c r="AB698" s="105">
        <v>0</v>
      </c>
      <c r="AC698" s="8">
        <f t="shared" si="70"/>
        <v>1450000</v>
      </c>
      <c r="AD698" s="8">
        <f t="shared" si="71"/>
        <v>0</v>
      </c>
      <c r="AE698" s="8">
        <f t="shared" si="72"/>
        <v>0</v>
      </c>
      <c r="AF698" s="106">
        <f t="shared" si="73"/>
        <v>0</v>
      </c>
      <c r="AG698" s="8">
        <f t="shared" si="74"/>
        <v>0</v>
      </c>
      <c r="AH698" s="8">
        <f>IF($O698="Aktif",MAX(0,MIN($AE698,$AD698-SUM($AG698:AG698))),0)</f>
        <v>0</v>
      </c>
      <c r="AI698" s="8">
        <f>IF($O698="Aktif",MAX(0,MIN($AE698,$AD698-SUM($AG698:AH698))),0)</f>
        <v>0</v>
      </c>
      <c r="AJ698" s="8">
        <f>IF($O698="Aktif",MAX(0,MIN($AE698,$AD698-SUM($AG698:AI698))),0)</f>
        <v>0</v>
      </c>
      <c r="AK698" s="8">
        <f>IF($O698="Aktif",MAX(0,MIN($AE698,$AD698-SUM($AG698:AJ698))),0)</f>
        <v>0</v>
      </c>
      <c r="AL698" s="8">
        <f>IF($O698="Aktif",MAX(0,MIN($AE698,$AD698-SUM($AG698:AK698))),0)</f>
        <v>0</v>
      </c>
      <c r="AM698" s="8">
        <f>IF($O698="Aktif",MAX(0,MIN($AE698,$AD698-SUM($AG698:AL698))),0)</f>
        <v>0</v>
      </c>
      <c r="AN698" s="8">
        <f>IF($O698="Aktif",MAX(0,MIN($AE698,$AD698-SUM($AG698:AM698))),0)</f>
        <v>0</v>
      </c>
      <c r="AO698" s="8">
        <f>IF($O698="Aktif",MAX(0,MIN($AE698,$AD698-SUM($AG698:AN698))),0)</f>
        <v>0</v>
      </c>
      <c r="AP698" s="8">
        <f>IF($O698="Aktif",MAX(0,MIN($AE698,$AD698-SUM($AG698:AO698))),0)</f>
        <v>0</v>
      </c>
      <c r="AQ698" s="8">
        <f>IF($O698="Aktif",MAX(0,MIN($AE698,$AD698-SUM($AG698:AP698))),0)</f>
        <v>0</v>
      </c>
      <c r="AR698" s="8">
        <f>IF($O698="Aktif",MAX(0,MIN($AE698,$AD698-SUM($AG698:AQ698))),0)</f>
        <v>0</v>
      </c>
      <c r="AS698" s="8">
        <f>IF($O698="Aktif",MAX(0,MIN($AE698,$AD698-SUM($AG698:AR698))),0)</f>
        <v>0</v>
      </c>
      <c r="AT698" s="8">
        <f>IF($O698="Aktif",MAX(0,MIN($AE698,$AD698-SUM($AG698:AS698))),0)</f>
        <v>0</v>
      </c>
      <c r="AU698" s="8">
        <f>IF($O698="Aktif",MAX(0,MIN($AE698,$AD698-SUM($AG698:AT698))),0)</f>
        <v>0</v>
      </c>
      <c r="AV698" s="8">
        <f>IF($O698="Aktif",MAX(0,MIN($AE698,$AD698-SUM($AG698:AU698))),0)</f>
        <v>0</v>
      </c>
      <c r="AW698" s="8">
        <f t="shared" si="75"/>
        <v>0</v>
      </c>
      <c r="AX698" s="8">
        <f t="shared" si="76"/>
        <v>0</v>
      </c>
    </row>
    <row r="699" spans="1:50" ht="15" customHeight="1" x14ac:dyDescent="0.35">
      <c r="A699" s="102">
        <v>693</v>
      </c>
      <c r="B699" s="102" t="s">
        <v>1326</v>
      </c>
      <c r="C699" s="103">
        <v>327</v>
      </c>
      <c r="D699" s="102" t="s">
        <v>185</v>
      </c>
      <c r="E699" s="102" t="s">
        <v>587</v>
      </c>
      <c r="F699" s="102" t="s">
        <v>1327</v>
      </c>
      <c r="G699" s="102" t="s">
        <v>1328</v>
      </c>
      <c r="H699" s="102" t="s">
        <v>1329</v>
      </c>
      <c r="I699" s="102" t="s">
        <v>63</v>
      </c>
      <c r="J699" s="102" t="s">
        <v>2231</v>
      </c>
      <c r="K699" s="102" t="s">
        <v>591</v>
      </c>
      <c r="L699" s="104">
        <v>43100</v>
      </c>
      <c r="M699" s="102" t="s">
        <v>2147</v>
      </c>
      <c r="N699" s="102" t="s">
        <v>2232</v>
      </c>
      <c r="O699" s="102" t="s">
        <v>383</v>
      </c>
      <c r="P699" s="103">
        <v>40</v>
      </c>
      <c r="Q699" s="105">
        <v>16000000</v>
      </c>
      <c r="R699" s="103">
        <v>48</v>
      </c>
      <c r="S699" s="105">
        <v>333333.33333333302</v>
      </c>
      <c r="T699" s="105">
        <v>16000000</v>
      </c>
      <c r="U699" s="105">
        <v>0</v>
      </c>
      <c r="V699" s="105">
        <v>0</v>
      </c>
      <c r="W699" s="105">
        <v>0</v>
      </c>
      <c r="X699" s="105">
        <v>0</v>
      </c>
      <c r="Y699" s="105">
        <v>0</v>
      </c>
      <c r="Z699" s="105">
        <v>0</v>
      </c>
      <c r="AA699" s="105">
        <v>0</v>
      </c>
      <c r="AB699" s="105">
        <v>0</v>
      </c>
      <c r="AC699" s="8">
        <f t="shared" si="70"/>
        <v>16000000</v>
      </c>
      <c r="AD699" s="8">
        <f t="shared" si="71"/>
        <v>0</v>
      </c>
      <c r="AE699" s="8">
        <f t="shared" si="72"/>
        <v>0</v>
      </c>
      <c r="AF699" s="106">
        <f t="shared" si="73"/>
        <v>0</v>
      </c>
      <c r="AG699" s="8">
        <f t="shared" si="74"/>
        <v>0</v>
      </c>
      <c r="AH699" s="8">
        <f>IF($O699="Aktif",MAX(0,MIN($AE699,$AD699-SUM($AG699:AG699))),0)</f>
        <v>0</v>
      </c>
      <c r="AI699" s="8">
        <f>IF($O699="Aktif",MAX(0,MIN($AE699,$AD699-SUM($AG699:AH699))),0)</f>
        <v>0</v>
      </c>
      <c r="AJ699" s="8">
        <f>IF($O699="Aktif",MAX(0,MIN($AE699,$AD699-SUM($AG699:AI699))),0)</f>
        <v>0</v>
      </c>
      <c r="AK699" s="8">
        <f>IF($O699="Aktif",MAX(0,MIN($AE699,$AD699-SUM($AG699:AJ699))),0)</f>
        <v>0</v>
      </c>
      <c r="AL699" s="8">
        <f>IF($O699="Aktif",MAX(0,MIN($AE699,$AD699-SUM($AG699:AK699))),0)</f>
        <v>0</v>
      </c>
      <c r="AM699" s="8">
        <f>IF($O699="Aktif",MAX(0,MIN($AE699,$AD699-SUM($AG699:AL699))),0)</f>
        <v>0</v>
      </c>
      <c r="AN699" s="8">
        <f>IF($O699="Aktif",MAX(0,MIN($AE699,$AD699-SUM($AG699:AM699))),0)</f>
        <v>0</v>
      </c>
      <c r="AO699" s="8">
        <f>IF($O699="Aktif",MAX(0,MIN($AE699,$AD699-SUM($AG699:AN699))),0)</f>
        <v>0</v>
      </c>
      <c r="AP699" s="8">
        <f>IF($O699="Aktif",MAX(0,MIN($AE699,$AD699-SUM($AG699:AO699))),0)</f>
        <v>0</v>
      </c>
      <c r="AQ699" s="8">
        <f>IF($O699="Aktif",MAX(0,MIN($AE699,$AD699-SUM($AG699:AP699))),0)</f>
        <v>0</v>
      </c>
      <c r="AR699" s="8">
        <f>IF($O699="Aktif",MAX(0,MIN($AE699,$AD699-SUM($AG699:AQ699))),0)</f>
        <v>0</v>
      </c>
      <c r="AS699" s="8">
        <f>IF($O699="Aktif",MAX(0,MIN($AE699,$AD699-SUM($AG699:AR699))),0)</f>
        <v>0</v>
      </c>
      <c r="AT699" s="8">
        <f>IF($O699="Aktif",MAX(0,MIN($AE699,$AD699-SUM($AG699:AS699))),0)</f>
        <v>0</v>
      </c>
      <c r="AU699" s="8">
        <f>IF($O699="Aktif",MAX(0,MIN($AE699,$AD699-SUM($AG699:AT699))),0)</f>
        <v>0</v>
      </c>
      <c r="AV699" s="8">
        <f>IF($O699="Aktif",MAX(0,MIN($AE699,$AD699-SUM($AG699:AU699))),0)</f>
        <v>0</v>
      </c>
      <c r="AW699" s="8">
        <f t="shared" si="75"/>
        <v>0</v>
      </c>
      <c r="AX699" s="8">
        <f t="shared" si="76"/>
        <v>0</v>
      </c>
    </row>
    <row r="700" spans="1:50" ht="15" customHeight="1" x14ac:dyDescent="0.35">
      <c r="A700" s="102">
        <v>694</v>
      </c>
      <c r="B700" s="102" t="s">
        <v>1326</v>
      </c>
      <c r="C700" s="103">
        <v>328</v>
      </c>
      <c r="D700" s="102" t="s">
        <v>185</v>
      </c>
      <c r="E700" s="102" t="s">
        <v>587</v>
      </c>
      <c r="F700" s="102" t="s">
        <v>1327</v>
      </c>
      <c r="G700" s="102" t="s">
        <v>1328</v>
      </c>
      <c r="H700" s="102" t="s">
        <v>1329</v>
      </c>
      <c r="I700" s="102" t="s">
        <v>63</v>
      </c>
      <c r="J700" s="102" t="s">
        <v>2233</v>
      </c>
      <c r="K700" s="102" t="s">
        <v>591</v>
      </c>
      <c r="L700" s="104">
        <v>43100</v>
      </c>
      <c r="M700" s="102" t="s">
        <v>2234</v>
      </c>
      <c r="N700" s="102" t="s">
        <v>2235</v>
      </c>
      <c r="O700" s="102" t="s">
        <v>383</v>
      </c>
      <c r="P700" s="103">
        <v>1</v>
      </c>
      <c r="Q700" s="105">
        <v>15942100</v>
      </c>
      <c r="R700" s="103">
        <v>48</v>
      </c>
      <c r="S700" s="105">
        <v>332127.08333333302</v>
      </c>
      <c r="T700" s="105">
        <v>15942100</v>
      </c>
      <c r="U700" s="105">
        <v>0</v>
      </c>
      <c r="V700" s="105">
        <v>0</v>
      </c>
      <c r="W700" s="105">
        <v>0</v>
      </c>
      <c r="X700" s="105">
        <v>0</v>
      </c>
      <c r="Y700" s="105">
        <v>0</v>
      </c>
      <c r="Z700" s="105">
        <v>0</v>
      </c>
      <c r="AA700" s="105">
        <v>0</v>
      </c>
      <c r="AB700" s="105">
        <v>0</v>
      </c>
      <c r="AC700" s="8">
        <f t="shared" si="70"/>
        <v>15942100</v>
      </c>
      <c r="AD700" s="8">
        <f t="shared" si="71"/>
        <v>0</v>
      </c>
      <c r="AE700" s="8">
        <f t="shared" si="72"/>
        <v>0</v>
      </c>
      <c r="AF700" s="106">
        <f t="shared" si="73"/>
        <v>0</v>
      </c>
      <c r="AG700" s="8">
        <f t="shared" si="74"/>
        <v>0</v>
      </c>
      <c r="AH700" s="8">
        <f>IF($O700="Aktif",MAX(0,MIN($AE700,$AD700-SUM($AG700:AG700))),0)</f>
        <v>0</v>
      </c>
      <c r="AI700" s="8">
        <f>IF($O700="Aktif",MAX(0,MIN($AE700,$AD700-SUM($AG700:AH700))),0)</f>
        <v>0</v>
      </c>
      <c r="AJ700" s="8">
        <f>IF($O700="Aktif",MAX(0,MIN($AE700,$AD700-SUM($AG700:AI700))),0)</f>
        <v>0</v>
      </c>
      <c r="AK700" s="8">
        <f>IF($O700="Aktif",MAX(0,MIN($AE700,$AD700-SUM($AG700:AJ700))),0)</f>
        <v>0</v>
      </c>
      <c r="AL700" s="8">
        <f>IF($O700="Aktif",MAX(0,MIN($AE700,$AD700-SUM($AG700:AK700))),0)</f>
        <v>0</v>
      </c>
      <c r="AM700" s="8">
        <f>IF($O700="Aktif",MAX(0,MIN($AE700,$AD700-SUM($AG700:AL700))),0)</f>
        <v>0</v>
      </c>
      <c r="AN700" s="8">
        <f>IF($O700="Aktif",MAX(0,MIN($AE700,$AD700-SUM($AG700:AM700))),0)</f>
        <v>0</v>
      </c>
      <c r="AO700" s="8">
        <f>IF($O700="Aktif",MAX(0,MIN($AE700,$AD700-SUM($AG700:AN700))),0)</f>
        <v>0</v>
      </c>
      <c r="AP700" s="8">
        <f>IF($O700="Aktif",MAX(0,MIN($AE700,$AD700-SUM($AG700:AO700))),0)</f>
        <v>0</v>
      </c>
      <c r="AQ700" s="8">
        <f>IF($O700="Aktif",MAX(0,MIN($AE700,$AD700-SUM($AG700:AP700))),0)</f>
        <v>0</v>
      </c>
      <c r="AR700" s="8">
        <f>IF($O700="Aktif",MAX(0,MIN($AE700,$AD700-SUM($AG700:AQ700))),0)</f>
        <v>0</v>
      </c>
      <c r="AS700" s="8">
        <f>IF($O700="Aktif",MAX(0,MIN($AE700,$AD700-SUM($AG700:AR700))),0)</f>
        <v>0</v>
      </c>
      <c r="AT700" s="8">
        <f>IF($O700="Aktif",MAX(0,MIN($AE700,$AD700-SUM($AG700:AS700))),0)</f>
        <v>0</v>
      </c>
      <c r="AU700" s="8">
        <f>IF($O700="Aktif",MAX(0,MIN($AE700,$AD700-SUM($AG700:AT700))),0)</f>
        <v>0</v>
      </c>
      <c r="AV700" s="8">
        <f>IF($O700="Aktif",MAX(0,MIN($AE700,$AD700-SUM($AG700:AU700))),0)</f>
        <v>0</v>
      </c>
      <c r="AW700" s="8">
        <f t="shared" si="75"/>
        <v>0</v>
      </c>
      <c r="AX700" s="8">
        <f t="shared" si="76"/>
        <v>0</v>
      </c>
    </row>
    <row r="701" spans="1:50" ht="15" customHeight="1" x14ac:dyDescent="0.35">
      <c r="A701" s="102">
        <v>695</v>
      </c>
      <c r="B701" s="102" t="s">
        <v>1326</v>
      </c>
      <c r="C701" s="103">
        <v>329</v>
      </c>
      <c r="D701" s="102" t="s">
        <v>185</v>
      </c>
      <c r="E701" s="102" t="s">
        <v>587</v>
      </c>
      <c r="F701" s="102" t="s">
        <v>1327</v>
      </c>
      <c r="G701" s="102" t="s">
        <v>1328</v>
      </c>
      <c r="H701" s="102" t="s">
        <v>1329</v>
      </c>
      <c r="I701" s="102" t="s">
        <v>63</v>
      </c>
      <c r="J701" s="102" t="s">
        <v>2236</v>
      </c>
      <c r="K701" s="102" t="s">
        <v>591</v>
      </c>
      <c r="L701" s="104">
        <v>43100</v>
      </c>
      <c r="M701" s="102" t="s">
        <v>2237</v>
      </c>
      <c r="N701" s="102" t="s">
        <v>2238</v>
      </c>
      <c r="O701" s="102" t="s">
        <v>383</v>
      </c>
      <c r="P701" s="103">
        <v>1</v>
      </c>
      <c r="Q701" s="105">
        <v>18600000</v>
      </c>
      <c r="R701" s="103">
        <v>48</v>
      </c>
      <c r="S701" s="105">
        <v>387500</v>
      </c>
      <c r="T701" s="105">
        <v>18600000</v>
      </c>
      <c r="U701" s="105">
        <v>0</v>
      </c>
      <c r="V701" s="105">
        <v>0</v>
      </c>
      <c r="W701" s="105">
        <v>0</v>
      </c>
      <c r="X701" s="105">
        <v>0</v>
      </c>
      <c r="Y701" s="105">
        <v>0</v>
      </c>
      <c r="Z701" s="105">
        <v>0</v>
      </c>
      <c r="AA701" s="105">
        <v>0</v>
      </c>
      <c r="AB701" s="105">
        <v>0</v>
      </c>
      <c r="AC701" s="8">
        <f t="shared" si="70"/>
        <v>18600000</v>
      </c>
      <c r="AD701" s="8">
        <f t="shared" si="71"/>
        <v>0</v>
      </c>
      <c r="AE701" s="8">
        <f t="shared" si="72"/>
        <v>0</v>
      </c>
      <c r="AF701" s="106">
        <f t="shared" si="73"/>
        <v>0</v>
      </c>
      <c r="AG701" s="8">
        <f t="shared" si="74"/>
        <v>0</v>
      </c>
      <c r="AH701" s="8">
        <f>IF($O701="Aktif",MAX(0,MIN($AE701,$AD701-SUM($AG701:AG701))),0)</f>
        <v>0</v>
      </c>
      <c r="AI701" s="8">
        <f>IF($O701="Aktif",MAX(0,MIN($AE701,$AD701-SUM($AG701:AH701))),0)</f>
        <v>0</v>
      </c>
      <c r="AJ701" s="8">
        <f>IF($O701="Aktif",MAX(0,MIN($AE701,$AD701-SUM($AG701:AI701))),0)</f>
        <v>0</v>
      </c>
      <c r="AK701" s="8">
        <f>IF($O701="Aktif",MAX(0,MIN($AE701,$AD701-SUM($AG701:AJ701))),0)</f>
        <v>0</v>
      </c>
      <c r="AL701" s="8">
        <f>IF($O701="Aktif",MAX(0,MIN($AE701,$AD701-SUM($AG701:AK701))),0)</f>
        <v>0</v>
      </c>
      <c r="AM701" s="8">
        <f>IF($O701="Aktif",MAX(0,MIN($AE701,$AD701-SUM($AG701:AL701))),0)</f>
        <v>0</v>
      </c>
      <c r="AN701" s="8">
        <f>IF($O701="Aktif",MAX(0,MIN($AE701,$AD701-SUM($AG701:AM701))),0)</f>
        <v>0</v>
      </c>
      <c r="AO701" s="8">
        <f>IF($O701="Aktif",MAX(0,MIN($AE701,$AD701-SUM($AG701:AN701))),0)</f>
        <v>0</v>
      </c>
      <c r="AP701" s="8">
        <f>IF($O701="Aktif",MAX(0,MIN($AE701,$AD701-SUM($AG701:AO701))),0)</f>
        <v>0</v>
      </c>
      <c r="AQ701" s="8">
        <f>IF($O701="Aktif",MAX(0,MIN($AE701,$AD701-SUM($AG701:AP701))),0)</f>
        <v>0</v>
      </c>
      <c r="AR701" s="8">
        <f>IF($O701="Aktif",MAX(0,MIN($AE701,$AD701-SUM($AG701:AQ701))),0)</f>
        <v>0</v>
      </c>
      <c r="AS701" s="8">
        <f>IF($O701="Aktif",MAX(0,MIN($AE701,$AD701-SUM($AG701:AR701))),0)</f>
        <v>0</v>
      </c>
      <c r="AT701" s="8">
        <f>IF($O701="Aktif",MAX(0,MIN($AE701,$AD701-SUM($AG701:AS701))),0)</f>
        <v>0</v>
      </c>
      <c r="AU701" s="8">
        <f>IF($O701="Aktif",MAX(0,MIN($AE701,$AD701-SUM($AG701:AT701))),0)</f>
        <v>0</v>
      </c>
      <c r="AV701" s="8">
        <f>IF($O701="Aktif",MAX(0,MIN($AE701,$AD701-SUM($AG701:AU701))),0)</f>
        <v>0</v>
      </c>
      <c r="AW701" s="8">
        <f t="shared" si="75"/>
        <v>0</v>
      </c>
      <c r="AX701" s="8">
        <f t="shared" si="76"/>
        <v>0</v>
      </c>
    </row>
    <row r="702" spans="1:50" ht="15" customHeight="1" x14ac:dyDescent="0.35">
      <c r="A702" s="102">
        <v>696</v>
      </c>
      <c r="B702" s="102" t="s">
        <v>1326</v>
      </c>
      <c r="C702" s="103">
        <v>330</v>
      </c>
      <c r="D702" s="102" t="s">
        <v>185</v>
      </c>
      <c r="E702" s="102" t="s">
        <v>587</v>
      </c>
      <c r="F702" s="102" t="s">
        <v>1327</v>
      </c>
      <c r="G702" s="102" t="s">
        <v>1328</v>
      </c>
      <c r="H702" s="102" t="s">
        <v>1329</v>
      </c>
      <c r="I702" s="102" t="s">
        <v>63</v>
      </c>
      <c r="J702" s="102" t="s">
        <v>2239</v>
      </c>
      <c r="K702" s="102" t="s">
        <v>591</v>
      </c>
      <c r="L702" s="104">
        <v>43109</v>
      </c>
      <c r="M702" s="102" t="s">
        <v>2240</v>
      </c>
      <c r="N702" s="102" t="s">
        <v>2241</v>
      </c>
      <c r="O702" s="102" t="s">
        <v>383</v>
      </c>
      <c r="P702" s="103">
        <v>1</v>
      </c>
      <c r="Q702" s="105">
        <v>2000000</v>
      </c>
      <c r="R702" s="103">
        <v>48</v>
      </c>
      <c r="S702" s="105">
        <v>41666.666666666701</v>
      </c>
      <c r="T702" s="105">
        <v>2000000</v>
      </c>
      <c r="U702" s="105">
        <v>0</v>
      </c>
      <c r="V702" s="105">
        <v>0</v>
      </c>
      <c r="W702" s="105">
        <v>0</v>
      </c>
      <c r="X702" s="105">
        <v>0</v>
      </c>
      <c r="Y702" s="105">
        <v>0</v>
      </c>
      <c r="Z702" s="105">
        <v>0</v>
      </c>
      <c r="AA702" s="105">
        <v>0</v>
      </c>
      <c r="AB702" s="105">
        <v>0</v>
      </c>
      <c r="AC702" s="8">
        <f t="shared" si="70"/>
        <v>2000000</v>
      </c>
      <c r="AD702" s="8">
        <f t="shared" si="71"/>
        <v>0</v>
      </c>
      <c r="AE702" s="8">
        <f t="shared" si="72"/>
        <v>0</v>
      </c>
      <c r="AF702" s="106">
        <f t="shared" si="73"/>
        <v>0</v>
      </c>
      <c r="AG702" s="8">
        <f t="shared" si="74"/>
        <v>0</v>
      </c>
      <c r="AH702" s="8">
        <f>IF($O702="Aktif",MAX(0,MIN($AE702,$AD702-SUM($AG702:AG702))),0)</f>
        <v>0</v>
      </c>
      <c r="AI702" s="8">
        <f>IF($O702="Aktif",MAX(0,MIN($AE702,$AD702-SUM($AG702:AH702))),0)</f>
        <v>0</v>
      </c>
      <c r="AJ702" s="8">
        <f>IF($O702="Aktif",MAX(0,MIN($AE702,$AD702-SUM($AG702:AI702))),0)</f>
        <v>0</v>
      </c>
      <c r="AK702" s="8">
        <f>IF($O702="Aktif",MAX(0,MIN($AE702,$AD702-SUM($AG702:AJ702))),0)</f>
        <v>0</v>
      </c>
      <c r="AL702" s="8">
        <f>IF($O702="Aktif",MAX(0,MIN($AE702,$AD702-SUM($AG702:AK702))),0)</f>
        <v>0</v>
      </c>
      <c r="AM702" s="8">
        <f>IF($O702="Aktif",MAX(0,MIN($AE702,$AD702-SUM($AG702:AL702))),0)</f>
        <v>0</v>
      </c>
      <c r="AN702" s="8">
        <f>IF($O702="Aktif",MAX(0,MIN($AE702,$AD702-SUM($AG702:AM702))),0)</f>
        <v>0</v>
      </c>
      <c r="AO702" s="8">
        <f>IF($O702="Aktif",MAX(0,MIN($AE702,$AD702-SUM($AG702:AN702))),0)</f>
        <v>0</v>
      </c>
      <c r="AP702" s="8">
        <f>IF($O702="Aktif",MAX(0,MIN($AE702,$AD702-SUM($AG702:AO702))),0)</f>
        <v>0</v>
      </c>
      <c r="AQ702" s="8">
        <f>IF($O702="Aktif",MAX(0,MIN($AE702,$AD702-SUM($AG702:AP702))),0)</f>
        <v>0</v>
      </c>
      <c r="AR702" s="8">
        <f>IF($O702="Aktif",MAX(0,MIN($AE702,$AD702-SUM($AG702:AQ702))),0)</f>
        <v>0</v>
      </c>
      <c r="AS702" s="8">
        <f>IF($O702="Aktif",MAX(0,MIN($AE702,$AD702-SUM($AG702:AR702))),0)</f>
        <v>0</v>
      </c>
      <c r="AT702" s="8">
        <f>IF($O702="Aktif",MAX(0,MIN($AE702,$AD702-SUM($AG702:AS702))),0)</f>
        <v>0</v>
      </c>
      <c r="AU702" s="8">
        <f>IF($O702="Aktif",MAX(0,MIN($AE702,$AD702-SUM($AG702:AT702))),0)</f>
        <v>0</v>
      </c>
      <c r="AV702" s="8">
        <f>IF($O702="Aktif",MAX(0,MIN($AE702,$AD702-SUM($AG702:AU702))),0)</f>
        <v>0</v>
      </c>
      <c r="AW702" s="8">
        <f t="shared" si="75"/>
        <v>0</v>
      </c>
      <c r="AX702" s="8">
        <f t="shared" si="76"/>
        <v>0</v>
      </c>
    </row>
    <row r="703" spans="1:50" ht="15" customHeight="1" x14ac:dyDescent="0.35">
      <c r="A703" s="102">
        <v>697</v>
      </c>
      <c r="B703" s="102" t="s">
        <v>1326</v>
      </c>
      <c r="C703" s="103">
        <v>331</v>
      </c>
      <c r="D703" s="102" t="s">
        <v>185</v>
      </c>
      <c r="E703" s="102" t="s">
        <v>587</v>
      </c>
      <c r="F703" s="102" t="s">
        <v>1327</v>
      </c>
      <c r="G703" s="102" t="s">
        <v>1328</v>
      </c>
      <c r="H703" s="102" t="s">
        <v>1329</v>
      </c>
      <c r="I703" s="102" t="s">
        <v>63</v>
      </c>
      <c r="J703" s="102" t="s">
        <v>2242</v>
      </c>
      <c r="K703" s="102" t="s">
        <v>591</v>
      </c>
      <c r="L703" s="104">
        <v>43109</v>
      </c>
      <c r="M703" s="102" t="s">
        <v>2243</v>
      </c>
      <c r="N703" s="102" t="s">
        <v>2244</v>
      </c>
      <c r="O703" s="102" t="s">
        <v>383</v>
      </c>
      <c r="P703" s="103">
        <v>4</v>
      </c>
      <c r="Q703" s="105">
        <v>3500000</v>
      </c>
      <c r="R703" s="103">
        <v>48</v>
      </c>
      <c r="S703" s="105">
        <v>72916.666666666701</v>
      </c>
      <c r="T703" s="105">
        <v>3500000</v>
      </c>
      <c r="U703" s="105">
        <v>0</v>
      </c>
      <c r="V703" s="105">
        <v>0</v>
      </c>
      <c r="W703" s="105">
        <v>0</v>
      </c>
      <c r="X703" s="105">
        <v>0</v>
      </c>
      <c r="Y703" s="105">
        <v>0</v>
      </c>
      <c r="Z703" s="105">
        <v>0</v>
      </c>
      <c r="AA703" s="105">
        <v>0</v>
      </c>
      <c r="AB703" s="105">
        <v>0</v>
      </c>
      <c r="AC703" s="8">
        <f t="shared" si="70"/>
        <v>3500000</v>
      </c>
      <c r="AD703" s="8">
        <f t="shared" si="71"/>
        <v>0</v>
      </c>
      <c r="AE703" s="8">
        <f t="shared" si="72"/>
        <v>0</v>
      </c>
      <c r="AF703" s="106">
        <f t="shared" si="73"/>
        <v>0</v>
      </c>
      <c r="AG703" s="8">
        <f t="shared" si="74"/>
        <v>0</v>
      </c>
      <c r="AH703" s="8">
        <f>IF($O703="Aktif",MAX(0,MIN($AE703,$AD703-SUM($AG703:AG703))),0)</f>
        <v>0</v>
      </c>
      <c r="AI703" s="8">
        <f>IF($O703="Aktif",MAX(0,MIN($AE703,$AD703-SUM($AG703:AH703))),0)</f>
        <v>0</v>
      </c>
      <c r="AJ703" s="8">
        <f>IF($O703="Aktif",MAX(0,MIN($AE703,$AD703-SUM($AG703:AI703))),0)</f>
        <v>0</v>
      </c>
      <c r="AK703" s="8">
        <f>IF($O703="Aktif",MAX(0,MIN($AE703,$AD703-SUM($AG703:AJ703))),0)</f>
        <v>0</v>
      </c>
      <c r="AL703" s="8">
        <f>IF($O703="Aktif",MAX(0,MIN($AE703,$AD703-SUM($AG703:AK703))),0)</f>
        <v>0</v>
      </c>
      <c r="AM703" s="8">
        <f>IF($O703="Aktif",MAX(0,MIN($AE703,$AD703-SUM($AG703:AL703))),0)</f>
        <v>0</v>
      </c>
      <c r="AN703" s="8">
        <f>IF($O703="Aktif",MAX(0,MIN($AE703,$AD703-SUM($AG703:AM703))),0)</f>
        <v>0</v>
      </c>
      <c r="AO703" s="8">
        <f>IF($O703="Aktif",MAX(0,MIN($AE703,$AD703-SUM($AG703:AN703))),0)</f>
        <v>0</v>
      </c>
      <c r="AP703" s="8">
        <f>IF($O703="Aktif",MAX(0,MIN($AE703,$AD703-SUM($AG703:AO703))),0)</f>
        <v>0</v>
      </c>
      <c r="AQ703" s="8">
        <f>IF($O703="Aktif",MAX(0,MIN($AE703,$AD703-SUM($AG703:AP703))),0)</f>
        <v>0</v>
      </c>
      <c r="AR703" s="8">
        <f>IF($O703="Aktif",MAX(0,MIN($AE703,$AD703-SUM($AG703:AQ703))),0)</f>
        <v>0</v>
      </c>
      <c r="AS703" s="8">
        <f>IF($O703="Aktif",MAX(0,MIN($AE703,$AD703-SUM($AG703:AR703))),0)</f>
        <v>0</v>
      </c>
      <c r="AT703" s="8">
        <f>IF($O703="Aktif",MAX(0,MIN($AE703,$AD703-SUM($AG703:AS703))),0)</f>
        <v>0</v>
      </c>
      <c r="AU703" s="8">
        <f>IF($O703="Aktif",MAX(0,MIN($AE703,$AD703-SUM($AG703:AT703))),0)</f>
        <v>0</v>
      </c>
      <c r="AV703" s="8">
        <f>IF($O703="Aktif",MAX(0,MIN($AE703,$AD703-SUM($AG703:AU703))),0)</f>
        <v>0</v>
      </c>
      <c r="AW703" s="8">
        <f t="shared" si="75"/>
        <v>0</v>
      </c>
      <c r="AX703" s="8">
        <f t="shared" si="76"/>
        <v>0</v>
      </c>
    </row>
    <row r="704" spans="1:50" ht="15" customHeight="1" x14ac:dyDescent="0.35">
      <c r="A704" s="102">
        <v>698</v>
      </c>
      <c r="B704" s="102" t="s">
        <v>1326</v>
      </c>
      <c r="C704" s="103">
        <v>332</v>
      </c>
      <c r="D704" s="102" t="s">
        <v>185</v>
      </c>
      <c r="E704" s="102" t="s">
        <v>587</v>
      </c>
      <c r="F704" s="102" t="s">
        <v>1327</v>
      </c>
      <c r="G704" s="102" t="s">
        <v>1328</v>
      </c>
      <c r="H704" s="102" t="s">
        <v>1329</v>
      </c>
      <c r="I704" s="102" t="s">
        <v>63</v>
      </c>
      <c r="J704" s="102" t="s">
        <v>2245</v>
      </c>
      <c r="K704" s="102" t="s">
        <v>591</v>
      </c>
      <c r="L704" s="104">
        <v>43109</v>
      </c>
      <c r="M704" s="102" t="s">
        <v>2246</v>
      </c>
      <c r="N704" s="102" t="s">
        <v>2247</v>
      </c>
      <c r="O704" s="102" t="s">
        <v>383</v>
      </c>
      <c r="P704" s="103">
        <v>4</v>
      </c>
      <c r="Q704" s="105">
        <v>3500000</v>
      </c>
      <c r="R704" s="103">
        <v>48</v>
      </c>
      <c r="S704" s="105">
        <v>72916.666666666701</v>
      </c>
      <c r="T704" s="105">
        <v>3500000</v>
      </c>
      <c r="U704" s="105">
        <v>0</v>
      </c>
      <c r="V704" s="105">
        <v>0</v>
      </c>
      <c r="W704" s="105">
        <v>0</v>
      </c>
      <c r="X704" s="105">
        <v>0</v>
      </c>
      <c r="Y704" s="105">
        <v>0</v>
      </c>
      <c r="Z704" s="105">
        <v>0</v>
      </c>
      <c r="AA704" s="105">
        <v>0</v>
      </c>
      <c r="AB704" s="105">
        <v>0</v>
      </c>
      <c r="AC704" s="8">
        <f t="shared" si="70"/>
        <v>3500000</v>
      </c>
      <c r="AD704" s="8">
        <f t="shared" si="71"/>
        <v>0</v>
      </c>
      <c r="AE704" s="8">
        <f t="shared" si="72"/>
        <v>0</v>
      </c>
      <c r="AF704" s="106">
        <f t="shared" si="73"/>
        <v>0</v>
      </c>
      <c r="AG704" s="8">
        <f t="shared" si="74"/>
        <v>0</v>
      </c>
      <c r="AH704" s="8">
        <f>IF($O704="Aktif",MAX(0,MIN($AE704,$AD704-SUM($AG704:AG704))),0)</f>
        <v>0</v>
      </c>
      <c r="AI704" s="8">
        <f>IF($O704="Aktif",MAX(0,MIN($AE704,$AD704-SUM($AG704:AH704))),0)</f>
        <v>0</v>
      </c>
      <c r="AJ704" s="8">
        <f>IF($O704="Aktif",MAX(0,MIN($AE704,$AD704-SUM($AG704:AI704))),0)</f>
        <v>0</v>
      </c>
      <c r="AK704" s="8">
        <f>IF($O704="Aktif",MAX(0,MIN($AE704,$AD704-SUM($AG704:AJ704))),0)</f>
        <v>0</v>
      </c>
      <c r="AL704" s="8">
        <f>IF($O704="Aktif",MAX(0,MIN($AE704,$AD704-SUM($AG704:AK704))),0)</f>
        <v>0</v>
      </c>
      <c r="AM704" s="8">
        <f>IF($O704="Aktif",MAX(0,MIN($AE704,$AD704-SUM($AG704:AL704))),0)</f>
        <v>0</v>
      </c>
      <c r="AN704" s="8">
        <f>IF($O704="Aktif",MAX(0,MIN($AE704,$AD704-SUM($AG704:AM704))),0)</f>
        <v>0</v>
      </c>
      <c r="AO704" s="8">
        <f>IF($O704="Aktif",MAX(0,MIN($AE704,$AD704-SUM($AG704:AN704))),0)</f>
        <v>0</v>
      </c>
      <c r="AP704" s="8">
        <f>IF($O704="Aktif",MAX(0,MIN($AE704,$AD704-SUM($AG704:AO704))),0)</f>
        <v>0</v>
      </c>
      <c r="AQ704" s="8">
        <f>IF($O704="Aktif",MAX(0,MIN($AE704,$AD704-SUM($AG704:AP704))),0)</f>
        <v>0</v>
      </c>
      <c r="AR704" s="8">
        <f>IF($O704="Aktif",MAX(0,MIN($AE704,$AD704-SUM($AG704:AQ704))),0)</f>
        <v>0</v>
      </c>
      <c r="AS704" s="8">
        <f>IF($O704="Aktif",MAX(0,MIN($AE704,$AD704-SUM($AG704:AR704))),0)</f>
        <v>0</v>
      </c>
      <c r="AT704" s="8">
        <f>IF($O704="Aktif",MAX(0,MIN($AE704,$AD704-SUM($AG704:AS704))),0)</f>
        <v>0</v>
      </c>
      <c r="AU704" s="8">
        <f>IF($O704="Aktif",MAX(0,MIN($AE704,$AD704-SUM($AG704:AT704))),0)</f>
        <v>0</v>
      </c>
      <c r="AV704" s="8">
        <f>IF($O704="Aktif",MAX(0,MIN($AE704,$AD704-SUM($AG704:AU704))),0)</f>
        <v>0</v>
      </c>
      <c r="AW704" s="8">
        <f t="shared" si="75"/>
        <v>0</v>
      </c>
      <c r="AX704" s="8">
        <f t="shared" si="76"/>
        <v>0</v>
      </c>
    </row>
    <row r="705" spans="1:50" ht="15" customHeight="1" x14ac:dyDescent="0.35">
      <c r="A705" s="102">
        <v>699</v>
      </c>
      <c r="B705" s="102" t="s">
        <v>1326</v>
      </c>
      <c r="C705" s="103">
        <v>333</v>
      </c>
      <c r="D705" s="102" t="s">
        <v>185</v>
      </c>
      <c r="E705" s="102" t="s">
        <v>587</v>
      </c>
      <c r="F705" s="102" t="s">
        <v>1327</v>
      </c>
      <c r="G705" s="102" t="s">
        <v>1328</v>
      </c>
      <c r="H705" s="102" t="s">
        <v>1329</v>
      </c>
      <c r="I705" s="102" t="s">
        <v>63</v>
      </c>
      <c r="J705" s="102" t="s">
        <v>2248</v>
      </c>
      <c r="K705" s="102" t="s">
        <v>591</v>
      </c>
      <c r="L705" s="104">
        <v>43112</v>
      </c>
      <c r="M705" s="102" t="s">
        <v>2249</v>
      </c>
      <c r="N705" s="102" t="s">
        <v>2250</v>
      </c>
      <c r="O705" s="102" t="s">
        <v>383</v>
      </c>
      <c r="P705" s="103">
        <v>1</v>
      </c>
      <c r="Q705" s="105">
        <v>2300000</v>
      </c>
      <c r="R705" s="103">
        <v>48</v>
      </c>
      <c r="S705" s="105">
        <v>47916.666666666701</v>
      </c>
      <c r="T705" s="105">
        <v>2300000</v>
      </c>
      <c r="U705" s="105">
        <v>0</v>
      </c>
      <c r="V705" s="105">
        <v>0</v>
      </c>
      <c r="W705" s="105">
        <v>0</v>
      </c>
      <c r="X705" s="105">
        <v>0</v>
      </c>
      <c r="Y705" s="105">
        <v>0</v>
      </c>
      <c r="Z705" s="105">
        <v>0</v>
      </c>
      <c r="AA705" s="105">
        <v>0</v>
      </c>
      <c r="AB705" s="105">
        <v>0</v>
      </c>
      <c r="AC705" s="8">
        <f t="shared" si="70"/>
        <v>2300000</v>
      </c>
      <c r="AD705" s="8">
        <f t="shared" si="71"/>
        <v>0</v>
      </c>
      <c r="AE705" s="8">
        <f t="shared" si="72"/>
        <v>0</v>
      </c>
      <c r="AF705" s="106">
        <f t="shared" si="73"/>
        <v>0</v>
      </c>
      <c r="AG705" s="8">
        <f t="shared" si="74"/>
        <v>0</v>
      </c>
      <c r="AH705" s="8">
        <f>IF($O705="Aktif",MAX(0,MIN($AE705,$AD705-SUM($AG705:AG705))),0)</f>
        <v>0</v>
      </c>
      <c r="AI705" s="8">
        <f>IF($O705="Aktif",MAX(0,MIN($AE705,$AD705-SUM($AG705:AH705))),0)</f>
        <v>0</v>
      </c>
      <c r="AJ705" s="8">
        <f>IF($O705="Aktif",MAX(0,MIN($AE705,$AD705-SUM($AG705:AI705))),0)</f>
        <v>0</v>
      </c>
      <c r="AK705" s="8">
        <f>IF($O705="Aktif",MAX(0,MIN($AE705,$AD705-SUM($AG705:AJ705))),0)</f>
        <v>0</v>
      </c>
      <c r="AL705" s="8">
        <f>IF($O705="Aktif",MAX(0,MIN($AE705,$AD705-SUM($AG705:AK705))),0)</f>
        <v>0</v>
      </c>
      <c r="AM705" s="8">
        <f>IF($O705="Aktif",MAX(0,MIN($AE705,$AD705-SUM($AG705:AL705))),0)</f>
        <v>0</v>
      </c>
      <c r="AN705" s="8">
        <f>IF($O705="Aktif",MAX(0,MIN($AE705,$AD705-SUM($AG705:AM705))),0)</f>
        <v>0</v>
      </c>
      <c r="AO705" s="8">
        <f>IF($O705="Aktif",MAX(0,MIN($AE705,$AD705-SUM($AG705:AN705))),0)</f>
        <v>0</v>
      </c>
      <c r="AP705" s="8">
        <f>IF($O705="Aktif",MAX(0,MIN($AE705,$AD705-SUM($AG705:AO705))),0)</f>
        <v>0</v>
      </c>
      <c r="AQ705" s="8">
        <f>IF($O705="Aktif",MAX(0,MIN($AE705,$AD705-SUM($AG705:AP705))),0)</f>
        <v>0</v>
      </c>
      <c r="AR705" s="8">
        <f>IF($O705="Aktif",MAX(0,MIN($AE705,$AD705-SUM($AG705:AQ705))),0)</f>
        <v>0</v>
      </c>
      <c r="AS705" s="8">
        <f>IF($O705="Aktif",MAX(0,MIN($AE705,$AD705-SUM($AG705:AR705))),0)</f>
        <v>0</v>
      </c>
      <c r="AT705" s="8">
        <f>IF($O705="Aktif",MAX(0,MIN($AE705,$AD705-SUM($AG705:AS705))),0)</f>
        <v>0</v>
      </c>
      <c r="AU705" s="8">
        <f>IF($O705="Aktif",MAX(0,MIN($AE705,$AD705-SUM($AG705:AT705))),0)</f>
        <v>0</v>
      </c>
      <c r="AV705" s="8">
        <f>IF($O705="Aktif",MAX(0,MIN($AE705,$AD705-SUM($AG705:AU705))),0)</f>
        <v>0</v>
      </c>
      <c r="AW705" s="8">
        <f t="shared" si="75"/>
        <v>0</v>
      </c>
      <c r="AX705" s="8">
        <f t="shared" si="76"/>
        <v>0</v>
      </c>
    </row>
    <row r="706" spans="1:50" ht="15" customHeight="1" x14ac:dyDescent="0.35">
      <c r="A706" s="102">
        <v>700</v>
      </c>
      <c r="B706" s="102" t="s">
        <v>1326</v>
      </c>
      <c r="C706" s="103">
        <v>334</v>
      </c>
      <c r="D706" s="102" t="s">
        <v>185</v>
      </c>
      <c r="E706" s="102" t="s">
        <v>587</v>
      </c>
      <c r="F706" s="102" t="s">
        <v>1327</v>
      </c>
      <c r="G706" s="102" t="s">
        <v>1328</v>
      </c>
      <c r="H706" s="102" t="s">
        <v>1329</v>
      </c>
      <c r="I706" s="102" t="s">
        <v>63</v>
      </c>
      <c r="J706" s="102" t="s">
        <v>2251</v>
      </c>
      <c r="K706" s="102" t="s">
        <v>591</v>
      </c>
      <c r="L706" s="104">
        <v>43112</v>
      </c>
      <c r="M706" s="102" t="s">
        <v>2252</v>
      </c>
      <c r="N706" s="102" t="s">
        <v>2253</v>
      </c>
      <c r="O706" s="102" t="s">
        <v>383</v>
      </c>
      <c r="P706" s="103">
        <v>1</v>
      </c>
      <c r="Q706" s="105">
        <v>2400000</v>
      </c>
      <c r="R706" s="103">
        <v>48</v>
      </c>
      <c r="S706" s="105">
        <v>50000</v>
      </c>
      <c r="T706" s="105">
        <v>2400000</v>
      </c>
      <c r="U706" s="105">
        <v>0</v>
      </c>
      <c r="V706" s="105">
        <v>0</v>
      </c>
      <c r="W706" s="105">
        <v>0</v>
      </c>
      <c r="X706" s="105">
        <v>0</v>
      </c>
      <c r="Y706" s="105">
        <v>0</v>
      </c>
      <c r="Z706" s="105">
        <v>0</v>
      </c>
      <c r="AA706" s="105">
        <v>0</v>
      </c>
      <c r="AB706" s="105">
        <v>0</v>
      </c>
      <c r="AC706" s="8">
        <f t="shared" si="70"/>
        <v>2400000</v>
      </c>
      <c r="AD706" s="8">
        <f t="shared" si="71"/>
        <v>0</v>
      </c>
      <c r="AE706" s="8">
        <f t="shared" si="72"/>
        <v>0</v>
      </c>
      <c r="AF706" s="106">
        <f t="shared" si="73"/>
        <v>0</v>
      </c>
      <c r="AG706" s="8">
        <f t="shared" si="74"/>
        <v>0</v>
      </c>
      <c r="AH706" s="8">
        <f>IF($O706="Aktif",MAX(0,MIN($AE706,$AD706-SUM($AG706:AG706))),0)</f>
        <v>0</v>
      </c>
      <c r="AI706" s="8">
        <f>IF($O706="Aktif",MAX(0,MIN($AE706,$AD706-SUM($AG706:AH706))),0)</f>
        <v>0</v>
      </c>
      <c r="AJ706" s="8">
        <f>IF($O706="Aktif",MAX(0,MIN($AE706,$AD706-SUM($AG706:AI706))),0)</f>
        <v>0</v>
      </c>
      <c r="AK706" s="8">
        <f>IF($O706="Aktif",MAX(0,MIN($AE706,$AD706-SUM($AG706:AJ706))),0)</f>
        <v>0</v>
      </c>
      <c r="AL706" s="8">
        <f>IF($O706="Aktif",MAX(0,MIN($AE706,$AD706-SUM($AG706:AK706))),0)</f>
        <v>0</v>
      </c>
      <c r="AM706" s="8">
        <f>IF($O706="Aktif",MAX(0,MIN($AE706,$AD706-SUM($AG706:AL706))),0)</f>
        <v>0</v>
      </c>
      <c r="AN706" s="8">
        <f>IF($O706="Aktif",MAX(0,MIN($AE706,$AD706-SUM($AG706:AM706))),0)</f>
        <v>0</v>
      </c>
      <c r="AO706" s="8">
        <f>IF($O706="Aktif",MAX(0,MIN($AE706,$AD706-SUM($AG706:AN706))),0)</f>
        <v>0</v>
      </c>
      <c r="AP706" s="8">
        <f>IF($O706="Aktif",MAX(0,MIN($AE706,$AD706-SUM($AG706:AO706))),0)</f>
        <v>0</v>
      </c>
      <c r="AQ706" s="8">
        <f>IF($O706="Aktif",MAX(0,MIN($AE706,$AD706-SUM($AG706:AP706))),0)</f>
        <v>0</v>
      </c>
      <c r="AR706" s="8">
        <f>IF($O706="Aktif",MAX(0,MIN($AE706,$AD706-SUM($AG706:AQ706))),0)</f>
        <v>0</v>
      </c>
      <c r="AS706" s="8">
        <f>IF($O706="Aktif",MAX(0,MIN($AE706,$AD706-SUM($AG706:AR706))),0)</f>
        <v>0</v>
      </c>
      <c r="AT706" s="8">
        <f>IF($O706="Aktif",MAX(0,MIN($AE706,$AD706-SUM($AG706:AS706))),0)</f>
        <v>0</v>
      </c>
      <c r="AU706" s="8">
        <f>IF($O706="Aktif",MAX(0,MIN($AE706,$AD706-SUM($AG706:AT706))),0)</f>
        <v>0</v>
      </c>
      <c r="AV706" s="8">
        <f>IF($O706="Aktif",MAX(0,MIN($AE706,$AD706-SUM($AG706:AU706))),0)</f>
        <v>0</v>
      </c>
      <c r="AW706" s="8">
        <f t="shared" si="75"/>
        <v>0</v>
      </c>
      <c r="AX706" s="8">
        <f t="shared" si="76"/>
        <v>0</v>
      </c>
    </row>
    <row r="707" spans="1:50" ht="15" customHeight="1" x14ac:dyDescent="0.35">
      <c r="A707" s="102">
        <v>701</v>
      </c>
      <c r="B707" s="102" t="s">
        <v>1326</v>
      </c>
      <c r="C707" s="103">
        <v>335</v>
      </c>
      <c r="D707" s="102" t="s">
        <v>185</v>
      </c>
      <c r="E707" s="102" t="s">
        <v>587</v>
      </c>
      <c r="F707" s="102" t="s">
        <v>1327</v>
      </c>
      <c r="G707" s="102" t="s">
        <v>1328</v>
      </c>
      <c r="H707" s="102" t="s">
        <v>1329</v>
      </c>
      <c r="I707" s="102" t="s">
        <v>63</v>
      </c>
      <c r="J707" s="102" t="s">
        <v>2254</v>
      </c>
      <c r="K707" s="102" t="s">
        <v>591</v>
      </c>
      <c r="L707" s="104">
        <v>43131</v>
      </c>
      <c r="M707" s="102" t="s">
        <v>2255</v>
      </c>
      <c r="N707" s="102" t="s">
        <v>2256</v>
      </c>
      <c r="O707" s="102" t="s">
        <v>383</v>
      </c>
      <c r="P707" s="103">
        <v>1</v>
      </c>
      <c r="Q707" s="105">
        <v>4050000</v>
      </c>
      <c r="R707" s="103">
        <v>48</v>
      </c>
      <c r="S707" s="105">
        <v>84375</v>
      </c>
      <c r="T707" s="105">
        <v>4050000</v>
      </c>
      <c r="U707" s="105">
        <v>0</v>
      </c>
      <c r="V707" s="105">
        <v>0</v>
      </c>
      <c r="W707" s="105">
        <v>0</v>
      </c>
      <c r="X707" s="105">
        <v>0</v>
      </c>
      <c r="Y707" s="105">
        <v>0</v>
      </c>
      <c r="Z707" s="105">
        <v>0</v>
      </c>
      <c r="AA707" s="105">
        <v>0</v>
      </c>
      <c r="AB707" s="105">
        <v>0</v>
      </c>
      <c r="AC707" s="8">
        <f t="shared" si="70"/>
        <v>4050000</v>
      </c>
      <c r="AD707" s="8">
        <f t="shared" si="71"/>
        <v>0</v>
      </c>
      <c r="AE707" s="8">
        <f t="shared" si="72"/>
        <v>0</v>
      </c>
      <c r="AF707" s="106">
        <f t="shared" si="73"/>
        <v>0</v>
      </c>
      <c r="AG707" s="8">
        <f t="shared" si="74"/>
        <v>0</v>
      </c>
      <c r="AH707" s="8">
        <f>IF($O707="Aktif",MAX(0,MIN($AE707,$AD707-SUM($AG707:AG707))),0)</f>
        <v>0</v>
      </c>
      <c r="AI707" s="8">
        <f>IF($O707="Aktif",MAX(0,MIN($AE707,$AD707-SUM($AG707:AH707))),0)</f>
        <v>0</v>
      </c>
      <c r="AJ707" s="8">
        <f>IF($O707="Aktif",MAX(0,MIN($AE707,$AD707-SUM($AG707:AI707))),0)</f>
        <v>0</v>
      </c>
      <c r="AK707" s="8">
        <f>IF($O707="Aktif",MAX(0,MIN($AE707,$AD707-SUM($AG707:AJ707))),0)</f>
        <v>0</v>
      </c>
      <c r="AL707" s="8">
        <f>IF($O707="Aktif",MAX(0,MIN($AE707,$AD707-SUM($AG707:AK707))),0)</f>
        <v>0</v>
      </c>
      <c r="AM707" s="8">
        <f>IF($O707="Aktif",MAX(0,MIN($AE707,$AD707-SUM($AG707:AL707))),0)</f>
        <v>0</v>
      </c>
      <c r="AN707" s="8">
        <f>IF($O707="Aktif",MAX(0,MIN($AE707,$AD707-SUM($AG707:AM707))),0)</f>
        <v>0</v>
      </c>
      <c r="AO707" s="8">
        <f>IF($O707="Aktif",MAX(0,MIN($AE707,$AD707-SUM($AG707:AN707))),0)</f>
        <v>0</v>
      </c>
      <c r="AP707" s="8">
        <f>IF($O707="Aktif",MAX(0,MIN($AE707,$AD707-SUM($AG707:AO707))),0)</f>
        <v>0</v>
      </c>
      <c r="AQ707" s="8">
        <f>IF($O707="Aktif",MAX(0,MIN($AE707,$AD707-SUM($AG707:AP707))),0)</f>
        <v>0</v>
      </c>
      <c r="AR707" s="8">
        <f>IF($O707="Aktif",MAX(0,MIN($AE707,$AD707-SUM($AG707:AQ707))),0)</f>
        <v>0</v>
      </c>
      <c r="AS707" s="8">
        <f>IF($O707="Aktif",MAX(0,MIN($AE707,$AD707-SUM($AG707:AR707))),0)</f>
        <v>0</v>
      </c>
      <c r="AT707" s="8">
        <f>IF($O707="Aktif",MAX(0,MIN($AE707,$AD707-SUM($AG707:AS707))),0)</f>
        <v>0</v>
      </c>
      <c r="AU707" s="8">
        <f>IF($O707="Aktif",MAX(0,MIN($AE707,$AD707-SUM($AG707:AT707))),0)</f>
        <v>0</v>
      </c>
      <c r="AV707" s="8">
        <f>IF($O707="Aktif",MAX(0,MIN($AE707,$AD707-SUM($AG707:AU707))),0)</f>
        <v>0</v>
      </c>
      <c r="AW707" s="8">
        <f t="shared" si="75"/>
        <v>0</v>
      </c>
      <c r="AX707" s="8">
        <f t="shared" si="76"/>
        <v>0</v>
      </c>
    </row>
    <row r="708" spans="1:50" ht="15" customHeight="1" x14ac:dyDescent="0.35">
      <c r="A708" s="102">
        <v>702</v>
      </c>
      <c r="B708" s="102" t="s">
        <v>1326</v>
      </c>
      <c r="C708" s="103">
        <v>336</v>
      </c>
      <c r="D708" s="102" t="s">
        <v>185</v>
      </c>
      <c r="E708" s="102" t="s">
        <v>587</v>
      </c>
      <c r="F708" s="102" t="s">
        <v>1327</v>
      </c>
      <c r="G708" s="102" t="s">
        <v>1328</v>
      </c>
      <c r="H708" s="102" t="s">
        <v>1329</v>
      </c>
      <c r="I708" s="102" t="s">
        <v>63</v>
      </c>
      <c r="J708" s="102" t="s">
        <v>2257</v>
      </c>
      <c r="K708" s="102" t="s">
        <v>591</v>
      </c>
      <c r="L708" s="104">
        <v>43131</v>
      </c>
      <c r="M708" s="102" t="s">
        <v>2258</v>
      </c>
      <c r="N708" s="102" t="s">
        <v>2259</v>
      </c>
      <c r="O708" s="102" t="s">
        <v>383</v>
      </c>
      <c r="P708" s="103">
        <v>1</v>
      </c>
      <c r="Q708" s="105">
        <v>24000000</v>
      </c>
      <c r="R708" s="103">
        <v>48</v>
      </c>
      <c r="S708" s="105">
        <v>500000</v>
      </c>
      <c r="T708" s="105">
        <v>24000000</v>
      </c>
      <c r="U708" s="105">
        <v>0</v>
      </c>
      <c r="V708" s="105">
        <v>0</v>
      </c>
      <c r="W708" s="105">
        <v>0</v>
      </c>
      <c r="X708" s="105">
        <v>0</v>
      </c>
      <c r="Y708" s="105">
        <v>0</v>
      </c>
      <c r="Z708" s="105">
        <v>0</v>
      </c>
      <c r="AA708" s="105">
        <v>0</v>
      </c>
      <c r="AB708" s="105">
        <v>0</v>
      </c>
      <c r="AC708" s="8">
        <f t="shared" si="70"/>
        <v>24000000</v>
      </c>
      <c r="AD708" s="8">
        <f t="shared" si="71"/>
        <v>0</v>
      </c>
      <c r="AE708" s="8">
        <f t="shared" si="72"/>
        <v>0</v>
      </c>
      <c r="AF708" s="106">
        <f t="shared" si="73"/>
        <v>0</v>
      </c>
      <c r="AG708" s="8">
        <f t="shared" si="74"/>
        <v>0</v>
      </c>
      <c r="AH708" s="8">
        <f>IF($O708="Aktif",MAX(0,MIN($AE708,$AD708-SUM($AG708:AG708))),0)</f>
        <v>0</v>
      </c>
      <c r="AI708" s="8">
        <f>IF($O708="Aktif",MAX(0,MIN($AE708,$AD708-SUM($AG708:AH708))),0)</f>
        <v>0</v>
      </c>
      <c r="AJ708" s="8">
        <f>IF($O708="Aktif",MAX(0,MIN($AE708,$AD708-SUM($AG708:AI708))),0)</f>
        <v>0</v>
      </c>
      <c r="AK708" s="8">
        <f>IF($O708="Aktif",MAX(0,MIN($AE708,$AD708-SUM($AG708:AJ708))),0)</f>
        <v>0</v>
      </c>
      <c r="AL708" s="8">
        <f>IF($O708="Aktif",MAX(0,MIN($AE708,$AD708-SUM($AG708:AK708))),0)</f>
        <v>0</v>
      </c>
      <c r="AM708" s="8">
        <f>IF($O708="Aktif",MAX(0,MIN($AE708,$AD708-SUM($AG708:AL708))),0)</f>
        <v>0</v>
      </c>
      <c r="AN708" s="8">
        <f>IF($O708="Aktif",MAX(0,MIN($AE708,$AD708-SUM($AG708:AM708))),0)</f>
        <v>0</v>
      </c>
      <c r="AO708" s="8">
        <f>IF($O708="Aktif",MAX(0,MIN($AE708,$AD708-SUM($AG708:AN708))),0)</f>
        <v>0</v>
      </c>
      <c r="AP708" s="8">
        <f>IF($O708="Aktif",MAX(0,MIN($AE708,$AD708-SUM($AG708:AO708))),0)</f>
        <v>0</v>
      </c>
      <c r="AQ708" s="8">
        <f>IF($O708="Aktif",MAX(0,MIN($AE708,$AD708-SUM($AG708:AP708))),0)</f>
        <v>0</v>
      </c>
      <c r="AR708" s="8">
        <f>IF($O708="Aktif",MAX(0,MIN($AE708,$AD708-SUM($AG708:AQ708))),0)</f>
        <v>0</v>
      </c>
      <c r="AS708" s="8">
        <f>IF($O708="Aktif",MAX(0,MIN($AE708,$AD708-SUM($AG708:AR708))),0)</f>
        <v>0</v>
      </c>
      <c r="AT708" s="8">
        <f>IF($O708="Aktif",MAX(0,MIN($AE708,$AD708-SUM($AG708:AS708))),0)</f>
        <v>0</v>
      </c>
      <c r="AU708" s="8">
        <f>IF($O708="Aktif",MAX(0,MIN($AE708,$AD708-SUM($AG708:AT708))),0)</f>
        <v>0</v>
      </c>
      <c r="AV708" s="8">
        <f>IF($O708="Aktif",MAX(0,MIN($AE708,$AD708-SUM($AG708:AU708))),0)</f>
        <v>0</v>
      </c>
      <c r="AW708" s="8">
        <f t="shared" si="75"/>
        <v>0</v>
      </c>
      <c r="AX708" s="8">
        <f t="shared" si="76"/>
        <v>0</v>
      </c>
    </row>
    <row r="709" spans="1:50" ht="15" customHeight="1" x14ac:dyDescent="0.35">
      <c r="A709" s="102">
        <v>703</v>
      </c>
      <c r="B709" s="102" t="s">
        <v>1326</v>
      </c>
      <c r="C709" s="103">
        <v>337</v>
      </c>
      <c r="D709" s="102" t="s">
        <v>185</v>
      </c>
      <c r="E709" s="102" t="s">
        <v>587</v>
      </c>
      <c r="F709" s="102" t="s">
        <v>1327</v>
      </c>
      <c r="G709" s="102" t="s">
        <v>1328</v>
      </c>
      <c r="H709" s="102" t="s">
        <v>1329</v>
      </c>
      <c r="I709" s="102" t="s">
        <v>63</v>
      </c>
      <c r="J709" s="102" t="s">
        <v>2260</v>
      </c>
      <c r="K709" s="102" t="s">
        <v>591</v>
      </c>
      <c r="L709" s="104">
        <v>43159</v>
      </c>
      <c r="M709" s="102" t="s">
        <v>2261</v>
      </c>
      <c r="N709" s="102" t="s">
        <v>2262</v>
      </c>
      <c r="O709" s="102" t="s">
        <v>383</v>
      </c>
      <c r="P709" s="103">
        <v>1</v>
      </c>
      <c r="Q709" s="105">
        <v>48000000</v>
      </c>
      <c r="R709" s="103">
        <v>48</v>
      </c>
      <c r="S709" s="105">
        <v>1000000</v>
      </c>
      <c r="T709" s="105">
        <v>48000000</v>
      </c>
      <c r="U709" s="105">
        <v>0</v>
      </c>
      <c r="V709" s="105">
        <v>0</v>
      </c>
      <c r="W709" s="105">
        <v>0</v>
      </c>
      <c r="X709" s="105">
        <v>0</v>
      </c>
      <c r="Y709" s="105">
        <v>0</v>
      </c>
      <c r="Z709" s="105">
        <v>0</v>
      </c>
      <c r="AA709" s="105">
        <v>0</v>
      </c>
      <c r="AB709" s="105">
        <v>0</v>
      </c>
      <c r="AC709" s="8">
        <f t="shared" si="70"/>
        <v>48000000</v>
      </c>
      <c r="AD709" s="8">
        <f t="shared" si="71"/>
        <v>0</v>
      </c>
      <c r="AE709" s="8">
        <f t="shared" si="72"/>
        <v>0</v>
      </c>
      <c r="AF709" s="106">
        <f t="shared" si="73"/>
        <v>0</v>
      </c>
      <c r="AG709" s="8">
        <f t="shared" si="74"/>
        <v>0</v>
      </c>
      <c r="AH709" s="8">
        <f>IF($O709="Aktif",MAX(0,MIN($AE709,$AD709-SUM($AG709:AG709))),0)</f>
        <v>0</v>
      </c>
      <c r="AI709" s="8">
        <f>IF($O709="Aktif",MAX(0,MIN($AE709,$AD709-SUM($AG709:AH709))),0)</f>
        <v>0</v>
      </c>
      <c r="AJ709" s="8">
        <f>IF($O709="Aktif",MAX(0,MIN($AE709,$AD709-SUM($AG709:AI709))),0)</f>
        <v>0</v>
      </c>
      <c r="AK709" s="8">
        <f>IF($O709="Aktif",MAX(0,MIN($AE709,$AD709-SUM($AG709:AJ709))),0)</f>
        <v>0</v>
      </c>
      <c r="AL709" s="8">
        <f>IF($O709="Aktif",MAX(0,MIN($AE709,$AD709-SUM($AG709:AK709))),0)</f>
        <v>0</v>
      </c>
      <c r="AM709" s="8">
        <f>IF($O709="Aktif",MAX(0,MIN($AE709,$AD709-SUM($AG709:AL709))),0)</f>
        <v>0</v>
      </c>
      <c r="AN709" s="8">
        <f>IF($O709="Aktif",MAX(0,MIN($AE709,$AD709-SUM($AG709:AM709))),0)</f>
        <v>0</v>
      </c>
      <c r="AO709" s="8">
        <f>IF($O709="Aktif",MAX(0,MIN($AE709,$AD709-SUM($AG709:AN709))),0)</f>
        <v>0</v>
      </c>
      <c r="AP709" s="8">
        <f>IF($O709="Aktif",MAX(0,MIN($AE709,$AD709-SUM($AG709:AO709))),0)</f>
        <v>0</v>
      </c>
      <c r="AQ709" s="8">
        <f>IF($O709="Aktif",MAX(0,MIN($AE709,$AD709-SUM($AG709:AP709))),0)</f>
        <v>0</v>
      </c>
      <c r="AR709" s="8">
        <f>IF($O709="Aktif",MAX(0,MIN($AE709,$AD709-SUM($AG709:AQ709))),0)</f>
        <v>0</v>
      </c>
      <c r="AS709" s="8">
        <f>IF($O709="Aktif",MAX(0,MIN($AE709,$AD709-SUM($AG709:AR709))),0)</f>
        <v>0</v>
      </c>
      <c r="AT709" s="8">
        <f>IF($O709="Aktif",MAX(0,MIN($AE709,$AD709-SUM($AG709:AS709))),0)</f>
        <v>0</v>
      </c>
      <c r="AU709" s="8">
        <f>IF($O709="Aktif",MAX(0,MIN($AE709,$AD709-SUM($AG709:AT709))),0)</f>
        <v>0</v>
      </c>
      <c r="AV709" s="8">
        <f>IF($O709="Aktif",MAX(0,MIN($AE709,$AD709-SUM($AG709:AU709))),0)</f>
        <v>0</v>
      </c>
      <c r="AW709" s="8">
        <f t="shared" si="75"/>
        <v>0</v>
      </c>
      <c r="AX709" s="8">
        <f t="shared" si="76"/>
        <v>0</v>
      </c>
    </row>
    <row r="710" spans="1:50" ht="15" customHeight="1" x14ac:dyDescent="0.35">
      <c r="A710" s="102">
        <v>704</v>
      </c>
      <c r="B710" s="102" t="s">
        <v>1326</v>
      </c>
      <c r="C710" s="103">
        <v>338</v>
      </c>
      <c r="D710" s="102" t="s">
        <v>185</v>
      </c>
      <c r="E710" s="102" t="s">
        <v>587</v>
      </c>
      <c r="F710" s="102" t="s">
        <v>1327</v>
      </c>
      <c r="G710" s="102" t="s">
        <v>1328</v>
      </c>
      <c r="H710" s="102" t="s">
        <v>1329</v>
      </c>
      <c r="I710" s="102" t="s">
        <v>63</v>
      </c>
      <c r="J710" s="102" t="s">
        <v>2263</v>
      </c>
      <c r="K710" s="102" t="s">
        <v>591</v>
      </c>
      <c r="L710" s="104">
        <v>43161</v>
      </c>
      <c r="M710" s="102" t="s">
        <v>2264</v>
      </c>
      <c r="N710" s="102" t="s">
        <v>2265</v>
      </c>
      <c r="O710" s="102" t="s">
        <v>383</v>
      </c>
      <c r="P710" s="103">
        <v>1</v>
      </c>
      <c r="Q710" s="105">
        <v>11500000</v>
      </c>
      <c r="R710" s="103">
        <v>48</v>
      </c>
      <c r="S710" s="105">
        <v>239583.33333333299</v>
      </c>
      <c r="T710" s="105">
        <v>11500000</v>
      </c>
      <c r="U710" s="105">
        <v>0</v>
      </c>
      <c r="V710" s="105">
        <v>0</v>
      </c>
      <c r="W710" s="105">
        <v>0</v>
      </c>
      <c r="X710" s="105">
        <v>0</v>
      </c>
      <c r="Y710" s="105">
        <v>0</v>
      </c>
      <c r="Z710" s="105">
        <v>0</v>
      </c>
      <c r="AA710" s="105">
        <v>0</v>
      </c>
      <c r="AB710" s="105">
        <v>0</v>
      </c>
      <c r="AC710" s="8">
        <f t="shared" si="70"/>
        <v>11500000</v>
      </c>
      <c r="AD710" s="8">
        <f t="shared" si="71"/>
        <v>0</v>
      </c>
      <c r="AE710" s="8">
        <f t="shared" si="72"/>
        <v>0</v>
      </c>
      <c r="AF710" s="106">
        <f t="shared" si="73"/>
        <v>0</v>
      </c>
      <c r="AG710" s="8">
        <f t="shared" si="74"/>
        <v>0</v>
      </c>
      <c r="AH710" s="8">
        <f>IF($O710="Aktif",MAX(0,MIN($AE710,$AD710-SUM($AG710:AG710))),0)</f>
        <v>0</v>
      </c>
      <c r="AI710" s="8">
        <f>IF($O710="Aktif",MAX(0,MIN($AE710,$AD710-SUM($AG710:AH710))),0)</f>
        <v>0</v>
      </c>
      <c r="AJ710" s="8">
        <f>IF($O710="Aktif",MAX(0,MIN($AE710,$AD710-SUM($AG710:AI710))),0)</f>
        <v>0</v>
      </c>
      <c r="AK710" s="8">
        <f>IF($O710="Aktif",MAX(0,MIN($AE710,$AD710-SUM($AG710:AJ710))),0)</f>
        <v>0</v>
      </c>
      <c r="AL710" s="8">
        <f>IF($O710="Aktif",MAX(0,MIN($AE710,$AD710-SUM($AG710:AK710))),0)</f>
        <v>0</v>
      </c>
      <c r="AM710" s="8">
        <f>IF($O710="Aktif",MAX(0,MIN($AE710,$AD710-SUM($AG710:AL710))),0)</f>
        <v>0</v>
      </c>
      <c r="AN710" s="8">
        <f>IF($O710="Aktif",MAX(0,MIN($AE710,$AD710-SUM($AG710:AM710))),0)</f>
        <v>0</v>
      </c>
      <c r="AO710" s="8">
        <f>IF($O710="Aktif",MAX(0,MIN($AE710,$AD710-SUM($AG710:AN710))),0)</f>
        <v>0</v>
      </c>
      <c r="AP710" s="8">
        <f>IF($O710="Aktif",MAX(0,MIN($AE710,$AD710-SUM($AG710:AO710))),0)</f>
        <v>0</v>
      </c>
      <c r="AQ710" s="8">
        <f>IF($O710="Aktif",MAX(0,MIN($AE710,$AD710-SUM($AG710:AP710))),0)</f>
        <v>0</v>
      </c>
      <c r="AR710" s="8">
        <f>IF($O710="Aktif",MAX(0,MIN($AE710,$AD710-SUM($AG710:AQ710))),0)</f>
        <v>0</v>
      </c>
      <c r="AS710" s="8">
        <f>IF($O710="Aktif",MAX(0,MIN($AE710,$AD710-SUM($AG710:AR710))),0)</f>
        <v>0</v>
      </c>
      <c r="AT710" s="8">
        <f>IF($O710="Aktif",MAX(0,MIN($AE710,$AD710-SUM($AG710:AS710))),0)</f>
        <v>0</v>
      </c>
      <c r="AU710" s="8">
        <f>IF($O710="Aktif",MAX(0,MIN($AE710,$AD710-SUM($AG710:AT710))),0)</f>
        <v>0</v>
      </c>
      <c r="AV710" s="8">
        <f>IF($O710="Aktif",MAX(0,MIN($AE710,$AD710-SUM($AG710:AU710))),0)</f>
        <v>0</v>
      </c>
      <c r="AW710" s="8">
        <f t="shared" si="75"/>
        <v>0</v>
      </c>
      <c r="AX710" s="8">
        <f t="shared" si="76"/>
        <v>0</v>
      </c>
    </row>
    <row r="711" spans="1:50" ht="15" customHeight="1" x14ac:dyDescent="0.35">
      <c r="A711" s="102">
        <v>705</v>
      </c>
      <c r="B711" s="102" t="s">
        <v>1326</v>
      </c>
      <c r="C711" s="103">
        <v>339</v>
      </c>
      <c r="D711" s="102" t="s">
        <v>185</v>
      </c>
      <c r="E711" s="102" t="s">
        <v>587</v>
      </c>
      <c r="F711" s="102" t="s">
        <v>1327</v>
      </c>
      <c r="G711" s="102" t="s">
        <v>1328</v>
      </c>
      <c r="H711" s="102" t="s">
        <v>1329</v>
      </c>
      <c r="I711" s="102" t="s">
        <v>63</v>
      </c>
      <c r="J711" s="102" t="s">
        <v>2266</v>
      </c>
      <c r="K711" s="102" t="s">
        <v>591</v>
      </c>
      <c r="L711" s="104">
        <v>43168</v>
      </c>
      <c r="M711" s="102" t="s">
        <v>2267</v>
      </c>
      <c r="N711" s="102" t="s">
        <v>2268</v>
      </c>
      <c r="O711" s="102" t="s">
        <v>383</v>
      </c>
      <c r="P711" s="103">
        <v>1</v>
      </c>
      <c r="Q711" s="105">
        <v>6300000</v>
      </c>
      <c r="R711" s="103">
        <v>48</v>
      </c>
      <c r="S711" s="105">
        <v>131250</v>
      </c>
      <c r="T711" s="105">
        <v>6300000</v>
      </c>
      <c r="U711" s="105">
        <v>0</v>
      </c>
      <c r="V711" s="105">
        <v>0</v>
      </c>
      <c r="W711" s="105">
        <v>0</v>
      </c>
      <c r="X711" s="105">
        <v>0</v>
      </c>
      <c r="Y711" s="105">
        <v>0</v>
      </c>
      <c r="Z711" s="105">
        <v>0</v>
      </c>
      <c r="AA711" s="105">
        <v>0</v>
      </c>
      <c r="AB711" s="105">
        <v>0</v>
      </c>
      <c r="AC711" s="8">
        <f t="shared" ref="AC711:AC774" si="77">T711+SUM(U711:AB711)</f>
        <v>6300000</v>
      </c>
      <c r="AD711" s="8">
        <f t="shared" ref="AD711:AD774" si="78">Q711-AC711</f>
        <v>0</v>
      </c>
      <c r="AE711" s="8">
        <f t="shared" ref="AE711:AE774" si="79">IF(O711="Aktif",AB711,0)</f>
        <v>0</v>
      </c>
      <c r="AF711" s="106">
        <f t="shared" ref="AF711:AF774" si="80">IF(AE711&gt;0,MAX(0,AD711)/AE711,0)</f>
        <v>0</v>
      </c>
      <c r="AG711" s="8">
        <f t="shared" ref="AG711:AG774" si="81">IF($O711="Aktif",MAX(0,MIN($AE711,$AD711-0)),0)</f>
        <v>0</v>
      </c>
      <c r="AH711" s="8">
        <f>IF($O711="Aktif",MAX(0,MIN($AE711,$AD711-SUM($AG711:AG711))),0)</f>
        <v>0</v>
      </c>
      <c r="AI711" s="8">
        <f>IF($O711="Aktif",MAX(0,MIN($AE711,$AD711-SUM($AG711:AH711))),0)</f>
        <v>0</v>
      </c>
      <c r="AJ711" s="8">
        <f>IF($O711="Aktif",MAX(0,MIN($AE711,$AD711-SUM($AG711:AI711))),0)</f>
        <v>0</v>
      </c>
      <c r="AK711" s="8">
        <f>IF($O711="Aktif",MAX(0,MIN($AE711,$AD711-SUM($AG711:AJ711))),0)</f>
        <v>0</v>
      </c>
      <c r="AL711" s="8">
        <f>IF($O711="Aktif",MAX(0,MIN($AE711,$AD711-SUM($AG711:AK711))),0)</f>
        <v>0</v>
      </c>
      <c r="AM711" s="8">
        <f>IF($O711="Aktif",MAX(0,MIN($AE711,$AD711-SUM($AG711:AL711))),0)</f>
        <v>0</v>
      </c>
      <c r="AN711" s="8">
        <f>IF($O711="Aktif",MAX(0,MIN($AE711,$AD711-SUM($AG711:AM711))),0)</f>
        <v>0</v>
      </c>
      <c r="AO711" s="8">
        <f>IF($O711="Aktif",MAX(0,MIN($AE711,$AD711-SUM($AG711:AN711))),0)</f>
        <v>0</v>
      </c>
      <c r="AP711" s="8">
        <f>IF($O711="Aktif",MAX(0,MIN($AE711,$AD711-SUM($AG711:AO711))),0)</f>
        <v>0</v>
      </c>
      <c r="AQ711" s="8">
        <f>IF($O711="Aktif",MAX(0,MIN($AE711,$AD711-SUM($AG711:AP711))),0)</f>
        <v>0</v>
      </c>
      <c r="AR711" s="8">
        <f>IF($O711="Aktif",MAX(0,MIN($AE711,$AD711-SUM($AG711:AQ711))),0)</f>
        <v>0</v>
      </c>
      <c r="AS711" s="8">
        <f>IF($O711="Aktif",MAX(0,MIN($AE711,$AD711-SUM($AG711:AR711))),0)</f>
        <v>0</v>
      </c>
      <c r="AT711" s="8">
        <f>IF($O711="Aktif",MAX(0,MIN($AE711,$AD711-SUM($AG711:AS711))),0)</f>
        <v>0</v>
      </c>
      <c r="AU711" s="8">
        <f>IF($O711="Aktif",MAX(0,MIN($AE711,$AD711-SUM($AG711:AT711))),0)</f>
        <v>0</v>
      </c>
      <c r="AV711" s="8">
        <f>IF($O711="Aktif",MAX(0,MIN($AE711,$AD711-SUM($AG711:AU711))),0)</f>
        <v>0</v>
      </c>
      <c r="AW711" s="8">
        <f t="shared" ref="AW711:AW774" si="82">SUM(AG711:AV711)</f>
        <v>0</v>
      </c>
      <c r="AX711" s="8">
        <f t="shared" ref="AX711:AX774" si="83">AD711-AW711</f>
        <v>0</v>
      </c>
    </row>
    <row r="712" spans="1:50" ht="15" customHeight="1" x14ac:dyDescent="0.35">
      <c r="A712" s="102">
        <v>706</v>
      </c>
      <c r="B712" s="102" t="s">
        <v>1326</v>
      </c>
      <c r="C712" s="103">
        <v>340</v>
      </c>
      <c r="D712" s="102" t="s">
        <v>185</v>
      </c>
      <c r="E712" s="102" t="s">
        <v>587</v>
      </c>
      <c r="F712" s="102" t="s">
        <v>1327</v>
      </c>
      <c r="G712" s="102" t="s">
        <v>1328</v>
      </c>
      <c r="H712" s="102" t="s">
        <v>1329</v>
      </c>
      <c r="I712" s="102" t="s">
        <v>63</v>
      </c>
      <c r="J712" s="102" t="s">
        <v>2269</v>
      </c>
      <c r="K712" s="102" t="s">
        <v>591</v>
      </c>
      <c r="L712" s="104">
        <v>43220</v>
      </c>
      <c r="M712" s="102" t="s">
        <v>2270</v>
      </c>
      <c r="N712" s="102" t="s">
        <v>2271</v>
      </c>
      <c r="O712" s="102" t="s">
        <v>383</v>
      </c>
      <c r="P712" s="103">
        <v>1</v>
      </c>
      <c r="Q712" s="105">
        <v>6600000</v>
      </c>
      <c r="R712" s="103">
        <v>48</v>
      </c>
      <c r="S712" s="105">
        <v>137500</v>
      </c>
      <c r="T712" s="105">
        <v>6600000</v>
      </c>
      <c r="U712" s="105">
        <v>0</v>
      </c>
      <c r="V712" s="105">
        <v>0</v>
      </c>
      <c r="W712" s="105">
        <v>0</v>
      </c>
      <c r="X712" s="105">
        <v>0</v>
      </c>
      <c r="Y712" s="105">
        <v>0</v>
      </c>
      <c r="Z712" s="105">
        <v>0</v>
      </c>
      <c r="AA712" s="105">
        <v>0</v>
      </c>
      <c r="AB712" s="105">
        <v>0</v>
      </c>
      <c r="AC712" s="8">
        <f t="shared" si="77"/>
        <v>6600000</v>
      </c>
      <c r="AD712" s="8">
        <f t="shared" si="78"/>
        <v>0</v>
      </c>
      <c r="AE712" s="8">
        <f t="shared" si="79"/>
        <v>0</v>
      </c>
      <c r="AF712" s="106">
        <f t="shared" si="80"/>
        <v>0</v>
      </c>
      <c r="AG712" s="8">
        <f t="shared" si="81"/>
        <v>0</v>
      </c>
      <c r="AH712" s="8">
        <f>IF($O712="Aktif",MAX(0,MIN($AE712,$AD712-SUM($AG712:AG712))),0)</f>
        <v>0</v>
      </c>
      <c r="AI712" s="8">
        <f>IF($O712="Aktif",MAX(0,MIN($AE712,$AD712-SUM($AG712:AH712))),0)</f>
        <v>0</v>
      </c>
      <c r="AJ712" s="8">
        <f>IF($O712="Aktif",MAX(0,MIN($AE712,$AD712-SUM($AG712:AI712))),0)</f>
        <v>0</v>
      </c>
      <c r="AK712" s="8">
        <f>IF($O712="Aktif",MAX(0,MIN($AE712,$AD712-SUM($AG712:AJ712))),0)</f>
        <v>0</v>
      </c>
      <c r="AL712" s="8">
        <f>IF($O712="Aktif",MAX(0,MIN($AE712,$AD712-SUM($AG712:AK712))),0)</f>
        <v>0</v>
      </c>
      <c r="AM712" s="8">
        <f>IF($O712="Aktif",MAX(0,MIN($AE712,$AD712-SUM($AG712:AL712))),0)</f>
        <v>0</v>
      </c>
      <c r="AN712" s="8">
        <f>IF($O712="Aktif",MAX(0,MIN($AE712,$AD712-SUM($AG712:AM712))),0)</f>
        <v>0</v>
      </c>
      <c r="AO712" s="8">
        <f>IF($O712="Aktif",MAX(0,MIN($AE712,$AD712-SUM($AG712:AN712))),0)</f>
        <v>0</v>
      </c>
      <c r="AP712" s="8">
        <f>IF($O712="Aktif",MAX(0,MIN($AE712,$AD712-SUM($AG712:AO712))),0)</f>
        <v>0</v>
      </c>
      <c r="AQ712" s="8">
        <f>IF($O712="Aktif",MAX(0,MIN($AE712,$AD712-SUM($AG712:AP712))),0)</f>
        <v>0</v>
      </c>
      <c r="AR712" s="8">
        <f>IF($O712="Aktif",MAX(0,MIN($AE712,$AD712-SUM($AG712:AQ712))),0)</f>
        <v>0</v>
      </c>
      <c r="AS712" s="8">
        <f>IF($O712="Aktif",MAX(0,MIN($AE712,$AD712-SUM($AG712:AR712))),0)</f>
        <v>0</v>
      </c>
      <c r="AT712" s="8">
        <f>IF($O712="Aktif",MAX(0,MIN($AE712,$AD712-SUM($AG712:AS712))),0)</f>
        <v>0</v>
      </c>
      <c r="AU712" s="8">
        <f>IF($O712="Aktif",MAX(0,MIN($AE712,$AD712-SUM($AG712:AT712))),0)</f>
        <v>0</v>
      </c>
      <c r="AV712" s="8">
        <f>IF($O712="Aktif",MAX(0,MIN($AE712,$AD712-SUM($AG712:AU712))),0)</f>
        <v>0</v>
      </c>
      <c r="AW712" s="8">
        <f t="shared" si="82"/>
        <v>0</v>
      </c>
      <c r="AX712" s="8">
        <f t="shared" si="83"/>
        <v>0</v>
      </c>
    </row>
    <row r="713" spans="1:50" ht="15" customHeight="1" x14ac:dyDescent="0.35">
      <c r="A713" s="102">
        <v>707</v>
      </c>
      <c r="B713" s="102" t="s">
        <v>1326</v>
      </c>
      <c r="C713" s="103">
        <v>341</v>
      </c>
      <c r="D713" s="102" t="s">
        <v>185</v>
      </c>
      <c r="E713" s="102" t="s">
        <v>587</v>
      </c>
      <c r="F713" s="102" t="s">
        <v>1327</v>
      </c>
      <c r="G713" s="102" t="s">
        <v>1328</v>
      </c>
      <c r="H713" s="102" t="s">
        <v>1329</v>
      </c>
      <c r="I713" s="102" t="s">
        <v>63</v>
      </c>
      <c r="J713" s="102" t="s">
        <v>2272</v>
      </c>
      <c r="K713" s="102" t="s">
        <v>591</v>
      </c>
      <c r="L713" s="104">
        <v>43220</v>
      </c>
      <c r="M713" s="102" t="s">
        <v>2273</v>
      </c>
      <c r="N713" s="102" t="s">
        <v>2274</v>
      </c>
      <c r="O713" s="102" t="s">
        <v>383</v>
      </c>
      <c r="P713" s="103">
        <v>1</v>
      </c>
      <c r="Q713" s="105">
        <v>3179100</v>
      </c>
      <c r="R713" s="103">
        <v>48</v>
      </c>
      <c r="S713" s="105">
        <v>66231.25</v>
      </c>
      <c r="T713" s="105">
        <v>3179100</v>
      </c>
      <c r="U713" s="105">
        <v>0</v>
      </c>
      <c r="V713" s="105">
        <v>0</v>
      </c>
      <c r="W713" s="105">
        <v>0</v>
      </c>
      <c r="X713" s="105">
        <v>0</v>
      </c>
      <c r="Y713" s="105">
        <v>0</v>
      </c>
      <c r="Z713" s="105">
        <v>0</v>
      </c>
      <c r="AA713" s="105">
        <v>0</v>
      </c>
      <c r="AB713" s="105">
        <v>0</v>
      </c>
      <c r="AC713" s="8">
        <f t="shared" si="77"/>
        <v>3179100</v>
      </c>
      <c r="AD713" s="8">
        <f t="shared" si="78"/>
        <v>0</v>
      </c>
      <c r="AE713" s="8">
        <f t="shared" si="79"/>
        <v>0</v>
      </c>
      <c r="AF713" s="106">
        <f t="shared" si="80"/>
        <v>0</v>
      </c>
      <c r="AG713" s="8">
        <f t="shared" si="81"/>
        <v>0</v>
      </c>
      <c r="AH713" s="8">
        <f>IF($O713="Aktif",MAX(0,MIN($AE713,$AD713-SUM($AG713:AG713))),0)</f>
        <v>0</v>
      </c>
      <c r="AI713" s="8">
        <f>IF($O713="Aktif",MAX(0,MIN($AE713,$AD713-SUM($AG713:AH713))),0)</f>
        <v>0</v>
      </c>
      <c r="AJ713" s="8">
        <f>IF($O713="Aktif",MAX(0,MIN($AE713,$AD713-SUM($AG713:AI713))),0)</f>
        <v>0</v>
      </c>
      <c r="AK713" s="8">
        <f>IF($O713="Aktif",MAX(0,MIN($AE713,$AD713-SUM($AG713:AJ713))),0)</f>
        <v>0</v>
      </c>
      <c r="AL713" s="8">
        <f>IF($O713="Aktif",MAX(0,MIN($AE713,$AD713-SUM($AG713:AK713))),0)</f>
        <v>0</v>
      </c>
      <c r="AM713" s="8">
        <f>IF($O713="Aktif",MAX(0,MIN($AE713,$AD713-SUM($AG713:AL713))),0)</f>
        <v>0</v>
      </c>
      <c r="AN713" s="8">
        <f>IF($O713="Aktif",MAX(0,MIN($AE713,$AD713-SUM($AG713:AM713))),0)</f>
        <v>0</v>
      </c>
      <c r="AO713" s="8">
        <f>IF($O713="Aktif",MAX(0,MIN($AE713,$AD713-SUM($AG713:AN713))),0)</f>
        <v>0</v>
      </c>
      <c r="AP713" s="8">
        <f>IF($O713="Aktif",MAX(0,MIN($AE713,$AD713-SUM($AG713:AO713))),0)</f>
        <v>0</v>
      </c>
      <c r="AQ713" s="8">
        <f>IF($O713="Aktif",MAX(0,MIN($AE713,$AD713-SUM($AG713:AP713))),0)</f>
        <v>0</v>
      </c>
      <c r="AR713" s="8">
        <f>IF($O713="Aktif",MAX(0,MIN($AE713,$AD713-SUM($AG713:AQ713))),0)</f>
        <v>0</v>
      </c>
      <c r="AS713" s="8">
        <f>IF($O713="Aktif",MAX(0,MIN($AE713,$AD713-SUM($AG713:AR713))),0)</f>
        <v>0</v>
      </c>
      <c r="AT713" s="8">
        <f>IF($O713="Aktif",MAX(0,MIN($AE713,$AD713-SUM($AG713:AS713))),0)</f>
        <v>0</v>
      </c>
      <c r="AU713" s="8">
        <f>IF($O713="Aktif",MAX(0,MIN($AE713,$AD713-SUM($AG713:AT713))),0)</f>
        <v>0</v>
      </c>
      <c r="AV713" s="8">
        <f>IF($O713="Aktif",MAX(0,MIN($AE713,$AD713-SUM($AG713:AU713))),0)</f>
        <v>0</v>
      </c>
      <c r="AW713" s="8">
        <f t="shared" si="82"/>
        <v>0</v>
      </c>
      <c r="AX713" s="8">
        <f t="shared" si="83"/>
        <v>0</v>
      </c>
    </row>
    <row r="714" spans="1:50" ht="15" customHeight="1" x14ac:dyDescent="0.35">
      <c r="A714" s="102">
        <v>708</v>
      </c>
      <c r="B714" s="102" t="s">
        <v>1326</v>
      </c>
      <c r="C714" s="103">
        <v>342</v>
      </c>
      <c r="D714" s="102" t="s">
        <v>185</v>
      </c>
      <c r="E714" s="102" t="s">
        <v>587</v>
      </c>
      <c r="F714" s="102" t="s">
        <v>1327</v>
      </c>
      <c r="G714" s="102" t="s">
        <v>1328</v>
      </c>
      <c r="H714" s="102" t="s">
        <v>1329</v>
      </c>
      <c r="I714" s="102" t="s">
        <v>63</v>
      </c>
      <c r="J714" s="102" t="s">
        <v>2275</v>
      </c>
      <c r="K714" s="102" t="s">
        <v>591</v>
      </c>
      <c r="L714" s="104">
        <v>43343</v>
      </c>
      <c r="M714" s="102" t="s">
        <v>2276</v>
      </c>
      <c r="N714" s="102" t="s">
        <v>2277</v>
      </c>
      <c r="O714" s="102" t="s">
        <v>383</v>
      </c>
      <c r="P714" s="103">
        <v>1</v>
      </c>
      <c r="Q714" s="105">
        <v>5120000</v>
      </c>
      <c r="R714" s="103">
        <v>48</v>
      </c>
      <c r="S714" s="105">
        <v>106666.66666666701</v>
      </c>
      <c r="T714" s="105">
        <v>5120000</v>
      </c>
      <c r="U714" s="105">
        <v>0</v>
      </c>
      <c r="V714" s="105">
        <v>0</v>
      </c>
      <c r="W714" s="105">
        <v>0</v>
      </c>
      <c r="X714" s="105">
        <v>0</v>
      </c>
      <c r="Y714" s="105">
        <v>0</v>
      </c>
      <c r="Z714" s="105">
        <v>0</v>
      </c>
      <c r="AA714" s="105">
        <v>0</v>
      </c>
      <c r="AB714" s="105">
        <v>0</v>
      </c>
      <c r="AC714" s="8">
        <f t="shared" si="77"/>
        <v>5120000</v>
      </c>
      <c r="AD714" s="8">
        <f t="shared" si="78"/>
        <v>0</v>
      </c>
      <c r="AE714" s="8">
        <f t="shared" si="79"/>
        <v>0</v>
      </c>
      <c r="AF714" s="106">
        <f t="shared" si="80"/>
        <v>0</v>
      </c>
      <c r="AG714" s="8">
        <f t="shared" si="81"/>
        <v>0</v>
      </c>
      <c r="AH714" s="8">
        <f>IF($O714="Aktif",MAX(0,MIN($AE714,$AD714-SUM($AG714:AG714))),0)</f>
        <v>0</v>
      </c>
      <c r="AI714" s="8">
        <f>IF($O714="Aktif",MAX(0,MIN($AE714,$AD714-SUM($AG714:AH714))),0)</f>
        <v>0</v>
      </c>
      <c r="AJ714" s="8">
        <f>IF($O714="Aktif",MAX(0,MIN($AE714,$AD714-SUM($AG714:AI714))),0)</f>
        <v>0</v>
      </c>
      <c r="AK714" s="8">
        <f>IF($O714="Aktif",MAX(0,MIN($AE714,$AD714-SUM($AG714:AJ714))),0)</f>
        <v>0</v>
      </c>
      <c r="AL714" s="8">
        <f>IF($O714="Aktif",MAX(0,MIN($AE714,$AD714-SUM($AG714:AK714))),0)</f>
        <v>0</v>
      </c>
      <c r="AM714" s="8">
        <f>IF($O714="Aktif",MAX(0,MIN($AE714,$AD714-SUM($AG714:AL714))),0)</f>
        <v>0</v>
      </c>
      <c r="AN714" s="8">
        <f>IF($O714="Aktif",MAX(0,MIN($AE714,$AD714-SUM($AG714:AM714))),0)</f>
        <v>0</v>
      </c>
      <c r="AO714" s="8">
        <f>IF($O714="Aktif",MAX(0,MIN($AE714,$AD714-SUM($AG714:AN714))),0)</f>
        <v>0</v>
      </c>
      <c r="AP714" s="8">
        <f>IF($O714="Aktif",MAX(0,MIN($AE714,$AD714-SUM($AG714:AO714))),0)</f>
        <v>0</v>
      </c>
      <c r="AQ714" s="8">
        <f>IF($O714="Aktif",MAX(0,MIN($AE714,$AD714-SUM($AG714:AP714))),0)</f>
        <v>0</v>
      </c>
      <c r="AR714" s="8">
        <f>IF($O714="Aktif",MAX(0,MIN($AE714,$AD714-SUM($AG714:AQ714))),0)</f>
        <v>0</v>
      </c>
      <c r="AS714" s="8">
        <f>IF($O714="Aktif",MAX(0,MIN($AE714,$AD714-SUM($AG714:AR714))),0)</f>
        <v>0</v>
      </c>
      <c r="AT714" s="8">
        <f>IF($O714="Aktif",MAX(0,MIN($AE714,$AD714-SUM($AG714:AS714))),0)</f>
        <v>0</v>
      </c>
      <c r="AU714" s="8">
        <f>IF($O714="Aktif",MAX(0,MIN($AE714,$AD714-SUM($AG714:AT714))),0)</f>
        <v>0</v>
      </c>
      <c r="AV714" s="8">
        <f>IF($O714="Aktif",MAX(0,MIN($AE714,$AD714-SUM($AG714:AU714))),0)</f>
        <v>0</v>
      </c>
      <c r="AW714" s="8">
        <f t="shared" si="82"/>
        <v>0</v>
      </c>
      <c r="AX714" s="8">
        <f t="shared" si="83"/>
        <v>0</v>
      </c>
    </row>
    <row r="715" spans="1:50" ht="15" customHeight="1" x14ac:dyDescent="0.35">
      <c r="A715" s="102">
        <v>709</v>
      </c>
      <c r="B715" s="102" t="s">
        <v>1326</v>
      </c>
      <c r="C715" s="103">
        <v>343</v>
      </c>
      <c r="D715" s="102" t="s">
        <v>185</v>
      </c>
      <c r="E715" s="102" t="s">
        <v>587</v>
      </c>
      <c r="F715" s="102" t="s">
        <v>1327</v>
      </c>
      <c r="G715" s="102" t="s">
        <v>1328</v>
      </c>
      <c r="H715" s="102" t="s">
        <v>1329</v>
      </c>
      <c r="I715" s="102" t="s">
        <v>63</v>
      </c>
      <c r="J715" s="102" t="s">
        <v>2278</v>
      </c>
      <c r="K715" s="102" t="s">
        <v>591</v>
      </c>
      <c r="L715" s="104">
        <v>43441</v>
      </c>
      <c r="M715" s="102" t="s">
        <v>2279</v>
      </c>
      <c r="N715" s="102" t="s">
        <v>2280</v>
      </c>
      <c r="O715" s="102" t="s">
        <v>383</v>
      </c>
      <c r="P715" s="103">
        <v>1</v>
      </c>
      <c r="Q715" s="105">
        <v>15400000</v>
      </c>
      <c r="R715" s="103">
        <v>48</v>
      </c>
      <c r="S715" s="105">
        <v>320833.33333333302</v>
      </c>
      <c r="T715" s="105">
        <v>15400000</v>
      </c>
      <c r="U715" s="105">
        <v>0</v>
      </c>
      <c r="V715" s="105">
        <v>0</v>
      </c>
      <c r="W715" s="105">
        <v>0</v>
      </c>
      <c r="X715" s="105">
        <v>0</v>
      </c>
      <c r="Y715" s="105">
        <v>0</v>
      </c>
      <c r="Z715" s="105">
        <v>0</v>
      </c>
      <c r="AA715" s="105">
        <v>0</v>
      </c>
      <c r="AB715" s="105">
        <v>0</v>
      </c>
      <c r="AC715" s="8">
        <f t="shared" si="77"/>
        <v>15400000</v>
      </c>
      <c r="AD715" s="8">
        <f t="shared" si="78"/>
        <v>0</v>
      </c>
      <c r="AE715" s="8">
        <f t="shared" si="79"/>
        <v>0</v>
      </c>
      <c r="AF715" s="106">
        <f t="shared" si="80"/>
        <v>0</v>
      </c>
      <c r="AG715" s="8">
        <f t="shared" si="81"/>
        <v>0</v>
      </c>
      <c r="AH715" s="8">
        <f>IF($O715="Aktif",MAX(0,MIN($AE715,$AD715-SUM($AG715:AG715))),0)</f>
        <v>0</v>
      </c>
      <c r="AI715" s="8">
        <f>IF($O715="Aktif",MAX(0,MIN($AE715,$AD715-SUM($AG715:AH715))),0)</f>
        <v>0</v>
      </c>
      <c r="AJ715" s="8">
        <f>IF($O715="Aktif",MAX(0,MIN($AE715,$AD715-SUM($AG715:AI715))),0)</f>
        <v>0</v>
      </c>
      <c r="AK715" s="8">
        <f>IF($O715="Aktif",MAX(0,MIN($AE715,$AD715-SUM($AG715:AJ715))),0)</f>
        <v>0</v>
      </c>
      <c r="AL715" s="8">
        <f>IF($O715="Aktif",MAX(0,MIN($AE715,$AD715-SUM($AG715:AK715))),0)</f>
        <v>0</v>
      </c>
      <c r="AM715" s="8">
        <f>IF($O715="Aktif",MAX(0,MIN($AE715,$AD715-SUM($AG715:AL715))),0)</f>
        <v>0</v>
      </c>
      <c r="AN715" s="8">
        <f>IF($O715="Aktif",MAX(0,MIN($AE715,$AD715-SUM($AG715:AM715))),0)</f>
        <v>0</v>
      </c>
      <c r="AO715" s="8">
        <f>IF($O715="Aktif",MAX(0,MIN($AE715,$AD715-SUM($AG715:AN715))),0)</f>
        <v>0</v>
      </c>
      <c r="AP715" s="8">
        <f>IF($O715="Aktif",MAX(0,MIN($AE715,$AD715-SUM($AG715:AO715))),0)</f>
        <v>0</v>
      </c>
      <c r="AQ715" s="8">
        <f>IF($O715="Aktif",MAX(0,MIN($AE715,$AD715-SUM($AG715:AP715))),0)</f>
        <v>0</v>
      </c>
      <c r="AR715" s="8">
        <f>IF($O715="Aktif",MAX(0,MIN($AE715,$AD715-SUM($AG715:AQ715))),0)</f>
        <v>0</v>
      </c>
      <c r="AS715" s="8">
        <f>IF($O715="Aktif",MAX(0,MIN($AE715,$AD715-SUM($AG715:AR715))),0)</f>
        <v>0</v>
      </c>
      <c r="AT715" s="8">
        <f>IF($O715="Aktif",MAX(0,MIN($AE715,$AD715-SUM($AG715:AS715))),0)</f>
        <v>0</v>
      </c>
      <c r="AU715" s="8">
        <f>IF($O715="Aktif",MAX(0,MIN($AE715,$AD715-SUM($AG715:AT715))),0)</f>
        <v>0</v>
      </c>
      <c r="AV715" s="8">
        <f>IF($O715="Aktif",MAX(0,MIN($AE715,$AD715-SUM($AG715:AU715))),0)</f>
        <v>0</v>
      </c>
      <c r="AW715" s="8">
        <f t="shared" si="82"/>
        <v>0</v>
      </c>
      <c r="AX715" s="8">
        <f t="shared" si="83"/>
        <v>0</v>
      </c>
    </row>
    <row r="716" spans="1:50" ht="15" customHeight="1" x14ac:dyDescent="0.35">
      <c r="A716" s="102">
        <v>710</v>
      </c>
      <c r="B716" s="102" t="s">
        <v>1326</v>
      </c>
      <c r="C716" s="103">
        <v>344</v>
      </c>
      <c r="D716" s="102" t="s">
        <v>185</v>
      </c>
      <c r="E716" s="102" t="s">
        <v>587</v>
      </c>
      <c r="F716" s="102" t="s">
        <v>1327</v>
      </c>
      <c r="G716" s="102" t="s">
        <v>1328</v>
      </c>
      <c r="H716" s="102" t="s">
        <v>1329</v>
      </c>
      <c r="I716" s="102" t="s">
        <v>63</v>
      </c>
      <c r="J716" s="102" t="s">
        <v>2281</v>
      </c>
      <c r="K716" s="102" t="s">
        <v>591</v>
      </c>
      <c r="L716" s="104">
        <v>43465</v>
      </c>
      <c r="M716" s="102" t="s">
        <v>1947</v>
      </c>
      <c r="N716" s="102" t="s">
        <v>2282</v>
      </c>
      <c r="O716" s="102" t="s">
        <v>383</v>
      </c>
      <c r="P716" s="103">
        <v>1</v>
      </c>
      <c r="Q716" s="105">
        <v>3000000</v>
      </c>
      <c r="R716" s="103">
        <v>48</v>
      </c>
      <c r="S716" s="105">
        <v>62500</v>
      </c>
      <c r="T716" s="105">
        <v>3000000</v>
      </c>
      <c r="U716" s="105">
        <v>0</v>
      </c>
      <c r="V716" s="105">
        <v>0</v>
      </c>
      <c r="W716" s="105">
        <v>0</v>
      </c>
      <c r="X716" s="105">
        <v>0</v>
      </c>
      <c r="Y716" s="105">
        <v>0</v>
      </c>
      <c r="Z716" s="105">
        <v>0</v>
      </c>
      <c r="AA716" s="105">
        <v>0</v>
      </c>
      <c r="AB716" s="105">
        <v>0</v>
      </c>
      <c r="AC716" s="8">
        <f t="shared" si="77"/>
        <v>3000000</v>
      </c>
      <c r="AD716" s="8">
        <f t="shared" si="78"/>
        <v>0</v>
      </c>
      <c r="AE716" s="8">
        <f t="shared" si="79"/>
        <v>0</v>
      </c>
      <c r="AF716" s="106">
        <f t="shared" si="80"/>
        <v>0</v>
      </c>
      <c r="AG716" s="8">
        <f t="shared" si="81"/>
        <v>0</v>
      </c>
      <c r="AH716" s="8">
        <f>IF($O716="Aktif",MAX(0,MIN($AE716,$AD716-SUM($AG716:AG716))),0)</f>
        <v>0</v>
      </c>
      <c r="AI716" s="8">
        <f>IF($O716="Aktif",MAX(0,MIN($AE716,$AD716-SUM($AG716:AH716))),0)</f>
        <v>0</v>
      </c>
      <c r="AJ716" s="8">
        <f>IF($O716="Aktif",MAX(0,MIN($AE716,$AD716-SUM($AG716:AI716))),0)</f>
        <v>0</v>
      </c>
      <c r="AK716" s="8">
        <f>IF($O716="Aktif",MAX(0,MIN($AE716,$AD716-SUM($AG716:AJ716))),0)</f>
        <v>0</v>
      </c>
      <c r="AL716" s="8">
        <f>IF($O716="Aktif",MAX(0,MIN($AE716,$AD716-SUM($AG716:AK716))),0)</f>
        <v>0</v>
      </c>
      <c r="AM716" s="8">
        <f>IF($O716="Aktif",MAX(0,MIN($AE716,$AD716-SUM($AG716:AL716))),0)</f>
        <v>0</v>
      </c>
      <c r="AN716" s="8">
        <f>IF($O716="Aktif",MAX(0,MIN($AE716,$AD716-SUM($AG716:AM716))),0)</f>
        <v>0</v>
      </c>
      <c r="AO716" s="8">
        <f>IF($O716="Aktif",MAX(0,MIN($AE716,$AD716-SUM($AG716:AN716))),0)</f>
        <v>0</v>
      </c>
      <c r="AP716" s="8">
        <f>IF($O716="Aktif",MAX(0,MIN($AE716,$AD716-SUM($AG716:AO716))),0)</f>
        <v>0</v>
      </c>
      <c r="AQ716" s="8">
        <f>IF($O716="Aktif",MAX(0,MIN($AE716,$AD716-SUM($AG716:AP716))),0)</f>
        <v>0</v>
      </c>
      <c r="AR716" s="8">
        <f>IF($O716="Aktif",MAX(0,MIN($AE716,$AD716-SUM($AG716:AQ716))),0)</f>
        <v>0</v>
      </c>
      <c r="AS716" s="8">
        <f>IF($O716="Aktif",MAX(0,MIN($AE716,$AD716-SUM($AG716:AR716))),0)</f>
        <v>0</v>
      </c>
      <c r="AT716" s="8">
        <f>IF($O716="Aktif",MAX(0,MIN($AE716,$AD716-SUM($AG716:AS716))),0)</f>
        <v>0</v>
      </c>
      <c r="AU716" s="8">
        <f>IF($O716="Aktif",MAX(0,MIN($AE716,$AD716-SUM($AG716:AT716))),0)</f>
        <v>0</v>
      </c>
      <c r="AV716" s="8">
        <f>IF($O716="Aktif",MAX(0,MIN($AE716,$AD716-SUM($AG716:AU716))),0)</f>
        <v>0</v>
      </c>
      <c r="AW716" s="8">
        <f t="shared" si="82"/>
        <v>0</v>
      </c>
      <c r="AX716" s="8">
        <f t="shared" si="83"/>
        <v>0</v>
      </c>
    </row>
    <row r="717" spans="1:50" ht="15" customHeight="1" x14ac:dyDescent="0.35">
      <c r="A717" s="102">
        <v>711</v>
      </c>
      <c r="B717" s="102" t="s">
        <v>1326</v>
      </c>
      <c r="C717" s="103">
        <v>345</v>
      </c>
      <c r="D717" s="102" t="s">
        <v>185</v>
      </c>
      <c r="E717" s="102" t="s">
        <v>540</v>
      </c>
      <c r="F717" s="102" t="s">
        <v>2283</v>
      </c>
      <c r="G717" s="102" t="s">
        <v>2284</v>
      </c>
      <c r="H717" s="102" t="s">
        <v>2285</v>
      </c>
      <c r="I717" s="102" t="s">
        <v>63</v>
      </c>
      <c r="J717" s="102" t="s">
        <v>2286</v>
      </c>
      <c r="K717" s="102" t="s">
        <v>2287</v>
      </c>
      <c r="L717" s="104">
        <v>43465</v>
      </c>
      <c r="M717" s="102" t="s">
        <v>2288</v>
      </c>
      <c r="N717" s="102" t="s">
        <v>2289</v>
      </c>
      <c r="O717" s="102" t="s">
        <v>383</v>
      </c>
      <c r="P717" s="103">
        <v>1</v>
      </c>
      <c r="Q717" s="105">
        <v>8000000</v>
      </c>
      <c r="R717" s="103">
        <v>96</v>
      </c>
      <c r="S717" s="105">
        <v>83333.333333333299</v>
      </c>
      <c r="T717" s="105">
        <v>7083333.3333333302</v>
      </c>
      <c r="U717" s="105">
        <v>83333.333333333299</v>
      </c>
      <c r="V717" s="105">
        <v>83333.333333333299</v>
      </c>
      <c r="W717" s="105">
        <v>83333.333333333299</v>
      </c>
      <c r="X717" s="105">
        <v>83333.333333333299</v>
      </c>
      <c r="Y717" s="105">
        <v>83333.333333333299</v>
      </c>
      <c r="Z717" s="105">
        <v>83333.333333333299</v>
      </c>
      <c r="AA717" s="105">
        <v>83333.333333333299</v>
      </c>
      <c r="AB717" s="105">
        <v>83333.333333333299</v>
      </c>
      <c r="AC717" s="8">
        <f t="shared" si="77"/>
        <v>7749999.9999999963</v>
      </c>
      <c r="AD717" s="8">
        <f t="shared" si="78"/>
        <v>250000.00000000373</v>
      </c>
      <c r="AE717" s="8">
        <f t="shared" si="79"/>
        <v>83333.333333333299</v>
      </c>
      <c r="AF717" s="106">
        <f t="shared" si="80"/>
        <v>3.0000000000000457</v>
      </c>
      <c r="AG717" s="8">
        <f t="shared" si="81"/>
        <v>83333.333333333299</v>
      </c>
      <c r="AH717" s="8">
        <f>IF($O717="Aktif",MAX(0,MIN($AE717,$AD717-SUM($AG717:AG717))),0)</f>
        <v>83333.333333333299</v>
      </c>
      <c r="AI717" s="8">
        <f>IF($O717="Aktif",MAX(0,MIN($AE717,$AD717-SUM($AG717:AH717))),0)</f>
        <v>83333.333333333299</v>
      </c>
      <c r="AJ717" s="8">
        <f>IF($O717="Aktif",MAX(0,MIN($AE717,$AD717-SUM($AG717:AI717))),0)</f>
        <v>3.8417056202888489E-9</v>
      </c>
      <c r="AK717" s="8">
        <f>IF($O717="Aktif",MAX(0,MIN($AE717,$AD717-SUM($AG717:AJ717))),0)</f>
        <v>0</v>
      </c>
      <c r="AL717" s="8">
        <f>IF($O717="Aktif",MAX(0,MIN($AE717,$AD717-SUM($AG717:AK717))),0)</f>
        <v>0</v>
      </c>
      <c r="AM717" s="8">
        <f>IF($O717="Aktif",MAX(0,MIN($AE717,$AD717-SUM($AG717:AL717))),0)</f>
        <v>0</v>
      </c>
      <c r="AN717" s="8">
        <f>IF($O717="Aktif",MAX(0,MIN($AE717,$AD717-SUM($AG717:AM717))),0)</f>
        <v>0</v>
      </c>
      <c r="AO717" s="8">
        <f>IF($O717="Aktif",MAX(0,MIN($AE717,$AD717-SUM($AG717:AN717))),0)</f>
        <v>0</v>
      </c>
      <c r="AP717" s="8">
        <f>IF($O717="Aktif",MAX(0,MIN($AE717,$AD717-SUM($AG717:AO717))),0)</f>
        <v>0</v>
      </c>
      <c r="AQ717" s="8">
        <f>IF($O717="Aktif",MAX(0,MIN($AE717,$AD717-SUM($AG717:AP717))),0)</f>
        <v>0</v>
      </c>
      <c r="AR717" s="8">
        <f>IF($O717="Aktif",MAX(0,MIN($AE717,$AD717-SUM($AG717:AQ717))),0)</f>
        <v>0</v>
      </c>
      <c r="AS717" s="8">
        <f>IF($O717="Aktif",MAX(0,MIN($AE717,$AD717-SUM($AG717:AR717))),0)</f>
        <v>0</v>
      </c>
      <c r="AT717" s="8">
        <f>IF($O717="Aktif",MAX(0,MIN($AE717,$AD717-SUM($AG717:AS717))),0)</f>
        <v>0</v>
      </c>
      <c r="AU717" s="8">
        <f>IF($O717="Aktif",MAX(0,MIN($AE717,$AD717-SUM($AG717:AT717))),0)</f>
        <v>0</v>
      </c>
      <c r="AV717" s="8">
        <f>IF($O717="Aktif",MAX(0,MIN($AE717,$AD717-SUM($AG717:AU717))),0)</f>
        <v>0</v>
      </c>
      <c r="AW717" s="8">
        <f t="shared" si="82"/>
        <v>250000.00000000373</v>
      </c>
      <c r="AX717" s="8">
        <f t="shared" si="83"/>
        <v>0</v>
      </c>
    </row>
    <row r="718" spans="1:50" ht="15" customHeight="1" x14ac:dyDescent="0.35">
      <c r="A718" s="102">
        <v>712</v>
      </c>
      <c r="B718" s="102" t="s">
        <v>1326</v>
      </c>
      <c r="C718" s="103">
        <v>346</v>
      </c>
      <c r="D718" s="102" t="s">
        <v>185</v>
      </c>
      <c r="E718" s="102" t="s">
        <v>587</v>
      </c>
      <c r="F718" s="102" t="s">
        <v>1327</v>
      </c>
      <c r="G718" s="102" t="s">
        <v>1328</v>
      </c>
      <c r="H718" s="102" t="s">
        <v>1329</v>
      </c>
      <c r="I718" s="102" t="s">
        <v>63</v>
      </c>
      <c r="J718" s="102" t="s">
        <v>2290</v>
      </c>
      <c r="K718" s="102" t="s">
        <v>591</v>
      </c>
      <c r="L718" s="104">
        <v>43465</v>
      </c>
      <c r="M718" s="102" t="s">
        <v>2291</v>
      </c>
      <c r="N718" s="102" t="s">
        <v>2292</v>
      </c>
      <c r="O718" s="102" t="s">
        <v>383</v>
      </c>
      <c r="P718" s="103">
        <v>1</v>
      </c>
      <c r="Q718" s="105">
        <v>5000000</v>
      </c>
      <c r="R718" s="103">
        <v>48</v>
      </c>
      <c r="S718" s="105">
        <v>104166.66666666701</v>
      </c>
      <c r="T718" s="105">
        <v>5000000</v>
      </c>
      <c r="U718" s="105">
        <v>0</v>
      </c>
      <c r="V718" s="105">
        <v>0</v>
      </c>
      <c r="W718" s="105">
        <v>0</v>
      </c>
      <c r="X718" s="105">
        <v>0</v>
      </c>
      <c r="Y718" s="105">
        <v>0</v>
      </c>
      <c r="Z718" s="105">
        <v>0</v>
      </c>
      <c r="AA718" s="105">
        <v>0</v>
      </c>
      <c r="AB718" s="105">
        <v>0</v>
      </c>
      <c r="AC718" s="8">
        <f t="shared" si="77"/>
        <v>5000000</v>
      </c>
      <c r="AD718" s="8">
        <f t="shared" si="78"/>
        <v>0</v>
      </c>
      <c r="AE718" s="8">
        <f t="shared" si="79"/>
        <v>0</v>
      </c>
      <c r="AF718" s="106">
        <f t="shared" si="80"/>
        <v>0</v>
      </c>
      <c r="AG718" s="8">
        <f t="shared" si="81"/>
        <v>0</v>
      </c>
      <c r="AH718" s="8">
        <f>IF($O718="Aktif",MAX(0,MIN($AE718,$AD718-SUM($AG718:AG718))),0)</f>
        <v>0</v>
      </c>
      <c r="AI718" s="8">
        <f>IF($O718="Aktif",MAX(0,MIN($AE718,$AD718-SUM($AG718:AH718))),0)</f>
        <v>0</v>
      </c>
      <c r="AJ718" s="8">
        <f>IF($O718="Aktif",MAX(0,MIN($AE718,$AD718-SUM($AG718:AI718))),0)</f>
        <v>0</v>
      </c>
      <c r="AK718" s="8">
        <f>IF($O718="Aktif",MAX(0,MIN($AE718,$AD718-SUM($AG718:AJ718))),0)</f>
        <v>0</v>
      </c>
      <c r="AL718" s="8">
        <f>IF($O718="Aktif",MAX(0,MIN($AE718,$AD718-SUM($AG718:AK718))),0)</f>
        <v>0</v>
      </c>
      <c r="AM718" s="8">
        <f>IF($O718="Aktif",MAX(0,MIN($AE718,$AD718-SUM($AG718:AL718))),0)</f>
        <v>0</v>
      </c>
      <c r="AN718" s="8">
        <f>IF($O718="Aktif",MAX(0,MIN($AE718,$AD718-SUM($AG718:AM718))),0)</f>
        <v>0</v>
      </c>
      <c r="AO718" s="8">
        <f>IF($O718="Aktif",MAX(0,MIN($AE718,$AD718-SUM($AG718:AN718))),0)</f>
        <v>0</v>
      </c>
      <c r="AP718" s="8">
        <f>IF($O718="Aktif",MAX(0,MIN($AE718,$AD718-SUM($AG718:AO718))),0)</f>
        <v>0</v>
      </c>
      <c r="AQ718" s="8">
        <f>IF($O718="Aktif",MAX(0,MIN($AE718,$AD718-SUM($AG718:AP718))),0)</f>
        <v>0</v>
      </c>
      <c r="AR718" s="8">
        <f>IF($O718="Aktif",MAX(0,MIN($AE718,$AD718-SUM($AG718:AQ718))),0)</f>
        <v>0</v>
      </c>
      <c r="AS718" s="8">
        <f>IF($O718="Aktif",MAX(0,MIN($AE718,$AD718-SUM($AG718:AR718))),0)</f>
        <v>0</v>
      </c>
      <c r="AT718" s="8">
        <f>IF($O718="Aktif",MAX(0,MIN($AE718,$AD718-SUM($AG718:AS718))),0)</f>
        <v>0</v>
      </c>
      <c r="AU718" s="8">
        <f>IF($O718="Aktif",MAX(0,MIN($AE718,$AD718-SUM($AG718:AT718))),0)</f>
        <v>0</v>
      </c>
      <c r="AV718" s="8">
        <f>IF($O718="Aktif",MAX(0,MIN($AE718,$AD718-SUM($AG718:AU718))),0)</f>
        <v>0</v>
      </c>
      <c r="AW718" s="8">
        <f t="shared" si="82"/>
        <v>0</v>
      </c>
      <c r="AX718" s="8">
        <f t="shared" si="83"/>
        <v>0</v>
      </c>
    </row>
    <row r="719" spans="1:50" ht="15" customHeight="1" x14ac:dyDescent="0.35">
      <c r="A719" s="102">
        <v>713</v>
      </c>
      <c r="B719" s="102" t="s">
        <v>1326</v>
      </c>
      <c r="C719" s="103">
        <v>347</v>
      </c>
      <c r="D719" s="102" t="s">
        <v>185</v>
      </c>
      <c r="E719" s="102" t="s">
        <v>587</v>
      </c>
      <c r="F719" s="102" t="s">
        <v>1327</v>
      </c>
      <c r="G719" s="102" t="s">
        <v>1328</v>
      </c>
      <c r="H719" s="102" t="s">
        <v>1329</v>
      </c>
      <c r="I719" s="102" t="s">
        <v>63</v>
      </c>
      <c r="J719" s="102" t="s">
        <v>2293</v>
      </c>
      <c r="K719" s="102" t="s">
        <v>591</v>
      </c>
      <c r="L719" s="104">
        <v>43490</v>
      </c>
      <c r="M719" s="102" t="s">
        <v>2294</v>
      </c>
      <c r="N719" s="102" t="s">
        <v>2295</v>
      </c>
      <c r="O719" s="102" t="s">
        <v>383</v>
      </c>
      <c r="P719" s="103">
        <v>1</v>
      </c>
      <c r="Q719" s="105">
        <v>10000000</v>
      </c>
      <c r="R719" s="103">
        <v>48</v>
      </c>
      <c r="S719" s="105">
        <v>208333.33333333299</v>
      </c>
      <c r="T719" s="105">
        <v>10000000</v>
      </c>
      <c r="U719" s="105">
        <v>0</v>
      </c>
      <c r="V719" s="105">
        <v>0</v>
      </c>
      <c r="W719" s="105">
        <v>0</v>
      </c>
      <c r="X719" s="105">
        <v>0</v>
      </c>
      <c r="Y719" s="105">
        <v>0</v>
      </c>
      <c r="Z719" s="105">
        <v>0</v>
      </c>
      <c r="AA719" s="105">
        <v>0</v>
      </c>
      <c r="AB719" s="105">
        <v>0</v>
      </c>
      <c r="AC719" s="8">
        <f t="shared" si="77"/>
        <v>10000000</v>
      </c>
      <c r="AD719" s="8">
        <f t="shared" si="78"/>
        <v>0</v>
      </c>
      <c r="AE719" s="8">
        <f t="shared" si="79"/>
        <v>0</v>
      </c>
      <c r="AF719" s="106">
        <f t="shared" si="80"/>
        <v>0</v>
      </c>
      <c r="AG719" s="8">
        <f t="shared" si="81"/>
        <v>0</v>
      </c>
      <c r="AH719" s="8">
        <f>IF($O719="Aktif",MAX(0,MIN($AE719,$AD719-SUM($AG719:AG719))),0)</f>
        <v>0</v>
      </c>
      <c r="AI719" s="8">
        <f>IF($O719="Aktif",MAX(0,MIN($AE719,$AD719-SUM($AG719:AH719))),0)</f>
        <v>0</v>
      </c>
      <c r="AJ719" s="8">
        <f>IF($O719="Aktif",MAX(0,MIN($AE719,$AD719-SUM($AG719:AI719))),0)</f>
        <v>0</v>
      </c>
      <c r="AK719" s="8">
        <f>IF($O719="Aktif",MAX(0,MIN($AE719,$AD719-SUM($AG719:AJ719))),0)</f>
        <v>0</v>
      </c>
      <c r="AL719" s="8">
        <f>IF($O719="Aktif",MAX(0,MIN($AE719,$AD719-SUM($AG719:AK719))),0)</f>
        <v>0</v>
      </c>
      <c r="AM719" s="8">
        <f>IF($O719="Aktif",MAX(0,MIN($AE719,$AD719-SUM($AG719:AL719))),0)</f>
        <v>0</v>
      </c>
      <c r="AN719" s="8">
        <f>IF($O719="Aktif",MAX(0,MIN($AE719,$AD719-SUM($AG719:AM719))),0)</f>
        <v>0</v>
      </c>
      <c r="AO719" s="8">
        <f>IF($O719="Aktif",MAX(0,MIN($AE719,$AD719-SUM($AG719:AN719))),0)</f>
        <v>0</v>
      </c>
      <c r="AP719" s="8">
        <f>IF($O719="Aktif",MAX(0,MIN($AE719,$AD719-SUM($AG719:AO719))),0)</f>
        <v>0</v>
      </c>
      <c r="AQ719" s="8">
        <f>IF($O719="Aktif",MAX(0,MIN($AE719,$AD719-SUM($AG719:AP719))),0)</f>
        <v>0</v>
      </c>
      <c r="AR719" s="8">
        <f>IF($O719="Aktif",MAX(0,MIN($AE719,$AD719-SUM($AG719:AQ719))),0)</f>
        <v>0</v>
      </c>
      <c r="AS719" s="8">
        <f>IF($O719="Aktif",MAX(0,MIN($AE719,$AD719-SUM($AG719:AR719))),0)</f>
        <v>0</v>
      </c>
      <c r="AT719" s="8">
        <f>IF($O719="Aktif",MAX(0,MIN($AE719,$AD719-SUM($AG719:AS719))),0)</f>
        <v>0</v>
      </c>
      <c r="AU719" s="8">
        <f>IF($O719="Aktif",MAX(0,MIN($AE719,$AD719-SUM($AG719:AT719))),0)</f>
        <v>0</v>
      </c>
      <c r="AV719" s="8">
        <f>IF($O719="Aktif",MAX(0,MIN($AE719,$AD719-SUM($AG719:AU719))),0)</f>
        <v>0</v>
      </c>
      <c r="AW719" s="8">
        <f t="shared" si="82"/>
        <v>0</v>
      </c>
      <c r="AX719" s="8">
        <f t="shared" si="83"/>
        <v>0</v>
      </c>
    </row>
    <row r="720" spans="1:50" ht="15" customHeight="1" x14ac:dyDescent="0.35">
      <c r="A720" s="102">
        <v>714</v>
      </c>
      <c r="B720" s="102" t="s">
        <v>1326</v>
      </c>
      <c r="C720" s="103">
        <v>348</v>
      </c>
      <c r="D720" s="102" t="s">
        <v>185</v>
      </c>
      <c r="E720" s="102" t="s">
        <v>587</v>
      </c>
      <c r="F720" s="102" t="s">
        <v>1327</v>
      </c>
      <c r="G720" s="102" t="s">
        <v>1328</v>
      </c>
      <c r="H720" s="102" t="s">
        <v>1329</v>
      </c>
      <c r="I720" s="102" t="s">
        <v>63</v>
      </c>
      <c r="J720" s="102" t="s">
        <v>2296</v>
      </c>
      <c r="K720" s="102" t="s">
        <v>591</v>
      </c>
      <c r="L720" s="104">
        <v>43496</v>
      </c>
      <c r="M720" s="102" t="s">
        <v>2297</v>
      </c>
      <c r="N720" s="102" t="s">
        <v>2298</v>
      </c>
      <c r="O720" s="102" t="s">
        <v>383</v>
      </c>
      <c r="P720" s="103">
        <v>1</v>
      </c>
      <c r="Q720" s="105">
        <v>57200000</v>
      </c>
      <c r="R720" s="103">
        <v>48</v>
      </c>
      <c r="S720" s="105">
        <v>1191666.66666667</v>
      </c>
      <c r="T720" s="105">
        <v>57200000</v>
      </c>
      <c r="U720" s="105">
        <v>0</v>
      </c>
      <c r="V720" s="105">
        <v>0</v>
      </c>
      <c r="W720" s="105">
        <v>0</v>
      </c>
      <c r="X720" s="105">
        <v>0</v>
      </c>
      <c r="Y720" s="105">
        <v>0</v>
      </c>
      <c r="Z720" s="105">
        <v>0</v>
      </c>
      <c r="AA720" s="105">
        <v>0</v>
      </c>
      <c r="AB720" s="105">
        <v>0</v>
      </c>
      <c r="AC720" s="8">
        <f t="shared" si="77"/>
        <v>57200000</v>
      </c>
      <c r="AD720" s="8">
        <f t="shared" si="78"/>
        <v>0</v>
      </c>
      <c r="AE720" s="8">
        <f t="shared" si="79"/>
        <v>0</v>
      </c>
      <c r="AF720" s="106">
        <f t="shared" si="80"/>
        <v>0</v>
      </c>
      <c r="AG720" s="8">
        <f t="shared" si="81"/>
        <v>0</v>
      </c>
      <c r="AH720" s="8">
        <f>IF($O720="Aktif",MAX(0,MIN($AE720,$AD720-SUM($AG720:AG720))),0)</f>
        <v>0</v>
      </c>
      <c r="AI720" s="8">
        <f>IF($O720="Aktif",MAX(0,MIN($AE720,$AD720-SUM($AG720:AH720))),0)</f>
        <v>0</v>
      </c>
      <c r="AJ720" s="8">
        <f>IF($O720="Aktif",MAX(0,MIN($AE720,$AD720-SUM($AG720:AI720))),0)</f>
        <v>0</v>
      </c>
      <c r="AK720" s="8">
        <f>IF($O720="Aktif",MAX(0,MIN($AE720,$AD720-SUM($AG720:AJ720))),0)</f>
        <v>0</v>
      </c>
      <c r="AL720" s="8">
        <f>IF($O720="Aktif",MAX(0,MIN($AE720,$AD720-SUM($AG720:AK720))),0)</f>
        <v>0</v>
      </c>
      <c r="AM720" s="8">
        <f>IF($O720="Aktif",MAX(0,MIN($AE720,$AD720-SUM($AG720:AL720))),0)</f>
        <v>0</v>
      </c>
      <c r="AN720" s="8">
        <f>IF($O720="Aktif",MAX(0,MIN($AE720,$AD720-SUM($AG720:AM720))),0)</f>
        <v>0</v>
      </c>
      <c r="AO720" s="8">
        <f>IF($O720="Aktif",MAX(0,MIN($AE720,$AD720-SUM($AG720:AN720))),0)</f>
        <v>0</v>
      </c>
      <c r="AP720" s="8">
        <f>IF($O720="Aktif",MAX(0,MIN($AE720,$AD720-SUM($AG720:AO720))),0)</f>
        <v>0</v>
      </c>
      <c r="AQ720" s="8">
        <f>IF($O720="Aktif",MAX(0,MIN($AE720,$AD720-SUM($AG720:AP720))),0)</f>
        <v>0</v>
      </c>
      <c r="AR720" s="8">
        <f>IF($O720="Aktif",MAX(0,MIN($AE720,$AD720-SUM($AG720:AQ720))),0)</f>
        <v>0</v>
      </c>
      <c r="AS720" s="8">
        <f>IF($O720="Aktif",MAX(0,MIN($AE720,$AD720-SUM($AG720:AR720))),0)</f>
        <v>0</v>
      </c>
      <c r="AT720" s="8">
        <f>IF($O720="Aktif",MAX(0,MIN($AE720,$AD720-SUM($AG720:AS720))),0)</f>
        <v>0</v>
      </c>
      <c r="AU720" s="8">
        <f>IF($O720="Aktif",MAX(0,MIN($AE720,$AD720-SUM($AG720:AT720))),0)</f>
        <v>0</v>
      </c>
      <c r="AV720" s="8">
        <f>IF($O720="Aktif",MAX(0,MIN($AE720,$AD720-SUM($AG720:AU720))),0)</f>
        <v>0</v>
      </c>
      <c r="AW720" s="8">
        <f t="shared" si="82"/>
        <v>0</v>
      </c>
      <c r="AX720" s="8">
        <f t="shared" si="83"/>
        <v>0</v>
      </c>
    </row>
    <row r="721" spans="1:50" ht="15" customHeight="1" x14ac:dyDescent="0.35">
      <c r="A721" s="102">
        <v>715</v>
      </c>
      <c r="B721" s="102" t="s">
        <v>1326</v>
      </c>
      <c r="C721" s="103">
        <v>349</v>
      </c>
      <c r="D721" s="102" t="s">
        <v>185</v>
      </c>
      <c r="E721" s="102" t="s">
        <v>587</v>
      </c>
      <c r="F721" s="102" t="s">
        <v>1327</v>
      </c>
      <c r="G721" s="102" t="s">
        <v>1328</v>
      </c>
      <c r="H721" s="102" t="s">
        <v>1329</v>
      </c>
      <c r="I721" s="102" t="s">
        <v>63</v>
      </c>
      <c r="J721" s="102" t="s">
        <v>2299</v>
      </c>
      <c r="K721" s="102" t="s">
        <v>591</v>
      </c>
      <c r="L721" s="104">
        <v>43496</v>
      </c>
      <c r="M721" s="102" t="s">
        <v>2300</v>
      </c>
      <c r="N721" s="102" t="s">
        <v>2301</v>
      </c>
      <c r="O721" s="102" t="s">
        <v>383</v>
      </c>
      <c r="P721" s="103">
        <v>1</v>
      </c>
      <c r="Q721" s="105">
        <v>44426750</v>
      </c>
      <c r="R721" s="103">
        <v>48</v>
      </c>
      <c r="S721" s="105">
        <v>925557.29166666698</v>
      </c>
      <c r="T721" s="105">
        <v>44426750</v>
      </c>
      <c r="U721" s="105">
        <v>0</v>
      </c>
      <c r="V721" s="105">
        <v>0</v>
      </c>
      <c r="W721" s="105">
        <v>0</v>
      </c>
      <c r="X721" s="105">
        <v>0</v>
      </c>
      <c r="Y721" s="105">
        <v>0</v>
      </c>
      <c r="Z721" s="105">
        <v>0</v>
      </c>
      <c r="AA721" s="105">
        <v>0</v>
      </c>
      <c r="AB721" s="105">
        <v>0</v>
      </c>
      <c r="AC721" s="8">
        <f t="shared" si="77"/>
        <v>44426750</v>
      </c>
      <c r="AD721" s="8">
        <f t="shared" si="78"/>
        <v>0</v>
      </c>
      <c r="AE721" s="8">
        <f t="shared" si="79"/>
        <v>0</v>
      </c>
      <c r="AF721" s="106">
        <f t="shared" si="80"/>
        <v>0</v>
      </c>
      <c r="AG721" s="8">
        <f t="shared" si="81"/>
        <v>0</v>
      </c>
      <c r="AH721" s="8">
        <f>IF($O721="Aktif",MAX(0,MIN($AE721,$AD721-SUM($AG721:AG721))),0)</f>
        <v>0</v>
      </c>
      <c r="AI721" s="8">
        <f>IF($O721="Aktif",MAX(0,MIN($AE721,$AD721-SUM($AG721:AH721))),0)</f>
        <v>0</v>
      </c>
      <c r="AJ721" s="8">
        <f>IF($O721="Aktif",MAX(0,MIN($AE721,$AD721-SUM($AG721:AI721))),0)</f>
        <v>0</v>
      </c>
      <c r="AK721" s="8">
        <f>IF($O721="Aktif",MAX(0,MIN($AE721,$AD721-SUM($AG721:AJ721))),0)</f>
        <v>0</v>
      </c>
      <c r="AL721" s="8">
        <f>IF($O721="Aktif",MAX(0,MIN($AE721,$AD721-SUM($AG721:AK721))),0)</f>
        <v>0</v>
      </c>
      <c r="AM721" s="8">
        <f>IF($O721="Aktif",MAX(0,MIN($AE721,$AD721-SUM($AG721:AL721))),0)</f>
        <v>0</v>
      </c>
      <c r="AN721" s="8">
        <f>IF($O721="Aktif",MAX(0,MIN($AE721,$AD721-SUM($AG721:AM721))),0)</f>
        <v>0</v>
      </c>
      <c r="AO721" s="8">
        <f>IF($O721="Aktif",MAX(0,MIN($AE721,$AD721-SUM($AG721:AN721))),0)</f>
        <v>0</v>
      </c>
      <c r="AP721" s="8">
        <f>IF($O721="Aktif",MAX(0,MIN($AE721,$AD721-SUM($AG721:AO721))),0)</f>
        <v>0</v>
      </c>
      <c r="AQ721" s="8">
        <f>IF($O721="Aktif",MAX(0,MIN($AE721,$AD721-SUM($AG721:AP721))),0)</f>
        <v>0</v>
      </c>
      <c r="AR721" s="8">
        <f>IF($O721="Aktif",MAX(0,MIN($AE721,$AD721-SUM($AG721:AQ721))),0)</f>
        <v>0</v>
      </c>
      <c r="AS721" s="8">
        <f>IF($O721="Aktif",MAX(0,MIN($AE721,$AD721-SUM($AG721:AR721))),0)</f>
        <v>0</v>
      </c>
      <c r="AT721" s="8">
        <f>IF($O721="Aktif",MAX(0,MIN($AE721,$AD721-SUM($AG721:AS721))),0)</f>
        <v>0</v>
      </c>
      <c r="AU721" s="8">
        <f>IF($O721="Aktif",MAX(0,MIN($AE721,$AD721-SUM($AG721:AT721))),0)</f>
        <v>0</v>
      </c>
      <c r="AV721" s="8">
        <f>IF($O721="Aktif",MAX(0,MIN($AE721,$AD721-SUM($AG721:AU721))),0)</f>
        <v>0</v>
      </c>
      <c r="AW721" s="8">
        <f t="shared" si="82"/>
        <v>0</v>
      </c>
      <c r="AX721" s="8">
        <f t="shared" si="83"/>
        <v>0</v>
      </c>
    </row>
    <row r="722" spans="1:50" ht="15" customHeight="1" x14ac:dyDescent="0.35">
      <c r="A722" s="102">
        <v>716</v>
      </c>
      <c r="B722" s="102" t="s">
        <v>1326</v>
      </c>
      <c r="C722" s="103">
        <v>350</v>
      </c>
      <c r="D722" s="102" t="s">
        <v>185</v>
      </c>
      <c r="E722" s="102" t="s">
        <v>587</v>
      </c>
      <c r="F722" s="102" t="s">
        <v>1327</v>
      </c>
      <c r="G722" s="102" t="s">
        <v>1328</v>
      </c>
      <c r="H722" s="102" t="s">
        <v>1329</v>
      </c>
      <c r="I722" s="102" t="s">
        <v>63</v>
      </c>
      <c r="J722" s="102" t="s">
        <v>2302</v>
      </c>
      <c r="K722" s="102" t="s">
        <v>591</v>
      </c>
      <c r="L722" s="104">
        <v>43508</v>
      </c>
      <c r="M722" s="102" t="s">
        <v>2303</v>
      </c>
      <c r="N722" s="102" t="s">
        <v>2304</v>
      </c>
      <c r="O722" s="102" t="s">
        <v>383</v>
      </c>
      <c r="P722" s="103">
        <v>1</v>
      </c>
      <c r="Q722" s="105">
        <v>2300000</v>
      </c>
      <c r="R722" s="103">
        <v>48</v>
      </c>
      <c r="S722" s="105">
        <v>47916.666666666701</v>
      </c>
      <c r="T722" s="105">
        <v>2300000</v>
      </c>
      <c r="U722" s="105">
        <v>0</v>
      </c>
      <c r="V722" s="105">
        <v>0</v>
      </c>
      <c r="W722" s="105">
        <v>0</v>
      </c>
      <c r="X722" s="105">
        <v>0</v>
      </c>
      <c r="Y722" s="105">
        <v>0</v>
      </c>
      <c r="Z722" s="105">
        <v>0</v>
      </c>
      <c r="AA722" s="105">
        <v>0</v>
      </c>
      <c r="AB722" s="105">
        <v>0</v>
      </c>
      <c r="AC722" s="8">
        <f t="shared" si="77"/>
        <v>2300000</v>
      </c>
      <c r="AD722" s="8">
        <f t="shared" si="78"/>
        <v>0</v>
      </c>
      <c r="AE722" s="8">
        <f t="shared" si="79"/>
        <v>0</v>
      </c>
      <c r="AF722" s="106">
        <f t="shared" si="80"/>
        <v>0</v>
      </c>
      <c r="AG722" s="8">
        <f t="shared" si="81"/>
        <v>0</v>
      </c>
      <c r="AH722" s="8">
        <f>IF($O722="Aktif",MAX(0,MIN($AE722,$AD722-SUM($AG722:AG722))),0)</f>
        <v>0</v>
      </c>
      <c r="AI722" s="8">
        <f>IF($O722="Aktif",MAX(0,MIN($AE722,$AD722-SUM($AG722:AH722))),0)</f>
        <v>0</v>
      </c>
      <c r="AJ722" s="8">
        <f>IF($O722="Aktif",MAX(0,MIN($AE722,$AD722-SUM($AG722:AI722))),0)</f>
        <v>0</v>
      </c>
      <c r="AK722" s="8">
        <f>IF($O722="Aktif",MAX(0,MIN($AE722,$AD722-SUM($AG722:AJ722))),0)</f>
        <v>0</v>
      </c>
      <c r="AL722" s="8">
        <f>IF($O722="Aktif",MAX(0,MIN($AE722,$AD722-SUM($AG722:AK722))),0)</f>
        <v>0</v>
      </c>
      <c r="AM722" s="8">
        <f>IF($O722="Aktif",MAX(0,MIN($AE722,$AD722-SUM($AG722:AL722))),0)</f>
        <v>0</v>
      </c>
      <c r="AN722" s="8">
        <f>IF($O722="Aktif",MAX(0,MIN($AE722,$AD722-SUM($AG722:AM722))),0)</f>
        <v>0</v>
      </c>
      <c r="AO722" s="8">
        <f>IF($O722="Aktif",MAX(0,MIN($AE722,$AD722-SUM($AG722:AN722))),0)</f>
        <v>0</v>
      </c>
      <c r="AP722" s="8">
        <f>IF($O722="Aktif",MAX(0,MIN($AE722,$AD722-SUM($AG722:AO722))),0)</f>
        <v>0</v>
      </c>
      <c r="AQ722" s="8">
        <f>IF($O722="Aktif",MAX(0,MIN($AE722,$AD722-SUM($AG722:AP722))),0)</f>
        <v>0</v>
      </c>
      <c r="AR722" s="8">
        <f>IF($O722="Aktif",MAX(0,MIN($AE722,$AD722-SUM($AG722:AQ722))),0)</f>
        <v>0</v>
      </c>
      <c r="AS722" s="8">
        <f>IF($O722="Aktif",MAX(0,MIN($AE722,$AD722-SUM($AG722:AR722))),0)</f>
        <v>0</v>
      </c>
      <c r="AT722" s="8">
        <f>IF($O722="Aktif",MAX(0,MIN($AE722,$AD722-SUM($AG722:AS722))),0)</f>
        <v>0</v>
      </c>
      <c r="AU722" s="8">
        <f>IF($O722="Aktif",MAX(0,MIN($AE722,$AD722-SUM($AG722:AT722))),0)</f>
        <v>0</v>
      </c>
      <c r="AV722" s="8">
        <f>IF($O722="Aktif",MAX(0,MIN($AE722,$AD722-SUM($AG722:AU722))),0)</f>
        <v>0</v>
      </c>
      <c r="AW722" s="8">
        <f t="shared" si="82"/>
        <v>0</v>
      </c>
      <c r="AX722" s="8">
        <f t="shared" si="83"/>
        <v>0</v>
      </c>
    </row>
    <row r="723" spans="1:50" ht="15" customHeight="1" x14ac:dyDescent="0.35">
      <c r="A723" s="102">
        <v>717</v>
      </c>
      <c r="B723" s="102" t="s">
        <v>1326</v>
      </c>
      <c r="C723" s="103">
        <v>351</v>
      </c>
      <c r="D723" s="102" t="s">
        <v>185</v>
      </c>
      <c r="E723" s="102" t="s">
        <v>587</v>
      </c>
      <c r="F723" s="102" t="s">
        <v>1327</v>
      </c>
      <c r="G723" s="102" t="s">
        <v>1328</v>
      </c>
      <c r="H723" s="102" t="s">
        <v>1329</v>
      </c>
      <c r="I723" s="102" t="s">
        <v>63</v>
      </c>
      <c r="J723" s="102" t="s">
        <v>2305</v>
      </c>
      <c r="K723" s="102" t="s">
        <v>591</v>
      </c>
      <c r="L723" s="104">
        <v>43524</v>
      </c>
      <c r="M723" s="102" t="s">
        <v>2306</v>
      </c>
      <c r="N723" s="102" t="s">
        <v>2306</v>
      </c>
      <c r="O723" s="102" t="s">
        <v>383</v>
      </c>
      <c r="P723" s="103">
        <v>1</v>
      </c>
      <c r="Q723" s="105">
        <v>149300000</v>
      </c>
      <c r="R723" s="103">
        <v>48</v>
      </c>
      <c r="S723" s="105">
        <v>3110416.6666666698</v>
      </c>
      <c r="T723" s="105">
        <v>149300000</v>
      </c>
      <c r="U723" s="105">
        <v>0</v>
      </c>
      <c r="V723" s="105">
        <v>0</v>
      </c>
      <c r="W723" s="105">
        <v>0</v>
      </c>
      <c r="X723" s="105">
        <v>0</v>
      </c>
      <c r="Y723" s="105">
        <v>0</v>
      </c>
      <c r="Z723" s="105">
        <v>0</v>
      </c>
      <c r="AA723" s="105">
        <v>0</v>
      </c>
      <c r="AB723" s="105">
        <v>0</v>
      </c>
      <c r="AC723" s="8">
        <f t="shared" si="77"/>
        <v>149300000</v>
      </c>
      <c r="AD723" s="8">
        <f t="shared" si="78"/>
        <v>0</v>
      </c>
      <c r="AE723" s="8">
        <f t="shared" si="79"/>
        <v>0</v>
      </c>
      <c r="AF723" s="106">
        <f t="shared" si="80"/>
        <v>0</v>
      </c>
      <c r="AG723" s="8">
        <f t="shared" si="81"/>
        <v>0</v>
      </c>
      <c r="AH723" s="8">
        <f>IF($O723="Aktif",MAX(0,MIN($AE723,$AD723-SUM($AG723:AG723))),0)</f>
        <v>0</v>
      </c>
      <c r="AI723" s="8">
        <f>IF($O723="Aktif",MAX(0,MIN($AE723,$AD723-SUM($AG723:AH723))),0)</f>
        <v>0</v>
      </c>
      <c r="AJ723" s="8">
        <f>IF($O723="Aktif",MAX(0,MIN($AE723,$AD723-SUM($AG723:AI723))),0)</f>
        <v>0</v>
      </c>
      <c r="AK723" s="8">
        <f>IF($O723="Aktif",MAX(0,MIN($AE723,$AD723-SUM($AG723:AJ723))),0)</f>
        <v>0</v>
      </c>
      <c r="AL723" s="8">
        <f>IF($O723="Aktif",MAX(0,MIN($AE723,$AD723-SUM($AG723:AK723))),0)</f>
        <v>0</v>
      </c>
      <c r="AM723" s="8">
        <f>IF($O723="Aktif",MAX(0,MIN($AE723,$AD723-SUM($AG723:AL723))),0)</f>
        <v>0</v>
      </c>
      <c r="AN723" s="8">
        <f>IF($O723="Aktif",MAX(0,MIN($AE723,$AD723-SUM($AG723:AM723))),0)</f>
        <v>0</v>
      </c>
      <c r="AO723" s="8">
        <f>IF($O723="Aktif",MAX(0,MIN($AE723,$AD723-SUM($AG723:AN723))),0)</f>
        <v>0</v>
      </c>
      <c r="AP723" s="8">
        <f>IF($O723="Aktif",MAX(0,MIN($AE723,$AD723-SUM($AG723:AO723))),0)</f>
        <v>0</v>
      </c>
      <c r="AQ723" s="8">
        <f>IF($O723="Aktif",MAX(0,MIN($AE723,$AD723-SUM($AG723:AP723))),0)</f>
        <v>0</v>
      </c>
      <c r="AR723" s="8">
        <f>IF($O723="Aktif",MAX(0,MIN($AE723,$AD723-SUM($AG723:AQ723))),0)</f>
        <v>0</v>
      </c>
      <c r="AS723" s="8">
        <f>IF($O723="Aktif",MAX(0,MIN($AE723,$AD723-SUM($AG723:AR723))),0)</f>
        <v>0</v>
      </c>
      <c r="AT723" s="8">
        <f>IF($O723="Aktif",MAX(0,MIN($AE723,$AD723-SUM($AG723:AS723))),0)</f>
        <v>0</v>
      </c>
      <c r="AU723" s="8">
        <f>IF($O723="Aktif",MAX(0,MIN($AE723,$AD723-SUM($AG723:AT723))),0)</f>
        <v>0</v>
      </c>
      <c r="AV723" s="8">
        <f>IF($O723="Aktif",MAX(0,MIN($AE723,$AD723-SUM($AG723:AU723))),0)</f>
        <v>0</v>
      </c>
      <c r="AW723" s="8">
        <f t="shared" si="82"/>
        <v>0</v>
      </c>
      <c r="AX723" s="8">
        <f t="shared" si="83"/>
        <v>0</v>
      </c>
    </row>
    <row r="724" spans="1:50" ht="15" customHeight="1" x14ac:dyDescent="0.35">
      <c r="A724" s="102">
        <v>718</v>
      </c>
      <c r="B724" s="102" t="s">
        <v>1326</v>
      </c>
      <c r="C724" s="103">
        <v>352</v>
      </c>
      <c r="D724" s="102" t="s">
        <v>185</v>
      </c>
      <c r="E724" s="102" t="s">
        <v>587</v>
      </c>
      <c r="F724" s="102" t="s">
        <v>1327</v>
      </c>
      <c r="G724" s="102" t="s">
        <v>1328</v>
      </c>
      <c r="H724" s="102" t="s">
        <v>1329</v>
      </c>
      <c r="I724" s="102" t="s">
        <v>63</v>
      </c>
      <c r="J724" s="102" t="s">
        <v>2307</v>
      </c>
      <c r="K724" s="102" t="s">
        <v>591</v>
      </c>
      <c r="L724" s="104">
        <v>43555</v>
      </c>
      <c r="M724" s="102" t="s">
        <v>2308</v>
      </c>
      <c r="N724" s="102" t="s">
        <v>2309</v>
      </c>
      <c r="O724" s="102" t="s">
        <v>383</v>
      </c>
      <c r="P724" s="103">
        <v>1</v>
      </c>
      <c r="Q724" s="105">
        <v>36500000</v>
      </c>
      <c r="R724" s="103">
        <v>48</v>
      </c>
      <c r="S724" s="105">
        <v>760416.66666666698</v>
      </c>
      <c r="T724" s="105">
        <v>36500000</v>
      </c>
      <c r="U724" s="105">
        <v>0</v>
      </c>
      <c r="V724" s="105">
        <v>0</v>
      </c>
      <c r="W724" s="105">
        <v>0</v>
      </c>
      <c r="X724" s="105">
        <v>0</v>
      </c>
      <c r="Y724" s="105">
        <v>0</v>
      </c>
      <c r="Z724" s="105">
        <v>0</v>
      </c>
      <c r="AA724" s="105">
        <v>0</v>
      </c>
      <c r="AB724" s="105">
        <v>0</v>
      </c>
      <c r="AC724" s="8">
        <f t="shared" si="77"/>
        <v>36500000</v>
      </c>
      <c r="AD724" s="8">
        <f t="shared" si="78"/>
        <v>0</v>
      </c>
      <c r="AE724" s="8">
        <f t="shared" si="79"/>
        <v>0</v>
      </c>
      <c r="AF724" s="106">
        <f t="shared" si="80"/>
        <v>0</v>
      </c>
      <c r="AG724" s="8">
        <f t="shared" si="81"/>
        <v>0</v>
      </c>
      <c r="AH724" s="8">
        <f>IF($O724="Aktif",MAX(0,MIN($AE724,$AD724-SUM($AG724:AG724))),0)</f>
        <v>0</v>
      </c>
      <c r="AI724" s="8">
        <f>IF($O724="Aktif",MAX(0,MIN($AE724,$AD724-SUM($AG724:AH724))),0)</f>
        <v>0</v>
      </c>
      <c r="AJ724" s="8">
        <f>IF($O724="Aktif",MAX(0,MIN($AE724,$AD724-SUM($AG724:AI724))),0)</f>
        <v>0</v>
      </c>
      <c r="AK724" s="8">
        <f>IF($O724="Aktif",MAX(0,MIN($AE724,$AD724-SUM($AG724:AJ724))),0)</f>
        <v>0</v>
      </c>
      <c r="AL724" s="8">
        <f>IF($O724="Aktif",MAX(0,MIN($AE724,$AD724-SUM($AG724:AK724))),0)</f>
        <v>0</v>
      </c>
      <c r="AM724" s="8">
        <f>IF($O724="Aktif",MAX(0,MIN($AE724,$AD724-SUM($AG724:AL724))),0)</f>
        <v>0</v>
      </c>
      <c r="AN724" s="8">
        <f>IF($O724="Aktif",MAX(0,MIN($AE724,$AD724-SUM($AG724:AM724))),0)</f>
        <v>0</v>
      </c>
      <c r="AO724" s="8">
        <f>IF($O724="Aktif",MAX(0,MIN($AE724,$AD724-SUM($AG724:AN724))),0)</f>
        <v>0</v>
      </c>
      <c r="AP724" s="8">
        <f>IF($O724="Aktif",MAX(0,MIN($AE724,$AD724-SUM($AG724:AO724))),0)</f>
        <v>0</v>
      </c>
      <c r="AQ724" s="8">
        <f>IF($O724="Aktif",MAX(0,MIN($AE724,$AD724-SUM($AG724:AP724))),0)</f>
        <v>0</v>
      </c>
      <c r="AR724" s="8">
        <f>IF($O724="Aktif",MAX(0,MIN($AE724,$AD724-SUM($AG724:AQ724))),0)</f>
        <v>0</v>
      </c>
      <c r="AS724" s="8">
        <f>IF($O724="Aktif",MAX(0,MIN($AE724,$AD724-SUM($AG724:AR724))),0)</f>
        <v>0</v>
      </c>
      <c r="AT724" s="8">
        <f>IF($O724="Aktif",MAX(0,MIN($AE724,$AD724-SUM($AG724:AS724))),0)</f>
        <v>0</v>
      </c>
      <c r="AU724" s="8">
        <f>IF($O724="Aktif",MAX(0,MIN($AE724,$AD724-SUM($AG724:AT724))),0)</f>
        <v>0</v>
      </c>
      <c r="AV724" s="8">
        <f>IF($O724="Aktif",MAX(0,MIN($AE724,$AD724-SUM($AG724:AU724))),0)</f>
        <v>0</v>
      </c>
      <c r="AW724" s="8">
        <f t="shared" si="82"/>
        <v>0</v>
      </c>
      <c r="AX724" s="8">
        <f t="shared" si="83"/>
        <v>0</v>
      </c>
    </row>
    <row r="725" spans="1:50" ht="15" customHeight="1" x14ac:dyDescent="0.35">
      <c r="A725" s="102">
        <v>719</v>
      </c>
      <c r="B725" s="102" t="s">
        <v>1326</v>
      </c>
      <c r="C725" s="103">
        <v>353</v>
      </c>
      <c r="D725" s="102" t="s">
        <v>185</v>
      </c>
      <c r="E725" s="102" t="s">
        <v>587</v>
      </c>
      <c r="F725" s="102" t="s">
        <v>1327</v>
      </c>
      <c r="G725" s="102" t="s">
        <v>1328</v>
      </c>
      <c r="H725" s="102" t="s">
        <v>1329</v>
      </c>
      <c r="I725" s="102" t="s">
        <v>63</v>
      </c>
      <c r="J725" s="102" t="s">
        <v>2310</v>
      </c>
      <c r="K725" s="102" t="s">
        <v>591</v>
      </c>
      <c r="L725" s="104">
        <v>43555</v>
      </c>
      <c r="M725" s="102" t="s">
        <v>2311</v>
      </c>
      <c r="N725" s="102" t="s">
        <v>2312</v>
      </c>
      <c r="O725" s="102" t="s">
        <v>383</v>
      </c>
      <c r="P725" s="103">
        <v>1</v>
      </c>
      <c r="Q725" s="105">
        <v>21000000</v>
      </c>
      <c r="R725" s="103">
        <v>48</v>
      </c>
      <c r="S725" s="105">
        <v>437500</v>
      </c>
      <c r="T725" s="105">
        <v>21000000</v>
      </c>
      <c r="U725" s="105">
        <v>0</v>
      </c>
      <c r="V725" s="105">
        <v>0</v>
      </c>
      <c r="W725" s="105">
        <v>0</v>
      </c>
      <c r="X725" s="105">
        <v>0</v>
      </c>
      <c r="Y725" s="105">
        <v>0</v>
      </c>
      <c r="Z725" s="105">
        <v>0</v>
      </c>
      <c r="AA725" s="105">
        <v>0</v>
      </c>
      <c r="AB725" s="105">
        <v>0</v>
      </c>
      <c r="AC725" s="8">
        <f t="shared" si="77"/>
        <v>21000000</v>
      </c>
      <c r="AD725" s="8">
        <f t="shared" si="78"/>
        <v>0</v>
      </c>
      <c r="AE725" s="8">
        <f t="shared" si="79"/>
        <v>0</v>
      </c>
      <c r="AF725" s="106">
        <f t="shared" si="80"/>
        <v>0</v>
      </c>
      <c r="AG725" s="8">
        <f t="shared" si="81"/>
        <v>0</v>
      </c>
      <c r="AH725" s="8">
        <f>IF($O725="Aktif",MAX(0,MIN($AE725,$AD725-SUM($AG725:AG725))),0)</f>
        <v>0</v>
      </c>
      <c r="AI725" s="8">
        <f>IF($O725="Aktif",MAX(0,MIN($AE725,$AD725-SUM($AG725:AH725))),0)</f>
        <v>0</v>
      </c>
      <c r="AJ725" s="8">
        <f>IF($O725="Aktif",MAX(0,MIN($AE725,$AD725-SUM($AG725:AI725))),0)</f>
        <v>0</v>
      </c>
      <c r="AK725" s="8">
        <f>IF($O725="Aktif",MAX(0,MIN($AE725,$AD725-SUM($AG725:AJ725))),0)</f>
        <v>0</v>
      </c>
      <c r="AL725" s="8">
        <f>IF($O725="Aktif",MAX(0,MIN($AE725,$AD725-SUM($AG725:AK725))),0)</f>
        <v>0</v>
      </c>
      <c r="AM725" s="8">
        <f>IF($O725="Aktif",MAX(0,MIN($AE725,$AD725-SUM($AG725:AL725))),0)</f>
        <v>0</v>
      </c>
      <c r="AN725" s="8">
        <f>IF($O725="Aktif",MAX(0,MIN($AE725,$AD725-SUM($AG725:AM725))),0)</f>
        <v>0</v>
      </c>
      <c r="AO725" s="8">
        <f>IF($O725="Aktif",MAX(0,MIN($AE725,$AD725-SUM($AG725:AN725))),0)</f>
        <v>0</v>
      </c>
      <c r="AP725" s="8">
        <f>IF($O725="Aktif",MAX(0,MIN($AE725,$AD725-SUM($AG725:AO725))),0)</f>
        <v>0</v>
      </c>
      <c r="AQ725" s="8">
        <f>IF($O725="Aktif",MAX(0,MIN($AE725,$AD725-SUM($AG725:AP725))),0)</f>
        <v>0</v>
      </c>
      <c r="AR725" s="8">
        <f>IF($O725="Aktif",MAX(0,MIN($AE725,$AD725-SUM($AG725:AQ725))),0)</f>
        <v>0</v>
      </c>
      <c r="AS725" s="8">
        <f>IF($O725="Aktif",MAX(0,MIN($AE725,$AD725-SUM($AG725:AR725))),0)</f>
        <v>0</v>
      </c>
      <c r="AT725" s="8">
        <f>IF($O725="Aktif",MAX(0,MIN($AE725,$AD725-SUM($AG725:AS725))),0)</f>
        <v>0</v>
      </c>
      <c r="AU725" s="8">
        <f>IF($O725="Aktif",MAX(0,MIN($AE725,$AD725-SUM($AG725:AT725))),0)</f>
        <v>0</v>
      </c>
      <c r="AV725" s="8">
        <f>IF($O725="Aktif",MAX(0,MIN($AE725,$AD725-SUM($AG725:AU725))),0)</f>
        <v>0</v>
      </c>
      <c r="AW725" s="8">
        <f t="shared" si="82"/>
        <v>0</v>
      </c>
      <c r="AX725" s="8">
        <f t="shared" si="83"/>
        <v>0</v>
      </c>
    </row>
    <row r="726" spans="1:50" ht="15" customHeight="1" x14ac:dyDescent="0.35">
      <c r="A726" s="102">
        <v>720</v>
      </c>
      <c r="B726" s="102" t="s">
        <v>1326</v>
      </c>
      <c r="C726" s="103">
        <v>354</v>
      </c>
      <c r="D726" s="102" t="s">
        <v>185</v>
      </c>
      <c r="E726" s="102" t="s">
        <v>587</v>
      </c>
      <c r="F726" s="102" t="s">
        <v>1327</v>
      </c>
      <c r="G726" s="102" t="s">
        <v>1328</v>
      </c>
      <c r="H726" s="102" t="s">
        <v>1329</v>
      </c>
      <c r="I726" s="102" t="s">
        <v>63</v>
      </c>
      <c r="J726" s="102" t="s">
        <v>2313</v>
      </c>
      <c r="K726" s="102" t="s">
        <v>591</v>
      </c>
      <c r="L726" s="104">
        <v>43592</v>
      </c>
      <c r="M726" s="102" t="s">
        <v>2314</v>
      </c>
      <c r="N726" s="102" t="s">
        <v>2315</v>
      </c>
      <c r="O726" s="102" t="s">
        <v>383</v>
      </c>
      <c r="P726" s="103">
        <v>1</v>
      </c>
      <c r="Q726" s="105">
        <v>1600000</v>
      </c>
      <c r="R726" s="103">
        <v>48</v>
      </c>
      <c r="S726" s="105">
        <v>33333.333333333299</v>
      </c>
      <c r="T726" s="105">
        <v>1600000</v>
      </c>
      <c r="U726" s="105">
        <v>0</v>
      </c>
      <c r="V726" s="105">
        <v>0</v>
      </c>
      <c r="W726" s="105">
        <v>0</v>
      </c>
      <c r="X726" s="105">
        <v>0</v>
      </c>
      <c r="Y726" s="105">
        <v>0</v>
      </c>
      <c r="Z726" s="105">
        <v>0</v>
      </c>
      <c r="AA726" s="105">
        <v>0</v>
      </c>
      <c r="AB726" s="105">
        <v>0</v>
      </c>
      <c r="AC726" s="8">
        <f t="shared" si="77"/>
        <v>1600000</v>
      </c>
      <c r="AD726" s="8">
        <f t="shared" si="78"/>
        <v>0</v>
      </c>
      <c r="AE726" s="8">
        <f t="shared" si="79"/>
        <v>0</v>
      </c>
      <c r="AF726" s="106">
        <f t="shared" si="80"/>
        <v>0</v>
      </c>
      <c r="AG726" s="8">
        <f t="shared" si="81"/>
        <v>0</v>
      </c>
      <c r="AH726" s="8">
        <f>IF($O726="Aktif",MAX(0,MIN($AE726,$AD726-SUM($AG726:AG726))),0)</f>
        <v>0</v>
      </c>
      <c r="AI726" s="8">
        <f>IF($O726="Aktif",MAX(0,MIN($AE726,$AD726-SUM($AG726:AH726))),0)</f>
        <v>0</v>
      </c>
      <c r="AJ726" s="8">
        <f>IF($O726="Aktif",MAX(0,MIN($AE726,$AD726-SUM($AG726:AI726))),0)</f>
        <v>0</v>
      </c>
      <c r="AK726" s="8">
        <f>IF($O726="Aktif",MAX(0,MIN($AE726,$AD726-SUM($AG726:AJ726))),0)</f>
        <v>0</v>
      </c>
      <c r="AL726" s="8">
        <f>IF($O726="Aktif",MAX(0,MIN($AE726,$AD726-SUM($AG726:AK726))),0)</f>
        <v>0</v>
      </c>
      <c r="AM726" s="8">
        <f>IF($O726="Aktif",MAX(0,MIN($AE726,$AD726-SUM($AG726:AL726))),0)</f>
        <v>0</v>
      </c>
      <c r="AN726" s="8">
        <f>IF($O726="Aktif",MAX(0,MIN($AE726,$AD726-SUM($AG726:AM726))),0)</f>
        <v>0</v>
      </c>
      <c r="AO726" s="8">
        <f>IF($O726="Aktif",MAX(0,MIN($AE726,$AD726-SUM($AG726:AN726))),0)</f>
        <v>0</v>
      </c>
      <c r="AP726" s="8">
        <f>IF($O726="Aktif",MAX(0,MIN($AE726,$AD726-SUM($AG726:AO726))),0)</f>
        <v>0</v>
      </c>
      <c r="AQ726" s="8">
        <f>IF($O726="Aktif",MAX(0,MIN($AE726,$AD726-SUM($AG726:AP726))),0)</f>
        <v>0</v>
      </c>
      <c r="AR726" s="8">
        <f>IF($O726="Aktif",MAX(0,MIN($AE726,$AD726-SUM($AG726:AQ726))),0)</f>
        <v>0</v>
      </c>
      <c r="AS726" s="8">
        <f>IF($O726="Aktif",MAX(0,MIN($AE726,$AD726-SUM($AG726:AR726))),0)</f>
        <v>0</v>
      </c>
      <c r="AT726" s="8">
        <f>IF($O726="Aktif",MAX(0,MIN($AE726,$AD726-SUM($AG726:AS726))),0)</f>
        <v>0</v>
      </c>
      <c r="AU726" s="8">
        <f>IF($O726="Aktif",MAX(0,MIN($AE726,$AD726-SUM($AG726:AT726))),0)</f>
        <v>0</v>
      </c>
      <c r="AV726" s="8">
        <f>IF($O726="Aktif",MAX(0,MIN($AE726,$AD726-SUM($AG726:AU726))),0)</f>
        <v>0</v>
      </c>
      <c r="AW726" s="8">
        <f t="shared" si="82"/>
        <v>0</v>
      </c>
      <c r="AX726" s="8">
        <f t="shared" si="83"/>
        <v>0</v>
      </c>
    </row>
    <row r="727" spans="1:50" ht="15" customHeight="1" x14ac:dyDescent="0.35">
      <c r="A727" s="102">
        <v>721</v>
      </c>
      <c r="B727" s="102" t="s">
        <v>1326</v>
      </c>
      <c r="C727" s="103">
        <v>355</v>
      </c>
      <c r="D727" s="102" t="s">
        <v>185</v>
      </c>
      <c r="E727" s="102" t="s">
        <v>587</v>
      </c>
      <c r="F727" s="102" t="s">
        <v>1327</v>
      </c>
      <c r="G727" s="102" t="s">
        <v>1328</v>
      </c>
      <c r="H727" s="102" t="s">
        <v>1329</v>
      </c>
      <c r="I727" s="102" t="s">
        <v>63</v>
      </c>
      <c r="J727" s="102" t="s">
        <v>2316</v>
      </c>
      <c r="K727" s="102" t="s">
        <v>591</v>
      </c>
      <c r="L727" s="104">
        <v>43595</v>
      </c>
      <c r="M727" s="102" t="s">
        <v>2317</v>
      </c>
      <c r="N727" s="102" t="s">
        <v>2318</v>
      </c>
      <c r="O727" s="102" t="s">
        <v>383</v>
      </c>
      <c r="P727" s="103">
        <v>1</v>
      </c>
      <c r="Q727" s="105">
        <v>4000000</v>
      </c>
      <c r="R727" s="103">
        <v>48</v>
      </c>
      <c r="S727" s="105">
        <v>83333.333333333299</v>
      </c>
      <c r="T727" s="105">
        <v>4000000</v>
      </c>
      <c r="U727" s="105">
        <v>0</v>
      </c>
      <c r="V727" s="105">
        <v>0</v>
      </c>
      <c r="W727" s="105">
        <v>0</v>
      </c>
      <c r="X727" s="105">
        <v>0</v>
      </c>
      <c r="Y727" s="105">
        <v>0</v>
      </c>
      <c r="Z727" s="105">
        <v>0</v>
      </c>
      <c r="AA727" s="105">
        <v>0</v>
      </c>
      <c r="AB727" s="105">
        <v>0</v>
      </c>
      <c r="AC727" s="8">
        <f t="shared" si="77"/>
        <v>4000000</v>
      </c>
      <c r="AD727" s="8">
        <f t="shared" si="78"/>
        <v>0</v>
      </c>
      <c r="AE727" s="8">
        <f t="shared" si="79"/>
        <v>0</v>
      </c>
      <c r="AF727" s="106">
        <f t="shared" si="80"/>
        <v>0</v>
      </c>
      <c r="AG727" s="8">
        <f t="shared" si="81"/>
        <v>0</v>
      </c>
      <c r="AH727" s="8">
        <f>IF($O727="Aktif",MAX(0,MIN($AE727,$AD727-SUM($AG727:AG727))),0)</f>
        <v>0</v>
      </c>
      <c r="AI727" s="8">
        <f>IF($O727="Aktif",MAX(0,MIN($AE727,$AD727-SUM($AG727:AH727))),0)</f>
        <v>0</v>
      </c>
      <c r="AJ727" s="8">
        <f>IF($O727="Aktif",MAX(0,MIN($AE727,$AD727-SUM($AG727:AI727))),0)</f>
        <v>0</v>
      </c>
      <c r="AK727" s="8">
        <f>IF($O727="Aktif",MAX(0,MIN($AE727,$AD727-SUM($AG727:AJ727))),0)</f>
        <v>0</v>
      </c>
      <c r="AL727" s="8">
        <f>IF($O727="Aktif",MAX(0,MIN($AE727,$AD727-SUM($AG727:AK727))),0)</f>
        <v>0</v>
      </c>
      <c r="AM727" s="8">
        <f>IF($O727="Aktif",MAX(0,MIN($AE727,$AD727-SUM($AG727:AL727))),0)</f>
        <v>0</v>
      </c>
      <c r="AN727" s="8">
        <f>IF($O727="Aktif",MAX(0,MIN($AE727,$AD727-SUM($AG727:AM727))),0)</f>
        <v>0</v>
      </c>
      <c r="AO727" s="8">
        <f>IF($O727="Aktif",MAX(0,MIN($AE727,$AD727-SUM($AG727:AN727))),0)</f>
        <v>0</v>
      </c>
      <c r="AP727" s="8">
        <f>IF($O727="Aktif",MAX(0,MIN($AE727,$AD727-SUM($AG727:AO727))),0)</f>
        <v>0</v>
      </c>
      <c r="AQ727" s="8">
        <f>IF($O727="Aktif",MAX(0,MIN($AE727,$AD727-SUM($AG727:AP727))),0)</f>
        <v>0</v>
      </c>
      <c r="AR727" s="8">
        <f>IF($O727="Aktif",MAX(0,MIN($AE727,$AD727-SUM($AG727:AQ727))),0)</f>
        <v>0</v>
      </c>
      <c r="AS727" s="8">
        <f>IF($O727="Aktif",MAX(0,MIN($AE727,$AD727-SUM($AG727:AR727))),0)</f>
        <v>0</v>
      </c>
      <c r="AT727" s="8">
        <f>IF($O727="Aktif",MAX(0,MIN($AE727,$AD727-SUM($AG727:AS727))),0)</f>
        <v>0</v>
      </c>
      <c r="AU727" s="8">
        <f>IF($O727="Aktif",MAX(0,MIN($AE727,$AD727-SUM($AG727:AT727))),0)</f>
        <v>0</v>
      </c>
      <c r="AV727" s="8">
        <f>IF($O727="Aktif",MAX(0,MIN($AE727,$AD727-SUM($AG727:AU727))),0)</f>
        <v>0</v>
      </c>
      <c r="AW727" s="8">
        <f t="shared" si="82"/>
        <v>0</v>
      </c>
      <c r="AX727" s="8">
        <f t="shared" si="83"/>
        <v>0</v>
      </c>
    </row>
    <row r="728" spans="1:50" ht="15" customHeight="1" x14ac:dyDescent="0.35">
      <c r="A728" s="102">
        <v>722</v>
      </c>
      <c r="B728" s="102" t="s">
        <v>1326</v>
      </c>
      <c r="C728" s="103">
        <v>356</v>
      </c>
      <c r="D728" s="102" t="s">
        <v>185</v>
      </c>
      <c r="E728" s="102" t="s">
        <v>587</v>
      </c>
      <c r="F728" s="102" t="s">
        <v>1327</v>
      </c>
      <c r="G728" s="102" t="s">
        <v>1328</v>
      </c>
      <c r="H728" s="102" t="s">
        <v>1329</v>
      </c>
      <c r="I728" s="102" t="s">
        <v>63</v>
      </c>
      <c r="J728" s="102" t="s">
        <v>2319</v>
      </c>
      <c r="K728" s="102" t="s">
        <v>591</v>
      </c>
      <c r="L728" s="104">
        <v>43599</v>
      </c>
      <c r="M728" s="102" t="s">
        <v>2320</v>
      </c>
      <c r="N728" s="102" t="s">
        <v>2321</v>
      </c>
      <c r="O728" s="102" t="s">
        <v>383</v>
      </c>
      <c r="P728" s="103">
        <v>1</v>
      </c>
      <c r="Q728" s="105">
        <v>5450000</v>
      </c>
      <c r="R728" s="103">
        <v>48</v>
      </c>
      <c r="S728" s="105">
        <v>113541.66666666701</v>
      </c>
      <c r="T728" s="105">
        <v>5450000</v>
      </c>
      <c r="U728" s="105">
        <v>0</v>
      </c>
      <c r="V728" s="105">
        <v>0</v>
      </c>
      <c r="W728" s="105">
        <v>0</v>
      </c>
      <c r="X728" s="105">
        <v>0</v>
      </c>
      <c r="Y728" s="105">
        <v>0</v>
      </c>
      <c r="Z728" s="105">
        <v>0</v>
      </c>
      <c r="AA728" s="105">
        <v>0</v>
      </c>
      <c r="AB728" s="105">
        <v>0</v>
      </c>
      <c r="AC728" s="8">
        <f t="shared" si="77"/>
        <v>5450000</v>
      </c>
      <c r="AD728" s="8">
        <f t="shared" si="78"/>
        <v>0</v>
      </c>
      <c r="AE728" s="8">
        <f t="shared" si="79"/>
        <v>0</v>
      </c>
      <c r="AF728" s="106">
        <f t="shared" si="80"/>
        <v>0</v>
      </c>
      <c r="AG728" s="8">
        <f t="shared" si="81"/>
        <v>0</v>
      </c>
      <c r="AH728" s="8">
        <f>IF($O728="Aktif",MAX(0,MIN($AE728,$AD728-SUM($AG728:AG728))),0)</f>
        <v>0</v>
      </c>
      <c r="AI728" s="8">
        <f>IF($O728="Aktif",MAX(0,MIN($AE728,$AD728-SUM($AG728:AH728))),0)</f>
        <v>0</v>
      </c>
      <c r="AJ728" s="8">
        <f>IF($O728="Aktif",MAX(0,MIN($AE728,$AD728-SUM($AG728:AI728))),0)</f>
        <v>0</v>
      </c>
      <c r="AK728" s="8">
        <f>IF($O728="Aktif",MAX(0,MIN($AE728,$AD728-SUM($AG728:AJ728))),0)</f>
        <v>0</v>
      </c>
      <c r="AL728" s="8">
        <f>IF($O728="Aktif",MAX(0,MIN($AE728,$AD728-SUM($AG728:AK728))),0)</f>
        <v>0</v>
      </c>
      <c r="AM728" s="8">
        <f>IF($O728="Aktif",MAX(0,MIN($AE728,$AD728-SUM($AG728:AL728))),0)</f>
        <v>0</v>
      </c>
      <c r="AN728" s="8">
        <f>IF($O728="Aktif",MAX(0,MIN($AE728,$AD728-SUM($AG728:AM728))),0)</f>
        <v>0</v>
      </c>
      <c r="AO728" s="8">
        <f>IF($O728="Aktif",MAX(0,MIN($AE728,$AD728-SUM($AG728:AN728))),0)</f>
        <v>0</v>
      </c>
      <c r="AP728" s="8">
        <f>IF($O728="Aktif",MAX(0,MIN($AE728,$AD728-SUM($AG728:AO728))),0)</f>
        <v>0</v>
      </c>
      <c r="AQ728" s="8">
        <f>IF($O728="Aktif",MAX(0,MIN($AE728,$AD728-SUM($AG728:AP728))),0)</f>
        <v>0</v>
      </c>
      <c r="AR728" s="8">
        <f>IF($O728="Aktif",MAX(0,MIN($AE728,$AD728-SUM($AG728:AQ728))),0)</f>
        <v>0</v>
      </c>
      <c r="AS728" s="8">
        <f>IF($O728="Aktif",MAX(0,MIN($AE728,$AD728-SUM($AG728:AR728))),0)</f>
        <v>0</v>
      </c>
      <c r="AT728" s="8">
        <f>IF($O728="Aktif",MAX(0,MIN($AE728,$AD728-SUM($AG728:AS728))),0)</f>
        <v>0</v>
      </c>
      <c r="AU728" s="8">
        <f>IF($O728="Aktif",MAX(0,MIN($AE728,$AD728-SUM($AG728:AT728))),0)</f>
        <v>0</v>
      </c>
      <c r="AV728" s="8">
        <f>IF($O728="Aktif",MAX(0,MIN($AE728,$AD728-SUM($AG728:AU728))),0)</f>
        <v>0</v>
      </c>
      <c r="AW728" s="8">
        <f t="shared" si="82"/>
        <v>0</v>
      </c>
      <c r="AX728" s="8">
        <f t="shared" si="83"/>
        <v>0</v>
      </c>
    </row>
    <row r="729" spans="1:50" ht="15" customHeight="1" x14ac:dyDescent="0.35">
      <c r="A729" s="102">
        <v>723</v>
      </c>
      <c r="B729" s="102" t="s">
        <v>1326</v>
      </c>
      <c r="C729" s="103">
        <v>357</v>
      </c>
      <c r="D729" s="102" t="s">
        <v>185</v>
      </c>
      <c r="E729" s="102" t="s">
        <v>587</v>
      </c>
      <c r="F729" s="102" t="s">
        <v>1327</v>
      </c>
      <c r="G729" s="102" t="s">
        <v>1328</v>
      </c>
      <c r="H729" s="102" t="s">
        <v>1329</v>
      </c>
      <c r="I729" s="102" t="s">
        <v>63</v>
      </c>
      <c r="J729" s="102" t="s">
        <v>2322</v>
      </c>
      <c r="K729" s="102" t="s">
        <v>591</v>
      </c>
      <c r="L729" s="104">
        <v>43605</v>
      </c>
      <c r="M729" s="102" t="s">
        <v>2323</v>
      </c>
      <c r="N729" s="102" t="s">
        <v>2324</v>
      </c>
      <c r="O729" s="102" t="s">
        <v>383</v>
      </c>
      <c r="P729" s="103">
        <v>1</v>
      </c>
      <c r="Q729" s="105">
        <v>14500000</v>
      </c>
      <c r="R729" s="103">
        <v>48</v>
      </c>
      <c r="S729" s="105">
        <v>302083.33333333302</v>
      </c>
      <c r="T729" s="105">
        <v>14500000</v>
      </c>
      <c r="U729" s="105">
        <v>0</v>
      </c>
      <c r="V729" s="105">
        <v>0</v>
      </c>
      <c r="W729" s="105">
        <v>0</v>
      </c>
      <c r="X729" s="105">
        <v>0</v>
      </c>
      <c r="Y729" s="105">
        <v>0</v>
      </c>
      <c r="Z729" s="105">
        <v>0</v>
      </c>
      <c r="AA729" s="105">
        <v>0</v>
      </c>
      <c r="AB729" s="105">
        <v>0</v>
      </c>
      <c r="AC729" s="8">
        <f t="shared" si="77"/>
        <v>14500000</v>
      </c>
      <c r="AD729" s="8">
        <f t="shared" si="78"/>
        <v>0</v>
      </c>
      <c r="AE729" s="8">
        <f t="shared" si="79"/>
        <v>0</v>
      </c>
      <c r="AF729" s="106">
        <f t="shared" si="80"/>
        <v>0</v>
      </c>
      <c r="AG729" s="8">
        <f t="shared" si="81"/>
        <v>0</v>
      </c>
      <c r="AH729" s="8">
        <f>IF($O729="Aktif",MAX(0,MIN($AE729,$AD729-SUM($AG729:AG729))),0)</f>
        <v>0</v>
      </c>
      <c r="AI729" s="8">
        <f>IF($O729="Aktif",MAX(0,MIN($AE729,$AD729-SUM($AG729:AH729))),0)</f>
        <v>0</v>
      </c>
      <c r="AJ729" s="8">
        <f>IF($O729="Aktif",MAX(0,MIN($AE729,$AD729-SUM($AG729:AI729))),0)</f>
        <v>0</v>
      </c>
      <c r="AK729" s="8">
        <f>IF($O729="Aktif",MAX(0,MIN($AE729,$AD729-SUM($AG729:AJ729))),0)</f>
        <v>0</v>
      </c>
      <c r="AL729" s="8">
        <f>IF($O729="Aktif",MAX(0,MIN($AE729,$AD729-SUM($AG729:AK729))),0)</f>
        <v>0</v>
      </c>
      <c r="AM729" s="8">
        <f>IF($O729="Aktif",MAX(0,MIN($AE729,$AD729-SUM($AG729:AL729))),0)</f>
        <v>0</v>
      </c>
      <c r="AN729" s="8">
        <f>IF($O729="Aktif",MAX(0,MIN($AE729,$AD729-SUM($AG729:AM729))),0)</f>
        <v>0</v>
      </c>
      <c r="AO729" s="8">
        <f>IF($O729="Aktif",MAX(0,MIN($AE729,$AD729-SUM($AG729:AN729))),0)</f>
        <v>0</v>
      </c>
      <c r="AP729" s="8">
        <f>IF($O729="Aktif",MAX(0,MIN($AE729,$AD729-SUM($AG729:AO729))),0)</f>
        <v>0</v>
      </c>
      <c r="AQ729" s="8">
        <f>IF($O729="Aktif",MAX(0,MIN($AE729,$AD729-SUM($AG729:AP729))),0)</f>
        <v>0</v>
      </c>
      <c r="AR729" s="8">
        <f>IF($O729="Aktif",MAX(0,MIN($AE729,$AD729-SUM($AG729:AQ729))),0)</f>
        <v>0</v>
      </c>
      <c r="AS729" s="8">
        <f>IF($O729="Aktif",MAX(0,MIN($AE729,$AD729-SUM($AG729:AR729))),0)</f>
        <v>0</v>
      </c>
      <c r="AT729" s="8">
        <f>IF($O729="Aktif",MAX(0,MIN($AE729,$AD729-SUM($AG729:AS729))),0)</f>
        <v>0</v>
      </c>
      <c r="AU729" s="8">
        <f>IF($O729="Aktif",MAX(0,MIN($AE729,$AD729-SUM($AG729:AT729))),0)</f>
        <v>0</v>
      </c>
      <c r="AV729" s="8">
        <f>IF($O729="Aktif",MAX(0,MIN($AE729,$AD729-SUM($AG729:AU729))),0)</f>
        <v>0</v>
      </c>
      <c r="AW729" s="8">
        <f t="shared" si="82"/>
        <v>0</v>
      </c>
      <c r="AX729" s="8">
        <f t="shared" si="83"/>
        <v>0</v>
      </c>
    </row>
    <row r="730" spans="1:50" ht="15" customHeight="1" x14ac:dyDescent="0.35">
      <c r="A730" s="102">
        <v>724</v>
      </c>
      <c r="B730" s="102" t="s">
        <v>1326</v>
      </c>
      <c r="C730" s="103">
        <v>358</v>
      </c>
      <c r="D730" s="102" t="s">
        <v>185</v>
      </c>
      <c r="E730" s="102" t="s">
        <v>587</v>
      </c>
      <c r="F730" s="102" t="s">
        <v>1327</v>
      </c>
      <c r="G730" s="102" t="s">
        <v>1328</v>
      </c>
      <c r="H730" s="102" t="s">
        <v>1329</v>
      </c>
      <c r="I730" s="102" t="s">
        <v>63</v>
      </c>
      <c r="J730" s="102" t="s">
        <v>2325</v>
      </c>
      <c r="K730" s="102" t="s">
        <v>591</v>
      </c>
      <c r="L730" s="104">
        <v>43616</v>
      </c>
      <c r="M730" s="102" t="s">
        <v>2326</v>
      </c>
      <c r="N730" s="102" t="s">
        <v>2327</v>
      </c>
      <c r="O730" s="102" t="s">
        <v>383</v>
      </c>
      <c r="P730" s="103">
        <v>1</v>
      </c>
      <c r="Q730" s="105">
        <v>12825000</v>
      </c>
      <c r="R730" s="103">
        <v>48</v>
      </c>
      <c r="S730" s="105">
        <v>267187.5</v>
      </c>
      <c r="T730" s="105">
        <v>12825000</v>
      </c>
      <c r="U730" s="105">
        <v>0</v>
      </c>
      <c r="V730" s="105">
        <v>0</v>
      </c>
      <c r="W730" s="105">
        <v>0</v>
      </c>
      <c r="X730" s="105">
        <v>0</v>
      </c>
      <c r="Y730" s="105">
        <v>0</v>
      </c>
      <c r="Z730" s="105">
        <v>0</v>
      </c>
      <c r="AA730" s="105">
        <v>0</v>
      </c>
      <c r="AB730" s="105">
        <v>0</v>
      </c>
      <c r="AC730" s="8">
        <f t="shared" si="77"/>
        <v>12825000</v>
      </c>
      <c r="AD730" s="8">
        <f t="shared" si="78"/>
        <v>0</v>
      </c>
      <c r="AE730" s="8">
        <f t="shared" si="79"/>
        <v>0</v>
      </c>
      <c r="AF730" s="106">
        <f t="shared" si="80"/>
        <v>0</v>
      </c>
      <c r="AG730" s="8">
        <f t="shared" si="81"/>
        <v>0</v>
      </c>
      <c r="AH730" s="8">
        <f>IF($O730="Aktif",MAX(0,MIN($AE730,$AD730-SUM($AG730:AG730))),0)</f>
        <v>0</v>
      </c>
      <c r="AI730" s="8">
        <f>IF($O730="Aktif",MAX(0,MIN($AE730,$AD730-SUM($AG730:AH730))),0)</f>
        <v>0</v>
      </c>
      <c r="AJ730" s="8">
        <f>IF($O730="Aktif",MAX(0,MIN($AE730,$AD730-SUM($AG730:AI730))),0)</f>
        <v>0</v>
      </c>
      <c r="AK730" s="8">
        <f>IF($O730="Aktif",MAX(0,MIN($AE730,$AD730-SUM($AG730:AJ730))),0)</f>
        <v>0</v>
      </c>
      <c r="AL730" s="8">
        <f>IF($O730="Aktif",MAX(0,MIN($AE730,$AD730-SUM($AG730:AK730))),0)</f>
        <v>0</v>
      </c>
      <c r="AM730" s="8">
        <f>IF($O730="Aktif",MAX(0,MIN($AE730,$AD730-SUM($AG730:AL730))),0)</f>
        <v>0</v>
      </c>
      <c r="AN730" s="8">
        <f>IF($O730="Aktif",MAX(0,MIN($AE730,$AD730-SUM($AG730:AM730))),0)</f>
        <v>0</v>
      </c>
      <c r="AO730" s="8">
        <f>IF($O730="Aktif",MAX(0,MIN($AE730,$AD730-SUM($AG730:AN730))),0)</f>
        <v>0</v>
      </c>
      <c r="AP730" s="8">
        <f>IF($O730="Aktif",MAX(0,MIN($AE730,$AD730-SUM($AG730:AO730))),0)</f>
        <v>0</v>
      </c>
      <c r="AQ730" s="8">
        <f>IF($O730="Aktif",MAX(0,MIN($AE730,$AD730-SUM($AG730:AP730))),0)</f>
        <v>0</v>
      </c>
      <c r="AR730" s="8">
        <f>IF($O730="Aktif",MAX(0,MIN($AE730,$AD730-SUM($AG730:AQ730))),0)</f>
        <v>0</v>
      </c>
      <c r="AS730" s="8">
        <f>IF($O730="Aktif",MAX(0,MIN($AE730,$AD730-SUM($AG730:AR730))),0)</f>
        <v>0</v>
      </c>
      <c r="AT730" s="8">
        <f>IF($O730="Aktif",MAX(0,MIN($AE730,$AD730-SUM($AG730:AS730))),0)</f>
        <v>0</v>
      </c>
      <c r="AU730" s="8">
        <f>IF($O730="Aktif",MAX(0,MIN($AE730,$AD730-SUM($AG730:AT730))),0)</f>
        <v>0</v>
      </c>
      <c r="AV730" s="8">
        <f>IF($O730="Aktif",MAX(0,MIN($AE730,$AD730-SUM($AG730:AU730))),0)</f>
        <v>0</v>
      </c>
      <c r="AW730" s="8">
        <f t="shared" si="82"/>
        <v>0</v>
      </c>
      <c r="AX730" s="8">
        <f t="shared" si="83"/>
        <v>0</v>
      </c>
    </row>
    <row r="731" spans="1:50" ht="15" customHeight="1" x14ac:dyDescent="0.35">
      <c r="A731" s="102">
        <v>725</v>
      </c>
      <c r="B731" s="102" t="s">
        <v>1326</v>
      </c>
      <c r="C731" s="103">
        <v>359</v>
      </c>
      <c r="D731" s="102" t="s">
        <v>185</v>
      </c>
      <c r="E731" s="102" t="s">
        <v>587</v>
      </c>
      <c r="F731" s="102" t="s">
        <v>1327</v>
      </c>
      <c r="G731" s="102" t="s">
        <v>1328</v>
      </c>
      <c r="H731" s="102" t="s">
        <v>1329</v>
      </c>
      <c r="I731" s="102" t="s">
        <v>63</v>
      </c>
      <c r="J731" s="102" t="s">
        <v>2328</v>
      </c>
      <c r="K731" s="102" t="s">
        <v>591</v>
      </c>
      <c r="L731" s="104">
        <v>43649</v>
      </c>
      <c r="M731" s="102" t="s">
        <v>2329</v>
      </c>
      <c r="N731" s="102" t="s">
        <v>2330</v>
      </c>
      <c r="O731" s="102" t="s">
        <v>383</v>
      </c>
      <c r="P731" s="103">
        <v>1</v>
      </c>
      <c r="Q731" s="105">
        <v>7500000</v>
      </c>
      <c r="R731" s="103">
        <v>48</v>
      </c>
      <c r="S731" s="105">
        <v>156250</v>
      </c>
      <c r="T731" s="105">
        <v>7500000</v>
      </c>
      <c r="U731" s="105">
        <v>0</v>
      </c>
      <c r="V731" s="105">
        <v>0</v>
      </c>
      <c r="W731" s="105">
        <v>0</v>
      </c>
      <c r="X731" s="105">
        <v>0</v>
      </c>
      <c r="Y731" s="105">
        <v>0</v>
      </c>
      <c r="Z731" s="105">
        <v>0</v>
      </c>
      <c r="AA731" s="105">
        <v>0</v>
      </c>
      <c r="AB731" s="105">
        <v>0</v>
      </c>
      <c r="AC731" s="8">
        <f t="shared" si="77"/>
        <v>7500000</v>
      </c>
      <c r="AD731" s="8">
        <f t="shared" si="78"/>
        <v>0</v>
      </c>
      <c r="AE731" s="8">
        <f t="shared" si="79"/>
        <v>0</v>
      </c>
      <c r="AF731" s="106">
        <f t="shared" si="80"/>
        <v>0</v>
      </c>
      <c r="AG731" s="8">
        <f t="shared" si="81"/>
        <v>0</v>
      </c>
      <c r="AH731" s="8">
        <f>IF($O731="Aktif",MAX(0,MIN($AE731,$AD731-SUM($AG731:AG731))),0)</f>
        <v>0</v>
      </c>
      <c r="AI731" s="8">
        <f>IF($O731="Aktif",MAX(0,MIN($AE731,$AD731-SUM($AG731:AH731))),0)</f>
        <v>0</v>
      </c>
      <c r="AJ731" s="8">
        <f>IF($O731="Aktif",MAX(0,MIN($AE731,$AD731-SUM($AG731:AI731))),0)</f>
        <v>0</v>
      </c>
      <c r="AK731" s="8">
        <f>IF($O731="Aktif",MAX(0,MIN($AE731,$AD731-SUM($AG731:AJ731))),0)</f>
        <v>0</v>
      </c>
      <c r="AL731" s="8">
        <f>IF($O731="Aktif",MAX(0,MIN($AE731,$AD731-SUM($AG731:AK731))),0)</f>
        <v>0</v>
      </c>
      <c r="AM731" s="8">
        <f>IF($O731="Aktif",MAX(0,MIN($AE731,$AD731-SUM($AG731:AL731))),0)</f>
        <v>0</v>
      </c>
      <c r="AN731" s="8">
        <f>IF($O731="Aktif",MAX(0,MIN($AE731,$AD731-SUM($AG731:AM731))),0)</f>
        <v>0</v>
      </c>
      <c r="AO731" s="8">
        <f>IF($O731="Aktif",MAX(0,MIN($AE731,$AD731-SUM($AG731:AN731))),0)</f>
        <v>0</v>
      </c>
      <c r="AP731" s="8">
        <f>IF($O731="Aktif",MAX(0,MIN($AE731,$AD731-SUM($AG731:AO731))),0)</f>
        <v>0</v>
      </c>
      <c r="AQ731" s="8">
        <f>IF($O731="Aktif",MAX(0,MIN($AE731,$AD731-SUM($AG731:AP731))),0)</f>
        <v>0</v>
      </c>
      <c r="AR731" s="8">
        <f>IF($O731="Aktif",MAX(0,MIN($AE731,$AD731-SUM($AG731:AQ731))),0)</f>
        <v>0</v>
      </c>
      <c r="AS731" s="8">
        <f>IF($O731="Aktif",MAX(0,MIN($AE731,$AD731-SUM($AG731:AR731))),0)</f>
        <v>0</v>
      </c>
      <c r="AT731" s="8">
        <f>IF($O731="Aktif",MAX(0,MIN($AE731,$AD731-SUM($AG731:AS731))),0)</f>
        <v>0</v>
      </c>
      <c r="AU731" s="8">
        <f>IF($O731="Aktif",MAX(0,MIN($AE731,$AD731-SUM($AG731:AT731))),0)</f>
        <v>0</v>
      </c>
      <c r="AV731" s="8">
        <f>IF($O731="Aktif",MAX(0,MIN($AE731,$AD731-SUM($AG731:AU731))),0)</f>
        <v>0</v>
      </c>
      <c r="AW731" s="8">
        <f t="shared" si="82"/>
        <v>0</v>
      </c>
      <c r="AX731" s="8">
        <f t="shared" si="83"/>
        <v>0</v>
      </c>
    </row>
    <row r="732" spans="1:50" ht="15" customHeight="1" x14ac:dyDescent="0.35">
      <c r="A732" s="102">
        <v>726</v>
      </c>
      <c r="B732" s="102" t="s">
        <v>1326</v>
      </c>
      <c r="C732" s="103">
        <v>360</v>
      </c>
      <c r="D732" s="102" t="s">
        <v>185</v>
      </c>
      <c r="E732" s="102" t="s">
        <v>587</v>
      </c>
      <c r="F732" s="102" t="s">
        <v>1327</v>
      </c>
      <c r="G732" s="102" t="s">
        <v>1328</v>
      </c>
      <c r="H732" s="102" t="s">
        <v>1329</v>
      </c>
      <c r="I732" s="102" t="s">
        <v>63</v>
      </c>
      <c r="J732" s="102"/>
      <c r="K732" s="102" t="s">
        <v>591</v>
      </c>
      <c r="L732" s="104">
        <v>43851</v>
      </c>
      <c r="M732" s="102" t="s">
        <v>821</v>
      </c>
      <c r="N732" s="102" t="s">
        <v>2331</v>
      </c>
      <c r="O732" s="102" t="s">
        <v>383</v>
      </c>
      <c r="P732" s="103">
        <v>1</v>
      </c>
      <c r="Q732" s="105">
        <v>1000000</v>
      </c>
      <c r="R732" s="103">
        <v>48</v>
      </c>
      <c r="S732" s="105">
        <v>20833.333333333299</v>
      </c>
      <c r="T732" s="105">
        <v>1000000</v>
      </c>
      <c r="U732" s="105">
        <v>0</v>
      </c>
      <c r="V732" s="105">
        <v>0</v>
      </c>
      <c r="W732" s="105">
        <v>0</v>
      </c>
      <c r="X732" s="105">
        <v>0</v>
      </c>
      <c r="Y732" s="105">
        <v>0</v>
      </c>
      <c r="Z732" s="105">
        <v>0</v>
      </c>
      <c r="AA732" s="105">
        <v>0</v>
      </c>
      <c r="AB732" s="105">
        <v>0</v>
      </c>
      <c r="AC732" s="8">
        <f t="shared" si="77"/>
        <v>1000000</v>
      </c>
      <c r="AD732" s="8">
        <f t="shared" si="78"/>
        <v>0</v>
      </c>
      <c r="AE732" s="8">
        <f t="shared" si="79"/>
        <v>0</v>
      </c>
      <c r="AF732" s="106">
        <f t="shared" si="80"/>
        <v>0</v>
      </c>
      <c r="AG732" s="8">
        <f t="shared" si="81"/>
        <v>0</v>
      </c>
      <c r="AH732" s="8">
        <f>IF($O732="Aktif",MAX(0,MIN($AE732,$AD732-SUM($AG732:AG732))),0)</f>
        <v>0</v>
      </c>
      <c r="AI732" s="8">
        <f>IF($O732="Aktif",MAX(0,MIN($AE732,$AD732-SUM($AG732:AH732))),0)</f>
        <v>0</v>
      </c>
      <c r="AJ732" s="8">
        <f>IF($O732="Aktif",MAX(0,MIN($AE732,$AD732-SUM($AG732:AI732))),0)</f>
        <v>0</v>
      </c>
      <c r="AK732" s="8">
        <f>IF($O732="Aktif",MAX(0,MIN($AE732,$AD732-SUM($AG732:AJ732))),0)</f>
        <v>0</v>
      </c>
      <c r="AL732" s="8">
        <f>IF($O732="Aktif",MAX(0,MIN($AE732,$AD732-SUM($AG732:AK732))),0)</f>
        <v>0</v>
      </c>
      <c r="AM732" s="8">
        <f>IF($O732="Aktif",MAX(0,MIN($AE732,$AD732-SUM($AG732:AL732))),0)</f>
        <v>0</v>
      </c>
      <c r="AN732" s="8">
        <f>IF($O732="Aktif",MAX(0,MIN($AE732,$AD732-SUM($AG732:AM732))),0)</f>
        <v>0</v>
      </c>
      <c r="AO732" s="8">
        <f>IF($O732="Aktif",MAX(0,MIN($AE732,$AD732-SUM($AG732:AN732))),0)</f>
        <v>0</v>
      </c>
      <c r="AP732" s="8">
        <f>IF($O732="Aktif",MAX(0,MIN($AE732,$AD732-SUM($AG732:AO732))),0)</f>
        <v>0</v>
      </c>
      <c r="AQ732" s="8">
        <f>IF($O732="Aktif",MAX(0,MIN($AE732,$AD732-SUM($AG732:AP732))),0)</f>
        <v>0</v>
      </c>
      <c r="AR732" s="8">
        <f>IF($O732="Aktif",MAX(0,MIN($AE732,$AD732-SUM($AG732:AQ732))),0)</f>
        <v>0</v>
      </c>
      <c r="AS732" s="8">
        <f>IF($O732="Aktif",MAX(0,MIN($AE732,$AD732-SUM($AG732:AR732))),0)</f>
        <v>0</v>
      </c>
      <c r="AT732" s="8">
        <f>IF($O732="Aktif",MAX(0,MIN($AE732,$AD732-SUM($AG732:AS732))),0)</f>
        <v>0</v>
      </c>
      <c r="AU732" s="8">
        <f>IF($O732="Aktif",MAX(0,MIN($AE732,$AD732-SUM($AG732:AT732))),0)</f>
        <v>0</v>
      </c>
      <c r="AV732" s="8">
        <f>IF($O732="Aktif",MAX(0,MIN($AE732,$AD732-SUM($AG732:AU732))),0)</f>
        <v>0</v>
      </c>
      <c r="AW732" s="8">
        <f t="shared" si="82"/>
        <v>0</v>
      </c>
      <c r="AX732" s="8">
        <f t="shared" si="83"/>
        <v>0</v>
      </c>
    </row>
    <row r="733" spans="1:50" ht="15" customHeight="1" x14ac:dyDescent="0.35">
      <c r="A733" s="102">
        <v>727</v>
      </c>
      <c r="B733" s="102" t="s">
        <v>1326</v>
      </c>
      <c r="C733" s="103">
        <v>361</v>
      </c>
      <c r="D733" s="102" t="s">
        <v>185</v>
      </c>
      <c r="E733" s="102" t="s">
        <v>479</v>
      </c>
      <c r="F733" s="102" t="s">
        <v>2332</v>
      </c>
      <c r="G733" s="102" t="s">
        <v>2333</v>
      </c>
      <c r="H733" s="102" t="s">
        <v>2334</v>
      </c>
      <c r="I733" s="102" t="s">
        <v>63</v>
      </c>
      <c r="J733" s="102"/>
      <c r="K733" s="102" t="s">
        <v>950</v>
      </c>
      <c r="L733" s="104">
        <v>43876</v>
      </c>
      <c r="M733" s="102" t="s">
        <v>2335</v>
      </c>
      <c r="N733" s="102" t="s">
        <v>2336</v>
      </c>
      <c r="O733" s="102" t="s">
        <v>383</v>
      </c>
      <c r="P733" s="103">
        <v>1</v>
      </c>
      <c r="Q733" s="105">
        <v>3554546</v>
      </c>
      <c r="R733" s="103">
        <v>48</v>
      </c>
      <c r="S733" s="105">
        <v>74053.041666666701</v>
      </c>
      <c r="T733" s="105">
        <v>3554546.0016666702</v>
      </c>
      <c r="U733" s="105">
        <v>0</v>
      </c>
      <c r="V733" s="105">
        <v>0</v>
      </c>
      <c r="W733" s="105">
        <v>0</v>
      </c>
      <c r="X733" s="105">
        <v>0</v>
      </c>
      <c r="Y733" s="105">
        <v>0</v>
      </c>
      <c r="Z733" s="105">
        <v>0</v>
      </c>
      <c r="AA733" s="105">
        <v>0</v>
      </c>
      <c r="AB733" s="105">
        <v>0</v>
      </c>
      <c r="AC733" s="8">
        <f t="shared" si="77"/>
        <v>3554546.0016666702</v>
      </c>
      <c r="AD733" s="8">
        <f t="shared" si="78"/>
        <v>-1.666670199483633E-3</v>
      </c>
      <c r="AE733" s="8">
        <f t="shared" si="79"/>
        <v>0</v>
      </c>
      <c r="AF733" s="106">
        <f t="shared" si="80"/>
        <v>0</v>
      </c>
      <c r="AG733" s="8">
        <f t="shared" si="81"/>
        <v>0</v>
      </c>
      <c r="AH733" s="8">
        <f>IF($O733="Aktif",MAX(0,MIN($AE733,$AD733-SUM($AG733:AG733))),0)</f>
        <v>0</v>
      </c>
      <c r="AI733" s="8">
        <f>IF($O733="Aktif",MAX(0,MIN($AE733,$AD733-SUM($AG733:AH733))),0)</f>
        <v>0</v>
      </c>
      <c r="AJ733" s="8">
        <f>IF($O733="Aktif",MAX(0,MIN($AE733,$AD733-SUM($AG733:AI733))),0)</f>
        <v>0</v>
      </c>
      <c r="AK733" s="8">
        <f>IF($O733="Aktif",MAX(0,MIN($AE733,$AD733-SUM($AG733:AJ733))),0)</f>
        <v>0</v>
      </c>
      <c r="AL733" s="8">
        <f>IF($O733="Aktif",MAX(0,MIN($AE733,$AD733-SUM($AG733:AK733))),0)</f>
        <v>0</v>
      </c>
      <c r="AM733" s="8">
        <f>IF($O733="Aktif",MAX(0,MIN($AE733,$AD733-SUM($AG733:AL733))),0)</f>
        <v>0</v>
      </c>
      <c r="AN733" s="8">
        <f>IF($O733="Aktif",MAX(0,MIN($AE733,$AD733-SUM($AG733:AM733))),0)</f>
        <v>0</v>
      </c>
      <c r="AO733" s="8">
        <f>IF($O733="Aktif",MAX(0,MIN($AE733,$AD733-SUM($AG733:AN733))),0)</f>
        <v>0</v>
      </c>
      <c r="AP733" s="8">
        <f>IF($O733="Aktif",MAX(0,MIN($AE733,$AD733-SUM($AG733:AO733))),0)</f>
        <v>0</v>
      </c>
      <c r="AQ733" s="8">
        <f>IF($O733="Aktif",MAX(0,MIN($AE733,$AD733-SUM($AG733:AP733))),0)</f>
        <v>0</v>
      </c>
      <c r="AR733" s="8">
        <f>IF($O733="Aktif",MAX(0,MIN($AE733,$AD733-SUM($AG733:AQ733))),0)</f>
        <v>0</v>
      </c>
      <c r="AS733" s="8">
        <f>IF($O733="Aktif",MAX(0,MIN($AE733,$AD733-SUM($AG733:AR733))),0)</f>
        <v>0</v>
      </c>
      <c r="AT733" s="8">
        <f>IF($O733="Aktif",MAX(0,MIN($AE733,$AD733-SUM($AG733:AS733))),0)</f>
        <v>0</v>
      </c>
      <c r="AU733" s="8">
        <f>IF($O733="Aktif",MAX(0,MIN($AE733,$AD733-SUM($AG733:AT733))),0)</f>
        <v>0</v>
      </c>
      <c r="AV733" s="8">
        <f>IF($O733="Aktif",MAX(0,MIN($AE733,$AD733-SUM($AG733:AU733))),0)</f>
        <v>0</v>
      </c>
      <c r="AW733" s="8">
        <f t="shared" si="82"/>
        <v>0</v>
      </c>
      <c r="AX733" s="8">
        <f t="shared" si="83"/>
        <v>-1.666670199483633E-3</v>
      </c>
    </row>
    <row r="734" spans="1:50" ht="15" customHeight="1" x14ac:dyDescent="0.35">
      <c r="A734" s="102">
        <v>728</v>
      </c>
      <c r="B734" s="102" t="s">
        <v>1326</v>
      </c>
      <c r="C734" s="103">
        <v>362</v>
      </c>
      <c r="D734" s="102" t="s">
        <v>185</v>
      </c>
      <c r="E734" s="102" t="s">
        <v>479</v>
      </c>
      <c r="F734" s="102" t="s">
        <v>2332</v>
      </c>
      <c r="G734" s="102" t="s">
        <v>2333</v>
      </c>
      <c r="H734" s="102" t="s">
        <v>2334</v>
      </c>
      <c r="I734" s="102" t="s">
        <v>63</v>
      </c>
      <c r="J734" s="102"/>
      <c r="K734" s="102" t="s">
        <v>950</v>
      </c>
      <c r="L734" s="104">
        <v>43896</v>
      </c>
      <c r="M734" s="102" t="s">
        <v>2337</v>
      </c>
      <c r="N734" s="102" t="s">
        <v>2338</v>
      </c>
      <c r="O734" s="102" t="s">
        <v>383</v>
      </c>
      <c r="P734" s="103">
        <v>1</v>
      </c>
      <c r="Q734" s="105">
        <v>29163620</v>
      </c>
      <c r="R734" s="103">
        <v>48</v>
      </c>
      <c r="S734" s="105">
        <v>607575.41666666698</v>
      </c>
      <c r="T734" s="105">
        <v>29163620</v>
      </c>
      <c r="U734" s="105">
        <v>0</v>
      </c>
      <c r="V734" s="105">
        <v>0</v>
      </c>
      <c r="W734" s="105">
        <v>0</v>
      </c>
      <c r="X734" s="105">
        <v>0</v>
      </c>
      <c r="Y734" s="105">
        <v>0</v>
      </c>
      <c r="Z734" s="105">
        <v>0</v>
      </c>
      <c r="AA734" s="105">
        <v>0</v>
      </c>
      <c r="AB734" s="105">
        <v>0</v>
      </c>
      <c r="AC734" s="8">
        <f t="shared" si="77"/>
        <v>29163620</v>
      </c>
      <c r="AD734" s="8">
        <f t="shared" si="78"/>
        <v>0</v>
      </c>
      <c r="AE734" s="8">
        <f t="shared" si="79"/>
        <v>0</v>
      </c>
      <c r="AF734" s="106">
        <f t="shared" si="80"/>
        <v>0</v>
      </c>
      <c r="AG734" s="8">
        <f t="shared" si="81"/>
        <v>0</v>
      </c>
      <c r="AH734" s="8">
        <f>IF($O734="Aktif",MAX(0,MIN($AE734,$AD734-SUM($AG734:AG734))),0)</f>
        <v>0</v>
      </c>
      <c r="AI734" s="8">
        <f>IF($O734="Aktif",MAX(0,MIN($AE734,$AD734-SUM($AG734:AH734))),0)</f>
        <v>0</v>
      </c>
      <c r="AJ734" s="8">
        <f>IF($O734="Aktif",MAX(0,MIN($AE734,$AD734-SUM($AG734:AI734))),0)</f>
        <v>0</v>
      </c>
      <c r="AK734" s="8">
        <f>IF($O734="Aktif",MAX(0,MIN($AE734,$AD734-SUM($AG734:AJ734))),0)</f>
        <v>0</v>
      </c>
      <c r="AL734" s="8">
        <f>IF($O734="Aktif",MAX(0,MIN($AE734,$AD734-SUM($AG734:AK734))),0)</f>
        <v>0</v>
      </c>
      <c r="AM734" s="8">
        <f>IF($O734="Aktif",MAX(0,MIN($AE734,$AD734-SUM($AG734:AL734))),0)</f>
        <v>0</v>
      </c>
      <c r="AN734" s="8">
        <f>IF($O734="Aktif",MAX(0,MIN($AE734,$AD734-SUM($AG734:AM734))),0)</f>
        <v>0</v>
      </c>
      <c r="AO734" s="8">
        <f>IF($O734="Aktif",MAX(0,MIN($AE734,$AD734-SUM($AG734:AN734))),0)</f>
        <v>0</v>
      </c>
      <c r="AP734" s="8">
        <f>IF($O734="Aktif",MAX(0,MIN($AE734,$AD734-SUM($AG734:AO734))),0)</f>
        <v>0</v>
      </c>
      <c r="AQ734" s="8">
        <f>IF($O734="Aktif",MAX(0,MIN($AE734,$AD734-SUM($AG734:AP734))),0)</f>
        <v>0</v>
      </c>
      <c r="AR734" s="8">
        <f>IF($O734="Aktif",MAX(0,MIN($AE734,$AD734-SUM($AG734:AQ734))),0)</f>
        <v>0</v>
      </c>
      <c r="AS734" s="8">
        <f>IF($O734="Aktif",MAX(0,MIN($AE734,$AD734-SUM($AG734:AR734))),0)</f>
        <v>0</v>
      </c>
      <c r="AT734" s="8">
        <f>IF($O734="Aktif",MAX(0,MIN($AE734,$AD734-SUM($AG734:AS734))),0)</f>
        <v>0</v>
      </c>
      <c r="AU734" s="8">
        <f>IF($O734="Aktif",MAX(0,MIN($AE734,$AD734-SUM($AG734:AT734))),0)</f>
        <v>0</v>
      </c>
      <c r="AV734" s="8">
        <f>IF($O734="Aktif",MAX(0,MIN($AE734,$AD734-SUM($AG734:AU734))),0)</f>
        <v>0</v>
      </c>
      <c r="AW734" s="8">
        <f t="shared" si="82"/>
        <v>0</v>
      </c>
      <c r="AX734" s="8">
        <f t="shared" si="83"/>
        <v>0</v>
      </c>
    </row>
    <row r="735" spans="1:50" ht="15" customHeight="1" x14ac:dyDescent="0.35">
      <c r="A735" s="102">
        <v>729</v>
      </c>
      <c r="B735" s="102" t="s">
        <v>1326</v>
      </c>
      <c r="C735" s="103">
        <v>363</v>
      </c>
      <c r="D735" s="102" t="s">
        <v>185</v>
      </c>
      <c r="E735" s="102" t="s">
        <v>479</v>
      </c>
      <c r="F735" s="102" t="s">
        <v>2332</v>
      </c>
      <c r="G735" s="102" t="s">
        <v>2333</v>
      </c>
      <c r="H735" s="102" t="s">
        <v>2334</v>
      </c>
      <c r="I735" s="102" t="s">
        <v>63</v>
      </c>
      <c r="J735" s="102"/>
      <c r="K735" s="102" t="s">
        <v>950</v>
      </c>
      <c r="L735" s="104">
        <v>43917</v>
      </c>
      <c r="M735" s="102" t="s">
        <v>2339</v>
      </c>
      <c r="N735" s="102" t="s">
        <v>2340</v>
      </c>
      <c r="O735" s="102" t="s">
        <v>383</v>
      </c>
      <c r="P735" s="103">
        <v>20</v>
      </c>
      <c r="Q735" s="105">
        <v>10000000</v>
      </c>
      <c r="R735" s="103">
        <v>48</v>
      </c>
      <c r="S735" s="105">
        <v>208333.33333333299</v>
      </c>
      <c r="T735" s="105">
        <v>10000000</v>
      </c>
      <c r="U735" s="105">
        <v>0</v>
      </c>
      <c r="V735" s="105">
        <v>0</v>
      </c>
      <c r="W735" s="105">
        <v>0</v>
      </c>
      <c r="X735" s="105">
        <v>0</v>
      </c>
      <c r="Y735" s="105">
        <v>0</v>
      </c>
      <c r="Z735" s="105">
        <v>0</v>
      </c>
      <c r="AA735" s="105">
        <v>0</v>
      </c>
      <c r="AB735" s="105">
        <v>0</v>
      </c>
      <c r="AC735" s="8">
        <f t="shared" si="77"/>
        <v>10000000</v>
      </c>
      <c r="AD735" s="8">
        <f t="shared" si="78"/>
        <v>0</v>
      </c>
      <c r="AE735" s="8">
        <f t="shared" si="79"/>
        <v>0</v>
      </c>
      <c r="AF735" s="106">
        <f t="shared" si="80"/>
        <v>0</v>
      </c>
      <c r="AG735" s="8">
        <f t="shared" si="81"/>
        <v>0</v>
      </c>
      <c r="AH735" s="8">
        <f>IF($O735="Aktif",MAX(0,MIN($AE735,$AD735-SUM($AG735:AG735))),0)</f>
        <v>0</v>
      </c>
      <c r="AI735" s="8">
        <f>IF($O735="Aktif",MAX(0,MIN($AE735,$AD735-SUM($AG735:AH735))),0)</f>
        <v>0</v>
      </c>
      <c r="AJ735" s="8">
        <f>IF($O735="Aktif",MAX(0,MIN($AE735,$AD735-SUM($AG735:AI735))),0)</f>
        <v>0</v>
      </c>
      <c r="AK735" s="8">
        <f>IF($O735="Aktif",MAX(0,MIN($AE735,$AD735-SUM($AG735:AJ735))),0)</f>
        <v>0</v>
      </c>
      <c r="AL735" s="8">
        <f>IF($O735="Aktif",MAX(0,MIN($AE735,$AD735-SUM($AG735:AK735))),0)</f>
        <v>0</v>
      </c>
      <c r="AM735" s="8">
        <f>IF($O735="Aktif",MAX(0,MIN($AE735,$AD735-SUM($AG735:AL735))),0)</f>
        <v>0</v>
      </c>
      <c r="AN735" s="8">
        <f>IF($O735="Aktif",MAX(0,MIN($AE735,$AD735-SUM($AG735:AM735))),0)</f>
        <v>0</v>
      </c>
      <c r="AO735" s="8">
        <f>IF($O735="Aktif",MAX(0,MIN($AE735,$AD735-SUM($AG735:AN735))),0)</f>
        <v>0</v>
      </c>
      <c r="AP735" s="8">
        <f>IF($O735="Aktif",MAX(0,MIN($AE735,$AD735-SUM($AG735:AO735))),0)</f>
        <v>0</v>
      </c>
      <c r="AQ735" s="8">
        <f>IF($O735="Aktif",MAX(0,MIN($AE735,$AD735-SUM($AG735:AP735))),0)</f>
        <v>0</v>
      </c>
      <c r="AR735" s="8">
        <f>IF($O735="Aktif",MAX(0,MIN($AE735,$AD735-SUM($AG735:AQ735))),0)</f>
        <v>0</v>
      </c>
      <c r="AS735" s="8">
        <f>IF($O735="Aktif",MAX(0,MIN($AE735,$AD735-SUM($AG735:AR735))),0)</f>
        <v>0</v>
      </c>
      <c r="AT735" s="8">
        <f>IF($O735="Aktif",MAX(0,MIN($AE735,$AD735-SUM($AG735:AS735))),0)</f>
        <v>0</v>
      </c>
      <c r="AU735" s="8">
        <f>IF($O735="Aktif",MAX(0,MIN($AE735,$AD735-SUM($AG735:AT735))),0)</f>
        <v>0</v>
      </c>
      <c r="AV735" s="8">
        <f>IF($O735="Aktif",MAX(0,MIN($AE735,$AD735-SUM($AG735:AU735))),0)</f>
        <v>0</v>
      </c>
      <c r="AW735" s="8">
        <f t="shared" si="82"/>
        <v>0</v>
      </c>
      <c r="AX735" s="8">
        <f t="shared" si="83"/>
        <v>0</v>
      </c>
    </row>
    <row r="736" spans="1:50" ht="15" customHeight="1" x14ac:dyDescent="0.35">
      <c r="A736" s="102">
        <v>730</v>
      </c>
      <c r="B736" s="102" t="s">
        <v>1326</v>
      </c>
      <c r="C736" s="103">
        <v>364</v>
      </c>
      <c r="D736" s="102" t="s">
        <v>185</v>
      </c>
      <c r="E736" s="102" t="s">
        <v>479</v>
      </c>
      <c r="F736" s="102" t="s">
        <v>2332</v>
      </c>
      <c r="G736" s="102" t="s">
        <v>2333</v>
      </c>
      <c r="H736" s="102" t="s">
        <v>2334</v>
      </c>
      <c r="I736" s="102" t="s">
        <v>63</v>
      </c>
      <c r="J736" s="102"/>
      <c r="K736" s="102" t="s">
        <v>950</v>
      </c>
      <c r="L736" s="104">
        <v>43937</v>
      </c>
      <c r="M736" s="102" t="s">
        <v>1905</v>
      </c>
      <c r="N736" s="102" t="s">
        <v>2341</v>
      </c>
      <c r="O736" s="102" t="s">
        <v>383</v>
      </c>
      <c r="P736" s="103">
        <v>1</v>
      </c>
      <c r="Q736" s="105">
        <v>3000000</v>
      </c>
      <c r="R736" s="103">
        <v>48</v>
      </c>
      <c r="S736" s="105">
        <v>62500</v>
      </c>
      <c r="T736" s="105">
        <v>3000000</v>
      </c>
      <c r="U736" s="105">
        <v>0</v>
      </c>
      <c r="V736" s="105">
        <v>0</v>
      </c>
      <c r="W736" s="105">
        <v>0</v>
      </c>
      <c r="X736" s="105">
        <v>0</v>
      </c>
      <c r="Y736" s="105">
        <v>0</v>
      </c>
      <c r="Z736" s="105">
        <v>0</v>
      </c>
      <c r="AA736" s="105">
        <v>0</v>
      </c>
      <c r="AB736" s="105">
        <v>0</v>
      </c>
      <c r="AC736" s="8">
        <f t="shared" si="77"/>
        <v>3000000</v>
      </c>
      <c r="AD736" s="8">
        <f t="shared" si="78"/>
        <v>0</v>
      </c>
      <c r="AE736" s="8">
        <f t="shared" si="79"/>
        <v>0</v>
      </c>
      <c r="AF736" s="106">
        <f t="shared" si="80"/>
        <v>0</v>
      </c>
      <c r="AG736" s="8">
        <f t="shared" si="81"/>
        <v>0</v>
      </c>
      <c r="AH736" s="8">
        <f>IF($O736="Aktif",MAX(0,MIN($AE736,$AD736-SUM($AG736:AG736))),0)</f>
        <v>0</v>
      </c>
      <c r="AI736" s="8">
        <f>IF($O736="Aktif",MAX(0,MIN($AE736,$AD736-SUM($AG736:AH736))),0)</f>
        <v>0</v>
      </c>
      <c r="AJ736" s="8">
        <f>IF($O736="Aktif",MAX(0,MIN($AE736,$AD736-SUM($AG736:AI736))),0)</f>
        <v>0</v>
      </c>
      <c r="AK736" s="8">
        <f>IF($O736="Aktif",MAX(0,MIN($AE736,$AD736-SUM($AG736:AJ736))),0)</f>
        <v>0</v>
      </c>
      <c r="AL736" s="8">
        <f>IF($O736="Aktif",MAX(0,MIN($AE736,$AD736-SUM($AG736:AK736))),0)</f>
        <v>0</v>
      </c>
      <c r="AM736" s="8">
        <f>IF($O736="Aktif",MAX(0,MIN($AE736,$AD736-SUM($AG736:AL736))),0)</f>
        <v>0</v>
      </c>
      <c r="AN736" s="8">
        <f>IF($O736="Aktif",MAX(0,MIN($AE736,$AD736-SUM($AG736:AM736))),0)</f>
        <v>0</v>
      </c>
      <c r="AO736" s="8">
        <f>IF($O736="Aktif",MAX(0,MIN($AE736,$AD736-SUM($AG736:AN736))),0)</f>
        <v>0</v>
      </c>
      <c r="AP736" s="8">
        <f>IF($O736="Aktif",MAX(0,MIN($AE736,$AD736-SUM($AG736:AO736))),0)</f>
        <v>0</v>
      </c>
      <c r="AQ736" s="8">
        <f>IF($O736="Aktif",MAX(0,MIN($AE736,$AD736-SUM($AG736:AP736))),0)</f>
        <v>0</v>
      </c>
      <c r="AR736" s="8">
        <f>IF($O736="Aktif",MAX(0,MIN($AE736,$AD736-SUM($AG736:AQ736))),0)</f>
        <v>0</v>
      </c>
      <c r="AS736" s="8">
        <f>IF($O736="Aktif",MAX(0,MIN($AE736,$AD736-SUM($AG736:AR736))),0)</f>
        <v>0</v>
      </c>
      <c r="AT736" s="8">
        <f>IF($O736="Aktif",MAX(0,MIN($AE736,$AD736-SUM($AG736:AS736))),0)</f>
        <v>0</v>
      </c>
      <c r="AU736" s="8">
        <f>IF($O736="Aktif",MAX(0,MIN($AE736,$AD736-SUM($AG736:AT736))),0)</f>
        <v>0</v>
      </c>
      <c r="AV736" s="8">
        <f>IF($O736="Aktif",MAX(0,MIN($AE736,$AD736-SUM($AG736:AU736))),0)</f>
        <v>0</v>
      </c>
      <c r="AW736" s="8">
        <f t="shared" si="82"/>
        <v>0</v>
      </c>
      <c r="AX736" s="8">
        <f t="shared" si="83"/>
        <v>0</v>
      </c>
    </row>
    <row r="737" spans="1:50" ht="15" customHeight="1" x14ac:dyDescent="0.35">
      <c r="A737" s="102">
        <v>731</v>
      </c>
      <c r="B737" s="102" t="s">
        <v>1326</v>
      </c>
      <c r="C737" s="103">
        <v>365</v>
      </c>
      <c r="D737" s="102" t="s">
        <v>185</v>
      </c>
      <c r="E737" s="102" t="s">
        <v>479</v>
      </c>
      <c r="F737" s="102" t="s">
        <v>2332</v>
      </c>
      <c r="G737" s="102" t="s">
        <v>2333</v>
      </c>
      <c r="H737" s="102" t="s">
        <v>2334</v>
      </c>
      <c r="I737" s="102" t="s">
        <v>63</v>
      </c>
      <c r="J737" s="102"/>
      <c r="K737" s="102" t="s">
        <v>950</v>
      </c>
      <c r="L737" s="104">
        <v>43966</v>
      </c>
      <c r="M737" s="102" t="s">
        <v>2342</v>
      </c>
      <c r="N737" s="102" t="s">
        <v>2343</v>
      </c>
      <c r="O737" s="102" t="s">
        <v>383</v>
      </c>
      <c r="P737" s="103">
        <v>1</v>
      </c>
      <c r="Q737" s="105">
        <v>27000000</v>
      </c>
      <c r="R737" s="103">
        <v>48</v>
      </c>
      <c r="S737" s="105">
        <v>562500</v>
      </c>
      <c r="T737" s="105">
        <v>27000000</v>
      </c>
      <c r="U737" s="105">
        <v>0</v>
      </c>
      <c r="V737" s="105">
        <v>0</v>
      </c>
      <c r="W737" s="105">
        <v>0</v>
      </c>
      <c r="X737" s="105">
        <v>0</v>
      </c>
      <c r="Y737" s="105">
        <v>0</v>
      </c>
      <c r="Z737" s="105">
        <v>0</v>
      </c>
      <c r="AA737" s="105">
        <v>0</v>
      </c>
      <c r="AB737" s="105">
        <v>0</v>
      </c>
      <c r="AC737" s="8">
        <f t="shared" si="77"/>
        <v>27000000</v>
      </c>
      <c r="AD737" s="8">
        <f t="shared" si="78"/>
        <v>0</v>
      </c>
      <c r="AE737" s="8">
        <f t="shared" si="79"/>
        <v>0</v>
      </c>
      <c r="AF737" s="106">
        <f t="shared" si="80"/>
        <v>0</v>
      </c>
      <c r="AG737" s="8">
        <f t="shared" si="81"/>
        <v>0</v>
      </c>
      <c r="AH737" s="8">
        <f>IF($O737="Aktif",MAX(0,MIN($AE737,$AD737-SUM($AG737:AG737))),0)</f>
        <v>0</v>
      </c>
      <c r="AI737" s="8">
        <f>IF($O737="Aktif",MAX(0,MIN($AE737,$AD737-SUM($AG737:AH737))),0)</f>
        <v>0</v>
      </c>
      <c r="AJ737" s="8">
        <f>IF($O737="Aktif",MAX(0,MIN($AE737,$AD737-SUM($AG737:AI737))),0)</f>
        <v>0</v>
      </c>
      <c r="AK737" s="8">
        <f>IF($O737="Aktif",MAX(0,MIN($AE737,$AD737-SUM($AG737:AJ737))),0)</f>
        <v>0</v>
      </c>
      <c r="AL737" s="8">
        <f>IF($O737="Aktif",MAX(0,MIN($AE737,$AD737-SUM($AG737:AK737))),0)</f>
        <v>0</v>
      </c>
      <c r="AM737" s="8">
        <f>IF($O737="Aktif",MAX(0,MIN($AE737,$AD737-SUM($AG737:AL737))),0)</f>
        <v>0</v>
      </c>
      <c r="AN737" s="8">
        <f>IF($O737="Aktif",MAX(0,MIN($AE737,$AD737-SUM($AG737:AM737))),0)</f>
        <v>0</v>
      </c>
      <c r="AO737" s="8">
        <f>IF($O737="Aktif",MAX(0,MIN($AE737,$AD737-SUM($AG737:AN737))),0)</f>
        <v>0</v>
      </c>
      <c r="AP737" s="8">
        <f>IF($O737="Aktif",MAX(0,MIN($AE737,$AD737-SUM($AG737:AO737))),0)</f>
        <v>0</v>
      </c>
      <c r="AQ737" s="8">
        <f>IF($O737="Aktif",MAX(0,MIN($AE737,$AD737-SUM($AG737:AP737))),0)</f>
        <v>0</v>
      </c>
      <c r="AR737" s="8">
        <f>IF($O737="Aktif",MAX(0,MIN($AE737,$AD737-SUM($AG737:AQ737))),0)</f>
        <v>0</v>
      </c>
      <c r="AS737" s="8">
        <f>IF($O737="Aktif",MAX(0,MIN($AE737,$AD737-SUM($AG737:AR737))),0)</f>
        <v>0</v>
      </c>
      <c r="AT737" s="8">
        <f>IF($O737="Aktif",MAX(0,MIN($AE737,$AD737-SUM($AG737:AS737))),0)</f>
        <v>0</v>
      </c>
      <c r="AU737" s="8">
        <f>IF($O737="Aktif",MAX(0,MIN($AE737,$AD737-SUM($AG737:AT737))),0)</f>
        <v>0</v>
      </c>
      <c r="AV737" s="8">
        <f>IF($O737="Aktif",MAX(0,MIN($AE737,$AD737-SUM($AG737:AU737))),0)</f>
        <v>0</v>
      </c>
      <c r="AW737" s="8">
        <f t="shared" si="82"/>
        <v>0</v>
      </c>
      <c r="AX737" s="8">
        <f t="shared" si="83"/>
        <v>0</v>
      </c>
    </row>
    <row r="738" spans="1:50" ht="15" customHeight="1" x14ac:dyDescent="0.35">
      <c r="A738" s="102">
        <v>732</v>
      </c>
      <c r="B738" s="102" t="s">
        <v>1326</v>
      </c>
      <c r="C738" s="103">
        <v>366</v>
      </c>
      <c r="D738" s="102" t="s">
        <v>185</v>
      </c>
      <c r="E738" s="102" t="s">
        <v>479</v>
      </c>
      <c r="F738" s="102" t="s">
        <v>2332</v>
      </c>
      <c r="G738" s="102" t="s">
        <v>2333</v>
      </c>
      <c r="H738" s="102" t="s">
        <v>2334</v>
      </c>
      <c r="I738" s="102" t="s">
        <v>63</v>
      </c>
      <c r="J738" s="102"/>
      <c r="K738" s="102" t="s">
        <v>950</v>
      </c>
      <c r="L738" s="104">
        <v>43966</v>
      </c>
      <c r="M738" s="102" t="s">
        <v>2344</v>
      </c>
      <c r="N738" s="102" t="s">
        <v>2345</v>
      </c>
      <c r="O738" s="102" t="s">
        <v>383</v>
      </c>
      <c r="P738" s="103">
        <v>1</v>
      </c>
      <c r="Q738" s="105">
        <v>1250000</v>
      </c>
      <c r="R738" s="103">
        <v>48</v>
      </c>
      <c r="S738" s="105">
        <v>26041.666666666701</v>
      </c>
      <c r="T738" s="105">
        <v>1250000.0066666701</v>
      </c>
      <c r="U738" s="105">
        <v>0</v>
      </c>
      <c r="V738" s="105">
        <v>0</v>
      </c>
      <c r="W738" s="105">
        <v>0</v>
      </c>
      <c r="X738" s="105">
        <v>0</v>
      </c>
      <c r="Y738" s="105">
        <v>0</v>
      </c>
      <c r="Z738" s="105">
        <v>0</v>
      </c>
      <c r="AA738" s="105">
        <v>0</v>
      </c>
      <c r="AB738" s="105">
        <v>0</v>
      </c>
      <c r="AC738" s="8">
        <f t="shared" si="77"/>
        <v>1250000.0066666701</v>
      </c>
      <c r="AD738" s="8">
        <f t="shared" si="78"/>
        <v>-6.6666700877249241E-3</v>
      </c>
      <c r="AE738" s="8">
        <f t="shared" si="79"/>
        <v>0</v>
      </c>
      <c r="AF738" s="106">
        <f t="shared" si="80"/>
        <v>0</v>
      </c>
      <c r="AG738" s="8">
        <f t="shared" si="81"/>
        <v>0</v>
      </c>
      <c r="AH738" s="8">
        <f>IF($O738="Aktif",MAX(0,MIN($AE738,$AD738-SUM($AG738:AG738))),0)</f>
        <v>0</v>
      </c>
      <c r="AI738" s="8">
        <f>IF($O738="Aktif",MAX(0,MIN($AE738,$AD738-SUM($AG738:AH738))),0)</f>
        <v>0</v>
      </c>
      <c r="AJ738" s="8">
        <f>IF($O738="Aktif",MAX(0,MIN($AE738,$AD738-SUM($AG738:AI738))),0)</f>
        <v>0</v>
      </c>
      <c r="AK738" s="8">
        <f>IF($O738="Aktif",MAX(0,MIN($AE738,$AD738-SUM($AG738:AJ738))),0)</f>
        <v>0</v>
      </c>
      <c r="AL738" s="8">
        <f>IF($O738="Aktif",MAX(0,MIN($AE738,$AD738-SUM($AG738:AK738))),0)</f>
        <v>0</v>
      </c>
      <c r="AM738" s="8">
        <f>IF($O738="Aktif",MAX(0,MIN($AE738,$AD738-SUM($AG738:AL738))),0)</f>
        <v>0</v>
      </c>
      <c r="AN738" s="8">
        <f>IF($O738="Aktif",MAX(0,MIN($AE738,$AD738-SUM($AG738:AM738))),0)</f>
        <v>0</v>
      </c>
      <c r="AO738" s="8">
        <f>IF($O738="Aktif",MAX(0,MIN($AE738,$AD738-SUM($AG738:AN738))),0)</f>
        <v>0</v>
      </c>
      <c r="AP738" s="8">
        <f>IF($O738="Aktif",MAX(0,MIN($AE738,$AD738-SUM($AG738:AO738))),0)</f>
        <v>0</v>
      </c>
      <c r="AQ738" s="8">
        <f>IF($O738="Aktif",MAX(0,MIN($AE738,$AD738-SUM($AG738:AP738))),0)</f>
        <v>0</v>
      </c>
      <c r="AR738" s="8">
        <f>IF($O738="Aktif",MAX(0,MIN($AE738,$AD738-SUM($AG738:AQ738))),0)</f>
        <v>0</v>
      </c>
      <c r="AS738" s="8">
        <f>IF($O738="Aktif",MAX(0,MIN($AE738,$AD738-SUM($AG738:AR738))),0)</f>
        <v>0</v>
      </c>
      <c r="AT738" s="8">
        <f>IF($O738="Aktif",MAX(0,MIN($AE738,$AD738-SUM($AG738:AS738))),0)</f>
        <v>0</v>
      </c>
      <c r="AU738" s="8">
        <f>IF($O738="Aktif",MAX(0,MIN($AE738,$AD738-SUM($AG738:AT738))),0)</f>
        <v>0</v>
      </c>
      <c r="AV738" s="8">
        <f>IF($O738="Aktif",MAX(0,MIN($AE738,$AD738-SUM($AG738:AU738))),0)</f>
        <v>0</v>
      </c>
      <c r="AW738" s="8">
        <f t="shared" si="82"/>
        <v>0</v>
      </c>
      <c r="AX738" s="8">
        <f t="shared" si="83"/>
        <v>-6.6666700877249241E-3</v>
      </c>
    </row>
    <row r="739" spans="1:50" ht="15" customHeight="1" x14ac:dyDescent="0.35">
      <c r="A739" s="102">
        <v>733</v>
      </c>
      <c r="B739" s="102" t="s">
        <v>1326</v>
      </c>
      <c r="C739" s="103">
        <v>367</v>
      </c>
      <c r="D739" s="102" t="s">
        <v>185</v>
      </c>
      <c r="E739" s="102" t="s">
        <v>479</v>
      </c>
      <c r="F739" s="102" t="s">
        <v>2332</v>
      </c>
      <c r="G739" s="102" t="s">
        <v>2333</v>
      </c>
      <c r="H739" s="102" t="s">
        <v>2334</v>
      </c>
      <c r="I739" s="102" t="s">
        <v>63</v>
      </c>
      <c r="J739" s="102"/>
      <c r="K739" s="102" t="s">
        <v>950</v>
      </c>
      <c r="L739" s="104">
        <v>43990</v>
      </c>
      <c r="M739" s="102" t="s">
        <v>2346</v>
      </c>
      <c r="N739" s="102" t="s">
        <v>2347</v>
      </c>
      <c r="O739" s="102" t="s">
        <v>383</v>
      </c>
      <c r="P739" s="103">
        <v>12</v>
      </c>
      <c r="Q739" s="105">
        <v>1260000</v>
      </c>
      <c r="R739" s="103">
        <v>48</v>
      </c>
      <c r="S739" s="105">
        <v>26250</v>
      </c>
      <c r="T739" s="105">
        <v>1260000</v>
      </c>
      <c r="U739" s="105">
        <v>0</v>
      </c>
      <c r="V739" s="105">
        <v>0</v>
      </c>
      <c r="W739" s="105">
        <v>0</v>
      </c>
      <c r="X739" s="105">
        <v>0</v>
      </c>
      <c r="Y739" s="105">
        <v>0</v>
      </c>
      <c r="Z739" s="105">
        <v>0</v>
      </c>
      <c r="AA739" s="105">
        <v>0</v>
      </c>
      <c r="AB739" s="105">
        <v>0</v>
      </c>
      <c r="AC739" s="8">
        <f t="shared" si="77"/>
        <v>1260000</v>
      </c>
      <c r="AD739" s="8">
        <f t="shared" si="78"/>
        <v>0</v>
      </c>
      <c r="AE739" s="8">
        <f t="shared" si="79"/>
        <v>0</v>
      </c>
      <c r="AF739" s="106">
        <f t="shared" si="80"/>
        <v>0</v>
      </c>
      <c r="AG739" s="8">
        <f t="shared" si="81"/>
        <v>0</v>
      </c>
      <c r="AH739" s="8">
        <f>IF($O739="Aktif",MAX(0,MIN($AE739,$AD739-SUM($AG739:AG739))),0)</f>
        <v>0</v>
      </c>
      <c r="AI739" s="8">
        <f>IF($O739="Aktif",MAX(0,MIN($AE739,$AD739-SUM($AG739:AH739))),0)</f>
        <v>0</v>
      </c>
      <c r="AJ739" s="8">
        <f>IF($O739="Aktif",MAX(0,MIN($AE739,$AD739-SUM($AG739:AI739))),0)</f>
        <v>0</v>
      </c>
      <c r="AK739" s="8">
        <f>IF($O739="Aktif",MAX(0,MIN($AE739,$AD739-SUM($AG739:AJ739))),0)</f>
        <v>0</v>
      </c>
      <c r="AL739" s="8">
        <f>IF($O739="Aktif",MAX(0,MIN($AE739,$AD739-SUM($AG739:AK739))),0)</f>
        <v>0</v>
      </c>
      <c r="AM739" s="8">
        <f>IF($O739="Aktif",MAX(0,MIN($AE739,$AD739-SUM($AG739:AL739))),0)</f>
        <v>0</v>
      </c>
      <c r="AN739" s="8">
        <f>IF($O739="Aktif",MAX(0,MIN($AE739,$AD739-SUM($AG739:AM739))),0)</f>
        <v>0</v>
      </c>
      <c r="AO739" s="8">
        <f>IF($O739="Aktif",MAX(0,MIN($AE739,$AD739-SUM($AG739:AN739))),0)</f>
        <v>0</v>
      </c>
      <c r="AP739" s="8">
        <f>IF($O739="Aktif",MAX(0,MIN($AE739,$AD739-SUM($AG739:AO739))),0)</f>
        <v>0</v>
      </c>
      <c r="AQ739" s="8">
        <f>IF($O739="Aktif",MAX(0,MIN($AE739,$AD739-SUM($AG739:AP739))),0)</f>
        <v>0</v>
      </c>
      <c r="AR739" s="8">
        <f>IF($O739="Aktif",MAX(0,MIN($AE739,$AD739-SUM($AG739:AQ739))),0)</f>
        <v>0</v>
      </c>
      <c r="AS739" s="8">
        <f>IF($O739="Aktif",MAX(0,MIN($AE739,$AD739-SUM($AG739:AR739))),0)</f>
        <v>0</v>
      </c>
      <c r="AT739" s="8">
        <f>IF($O739="Aktif",MAX(0,MIN($AE739,$AD739-SUM($AG739:AS739))),0)</f>
        <v>0</v>
      </c>
      <c r="AU739" s="8">
        <f>IF($O739="Aktif",MAX(0,MIN($AE739,$AD739-SUM($AG739:AT739))),0)</f>
        <v>0</v>
      </c>
      <c r="AV739" s="8">
        <f>IF($O739="Aktif",MAX(0,MIN($AE739,$AD739-SUM($AG739:AU739))),0)</f>
        <v>0</v>
      </c>
      <c r="AW739" s="8">
        <f t="shared" si="82"/>
        <v>0</v>
      </c>
      <c r="AX739" s="8">
        <f t="shared" si="83"/>
        <v>0</v>
      </c>
    </row>
    <row r="740" spans="1:50" ht="15" customHeight="1" x14ac:dyDescent="0.35">
      <c r="A740" s="102">
        <v>734</v>
      </c>
      <c r="B740" s="102" t="s">
        <v>1326</v>
      </c>
      <c r="C740" s="103">
        <v>368</v>
      </c>
      <c r="D740" s="102" t="s">
        <v>185</v>
      </c>
      <c r="E740" s="102" t="s">
        <v>479</v>
      </c>
      <c r="F740" s="102" t="s">
        <v>2332</v>
      </c>
      <c r="G740" s="102" t="s">
        <v>2333</v>
      </c>
      <c r="H740" s="102" t="s">
        <v>2334</v>
      </c>
      <c r="I740" s="102" t="s">
        <v>63</v>
      </c>
      <c r="J740" s="102"/>
      <c r="K740" s="102" t="s">
        <v>950</v>
      </c>
      <c r="L740" s="104">
        <v>44044</v>
      </c>
      <c r="M740" s="102" t="s">
        <v>2348</v>
      </c>
      <c r="N740" s="102" t="s">
        <v>2349</v>
      </c>
      <c r="O740" s="102" t="s">
        <v>383</v>
      </c>
      <c r="P740" s="103">
        <v>1</v>
      </c>
      <c r="Q740" s="105">
        <v>5378182</v>
      </c>
      <c r="R740" s="103">
        <v>48</v>
      </c>
      <c r="S740" s="105">
        <v>112045.45833333299</v>
      </c>
      <c r="T740" s="105">
        <v>5378182</v>
      </c>
      <c r="U740" s="105">
        <v>0</v>
      </c>
      <c r="V740" s="105">
        <v>0</v>
      </c>
      <c r="W740" s="105">
        <v>0</v>
      </c>
      <c r="X740" s="105">
        <v>0</v>
      </c>
      <c r="Y740" s="105">
        <v>0</v>
      </c>
      <c r="Z740" s="105">
        <v>0</v>
      </c>
      <c r="AA740" s="105">
        <v>0</v>
      </c>
      <c r="AB740" s="105">
        <v>0</v>
      </c>
      <c r="AC740" s="8">
        <f t="shared" si="77"/>
        <v>5378182</v>
      </c>
      <c r="AD740" s="8">
        <f t="shared" si="78"/>
        <v>0</v>
      </c>
      <c r="AE740" s="8">
        <f t="shared" si="79"/>
        <v>0</v>
      </c>
      <c r="AF740" s="106">
        <f t="shared" si="80"/>
        <v>0</v>
      </c>
      <c r="AG740" s="8">
        <f t="shared" si="81"/>
        <v>0</v>
      </c>
      <c r="AH740" s="8">
        <f>IF($O740="Aktif",MAX(0,MIN($AE740,$AD740-SUM($AG740:AG740))),0)</f>
        <v>0</v>
      </c>
      <c r="AI740" s="8">
        <f>IF($O740="Aktif",MAX(0,MIN($AE740,$AD740-SUM($AG740:AH740))),0)</f>
        <v>0</v>
      </c>
      <c r="AJ740" s="8">
        <f>IF($O740="Aktif",MAX(0,MIN($AE740,$AD740-SUM($AG740:AI740))),0)</f>
        <v>0</v>
      </c>
      <c r="AK740" s="8">
        <f>IF($O740="Aktif",MAX(0,MIN($AE740,$AD740-SUM($AG740:AJ740))),0)</f>
        <v>0</v>
      </c>
      <c r="AL740" s="8">
        <f>IF($O740="Aktif",MAX(0,MIN($AE740,$AD740-SUM($AG740:AK740))),0)</f>
        <v>0</v>
      </c>
      <c r="AM740" s="8">
        <f>IF($O740="Aktif",MAX(0,MIN($AE740,$AD740-SUM($AG740:AL740))),0)</f>
        <v>0</v>
      </c>
      <c r="AN740" s="8">
        <f>IF($O740="Aktif",MAX(0,MIN($AE740,$AD740-SUM($AG740:AM740))),0)</f>
        <v>0</v>
      </c>
      <c r="AO740" s="8">
        <f>IF($O740="Aktif",MAX(0,MIN($AE740,$AD740-SUM($AG740:AN740))),0)</f>
        <v>0</v>
      </c>
      <c r="AP740" s="8">
        <f>IF($O740="Aktif",MAX(0,MIN($AE740,$AD740-SUM($AG740:AO740))),0)</f>
        <v>0</v>
      </c>
      <c r="AQ740" s="8">
        <f>IF($O740="Aktif",MAX(0,MIN($AE740,$AD740-SUM($AG740:AP740))),0)</f>
        <v>0</v>
      </c>
      <c r="AR740" s="8">
        <f>IF($O740="Aktif",MAX(0,MIN($AE740,$AD740-SUM($AG740:AQ740))),0)</f>
        <v>0</v>
      </c>
      <c r="AS740" s="8">
        <f>IF($O740="Aktif",MAX(0,MIN($AE740,$AD740-SUM($AG740:AR740))),0)</f>
        <v>0</v>
      </c>
      <c r="AT740" s="8">
        <f>IF($O740="Aktif",MAX(0,MIN($AE740,$AD740-SUM($AG740:AS740))),0)</f>
        <v>0</v>
      </c>
      <c r="AU740" s="8">
        <f>IF($O740="Aktif",MAX(0,MIN($AE740,$AD740-SUM($AG740:AT740))),0)</f>
        <v>0</v>
      </c>
      <c r="AV740" s="8">
        <f>IF($O740="Aktif",MAX(0,MIN($AE740,$AD740-SUM($AG740:AU740))),0)</f>
        <v>0</v>
      </c>
      <c r="AW740" s="8">
        <f t="shared" si="82"/>
        <v>0</v>
      </c>
      <c r="AX740" s="8">
        <f t="shared" si="83"/>
        <v>0</v>
      </c>
    </row>
    <row r="741" spans="1:50" ht="15" customHeight="1" x14ac:dyDescent="0.35">
      <c r="A741" s="102">
        <v>735</v>
      </c>
      <c r="B741" s="102" t="s">
        <v>1326</v>
      </c>
      <c r="C741" s="103">
        <v>369</v>
      </c>
      <c r="D741" s="102" t="s">
        <v>185</v>
      </c>
      <c r="E741" s="102" t="s">
        <v>479</v>
      </c>
      <c r="F741" s="102" t="s">
        <v>2332</v>
      </c>
      <c r="G741" s="102" t="s">
        <v>2333</v>
      </c>
      <c r="H741" s="102" t="s">
        <v>2334</v>
      </c>
      <c r="I741" s="102" t="s">
        <v>63</v>
      </c>
      <c r="J741" s="102"/>
      <c r="K741" s="102" t="s">
        <v>950</v>
      </c>
      <c r="L741" s="104">
        <v>44088</v>
      </c>
      <c r="M741" s="102" t="s">
        <v>2350</v>
      </c>
      <c r="N741" s="102" t="s">
        <v>2351</v>
      </c>
      <c r="O741" s="102" t="s">
        <v>383</v>
      </c>
      <c r="P741" s="103">
        <v>1</v>
      </c>
      <c r="Q741" s="105">
        <v>1200000</v>
      </c>
      <c r="R741" s="103">
        <v>48</v>
      </c>
      <c r="S741" s="105">
        <v>25000</v>
      </c>
      <c r="T741" s="105">
        <v>1200000</v>
      </c>
      <c r="U741" s="105">
        <v>0</v>
      </c>
      <c r="V741" s="105">
        <v>0</v>
      </c>
      <c r="W741" s="105">
        <v>0</v>
      </c>
      <c r="X741" s="105">
        <v>0</v>
      </c>
      <c r="Y741" s="105">
        <v>0</v>
      </c>
      <c r="Z741" s="105">
        <v>0</v>
      </c>
      <c r="AA741" s="105">
        <v>0</v>
      </c>
      <c r="AB741" s="105">
        <v>0</v>
      </c>
      <c r="AC741" s="8">
        <f t="shared" si="77"/>
        <v>1200000</v>
      </c>
      <c r="AD741" s="8">
        <f t="shared" si="78"/>
        <v>0</v>
      </c>
      <c r="AE741" s="8">
        <f t="shared" si="79"/>
        <v>0</v>
      </c>
      <c r="AF741" s="106">
        <f t="shared" si="80"/>
        <v>0</v>
      </c>
      <c r="AG741" s="8">
        <f t="shared" si="81"/>
        <v>0</v>
      </c>
      <c r="AH741" s="8">
        <f>IF($O741="Aktif",MAX(0,MIN($AE741,$AD741-SUM($AG741:AG741))),0)</f>
        <v>0</v>
      </c>
      <c r="AI741" s="8">
        <f>IF($O741="Aktif",MAX(0,MIN($AE741,$AD741-SUM($AG741:AH741))),0)</f>
        <v>0</v>
      </c>
      <c r="AJ741" s="8">
        <f>IF($O741="Aktif",MAX(0,MIN($AE741,$AD741-SUM($AG741:AI741))),0)</f>
        <v>0</v>
      </c>
      <c r="AK741" s="8">
        <f>IF($O741="Aktif",MAX(0,MIN($AE741,$AD741-SUM($AG741:AJ741))),0)</f>
        <v>0</v>
      </c>
      <c r="AL741" s="8">
        <f>IF($O741="Aktif",MAX(0,MIN($AE741,$AD741-SUM($AG741:AK741))),0)</f>
        <v>0</v>
      </c>
      <c r="AM741" s="8">
        <f>IF($O741="Aktif",MAX(0,MIN($AE741,$AD741-SUM($AG741:AL741))),0)</f>
        <v>0</v>
      </c>
      <c r="AN741" s="8">
        <f>IF($O741="Aktif",MAX(0,MIN($AE741,$AD741-SUM($AG741:AM741))),0)</f>
        <v>0</v>
      </c>
      <c r="AO741" s="8">
        <f>IF($O741="Aktif",MAX(0,MIN($AE741,$AD741-SUM($AG741:AN741))),0)</f>
        <v>0</v>
      </c>
      <c r="AP741" s="8">
        <f>IF($O741="Aktif",MAX(0,MIN($AE741,$AD741-SUM($AG741:AO741))),0)</f>
        <v>0</v>
      </c>
      <c r="AQ741" s="8">
        <f>IF($O741="Aktif",MAX(0,MIN($AE741,$AD741-SUM($AG741:AP741))),0)</f>
        <v>0</v>
      </c>
      <c r="AR741" s="8">
        <f>IF($O741="Aktif",MAX(0,MIN($AE741,$AD741-SUM($AG741:AQ741))),0)</f>
        <v>0</v>
      </c>
      <c r="AS741" s="8">
        <f>IF($O741="Aktif",MAX(0,MIN($AE741,$AD741-SUM($AG741:AR741))),0)</f>
        <v>0</v>
      </c>
      <c r="AT741" s="8">
        <f>IF($O741="Aktif",MAX(0,MIN($AE741,$AD741-SUM($AG741:AS741))),0)</f>
        <v>0</v>
      </c>
      <c r="AU741" s="8">
        <f>IF($O741="Aktif",MAX(0,MIN($AE741,$AD741-SUM($AG741:AT741))),0)</f>
        <v>0</v>
      </c>
      <c r="AV741" s="8">
        <f>IF($O741="Aktif",MAX(0,MIN($AE741,$AD741-SUM($AG741:AU741))),0)</f>
        <v>0</v>
      </c>
      <c r="AW741" s="8">
        <f t="shared" si="82"/>
        <v>0</v>
      </c>
      <c r="AX741" s="8">
        <f t="shared" si="83"/>
        <v>0</v>
      </c>
    </row>
    <row r="742" spans="1:50" ht="15" customHeight="1" x14ac:dyDescent="0.35">
      <c r="A742" s="102">
        <v>736</v>
      </c>
      <c r="B742" s="102" t="s">
        <v>1326</v>
      </c>
      <c r="C742" s="103">
        <v>370</v>
      </c>
      <c r="D742" s="102" t="s">
        <v>185</v>
      </c>
      <c r="E742" s="102" t="s">
        <v>479</v>
      </c>
      <c r="F742" s="102" t="s">
        <v>2332</v>
      </c>
      <c r="G742" s="102" t="s">
        <v>2333</v>
      </c>
      <c r="H742" s="102" t="s">
        <v>2334</v>
      </c>
      <c r="I742" s="102" t="s">
        <v>63</v>
      </c>
      <c r="J742" s="102"/>
      <c r="K742" s="102" t="s">
        <v>950</v>
      </c>
      <c r="L742" s="104">
        <v>44088</v>
      </c>
      <c r="M742" s="102" t="s">
        <v>2352</v>
      </c>
      <c r="N742" s="102" t="s">
        <v>2353</v>
      </c>
      <c r="O742" s="102" t="s">
        <v>383</v>
      </c>
      <c r="P742" s="103">
        <v>1</v>
      </c>
      <c r="Q742" s="105">
        <v>1200000</v>
      </c>
      <c r="R742" s="103">
        <v>48</v>
      </c>
      <c r="S742" s="105">
        <v>25000</v>
      </c>
      <c r="T742" s="105">
        <v>1200000</v>
      </c>
      <c r="U742" s="105">
        <v>0</v>
      </c>
      <c r="V742" s="105">
        <v>0</v>
      </c>
      <c r="W742" s="105">
        <v>0</v>
      </c>
      <c r="X742" s="105">
        <v>0</v>
      </c>
      <c r="Y742" s="105">
        <v>0</v>
      </c>
      <c r="Z742" s="105">
        <v>0</v>
      </c>
      <c r="AA742" s="105">
        <v>0</v>
      </c>
      <c r="AB742" s="105">
        <v>0</v>
      </c>
      <c r="AC742" s="8">
        <f t="shared" si="77"/>
        <v>1200000</v>
      </c>
      <c r="AD742" s="8">
        <f t="shared" si="78"/>
        <v>0</v>
      </c>
      <c r="AE742" s="8">
        <f t="shared" si="79"/>
        <v>0</v>
      </c>
      <c r="AF742" s="106">
        <f t="shared" si="80"/>
        <v>0</v>
      </c>
      <c r="AG742" s="8">
        <f t="shared" si="81"/>
        <v>0</v>
      </c>
      <c r="AH742" s="8">
        <f>IF($O742="Aktif",MAX(0,MIN($AE742,$AD742-SUM($AG742:AG742))),0)</f>
        <v>0</v>
      </c>
      <c r="AI742" s="8">
        <f>IF($O742="Aktif",MAX(0,MIN($AE742,$AD742-SUM($AG742:AH742))),0)</f>
        <v>0</v>
      </c>
      <c r="AJ742" s="8">
        <f>IF($O742="Aktif",MAX(0,MIN($AE742,$AD742-SUM($AG742:AI742))),0)</f>
        <v>0</v>
      </c>
      <c r="AK742" s="8">
        <f>IF($O742="Aktif",MAX(0,MIN($AE742,$AD742-SUM($AG742:AJ742))),0)</f>
        <v>0</v>
      </c>
      <c r="AL742" s="8">
        <f>IF($O742="Aktif",MAX(0,MIN($AE742,$AD742-SUM($AG742:AK742))),0)</f>
        <v>0</v>
      </c>
      <c r="AM742" s="8">
        <f>IF($O742="Aktif",MAX(0,MIN($AE742,$AD742-SUM($AG742:AL742))),0)</f>
        <v>0</v>
      </c>
      <c r="AN742" s="8">
        <f>IF($O742="Aktif",MAX(0,MIN($AE742,$AD742-SUM($AG742:AM742))),0)</f>
        <v>0</v>
      </c>
      <c r="AO742" s="8">
        <f>IF($O742="Aktif",MAX(0,MIN($AE742,$AD742-SUM($AG742:AN742))),0)</f>
        <v>0</v>
      </c>
      <c r="AP742" s="8">
        <f>IF($O742="Aktif",MAX(0,MIN($AE742,$AD742-SUM($AG742:AO742))),0)</f>
        <v>0</v>
      </c>
      <c r="AQ742" s="8">
        <f>IF($O742="Aktif",MAX(0,MIN($AE742,$AD742-SUM($AG742:AP742))),0)</f>
        <v>0</v>
      </c>
      <c r="AR742" s="8">
        <f>IF($O742="Aktif",MAX(0,MIN($AE742,$AD742-SUM($AG742:AQ742))),0)</f>
        <v>0</v>
      </c>
      <c r="AS742" s="8">
        <f>IF($O742="Aktif",MAX(0,MIN($AE742,$AD742-SUM($AG742:AR742))),0)</f>
        <v>0</v>
      </c>
      <c r="AT742" s="8">
        <f>IF($O742="Aktif",MAX(0,MIN($AE742,$AD742-SUM($AG742:AS742))),0)</f>
        <v>0</v>
      </c>
      <c r="AU742" s="8">
        <f>IF($O742="Aktif",MAX(0,MIN($AE742,$AD742-SUM($AG742:AT742))),0)</f>
        <v>0</v>
      </c>
      <c r="AV742" s="8">
        <f>IF($O742="Aktif",MAX(0,MIN($AE742,$AD742-SUM($AG742:AU742))),0)</f>
        <v>0</v>
      </c>
      <c r="AW742" s="8">
        <f t="shared" si="82"/>
        <v>0</v>
      </c>
      <c r="AX742" s="8">
        <f t="shared" si="83"/>
        <v>0</v>
      </c>
    </row>
    <row r="743" spans="1:50" ht="15" customHeight="1" x14ac:dyDescent="0.35">
      <c r="A743" s="102">
        <v>737</v>
      </c>
      <c r="B743" s="102" t="s">
        <v>1326</v>
      </c>
      <c r="C743" s="103">
        <v>371</v>
      </c>
      <c r="D743" s="102" t="s">
        <v>185</v>
      </c>
      <c r="E743" s="102" t="s">
        <v>479</v>
      </c>
      <c r="F743" s="102" t="s">
        <v>2332</v>
      </c>
      <c r="G743" s="102" t="s">
        <v>2333</v>
      </c>
      <c r="H743" s="102" t="s">
        <v>2334</v>
      </c>
      <c r="I743" s="102" t="s">
        <v>63</v>
      </c>
      <c r="J743" s="102"/>
      <c r="K743" s="102" t="s">
        <v>950</v>
      </c>
      <c r="L743" s="104">
        <v>44118</v>
      </c>
      <c r="M743" s="102" t="s">
        <v>2354</v>
      </c>
      <c r="N743" s="102" t="s">
        <v>2355</v>
      </c>
      <c r="O743" s="102" t="s">
        <v>383</v>
      </c>
      <c r="P743" s="103">
        <v>1</v>
      </c>
      <c r="Q743" s="105">
        <v>3400000</v>
      </c>
      <c r="R743" s="103">
        <v>48</v>
      </c>
      <c r="S743" s="105">
        <v>70833.333333333299</v>
      </c>
      <c r="T743" s="105">
        <v>3400000</v>
      </c>
      <c r="U743" s="105">
        <v>0</v>
      </c>
      <c r="V743" s="105">
        <v>0</v>
      </c>
      <c r="W743" s="105">
        <v>0</v>
      </c>
      <c r="X743" s="105">
        <v>0</v>
      </c>
      <c r="Y743" s="105">
        <v>0</v>
      </c>
      <c r="Z743" s="105">
        <v>0</v>
      </c>
      <c r="AA743" s="105">
        <v>0</v>
      </c>
      <c r="AB743" s="105">
        <v>0</v>
      </c>
      <c r="AC743" s="8">
        <f t="shared" si="77"/>
        <v>3400000</v>
      </c>
      <c r="AD743" s="8">
        <f t="shared" si="78"/>
        <v>0</v>
      </c>
      <c r="AE743" s="8">
        <f t="shared" si="79"/>
        <v>0</v>
      </c>
      <c r="AF743" s="106">
        <f t="shared" si="80"/>
        <v>0</v>
      </c>
      <c r="AG743" s="8">
        <f t="shared" si="81"/>
        <v>0</v>
      </c>
      <c r="AH743" s="8">
        <f>IF($O743="Aktif",MAX(0,MIN($AE743,$AD743-SUM($AG743:AG743))),0)</f>
        <v>0</v>
      </c>
      <c r="AI743" s="8">
        <f>IF($O743="Aktif",MAX(0,MIN($AE743,$AD743-SUM($AG743:AH743))),0)</f>
        <v>0</v>
      </c>
      <c r="AJ743" s="8">
        <f>IF($O743="Aktif",MAX(0,MIN($AE743,$AD743-SUM($AG743:AI743))),0)</f>
        <v>0</v>
      </c>
      <c r="AK743" s="8">
        <f>IF($O743="Aktif",MAX(0,MIN($AE743,$AD743-SUM($AG743:AJ743))),0)</f>
        <v>0</v>
      </c>
      <c r="AL743" s="8">
        <f>IF($O743="Aktif",MAX(0,MIN($AE743,$AD743-SUM($AG743:AK743))),0)</f>
        <v>0</v>
      </c>
      <c r="AM743" s="8">
        <f>IF($O743="Aktif",MAX(0,MIN($AE743,$AD743-SUM($AG743:AL743))),0)</f>
        <v>0</v>
      </c>
      <c r="AN743" s="8">
        <f>IF($O743="Aktif",MAX(0,MIN($AE743,$AD743-SUM($AG743:AM743))),0)</f>
        <v>0</v>
      </c>
      <c r="AO743" s="8">
        <f>IF($O743="Aktif",MAX(0,MIN($AE743,$AD743-SUM($AG743:AN743))),0)</f>
        <v>0</v>
      </c>
      <c r="AP743" s="8">
        <f>IF($O743="Aktif",MAX(0,MIN($AE743,$AD743-SUM($AG743:AO743))),0)</f>
        <v>0</v>
      </c>
      <c r="AQ743" s="8">
        <f>IF($O743="Aktif",MAX(0,MIN($AE743,$AD743-SUM($AG743:AP743))),0)</f>
        <v>0</v>
      </c>
      <c r="AR743" s="8">
        <f>IF($O743="Aktif",MAX(0,MIN($AE743,$AD743-SUM($AG743:AQ743))),0)</f>
        <v>0</v>
      </c>
      <c r="AS743" s="8">
        <f>IF($O743="Aktif",MAX(0,MIN($AE743,$AD743-SUM($AG743:AR743))),0)</f>
        <v>0</v>
      </c>
      <c r="AT743" s="8">
        <f>IF($O743="Aktif",MAX(0,MIN($AE743,$AD743-SUM($AG743:AS743))),0)</f>
        <v>0</v>
      </c>
      <c r="AU743" s="8">
        <f>IF($O743="Aktif",MAX(0,MIN($AE743,$AD743-SUM($AG743:AT743))),0)</f>
        <v>0</v>
      </c>
      <c r="AV743" s="8">
        <f>IF($O743="Aktif",MAX(0,MIN($AE743,$AD743-SUM($AG743:AU743))),0)</f>
        <v>0</v>
      </c>
      <c r="AW743" s="8">
        <f t="shared" si="82"/>
        <v>0</v>
      </c>
      <c r="AX743" s="8">
        <f t="shared" si="83"/>
        <v>0</v>
      </c>
    </row>
    <row r="744" spans="1:50" ht="15" customHeight="1" x14ac:dyDescent="0.35">
      <c r="A744" s="102">
        <v>738</v>
      </c>
      <c r="B744" s="102" t="s">
        <v>1326</v>
      </c>
      <c r="C744" s="103">
        <v>372</v>
      </c>
      <c r="D744" s="102" t="s">
        <v>185</v>
      </c>
      <c r="E744" s="102" t="s">
        <v>479</v>
      </c>
      <c r="F744" s="102" t="s">
        <v>2332</v>
      </c>
      <c r="G744" s="102" t="s">
        <v>2333</v>
      </c>
      <c r="H744" s="102" t="s">
        <v>2334</v>
      </c>
      <c r="I744" s="102" t="s">
        <v>63</v>
      </c>
      <c r="J744" s="102"/>
      <c r="K744" s="102" t="s">
        <v>950</v>
      </c>
      <c r="L744" s="104">
        <v>44120</v>
      </c>
      <c r="M744" s="102" t="s">
        <v>2356</v>
      </c>
      <c r="N744" s="102" t="s">
        <v>2357</v>
      </c>
      <c r="O744" s="102" t="s">
        <v>383</v>
      </c>
      <c r="P744" s="103">
        <v>1</v>
      </c>
      <c r="Q744" s="105">
        <v>15000000</v>
      </c>
      <c r="R744" s="103">
        <v>48</v>
      </c>
      <c r="S744" s="105">
        <v>312500</v>
      </c>
      <c r="T744" s="105">
        <v>15000000</v>
      </c>
      <c r="U744" s="105">
        <v>0</v>
      </c>
      <c r="V744" s="105">
        <v>0</v>
      </c>
      <c r="W744" s="105">
        <v>0</v>
      </c>
      <c r="X744" s="105">
        <v>0</v>
      </c>
      <c r="Y744" s="105">
        <v>0</v>
      </c>
      <c r="Z744" s="105">
        <v>0</v>
      </c>
      <c r="AA744" s="105">
        <v>0</v>
      </c>
      <c r="AB744" s="105">
        <v>0</v>
      </c>
      <c r="AC744" s="8">
        <f t="shared" si="77"/>
        <v>15000000</v>
      </c>
      <c r="AD744" s="8">
        <f t="shared" si="78"/>
        <v>0</v>
      </c>
      <c r="AE744" s="8">
        <f t="shared" si="79"/>
        <v>0</v>
      </c>
      <c r="AF744" s="106">
        <f t="shared" si="80"/>
        <v>0</v>
      </c>
      <c r="AG744" s="8">
        <f t="shared" si="81"/>
        <v>0</v>
      </c>
      <c r="AH744" s="8">
        <f>IF($O744="Aktif",MAX(0,MIN($AE744,$AD744-SUM($AG744:AG744))),0)</f>
        <v>0</v>
      </c>
      <c r="AI744" s="8">
        <f>IF($O744="Aktif",MAX(0,MIN($AE744,$AD744-SUM($AG744:AH744))),0)</f>
        <v>0</v>
      </c>
      <c r="AJ744" s="8">
        <f>IF($O744="Aktif",MAX(0,MIN($AE744,$AD744-SUM($AG744:AI744))),0)</f>
        <v>0</v>
      </c>
      <c r="AK744" s="8">
        <f>IF($O744="Aktif",MAX(0,MIN($AE744,$AD744-SUM($AG744:AJ744))),0)</f>
        <v>0</v>
      </c>
      <c r="AL744" s="8">
        <f>IF($O744="Aktif",MAX(0,MIN($AE744,$AD744-SUM($AG744:AK744))),0)</f>
        <v>0</v>
      </c>
      <c r="AM744" s="8">
        <f>IF($O744="Aktif",MAX(0,MIN($AE744,$AD744-SUM($AG744:AL744))),0)</f>
        <v>0</v>
      </c>
      <c r="AN744" s="8">
        <f>IF($O744="Aktif",MAX(0,MIN($AE744,$AD744-SUM($AG744:AM744))),0)</f>
        <v>0</v>
      </c>
      <c r="AO744" s="8">
        <f>IF($O744="Aktif",MAX(0,MIN($AE744,$AD744-SUM($AG744:AN744))),0)</f>
        <v>0</v>
      </c>
      <c r="AP744" s="8">
        <f>IF($O744="Aktif",MAX(0,MIN($AE744,$AD744-SUM($AG744:AO744))),0)</f>
        <v>0</v>
      </c>
      <c r="AQ744" s="8">
        <f>IF($O744="Aktif",MAX(0,MIN($AE744,$AD744-SUM($AG744:AP744))),0)</f>
        <v>0</v>
      </c>
      <c r="AR744" s="8">
        <f>IF($O744="Aktif",MAX(0,MIN($AE744,$AD744-SUM($AG744:AQ744))),0)</f>
        <v>0</v>
      </c>
      <c r="AS744" s="8">
        <f>IF($O744="Aktif",MAX(0,MIN($AE744,$AD744-SUM($AG744:AR744))),0)</f>
        <v>0</v>
      </c>
      <c r="AT744" s="8">
        <f>IF($O744="Aktif",MAX(0,MIN($AE744,$AD744-SUM($AG744:AS744))),0)</f>
        <v>0</v>
      </c>
      <c r="AU744" s="8">
        <f>IF($O744="Aktif",MAX(0,MIN($AE744,$AD744-SUM($AG744:AT744))),0)</f>
        <v>0</v>
      </c>
      <c r="AV744" s="8">
        <f>IF($O744="Aktif",MAX(0,MIN($AE744,$AD744-SUM($AG744:AU744))),0)</f>
        <v>0</v>
      </c>
      <c r="AW744" s="8">
        <f t="shared" si="82"/>
        <v>0</v>
      </c>
      <c r="AX744" s="8">
        <f t="shared" si="83"/>
        <v>0</v>
      </c>
    </row>
    <row r="745" spans="1:50" ht="15" customHeight="1" x14ac:dyDescent="0.35">
      <c r="A745" s="102">
        <v>739</v>
      </c>
      <c r="B745" s="102" t="s">
        <v>1326</v>
      </c>
      <c r="C745" s="103">
        <v>373</v>
      </c>
      <c r="D745" s="102" t="s">
        <v>185</v>
      </c>
      <c r="E745" s="102" t="s">
        <v>479</v>
      </c>
      <c r="F745" s="102" t="s">
        <v>2332</v>
      </c>
      <c r="G745" s="102" t="s">
        <v>2333</v>
      </c>
      <c r="H745" s="102" t="s">
        <v>2334</v>
      </c>
      <c r="I745" s="102" t="s">
        <v>63</v>
      </c>
      <c r="J745" s="102"/>
      <c r="K745" s="102" t="s">
        <v>950</v>
      </c>
      <c r="L745" s="104">
        <v>44123</v>
      </c>
      <c r="M745" s="102" t="s">
        <v>2358</v>
      </c>
      <c r="N745" s="102" t="s">
        <v>2359</v>
      </c>
      <c r="O745" s="102" t="s">
        <v>383</v>
      </c>
      <c r="P745" s="103">
        <v>36</v>
      </c>
      <c r="Q745" s="105">
        <v>4860000</v>
      </c>
      <c r="R745" s="103">
        <v>48</v>
      </c>
      <c r="S745" s="105">
        <v>101250</v>
      </c>
      <c r="T745" s="105">
        <v>4860000</v>
      </c>
      <c r="U745" s="105">
        <v>0</v>
      </c>
      <c r="V745" s="105">
        <v>0</v>
      </c>
      <c r="W745" s="105">
        <v>0</v>
      </c>
      <c r="X745" s="105">
        <v>0</v>
      </c>
      <c r="Y745" s="105">
        <v>0</v>
      </c>
      <c r="Z745" s="105">
        <v>0</v>
      </c>
      <c r="AA745" s="105">
        <v>0</v>
      </c>
      <c r="AB745" s="105">
        <v>0</v>
      </c>
      <c r="AC745" s="8">
        <f t="shared" si="77"/>
        <v>4860000</v>
      </c>
      <c r="AD745" s="8">
        <f t="shared" si="78"/>
        <v>0</v>
      </c>
      <c r="AE745" s="8">
        <f t="shared" si="79"/>
        <v>0</v>
      </c>
      <c r="AF745" s="106">
        <f t="shared" si="80"/>
        <v>0</v>
      </c>
      <c r="AG745" s="8">
        <f t="shared" si="81"/>
        <v>0</v>
      </c>
      <c r="AH745" s="8">
        <f>IF($O745="Aktif",MAX(0,MIN($AE745,$AD745-SUM($AG745:AG745))),0)</f>
        <v>0</v>
      </c>
      <c r="AI745" s="8">
        <f>IF($O745="Aktif",MAX(0,MIN($AE745,$AD745-SUM($AG745:AH745))),0)</f>
        <v>0</v>
      </c>
      <c r="AJ745" s="8">
        <f>IF($O745="Aktif",MAX(0,MIN($AE745,$AD745-SUM($AG745:AI745))),0)</f>
        <v>0</v>
      </c>
      <c r="AK745" s="8">
        <f>IF($O745="Aktif",MAX(0,MIN($AE745,$AD745-SUM($AG745:AJ745))),0)</f>
        <v>0</v>
      </c>
      <c r="AL745" s="8">
        <f>IF($O745="Aktif",MAX(0,MIN($AE745,$AD745-SUM($AG745:AK745))),0)</f>
        <v>0</v>
      </c>
      <c r="AM745" s="8">
        <f>IF($O745="Aktif",MAX(0,MIN($AE745,$AD745-SUM($AG745:AL745))),0)</f>
        <v>0</v>
      </c>
      <c r="AN745" s="8">
        <f>IF($O745="Aktif",MAX(0,MIN($AE745,$AD745-SUM($AG745:AM745))),0)</f>
        <v>0</v>
      </c>
      <c r="AO745" s="8">
        <f>IF($O745="Aktif",MAX(0,MIN($AE745,$AD745-SUM($AG745:AN745))),0)</f>
        <v>0</v>
      </c>
      <c r="AP745" s="8">
        <f>IF($O745="Aktif",MAX(0,MIN($AE745,$AD745-SUM($AG745:AO745))),0)</f>
        <v>0</v>
      </c>
      <c r="AQ745" s="8">
        <f>IF($O745="Aktif",MAX(0,MIN($AE745,$AD745-SUM($AG745:AP745))),0)</f>
        <v>0</v>
      </c>
      <c r="AR745" s="8">
        <f>IF($O745="Aktif",MAX(0,MIN($AE745,$AD745-SUM($AG745:AQ745))),0)</f>
        <v>0</v>
      </c>
      <c r="AS745" s="8">
        <f>IF($O745="Aktif",MAX(0,MIN($AE745,$AD745-SUM($AG745:AR745))),0)</f>
        <v>0</v>
      </c>
      <c r="AT745" s="8">
        <f>IF($O745="Aktif",MAX(0,MIN($AE745,$AD745-SUM($AG745:AS745))),0)</f>
        <v>0</v>
      </c>
      <c r="AU745" s="8">
        <f>IF($O745="Aktif",MAX(0,MIN($AE745,$AD745-SUM($AG745:AT745))),0)</f>
        <v>0</v>
      </c>
      <c r="AV745" s="8">
        <f>IF($O745="Aktif",MAX(0,MIN($AE745,$AD745-SUM($AG745:AU745))),0)</f>
        <v>0</v>
      </c>
      <c r="AW745" s="8">
        <f t="shared" si="82"/>
        <v>0</v>
      </c>
      <c r="AX745" s="8">
        <f t="shared" si="83"/>
        <v>0</v>
      </c>
    </row>
    <row r="746" spans="1:50" ht="15" customHeight="1" x14ac:dyDescent="0.35">
      <c r="A746" s="102">
        <v>740</v>
      </c>
      <c r="B746" s="102" t="s">
        <v>1326</v>
      </c>
      <c r="C746" s="103">
        <v>374</v>
      </c>
      <c r="D746" s="102" t="s">
        <v>185</v>
      </c>
      <c r="E746" s="102" t="s">
        <v>479</v>
      </c>
      <c r="F746" s="102" t="s">
        <v>2332</v>
      </c>
      <c r="G746" s="102" t="s">
        <v>2333</v>
      </c>
      <c r="H746" s="102" t="s">
        <v>2334</v>
      </c>
      <c r="I746" s="102" t="s">
        <v>63</v>
      </c>
      <c r="J746" s="102"/>
      <c r="K746" s="102" t="s">
        <v>950</v>
      </c>
      <c r="L746" s="104">
        <v>44124</v>
      </c>
      <c r="M746" s="102" t="s">
        <v>2360</v>
      </c>
      <c r="N746" s="102" t="s">
        <v>2361</v>
      </c>
      <c r="O746" s="102" t="s">
        <v>383</v>
      </c>
      <c r="P746" s="103">
        <v>1</v>
      </c>
      <c r="Q746" s="105">
        <v>30000000</v>
      </c>
      <c r="R746" s="103">
        <v>48</v>
      </c>
      <c r="S746" s="105">
        <v>625000</v>
      </c>
      <c r="T746" s="105">
        <v>30000000</v>
      </c>
      <c r="U746" s="105">
        <v>0</v>
      </c>
      <c r="V746" s="105">
        <v>0</v>
      </c>
      <c r="W746" s="105">
        <v>0</v>
      </c>
      <c r="X746" s="105">
        <v>0</v>
      </c>
      <c r="Y746" s="105">
        <v>0</v>
      </c>
      <c r="Z746" s="105">
        <v>0</v>
      </c>
      <c r="AA746" s="105">
        <v>0</v>
      </c>
      <c r="AB746" s="105">
        <v>0</v>
      </c>
      <c r="AC746" s="8">
        <f t="shared" si="77"/>
        <v>30000000</v>
      </c>
      <c r="AD746" s="8">
        <f t="shared" si="78"/>
        <v>0</v>
      </c>
      <c r="AE746" s="8">
        <f t="shared" si="79"/>
        <v>0</v>
      </c>
      <c r="AF746" s="106">
        <f t="shared" si="80"/>
        <v>0</v>
      </c>
      <c r="AG746" s="8">
        <f t="shared" si="81"/>
        <v>0</v>
      </c>
      <c r="AH746" s="8">
        <f>IF($O746="Aktif",MAX(0,MIN($AE746,$AD746-SUM($AG746:AG746))),0)</f>
        <v>0</v>
      </c>
      <c r="AI746" s="8">
        <f>IF($O746="Aktif",MAX(0,MIN($AE746,$AD746-SUM($AG746:AH746))),0)</f>
        <v>0</v>
      </c>
      <c r="AJ746" s="8">
        <f>IF($O746="Aktif",MAX(0,MIN($AE746,$AD746-SUM($AG746:AI746))),0)</f>
        <v>0</v>
      </c>
      <c r="AK746" s="8">
        <f>IF($O746="Aktif",MAX(0,MIN($AE746,$AD746-SUM($AG746:AJ746))),0)</f>
        <v>0</v>
      </c>
      <c r="AL746" s="8">
        <f>IF($O746="Aktif",MAX(0,MIN($AE746,$AD746-SUM($AG746:AK746))),0)</f>
        <v>0</v>
      </c>
      <c r="AM746" s="8">
        <f>IF($O746="Aktif",MAX(0,MIN($AE746,$AD746-SUM($AG746:AL746))),0)</f>
        <v>0</v>
      </c>
      <c r="AN746" s="8">
        <f>IF($O746="Aktif",MAX(0,MIN($AE746,$AD746-SUM($AG746:AM746))),0)</f>
        <v>0</v>
      </c>
      <c r="AO746" s="8">
        <f>IF($O746="Aktif",MAX(0,MIN($AE746,$AD746-SUM($AG746:AN746))),0)</f>
        <v>0</v>
      </c>
      <c r="AP746" s="8">
        <f>IF($O746="Aktif",MAX(0,MIN($AE746,$AD746-SUM($AG746:AO746))),0)</f>
        <v>0</v>
      </c>
      <c r="AQ746" s="8">
        <f>IF($O746="Aktif",MAX(0,MIN($AE746,$AD746-SUM($AG746:AP746))),0)</f>
        <v>0</v>
      </c>
      <c r="AR746" s="8">
        <f>IF($O746="Aktif",MAX(0,MIN($AE746,$AD746-SUM($AG746:AQ746))),0)</f>
        <v>0</v>
      </c>
      <c r="AS746" s="8">
        <f>IF($O746="Aktif",MAX(0,MIN($AE746,$AD746-SUM($AG746:AR746))),0)</f>
        <v>0</v>
      </c>
      <c r="AT746" s="8">
        <f>IF($O746="Aktif",MAX(0,MIN($AE746,$AD746-SUM($AG746:AS746))),0)</f>
        <v>0</v>
      </c>
      <c r="AU746" s="8">
        <f>IF($O746="Aktif",MAX(0,MIN($AE746,$AD746-SUM($AG746:AT746))),0)</f>
        <v>0</v>
      </c>
      <c r="AV746" s="8">
        <f>IF($O746="Aktif",MAX(0,MIN($AE746,$AD746-SUM($AG746:AU746))),0)</f>
        <v>0</v>
      </c>
      <c r="AW746" s="8">
        <f t="shared" si="82"/>
        <v>0</v>
      </c>
      <c r="AX746" s="8">
        <f t="shared" si="83"/>
        <v>0</v>
      </c>
    </row>
    <row r="747" spans="1:50" ht="15" customHeight="1" x14ac:dyDescent="0.35">
      <c r="A747" s="102">
        <v>741</v>
      </c>
      <c r="B747" s="102" t="s">
        <v>1326</v>
      </c>
      <c r="C747" s="103">
        <v>375</v>
      </c>
      <c r="D747" s="102" t="s">
        <v>185</v>
      </c>
      <c r="E747" s="102" t="s">
        <v>479</v>
      </c>
      <c r="F747" s="102" t="s">
        <v>2332</v>
      </c>
      <c r="G747" s="102" t="s">
        <v>2333</v>
      </c>
      <c r="H747" s="102" t="s">
        <v>2334</v>
      </c>
      <c r="I747" s="102" t="s">
        <v>63</v>
      </c>
      <c r="J747" s="102"/>
      <c r="K747" s="102" t="s">
        <v>950</v>
      </c>
      <c r="L747" s="104">
        <v>44126</v>
      </c>
      <c r="M747" s="102" t="s">
        <v>2362</v>
      </c>
      <c r="N747" s="102" t="s">
        <v>2363</v>
      </c>
      <c r="O747" s="102" t="s">
        <v>383</v>
      </c>
      <c r="P747" s="103">
        <v>1</v>
      </c>
      <c r="Q747" s="105">
        <v>1200000</v>
      </c>
      <c r="R747" s="103">
        <v>48</v>
      </c>
      <c r="S747" s="105">
        <v>25000</v>
      </c>
      <c r="T747" s="105">
        <v>1200000</v>
      </c>
      <c r="U747" s="105">
        <v>0</v>
      </c>
      <c r="V747" s="105">
        <v>0</v>
      </c>
      <c r="W747" s="105">
        <v>0</v>
      </c>
      <c r="X747" s="105">
        <v>0</v>
      </c>
      <c r="Y747" s="105">
        <v>0</v>
      </c>
      <c r="Z747" s="105">
        <v>0</v>
      </c>
      <c r="AA747" s="105">
        <v>0</v>
      </c>
      <c r="AB747" s="105">
        <v>0</v>
      </c>
      <c r="AC747" s="8">
        <f t="shared" si="77"/>
        <v>1200000</v>
      </c>
      <c r="AD747" s="8">
        <f t="shared" si="78"/>
        <v>0</v>
      </c>
      <c r="AE747" s="8">
        <f t="shared" si="79"/>
        <v>0</v>
      </c>
      <c r="AF747" s="106">
        <f t="shared" si="80"/>
        <v>0</v>
      </c>
      <c r="AG747" s="8">
        <f t="shared" si="81"/>
        <v>0</v>
      </c>
      <c r="AH747" s="8">
        <f>IF($O747="Aktif",MAX(0,MIN($AE747,$AD747-SUM($AG747:AG747))),0)</f>
        <v>0</v>
      </c>
      <c r="AI747" s="8">
        <f>IF($O747="Aktif",MAX(0,MIN($AE747,$AD747-SUM($AG747:AH747))),0)</f>
        <v>0</v>
      </c>
      <c r="AJ747" s="8">
        <f>IF($O747="Aktif",MAX(0,MIN($AE747,$AD747-SUM($AG747:AI747))),0)</f>
        <v>0</v>
      </c>
      <c r="AK747" s="8">
        <f>IF($O747="Aktif",MAX(0,MIN($AE747,$AD747-SUM($AG747:AJ747))),0)</f>
        <v>0</v>
      </c>
      <c r="AL747" s="8">
        <f>IF($O747="Aktif",MAX(0,MIN($AE747,$AD747-SUM($AG747:AK747))),0)</f>
        <v>0</v>
      </c>
      <c r="AM747" s="8">
        <f>IF($O747="Aktif",MAX(0,MIN($AE747,$AD747-SUM($AG747:AL747))),0)</f>
        <v>0</v>
      </c>
      <c r="AN747" s="8">
        <f>IF($O747="Aktif",MAX(0,MIN($AE747,$AD747-SUM($AG747:AM747))),0)</f>
        <v>0</v>
      </c>
      <c r="AO747" s="8">
        <f>IF($O747="Aktif",MAX(0,MIN($AE747,$AD747-SUM($AG747:AN747))),0)</f>
        <v>0</v>
      </c>
      <c r="AP747" s="8">
        <f>IF($O747="Aktif",MAX(0,MIN($AE747,$AD747-SUM($AG747:AO747))),0)</f>
        <v>0</v>
      </c>
      <c r="AQ747" s="8">
        <f>IF($O747="Aktif",MAX(0,MIN($AE747,$AD747-SUM($AG747:AP747))),0)</f>
        <v>0</v>
      </c>
      <c r="AR747" s="8">
        <f>IF($O747="Aktif",MAX(0,MIN($AE747,$AD747-SUM($AG747:AQ747))),0)</f>
        <v>0</v>
      </c>
      <c r="AS747" s="8">
        <f>IF($O747="Aktif",MAX(0,MIN($AE747,$AD747-SUM($AG747:AR747))),0)</f>
        <v>0</v>
      </c>
      <c r="AT747" s="8">
        <f>IF($O747="Aktif",MAX(0,MIN($AE747,$AD747-SUM($AG747:AS747))),0)</f>
        <v>0</v>
      </c>
      <c r="AU747" s="8">
        <f>IF($O747="Aktif",MAX(0,MIN($AE747,$AD747-SUM($AG747:AT747))),0)</f>
        <v>0</v>
      </c>
      <c r="AV747" s="8">
        <f>IF($O747="Aktif",MAX(0,MIN($AE747,$AD747-SUM($AG747:AU747))),0)</f>
        <v>0</v>
      </c>
      <c r="AW747" s="8">
        <f t="shared" si="82"/>
        <v>0</v>
      </c>
      <c r="AX747" s="8">
        <f t="shared" si="83"/>
        <v>0</v>
      </c>
    </row>
    <row r="748" spans="1:50" ht="15" customHeight="1" x14ac:dyDescent="0.35">
      <c r="A748" s="102">
        <v>742</v>
      </c>
      <c r="B748" s="102" t="s">
        <v>1326</v>
      </c>
      <c r="C748" s="103">
        <v>376</v>
      </c>
      <c r="D748" s="102" t="s">
        <v>185</v>
      </c>
      <c r="E748" s="102" t="s">
        <v>479</v>
      </c>
      <c r="F748" s="102" t="s">
        <v>2332</v>
      </c>
      <c r="G748" s="102" t="s">
        <v>2333</v>
      </c>
      <c r="H748" s="102" t="s">
        <v>2334</v>
      </c>
      <c r="I748" s="102" t="s">
        <v>63</v>
      </c>
      <c r="J748" s="102"/>
      <c r="K748" s="102" t="s">
        <v>950</v>
      </c>
      <c r="L748" s="104">
        <v>44132</v>
      </c>
      <c r="M748" s="102" t="s">
        <v>2364</v>
      </c>
      <c r="N748" s="102" t="s">
        <v>2365</v>
      </c>
      <c r="O748" s="102" t="s">
        <v>383</v>
      </c>
      <c r="P748" s="103">
        <v>2</v>
      </c>
      <c r="Q748" s="105">
        <v>12000000</v>
      </c>
      <c r="R748" s="103">
        <v>48</v>
      </c>
      <c r="S748" s="105">
        <v>250000</v>
      </c>
      <c r="T748" s="105">
        <v>12000000</v>
      </c>
      <c r="U748" s="105">
        <v>0</v>
      </c>
      <c r="V748" s="105">
        <v>0</v>
      </c>
      <c r="W748" s="105">
        <v>0</v>
      </c>
      <c r="X748" s="105">
        <v>0</v>
      </c>
      <c r="Y748" s="105">
        <v>0</v>
      </c>
      <c r="Z748" s="105">
        <v>0</v>
      </c>
      <c r="AA748" s="105">
        <v>0</v>
      </c>
      <c r="AB748" s="105">
        <v>0</v>
      </c>
      <c r="AC748" s="8">
        <f t="shared" si="77"/>
        <v>12000000</v>
      </c>
      <c r="AD748" s="8">
        <f t="shared" si="78"/>
        <v>0</v>
      </c>
      <c r="AE748" s="8">
        <f t="shared" si="79"/>
        <v>0</v>
      </c>
      <c r="AF748" s="106">
        <f t="shared" si="80"/>
        <v>0</v>
      </c>
      <c r="AG748" s="8">
        <f t="shared" si="81"/>
        <v>0</v>
      </c>
      <c r="AH748" s="8">
        <f>IF($O748="Aktif",MAX(0,MIN($AE748,$AD748-SUM($AG748:AG748))),0)</f>
        <v>0</v>
      </c>
      <c r="AI748" s="8">
        <f>IF($O748="Aktif",MAX(0,MIN($AE748,$AD748-SUM($AG748:AH748))),0)</f>
        <v>0</v>
      </c>
      <c r="AJ748" s="8">
        <f>IF($O748="Aktif",MAX(0,MIN($AE748,$AD748-SUM($AG748:AI748))),0)</f>
        <v>0</v>
      </c>
      <c r="AK748" s="8">
        <f>IF($O748="Aktif",MAX(0,MIN($AE748,$AD748-SUM($AG748:AJ748))),0)</f>
        <v>0</v>
      </c>
      <c r="AL748" s="8">
        <f>IF($O748="Aktif",MAX(0,MIN($AE748,$AD748-SUM($AG748:AK748))),0)</f>
        <v>0</v>
      </c>
      <c r="AM748" s="8">
        <f>IF($O748="Aktif",MAX(0,MIN($AE748,$AD748-SUM($AG748:AL748))),0)</f>
        <v>0</v>
      </c>
      <c r="AN748" s="8">
        <f>IF($O748="Aktif",MAX(0,MIN($AE748,$AD748-SUM($AG748:AM748))),0)</f>
        <v>0</v>
      </c>
      <c r="AO748" s="8">
        <f>IF($O748="Aktif",MAX(0,MIN($AE748,$AD748-SUM($AG748:AN748))),0)</f>
        <v>0</v>
      </c>
      <c r="AP748" s="8">
        <f>IF($O748="Aktif",MAX(0,MIN($AE748,$AD748-SUM($AG748:AO748))),0)</f>
        <v>0</v>
      </c>
      <c r="AQ748" s="8">
        <f>IF($O748="Aktif",MAX(0,MIN($AE748,$AD748-SUM($AG748:AP748))),0)</f>
        <v>0</v>
      </c>
      <c r="AR748" s="8">
        <f>IF($O748="Aktif",MAX(0,MIN($AE748,$AD748-SUM($AG748:AQ748))),0)</f>
        <v>0</v>
      </c>
      <c r="AS748" s="8">
        <f>IF($O748="Aktif",MAX(0,MIN($AE748,$AD748-SUM($AG748:AR748))),0)</f>
        <v>0</v>
      </c>
      <c r="AT748" s="8">
        <f>IF($O748="Aktif",MAX(0,MIN($AE748,$AD748-SUM($AG748:AS748))),0)</f>
        <v>0</v>
      </c>
      <c r="AU748" s="8">
        <f>IF($O748="Aktif",MAX(0,MIN($AE748,$AD748-SUM($AG748:AT748))),0)</f>
        <v>0</v>
      </c>
      <c r="AV748" s="8">
        <f>IF($O748="Aktif",MAX(0,MIN($AE748,$AD748-SUM($AG748:AU748))),0)</f>
        <v>0</v>
      </c>
      <c r="AW748" s="8">
        <f t="shared" si="82"/>
        <v>0</v>
      </c>
      <c r="AX748" s="8">
        <f t="shared" si="83"/>
        <v>0</v>
      </c>
    </row>
    <row r="749" spans="1:50" ht="15" customHeight="1" x14ac:dyDescent="0.35">
      <c r="A749" s="102">
        <v>743</v>
      </c>
      <c r="B749" s="102" t="s">
        <v>1326</v>
      </c>
      <c r="C749" s="103">
        <v>377</v>
      </c>
      <c r="D749" s="102" t="s">
        <v>185</v>
      </c>
      <c r="E749" s="102" t="s">
        <v>479</v>
      </c>
      <c r="F749" s="102" t="s">
        <v>2332</v>
      </c>
      <c r="G749" s="102" t="s">
        <v>2333</v>
      </c>
      <c r="H749" s="102" t="s">
        <v>2334</v>
      </c>
      <c r="I749" s="102" t="s">
        <v>63</v>
      </c>
      <c r="J749" s="102"/>
      <c r="K749" s="102" t="s">
        <v>950</v>
      </c>
      <c r="L749" s="104">
        <v>44132</v>
      </c>
      <c r="M749" s="102" t="s">
        <v>2366</v>
      </c>
      <c r="N749" s="102" t="s">
        <v>2367</v>
      </c>
      <c r="O749" s="102" t="s">
        <v>383</v>
      </c>
      <c r="P749" s="103">
        <v>2</v>
      </c>
      <c r="Q749" s="105">
        <v>7500000</v>
      </c>
      <c r="R749" s="103">
        <v>48</v>
      </c>
      <c r="S749" s="105">
        <v>156250</v>
      </c>
      <c r="T749" s="105">
        <v>7500000</v>
      </c>
      <c r="U749" s="105">
        <v>0</v>
      </c>
      <c r="V749" s="105">
        <v>0</v>
      </c>
      <c r="W749" s="105">
        <v>0</v>
      </c>
      <c r="X749" s="105">
        <v>0</v>
      </c>
      <c r="Y749" s="105">
        <v>0</v>
      </c>
      <c r="Z749" s="105">
        <v>0</v>
      </c>
      <c r="AA749" s="105">
        <v>0</v>
      </c>
      <c r="AB749" s="105">
        <v>0</v>
      </c>
      <c r="AC749" s="8">
        <f t="shared" si="77"/>
        <v>7500000</v>
      </c>
      <c r="AD749" s="8">
        <f t="shared" si="78"/>
        <v>0</v>
      </c>
      <c r="AE749" s="8">
        <f t="shared" si="79"/>
        <v>0</v>
      </c>
      <c r="AF749" s="106">
        <f t="shared" si="80"/>
        <v>0</v>
      </c>
      <c r="AG749" s="8">
        <f t="shared" si="81"/>
        <v>0</v>
      </c>
      <c r="AH749" s="8">
        <f>IF($O749="Aktif",MAX(0,MIN($AE749,$AD749-SUM($AG749:AG749))),0)</f>
        <v>0</v>
      </c>
      <c r="AI749" s="8">
        <f>IF($O749="Aktif",MAX(0,MIN($AE749,$AD749-SUM($AG749:AH749))),0)</f>
        <v>0</v>
      </c>
      <c r="AJ749" s="8">
        <f>IF($O749="Aktif",MAX(0,MIN($AE749,$AD749-SUM($AG749:AI749))),0)</f>
        <v>0</v>
      </c>
      <c r="AK749" s="8">
        <f>IF($O749="Aktif",MAX(0,MIN($AE749,$AD749-SUM($AG749:AJ749))),0)</f>
        <v>0</v>
      </c>
      <c r="AL749" s="8">
        <f>IF($O749="Aktif",MAX(0,MIN($AE749,$AD749-SUM($AG749:AK749))),0)</f>
        <v>0</v>
      </c>
      <c r="AM749" s="8">
        <f>IF($O749="Aktif",MAX(0,MIN($AE749,$AD749-SUM($AG749:AL749))),0)</f>
        <v>0</v>
      </c>
      <c r="AN749" s="8">
        <f>IF($O749="Aktif",MAX(0,MIN($AE749,$AD749-SUM($AG749:AM749))),0)</f>
        <v>0</v>
      </c>
      <c r="AO749" s="8">
        <f>IF($O749="Aktif",MAX(0,MIN($AE749,$AD749-SUM($AG749:AN749))),0)</f>
        <v>0</v>
      </c>
      <c r="AP749" s="8">
        <f>IF($O749="Aktif",MAX(0,MIN($AE749,$AD749-SUM($AG749:AO749))),0)</f>
        <v>0</v>
      </c>
      <c r="AQ749" s="8">
        <f>IF($O749="Aktif",MAX(0,MIN($AE749,$AD749-SUM($AG749:AP749))),0)</f>
        <v>0</v>
      </c>
      <c r="AR749" s="8">
        <f>IF($O749="Aktif",MAX(0,MIN($AE749,$AD749-SUM($AG749:AQ749))),0)</f>
        <v>0</v>
      </c>
      <c r="AS749" s="8">
        <f>IF($O749="Aktif",MAX(0,MIN($AE749,$AD749-SUM($AG749:AR749))),0)</f>
        <v>0</v>
      </c>
      <c r="AT749" s="8">
        <f>IF($O749="Aktif",MAX(0,MIN($AE749,$AD749-SUM($AG749:AS749))),0)</f>
        <v>0</v>
      </c>
      <c r="AU749" s="8">
        <f>IF($O749="Aktif",MAX(0,MIN($AE749,$AD749-SUM($AG749:AT749))),0)</f>
        <v>0</v>
      </c>
      <c r="AV749" s="8">
        <f>IF($O749="Aktif",MAX(0,MIN($AE749,$AD749-SUM($AG749:AU749))),0)</f>
        <v>0</v>
      </c>
      <c r="AW749" s="8">
        <f t="shared" si="82"/>
        <v>0</v>
      </c>
      <c r="AX749" s="8">
        <f t="shared" si="83"/>
        <v>0</v>
      </c>
    </row>
    <row r="750" spans="1:50" ht="15" customHeight="1" x14ac:dyDescent="0.35">
      <c r="A750" s="102">
        <v>744</v>
      </c>
      <c r="B750" s="102" t="s">
        <v>1326</v>
      </c>
      <c r="C750" s="103">
        <v>378</v>
      </c>
      <c r="D750" s="102" t="s">
        <v>185</v>
      </c>
      <c r="E750" s="102" t="s">
        <v>479</v>
      </c>
      <c r="F750" s="102" t="s">
        <v>2332</v>
      </c>
      <c r="G750" s="102" t="s">
        <v>2333</v>
      </c>
      <c r="H750" s="102" t="s">
        <v>2334</v>
      </c>
      <c r="I750" s="102" t="s">
        <v>63</v>
      </c>
      <c r="J750" s="102"/>
      <c r="K750" s="102" t="s">
        <v>950</v>
      </c>
      <c r="L750" s="104">
        <v>44135</v>
      </c>
      <c r="M750" s="102" t="s">
        <v>2368</v>
      </c>
      <c r="N750" s="102" t="s">
        <v>2369</v>
      </c>
      <c r="O750" s="102" t="s">
        <v>383</v>
      </c>
      <c r="P750" s="103">
        <v>1</v>
      </c>
      <c r="Q750" s="105">
        <v>26762163</v>
      </c>
      <c r="R750" s="103">
        <v>48</v>
      </c>
      <c r="S750" s="105">
        <v>557545.0625</v>
      </c>
      <c r="T750" s="105">
        <v>26762163</v>
      </c>
      <c r="U750" s="105">
        <v>0</v>
      </c>
      <c r="V750" s="105">
        <v>0</v>
      </c>
      <c r="W750" s="105">
        <v>0</v>
      </c>
      <c r="X750" s="105">
        <v>0</v>
      </c>
      <c r="Y750" s="105">
        <v>0</v>
      </c>
      <c r="Z750" s="105">
        <v>0</v>
      </c>
      <c r="AA750" s="105">
        <v>0</v>
      </c>
      <c r="AB750" s="105">
        <v>0</v>
      </c>
      <c r="AC750" s="8">
        <f t="shared" si="77"/>
        <v>26762163</v>
      </c>
      <c r="AD750" s="8">
        <f t="shared" si="78"/>
        <v>0</v>
      </c>
      <c r="AE750" s="8">
        <f t="shared" si="79"/>
        <v>0</v>
      </c>
      <c r="AF750" s="106">
        <f t="shared" si="80"/>
        <v>0</v>
      </c>
      <c r="AG750" s="8">
        <f t="shared" si="81"/>
        <v>0</v>
      </c>
      <c r="AH750" s="8">
        <f>IF($O750="Aktif",MAX(0,MIN($AE750,$AD750-SUM($AG750:AG750))),0)</f>
        <v>0</v>
      </c>
      <c r="AI750" s="8">
        <f>IF($O750="Aktif",MAX(0,MIN($AE750,$AD750-SUM($AG750:AH750))),0)</f>
        <v>0</v>
      </c>
      <c r="AJ750" s="8">
        <f>IF($O750="Aktif",MAX(0,MIN($AE750,$AD750-SUM($AG750:AI750))),0)</f>
        <v>0</v>
      </c>
      <c r="AK750" s="8">
        <f>IF($O750="Aktif",MAX(0,MIN($AE750,$AD750-SUM($AG750:AJ750))),0)</f>
        <v>0</v>
      </c>
      <c r="AL750" s="8">
        <f>IF($O750="Aktif",MAX(0,MIN($AE750,$AD750-SUM($AG750:AK750))),0)</f>
        <v>0</v>
      </c>
      <c r="AM750" s="8">
        <f>IF($O750="Aktif",MAX(0,MIN($AE750,$AD750-SUM($AG750:AL750))),0)</f>
        <v>0</v>
      </c>
      <c r="AN750" s="8">
        <f>IF($O750="Aktif",MAX(0,MIN($AE750,$AD750-SUM($AG750:AM750))),0)</f>
        <v>0</v>
      </c>
      <c r="AO750" s="8">
        <f>IF($O750="Aktif",MAX(0,MIN($AE750,$AD750-SUM($AG750:AN750))),0)</f>
        <v>0</v>
      </c>
      <c r="AP750" s="8">
        <f>IF($O750="Aktif",MAX(0,MIN($AE750,$AD750-SUM($AG750:AO750))),0)</f>
        <v>0</v>
      </c>
      <c r="AQ750" s="8">
        <f>IF($O750="Aktif",MAX(0,MIN($AE750,$AD750-SUM($AG750:AP750))),0)</f>
        <v>0</v>
      </c>
      <c r="AR750" s="8">
        <f>IF($O750="Aktif",MAX(0,MIN($AE750,$AD750-SUM($AG750:AQ750))),0)</f>
        <v>0</v>
      </c>
      <c r="AS750" s="8">
        <f>IF($O750="Aktif",MAX(0,MIN($AE750,$AD750-SUM($AG750:AR750))),0)</f>
        <v>0</v>
      </c>
      <c r="AT750" s="8">
        <f>IF($O750="Aktif",MAX(0,MIN($AE750,$AD750-SUM($AG750:AS750))),0)</f>
        <v>0</v>
      </c>
      <c r="AU750" s="8">
        <f>IF($O750="Aktif",MAX(0,MIN($AE750,$AD750-SUM($AG750:AT750))),0)</f>
        <v>0</v>
      </c>
      <c r="AV750" s="8">
        <f>IF($O750="Aktif",MAX(0,MIN($AE750,$AD750-SUM($AG750:AU750))),0)</f>
        <v>0</v>
      </c>
      <c r="AW750" s="8">
        <f t="shared" si="82"/>
        <v>0</v>
      </c>
      <c r="AX750" s="8">
        <f t="shared" si="83"/>
        <v>0</v>
      </c>
    </row>
    <row r="751" spans="1:50" ht="15" customHeight="1" x14ac:dyDescent="0.35">
      <c r="A751" s="102">
        <v>745</v>
      </c>
      <c r="B751" s="102" t="s">
        <v>1326</v>
      </c>
      <c r="C751" s="103">
        <v>379</v>
      </c>
      <c r="D751" s="102" t="s">
        <v>185</v>
      </c>
      <c r="E751" s="102" t="s">
        <v>479</v>
      </c>
      <c r="F751" s="102" t="s">
        <v>2332</v>
      </c>
      <c r="G751" s="102" t="s">
        <v>2333</v>
      </c>
      <c r="H751" s="102" t="s">
        <v>2334</v>
      </c>
      <c r="I751" s="102" t="s">
        <v>63</v>
      </c>
      <c r="J751" s="102"/>
      <c r="K751" s="102" t="s">
        <v>950</v>
      </c>
      <c r="L751" s="104">
        <v>44138</v>
      </c>
      <c r="M751" s="102" t="s">
        <v>2370</v>
      </c>
      <c r="N751" s="102" t="s">
        <v>2371</v>
      </c>
      <c r="O751" s="102" t="s">
        <v>383</v>
      </c>
      <c r="P751" s="103">
        <v>1</v>
      </c>
      <c r="Q751" s="105">
        <v>1100000</v>
      </c>
      <c r="R751" s="103">
        <v>48</v>
      </c>
      <c r="S751" s="105">
        <v>22916.666666666701</v>
      </c>
      <c r="T751" s="105">
        <v>1100000</v>
      </c>
      <c r="U751" s="105">
        <v>0</v>
      </c>
      <c r="V751" s="105">
        <v>0</v>
      </c>
      <c r="W751" s="105">
        <v>0</v>
      </c>
      <c r="X751" s="105">
        <v>0</v>
      </c>
      <c r="Y751" s="105">
        <v>0</v>
      </c>
      <c r="Z751" s="105">
        <v>0</v>
      </c>
      <c r="AA751" s="105">
        <v>0</v>
      </c>
      <c r="AB751" s="105">
        <v>0</v>
      </c>
      <c r="AC751" s="8">
        <f t="shared" si="77"/>
        <v>1100000</v>
      </c>
      <c r="AD751" s="8">
        <f t="shared" si="78"/>
        <v>0</v>
      </c>
      <c r="AE751" s="8">
        <f t="shared" si="79"/>
        <v>0</v>
      </c>
      <c r="AF751" s="106">
        <f t="shared" si="80"/>
        <v>0</v>
      </c>
      <c r="AG751" s="8">
        <f t="shared" si="81"/>
        <v>0</v>
      </c>
      <c r="AH751" s="8">
        <f>IF($O751="Aktif",MAX(0,MIN($AE751,$AD751-SUM($AG751:AG751))),0)</f>
        <v>0</v>
      </c>
      <c r="AI751" s="8">
        <f>IF($O751="Aktif",MAX(0,MIN($AE751,$AD751-SUM($AG751:AH751))),0)</f>
        <v>0</v>
      </c>
      <c r="AJ751" s="8">
        <f>IF($O751="Aktif",MAX(0,MIN($AE751,$AD751-SUM($AG751:AI751))),0)</f>
        <v>0</v>
      </c>
      <c r="AK751" s="8">
        <f>IF($O751="Aktif",MAX(0,MIN($AE751,$AD751-SUM($AG751:AJ751))),0)</f>
        <v>0</v>
      </c>
      <c r="AL751" s="8">
        <f>IF($O751="Aktif",MAX(0,MIN($AE751,$AD751-SUM($AG751:AK751))),0)</f>
        <v>0</v>
      </c>
      <c r="AM751" s="8">
        <f>IF($O751="Aktif",MAX(0,MIN($AE751,$AD751-SUM($AG751:AL751))),0)</f>
        <v>0</v>
      </c>
      <c r="AN751" s="8">
        <f>IF($O751="Aktif",MAX(0,MIN($AE751,$AD751-SUM($AG751:AM751))),0)</f>
        <v>0</v>
      </c>
      <c r="AO751" s="8">
        <f>IF($O751="Aktif",MAX(0,MIN($AE751,$AD751-SUM($AG751:AN751))),0)</f>
        <v>0</v>
      </c>
      <c r="AP751" s="8">
        <f>IF($O751="Aktif",MAX(0,MIN($AE751,$AD751-SUM($AG751:AO751))),0)</f>
        <v>0</v>
      </c>
      <c r="AQ751" s="8">
        <f>IF($O751="Aktif",MAX(0,MIN($AE751,$AD751-SUM($AG751:AP751))),0)</f>
        <v>0</v>
      </c>
      <c r="AR751" s="8">
        <f>IF($O751="Aktif",MAX(0,MIN($AE751,$AD751-SUM($AG751:AQ751))),0)</f>
        <v>0</v>
      </c>
      <c r="AS751" s="8">
        <f>IF($O751="Aktif",MAX(0,MIN($AE751,$AD751-SUM($AG751:AR751))),0)</f>
        <v>0</v>
      </c>
      <c r="AT751" s="8">
        <f>IF($O751="Aktif",MAX(0,MIN($AE751,$AD751-SUM($AG751:AS751))),0)</f>
        <v>0</v>
      </c>
      <c r="AU751" s="8">
        <f>IF($O751="Aktif",MAX(0,MIN($AE751,$AD751-SUM($AG751:AT751))),0)</f>
        <v>0</v>
      </c>
      <c r="AV751" s="8">
        <f>IF($O751="Aktif",MAX(0,MIN($AE751,$AD751-SUM($AG751:AU751))),0)</f>
        <v>0</v>
      </c>
      <c r="AW751" s="8">
        <f t="shared" si="82"/>
        <v>0</v>
      </c>
      <c r="AX751" s="8">
        <f t="shared" si="83"/>
        <v>0</v>
      </c>
    </row>
    <row r="752" spans="1:50" ht="15" customHeight="1" x14ac:dyDescent="0.35">
      <c r="A752" s="102">
        <v>746</v>
      </c>
      <c r="B752" s="102" t="s">
        <v>1326</v>
      </c>
      <c r="C752" s="103">
        <v>380</v>
      </c>
      <c r="D752" s="102" t="s">
        <v>185</v>
      </c>
      <c r="E752" s="102" t="s">
        <v>479</v>
      </c>
      <c r="F752" s="102" t="s">
        <v>2332</v>
      </c>
      <c r="G752" s="102" t="s">
        <v>2333</v>
      </c>
      <c r="H752" s="102" t="s">
        <v>2334</v>
      </c>
      <c r="I752" s="102" t="s">
        <v>63</v>
      </c>
      <c r="J752" s="102"/>
      <c r="K752" s="102" t="s">
        <v>950</v>
      </c>
      <c r="L752" s="104">
        <v>44140</v>
      </c>
      <c r="M752" s="102" t="s">
        <v>2372</v>
      </c>
      <c r="N752" s="102" t="s">
        <v>2373</v>
      </c>
      <c r="O752" s="102" t="s">
        <v>383</v>
      </c>
      <c r="P752" s="103">
        <v>2</v>
      </c>
      <c r="Q752" s="105">
        <v>2897482</v>
      </c>
      <c r="R752" s="103">
        <v>48</v>
      </c>
      <c r="S752" s="105">
        <v>60364.208333333299</v>
      </c>
      <c r="T752" s="105">
        <v>2897482</v>
      </c>
      <c r="U752" s="105">
        <v>0</v>
      </c>
      <c r="V752" s="105">
        <v>0</v>
      </c>
      <c r="W752" s="105">
        <v>0</v>
      </c>
      <c r="X752" s="105">
        <v>0</v>
      </c>
      <c r="Y752" s="105">
        <v>0</v>
      </c>
      <c r="Z752" s="105">
        <v>0</v>
      </c>
      <c r="AA752" s="105">
        <v>0</v>
      </c>
      <c r="AB752" s="105">
        <v>0</v>
      </c>
      <c r="AC752" s="8">
        <f t="shared" si="77"/>
        <v>2897482</v>
      </c>
      <c r="AD752" s="8">
        <f t="shared" si="78"/>
        <v>0</v>
      </c>
      <c r="AE752" s="8">
        <f t="shared" si="79"/>
        <v>0</v>
      </c>
      <c r="AF752" s="106">
        <f t="shared" si="80"/>
        <v>0</v>
      </c>
      <c r="AG752" s="8">
        <f t="shared" si="81"/>
        <v>0</v>
      </c>
      <c r="AH752" s="8">
        <f>IF($O752="Aktif",MAX(0,MIN($AE752,$AD752-SUM($AG752:AG752))),0)</f>
        <v>0</v>
      </c>
      <c r="AI752" s="8">
        <f>IF($O752="Aktif",MAX(0,MIN($AE752,$AD752-SUM($AG752:AH752))),0)</f>
        <v>0</v>
      </c>
      <c r="AJ752" s="8">
        <f>IF($O752="Aktif",MAX(0,MIN($AE752,$AD752-SUM($AG752:AI752))),0)</f>
        <v>0</v>
      </c>
      <c r="AK752" s="8">
        <f>IF($O752="Aktif",MAX(0,MIN($AE752,$AD752-SUM($AG752:AJ752))),0)</f>
        <v>0</v>
      </c>
      <c r="AL752" s="8">
        <f>IF($O752="Aktif",MAX(0,MIN($AE752,$AD752-SUM($AG752:AK752))),0)</f>
        <v>0</v>
      </c>
      <c r="AM752" s="8">
        <f>IF($O752="Aktif",MAX(0,MIN($AE752,$AD752-SUM($AG752:AL752))),0)</f>
        <v>0</v>
      </c>
      <c r="AN752" s="8">
        <f>IF($O752="Aktif",MAX(0,MIN($AE752,$AD752-SUM($AG752:AM752))),0)</f>
        <v>0</v>
      </c>
      <c r="AO752" s="8">
        <f>IF($O752="Aktif",MAX(0,MIN($AE752,$AD752-SUM($AG752:AN752))),0)</f>
        <v>0</v>
      </c>
      <c r="AP752" s="8">
        <f>IF($O752="Aktif",MAX(0,MIN($AE752,$AD752-SUM($AG752:AO752))),0)</f>
        <v>0</v>
      </c>
      <c r="AQ752" s="8">
        <f>IF($O752="Aktif",MAX(0,MIN($AE752,$AD752-SUM($AG752:AP752))),0)</f>
        <v>0</v>
      </c>
      <c r="AR752" s="8">
        <f>IF($O752="Aktif",MAX(0,MIN($AE752,$AD752-SUM($AG752:AQ752))),0)</f>
        <v>0</v>
      </c>
      <c r="AS752" s="8">
        <f>IF($O752="Aktif",MAX(0,MIN($AE752,$AD752-SUM($AG752:AR752))),0)</f>
        <v>0</v>
      </c>
      <c r="AT752" s="8">
        <f>IF($O752="Aktif",MAX(0,MIN($AE752,$AD752-SUM($AG752:AS752))),0)</f>
        <v>0</v>
      </c>
      <c r="AU752" s="8">
        <f>IF($O752="Aktif",MAX(0,MIN($AE752,$AD752-SUM($AG752:AT752))),0)</f>
        <v>0</v>
      </c>
      <c r="AV752" s="8">
        <f>IF($O752="Aktif",MAX(0,MIN($AE752,$AD752-SUM($AG752:AU752))),0)</f>
        <v>0</v>
      </c>
      <c r="AW752" s="8">
        <f t="shared" si="82"/>
        <v>0</v>
      </c>
      <c r="AX752" s="8">
        <f t="shared" si="83"/>
        <v>0</v>
      </c>
    </row>
    <row r="753" spans="1:50" ht="15" customHeight="1" x14ac:dyDescent="0.35">
      <c r="A753" s="102">
        <v>747</v>
      </c>
      <c r="B753" s="102" t="s">
        <v>1326</v>
      </c>
      <c r="C753" s="103">
        <v>381</v>
      </c>
      <c r="D753" s="102" t="s">
        <v>185</v>
      </c>
      <c r="E753" s="102" t="s">
        <v>479</v>
      </c>
      <c r="F753" s="102" t="s">
        <v>2332</v>
      </c>
      <c r="G753" s="102" t="s">
        <v>2333</v>
      </c>
      <c r="H753" s="102" t="s">
        <v>2334</v>
      </c>
      <c r="I753" s="102" t="s">
        <v>63</v>
      </c>
      <c r="J753" s="102"/>
      <c r="K753" s="102" t="s">
        <v>950</v>
      </c>
      <c r="L753" s="104">
        <v>44146</v>
      </c>
      <c r="M753" s="102" t="s">
        <v>2374</v>
      </c>
      <c r="N753" s="102" t="s">
        <v>2375</v>
      </c>
      <c r="O753" s="102" t="s">
        <v>383</v>
      </c>
      <c r="P753" s="103">
        <v>1</v>
      </c>
      <c r="Q753" s="105">
        <v>6000000</v>
      </c>
      <c r="R753" s="103">
        <v>48</v>
      </c>
      <c r="S753" s="105">
        <v>125000</v>
      </c>
      <c r="T753" s="105">
        <v>6000000</v>
      </c>
      <c r="U753" s="105">
        <v>0</v>
      </c>
      <c r="V753" s="105">
        <v>0</v>
      </c>
      <c r="W753" s="105">
        <v>0</v>
      </c>
      <c r="X753" s="105">
        <v>0</v>
      </c>
      <c r="Y753" s="105">
        <v>0</v>
      </c>
      <c r="Z753" s="105">
        <v>0</v>
      </c>
      <c r="AA753" s="105">
        <v>0</v>
      </c>
      <c r="AB753" s="105">
        <v>0</v>
      </c>
      <c r="AC753" s="8">
        <f t="shared" si="77"/>
        <v>6000000</v>
      </c>
      <c r="AD753" s="8">
        <f t="shared" si="78"/>
        <v>0</v>
      </c>
      <c r="AE753" s="8">
        <f t="shared" si="79"/>
        <v>0</v>
      </c>
      <c r="AF753" s="106">
        <f t="shared" si="80"/>
        <v>0</v>
      </c>
      <c r="AG753" s="8">
        <f t="shared" si="81"/>
        <v>0</v>
      </c>
      <c r="AH753" s="8">
        <f>IF($O753="Aktif",MAX(0,MIN($AE753,$AD753-SUM($AG753:AG753))),0)</f>
        <v>0</v>
      </c>
      <c r="AI753" s="8">
        <f>IF($O753="Aktif",MAX(0,MIN($AE753,$AD753-SUM($AG753:AH753))),0)</f>
        <v>0</v>
      </c>
      <c r="AJ753" s="8">
        <f>IF($O753="Aktif",MAX(0,MIN($AE753,$AD753-SUM($AG753:AI753))),0)</f>
        <v>0</v>
      </c>
      <c r="AK753" s="8">
        <f>IF($O753="Aktif",MAX(0,MIN($AE753,$AD753-SUM($AG753:AJ753))),0)</f>
        <v>0</v>
      </c>
      <c r="AL753" s="8">
        <f>IF($O753="Aktif",MAX(0,MIN($AE753,$AD753-SUM($AG753:AK753))),0)</f>
        <v>0</v>
      </c>
      <c r="AM753" s="8">
        <f>IF($O753="Aktif",MAX(0,MIN($AE753,$AD753-SUM($AG753:AL753))),0)</f>
        <v>0</v>
      </c>
      <c r="AN753" s="8">
        <f>IF($O753="Aktif",MAX(0,MIN($AE753,$AD753-SUM($AG753:AM753))),0)</f>
        <v>0</v>
      </c>
      <c r="AO753" s="8">
        <f>IF($O753="Aktif",MAX(0,MIN($AE753,$AD753-SUM($AG753:AN753))),0)</f>
        <v>0</v>
      </c>
      <c r="AP753" s="8">
        <f>IF($O753="Aktif",MAX(0,MIN($AE753,$AD753-SUM($AG753:AO753))),0)</f>
        <v>0</v>
      </c>
      <c r="AQ753" s="8">
        <f>IF($O753="Aktif",MAX(0,MIN($AE753,$AD753-SUM($AG753:AP753))),0)</f>
        <v>0</v>
      </c>
      <c r="AR753" s="8">
        <f>IF($O753="Aktif",MAX(0,MIN($AE753,$AD753-SUM($AG753:AQ753))),0)</f>
        <v>0</v>
      </c>
      <c r="AS753" s="8">
        <f>IF($O753="Aktif",MAX(0,MIN($AE753,$AD753-SUM($AG753:AR753))),0)</f>
        <v>0</v>
      </c>
      <c r="AT753" s="8">
        <f>IF($O753="Aktif",MAX(0,MIN($AE753,$AD753-SUM($AG753:AS753))),0)</f>
        <v>0</v>
      </c>
      <c r="AU753" s="8">
        <f>IF($O753="Aktif",MAX(0,MIN($AE753,$AD753-SUM($AG753:AT753))),0)</f>
        <v>0</v>
      </c>
      <c r="AV753" s="8">
        <f>IF($O753="Aktif",MAX(0,MIN($AE753,$AD753-SUM($AG753:AU753))),0)</f>
        <v>0</v>
      </c>
      <c r="AW753" s="8">
        <f t="shared" si="82"/>
        <v>0</v>
      </c>
      <c r="AX753" s="8">
        <f t="shared" si="83"/>
        <v>0</v>
      </c>
    </row>
    <row r="754" spans="1:50" ht="15" customHeight="1" x14ac:dyDescent="0.35">
      <c r="A754" s="102">
        <v>748</v>
      </c>
      <c r="B754" s="102" t="s">
        <v>1326</v>
      </c>
      <c r="C754" s="103">
        <v>382</v>
      </c>
      <c r="D754" s="102" t="s">
        <v>185</v>
      </c>
      <c r="E754" s="102" t="s">
        <v>479</v>
      </c>
      <c r="F754" s="102" t="s">
        <v>2332</v>
      </c>
      <c r="G754" s="102" t="s">
        <v>2333</v>
      </c>
      <c r="H754" s="102" t="s">
        <v>2334</v>
      </c>
      <c r="I754" s="102" t="s">
        <v>63</v>
      </c>
      <c r="J754" s="102"/>
      <c r="K754" s="102" t="s">
        <v>950</v>
      </c>
      <c r="L754" s="104">
        <v>44152</v>
      </c>
      <c r="M754" s="102" t="s">
        <v>2376</v>
      </c>
      <c r="N754" s="102" t="s">
        <v>2377</v>
      </c>
      <c r="O754" s="102" t="s">
        <v>383</v>
      </c>
      <c r="P754" s="103">
        <v>1</v>
      </c>
      <c r="Q754" s="105">
        <v>12000000</v>
      </c>
      <c r="R754" s="103">
        <v>48</v>
      </c>
      <c r="S754" s="105">
        <v>250000</v>
      </c>
      <c r="T754" s="105">
        <v>12000000</v>
      </c>
      <c r="U754" s="105">
        <v>0</v>
      </c>
      <c r="V754" s="105">
        <v>0</v>
      </c>
      <c r="W754" s="105">
        <v>0</v>
      </c>
      <c r="X754" s="105">
        <v>0</v>
      </c>
      <c r="Y754" s="105">
        <v>0</v>
      </c>
      <c r="Z754" s="105">
        <v>0</v>
      </c>
      <c r="AA754" s="105">
        <v>0</v>
      </c>
      <c r="AB754" s="105">
        <v>0</v>
      </c>
      <c r="AC754" s="8">
        <f t="shared" si="77"/>
        <v>12000000</v>
      </c>
      <c r="AD754" s="8">
        <f t="shared" si="78"/>
        <v>0</v>
      </c>
      <c r="AE754" s="8">
        <f t="shared" si="79"/>
        <v>0</v>
      </c>
      <c r="AF754" s="106">
        <f t="shared" si="80"/>
        <v>0</v>
      </c>
      <c r="AG754" s="8">
        <f t="shared" si="81"/>
        <v>0</v>
      </c>
      <c r="AH754" s="8">
        <f>IF($O754="Aktif",MAX(0,MIN($AE754,$AD754-SUM($AG754:AG754))),0)</f>
        <v>0</v>
      </c>
      <c r="AI754" s="8">
        <f>IF($O754="Aktif",MAX(0,MIN($AE754,$AD754-SUM($AG754:AH754))),0)</f>
        <v>0</v>
      </c>
      <c r="AJ754" s="8">
        <f>IF($O754="Aktif",MAX(0,MIN($AE754,$AD754-SUM($AG754:AI754))),0)</f>
        <v>0</v>
      </c>
      <c r="AK754" s="8">
        <f>IF($O754="Aktif",MAX(0,MIN($AE754,$AD754-SUM($AG754:AJ754))),0)</f>
        <v>0</v>
      </c>
      <c r="AL754" s="8">
        <f>IF($O754="Aktif",MAX(0,MIN($AE754,$AD754-SUM($AG754:AK754))),0)</f>
        <v>0</v>
      </c>
      <c r="AM754" s="8">
        <f>IF($O754="Aktif",MAX(0,MIN($AE754,$AD754-SUM($AG754:AL754))),0)</f>
        <v>0</v>
      </c>
      <c r="AN754" s="8">
        <f>IF($O754="Aktif",MAX(0,MIN($AE754,$AD754-SUM($AG754:AM754))),0)</f>
        <v>0</v>
      </c>
      <c r="AO754" s="8">
        <f>IF($O754="Aktif",MAX(0,MIN($AE754,$AD754-SUM($AG754:AN754))),0)</f>
        <v>0</v>
      </c>
      <c r="AP754" s="8">
        <f>IF($O754="Aktif",MAX(0,MIN($AE754,$AD754-SUM($AG754:AO754))),0)</f>
        <v>0</v>
      </c>
      <c r="AQ754" s="8">
        <f>IF($O754="Aktif",MAX(0,MIN($AE754,$AD754-SUM($AG754:AP754))),0)</f>
        <v>0</v>
      </c>
      <c r="AR754" s="8">
        <f>IF($O754="Aktif",MAX(0,MIN($AE754,$AD754-SUM($AG754:AQ754))),0)</f>
        <v>0</v>
      </c>
      <c r="AS754" s="8">
        <f>IF($O754="Aktif",MAX(0,MIN($AE754,$AD754-SUM($AG754:AR754))),0)</f>
        <v>0</v>
      </c>
      <c r="AT754" s="8">
        <f>IF($O754="Aktif",MAX(0,MIN($AE754,$AD754-SUM($AG754:AS754))),0)</f>
        <v>0</v>
      </c>
      <c r="AU754" s="8">
        <f>IF($O754="Aktif",MAX(0,MIN($AE754,$AD754-SUM($AG754:AT754))),0)</f>
        <v>0</v>
      </c>
      <c r="AV754" s="8">
        <f>IF($O754="Aktif",MAX(0,MIN($AE754,$AD754-SUM($AG754:AU754))),0)</f>
        <v>0</v>
      </c>
      <c r="AW754" s="8">
        <f t="shared" si="82"/>
        <v>0</v>
      </c>
      <c r="AX754" s="8">
        <f t="shared" si="83"/>
        <v>0</v>
      </c>
    </row>
    <row r="755" spans="1:50" ht="15" customHeight="1" x14ac:dyDescent="0.35">
      <c r="A755" s="102">
        <v>749</v>
      </c>
      <c r="B755" s="102" t="s">
        <v>1326</v>
      </c>
      <c r="C755" s="103">
        <v>383</v>
      </c>
      <c r="D755" s="102" t="s">
        <v>185</v>
      </c>
      <c r="E755" s="102" t="s">
        <v>479</v>
      </c>
      <c r="F755" s="102" t="s">
        <v>2332</v>
      </c>
      <c r="G755" s="102" t="s">
        <v>2333</v>
      </c>
      <c r="H755" s="102" t="s">
        <v>2334</v>
      </c>
      <c r="I755" s="102" t="s">
        <v>63</v>
      </c>
      <c r="J755" s="102"/>
      <c r="K755" s="102" t="s">
        <v>950</v>
      </c>
      <c r="L755" s="104">
        <v>44161</v>
      </c>
      <c r="M755" s="102" t="s">
        <v>2378</v>
      </c>
      <c r="N755" s="102" t="s">
        <v>2379</v>
      </c>
      <c r="O755" s="102" t="s">
        <v>383</v>
      </c>
      <c r="P755" s="103">
        <v>1</v>
      </c>
      <c r="Q755" s="105">
        <v>5500000</v>
      </c>
      <c r="R755" s="103">
        <v>48</v>
      </c>
      <c r="S755" s="105">
        <v>114583.33333333299</v>
      </c>
      <c r="T755" s="105">
        <v>5500000</v>
      </c>
      <c r="U755" s="105">
        <v>0</v>
      </c>
      <c r="V755" s="105">
        <v>0</v>
      </c>
      <c r="W755" s="105">
        <v>0</v>
      </c>
      <c r="X755" s="105">
        <v>0</v>
      </c>
      <c r="Y755" s="105">
        <v>0</v>
      </c>
      <c r="Z755" s="105">
        <v>0</v>
      </c>
      <c r="AA755" s="105">
        <v>0</v>
      </c>
      <c r="AB755" s="105">
        <v>0</v>
      </c>
      <c r="AC755" s="8">
        <f t="shared" si="77"/>
        <v>5500000</v>
      </c>
      <c r="AD755" s="8">
        <f t="shared" si="78"/>
        <v>0</v>
      </c>
      <c r="AE755" s="8">
        <f t="shared" si="79"/>
        <v>0</v>
      </c>
      <c r="AF755" s="106">
        <f t="shared" si="80"/>
        <v>0</v>
      </c>
      <c r="AG755" s="8">
        <f t="shared" si="81"/>
        <v>0</v>
      </c>
      <c r="AH755" s="8">
        <f>IF($O755="Aktif",MAX(0,MIN($AE755,$AD755-SUM($AG755:AG755))),0)</f>
        <v>0</v>
      </c>
      <c r="AI755" s="8">
        <f>IF($O755="Aktif",MAX(0,MIN($AE755,$AD755-SUM($AG755:AH755))),0)</f>
        <v>0</v>
      </c>
      <c r="AJ755" s="8">
        <f>IF($O755="Aktif",MAX(0,MIN($AE755,$AD755-SUM($AG755:AI755))),0)</f>
        <v>0</v>
      </c>
      <c r="AK755" s="8">
        <f>IF($O755="Aktif",MAX(0,MIN($AE755,$AD755-SUM($AG755:AJ755))),0)</f>
        <v>0</v>
      </c>
      <c r="AL755" s="8">
        <f>IF($O755="Aktif",MAX(0,MIN($AE755,$AD755-SUM($AG755:AK755))),0)</f>
        <v>0</v>
      </c>
      <c r="AM755" s="8">
        <f>IF($O755="Aktif",MAX(0,MIN($AE755,$AD755-SUM($AG755:AL755))),0)</f>
        <v>0</v>
      </c>
      <c r="AN755" s="8">
        <f>IF($O755="Aktif",MAX(0,MIN($AE755,$AD755-SUM($AG755:AM755))),0)</f>
        <v>0</v>
      </c>
      <c r="AO755" s="8">
        <f>IF($O755="Aktif",MAX(0,MIN($AE755,$AD755-SUM($AG755:AN755))),0)</f>
        <v>0</v>
      </c>
      <c r="AP755" s="8">
        <f>IF($O755="Aktif",MAX(0,MIN($AE755,$AD755-SUM($AG755:AO755))),0)</f>
        <v>0</v>
      </c>
      <c r="AQ755" s="8">
        <f>IF($O755="Aktif",MAX(0,MIN($AE755,$AD755-SUM($AG755:AP755))),0)</f>
        <v>0</v>
      </c>
      <c r="AR755" s="8">
        <f>IF($O755="Aktif",MAX(0,MIN($AE755,$AD755-SUM($AG755:AQ755))),0)</f>
        <v>0</v>
      </c>
      <c r="AS755" s="8">
        <f>IF($O755="Aktif",MAX(0,MIN($AE755,$AD755-SUM($AG755:AR755))),0)</f>
        <v>0</v>
      </c>
      <c r="AT755" s="8">
        <f>IF($O755="Aktif",MAX(0,MIN($AE755,$AD755-SUM($AG755:AS755))),0)</f>
        <v>0</v>
      </c>
      <c r="AU755" s="8">
        <f>IF($O755="Aktif",MAX(0,MIN($AE755,$AD755-SUM($AG755:AT755))),0)</f>
        <v>0</v>
      </c>
      <c r="AV755" s="8">
        <f>IF($O755="Aktif",MAX(0,MIN($AE755,$AD755-SUM($AG755:AU755))),0)</f>
        <v>0</v>
      </c>
      <c r="AW755" s="8">
        <f t="shared" si="82"/>
        <v>0</v>
      </c>
      <c r="AX755" s="8">
        <f t="shared" si="83"/>
        <v>0</v>
      </c>
    </row>
    <row r="756" spans="1:50" ht="15" customHeight="1" x14ac:dyDescent="0.35">
      <c r="A756" s="102">
        <v>750</v>
      </c>
      <c r="B756" s="102" t="s">
        <v>1326</v>
      </c>
      <c r="C756" s="103">
        <v>384</v>
      </c>
      <c r="D756" s="102" t="s">
        <v>185</v>
      </c>
      <c r="E756" s="102" t="s">
        <v>479</v>
      </c>
      <c r="F756" s="102" t="s">
        <v>2332</v>
      </c>
      <c r="G756" s="102" t="s">
        <v>2333</v>
      </c>
      <c r="H756" s="102" t="s">
        <v>2334</v>
      </c>
      <c r="I756" s="102" t="s">
        <v>63</v>
      </c>
      <c r="J756" s="102"/>
      <c r="K756" s="102" t="s">
        <v>950</v>
      </c>
      <c r="L756" s="104">
        <v>44162</v>
      </c>
      <c r="M756" s="102" t="s">
        <v>2380</v>
      </c>
      <c r="N756" s="102" t="s">
        <v>2381</v>
      </c>
      <c r="O756" s="102" t="s">
        <v>383</v>
      </c>
      <c r="P756" s="103">
        <v>3</v>
      </c>
      <c r="Q756" s="105">
        <v>2045455</v>
      </c>
      <c r="R756" s="103">
        <v>48</v>
      </c>
      <c r="S756" s="105">
        <v>42613.645833333299</v>
      </c>
      <c r="T756" s="105">
        <v>2045455</v>
      </c>
      <c r="U756" s="105">
        <v>0</v>
      </c>
      <c r="V756" s="105">
        <v>0</v>
      </c>
      <c r="W756" s="105">
        <v>0</v>
      </c>
      <c r="X756" s="105">
        <v>0</v>
      </c>
      <c r="Y756" s="105">
        <v>0</v>
      </c>
      <c r="Z756" s="105">
        <v>0</v>
      </c>
      <c r="AA756" s="105">
        <v>0</v>
      </c>
      <c r="AB756" s="105">
        <v>0</v>
      </c>
      <c r="AC756" s="8">
        <f t="shared" si="77"/>
        <v>2045455</v>
      </c>
      <c r="AD756" s="8">
        <f t="shared" si="78"/>
        <v>0</v>
      </c>
      <c r="AE756" s="8">
        <f t="shared" si="79"/>
        <v>0</v>
      </c>
      <c r="AF756" s="106">
        <f t="shared" si="80"/>
        <v>0</v>
      </c>
      <c r="AG756" s="8">
        <f t="shared" si="81"/>
        <v>0</v>
      </c>
      <c r="AH756" s="8">
        <f>IF($O756="Aktif",MAX(0,MIN($AE756,$AD756-SUM($AG756:AG756))),0)</f>
        <v>0</v>
      </c>
      <c r="AI756" s="8">
        <f>IF($O756="Aktif",MAX(0,MIN($AE756,$AD756-SUM($AG756:AH756))),0)</f>
        <v>0</v>
      </c>
      <c r="AJ756" s="8">
        <f>IF($O756="Aktif",MAX(0,MIN($AE756,$AD756-SUM($AG756:AI756))),0)</f>
        <v>0</v>
      </c>
      <c r="AK756" s="8">
        <f>IF($O756="Aktif",MAX(0,MIN($AE756,$AD756-SUM($AG756:AJ756))),0)</f>
        <v>0</v>
      </c>
      <c r="AL756" s="8">
        <f>IF($O756="Aktif",MAX(0,MIN($AE756,$AD756-SUM($AG756:AK756))),0)</f>
        <v>0</v>
      </c>
      <c r="AM756" s="8">
        <f>IF($O756="Aktif",MAX(0,MIN($AE756,$AD756-SUM($AG756:AL756))),0)</f>
        <v>0</v>
      </c>
      <c r="AN756" s="8">
        <f>IF($O756="Aktif",MAX(0,MIN($AE756,$AD756-SUM($AG756:AM756))),0)</f>
        <v>0</v>
      </c>
      <c r="AO756" s="8">
        <f>IF($O756="Aktif",MAX(0,MIN($AE756,$AD756-SUM($AG756:AN756))),0)</f>
        <v>0</v>
      </c>
      <c r="AP756" s="8">
        <f>IF($O756="Aktif",MAX(0,MIN($AE756,$AD756-SUM($AG756:AO756))),0)</f>
        <v>0</v>
      </c>
      <c r="AQ756" s="8">
        <f>IF($O756="Aktif",MAX(0,MIN($AE756,$AD756-SUM($AG756:AP756))),0)</f>
        <v>0</v>
      </c>
      <c r="AR756" s="8">
        <f>IF($O756="Aktif",MAX(0,MIN($AE756,$AD756-SUM($AG756:AQ756))),0)</f>
        <v>0</v>
      </c>
      <c r="AS756" s="8">
        <f>IF($O756="Aktif",MAX(0,MIN($AE756,$AD756-SUM($AG756:AR756))),0)</f>
        <v>0</v>
      </c>
      <c r="AT756" s="8">
        <f>IF($O756="Aktif",MAX(0,MIN($AE756,$AD756-SUM($AG756:AS756))),0)</f>
        <v>0</v>
      </c>
      <c r="AU756" s="8">
        <f>IF($O756="Aktif",MAX(0,MIN($AE756,$AD756-SUM($AG756:AT756))),0)</f>
        <v>0</v>
      </c>
      <c r="AV756" s="8">
        <f>IF($O756="Aktif",MAX(0,MIN($AE756,$AD756-SUM($AG756:AU756))),0)</f>
        <v>0</v>
      </c>
      <c r="AW756" s="8">
        <f t="shared" si="82"/>
        <v>0</v>
      </c>
      <c r="AX756" s="8">
        <f t="shared" si="83"/>
        <v>0</v>
      </c>
    </row>
    <row r="757" spans="1:50" ht="15" customHeight="1" x14ac:dyDescent="0.35">
      <c r="A757" s="102">
        <v>751</v>
      </c>
      <c r="B757" s="102" t="s">
        <v>1326</v>
      </c>
      <c r="C757" s="103">
        <v>385</v>
      </c>
      <c r="D757" s="102" t="s">
        <v>185</v>
      </c>
      <c r="E757" s="102" t="s">
        <v>479</v>
      </c>
      <c r="F757" s="102" t="s">
        <v>2332</v>
      </c>
      <c r="G757" s="102" t="s">
        <v>2333</v>
      </c>
      <c r="H757" s="102" t="s">
        <v>2334</v>
      </c>
      <c r="I757" s="102" t="s">
        <v>63</v>
      </c>
      <c r="J757" s="102"/>
      <c r="K757" s="102" t="s">
        <v>950</v>
      </c>
      <c r="L757" s="104">
        <v>44165</v>
      </c>
      <c r="M757" s="102" t="s">
        <v>2382</v>
      </c>
      <c r="N757" s="102" t="s">
        <v>2383</v>
      </c>
      <c r="O757" s="102" t="s">
        <v>383</v>
      </c>
      <c r="P757" s="103">
        <v>2</v>
      </c>
      <c r="Q757" s="105">
        <v>3320000</v>
      </c>
      <c r="R757" s="103">
        <v>48</v>
      </c>
      <c r="S757" s="105">
        <v>69166.666666666701</v>
      </c>
      <c r="T757" s="105">
        <v>3320000</v>
      </c>
      <c r="U757" s="105">
        <v>0</v>
      </c>
      <c r="V757" s="105">
        <v>0</v>
      </c>
      <c r="W757" s="105">
        <v>0</v>
      </c>
      <c r="X757" s="105">
        <v>0</v>
      </c>
      <c r="Y757" s="105">
        <v>0</v>
      </c>
      <c r="Z757" s="105">
        <v>0</v>
      </c>
      <c r="AA757" s="105">
        <v>0</v>
      </c>
      <c r="AB757" s="105">
        <v>0</v>
      </c>
      <c r="AC757" s="8">
        <f t="shared" si="77"/>
        <v>3320000</v>
      </c>
      <c r="AD757" s="8">
        <f t="shared" si="78"/>
        <v>0</v>
      </c>
      <c r="AE757" s="8">
        <f t="shared" si="79"/>
        <v>0</v>
      </c>
      <c r="AF757" s="106">
        <f t="shared" si="80"/>
        <v>0</v>
      </c>
      <c r="AG757" s="8">
        <f t="shared" si="81"/>
        <v>0</v>
      </c>
      <c r="AH757" s="8">
        <f>IF($O757="Aktif",MAX(0,MIN($AE757,$AD757-SUM($AG757:AG757))),0)</f>
        <v>0</v>
      </c>
      <c r="AI757" s="8">
        <f>IF($O757="Aktif",MAX(0,MIN($AE757,$AD757-SUM($AG757:AH757))),0)</f>
        <v>0</v>
      </c>
      <c r="AJ757" s="8">
        <f>IF($O757="Aktif",MAX(0,MIN($AE757,$AD757-SUM($AG757:AI757))),0)</f>
        <v>0</v>
      </c>
      <c r="AK757" s="8">
        <f>IF($O757="Aktif",MAX(0,MIN($AE757,$AD757-SUM($AG757:AJ757))),0)</f>
        <v>0</v>
      </c>
      <c r="AL757" s="8">
        <f>IF($O757="Aktif",MAX(0,MIN($AE757,$AD757-SUM($AG757:AK757))),0)</f>
        <v>0</v>
      </c>
      <c r="AM757" s="8">
        <f>IF($O757="Aktif",MAX(0,MIN($AE757,$AD757-SUM($AG757:AL757))),0)</f>
        <v>0</v>
      </c>
      <c r="AN757" s="8">
        <f>IF($O757="Aktif",MAX(0,MIN($AE757,$AD757-SUM($AG757:AM757))),0)</f>
        <v>0</v>
      </c>
      <c r="AO757" s="8">
        <f>IF($O757="Aktif",MAX(0,MIN($AE757,$AD757-SUM($AG757:AN757))),0)</f>
        <v>0</v>
      </c>
      <c r="AP757" s="8">
        <f>IF($O757="Aktif",MAX(0,MIN($AE757,$AD757-SUM($AG757:AO757))),0)</f>
        <v>0</v>
      </c>
      <c r="AQ757" s="8">
        <f>IF($O757="Aktif",MAX(0,MIN($AE757,$AD757-SUM($AG757:AP757))),0)</f>
        <v>0</v>
      </c>
      <c r="AR757" s="8">
        <f>IF($O757="Aktif",MAX(0,MIN($AE757,$AD757-SUM($AG757:AQ757))),0)</f>
        <v>0</v>
      </c>
      <c r="AS757" s="8">
        <f>IF($O757="Aktif",MAX(0,MIN($AE757,$AD757-SUM($AG757:AR757))),0)</f>
        <v>0</v>
      </c>
      <c r="AT757" s="8">
        <f>IF($O757="Aktif",MAX(0,MIN($AE757,$AD757-SUM($AG757:AS757))),0)</f>
        <v>0</v>
      </c>
      <c r="AU757" s="8">
        <f>IF($O757="Aktif",MAX(0,MIN($AE757,$AD757-SUM($AG757:AT757))),0)</f>
        <v>0</v>
      </c>
      <c r="AV757" s="8">
        <f>IF($O757="Aktif",MAX(0,MIN($AE757,$AD757-SUM($AG757:AU757))),0)</f>
        <v>0</v>
      </c>
      <c r="AW757" s="8">
        <f t="shared" si="82"/>
        <v>0</v>
      </c>
      <c r="AX757" s="8">
        <f t="shared" si="83"/>
        <v>0</v>
      </c>
    </row>
    <row r="758" spans="1:50" ht="15" customHeight="1" x14ac:dyDescent="0.35">
      <c r="A758" s="102">
        <v>752</v>
      </c>
      <c r="B758" s="102" t="s">
        <v>1326</v>
      </c>
      <c r="C758" s="103">
        <v>386</v>
      </c>
      <c r="D758" s="102" t="s">
        <v>185</v>
      </c>
      <c r="E758" s="102" t="s">
        <v>479</v>
      </c>
      <c r="F758" s="102" t="s">
        <v>2332</v>
      </c>
      <c r="G758" s="102" t="s">
        <v>2333</v>
      </c>
      <c r="H758" s="102" t="s">
        <v>2334</v>
      </c>
      <c r="I758" s="102" t="s">
        <v>63</v>
      </c>
      <c r="J758" s="102"/>
      <c r="K758" s="102" t="s">
        <v>950</v>
      </c>
      <c r="L758" s="104">
        <v>44177</v>
      </c>
      <c r="M758" s="102" t="s">
        <v>2384</v>
      </c>
      <c r="N758" s="102" t="s">
        <v>2385</v>
      </c>
      <c r="O758" s="102" t="s">
        <v>383</v>
      </c>
      <c r="P758" s="103">
        <v>1</v>
      </c>
      <c r="Q758" s="105">
        <v>5000000</v>
      </c>
      <c r="R758" s="103">
        <v>48</v>
      </c>
      <c r="S758" s="105">
        <v>104166.66666666701</v>
      </c>
      <c r="T758" s="105">
        <v>5000000</v>
      </c>
      <c r="U758" s="105">
        <v>0</v>
      </c>
      <c r="V758" s="105">
        <v>0</v>
      </c>
      <c r="W758" s="105">
        <v>0</v>
      </c>
      <c r="X758" s="105">
        <v>0</v>
      </c>
      <c r="Y758" s="105">
        <v>0</v>
      </c>
      <c r="Z758" s="105">
        <v>0</v>
      </c>
      <c r="AA758" s="105">
        <v>0</v>
      </c>
      <c r="AB758" s="105">
        <v>0</v>
      </c>
      <c r="AC758" s="8">
        <f t="shared" si="77"/>
        <v>5000000</v>
      </c>
      <c r="AD758" s="8">
        <f t="shared" si="78"/>
        <v>0</v>
      </c>
      <c r="AE758" s="8">
        <f t="shared" si="79"/>
        <v>0</v>
      </c>
      <c r="AF758" s="106">
        <f t="shared" si="80"/>
        <v>0</v>
      </c>
      <c r="AG758" s="8">
        <f t="shared" si="81"/>
        <v>0</v>
      </c>
      <c r="AH758" s="8">
        <f>IF($O758="Aktif",MAX(0,MIN($AE758,$AD758-SUM($AG758:AG758))),0)</f>
        <v>0</v>
      </c>
      <c r="AI758" s="8">
        <f>IF($O758="Aktif",MAX(0,MIN($AE758,$AD758-SUM($AG758:AH758))),0)</f>
        <v>0</v>
      </c>
      <c r="AJ758" s="8">
        <f>IF($O758="Aktif",MAX(0,MIN($AE758,$AD758-SUM($AG758:AI758))),0)</f>
        <v>0</v>
      </c>
      <c r="AK758" s="8">
        <f>IF($O758="Aktif",MAX(0,MIN($AE758,$AD758-SUM($AG758:AJ758))),0)</f>
        <v>0</v>
      </c>
      <c r="AL758" s="8">
        <f>IF($O758="Aktif",MAX(0,MIN($AE758,$AD758-SUM($AG758:AK758))),0)</f>
        <v>0</v>
      </c>
      <c r="AM758" s="8">
        <f>IF($O758="Aktif",MAX(0,MIN($AE758,$AD758-SUM($AG758:AL758))),0)</f>
        <v>0</v>
      </c>
      <c r="AN758" s="8">
        <f>IF($O758="Aktif",MAX(0,MIN($AE758,$AD758-SUM($AG758:AM758))),0)</f>
        <v>0</v>
      </c>
      <c r="AO758" s="8">
        <f>IF($O758="Aktif",MAX(0,MIN($AE758,$AD758-SUM($AG758:AN758))),0)</f>
        <v>0</v>
      </c>
      <c r="AP758" s="8">
        <f>IF($O758="Aktif",MAX(0,MIN($AE758,$AD758-SUM($AG758:AO758))),0)</f>
        <v>0</v>
      </c>
      <c r="AQ758" s="8">
        <f>IF($O758="Aktif",MAX(0,MIN($AE758,$AD758-SUM($AG758:AP758))),0)</f>
        <v>0</v>
      </c>
      <c r="AR758" s="8">
        <f>IF($O758="Aktif",MAX(0,MIN($AE758,$AD758-SUM($AG758:AQ758))),0)</f>
        <v>0</v>
      </c>
      <c r="AS758" s="8">
        <f>IF($O758="Aktif",MAX(0,MIN($AE758,$AD758-SUM($AG758:AR758))),0)</f>
        <v>0</v>
      </c>
      <c r="AT758" s="8">
        <f>IF($O758="Aktif",MAX(0,MIN($AE758,$AD758-SUM($AG758:AS758))),0)</f>
        <v>0</v>
      </c>
      <c r="AU758" s="8">
        <f>IF($O758="Aktif",MAX(0,MIN($AE758,$AD758-SUM($AG758:AT758))),0)</f>
        <v>0</v>
      </c>
      <c r="AV758" s="8">
        <f>IF($O758="Aktif",MAX(0,MIN($AE758,$AD758-SUM($AG758:AU758))),0)</f>
        <v>0</v>
      </c>
      <c r="AW758" s="8">
        <f t="shared" si="82"/>
        <v>0</v>
      </c>
      <c r="AX758" s="8">
        <f t="shared" si="83"/>
        <v>0</v>
      </c>
    </row>
    <row r="759" spans="1:50" ht="15" customHeight="1" x14ac:dyDescent="0.35">
      <c r="A759" s="102">
        <v>753</v>
      </c>
      <c r="B759" s="102" t="s">
        <v>1326</v>
      </c>
      <c r="C759" s="103">
        <v>387</v>
      </c>
      <c r="D759" s="102" t="s">
        <v>185</v>
      </c>
      <c r="E759" s="102" t="s">
        <v>479</v>
      </c>
      <c r="F759" s="102" t="s">
        <v>2332</v>
      </c>
      <c r="G759" s="102" t="s">
        <v>2333</v>
      </c>
      <c r="H759" s="102" t="s">
        <v>2334</v>
      </c>
      <c r="I759" s="102" t="s">
        <v>63</v>
      </c>
      <c r="J759" s="102"/>
      <c r="K759" s="102" t="s">
        <v>950</v>
      </c>
      <c r="L759" s="104">
        <v>44180</v>
      </c>
      <c r="M759" s="102" t="s">
        <v>2386</v>
      </c>
      <c r="N759" s="102" t="s">
        <v>2387</v>
      </c>
      <c r="O759" s="102" t="s">
        <v>383</v>
      </c>
      <c r="P759" s="103">
        <v>2</v>
      </c>
      <c r="Q759" s="105">
        <v>4000000</v>
      </c>
      <c r="R759" s="103">
        <v>48</v>
      </c>
      <c r="S759" s="105">
        <v>83333.333333333299</v>
      </c>
      <c r="T759" s="105">
        <v>4000000</v>
      </c>
      <c r="U759" s="105">
        <v>0</v>
      </c>
      <c r="V759" s="105">
        <v>0</v>
      </c>
      <c r="W759" s="105">
        <v>0</v>
      </c>
      <c r="X759" s="105">
        <v>0</v>
      </c>
      <c r="Y759" s="105">
        <v>0</v>
      </c>
      <c r="Z759" s="105">
        <v>0</v>
      </c>
      <c r="AA759" s="105">
        <v>0</v>
      </c>
      <c r="AB759" s="105">
        <v>0</v>
      </c>
      <c r="AC759" s="8">
        <f t="shared" si="77"/>
        <v>4000000</v>
      </c>
      <c r="AD759" s="8">
        <f t="shared" si="78"/>
        <v>0</v>
      </c>
      <c r="AE759" s="8">
        <f t="shared" si="79"/>
        <v>0</v>
      </c>
      <c r="AF759" s="106">
        <f t="shared" si="80"/>
        <v>0</v>
      </c>
      <c r="AG759" s="8">
        <f t="shared" si="81"/>
        <v>0</v>
      </c>
      <c r="AH759" s="8">
        <f>IF($O759="Aktif",MAX(0,MIN($AE759,$AD759-SUM($AG759:AG759))),0)</f>
        <v>0</v>
      </c>
      <c r="AI759" s="8">
        <f>IF($O759="Aktif",MAX(0,MIN($AE759,$AD759-SUM($AG759:AH759))),0)</f>
        <v>0</v>
      </c>
      <c r="AJ759" s="8">
        <f>IF($O759="Aktif",MAX(0,MIN($AE759,$AD759-SUM($AG759:AI759))),0)</f>
        <v>0</v>
      </c>
      <c r="AK759" s="8">
        <f>IF($O759="Aktif",MAX(0,MIN($AE759,$AD759-SUM($AG759:AJ759))),0)</f>
        <v>0</v>
      </c>
      <c r="AL759" s="8">
        <f>IF($O759="Aktif",MAX(0,MIN($AE759,$AD759-SUM($AG759:AK759))),0)</f>
        <v>0</v>
      </c>
      <c r="AM759" s="8">
        <f>IF($O759="Aktif",MAX(0,MIN($AE759,$AD759-SUM($AG759:AL759))),0)</f>
        <v>0</v>
      </c>
      <c r="AN759" s="8">
        <f>IF($O759="Aktif",MAX(0,MIN($AE759,$AD759-SUM($AG759:AM759))),0)</f>
        <v>0</v>
      </c>
      <c r="AO759" s="8">
        <f>IF($O759="Aktif",MAX(0,MIN($AE759,$AD759-SUM($AG759:AN759))),0)</f>
        <v>0</v>
      </c>
      <c r="AP759" s="8">
        <f>IF($O759="Aktif",MAX(0,MIN($AE759,$AD759-SUM($AG759:AO759))),0)</f>
        <v>0</v>
      </c>
      <c r="AQ759" s="8">
        <f>IF($O759="Aktif",MAX(0,MIN($AE759,$AD759-SUM($AG759:AP759))),0)</f>
        <v>0</v>
      </c>
      <c r="AR759" s="8">
        <f>IF($O759="Aktif",MAX(0,MIN($AE759,$AD759-SUM($AG759:AQ759))),0)</f>
        <v>0</v>
      </c>
      <c r="AS759" s="8">
        <f>IF($O759="Aktif",MAX(0,MIN($AE759,$AD759-SUM($AG759:AR759))),0)</f>
        <v>0</v>
      </c>
      <c r="AT759" s="8">
        <f>IF($O759="Aktif",MAX(0,MIN($AE759,$AD759-SUM($AG759:AS759))),0)</f>
        <v>0</v>
      </c>
      <c r="AU759" s="8">
        <f>IF($O759="Aktif",MAX(0,MIN($AE759,$AD759-SUM($AG759:AT759))),0)</f>
        <v>0</v>
      </c>
      <c r="AV759" s="8">
        <f>IF($O759="Aktif",MAX(0,MIN($AE759,$AD759-SUM($AG759:AU759))),0)</f>
        <v>0</v>
      </c>
      <c r="AW759" s="8">
        <f t="shared" si="82"/>
        <v>0</v>
      </c>
      <c r="AX759" s="8">
        <f t="shared" si="83"/>
        <v>0</v>
      </c>
    </row>
    <row r="760" spans="1:50" ht="15" customHeight="1" x14ac:dyDescent="0.35">
      <c r="A760" s="102">
        <v>754</v>
      </c>
      <c r="B760" s="102" t="s">
        <v>1326</v>
      </c>
      <c r="C760" s="103">
        <v>388</v>
      </c>
      <c r="D760" s="102" t="s">
        <v>185</v>
      </c>
      <c r="E760" s="102" t="s">
        <v>479</v>
      </c>
      <c r="F760" s="102" t="s">
        <v>2332</v>
      </c>
      <c r="G760" s="102" t="s">
        <v>2333</v>
      </c>
      <c r="H760" s="102" t="s">
        <v>2334</v>
      </c>
      <c r="I760" s="102" t="s">
        <v>63</v>
      </c>
      <c r="J760" s="102"/>
      <c r="K760" s="102" t="s">
        <v>950</v>
      </c>
      <c r="L760" s="104">
        <v>44166</v>
      </c>
      <c r="M760" s="102" t="s">
        <v>2388</v>
      </c>
      <c r="N760" s="102" t="s">
        <v>2389</v>
      </c>
      <c r="O760" s="102" t="s">
        <v>383</v>
      </c>
      <c r="P760" s="103">
        <v>1</v>
      </c>
      <c r="Q760" s="105">
        <v>15000000</v>
      </c>
      <c r="R760" s="103">
        <v>48</v>
      </c>
      <c r="S760" s="105">
        <v>312500</v>
      </c>
      <c r="T760" s="105">
        <v>15000000</v>
      </c>
      <c r="U760" s="105">
        <v>0</v>
      </c>
      <c r="V760" s="105">
        <v>0</v>
      </c>
      <c r="W760" s="105">
        <v>0</v>
      </c>
      <c r="X760" s="105">
        <v>0</v>
      </c>
      <c r="Y760" s="105">
        <v>0</v>
      </c>
      <c r="Z760" s="105">
        <v>0</v>
      </c>
      <c r="AA760" s="105">
        <v>0</v>
      </c>
      <c r="AB760" s="105">
        <v>0</v>
      </c>
      <c r="AC760" s="8">
        <f t="shared" si="77"/>
        <v>15000000</v>
      </c>
      <c r="AD760" s="8">
        <f t="shared" si="78"/>
        <v>0</v>
      </c>
      <c r="AE760" s="8">
        <f t="shared" si="79"/>
        <v>0</v>
      </c>
      <c r="AF760" s="106">
        <f t="shared" si="80"/>
        <v>0</v>
      </c>
      <c r="AG760" s="8">
        <f t="shared" si="81"/>
        <v>0</v>
      </c>
      <c r="AH760" s="8">
        <f>IF($O760="Aktif",MAX(0,MIN($AE760,$AD760-SUM($AG760:AG760))),0)</f>
        <v>0</v>
      </c>
      <c r="AI760" s="8">
        <f>IF($O760="Aktif",MAX(0,MIN($AE760,$AD760-SUM($AG760:AH760))),0)</f>
        <v>0</v>
      </c>
      <c r="AJ760" s="8">
        <f>IF($O760="Aktif",MAX(0,MIN($AE760,$AD760-SUM($AG760:AI760))),0)</f>
        <v>0</v>
      </c>
      <c r="AK760" s="8">
        <f>IF($O760="Aktif",MAX(0,MIN($AE760,$AD760-SUM($AG760:AJ760))),0)</f>
        <v>0</v>
      </c>
      <c r="AL760" s="8">
        <f>IF($O760="Aktif",MAX(0,MIN($AE760,$AD760-SUM($AG760:AK760))),0)</f>
        <v>0</v>
      </c>
      <c r="AM760" s="8">
        <f>IF($O760="Aktif",MAX(0,MIN($AE760,$AD760-SUM($AG760:AL760))),0)</f>
        <v>0</v>
      </c>
      <c r="AN760" s="8">
        <f>IF($O760="Aktif",MAX(0,MIN($AE760,$AD760-SUM($AG760:AM760))),0)</f>
        <v>0</v>
      </c>
      <c r="AO760" s="8">
        <f>IF($O760="Aktif",MAX(0,MIN($AE760,$AD760-SUM($AG760:AN760))),0)</f>
        <v>0</v>
      </c>
      <c r="AP760" s="8">
        <f>IF($O760="Aktif",MAX(0,MIN($AE760,$AD760-SUM($AG760:AO760))),0)</f>
        <v>0</v>
      </c>
      <c r="AQ760" s="8">
        <f>IF($O760="Aktif",MAX(0,MIN($AE760,$AD760-SUM($AG760:AP760))),0)</f>
        <v>0</v>
      </c>
      <c r="AR760" s="8">
        <f>IF($O760="Aktif",MAX(0,MIN($AE760,$AD760-SUM($AG760:AQ760))),0)</f>
        <v>0</v>
      </c>
      <c r="AS760" s="8">
        <f>IF($O760="Aktif",MAX(0,MIN($AE760,$AD760-SUM($AG760:AR760))),0)</f>
        <v>0</v>
      </c>
      <c r="AT760" s="8">
        <f>IF($O760="Aktif",MAX(0,MIN($AE760,$AD760-SUM($AG760:AS760))),0)</f>
        <v>0</v>
      </c>
      <c r="AU760" s="8">
        <f>IF($O760="Aktif",MAX(0,MIN($AE760,$AD760-SUM($AG760:AT760))),0)</f>
        <v>0</v>
      </c>
      <c r="AV760" s="8">
        <f>IF($O760="Aktif",MAX(0,MIN($AE760,$AD760-SUM($AG760:AU760))),0)</f>
        <v>0</v>
      </c>
      <c r="AW760" s="8">
        <f t="shared" si="82"/>
        <v>0</v>
      </c>
      <c r="AX760" s="8">
        <f t="shared" si="83"/>
        <v>0</v>
      </c>
    </row>
    <row r="761" spans="1:50" ht="15" customHeight="1" x14ac:dyDescent="0.35">
      <c r="A761" s="102">
        <v>755</v>
      </c>
      <c r="B761" s="102" t="s">
        <v>1326</v>
      </c>
      <c r="C761" s="103">
        <v>389</v>
      </c>
      <c r="D761" s="102" t="s">
        <v>185</v>
      </c>
      <c r="E761" s="102" t="s">
        <v>479</v>
      </c>
      <c r="F761" s="102" t="s">
        <v>2332</v>
      </c>
      <c r="G761" s="102" t="s">
        <v>2333</v>
      </c>
      <c r="H761" s="102" t="s">
        <v>2334</v>
      </c>
      <c r="I761" s="102" t="s">
        <v>63</v>
      </c>
      <c r="J761" s="102"/>
      <c r="K761" s="102" t="s">
        <v>950</v>
      </c>
      <c r="L761" s="104">
        <v>44168</v>
      </c>
      <c r="M761" s="102" t="s">
        <v>2390</v>
      </c>
      <c r="N761" s="102" t="s">
        <v>2391</v>
      </c>
      <c r="O761" s="102" t="s">
        <v>383</v>
      </c>
      <c r="P761" s="103">
        <v>1</v>
      </c>
      <c r="Q761" s="105">
        <v>1270000</v>
      </c>
      <c r="R761" s="103">
        <v>48</v>
      </c>
      <c r="S761" s="105">
        <v>26458.333333333299</v>
      </c>
      <c r="T761" s="105">
        <v>1270000</v>
      </c>
      <c r="U761" s="105">
        <v>0</v>
      </c>
      <c r="V761" s="105">
        <v>0</v>
      </c>
      <c r="W761" s="105">
        <v>0</v>
      </c>
      <c r="X761" s="105">
        <v>0</v>
      </c>
      <c r="Y761" s="105">
        <v>0</v>
      </c>
      <c r="Z761" s="105">
        <v>0</v>
      </c>
      <c r="AA761" s="105">
        <v>0</v>
      </c>
      <c r="AB761" s="105">
        <v>0</v>
      </c>
      <c r="AC761" s="8">
        <f t="shared" si="77"/>
        <v>1270000</v>
      </c>
      <c r="AD761" s="8">
        <f t="shared" si="78"/>
        <v>0</v>
      </c>
      <c r="AE761" s="8">
        <f t="shared" si="79"/>
        <v>0</v>
      </c>
      <c r="AF761" s="106">
        <f t="shared" si="80"/>
        <v>0</v>
      </c>
      <c r="AG761" s="8">
        <f t="shared" si="81"/>
        <v>0</v>
      </c>
      <c r="AH761" s="8">
        <f>IF($O761="Aktif",MAX(0,MIN($AE761,$AD761-SUM($AG761:AG761))),0)</f>
        <v>0</v>
      </c>
      <c r="AI761" s="8">
        <f>IF($O761="Aktif",MAX(0,MIN($AE761,$AD761-SUM($AG761:AH761))),0)</f>
        <v>0</v>
      </c>
      <c r="AJ761" s="8">
        <f>IF($O761="Aktif",MAX(0,MIN($AE761,$AD761-SUM($AG761:AI761))),0)</f>
        <v>0</v>
      </c>
      <c r="AK761" s="8">
        <f>IF($O761="Aktif",MAX(0,MIN($AE761,$AD761-SUM($AG761:AJ761))),0)</f>
        <v>0</v>
      </c>
      <c r="AL761" s="8">
        <f>IF($O761="Aktif",MAX(0,MIN($AE761,$AD761-SUM($AG761:AK761))),0)</f>
        <v>0</v>
      </c>
      <c r="AM761" s="8">
        <f>IF($O761="Aktif",MAX(0,MIN($AE761,$AD761-SUM($AG761:AL761))),0)</f>
        <v>0</v>
      </c>
      <c r="AN761" s="8">
        <f>IF($O761="Aktif",MAX(0,MIN($AE761,$AD761-SUM($AG761:AM761))),0)</f>
        <v>0</v>
      </c>
      <c r="AO761" s="8">
        <f>IF($O761="Aktif",MAX(0,MIN($AE761,$AD761-SUM($AG761:AN761))),0)</f>
        <v>0</v>
      </c>
      <c r="AP761" s="8">
        <f>IF($O761="Aktif",MAX(0,MIN($AE761,$AD761-SUM($AG761:AO761))),0)</f>
        <v>0</v>
      </c>
      <c r="AQ761" s="8">
        <f>IF($O761="Aktif",MAX(0,MIN($AE761,$AD761-SUM($AG761:AP761))),0)</f>
        <v>0</v>
      </c>
      <c r="AR761" s="8">
        <f>IF($O761="Aktif",MAX(0,MIN($AE761,$AD761-SUM($AG761:AQ761))),0)</f>
        <v>0</v>
      </c>
      <c r="AS761" s="8">
        <f>IF($O761="Aktif",MAX(0,MIN($AE761,$AD761-SUM($AG761:AR761))),0)</f>
        <v>0</v>
      </c>
      <c r="AT761" s="8">
        <f>IF($O761="Aktif",MAX(0,MIN($AE761,$AD761-SUM($AG761:AS761))),0)</f>
        <v>0</v>
      </c>
      <c r="AU761" s="8">
        <f>IF($O761="Aktif",MAX(0,MIN($AE761,$AD761-SUM($AG761:AT761))),0)</f>
        <v>0</v>
      </c>
      <c r="AV761" s="8">
        <f>IF($O761="Aktif",MAX(0,MIN($AE761,$AD761-SUM($AG761:AU761))),0)</f>
        <v>0</v>
      </c>
      <c r="AW761" s="8">
        <f t="shared" si="82"/>
        <v>0</v>
      </c>
      <c r="AX761" s="8">
        <f t="shared" si="83"/>
        <v>0</v>
      </c>
    </row>
    <row r="762" spans="1:50" ht="15" customHeight="1" x14ac:dyDescent="0.35">
      <c r="A762" s="102">
        <v>756</v>
      </c>
      <c r="B762" s="102" t="s">
        <v>1326</v>
      </c>
      <c r="C762" s="103">
        <v>390</v>
      </c>
      <c r="D762" s="102" t="s">
        <v>185</v>
      </c>
      <c r="E762" s="102" t="s">
        <v>479</v>
      </c>
      <c r="F762" s="102" t="s">
        <v>2332</v>
      </c>
      <c r="G762" s="102" t="s">
        <v>2333</v>
      </c>
      <c r="H762" s="102" t="s">
        <v>2334</v>
      </c>
      <c r="I762" s="102" t="s">
        <v>63</v>
      </c>
      <c r="J762" s="102"/>
      <c r="K762" s="102" t="s">
        <v>950</v>
      </c>
      <c r="L762" s="104">
        <v>44196</v>
      </c>
      <c r="M762" s="102" t="s">
        <v>2392</v>
      </c>
      <c r="N762" s="102" t="s">
        <v>2393</v>
      </c>
      <c r="O762" s="102" t="s">
        <v>383</v>
      </c>
      <c r="P762" s="103">
        <v>1</v>
      </c>
      <c r="Q762" s="105">
        <v>8115000</v>
      </c>
      <c r="R762" s="103">
        <v>48</v>
      </c>
      <c r="S762" s="105">
        <v>169062.5</v>
      </c>
      <c r="T762" s="105">
        <v>8115000</v>
      </c>
      <c r="U762" s="105">
        <v>0</v>
      </c>
      <c r="V762" s="105">
        <v>0</v>
      </c>
      <c r="W762" s="105">
        <v>0</v>
      </c>
      <c r="X762" s="105">
        <v>0</v>
      </c>
      <c r="Y762" s="105">
        <v>0</v>
      </c>
      <c r="Z762" s="105">
        <v>0</v>
      </c>
      <c r="AA762" s="105">
        <v>0</v>
      </c>
      <c r="AB762" s="105">
        <v>0</v>
      </c>
      <c r="AC762" s="8">
        <f t="shared" si="77"/>
        <v>8115000</v>
      </c>
      <c r="AD762" s="8">
        <f t="shared" si="78"/>
        <v>0</v>
      </c>
      <c r="AE762" s="8">
        <f t="shared" si="79"/>
        <v>0</v>
      </c>
      <c r="AF762" s="106">
        <f t="shared" si="80"/>
        <v>0</v>
      </c>
      <c r="AG762" s="8">
        <f t="shared" si="81"/>
        <v>0</v>
      </c>
      <c r="AH762" s="8">
        <f>IF($O762="Aktif",MAX(0,MIN($AE762,$AD762-SUM($AG762:AG762))),0)</f>
        <v>0</v>
      </c>
      <c r="AI762" s="8">
        <f>IF($O762="Aktif",MAX(0,MIN($AE762,$AD762-SUM($AG762:AH762))),0)</f>
        <v>0</v>
      </c>
      <c r="AJ762" s="8">
        <f>IF($O762="Aktif",MAX(0,MIN($AE762,$AD762-SUM($AG762:AI762))),0)</f>
        <v>0</v>
      </c>
      <c r="AK762" s="8">
        <f>IF($O762="Aktif",MAX(0,MIN($AE762,$AD762-SUM($AG762:AJ762))),0)</f>
        <v>0</v>
      </c>
      <c r="AL762" s="8">
        <f>IF($O762="Aktif",MAX(0,MIN($AE762,$AD762-SUM($AG762:AK762))),0)</f>
        <v>0</v>
      </c>
      <c r="AM762" s="8">
        <f>IF($O762="Aktif",MAX(0,MIN($AE762,$AD762-SUM($AG762:AL762))),0)</f>
        <v>0</v>
      </c>
      <c r="AN762" s="8">
        <f>IF($O762="Aktif",MAX(0,MIN($AE762,$AD762-SUM($AG762:AM762))),0)</f>
        <v>0</v>
      </c>
      <c r="AO762" s="8">
        <f>IF($O762="Aktif",MAX(0,MIN($AE762,$AD762-SUM($AG762:AN762))),0)</f>
        <v>0</v>
      </c>
      <c r="AP762" s="8">
        <f>IF($O762="Aktif",MAX(0,MIN($AE762,$AD762-SUM($AG762:AO762))),0)</f>
        <v>0</v>
      </c>
      <c r="AQ762" s="8">
        <f>IF($O762="Aktif",MAX(0,MIN($AE762,$AD762-SUM($AG762:AP762))),0)</f>
        <v>0</v>
      </c>
      <c r="AR762" s="8">
        <f>IF($O762="Aktif",MAX(0,MIN($AE762,$AD762-SUM($AG762:AQ762))),0)</f>
        <v>0</v>
      </c>
      <c r="AS762" s="8">
        <f>IF($O762="Aktif",MAX(0,MIN($AE762,$AD762-SUM($AG762:AR762))),0)</f>
        <v>0</v>
      </c>
      <c r="AT762" s="8">
        <f>IF($O762="Aktif",MAX(0,MIN($AE762,$AD762-SUM($AG762:AS762))),0)</f>
        <v>0</v>
      </c>
      <c r="AU762" s="8">
        <f>IF($O762="Aktif",MAX(0,MIN($AE762,$AD762-SUM($AG762:AT762))),0)</f>
        <v>0</v>
      </c>
      <c r="AV762" s="8">
        <f>IF($O762="Aktif",MAX(0,MIN($AE762,$AD762-SUM($AG762:AU762))),0)</f>
        <v>0</v>
      </c>
      <c r="AW762" s="8">
        <f t="shared" si="82"/>
        <v>0</v>
      </c>
      <c r="AX762" s="8">
        <f t="shared" si="83"/>
        <v>0</v>
      </c>
    </row>
    <row r="763" spans="1:50" ht="15" customHeight="1" x14ac:dyDescent="0.35">
      <c r="A763" s="102">
        <v>757</v>
      </c>
      <c r="B763" s="102" t="s">
        <v>1326</v>
      </c>
      <c r="C763" s="103">
        <v>391</v>
      </c>
      <c r="D763" s="102" t="s">
        <v>185</v>
      </c>
      <c r="E763" s="102" t="s">
        <v>479</v>
      </c>
      <c r="F763" s="102" t="s">
        <v>2332</v>
      </c>
      <c r="G763" s="102" t="s">
        <v>2333</v>
      </c>
      <c r="H763" s="102" t="s">
        <v>2334</v>
      </c>
      <c r="I763" s="102" t="s">
        <v>63</v>
      </c>
      <c r="J763" s="102"/>
      <c r="K763" s="102" t="s">
        <v>2394</v>
      </c>
      <c r="L763" s="104">
        <v>44229</v>
      </c>
      <c r="M763" s="102" t="s">
        <v>2395</v>
      </c>
      <c r="N763" s="102" t="s">
        <v>2396</v>
      </c>
      <c r="O763" s="102" t="s">
        <v>383</v>
      </c>
      <c r="P763" s="103">
        <v>2</v>
      </c>
      <c r="Q763" s="105">
        <v>153227728</v>
      </c>
      <c r="R763" s="103">
        <v>48</v>
      </c>
      <c r="S763" s="105">
        <v>3192244.3333333302</v>
      </c>
      <c r="T763" s="105">
        <v>153227728</v>
      </c>
      <c r="U763" s="105">
        <v>0</v>
      </c>
      <c r="V763" s="105">
        <v>0</v>
      </c>
      <c r="W763" s="105">
        <v>0</v>
      </c>
      <c r="X763" s="105">
        <v>0</v>
      </c>
      <c r="Y763" s="105">
        <v>0</v>
      </c>
      <c r="Z763" s="105">
        <v>0</v>
      </c>
      <c r="AA763" s="105">
        <v>0</v>
      </c>
      <c r="AB763" s="105">
        <v>0</v>
      </c>
      <c r="AC763" s="8">
        <f t="shared" si="77"/>
        <v>153227728</v>
      </c>
      <c r="AD763" s="8">
        <f t="shared" si="78"/>
        <v>0</v>
      </c>
      <c r="AE763" s="8">
        <f t="shared" si="79"/>
        <v>0</v>
      </c>
      <c r="AF763" s="106">
        <f t="shared" si="80"/>
        <v>0</v>
      </c>
      <c r="AG763" s="8">
        <f t="shared" si="81"/>
        <v>0</v>
      </c>
      <c r="AH763" s="8">
        <f>IF($O763="Aktif",MAX(0,MIN($AE763,$AD763-SUM($AG763:AG763))),0)</f>
        <v>0</v>
      </c>
      <c r="AI763" s="8">
        <f>IF($O763="Aktif",MAX(0,MIN($AE763,$AD763-SUM($AG763:AH763))),0)</f>
        <v>0</v>
      </c>
      <c r="AJ763" s="8">
        <f>IF($O763="Aktif",MAX(0,MIN($AE763,$AD763-SUM($AG763:AI763))),0)</f>
        <v>0</v>
      </c>
      <c r="AK763" s="8">
        <f>IF($O763="Aktif",MAX(0,MIN($AE763,$AD763-SUM($AG763:AJ763))),0)</f>
        <v>0</v>
      </c>
      <c r="AL763" s="8">
        <f>IF($O763="Aktif",MAX(0,MIN($AE763,$AD763-SUM($AG763:AK763))),0)</f>
        <v>0</v>
      </c>
      <c r="AM763" s="8">
        <f>IF($O763="Aktif",MAX(0,MIN($AE763,$AD763-SUM($AG763:AL763))),0)</f>
        <v>0</v>
      </c>
      <c r="AN763" s="8">
        <f>IF($O763="Aktif",MAX(0,MIN($AE763,$AD763-SUM($AG763:AM763))),0)</f>
        <v>0</v>
      </c>
      <c r="AO763" s="8">
        <f>IF($O763="Aktif",MAX(0,MIN($AE763,$AD763-SUM($AG763:AN763))),0)</f>
        <v>0</v>
      </c>
      <c r="AP763" s="8">
        <f>IF($O763="Aktif",MAX(0,MIN($AE763,$AD763-SUM($AG763:AO763))),0)</f>
        <v>0</v>
      </c>
      <c r="AQ763" s="8">
        <f>IF($O763="Aktif",MAX(0,MIN($AE763,$AD763-SUM($AG763:AP763))),0)</f>
        <v>0</v>
      </c>
      <c r="AR763" s="8">
        <f>IF($O763="Aktif",MAX(0,MIN($AE763,$AD763-SUM($AG763:AQ763))),0)</f>
        <v>0</v>
      </c>
      <c r="AS763" s="8">
        <f>IF($O763="Aktif",MAX(0,MIN($AE763,$AD763-SUM($AG763:AR763))),0)</f>
        <v>0</v>
      </c>
      <c r="AT763" s="8">
        <f>IF($O763="Aktif",MAX(0,MIN($AE763,$AD763-SUM($AG763:AS763))),0)</f>
        <v>0</v>
      </c>
      <c r="AU763" s="8">
        <f>IF($O763="Aktif",MAX(0,MIN($AE763,$AD763-SUM($AG763:AT763))),0)</f>
        <v>0</v>
      </c>
      <c r="AV763" s="8">
        <f>IF($O763="Aktif",MAX(0,MIN($AE763,$AD763-SUM($AG763:AU763))),0)</f>
        <v>0</v>
      </c>
      <c r="AW763" s="8">
        <f t="shared" si="82"/>
        <v>0</v>
      </c>
      <c r="AX763" s="8">
        <f t="shared" si="83"/>
        <v>0</v>
      </c>
    </row>
    <row r="764" spans="1:50" ht="15" customHeight="1" x14ac:dyDescent="0.35">
      <c r="A764" s="102">
        <v>758</v>
      </c>
      <c r="B764" s="102" t="s">
        <v>1326</v>
      </c>
      <c r="C764" s="103">
        <v>392</v>
      </c>
      <c r="D764" s="102" t="s">
        <v>185</v>
      </c>
      <c r="E764" s="102" t="s">
        <v>479</v>
      </c>
      <c r="F764" s="102" t="s">
        <v>2332</v>
      </c>
      <c r="G764" s="102" t="s">
        <v>2333</v>
      </c>
      <c r="H764" s="102" t="s">
        <v>2334</v>
      </c>
      <c r="I764" s="102" t="s">
        <v>63</v>
      </c>
      <c r="J764" s="102"/>
      <c r="K764" s="102" t="s">
        <v>2397</v>
      </c>
      <c r="L764" s="104">
        <v>44258</v>
      </c>
      <c r="M764" s="102" t="s">
        <v>2398</v>
      </c>
      <c r="N764" s="102" t="s">
        <v>2399</v>
      </c>
      <c r="O764" s="102" t="s">
        <v>383</v>
      </c>
      <c r="P764" s="103">
        <v>1</v>
      </c>
      <c r="Q764" s="105">
        <v>58500000</v>
      </c>
      <c r="R764" s="103">
        <v>48</v>
      </c>
      <c r="S764" s="105">
        <v>1218750</v>
      </c>
      <c r="T764" s="105">
        <v>58500000</v>
      </c>
      <c r="U764" s="105">
        <v>0</v>
      </c>
      <c r="V764" s="105">
        <v>0</v>
      </c>
      <c r="W764" s="105">
        <v>0</v>
      </c>
      <c r="X764" s="105">
        <v>0</v>
      </c>
      <c r="Y764" s="105">
        <v>0</v>
      </c>
      <c r="Z764" s="105">
        <v>0</v>
      </c>
      <c r="AA764" s="105">
        <v>0</v>
      </c>
      <c r="AB764" s="105">
        <v>0</v>
      </c>
      <c r="AC764" s="8">
        <f t="shared" si="77"/>
        <v>58500000</v>
      </c>
      <c r="AD764" s="8">
        <f t="shared" si="78"/>
        <v>0</v>
      </c>
      <c r="AE764" s="8">
        <f t="shared" si="79"/>
        <v>0</v>
      </c>
      <c r="AF764" s="106">
        <f t="shared" si="80"/>
        <v>0</v>
      </c>
      <c r="AG764" s="8">
        <f t="shared" si="81"/>
        <v>0</v>
      </c>
      <c r="AH764" s="8">
        <f>IF($O764="Aktif",MAX(0,MIN($AE764,$AD764-SUM($AG764:AG764))),0)</f>
        <v>0</v>
      </c>
      <c r="AI764" s="8">
        <f>IF($O764="Aktif",MAX(0,MIN($AE764,$AD764-SUM($AG764:AH764))),0)</f>
        <v>0</v>
      </c>
      <c r="AJ764" s="8">
        <f>IF($O764="Aktif",MAX(0,MIN($AE764,$AD764-SUM($AG764:AI764))),0)</f>
        <v>0</v>
      </c>
      <c r="AK764" s="8">
        <f>IF($O764="Aktif",MAX(0,MIN($AE764,$AD764-SUM($AG764:AJ764))),0)</f>
        <v>0</v>
      </c>
      <c r="AL764" s="8">
        <f>IF($O764="Aktif",MAX(0,MIN($AE764,$AD764-SUM($AG764:AK764))),0)</f>
        <v>0</v>
      </c>
      <c r="AM764" s="8">
        <f>IF($O764="Aktif",MAX(0,MIN($AE764,$AD764-SUM($AG764:AL764))),0)</f>
        <v>0</v>
      </c>
      <c r="AN764" s="8">
        <f>IF($O764="Aktif",MAX(0,MIN($AE764,$AD764-SUM($AG764:AM764))),0)</f>
        <v>0</v>
      </c>
      <c r="AO764" s="8">
        <f>IF($O764="Aktif",MAX(0,MIN($AE764,$AD764-SUM($AG764:AN764))),0)</f>
        <v>0</v>
      </c>
      <c r="AP764" s="8">
        <f>IF($O764="Aktif",MAX(0,MIN($AE764,$AD764-SUM($AG764:AO764))),0)</f>
        <v>0</v>
      </c>
      <c r="AQ764" s="8">
        <f>IF($O764="Aktif",MAX(0,MIN($AE764,$AD764-SUM($AG764:AP764))),0)</f>
        <v>0</v>
      </c>
      <c r="AR764" s="8">
        <f>IF($O764="Aktif",MAX(0,MIN($AE764,$AD764-SUM($AG764:AQ764))),0)</f>
        <v>0</v>
      </c>
      <c r="AS764" s="8">
        <f>IF($O764="Aktif",MAX(0,MIN($AE764,$AD764-SUM($AG764:AR764))),0)</f>
        <v>0</v>
      </c>
      <c r="AT764" s="8">
        <f>IF($O764="Aktif",MAX(0,MIN($AE764,$AD764-SUM($AG764:AS764))),0)</f>
        <v>0</v>
      </c>
      <c r="AU764" s="8">
        <f>IF($O764="Aktif",MAX(0,MIN($AE764,$AD764-SUM($AG764:AT764))),0)</f>
        <v>0</v>
      </c>
      <c r="AV764" s="8">
        <f>IF($O764="Aktif",MAX(0,MIN($AE764,$AD764-SUM($AG764:AU764))),0)</f>
        <v>0</v>
      </c>
      <c r="AW764" s="8">
        <f t="shared" si="82"/>
        <v>0</v>
      </c>
      <c r="AX764" s="8">
        <f t="shared" si="83"/>
        <v>0</v>
      </c>
    </row>
    <row r="765" spans="1:50" ht="15" customHeight="1" x14ac:dyDescent="0.35">
      <c r="A765" s="102">
        <v>759</v>
      </c>
      <c r="B765" s="102" t="s">
        <v>1326</v>
      </c>
      <c r="C765" s="103">
        <v>393</v>
      </c>
      <c r="D765" s="102" t="s">
        <v>185</v>
      </c>
      <c r="E765" s="102" t="s">
        <v>479</v>
      </c>
      <c r="F765" s="102" t="s">
        <v>2332</v>
      </c>
      <c r="G765" s="102" t="s">
        <v>2333</v>
      </c>
      <c r="H765" s="102" t="s">
        <v>2334</v>
      </c>
      <c r="I765" s="102" t="s">
        <v>63</v>
      </c>
      <c r="J765" s="102"/>
      <c r="K765" s="102" t="s">
        <v>2400</v>
      </c>
      <c r="L765" s="104">
        <v>44282</v>
      </c>
      <c r="M765" s="102" t="s">
        <v>2401</v>
      </c>
      <c r="N765" s="102" t="s">
        <v>2402</v>
      </c>
      <c r="O765" s="102" t="s">
        <v>383</v>
      </c>
      <c r="P765" s="103">
        <v>1</v>
      </c>
      <c r="Q765" s="105">
        <v>4000000</v>
      </c>
      <c r="R765" s="103">
        <v>48</v>
      </c>
      <c r="S765" s="105">
        <v>83333.333333333299</v>
      </c>
      <c r="T765" s="105">
        <v>4000000</v>
      </c>
      <c r="U765" s="105">
        <v>0</v>
      </c>
      <c r="V765" s="105">
        <v>0</v>
      </c>
      <c r="W765" s="105">
        <v>0</v>
      </c>
      <c r="X765" s="105">
        <v>0</v>
      </c>
      <c r="Y765" s="105">
        <v>0</v>
      </c>
      <c r="Z765" s="105">
        <v>0</v>
      </c>
      <c r="AA765" s="105">
        <v>0</v>
      </c>
      <c r="AB765" s="105">
        <v>0</v>
      </c>
      <c r="AC765" s="8">
        <f t="shared" si="77"/>
        <v>4000000</v>
      </c>
      <c r="AD765" s="8">
        <f t="shared" si="78"/>
        <v>0</v>
      </c>
      <c r="AE765" s="8">
        <f t="shared" si="79"/>
        <v>0</v>
      </c>
      <c r="AF765" s="106">
        <f t="shared" si="80"/>
        <v>0</v>
      </c>
      <c r="AG765" s="8">
        <f t="shared" si="81"/>
        <v>0</v>
      </c>
      <c r="AH765" s="8">
        <f>IF($O765="Aktif",MAX(0,MIN($AE765,$AD765-SUM($AG765:AG765))),0)</f>
        <v>0</v>
      </c>
      <c r="AI765" s="8">
        <f>IF($O765="Aktif",MAX(0,MIN($AE765,$AD765-SUM($AG765:AH765))),0)</f>
        <v>0</v>
      </c>
      <c r="AJ765" s="8">
        <f>IF($O765="Aktif",MAX(0,MIN($AE765,$AD765-SUM($AG765:AI765))),0)</f>
        <v>0</v>
      </c>
      <c r="AK765" s="8">
        <f>IF($O765="Aktif",MAX(0,MIN($AE765,$AD765-SUM($AG765:AJ765))),0)</f>
        <v>0</v>
      </c>
      <c r="AL765" s="8">
        <f>IF($O765="Aktif",MAX(0,MIN($AE765,$AD765-SUM($AG765:AK765))),0)</f>
        <v>0</v>
      </c>
      <c r="AM765" s="8">
        <f>IF($O765="Aktif",MAX(0,MIN($AE765,$AD765-SUM($AG765:AL765))),0)</f>
        <v>0</v>
      </c>
      <c r="AN765" s="8">
        <f>IF($O765="Aktif",MAX(0,MIN($AE765,$AD765-SUM($AG765:AM765))),0)</f>
        <v>0</v>
      </c>
      <c r="AO765" s="8">
        <f>IF($O765="Aktif",MAX(0,MIN($AE765,$AD765-SUM($AG765:AN765))),0)</f>
        <v>0</v>
      </c>
      <c r="AP765" s="8">
        <f>IF($O765="Aktif",MAX(0,MIN($AE765,$AD765-SUM($AG765:AO765))),0)</f>
        <v>0</v>
      </c>
      <c r="AQ765" s="8">
        <f>IF($O765="Aktif",MAX(0,MIN($AE765,$AD765-SUM($AG765:AP765))),0)</f>
        <v>0</v>
      </c>
      <c r="AR765" s="8">
        <f>IF($O765="Aktif",MAX(0,MIN($AE765,$AD765-SUM($AG765:AQ765))),0)</f>
        <v>0</v>
      </c>
      <c r="AS765" s="8">
        <f>IF($O765="Aktif",MAX(0,MIN($AE765,$AD765-SUM($AG765:AR765))),0)</f>
        <v>0</v>
      </c>
      <c r="AT765" s="8">
        <f>IF($O765="Aktif",MAX(0,MIN($AE765,$AD765-SUM($AG765:AS765))),0)</f>
        <v>0</v>
      </c>
      <c r="AU765" s="8">
        <f>IF($O765="Aktif",MAX(0,MIN($AE765,$AD765-SUM($AG765:AT765))),0)</f>
        <v>0</v>
      </c>
      <c r="AV765" s="8">
        <f>IF($O765="Aktif",MAX(0,MIN($AE765,$AD765-SUM($AG765:AU765))),0)</f>
        <v>0</v>
      </c>
      <c r="AW765" s="8">
        <f t="shared" si="82"/>
        <v>0</v>
      </c>
      <c r="AX765" s="8">
        <f t="shared" si="83"/>
        <v>0</v>
      </c>
    </row>
    <row r="766" spans="1:50" ht="15" customHeight="1" x14ac:dyDescent="0.35">
      <c r="A766" s="102">
        <v>760</v>
      </c>
      <c r="B766" s="102" t="s">
        <v>1326</v>
      </c>
      <c r="C766" s="103">
        <v>394</v>
      </c>
      <c r="D766" s="102" t="s">
        <v>185</v>
      </c>
      <c r="E766" s="102" t="s">
        <v>479</v>
      </c>
      <c r="F766" s="102" t="s">
        <v>2332</v>
      </c>
      <c r="G766" s="102" t="s">
        <v>2333</v>
      </c>
      <c r="H766" s="102" t="s">
        <v>2334</v>
      </c>
      <c r="I766" s="102" t="s">
        <v>63</v>
      </c>
      <c r="J766" s="102"/>
      <c r="K766" s="102" t="s">
        <v>2403</v>
      </c>
      <c r="L766" s="104">
        <v>44287</v>
      </c>
      <c r="M766" s="102" t="s">
        <v>2404</v>
      </c>
      <c r="N766" s="102" t="s">
        <v>2405</v>
      </c>
      <c r="O766" s="102" t="s">
        <v>383</v>
      </c>
      <c r="P766" s="103">
        <v>1</v>
      </c>
      <c r="Q766" s="105">
        <v>3337000</v>
      </c>
      <c r="R766" s="103">
        <v>48</v>
      </c>
      <c r="S766" s="105">
        <v>69520.833333333299</v>
      </c>
      <c r="T766" s="105">
        <v>3337000</v>
      </c>
      <c r="U766" s="105">
        <v>0</v>
      </c>
      <c r="V766" s="105">
        <v>0</v>
      </c>
      <c r="W766" s="105">
        <v>0</v>
      </c>
      <c r="X766" s="105">
        <v>0</v>
      </c>
      <c r="Y766" s="105">
        <v>0</v>
      </c>
      <c r="Z766" s="105">
        <v>0</v>
      </c>
      <c r="AA766" s="105">
        <v>0</v>
      </c>
      <c r="AB766" s="105">
        <v>0</v>
      </c>
      <c r="AC766" s="8">
        <f t="shared" si="77"/>
        <v>3337000</v>
      </c>
      <c r="AD766" s="8">
        <f t="shared" si="78"/>
        <v>0</v>
      </c>
      <c r="AE766" s="8">
        <f t="shared" si="79"/>
        <v>0</v>
      </c>
      <c r="AF766" s="106">
        <f t="shared" si="80"/>
        <v>0</v>
      </c>
      <c r="AG766" s="8">
        <f t="shared" si="81"/>
        <v>0</v>
      </c>
      <c r="AH766" s="8">
        <f>IF($O766="Aktif",MAX(0,MIN($AE766,$AD766-SUM($AG766:AG766))),0)</f>
        <v>0</v>
      </c>
      <c r="AI766" s="8">
        <f>IF($O766="Aktif",MAX(0,MIN($AE766,$AD766-SUM($AG766:AH766))),0)</f>
        <v>0</v>
      </c>
      <c r="AJ766" s="8">
        <f>IF($O766="Aktif",MAX(0,MIN($AE766,$AD766-SUM($AG766:AI766))),0)</f>
        <v>0</v>
      </c>
      <c r="AK766" s="8">
        <f>IF($O766="Aktif",MAX(0,MIN($AE766,$AD766-SUM($AG766:AJ766))),0)</f>
        <v>0</v>
      </c>
      <c r="AL766" s="8">
        <f>IF($O766="Aktif",MAX(0,MIN($AE766,$AD766-SUM($AG766:AK766))),0)</f>
        <v>0</v>
      </c>
      <c r="AM766" s="8">
        <f>IF($O766="Aktif",MAX(0,MIN($AE766,$AD766-SUM($AG766:AL766))),0)</f>
        <v>0</v>
      </c>
      <c r="AN766" s="8">
        <f>IF($O766="Aktif",MAX(0,MIN($AE766,$AD766-SUM($AG766:AM766))),0)</f>
        <v>0</v>
      </c>
      <c r="AO766" s="8">
        <f>IF($O766="Aktif",MAX(0,MIN($AE766,$AD766-SUM($AG766:AN766))),0)</f>
        <v>0</v>
      </c>
      <c r="AP766" s="8">
        <f>IF($O766="Aktif",MAX(0,MIN($AE766,$AD766-SUM($AG766:AO766))),0)</f>
        <v>0</v>
      </c>
      <c r="AQ766" s="8">
        <f>IF($O766="Aktif",MAX(0,MIN($AE766,$AD766-SUM($AG766:AP766))),0)</f>
        <v>0</v>
      </c>
      <c r="AR766" s="8">
        <f>IF($O766="Aktif",MAX(0,MIN($AE766,$AD766-SUM($AG766:AQ766))),0)</f>
        <v>0</v>
      </c>
      <c r="AS766" s="8">
        <f>IF($O766="Aktif",MAX(0,MIN($AE766,$AD766-SUM($AG766:AR766))),0)</f>
        <v>0</v>
      </c>
      <c r="AT766" s="8">
        <f>IF($O766="Aktif",MAX(0,MIN($AE766,$AD766-SUM($AG766:AS766))),0)</f>
        <v>0</v>
      </c>
      <c r="AU766" s="8">
        <f>IF($O766="Aktif",MAX(0,MIN($AE766,$AD766-SUM($AG766:AT766))),0)</f>
        <v>0</v>
      </c>
      <c r="AV766" s="8">
        <f>IF($O766="Aktif",MAX(0,MIN($AE766,$AD766-SUM($AG766:AU766))),0)</f>
        <v>0</v>
      </c>
      <c r="AW766" s="8">
        <f t="shared" si="82"/>
        <v>0</v>
      </c>
      <c r="AX766" s="8">
        <f t="shared" si="83"/>
        <v>0</v>
      </c>
    </row>
    <row r="767" spans="1:50" ht="15" customHeight="1" x14ac:dyDescent="0.35">
      <c r="A767" s="102">
        <v>761</v>
      </c>
      <c r="B767" s="102" t="s">
        <v>1326</v>
      </c>
      <c r="C767" s="103">
        <v>395</v>
      </c>
      <c r="D767" s="102" t="s">
        <v>185</v>
      </c>
      <c r="E767" s="102" t="s">
        <v>479</v>
      </c>
      <c r="F767" s="102" t="s">
        <v>2332</v>
      </c>
      <c r="G767" s="102" t="s">
        <v>2333</v>
      </c>
      <c r="H767" s="102" t="s">
        <v>2334</v>
      </c>
      <c r="I767" s="102" t="s">
        <v>63</v>
      </c>
      <c r="J767" s="102"/>
      <c r="K767" s="102" t="s">
        <v>2406</v>
      </c>
      <c r="L767" s="104">
        <v>44305</v>
      </c>
      <c r="M767" s="102" t="s">
        <v>2407</v>
      </c>
      <c r="N767" s="102" t="s">
        <v>2408</v>
      </c>
      <c r="O767" s="102" t="s">
        <v>383</v>
      </c>
      <c r="P767" s="103">
        <v>1</v>
      </c>
      <c r="Q767" s="105">
        <v>3850000</v>
      </c>
      <c r="R767" s="103">
        <v>48</v>
      </c>
      <c r="S767" s="105">
        <v>80208.333333333299</v>
      </c>
      <c r="T767" s="105">
        <v>3850000</v>
      </c>
      <c r="U767" s="105">
        <v>0</v>
      </c>
      <c r="V767" s="105">
        <v>0</v>
      </c>
      <c r="W767" s="105">
        <v>0</v>
      </c>
      <c r="X767" s="105">
        <v>0</v>
      </c>
      <c r="Y767" s="105">
        <v>0</v>
      </c>
      <c r="Z767" s="105">
        <v>0</v>
      </c>
      <c r="AA767" s="105">
        <v>0</v>
      </c>
      <c r="AB767" s="105">
        <v>0</v>
      </c>
      <c r="AC767" s="8">
        <f t="shared" si="77"/>
        <v>3850000</v>
      </c>
      <c r="AD767" s="8">
        <f t="shared" si="78"/>
        <v>0</v>
      </c>
      <c r="AE767" s="8">
        <f t="shared" si="79"/>
        <v>0</v>
      </c>
      <c r="AF767" s="106">
        <f t="shared" si="80"/>
        <v>0</v>
      </c>
      <c r="AG767" s="8">
        <f t="shared" si="81"/>
        <v>0</v>
      </c>
      <c r="AH767" s="8">
        <f>IF($O767="Aktif",MAX(0,MIN($AE767,$AD767-SUM($AG767:AG767))),0)</f>
        <v>0</v>
      </c>
      <c r="AI767" s="8">
        <f>IF($O767="Aktif",MAX(0,MIN($AE767,$AD767-SUM($AG767:AH767))),0)</f>
        <v>0</v>
      </c>
      <c r="AJ767" s="8">
        <f>IF($O767="Aktif",MAX(0,MIN($AE767,$AD767-SUM($AG767:AI767))),0)</f>
        <v>0</v>
      </c>
      <c r="AK767" s="8">
        <f>IF($O767="Aktif",MAX(0,MIN($AE767,$AD767-SUM($AG767:AJ767))),0)</f>
        <v>0</v>
      </c>
      <c r="AL767" s="8">
        <f>IF($O767="Aktif",MAX(0,MIN($AE767,$AD767-SUM($AG767:AK767))),0)</f>
        <v>0</v>
      </c>
      <c r="AM767" s="8">
        <f>IF($O767="Aktif",MAX(0,MIN($AE767,$AD767-SUM($AG767:AL767))),0)</f>
        <v>0</v>
      </c>
      <c r="AN767" s="8">
        <f>IF($O767="Aktif",MAX(0,MIN($AE767,$AD767-SUM($AG767:AM767))),0)</f>
        <v>0</v>
      </c>
      <c r="AO767" s="8">
        <f>IF($O767="Aktif",MAX(0,MIN($AE767,$AD767-SUM($AG767:AN767))),0)</f>
        <v>0</v>
      </c>
      <c r="AP767" s="8">
        <f>IF($O767="Aktif",MAX(0,MIN($AE767,$AD767-SUM($AG767:AO767))),0)</f>
        <v>0</v>
      </c>
      <c r="AQ767" s="8">
        <f>IF($O767="Aktif",MAX(0,MIN($AE767,$AD767-SUM($AG767:AP767))),0)</f>
        <v>0</v>
      </c>
      <c r="AR767" s="8">
        <f>IF($O767="Aktif",MAX(0,MIN($AE767,$AD767-SUM($AG767:AQ767))),0)</f>
        <v>0</v>
      </c>
      <c r="AS767" s="8">
        <f>IF($O767="Aktif",MAX(0,MIN($AE767,$AD767-SUM($AG767:AR767))),0)</f>
        <v>0</v>
      </c>
      <c r="AT767" s="8">
        <f>IF($O767="Aktif",MAX(0,MIN($AE767,$AD767-SUM($AG767:AS767))),0)</f>
        <v>0</v>
      </c>
      <c r="AU767" s="8">
        <f>IF($O767="Aktif",MAX(0,MIN($AE767,$AD767-SUM($AG767:AT767))),0)</f>
        <v>0</v>
      </c>
      <c r="AV767" s="8">
        <f>IF($O767="Aktif",MAX(0,MIN($AE767,$AD767-SUM($AG767:AU767))),0)</f>
        <v>0</v>
      </c>
      <c r="AW767" s="8">
        <f t="shared" si="82"/>
        <v>0</v>
      </c>
      <c r="AX767" s="8">
        <f t="shared" si="83"/>
        <v>0</v>
      </c>
    </row>
    <row r="768" spans="1:50" ht="15" customHeight="1" x14ac:dyDescent="0.35">
      <c r="A768" s="102">
        <v>762</v>
      </c>
      <c r="B768" s="102" t="s">
        <v>1326</v>
      </c>
      <c r="C768" s="103">
        <v>396</v>
      </c>
      <c r="D768" s="102" t="s">
        <v>185</v>
      </c>
      <c r="E768" s="102" t="s">
        <v>479</v>
      </c>
      <c r="F768" s="102" t="s">
        <v>2332</v>
      </c>
      <c r="G768" s="102" t="s">
        <v>2333</v>
      </c>
      <c r="H768" s="102" t="s">
        <v>2334</v>
      </c>
      <c r="I768" s="102" t="s">
        <v>63</v>
      </c>
      <c r="J768" s="102"/>
      <c r="K768" s="102" t="s">
        <v>2409</v>
      </c>
      <c r="L768" s="104">
        <v>44334</v>
      </c>
      <c r="M768" s="102" t="s">
        <v>2410</v>
      </c>
      <c r="N768" s="102" t="s">
        <v>2411</v>
      </c>
      <c r="O768" s="102" t="s">
        <v>383</v>
      </c>
      <c r="P768" s="103">
        <v>1</v>
      </c>
      <c r="Q768" s="105">
        <v>68000000</v>
      </c>
      <c r="R768" s="103">
        <v>48</v>
      </c>
      <c r="S768" s="105">
        <v>1416666.66666667</v>
      </c>
      <c r="T768" s="105">
        <v>68000000</v>
      </c>
      <c r="U768" s="105">
        <v>0</v>
      </c>
      <c r="V768" s="105">
        <v>0</v>
      </c>
      <c r="W768" s="105">
        <v>0</v>
      </c>
      <c r="X768" s="105">
        <v>0</v>
      </c>
      <c r="Y768" s="105">
        <v>0</v>
      </c>
      <c r="Z768" s="105">
        <v>0</v>
      </c>
      <c r="AA768" s="105">
        <v>0</v>
      </c>
      <c r="AB768" s="105">
        <v>0</v>
      </c>
      <c r="AC768" s="8">
        <f t="shared" si="77"/>
        <v>68000000</v>
      </c>
      <c r="AD768" s="8">
        <f t="shared" si="78"/>
        <v>0</v>
      </c>
      <c r="AE768" s="8">
        <f t="shared" si="79"/>
        <v>0</v>
      </c>
      <c r="AF768" s="106">
        <f t="shared" si="80"/>
        <v>0</v>
      </c>
      <c r="AG768" s="8">
        <f t="shared" si="81"/>
        <v>0</v>
      </c>
      <c r="AH768" s="8">
        <f>IF($O768="Aktif",MAX(0,MIN($AE768,$AD768-SUM($AG768:AG768))),0)</f>
        <v>0</v>
      </c>
      <c r="AI768" s="8">
        <f>IF($O768="Aktif",MAX(0,MIN($AE768,$AD768-SUM($AG768:AH768))),0)</f>
        <v>0</v>
      </c>
      <c r="AJ768" s="8">
        <f>IF($O768="Aktif",MAX(0,MIN($AE768,$AD768-SUM($AG768:AI768))),0)</f>
        <v>0</v>
      </c>
      <c r="AK768" s="8">
        <f>IF($O768="Aktif",MAX(0,MIN($AE768,$AD768-SUM($AG768:AJ768))),0)</f>
        <v>0</v>
      </c>
      <c r="AL768" s="8">
        <f>IF($O768="Aktif",MAX(0,MIN($AE768,$AD768-SUM($AG768:AK768))),0)</f>
        <v>0</v>
      </c>
      <c r="AM768" s="8">
        <f>IF($O768="Aktif",MAX(0,MIN($AE768,$AD768-SUM($AG768:AL768))),0)</f>
        <v>0</v>
      </c>
      <c r="AN768" s="8">
        <f>IF($O768="Aktif",MAX(0,MIN($AE768,$AD768-SUM($AG768:AM768))),0)</f>
        <v>0</v>
      </c>
      <c r="AO768" s="8">
        <f>IF($O768="Aktif",MAX(0,MIN($AE768,$AD768-SUM($AG768:AN768))),0)</f>
        <v>0</v>
      </c>
      <c r="AP768" s="8">
        <f>IF($O768="Aktif",MAX(0,MIN($AE768,$AD768-SUM($AG768:AO768))),0)</f>
        <v>0</v>
      </c>
      <c r="AQ768" s="8">
        <f>IF($O768="Aktif",MAX(0,MIN($AE768,$AD768-SUM($AG768:AP768))),0)</f>
        <v>0</v>
      </c>
      <c r="AR768" s="8">
        <f>IF($O768="Aktif",MAX(0,MIN($AE768,$AD768-SUM($AG768:AQ768))),0)</f>
        <v>0</v>
      </c>
      <c r="AS768" s="8">
        <f>IF($O768="Aktif",MAX(0,MIN($AE768,$AD768-SUM($AG768:AR768))),0)</f>
        <v>0</v>
      </c>
      <c r="AT768" s="8">
        <f>IF($O768="Aktif",MAX(0,MIN($AE768,$AD768-SUM($AG768:AS768))),0)</f>
        <v>0</v>
      </c>
      <c r="AU768" s="8">
        <f>IF($O768="Aktif",MAX(0,MIN($AE768,$AD768-SUM($AG768:AT768))),0)</f>
        <v>0</v>
      </c>
      <c r="AV768" s="8">
        <f>IF($O768="Aktif",MAX(0,MIN($AE768,$AD768-SUM($AG768:AU768))),0)</f>
        <v>0</v>
      </c>
      <c r="AW768" s="8">
        <f t="shared" si="82"/>
        <v>0</v>
      </c>
      <c r="AX768" s="8">
        <f t="shared" si="83"/>
        <v>0</v>
      </c>
    </row>
    <row r="769" spans="1:50" ht="15" customHeight="1" x14ac:dyDescent="0.35">
      <c r="A769" s="102">
        <v>763</v>
      </c>
      <c r="B769" s="102" t="s">
        <v>1326</v>
      </c>
      <c r="C769" s="103">
        <v>397</v>
      </c>
      <c r="D769" s="102" t="s">
        <v>185</v>
      </c>
      <c r="E769" s="102" t="s">
        <v>479</v>
      </c>
      <c r="F769" s="102" t="s">
        <v>2332</v>
      </c>
      <c r="G769" s="102" t="s">
        <v>2333</v>
      </c>
      <c r="H769" s="102" t="s">
        <v>2334</v>
      </c>
      <c r="I769" s="102" t="s">
        <v>63</v>
      </c>
      <c r="J769" s="102"/>
      <c r="K769" s="102" t="s">
        <v>2412</v>
      </c>
      <c r="L769" s="104">
        <v>44386</v>
      </c>
      <c r="M769" s="102" t="s">
        <v>2413</v>
      </c>
      <c r="N769" s="102" t="s">
        <v>2414</v>
      </c>
      <c r="O769" s="102" t="s">
        <v>383</v>
      </c>
      <c r="P769" s="103">
        <v>1</v>
      </c>
      <c r="Q769" s="105">
        <v>22320000</v>
      </c>
      <c r="R769" s="103">
        <v>48</v>
      </c>
      <c r="S769" s="105">
        <v>465000</v>
      </c>
      <c r="T769" s="105">
        <v>22320000</v>
      </c>
      <c r="U769" s="105">
        <v>0</v>
      </c>
      <c r="V769" s="105">
        <v>0</v>
      </c>
      <c r="W769" s="105">
        <v>0</v>
      </c>
      <c r="X769" s="105">
        <v>0</v>
      </c>
      <c r="Y769" s="105">
        <v>0</v>
      </c>
      <c r="Z769" s="105">
        <v>0</v>
      </c>
      <c r="AA769" s="105">
        <v>0</v>
      </c>
      <c r="AB769" s="105">
        <v>0</v>
      </c>
      <c r="AC769" s="8">
        <f t="shared" si="77"/>
        <v>22320000</v>
      </c>
      <c r="AD769" s="8">
        <f t="shared" si="78"/>
        <v>0</v>
      </c>
      <c r="AE769" s="8">
        <f t="shared" si="79"/>
        <v>0</v>
      </c>
      <c r="AF769" s="106">
        <f t="shared" si="80"/>
        <v>0</v>
      </c>
      <c r="AG769" s="8">
        <f t="shared" si="81"/>
        <v>0</v>
      </c>
      <c r="AH769" s="8">
        <f>IF($O769="Aktif",MAX(0,MIN($AE769,$AD769-SUM($AG769:AG769))),0)</f>
        <v>0</v>
      </c>
      <c r="AI769" s="8">
        <f>IF($O769="Aktif",MAX(0,MIN($AE769,$AD769-SUM($AG769:AH769))),0)</f>
        <v>0</v>
      </c>
      <c r="AJ769" s="8">
        <f>IF($O769="Aktif",MAX(0,MIN($AE769,$AD769-SUM($AG769:AI769))),0)</f>
        <v>0</v>
      </c>
      <c r="AK769" s="8">
        <f>IF($O769="Aktif",MAX(0,MIN($AE769,$AD769-SUM($AG769:AJ769))),0)</f>
        <v>0</v>
      </c>
      <c r="AL769" s="8">
        <f>IF($O769="Aktif",MAX(0,MIN($AE769,$AD769-SUM($AG769:AK769))),0)</f>
        <v>0</v>
      </c>
      <c r="AM769" s="8">
        <f>IF($O769="Aktif",MAX(0,MIN($AE769,$AD769-SUM($AG769:AL769))),0)</f>
        <v>0</v>
      </c>
      <c r="AN769" s="8">
        <f>IF($O769="Aktif",MAX(0,MIN($AE769,$AD769-SUM($AG769:AM769))),0)</f>
        <v>0</v>
      </c>
      <c r="AO769" s="8">
        <f>IF($O769="Aktif",MAX(0,MIN($AE769,$AD769-SUM($AG769:AN769))),0)</f>
        <v>0</v>
      </c>
      <c r="AP769" s="8">
        <f>IF($O769="Aktif",MAX(0,MIN($AE769,$AD769-SUM($AG769:AO769))),0)</f>
        <v>0</v>
      </c>
      <c r="AQ769" s="8">
        <f>IF($O769="Aktif",MAX(0,MIN($AE769,$AD769-SUM($AG769:AP769))),0)</f>
        <v>0</v>
      </c>
      <c r="AR769" s="8">
        <f>IF($O769="Aktif",MAX(0,MIN($AE769,$AD769-SUM($AG769:AQ769))),0)</f>
        <v>0</v>
      </c>
      <c r="AS769" s="8">
        <f>IF($O769="Aktif",MAX(0,MIN($AE769,$AD769-SUM($AG769:AR769))),0)</f>
        <v>0</v>
      </c>
      <c r="AT769" s="8">
        <f>IF($O769="Aktif",MAX(0,MIN($AE769,$AD769-SUM($AG769:AS769))),0)</f>
        <v>0</v>
      </c>
      <c r="AU769" s="8">
        <f>IF($O769="Aktif",MAX(0,MIN($AE769,$AD769-SUM($AG769:AT769))),0)</f>
        <v>0</v>
      </c>
      <c r="AV769" s="8">
        <f>IF($O769="Aktif",MAX(0,MIN($AE769,$AD769-SUM($AG769:AU769))),0)</f>
        <v>0</v>
      </c>
      <c r="AW769" s="8">
        <f t="shared" si="82"/>
        <v>0</v>
      </c>
      <c r="AX769" s="8">
        <f t="shared" si="83"/>
        <v>0</v>
      </c>
    </row>
    <row r="770" spans="1:50" ht="15" customHeight="1" x14ac:dyDescent="0.35">
      <c r="A770" s="102">
        <v>764</v>
      </c>
      <c r="B770" s="102" t="s">
        <v>1326</v>
      </c>
      <c r="C770" s="103">
        <v>398</v>
      </c>
      <c r="D770" s="102" t="s">
        <v>185</v>
      </c>
      <c r="E770" s="102" t="s">
        <v>479</v>
      </c>
      <c r="F770" s="102" t="s">
        <v>2332</v>
      </c>
      <c r="G770" s="102" t="s">
        <v>2333</v>
      </c>
      <c r="H770" s="102" t="s">
        <v>2334</v>
      </c>
      <c r="I770" s="102" t="s">
        <v>63</v>
      </c>
      <c r="J770" s="102"/>
      <c r="K770" s="102" t="s">
        <v>2415</v>
      </c>
      <c r="L770" s="104">
        <v>44403</v>
      </c>
      <c r="M770" s="102" t="s">
        <v>2416</v>
      </c>
      <c r="N770" s="102" t="s">
        <v>2417</v>
      </c>
      <c r="O770" s="102" t="s">
        <v>383</v>
      </c>
      <c r="P770" s="103">
        <v>1</v>
      </c>
      <c r="Q770" s="105">
        <v>70000000</v>
      </c>
      <c r="R770" s="103">
        <v>48</v>
      </c>
      <c r="S770" s="105">
        <v>1458333.33333333</v>
      </c>
      <c r="T770" s="105">
        <v>70000000</v>
      </c>
      <c r="U770" s="105">
        <v>0</v>
      </c>
      <c r="V770" s="105">
        <v>0</v>
      </c>
      <c r="W770" s="105">
        <v>0</v>
      </c>
      <c r="X770" s="105">
        <v>0</v>
      </c>
      <c r="Y770" s="105">
        <v>0</v>
      </c>
      <c r="Z770" s="105">
        <v>0</v>
      </c>
      <c r="AA770" s="105">
        <v>0</v>
      </c>
      <c r="AB770" s="105">
        <v>0</v>
      </c>
      <c r="AC770" s="8">
        <f t="shared" si="77"/>
        <v>70000000</v>
      </c>
      <c r="AD770" s="8">
        <f t="shared" si="78"/>
        <v>0</v>
      </c>
      <c r="AE770" s="8">
        <f t="shared" si="79"/>
        <v>0</v>
      </c>
      <c r="AF770" s="106">
        <f t="shared" si="80"/>
        <v>0</v>
      </c>
      <c r="AG770" s="8">
        <f t="shared" si="81"/>
        <v>0</v>
      </c>
      <c r="AH770" s="8">
        <f>IF($O770="Aktif",MAX(0,MIN($AE770,$AD770-SUM($AG770:AG770))),0)</f>
        <v>0</v>
      </c>
      <c r="AI770" s="8">
        <f>IF($O770="Aktif",MAX(0,MIN($AE770,$AD770-SUM($AG770:AH770))),0)</f>
        <v>0</v>
      </c>
      <c r="AJ770" s="8">
        <f>IF($O770="Aktif",MAX(0,MIN($AE770,$AD770-SUM($AG770:AI770))),0)</f>
        <v>0</v>
      </c>
      <c r="AK770" s="8">
        <f>IF($O770="Aktif",MAX(0,MIN($AE770,$AD770-SUM($AG770:AJ770))),0)</f>
        <v>0</v>
      </c>
      <c r="AL770" s="8">
        <f>IF($O770="Aktif",MAX(0,MIN($AE770,$AD770-SUM($AG770:AK770))),0)</f>
        <v>0</v>
      </c>
      <c r="AM770" s="8">
        <f>IF($O770="Aktif",MAX(0,MIN($AE770,$AD770-SUM($AG770:AL770))),0)</f>
        <v>0</v>
      </c>
      <c r="AN770" s="8">
        <f>IF($O770="Aktif",MAX(0,MIN($AE770,$AD770-SUM($AG770:AM770))),0)</f>
        <v>0</v>
      </c>
      <c r="AO770" s="8">
        <f>IF($O770="Aktif",MAX(0,MIN($AE770,$AD770-SUM($AG770:AN770))),0)</f>
        <v>0</v>
      </c>
      <c r="AP770" s="8">
        <f>IF($O770="Aktif",MAX(0,MIN($AE770,$AD770-SUM($AG770:AO770))),0)</f>
        <v>0</v>
      </c>
      <c r="AQ770" s="8">
        <f>IF($O770="Aktif",MAX(0,MIN($AE770,$AD770-SUM($AG770:AP770))),0)</f>
        <v>0</v>
      </c>
      <c r="AR770" s="8">
        <f>IF($O770="Aktif",MAX(0,MIN($AE770,$AD770-SUM($AG770:AQ770))),0)</f>
        <v>0</v>
      </c>
      <c r="AS770" s="8">
        <f>IF($O770="Aktif",MAX(0,MIN($AE770,$AD770-SUM($AG770:AR770))),0)</f>
        <v>0</v>
      </c>
      <c r="AT770" s="8">
        <f>IF($O770="Aktif",MAX(0,MIN($AE770,$AD770-SUM($AG770:AS770))),0)</f>
        <v>0</v>
      </c>
      <c r="AU770" s="8">
        <f>IF($O770="Aktif",MAX(0,MIN($AE770,$AD770-SUM($AG770:AT770))),0)</f>
        <v>0</v>
      </c>
      <c r="AV770" s="8">
        <f>IF($O770="Aktif",MAX(0,MIN($AE770,$AD770-SUM($AG770:AU770))),0)</f>
        <v>0</v>
      </c>
      <c r="AW770" s="8">
        <f t="shared" si="82"/>
        <v>0</v>
      </c>
      <c r="AX770" s="8">
        <f t="shared" si="83"/>
        <v>0</v>
      </c>
    </row>
    <row r="771" spans="1:50" ht="15" customHeight="1" x14ac:dyDescent="0.35">
      <c r="A771" s="102">
        <v>765</v>
      </c>
      <c r="B771" s="102" t="s">
        <v>1326</v>
      </c>
      <c r="C771" s="103">
        <v>399</v>
      </c>
      <c r="D771" s="102" t="s">
        <v>185</v>
      </c>
      <c r="E771" s="102" t="s">
        <v>479</v>
      </c>
      <c r="F771" s="102" t="s">
        <v>2332</v>
      </c>
      <c r="G771" s="102" t="s">
        <v>2333</v>
      </c>
      <c r="H771" s="102" t="s">
        <v>2334</v>
      </c>
      <c r="I771" s="102" t="s">
        <v>63</v>
      </c>
      <c r="J771" s="102"/>
      <c r="K771" s="102" t="s">
        <v>2418</v>
      </c>
      <c r="L771" s="104">
        <v>44459</v>
      </c>
      <c r="M771" s="102" t="s">
        <v>2419</v>
      </c>
      <c r="N771" s="102" t="s">
        <v>2420</v>
      </c>
      <c r="O771" s="102" t="s">
        <v>383</v>
      </c>
      <c r="P771" s="103">
        <v>1</v>
      </c>
      <c r="Q771" s="105">
        <v>4260000</v>
      </c>
      <c r="R771" s="103">
        <v>48</v>
      </c>
      <c r="S771" s="105">
        <v>88750</v>
      </c>
      <c r="T771" s="105">
        <v>4260000</v>
      </c>
      <c r="U771" s="105">
        <v>0</v>
      </c>
      <c r="V771" s="105">
        <v>0</v>
      </c>
      <c r="W771" s="105">
        <v>0</v>
      </c>
      <c r="X771" s="105">
        <v>0</v>
      </c>
      <c r="Y771" s="105">
        <v>0</v>
      </c>
      <c r="Z771" s="105">
        <v>0</v>
      </c>
      <c r="AA771" s="105">
        <v>0</v>
      </c>
      <c r="AB771" s="105">
        <v>0</v>
      </c>
      <c r="AC771" s="8">
        <f t="shared" si="77"/>
        <v>4260000</v>
      </c>
      <c r="AD771" s="8">
        <f t="shared" si="78"/>
        <v>0</v>
      </c>
      <c r="AE771" s="8">
        <f t="shared" si="79"/>
        <v>0</v>
      </c>
      <c r="AF771" s="106">
        <f t="shared" si="80"/>
        <v>0</v>
      </c>
      <c r="AG771" s="8">
        <f t="shared" si="81"/>
        <v>0</v>
      </c>
      <c r="AH771" s="8">
        <f>IF($O771="Aktif",MAX(0,MIN($AE771,$AD771-SUM($AG771:AG771))),0)</f>
        <v>0</v>
      </c>
      <c r="AI771" s="8">
        <f>IF($O771="Aktif",MAX(0,MIN($AE771,$AD771-SUM($AG771:AH771))),0)</f>
        <v>0</v>
      </c>
      <c r="AJ771" s="8">
        <f>IF($O771="Aktif",MAX(0,MIN($AE771,$AD771-SUM($AG771:AI771))),0)</f>
        <v>0</v>
      </c>
      <c r="AK771" s="8">
        <f>IF($O771="Aktif",MAX(0,MIN($AE771,$AD771-SUM($AG771:AJ771))),0)</f>
        <v>0</v>
      </c>
      <c r="AL771" s="8">
        <f>IF($O771="Aktif",MAX(0,MIN($AE771,$AD771-SUM($AG771:AK771))),0)</f>
        <v>0</v>
      </c>
      <c r="AM771" s="8">
        <f>IF($O771="Aktif",MAX(0,MIN($AE771,$AD771-SUM($AG771:AL771))),0)</f>
        <v>0</v>
      </c>
      <c r="AN771" s="8">
        <f>IF($O771="Aktif",MAX(0,MIN($AE771,$AD771-SUM($AG771:AM771))),0)</f>
        <v>0</v>
      </c>
      <c r="AO771" s="8">
        <f>IF($O771="Aktif",MAX(0,MIN($AE771,$AD771-SUM($AG771:AN771))),0)</f>
        <v>0</v>
      </c>
      <c r="AP771" s="8">
        <f>IF($O771="Aktif",MAX(0,MIN($AE771,$AD771-SUM($AG771:AO771))),0)</f>
        <v>0</v>
      </c>
      <c r="AQ771" s="8">
        <f>IF($O771="Aktif",MAX(0,MIN($AE771,$AD771-SUM($AG771:AP771))),0)</f>
        <v>0</v>
      </c>
      <c r="AR771" s="8">
        <f>IF($O771="Aktif",MAX(0,MIN($AE771,$AD771-SUM($AG771:AQ771))),0)</f>
        <v>0</v>
      </c>
      <c r="AS771" s="8">
        <f>IF($O771="Aktif",MAX(0,MIN($AE771,$AD771-SUM($AG771:AR771))),0)</f>
        <v>0</v>
      </c>
      <c r="AT771" s="8">
        <f>IF($O771="Aktif",MAX(0,MIN($AE771,$AD771-SUM($AG771:AS771))),0)</f>
        <v>0</v>
      </c>
      <c r="AU771" s="8">
        <f>IF($O771="Aktif",MAX(0,MIN($AE771,$AD771-SUM($AG771:AT771))),0)</f>
        <v>0</v>
      </c>
      <c r="AV771" s="8">
        <f>IF($O771="Aktif",MAX(0,MIN($AE771,$AD771-SUM($AG771:AU771))),0)</f>
        <v>0</v>
      </c>
      <c r="AW771" s="8">
        <f t="shared" si="82"/>
        <v>0</v>
      </c>
      <c r="AX771" s="8">
        <f t="shared" si="83"/>
        <v>0</v>
      </c>
    </row>
    <row r="772" spans="1:50" ht="15" customHeight="1" x14ac:dyDescent="0.35">
      <c r="A772" s="102">
        <v>766</v>
      </c>
      <c r="B772" s="102" t="s">
        <v>1326</v>
      </c>
      <c r="C772" s="103">
        <v>400</v>
      </c>
      <c r="D772" s="102" t="s">
        <v>185</v>
      </c>
      <c r="E772" s="102" t="s">
        <v>479</v>
      </c>
      <c r="F772" s="102" t="s">
        <v>2332</v>
      </c>
      <c r="G772" s="102" t="s">
        <v>2333</v>
      </c>
      <c r="H772" s="102" t="s">
        <v>2334</v>
      </c>
      <c r="I772" s="102" t="s">
        <v>63</v>
      </c>
      <c r="J772" s="102"/>
      <c r="K772" s="102" t="s">
        <v>2421</v>
      </c>
      <c r="L772" s="104">
        <v>44483</v>
      </c>
      <c r="M772" s="102" t="s">
        <v>2422</v>
      </c>
      <c r="N772" s="102" t="s">
        <v>2423</v>
      </c>
      <c r="O772" s="102" t="s">
        <v>383</v>
      </c>
      <c r="P772" s="103">
        <v>2</v>
      </c>
      <c r="Q772" s="105">
        <v>93818180</v>
      </c>
      <c r="R772" s="103">
        <v>48</v>
      </c>
      <c r="S772" s="105">
        <v>1954545.41666667</v>
      </c>
      <c r="T772" s="105">
        <v>93818180</v>
      </c>
      <c r="U772" s="105">
        <v>0</v>
      </c>
      <c r="V772" s="105">
        <v>0</v>
      </c>
      <c r="W772" s="105">
        <v>0</v>
      </c>
      <c r="X772" s="105">
        <v>0</v>
      </c>
      <c r="Y772" s="105">
        <v>0</v>
      </c>
      <c r="Z772" s="105">
        <v>0</v>
      </c>
      <c r="AA772" s="105">
        <v>0</v>
      </c>
      <c r="AB772" s="105">
        <v>0</v>
      </c>
      <c r="AC772" s="8">
        <f t="shared" si="77"/>
        <v>93818180</v>
      </c>
      <c r="AD772" s="8">
        <f t="shared" si="78"/>
        <v>0</v>
      </c>
      <c r="AE772" s="8">
        <f t="shared" si="79"/>
        <v>0</v>
      </c>
      <c r="AF772" s="106">
        <f t="shared" si="80"/>
        <v>0</v>
      </c>
      <c r="AG772" s="8">
        <f t="shared" si="81"/>
        <v>0</v>
      </c>
      <c r="AH772" s="8">
        <f>IF($O772="Aktif",MAX(0,MIN($AE772,$AD772-SUM($AG772:AG772))),0)</f>
        <v>0</v>
      </c>
      <c r="AI772" s="8">
        <f>IF($O772="Aktif",MAX(0,MIN($AE772,$AD772-SUM($AG772:AH772))),0)</f>
        <v>0</v>
      </c>
      <c r="AJ772" s="8">
        <f>IF($O772="Aktif",MAX(0,MIN($AE772,$AD772-SUM($AG772:AI772))),0)</f>
        <v>0</v>
      </c>
      <c r="AK772" s="8">
        <f>IF($O772="Aktif",MAX(0,MIN($AE772,$AD772-SUM($AG772:AJ772))),0)</f>
        <v>0</v>
      </c>
      <c r="AL772" s="8">
        <f>IF($O772="Aktif",MAX(0,MIN($AE772,$AD772-SUM($AG772:AK772))),0)</f>
        <v>0</v>
      </c>
      <c r="AM772" s="8">
        <f>IF($O772="Aktif",MAX(0,MIN($AE772,$AD772-SUM($AG772:AL772))),0)</f>
        <v>0</v>
      </c>
      <c r="AN772" s="8">
        <f>IF($O772="Aktif",MAX(0,MIN($AE772,$AD772-SUM($AG772:AM772))),0)</f>
        <v>0</v>
      </c>
      <c r="AO772" s="8">
        <f>IF($O772="Aktif",MAX(0,MIN($AE772,$AD772-SUM($AG772:AN772))),0)</f>
        <v>0</v>
      </c>
      <c r="AP772" s="8">
        <f>IF($O772="Aktif",MAX(0,MIN($AE772,$AD772-SUM($AG772:AO772))),0)</f>
        <v>0</v>
      </c>
      <c r="AQ772" s="8">
        <f>IF($O772="Aktif",MAX(0,MIN($AE772,$AD772-SUM($AG772:AP772))),0)</f>
        <v>0</v>
      </c>
      <c r="AR772" s="8">
        <f>IF($O772="Aktif",MAX(0,MIN($AE772,$AD772-SUM($AG772:AQ772))),0)</f>
        <v>0</v>
      </c>
      <c r="AS772" s="8">
        <f>IF($O772="Aktif",MAX(0,MIN($AE772,$AD772-SUM($AG772:AR772))),0)</f>
        <v>0</v>
      </c>
      <c r="AT772" s="8">
        <f>IF($O772="Aktif",MAX(0,MIN($AE772,$AD772-SUM($AG772:AS772))),0)</f>
        <v>0</v>
      </c>
      <c r="AU772" s="8">
        <f>IF($O772="Aktif",MAX(0,MIN($AE772,$AD772-SUM($AG772:AT772))),0)</f>
        <v>0</v>
      </c>
      <c r="AV772" s="8">
        <f>IF($O772="Aktif",MAX(0,MIN($AE772,$AD772-SUM($AG772:AU772))),0)</f>
        <v>0</v>
      </c>
      <c r="AW772" s="8">
        <f t="shared" si="82"/>
        <v>0</v>
      </c>
      <c r="AX772" s="8">
        <f t="shared" si="83"/>
        <v>0</v>
      </c>
    </row>
    <row r="773" spans="1:50" ht="15" customHeight="1" x14ac:dyDescent="0.35">
      <c r="A773" s="102">
        <v>767</v>
      </c>
      <c r="B773" s="102" t="s">
        <v>1326</v>
      </c>
      <c r="C773" s="103">
        <v>401</v>
      </c>
      <c r="D773" s="102" t="s">
        <v>185</v>
      </c>
      <c r="E773" s="102" t="s">
        <v>479</v>
      </c>
      <c r="F773" s="102" t="s">
        <v>2332</v>
      </c>
      <c r="G773" s="102" t="s">
        <v>2333</v>
      </c>
      <c r="H773" s="102" t="s">
        <v>2334</v>
      </c>
      <c r="I773" s="102" t="s">
        <v>63</v>
      </c>
      <c r="J773" s="102"/>
      <c r="K773" s="102" t="s">
        <v>2424</v>
      </c>
      <c r="L773" s="104">
        <v>44494</v>
      </c>
      <c r="M773" s="102" t="s">
        <v>2425</v>
      </c>
      <c r="N773" s="102" t="s">
        <v>2426</v>
      </c>
      <c r="O773" s="102" t="s">
        <v>383</v>
      </c>
      <c r="P773" s="103">
        <v>1</v>
      </c>
      <c r="Q773" s="105">
        <v>3400000</v>
      </c>
      <c r="R773" s="103">
        <v>48</v>
      </c>
      <c r="S773" s="105">
        <v>70833.333333333299</v>
      </c>
      <c r="T773" s="105">
        <v>3400000</v>
      </c>
      <c r="U773" s="105">
        <v>0</v>
      </c>
      <c r="V773" s="105">
        <v>0</v>
      </c>
      <c r="W773" s="105">
        <v>0</v>
      </c>
      <c r="X773" s="105">
        <v>0</v>
      </c>
      <c r="Y773" s="105">
        <v>0</v>
      </c>
      <c r="Z773" s="105">
        <v>0</v>
      </c>
      <c r="AA773" s="105">
        <v>0</v>
      </c>
      <c r="AB773" s="105">
        <v>0</v>
      </c>
      <c r="AC773" s="8">
        <f t="shared" si="77"/>
        <v>3400000</v>
      </c>
      <c r="AD773" s="8">
        <f t="shared" si="78"/>
        <v>0</v>
      </c>
      <c r="AE773" s="8">
        <f t="shared" si="79"/>
        <v>0</v>
      </c>
      <c r="AF773" s="106">
        <f t="shared" si="80"/>
        <v>0</v>
      </c>
      <c r="AG773" s="8">
        <f t="shared" si="81"/>
        <v>0</v>
      </c>
      <c r="AH773" s="8">
        <f>IF($O773="Aktif",MAX(0,MIN($AE773,$AD773-SUM($AG773:AG773))),0)</f>
        <v>0</v>
      </c>
      <c r="AI773" s="8">
        <f>IF($O773="Aktif",MAX(0,MIN($AE773,$AD773-SUM($AG773:AH773))),0)</f>
        <v>0</v>
      </c>
      <c r="AJ773" s="8">
        <f>IF($O773="Aktif",MAX(0,MIN($AE773,$AD773-SUM($AG773:AI773))),0)</f>
        <v>0</v>
      </c>
      <c r="AK773" s="8">
        <f>IF($O773="Aktif",MAX(0,MIN($AE773,$AD773-SUM($AG773:AJ773))),0)</f>
        <v>0</v>
      </c>
      <c r="AL773" s="8">
        <f>IF($O773="Aktif",MAX(0,MIN($AE773,$AD773-SUM($AG773:AK773))),0)</f>
        <v>0</v>
      </c>
      <c r="AM773" s="8">
        <f>IF($O773="Aktif",MAX(0,MIN($AE773,$AD773-SUM($AG773:AL773))),0)</f>
        <v>0</v>
      </c>
      <c r="AN773" s="8">
        <f>IF($O773="Aktif",MAX(0,MIN($AE773,$AD773-SUM($AG773:AM773))),0)</f>
        <v>0</v>
      </c>
      <c r="AO773" s="8">
        <f>IF($O773="Aktif",MAX(0,MIN($AE773,$AD773-SUM($AG773:AN773))),0)</f>
        <v>0</v>
      </c>
      <c r="AP773" s="8">
        <f>IF($O773="Aktif",MAX(0,MIN($AE773,$AD773-SUM($AG773:AO773))),0)</f>
        <v>0</v>
      </c>
      <c r="AQ773" s="8">
        <f>IF($O773="Aktif",MAX(0,MIN($AE773,$AD773-SUM($AG773:AP773))),0)</f>
        <v>0</v>
      </c>
      <c r="AR773" s="8">
        <f>IF($O773="Aktif",MAX(0,MIN($AE773,$AD773-SUM($AG773:AQ773))),0)</f>
        <v>0</v>
      </c>
      <c r="AS773" s="8">
        <f>IF($O773="Aktif",MAX(0,MIN($AE773,$AD773-SUM($AG773:AR773))),0)</f>
        <v>0</v>
      </c>
      <c r="AT773" s="8">
        <f>IF($O773="Aktif",MAX(0,MIN($AE773,$AD773-SUM($AG773:AS773))),0)</f>
        <v>0</v>
      </c>
      <c r="AU773" s="8">
        <f>IF($O773="Aktif",MAX(0,MIN($AE773,$AD773-SUM($AG773:AT773))),0)</f>
        <v>0</v>
      </c>
      <c r="AV773" s="8">
        <f>IF($O773="Aktif",MAX(0,MIN($AE773,$AD773-SUM($AG773:AU773))),0)</f>
        <v>0</v>
      </c>
      <c r="AW773" s="8">
        <f t="shared" si="82"/>
        <v>0</v>
      </c>
      <c r="AX773" s="8">
        <f t="shared" si="83"/>
        <v>0</v>
      </c>
    </row>
    <row r="774" spans="1:50" ht="15" customHeight="1" x14ac:dyDescent="0.35">
      <c r="A774" s="102">
        <v>768</v>
      </c>
      <c r="B774" s="102" t="s">
        <v>1326</v>
      </c>
      <c r="C774" s="103">
        <v>402</v>
      </c>
      <c r="D774" s="102" t="s">
        <v>185</v>
      </c>
      <c r="E774" s="102" t="s">
        <v>479</v>
      </c>
      <c r="F774" s="102" t="s">
        <v>2332</v>
      </c>
      <c r="G774" s="102" t="s">
        <v>2333</v>
      </c>
      <c r="H774" s="102" t="s">
        <v>2334</v>
      </c>
      <c r="I774" s="102" t="s">
        <v>63</v>
      </c>
      <c r="J774" s="102"/>
      <c r="K774" s="102" t="s">
        <v>2427</v>
      </c>
      <c r="L774" s="104">
        <v>44475</v>
      </c>
      <c r="M774" s="102" t="s">
        <v>2428</v>
      </c>
      <c r="N774" s="102" t="s">
        <v>2429</v>
      </c>
      <c r="O774" s="102" t="s">
        <v>383</v>
      </c>
      <c r="P774" s="103">
        <v>1</v>
      </c>
      <c r="Q774" s="105">
        <v>6050000</v>
      </c>
      <c r="R774" s="103">
        <v>48</v>
      </c>
      <c r="S774" s="105">
        <v>126041.66666666701</v>
      </c>
      <c r="T774" s="105">
        <v>6050000</v>
      </c>
      <c r="U774" s="105">
        <v>0</v>
      </c>
      <c r="V774" s="105">
        <v>0</v>
      </c>
      <c r="W774" s="105">
        <v>0</v>
      </c>
      <c r="X774" s="105">
        <v>0</v>
      </c>
      <c r="Y774" s="105">
        <v>0</v>
      </c>
      <c r="Z774" s="105">
        <v>0</v>
      </c>
      <c r="AA774" s="105">
        <v>0</v>
      </c>
      <c r="AB774" s="105">
        <v>0</v>
      </c>
      <c r="AC774" s="8">
        <f t="shared" si="77"/>
        <v>6050000</v>
      </c>
      <c r="AD774" s="8">
        <f t="shared" si="78"/>
        <v>0</v>
      </c>
      <c r="AE774" s="8">
        <f t="shared" si="79"/>
        <v>0</v>
      </c>
      <c r="AF774" s="106">
        <f t="shared" si="80"/>
        <v>0</v>
      </c>
      <c r="AG774" s="8">
        <f t="shared" si="81"/>
        <v>0</v>
      </c>
      <c r="AH774" s="8">
        <f>IF($O774="Aktif",MAX(0,MIN($AE774,$AD774-SUM($AG774:AG774))),0)</f>
        <v>0</v>
      </c>
      <c r="AI774" s="8">
        <f>IF($O774="Aktif",MAX(0,MIN($AE774,$AD774-SUM($AG774:AH774))),0)</f>
        <v>0</v>
      </c>
      <c r="AJ774" s="8">
        <f>IF($O774="Aktif",MAX(0,MIN($AE774,$AD774-SUM($AG774:AI774))),0)</f>
        <v>0</v>
      </c>
      <c r="AK774" s="8">
        <f>IF($O774="Aktif",MAX(0,MIN($AE774,$AD774-SUM($AG774:AJ774))),0)</f>
        <v>0</v>
      </c>
      <c r="AL774" s="8">
        <f>IF($O774="Aktif",MAX(0,MIN($AE774,$AD774-SUM($AG774:AK774))),0)</f>
        <v>0</v>
      </c>
      <c r="AM774" s="8">
        <f>IF($O774="Aktif",MAX(0,MIN($AE774,$AD774-SUM($AG774:AL774))),0)</f>
        <v>0</v>
      </c>
      <c r="AN774" s="8">
        <f>IF($O774="Aktif",MAX(0,MIN($AE774,$AD774-SUM($AG774:AM774))),0)</f>
        <v>0</v>
      </c>
      <c r="AO774" s="8">
        <f>IF($O774="Aktif",MAX(0,MIN($AE774,$AD774-SUM($AG774:AN774))),0)</f>
        <v>0</v>
      </c>
      <c r="AP774" s="8">
        <f>IF($O774="Aktif",MAX(0,MIN($AE774,$AD774-SUM($AG774:AO774))),0)</f>
        <v>0</v>
      </c>
      <c r="AQ774" s="8">
        <f>IF($O774="Aktif",MAX(0,MIN($AE774,$AD774-SUM($AG774:AP774))),0)</f>
        <v>0</v>
      </c>
      <c r="AR774" s="8">
        <f>IF($O774="Aktif",MAX(0,MIN($AE774,$AD774-SUM($AG774:AQ774))),0)</f>
        <v>0</v>
      </c>
      <c r="AS774" s="8">
        <f>IF($O774="Aktif",MAX(0,MIN($AE774,$AD774-SUM($AG774:AR774))),0)</f>
        <v>0</v>
      </c>
      <c r="AT774" s="8">
        <f>IF($O774="Aktif",MAX(0,MIN($AE774,$AD774-SUM($AG774:AS774))),0)</f>
        <v>0</v>
      </c>
      <c r="AU774" s="8">
        <f>IF($O774="Aktif",MAX(0,MIN($AE774,$AD774-SUM($AG774:AT774))),0)</f>
        <v>0</v>
      </c>
      <c r="AV774" s="8">
        <f>IF($O774="Aktif",MAX(0,MIN($AE774,$AD774-SUM($AG774:AU774))),0)</f>
        <v>0</v>
      </c>
      <c r="AW774" s="8">
        <f t="shared" si="82"/>
        <v>0</v>
      </c>
      <c r="AX774" s="8">
        <f t="shared" si="83"/>
        <v>0</v>
      </c>
    </row>
    <row r="775" spans="1:50" ht="15" customHeight="1" x14ac:dyDescent="0.35">
      <c r="A775" s="102">
        <v>769</v>
      </c>
      <c r="B775" s="102" t="s">
        <v>1326</v>
      </c>
      <c r="C775" s="103">
        <v>403</v>
      </c>
      <c r="D775" s="102" t="s">
        <v>185</v>
      </c>
      <c r="E775" s="102" t="s">
        <v>479</v>
      </c>
      <c r="F775" s="102" t="s">
        <v>2332</v>
      </c>
      <c r="G775" s="102" t="s">
        <v>2333</v>
      </c>
      <c r="H775" s="102" t="s">
        <v>2334</v>
      </c>
      <c r="I775" s="102" t="s">
        <v>63</v>
      </c>
      <c r="J775" s="102"/>
      <c r="K775" s="102" t="s">
        <v>2430</v>
      </c>
      <c r="L775" s="104">
        <v>44530</v>
      </c>
      <c r="M775" s="102" t="s">
        <v>2431</v>
      </c>
      <c r="N775" s="102" t="s">
        <v>2432</v>
      </c>
      <c r="O775" s="102" t="s">
        <v>383</v>
      </c>
      <c r="P775" s="103">
        <v>1</v>
      </c>
      <c r="Q775" s="105">
        <v>22000000</v>
      </c>
      <c r="R775" s="103">
        <v>48</v>
      </c>
      <c r="S775" s="105">
        <v>458333.33333333302</v>
      </c>
      <c r="T775" s="105">
        <v>22000000</v>
      </c>
      <c r="U775" s="105">
        <v>0</v>
      </c>
      <c r="V775" s="105">
        <v>0</v>
      </c>
      <c r="W775" s="105">
        <v>0</v>
      </c>
      <c r="X775" s="105">
        <v>0</v>
      </c>
      <c r="Y775" s="105">
        <v>0</v>
      </c>
      <c r="Z775" s="105">
        <v>0</v>
      </c>
      <c r="AA775" s="105">
        <v>0</v>
      </c>
      <c r="AB775" s="105">
        <v>0</v>
      </c>
      <c r="AC775" s="8">
        <f t="shared" ref="AC775:AC838" si="84">T775+SUM(U775:AB775)</f>
        <v>22000000</v>
      </c>
      <c r="AD775" s="8">
        <f t="shared" ref="AD775:AD838" si="85">Q775-AC775</f>
        <v>0</v>
      </c>
      <c r="AE775" s="8">
        <f t="shared" ref="AE775:AE838" si="86">IF(O775="Aktif",AB775,0)</f>
        <v>0</v>
      </c>
      <c r="AF775" s="106">
        <f t="shared" ref="AF775:AF838" si="87">IF(AE775&gt;0,MAX(0,AD775)/AE775,0)</f>
        <v>0</v>
      </c>
      <c r="AG775" s="8">
        <f t="shared" ref="AG775:AG838" si="88">IF($O775="Aktif",MAX(0,MIN($AE775,$AD775-0)),0)</f>
        <v>0</v>
      </c>
      <c r="AH775" s="8">
        <f>IF($O775="Aktif",MAX(0,MIN($AE775,$AD775-SUM($AG775:AG775))),0)</f>
        <v>0</v>
      </c>
      <c r="AI775" s="8">
        <f>IF($O775="Aktif",MAX(0,MIN($AE775,$AD775-SUM($AG775:AH775))),0)</f>
        <v>0</v>
      </c>
      <c r="AJ775" s="8">
        <f>IF($O775="Aktif",MAX(0,MIN($AE775,$AD775-SUM($AG775:AI775))),0)</f>
        <v>0</v>
      </c>
      <c r="AK775" s="8">
        <f>IF($O775="Aktif",MAX(0,MIN($AE775,$AD775-SUM($AG775:AJ775))),0)</f>
        <v>0</v>
      </c>
      <c r="AL775" s="8">
        <f>IF($O775="Aktif",MAX(0,MIN($AE775,$AD775-SUM($AG775:AK775))),0)</f>
        <v>0</v>
      </c>
      <c r="AM775" s="8">
        <f>IF($O775="Aktif",MAX(0,MIN($AE775,$AD775-SUM($AG775:AL775))),0)</f>
        <v>0</v>
      </c>
      <c r="AN775" s="8">
        <f>IF($O775="Aktif",MAX(0,MIN($AE775,$AD775-SUM($AG775:AM775))),0)</f>
        <v>0</v>
      </c>
      <c r="AO775" s="8">
        <f>IF($O775="Aktif",MAX(0,MIN($AE775,$AD775-SUM($AG775:AN775))),0)</f>
        <v>0</v>
      </c>
      <c r="AP775" s="8">
        <f>IF($O775="Aktif",MAX(0,MIN($AE775,$AD775-SUM($AG775:AO775))),0)</f>
        <v>0</v>
      </c>
      <c r="AQ775" s="8">
        <f>IF($O775="Aktif",MAX(0,MIN($AE775,$AD775-SUM($AG775:AP775))),0)</f>
        <v>0</v>
      </c>
      <c r="AR775" s="8">
        <f>IF($O775="Aktif",MAX(0,MIN($AE775,$AD775-SUM($AG775:AQ775))),0)</f>
        <v>0</v>
      </c>
      <c r="AS775" s="8">
        <f>IF($O775="Aktif",MAX(0,MIN($AE775,$AD775-SUM($AG775:AR775))),0)</f>
        <v>0</v>
      </c>
      <c r="AT775" s="8">
        <f>IF($O775="Aktif",MAX(0,MIN($AE775,$AD775-SUM($AG775:AS775))),0)</f>
        <v>0</v>
      </c>
      <c r="AU775" s="8">
        <f>IF($O775="Aktif",MAX(0,MIN($AE775,$AD775-SUM($AG775:AT775))),0)</f>
        <v>0</v>
      </c>
      <c r="AV775" s="8">
        <f>IF($O775="Aktif",MAX(0,MIN($AE775,$AD775-SUM($AG775:AU775))),0)</f>
        <v>0</v>
      </c>
      <c r="AW775" s="8">
        <f t="shared" ref="AW775:AW838" si="89">SUM(AG775:AV775)</f>
        <v>0</v>
      </c>
      <c r="AX775" s="8">
        <f t="shared" ref="AX775:AX838" si="90">AD775-AW775</f>
        <v>0</v>
      </c>
    </row>
    <row r="776" spans="1:50" ht="15" customHeight="1" x14ac:dyDescent="0.35">
      <c r="A776" s="102">
        <v>770</v>
      </c>
      <c r="B776" s="102" t="s">
        <v>1326</v>
      </c>
      <c r="C776" s="103">
        <v>404</v>
      </c>
      <c r="D776" s="102" t="s">
        <v>185</v>
      </c>
      <c r="E776" s="102" t="s">
        <v>479</v>
      </c>
      <c r="F776" s="102" t="s">
        <v>2332</v>
      </c>
      <c r="G776" s="102" t="s">
        <v>2333</v>
      </c>
      <c r="H776" s="102" t="s">
        <v>2334</v>
      </c>
      <c r="I776" s="102" t="s">
        <v>63</v>
      </c>
      <c r="J776" s="102"/>
      <c r="K776" s="102" t="s">
        <v>2433</v>
      </c>
      <c r="L776" s="104">
        <v>44594</v>
      </c>
      <c r="M776" s="102" t="s">
        <v>2434</v>
      </c>
      <c r="N776" s="102" t="s">
        <v>2435</v>
      </c>
      <c r="O776" s="102" t="s">
        <v>383</v>
      </c>
      <c r="P776" s="103">
        <v>1</v>
      </c>
      <c r="Q776" s="105">
        <v>92630000</v>
      </c>
      <c r="R776" s="103">
        <v>48</v>
      </c>
      <c r="S776" s="105">
        <v>1929791.66666667</v>
      </c>
      <c r="T776" s="105">
        <v>90700208.0033333</v>
      </c>
      <c r="U776" s="105">
        <v>1929791.66666667</v>
      </c>
      <c r="V776" s="105">
        <v>0</v>
      </c>
      <c r="W776" s="105">
        <v>0</v>
      </c>
      <c r="X776" s="105">
        <v>0</v>
      </c>
      <c r="Y776" s="105">
        <v>0</v>
      </c>
      <c r="Z776" s="105">
        <v>0</v>
      </c>
      <c r="AA776" s="105">
        <v>0</v>
      </c>
      <c r="AB776" s="105">
        <v>0</v>
      </c>
      <c r="AC776" s="8">
        <f t="shared" si="84"/>
        <v>92629999.669999972</v>
      </c>
      <c r="AD776" s="8">
        <f t="shared" si="85"/>
        <v>0.33000002801418304</v>
      </c>
      <c r="AE776" s="8">
        <f t="shared" si="86"/>
        <v>0</v>
      </c>
      <c r="AF776" s="106">
        <f t="shared" si="87"/>
        <v>0</v>
      </c>
      <c r="AG776" s="8">
        <f t="shared" si="88"/>
        <v>0</v>
      </c>
      <c r="AH776" s="8">
        <f>IF($O776="Aktif",MAX(0,MIN($AE776,$AD776-SUM($AG776:AG776))),0)</f>
        <v>0</v>
      </c>
      <c r="AI776" s="8">
        <f>IF($O776="Aktif",MAX(0,MIN($AE776,$AD776-SUM($AG776:AH776))),0)</f>
        <v>0</v>
      </c>
      <c r="AJ776" s="8">
        <f>IF($O776="Aktif",MAX(0,MIN($AE776,$AD776-SUM($AG776:AI776))),0)</f>
        <v>0</v>
      </c>
      <c r="AK776" s="8">
        <f>IF($O776="Aktif",MAX(0,MIN($AE776,$AD776-SUM($AG776:AJ776))),0)</f>
        <v>0</v>
      </c>
      <c r="AL776" s="8">
        <f>IF($O776="Aktif",MAX(0,MIN($AE776,$AD776-SUM($AG776:AK776))),0)</f>
        <v>0</v>
      </c>
      <c r="AM776" s="8">
        <f>IF($O776="Aktif",MAX(0,MIN($AE776,$AD776-SUM($AG776:AL776))),0)</f>
        <v>0</v>
      </c>
      <c r="AN776" s="8">
        <f>IF($O776="Aktif",MAX(0,MIN($AE776,$AD776-SUM($AG776:AM776))),0)</f>
        <v>0</v>
      </c>
      <c r="AO776" s="8">
        <f>IF($O776="Aktif",MAX(0,MIN($AE776,$AD776-SUM($AG776:AN776))),0)</f>
        <v>0</v>
      </c>
      <c r="AP776" s="8">
        <f>IF($O776="Aktif",MAX(0,MIN($AE776,$AD776-SUM($AG776:AO776))),0)</f>
        <v>0</v>
      </c>
      <c r="AQ776" s="8">
        <f>IF($O776="Aktif",MAX(0,MIN($AE776,$AD776-SUM($AG776:AP776))),0)</f>
        <v>0</v>
      </c>
      <c r="AR776" s="8">
        <f>IF($O776="Aktif",MAX(0,MIN($AE776,$AD776-SUM($AG776:AQ776))),0)</f>
        <v>0</v>
      </c>
      <c r="AS776" s="8">
        <f>IF($O776="Aktif",MAX(0,MIN($AE776,$AD776-SUM($AG776:AR776))),0)</f>
        <v>0</v>
      </c>
      <c r="AT776" s="8">
        <f>IF($O776="Aktif",MAX(0,MIN($AE776,$AD776-SUM($AG776:AS776))),0)</f>
        <v>0</v>
      </c>
      <c r="AU776" s="8">
        <f>IF($O776="Aktif",MAX(0,MIN($AE776,$AD776-SUM($AG776:AT776))),0)</f>
        <v>0</v>
      </c>
      <c r="AV776" s="8">
        <f>IF($O776="Aktif",MAX(0,MIN($AE776,$AD776-SUM($AG776:AU776))),0)</f>
        <v>0</v>
      </c>
      <c r="AW776" s="8">
        <f t="shared" si="89"/>
        <v>0</v>
      </c>
      <c r="AX776" s="8">
        <f t="shared" si="90"/>
        <v>0.33000002801418304</v>
      </c>
    </row>
    <row r="777" spans="1:50" ht="15" customHeight="1" x14ac:dyDescent="0.35">
      <c r="A777" s="102">
        <v>771</v>
      </c>
      <c r="B777" s="102" t="s">
        <v>1326</v>
      </c>
      <c r="C777" s="103">
        <v>405</v>
      </c>
      <c r="D777" s="102" t="s">
        <v>185</v>
      </c>
      <c r="E777" s="102" t="s">
        <v>479</v>
      </c>
      <c r="F777" s="102" t="s">
        <v>2332</v>
      </c>
      <c r="G777" s="102" t="s">
        <v>2333</v>
      </c>
      <c r="H777" s="102" t="s">
        <v>2334</v>
      </c>
      <c r="I777" s="102" t="s">
        <v>63</v>
      </c>
      <c r="J777" s="102"/>
      <c r="K777" s="102" t="s">
        <v>2436</v>
      </c>
      <c r="L777" s="104">
        <v>44597</v>
      </c>
      <c r="M777" s="102" t="s">
        <v>2437</v>
      </c>
      <c r="N777" s="102" t="s">
        <v>2438</v>
      </c>
      <c r="O777" s="102" t="s">
        <v>383</v>
      </c>
      <c r="P777" s="103">
        <v>1</v>
      </c>
      <c r="Q777" s="105">
        <v>1300000</v>
      </c>
      <c r="R777" s="103">
        <v>48</v>
      </c>
      <c r="S777" s="105">
        <v>27083.333333333299</v>
      </c>
      <c r="T777" s="105">
        <v>1272916.66666667</v>
      </c>
      <c r="U777" s="105">
        <v>27083.333333333299</v>
      </c>
      <c r="V777" s="105">
        <v>0</v>
      </c>
      <c r="W777" s="105">
        <v>0</v>
      </c>
      <c r="X777" s="105">
        <v>0</v>
      </c>
      <c r="Y777" s="105">
        <v>0</v>
      </c>
      <c r="Z777" s="105">
        <v>0</v>
      </c>
      <c r="AA777" s="105">
        <v>0</v>
      </c>
      <c r="AB777" s="105">
        <v>0</v>
      </c>
      <c r="AC777" s="8">
        <f t="shared" si="84"/>
        <v>1300000.0000000033</v>
      </c>
      <c r="AD777" s="8">
        <f t="shared" si="85"/>
        <v>-3.2596290111541748E-9</v>
      </c>
      <c r="AE777" s="8">
        <f t="shared" si="86"/>
        <v>0</v>
      </c>
      <c r="AF777" s="106">
        <f t="shared" si="87"/>
        <v>0</v>
      </c>
      <c r="AG777" s="8">
        <f t="shared" si="88"/>
        <v>0</v>
      </c>
      <c r="AH777" s="8">
        <f>IF($O777="Aktif",MAX(0,MIN($AE777,$AD777-SUM($AG777:AG777))),0)</f>
        <v>0</v>
      </c>
      <c r="AI777" s="8">
        <f>IF($O777="Aktif",MAX(0,MIN($AE777,$AD777-SUM($AG777:AH777))),0)</f>
        <v>0</v>
      </c>
      <c r="AJ777" s="8">
        <f>IF($O777="Aktif",MAX(0,MIN($AE777,$AD777-SUM($AG777:AI777))),0)</f>
        <v>0</v>
      </c>
      <c r="AK777" s="8">
        <f>IF($O777="Aktif",MAX(0,MIN($AE777,$AD777-SUM($AG777:AJ777))),0)</f>
        <v>0</v>
      </c>
      <c r="AL777" s="8">
        <f>IF($O777="Aktif",MAX(0,MIN($AE777,$AD777-SUM($AG777:AK777))),0)</f>
        <v>0</v>
      </c>
      <c r="AM777" s="8">
        <f>IF($O777="Aktif",MAX(0,MIN($AE777,$AD777-SUM($AG777:AL777))),0)</f>
        <v>0</v>
      </c>
      <c r="AN777" s="8">
        <f>IF($O777="Aktif",MAX(0,MIN($AE777,$AD777-SUM($AG777:AM777))),0)</f>
        <v>0</v>
      </c>
      <c r="AO777" s="8">
        <f>IF($O777="Aktif",MAX(0,MIN($AE777,$AD777-SUM($AG777:AN777))),0)</f>
        <v>0</v>
      </c>
      <c r="AP777" s="8">
        <f>IF($O777="Aktif",MAX(0,MIN($AE777,$AD777-SUM($AG777:AO777))),0)</f>
        <v>0</v>
      </c>
      <c r="AQ777" s="8">
        <f>IF($O777="Aktif",MAX(0,MIN($AE777,$AD777-SUM($AG777:AP777))),0)</f>
        <v>0</v>
      </c>
      <c r="AR777" s="8">
        <f>IF($O777="Aktif",MAX(0,MIN($AE777,$AD777-SUM($AG777:AQ777))),0)</f>
        <v>0</v>
      </c>
      <c r="AS777" s="8">
        <f>IF($O777="Aktif",MAX(0,MIN($AE777,$AD777-SUM($AG777:AR777))),0)</f>
        <v>0</v>
      </c>
      <c r="AT777" s="8">
        <f>IF($O777="Aktif",MAX(0,MIN($AE777,$AD777-SUM($AG777:AS777))),0)</f>
        <v>0</v>
      </c>
      <c r="AU777" s="8">
        <f>IF($O777="Aktif",MAX(0,MIN($AE777,$AD777-SUM($AG777:AT777))),0)</f>
        <v>0</v>
      </c>
      <c r="AV777" s="8">
        <f>IF($O777="Aktif",MAX(0,MIN($AE777,$AD777-SUM($AG777:AU777))),0)</f>
        <v>0</v>
      </c>
      <c r="AW777" s="8">
        <f t="shared" si="89"/>
        <v>0</v>
      </c>
      <c r="AX777" s="8">
        <f t="shared" si="90"/>
        <v>-3.2596290111541748E-9</v>
      </c>
    </row>
    <row r="778" spans="1:50" ht="15" customHeight="1" x14ac:dyDescent="0.35">
      <c r="A778" s="102">
        <v>772</v>
      </c>
      <c r="B778" s="102" t="s">
        <v>1326</v>
      </c>
      <c r="C778" s="103">
        <v>406</v>
      </c>
      <c r="D778" s="102" t="s">
        <v>185</v>
      </c>
      <c r="E778" s="102" t="s">
        <v>479</v>
      </c>
      <c r="F778" s="102" t="s">
        <v>2332</v>
      </c>
      <c r="G778" s="102" t="s">
        <v>2333</v>
      </c>
      <c r="H778" s="102" t="s">
        <v>2334</v>
      </c>
      <c r="I778" s="102" t="s">
        <v>63</v>
      </c>
      <c r="J778" s="102"/>
      <c r="K778" s="102" t="s">
        <v>2439</v>
      </c>
      <c r="L778" s="104">
        <v>44606</v>
      </c>
      <c r="M778" s="102" t="s">
        <v>2440</v>
      </c>
      <c r="N778" s="102" t="s">
        <v>2441</v>
      </c>
      <c r="O778" s="102" t="s">
        <v>383</v>
      </c>
      <c r="P778" s="103">
        <v>1</v>
      </c>
      <c r="Q778" s="105">
        <v>35000000</v>
      </c>
      <c r="R778" s="103">
        <v>48</v>
      </c>
      <c r="S778" s="105">
        <v>729166.66666666698</v>
      </c>
      <c r="T778" s="105">
        <v>34270833.333333299</v>
      </c>
      <c r="U778" s="105">
        <v>729166.66666666698</v>
      </c>
      <c r="V778" s="105">
        <v>0</v>
      </c>
      <c r="W778" s="105">
        <v>0</v>
      </c>
      <c r="X778" s="105">
        <v>0</v>
      </c>
      <c r="Y778" s="105">
        <v>0</v>
      </c>
      <c r="Z778" s="105">
        <v>0</v>
      </c>
      <c r="AA778" s="105">
        <v>0</v>
      </c>
      <c r="AB778" s="105">
        <v>0</v>
      </c>
      <c r="AC778" s="8">
        <f t="shared" si="84"/>
        <v>34999999.999999963</v>
      </c>
      <c r="AD778" s="8">
        <f t="shared" si="85"/>
        <v>0</v>
      </c>
      <c r="AE778" s="8">
        <f t="shared" si="86"/>
        <v>0</v>
      </c>
      <c r="AF778" s="106">
        <f t="shared" si="87"/>
        <v>0</v>
      </c>
      <c r="AG778" s="8">
        <f t="shared" si="88"/>
        <v>0</v>
      </c>
      <c r="AH778" s="8">
        <f>IF($O778="Aktif",MAX(0,MIN($AE778,$AD778-SUM($AG778:AG778))),0)</f>
        <v>0</v>
      </c>
      <c r="AI778" s="8">
        <f>IF($O778="Aktif",MAX(0,MIN($AE778,$AD778-SUM($AG778:AH778))),0)</f>
        <v>0</v>
      </c>
      <c r="AJ778" s="8">
        <f>IF($O778="Aktif",MAX(0,MIN($AE778,$AD778-SUM($AG778:AI778))),0)</f>
        <v>0</v>
      </c>
      <c r="AK778" s="8">
        <f>IF($O778="Aktif",MAX(0,MIN($AE778,$AD778-SUM($AG778:AJ778))),0)</f>
        <v>0</v>
      </c>
      <c r="AL778" s="8">
        <f>IF($O778="Aktif",MAX(0,MIN($AE778,$AD778-SUM($AG778:AK778))),0)</f>
        <v>0</v>
      </c>
      <c r="AM778" s="8">
        <f>IF($O778="Aktif",MAX(0,MIN($AE778,$AD778-SUM($AG778:AL778))),0)</f>
        <v>0</v>
      </c>
      <c r="AN778" s="8">
        <f>IF($O778="Aktif",MAX(0,MIN($AE778,$AD778-SUM($AG778:AM778))),0)</f>
        <v>0</v>
      </c>
      <c r="AO778" s="8">
        <f>IF($O778="Aktif",MAX(0,MIN($AE778,$AD778-SUM($AG778:AN778))),0)</f>
        <v>0</v>
      </c>
      <c r="AP778" s="8">
        <f>IF($O778="Aktif",MAX(0,MIN($AE778,$AD778-SUM($AG778:AO778))),0)</f>
        <v>0</v>
      </c>
      <c r="AQ778" s="8">
        <f>IF($O778="Aktif",MAX(0,MIN($AE778,$AD778-SUM($AG778:AP778))),0)</f>
        <v>0</v>
      </c>
      <c r="AR778" s="8">
        <f>IF($O778="Aktif",MAX(0,MIN($AE778,$AD778-SUM($AG778:AQ778))),0)</f>
        <v>0</v>
      </c>
      <c r="AS778" s="8">
        <f>IF($O778="Aktif",MAX(0,MIN($AE778,$AD778-SUM($AG778:AR778))),0)</f>
        <v>0</v>
      </c>
      <c r="AT778" s="8">
        <f>IF($O778="Aktif",MAX(0,MIN($AE778,$AD778-SUM($AG778:AS778))),0)</f>
        <v>0</v>
      </c>
      <c r="AU778" s="8">
        <f>IF($O778="Aktif",MAX(0,MIN($AE778,$AD778-SUM($AG778:AT778))),0)</f>
        <v>0</v>
      </c>
      <c r="AV778" s="8">
        <f>IF($O778="Aktif",MAX(0,MIN($AE778,$AD778-SUM($AG778:AU778))),0)</f>
        <v>0</v>
      </c>
      <c r="AW778" s="8">
        <f t="shared" si="89"/>
        <v>0</v>
      </c>
      <c r="AX778" s="8">
        <f t="shared" si="90"/>
        <v>0</v>
      </c>
    </row>
    <row r="779" spans="1:50" ht="15" customHeight="1" x14ac:dyDescent="0.35">
      <c r="A779" s="102">
        <v>773</v>
      </c>
      <c r="B779" s="102" t="s">
        <v>1326</v>
      </c>
      <c r="C779" s="103">
        <v>407</v>
      </c>
      <c r="D779" s="102" t="s">
        <v>185</v>
      </c>
      <c r="E779" s="102" t="s">
        <v>479</v>
      </c>
      <c r="F779" s="102" t="s">
        <v>2332</v>
      </c>
      <c r="G779" s="102" t="s">
        <v>2333</v>
      </c>
      <c r="H779" s="102" t="s">
        <v>2334</v>
      </c>
      <c r="I779" s="102" t="s">
        <v>63</v>
      </c>
      <c r="J779" s="102"/>
      <c r="K779" s="102" t="s">
        <v>2442</v>
      </c>
      <c r="L779" s="104">
        <v>44614</v>
      </c>
      <c r="M779" s="102" t="s">
        <v>2443</v>
      </c>
      <c r="N779" s="102" t="s">
        <v>2444</v>
      </c>
      <c r="O779" s="102" t="s">
        <v>383</v>
      </c>
      <c r="P779" s="103">
        <v>1</v>
      </c>
      <c r="Q779" s="105">
        <v>23200000</v>
      </c>
      <c r="R779" s="103">
        <v>48</v>
      </c>
      <c r="S779" s="105">
        <v>483333.33333333302</v>
      </c>
      <c r="T779" s="105">
        <v>22716666.666666701</v>
      </c>
      <c r="U779" s="105">
        <v>483333.33333333302</v>
      </c>
      <c r="V779" s="105">
        <v>0</v>
      </c>
      <c r="W779" s="105">
        <v>0</v>
      </c>
      <c r="X779" s="105">
        <v>0</v>
      </c>
      <c r="Y779" s="105">
        <v>0</v>
      </c>
      <c r="Z779" s="105">
        <v>0</v>
      </c>
      <c r="AA779" s="105">
        <v>0</v>
      </c>
      <c r="AB779" s="105">
        <v>0</v>
      </c>
      <c r="AC779" s="8">
        <f t="shared" si="84"/>
        <v>23200000.000000034</v>
      </c>
      <c r="AD779" s="8">
        <f t="shared" si="85"/>
        <v>-3.3527612686157227E-8</v>
      </c>
      <c r="AE779" s="8">
        <f t="shared" si="86"/>
        <v>0</v>
      </c>
      <c r="AF779" s="106">
        <f t="shared" si="87"/>
        <v>0</v>
      </c>
      <c r="AG779" s="8">
        <f t="shared" si="88"/>
        <v>0</v>
      </c>
      <c r="AH779" s="8">
        <f>IF($O779="Aktif",MAX(0,MIN($AE779,$AD779-SUM($AG779:AG779))),0)</f>
        <v>0</v>
      </c>
      <c r="AI779" s="8">
        <f>IF($O779="Aktif",MAX(0,MIN($AE779,$AD779-SUM($AG779:AH779))),0)</f>
        <v>0</v>
      </c>
      <c r="AJ779" s="8">
        <f>IF($O779="Aktif",MAX(0,MIN($AE779,$AD779-SUM($AG779:AI779))),0)</f>
        <v>0</v>
      </c>
      <c r="AK779" s="8">
        <f>IF($O779="Aktif",MAX(0,MIN($AE779,$AD779-SUM($AG779:AJ779))),0)</f>
        <v>0</v>
      </c>
      <c r="AL779" s="8">
        <f>IF($O779="Aktif",MAX(0,MIN($AE779,$AD779-SUM($AG779:AK779))),0)</f>
        <v>0</v>
      </c>
      <c r="AM779" s="8">
        <f>IF($O779="Aktif",MAX(0,MIN($AE779,$AD779-SUM($AG779:AL779))),0)</f>
        <v>0</v>
      </c>
      <c r="AN779" s="8">
        <f>IF($O779="Aktif",MAX(0,MIN($AE779,$AD779-SUM($AG779:AM779))),0)</f>
        <v>0</v>
      </c>
      <c r="AO779" s="8">
        <f>IF($O779="Aktif",MAX(0,MIN($AE779,$AD779-SUM($AG779:AN779))),0)</f>
        <v>0</v>
      </c>
      <c r="AP779" s="8">
        <f>IF($O779="Aktif",MAX(0,MIN($AE779,$AD779-SUM($AG779:AO779))),0)</f>
        <v>0</v>
      </c>
      <c r="AQ779" s="8">
        <f>IF($O779="Aktif",MAX(0,MIN($AE779,$AD779-SUM($AG779:AP779))),0)</f>
        <v>0</v>
      </c>
      <c r="AR779" s="8">
        <f>IF($O779="Aktif",MAX(0,MIN($AE779,$AD779-SUM($AG779:AQ779))),0)</f>
        <v>0</v>
      </c>
      <c r="AS779" s="8">
        <f>IF($O779="Aktif",MAX(0,MIN($AE779,$AD779-SUM($AG779:AR779))),0)</f>
        <v>0</v>
      </c>
      <c r="AT779" s="8">
        <f>IF($O779="Aktif",MAX(0,MIN($AE779,$AD779-SUM($AG779:AS779))),0)</f>
        <v>0</v>
      </c>
      <c r="AU779" s="8">
        <f>IF($O779="Aktif",MAX(0,MIN($AE779,$AD779-SUM($AG779:AT779))),0)</f>
        <v>0</v>
      </c>
      <c r="AV779" s="8">
        <f>IF($O779="Aktif",MAX(0,MIN($AE779,$AD779-SUM($AG779:AU779))),0)</f>
        <v>0</v>
      </c>
      <c r="AW779" s="8">
        <f t="shared" si="89"/>
        <v>0</v>
      </c>
      <c r="AX779" s="8">
        <f t="shared" si="90"/>
        <v>-3.3527612686157227E-8</v>
      </c>
    </row>
    <row r="780" spans="1:50" ht="15" customHeight="1" x14ac:dyDescent="0.35">
      <c r="A780" s="102">
        <v>774</v>
      </c>
      <c r="B780" s="102" t="s">
        <v>1326</v>
      </c>
      <c r="C780" s="103">
        <v>408</v>
      </c>
      <c r="D780" s="102" t="s">
        <v>185</v>
      </c>
      <c r="E780" s="102" t="s">
        <v>479</v>
      </c>
      <c r="F780" s="102" t="s">
        <v>2332</v>
      </c>
      <c r="G780" s="102" t="s">
        <v>2333</v>
      </c>
      <c r="H780" s="102" t="s">
        <v>2334</v>
      </c>
      <c r="I780" s="102" t="s">
        <v>63</v>
      </c>
      <c r="J780" s="102"/>
      <c r="K780" s="102" t="s">
        <v>2445</v>
      </c>
      <c r="L780" s="104">
        <v>44614</v>
      </c>
      <c r="M780" s="102" t="s">
        <v>2446</v>
      </c>
      <c r="N780" s="102" t="s">
        <v>2447</v>
      </c>
      <c r="O780" s="102" t="s">
        <v>383</v>
      </c>
      <c r="P780" s="103">
        <v>1</v>
      </c>
      <c r="Q780" s="105">
        <v>85000000</v>
      </c>
      <c r="R780" s="103">
        <v>48</v>
      </c>
      <c r="S780" s="105">
        <v>1770833.33333333</v>
      </c>
      <c r="T780" s="105">
        <v>83229166.666666701</v>
      </c>
      <c r="U780" s="105">
        <v>1770833.33333333</v>
      </c>
      <c r="V780" s="105">
        <v>0</v>
      </c>
      <c r="W780" s="105">
        <v>0</v>
      </c>
      <c r="X780" s="105">
        <v>0</v>
      </c>
      <c r="Y780" s="105">
        <v>0</v>
      </c>
      <c r="Z780" s="105">
        <v>0</v>
      </c>
      <c r="AA780" s="105">
        <v>0</v>
      </c>
      <c r="AB780" s="105">
        <v>0</v>
      </c>
      <c r="AC780" s="8">
        <f t="shared" si="84"/>
        <v>85000000.00000003</v>
      </c>
      <c r="AD780" s="8">
        <f t="shared" si="85"/>
        <v>0</v>
      </c>
      <c r="AE780" s="8">
        <f t="shared" si="86"/>
        <v>0</v>
      </c>
      <c r="AF780" s="106">
        <f t="shared" si="87"/>
        <v>0</v>
      </c>
      <c r="AG780" s="8">
        <f t="shared" si="88"/>
        <v>0</v>
      </c>
      <c r="AH780" s="8">
        <f>IF($O780="Aktif",MAX(0,MIN($AE780,$AD780-SUM($AG780:AG780))),0)</f>
        <v>0</v>
      </c>
      <c r="AI780" s="8">
        <f>IF($O780="Aktif",MAX(0,MIN($AE780,$AD780-SUM($AG780:AH780))),0)</f>
        <v>0</v>
      </c>
      <c r="AJ780" s="8">
        <f>IF($O780="Aktif",MAX(0,MIN($AE780,$AD780-SUM($AG780:AI780))),0)</f>
        <v>0</v>
      </c>
      <c r="AK780" s="8">
        <f>IF($O780="Aktif",MAX(0,MIN($AE780,$AD780-SUM($AG780:AJ780))),0)</f>
        <v>0</v>
      </c>
      <c r="AL780" s="8">
        <f>IF($O780="Aktif",MAX(0,MIN($AE780,$AD780-SUM($AG780:AK780))),0)</f>
        <v>0</v>
      </c>
      <c r="AM780" s="8">
        <f>IF($O780="Aktif",MAX(0,MIN($AE780,$AD780-SUM($AG780:AL780))),0)</f>
        <v>0</v>
      </c>
      <c r="AN780" s="8">
        <f>IF($O780="Aktif",MAX(0,MIN($AE780,$AD780-SUM($AG780:AM780))),0)</f>
        <v>0</v>
      </c>
      <c r="AO780" s="8">
        <f>IF($O780="Aktif",MAX(0,MIN($AE780,$AD780-SUM($AG780:AN780))),0)</f>
        <v>0</v>
      </c>
      <c r="AP780" s="8">
        <f>IF($O780="Aktif",MAX(0,MIN($AE780,$AD780-SUM($AG780:AO780))),0)</f>
        <v>0</v>
      </c>
      <c r="AQ780" s="8">
        <f>IF($O780="Aktif",MAX(0,MIN($AE780,$AD780-SUM($AG780:AP780))),0)</f>
        <v>0</v>
      </c>
      <c r="AR780" s="8">
        <f>IF($O780="Aktif",MAX(0,MIN($AE780,$AD780-SUM($AG780:AQ780))),0)</f>
        <v>0</v>
      </c>
      <c r="AS780" s="8">
        <f>IF($O780="Aktif",MAX(0,MIN($AE780,$AD780-SUM($AG780:AR780))),0)</f>
        <v>0</v>
      </c>
      <c r="AT780" s="8">
        <f>IF($O780="Aktif",MAX(0,MIN($AE780,$AD780-SUM($AG780:AS780))),0)</f>
        <v>0</v>
      </c>
      <c r="AU780" s="8">
        <f>IF($O780="Aktif",MAX(0,MIN($AE780,$AD780-SUM($AG780:AT780))),0)</f>
        <v>0</v>
      </c>
      <c r="AV780" s="8">
        <f>IF($O780="Aktif",MAX(0,MIN($AE780,$AD780-SUM($AG780:AU780))),0)</f>
        <v>0</v>
      </c>
      <c r="AW780" s="8">
        <f t="shared" si="89"/>
        <v>0</v>
      </c>
      <c r="AX780" s="8">
        <f t="shared" si="90"/>
        <v>0</v>
      </c>
    </row>
    <row r="781" spans="1:50" ht="15" customHeight="1" x14ac:dyDescent="0.35">
      <c r="A781" s="102">
        <v>775</v>
      </c>
      <c r="B781" s="102" t="s">
        <v>1326</v>
      </c>
      <c r="C781" s="103">
        <v>409</v>
      </c>
      <c r="D781" s="102" t="s">
        <v>185</v>
      </c>
      <c r="E781" s="102" t="s">
        <v>479</v>
      </c>
      <c r="F781" s="102" t="s">
        <v>2332</v>
      </c>
      <c r="G781" s="102" t="s">
        <v>2333</v>
      </c>
      <c r="H781" s="102" t="s">
        <v>2334</v>
      </c>
      <c r="I781" s="102" t="s">
        <v>63</v>
      </c>
      <c r="J781" s="102"/>
      <c r="K781" s="102" t="s">
        <v>2448</v>
      </c>
      <c r="L781" s="104">
        <v>44643</v>
      </c>
      <c r="M781" s="102" t="s">
        <v>2449</v>
      </c>
      <c r="N781" s="102" t="s">
        <v>2450</v>
      </c>
      <c r="O781" s="102" t="s">
        <v>383</v>
      </c>
      <c r="P781" s="103">
        <v>1</v>
      </c>
      <c r="Q781" s="105">
        <v>40000000</v>
      </c>
      <c r="R781" s="103">
        <v>48</v>
      </c>
      <c r="S781" s="105">
        <v>833333.33333333302</v>
      </c>
      <c r="T781" s="105">
        <v>38333333.333333299</v>
      </c>
      <c r="U781" s="105">
        <v>833333.33333333302</v>
      </c>
      <c r="V781" s="105">
        <v>833333.33333333302</v>
      </c>
      <c r="W781" s="105">
        <v>0</v>
      </c>
      <c r="X781" s="105">
        <v>0</v>
      </c>
      <c r="Y781" s="105">
        <v>0</v>
      </c>
      <c r="Z781" s="105">
        <v>0</v>
      </c>
      <c r="AA781" s="105">
        <v>0</v>
      </c>
      <c r="AB781" s="105">
        <v>0</v>
      </c>
      <c r="AC781" s="8">
        <f t="shared" si="84"/>
        <v>39999999.999999963</v>
      </c>
      <c r="AD781" s="8">
        <f t="shared" si="85"/>
        <v>0</v>
      </c>
      <c r="AE781" s="8">
        <f t="shared" si="86"/>
        <v>0</v>
      </c>
      <c r="AF781" s="106">
        <f t="shared" si="87"/>
        <v>0</v>
      </c>
      <c r="AG781" s="8">
        <f t="shared" si="88"/>
        <v>0</v>
      </c>
      <c r="AH781" s="8">
        <f>IF($O781="Aktif",MAX(0,MIN($AE781,$AD781-SUM($AG781:AG781))),0)</f>
        <v>0</v>
      </c>
      <c r="AI781" s="8">
        <f>IF($O781="Aktif",MAX(0,MIN($AE781,$AD781-SUM($AG781:AH781))),0)</f>
        <v>0</v>
      </c>
      <c r="AJ781" s="8">
        <f>IF($O781="Aktif",MAX(0,MIN($AE781,$AD781-SUM($AG781:AI781))),0)</f>
        <v>0</v>
      </c>
      <c r="AK781" s="8">
        <f>IF($O781="Aktif",MAX(0,MIN($AE781,$AD781-SUM($AG781:AJ781))),0)</f>
        <v>0</v>
      </c>
      <c r="AL781" s="8">
        <f>IF($O781="Aktif",MAX(0,MIN($AE781,$AD781-SUM($AG781:AK781))),0)</f>
        <v>0</v>
      </c>
      <c r="AM781" s="8">
        <f>IF($O781="Aktif",MAX(0,MIN($AE781,$AD781-SUM($AG781:AL781))),0)</f>
        <v>0</v>
      </c>
      <c r="AN781" s="8">
        <f>IF($O781="Aktif",MAX(0,MIN($AE781,$AD781-SUM($AG781:AM781))),0)</f>
        <v>0</v>
      </c>
      <c r="AO781" s="8">
        <f>IF($O781="Aktif",MAX(0,MIN($AE781,$AD781-SUM($AG781:AN781))),0)</f>
        <v>0</v>
      </c>
      <c r="AP781" s="8">
        <f>IF($O781="Aktif",MAX(0,MIN($AE781,$AD781-SUM($AG781:AO781))),0)</f>
        <v>0</v>
      </c>
      <c r="AQ781" s="8">
        <f>IF($O781="Aktif",MAX(0,MIN($AE781,$AD781-SUM($AG781:AP781))),0)</f>
        <v>0</v>
      </c>
      <c r="AR781" s="8">
        <f>IF($O781="Aktif",MAX(0,MIN($AE781,$AD781-SUM($AG781:AQ781))),0)</f>
        <v>0</v>
      </c>
      <c r="AS781" s="8">
        <f>IF($O781="Aktif",MAX(0,MIN($AE781,$AD781-SUM($AG781:AR781))),0)</f>
        <v>0</v>
      </c>
      <c r="AT781" s="8">
        <f>IF($O781="Aktif",MAX(0,MIN($AE781,$AD781-SUM($AG781:AS781))),0)</f>
        <v>0</v>
      </c>
      <c r="AU781" s="8">
        <f>IF($O781="Aktif",MAX(0,MIN($AE781,$AD781-SUM($AG781:AT781))),0)</f>
        <v>0</v>
      </c>
      <c r="AV781" s="8">
        <f>IF($O781="Aktif",MAX(0,MIN($AE781,$AD781-SUM($AG781:AU781))),0)</f>
        <v>0</v>
      </c>
      <c r="AW781" s="8">
        <f t="shared" si="89"/>
        <v>0</v>
      </c>
      <c r="AX781" s="8">
        <f t="shared" si="90"/>
        <v>0</v>
      </c>
    </row>
    <row r="782" spans="1:50" ht="15" customHeight="1" x14ac:dyDescent="0.35">
      <c r="A782" s="102">
        <v>776</v>
      </c>
      <c r="B782" s="102" t="s">
        <v>1326</v>
      </c>
      <c r="C782" s="103">
        <v>410</v>
      </c>
      <c r="D782" s="102" t="s">
        <v>185</v>
      </c>
      <c r="E782" s="102" t="s">
        <v>479</v>
      </c>
      <c r="F782" s="102" t="s">
        <v>2332</v>
      </c>
      <c r="G782" s="102" t="s">
        <v>2333</v>
      </c>
      <c r="H782" s="102" t="s">
        <v>2334</v>
      </c>
      <c r="I782" s="102" t="s">
        <v>63</v>
      </c>
      <c r="J782" s="102"/>
      <c r="K782" s="102" t="s">
        <v>2451</v>
      </c>
      <c r="L782" s="104">
        <v>44643</v>
      </c>
      <c r="M782" s="102" t="s">
        <v>2452</v>
      </c>
      <c r="N782" s="102" t="s">
        <v>2453</v>
      </c>
      <c r="O782" s="102" t="s">
        <v>383</v>
      </c>
      <c r="P782" s="103">
        <v>1</v>
      </c>
      <c r="Q782" s="105">
        <v>10000000</v>
      </c>
      <c r="R782" s="103">
        <v>48</v>
      </c>
      <c r="S782" s="105">
        <v>208333.33333333299</v>
      </c>
      <c r="T782" s="105">
        <v>9583333.3333333302</v>
      </c>
      <c r="U782" s="105">
        <v>208333.33333333299</v>
      </c>
      <c r="V782" s="105">
        <v>208333.33333333299</v>
      </c>
      <c r="W782" s="105">
        <v>0</v>
      </c>
      <c r="X782" s="105">
        <v>0</v>
      </c>
      <c r="Y782" s="105">
        <v>0</v>
      </c>
      <c r="Z782" s="105">
        <v>0</v>
      </c>
      <c r="AA782" s="105">
        <v>0</v>
      </c>
      <c r="AB782" s="105">
        <v>0</v>
      </c>
      <c r="AC782" s="8">
        <f t="shared" si="84"/>
        <v>9999999.9999999963</v>
      </c>
      <c r="AD782" s="8">
        <f t="shared" si="85"/>
        <v>0</v>
      </c>
      <c r="AE782" s="8">
        <f t="shared" si="86"/>
        <v>0</v>
      </c>
      <c r="AF782" s="106">
        <f t="shared" si="87"/>
        <v>0</v>
      </c>
      <c r="AG782" s="8">
        <f t="shared" si="88"/>
        <v>0</v>
      </c>
      <c r="AH782" s="8">
        <f>IF($O782="Aktif",MAX(0,MIN($AE782,$AD782-SUM($AG782:AG782))),0)</f>
        <v>0</v>
      </c>
      <c r="AI782" s="8">
        <f>IF($O782="Aktif",MAX(0,MIN($AE782,$AD782-SUM($AG782:AH782))),0)</f>
        <v>0</v>
      </c>
      <c r="AJ782" s="8">
        <f>IF($O782="Aktif",MAX(0,MIN($AE782,$AD782-SUM($AG782:AI782))),0)</f>
        <v>0</v>
      </c>
      <c r="AK782" s="8">
        <f>IF($O782="Aktif",MAX(0,MIN($AE782,$AD782-SUM($AG782:AJ782))),0)</f>
        <v>0</v>
      </c>
      <c r="AL782" s="8">
        <f>IF($O782="Aktif",MAX(0,MIN($AE782,$AD782-SUM($AG782:AK782))),0)</f>
        <v>0</v>
      </c>
      <c r="AM782" s="8">
        <f>IF($O782="Aktif",MAX(0,MIN($AE782,$AD782-SUM($AG782:AL782))),0)</f>
        <v>0</v>
      </c>
      <c r="AN782" s="8">
        <f>IF($O782="Aktif",MAX(0,MIN($AE782,$AD782-SUM($AG782:AM782))),0)</f>
        <v>0</v>
      </c>
      <c r="AO782" s="8">
        <f>IF($O782="Aktif",MAX(0,MIN($AE782,$AD782-SUM($AG782:AN782))),0)</f>
        <v>0</v>
      </c>
      <c r="AP782" s="8">
        <f>IF($O782="Aktif",MAX(0,MIN($AE782,$AD782-SUM($AG782:AO782))),0)</f>
        <v>0</v>
      </c>
      <c r="AQ782" s="8">
        <f>IF($O782="Aktif",MAX(0,MIN($AE782,$AD782-SUM($AG782:AP782))),0)</f>
        <v>0</v>
      </c>
      <c r="AR782" s="8">
        <f>IF($O782="Aktif",MAX(0,MIN($AE782,$AD782-SUM($AG782:AQ782))),0)</f>
        <v>0</v>
      </c>
      <c r="AS782" s="8">
        <f>IF($O782="Aktif",MAX(0,MIN($AE782,$AD782-SUM($AG782:AR782))),0)</f>
        <v>0</v>
      </c>
      <c r="AT782" s="8">
        <f>IF($O782="Aktif",MAX(0,MIN($AE782,$AD782-SUM($AG782:AS782))),0)</f>
        <v>0</v>
      </c>
      <c r="AU782" s="8">
        <f>IF($O782="Aktif",MAX(0,MIN($AE782,$AD782-SUM($AG782:AT782))),0)</f>
        <v>0</v>
      </c>
      <c r="AV782" s="8">
        <f>IF($O782="Aktif",MAX(0,MIN($AE782,$AD782-SUM($AG782:AU782))),0)</f>
        <v>0</v>
      </c>
      <c r="AW782" s="8">
        <f t="shared" si="89"/>
        <v>0</v>
      </c>
      <c r="AX782" s="8">
        <f t="shared" si="90"/>
        <v>0</v>
      </c>
    </row>
    <row r="783" spans="1:50" ht="15" customHeight="1" x14ac:dyDescent="0.35">
      <c r="A783" s="102">
        <v>777</v>
      </c>
      <c r="B783" s="102" t="s">
        <v>1326</v>
      </c>
      <c r="C783" s="103">
        <v>411</v>
      </c>
      <c r="D783" s="102" t="s">
        <v>185</v>
      </c>
      <c r="E783" s="102" t="s">
        <v>479</v>
      </c>
      <c r="F783" s="102" t="s">
        <v>2332</v>
      </c>
      <c r="G783" s="102" t="s">
        <v>2333</v>
      </c>
      <c r="H783" s="102" t="s">
        <v>2334</v>
      </c>
      <c r="I783" s="102" t="s">
        <v>63</v>
      </c>
      <c r="J783" s="102"/>
      <c r="K783" s="102" t="s">
        <v>2454</v>
      </c>
      <c r="L783" s="104">
        <v>44649</v>
      </c>
      <c r="M783" s="102" t="s">
        <v>2455</v>
      </c>
      <c r="N783" s="102" t="s">
        <v>2456</v>
      </c>
      <c r="O783" s="102" t="s">
        <v>383</v>
      </c>
      <c r="P783" s="103">
        <v>1</v>
      </c>
      <c r="Q783" s="105">
        <v>70000000</v>
      </c>
      <c r="R783" s="103">
        <v>48</v>
      </c>
      <c r="S783" s="105">
        <v>1458333.33333333</v>
      </c>
      <c r="T783" s="105">
        <v>67083333.333333299</v>
      </c>
      <c r="U783" s="105">
        <v>1458333.33333333</v>
      </c>
      <c r="V783" s="105">
        <v>1458333.33333333</v>
      </c>
      <c r="W783" s="105">
        <v>0</v>
      </c>
      <c r="X783" s="105">
        <v>0</v>
      </c>
      <c r="Y783" s="105">
        <v>0</v>
      </c>
      <c r="Z783" s="105">
        <v>0</v>
      </c>
      <c r="AA783" s="105">
        <v>0</v>
      </c>
      <c r="AB783" s="105">
        <v>0</v>
      </c>
      <c r="AC783" s="8">
        <f t="shared" si="84"/>
        <v>69999999.999999955</v>
      </c>
      <c r="AD783" s="8">
        <f t="shared" si="85"/>
        <v>0</v>
      </c>
      <c r="AE783" s="8">
        <f t="shared" si="86"/>
        <v>0</v>
      </c>
      <c r="AF783" s="106">
        <f t="shared" si="87"/>
        <v>0</v>
      </c>
      <c r="AG783" s="8">
        <f t="shared" si="88"/>
        <v>0</v>
      </c>
      <c r="AH783" s="8">
        <f>IF($O783="Aktif",MAX(0,MIN($AE783,$AD783-SUM($AG783:AG783))),0)</f>
        <v>0</v>
      </c>
      <c r="AI783" s="8">
        <f>IF($O783="Aktif",MAX(0,MIN($AE783,$AD783-SUM($AG783:AH783))),0)</f>
        <v>0</v>
      </c>
      <c r="AJ783" s="8">
        <f>IF($O783="Aktif",MAX(0,MIN($AE783,$AD783-SUM($AG783:AI783))),0)</f>
        <v>0</v>
      </c>
      <c r="AK783" s="8">
        <f>IF($O783="Aktif",MAX(0,MIN($AE783,$AD783-SUM($AG783:AJ783))),0)</f>
        <v>0</v>
      </c>
      <c r="AL783" s="8">
        <f>IF($O783="Aktif",MAX(0,MIN($AE783,$AD783-SUM($AG783:AK783))),0)</f>
        <v>0</v>
      </c>
      <c r="AM783" s="8">
        <f>IF($O783="Aktif",MAX(0,MIN($AE783,$AD783-SUM($AG783:AL783))),0)</f>
        <v>0</v>
      </c>
      <c r="AN783" s="8">
        <f>IF($O783="Aktif",MAX(0,MIN($AE783,$AD783-SUM($AG783:AM783))),0)</f>
        <v>0</v>
      </c>
      <c r="AO783" s="8">
        <f>IF($O783="Aktif",MAX(0,MIN($AE783,$AD783-SUM($AG783:AN783))),0)</f>
        <v>0</v>
      </c>
      <c r="AP783" s="8">
        <f>IF($O783="Aktif",MAX(0,MIN($AE783,$AD783-SUM($AG783:AO783))),0)</f>
        <v>0</v>
      </c>
      <c r="AQ783" s="8">
        <f>IF($O783="Aktif",MAX(0,MIN($AE783,$AD783-SUM($AG783:AP783))),0)</f>
        <v>0</v>
      </c>
      <c r="AR783" s="8">
        <f>IF($O783="Aktif",MAX(0,MIN($AE783,$AD783-SUM($AG783:AQ783))),0)</f>
        <v>0</v>
      </c>
      <c r="AS783" s="8">
        <f>IF($O783="Aktif",MAX(0,MIN($AE783,$AD783-SUM($AG783:AR783))),0)</f>
        <v>0</v>
      </c>
      <c r="AT783" s="8">
        <f>IF($O783="Aktif",MAX(0,MIN($AE783,$AD783-SUM($AG783:AS783))),0)</f>
        <v>0</v>
      </c>
      <c r="AU783" s="8">
        <f>IF($O783="Aktif",MAX(0,MIN($AE783,$AD783-SUM($AG783:AT783))),0)</f>
        <v>0</v>
      </c>
      <c r="AV783" s="8">
        <f>IF($O783="Aktif",MAX(0,MIN($AE783,$AD783-SUM($AG783:AU783))),0)</f>
        <v>0</v>
      </c>
      <c r="AW783" s="8">
        <f t="shared" si="89"/>
        <v>0</v>
      </c>
      <c r="AX783" s="8">
        <f t="shared" si="90"/>
        <v>0</v>
      </c>
    </row>
    <row r="784" spans="1:50" ht="15" customHeight="1" x14ac:dyDescent="0.35">
      <c r="A784" s="102">
        <v>778</v>
      </c>
      <c r="B784" s="102" t="s">
        <v>1326</v>
      </c>
      <c r="C784" s="103">
        <v>412</v>
      </c>
      <c r="D784" s="102" t="s">
        <v>185</v>
      </c>
      <c r="E784" s="102" t="s">
        <v>479</v>
      </c>
      <c r="F784" s="102" t="s">
        <v>2332</v>
      </c>
      <c r="G784" s="102" t="s">
        <v>2333</v>
      </c>
      <c r="H784" s="102" t="s">
        <v>2334</v>
      </c>
      <c r="I784" s="102" t="s">
        <v>63</v>
      </c>
      <c r="J784" s="102"/>
      <c r="K784" s="102" t="s">
        <v>2457</v>
      </c>
      <c r="L784" s="104">
        <v>44649</v>
      </c>
      <c r="M784" s="102" t="s">
        <v>2458</v>
      </c>
      <c r="N784" s="102" t="s">
        <v>2459</v>
      </c>
      <c r="O784" s="102" t="s">
        <v>383</v>
      </c>
      <c r="P784" s="103">
        <v>1</v>
      </c>
      <c r="Q784" s="105">
        <v>100000000</v>
      </c>
      <c r="R784" s="103">
        <v>48</v>
      </c>
      <c r="S784" s="105">
        <v>2083333.33333333</v>
      </c>
      <c r="T784" s="105">
        <v>95833333.333333299</v>
      </c>
      <c r="U784" s="105">
        <v>2083333.33333333</v>
      </c>
      <c r="V784" s="105">
        <v>2083333.33333333</v>
      </c>
      <c r="W784" s="105">
        <v>0</v>
      </c>
      <c r="X784" s="105">
        <v>0</v>
      </c>
      <c r="Y784" s="105">
        <v>0</v>
      </c>
      <c r="Z784" s="105">
        <v>0</v>
      </c>
      <c r="AA784" s="105">
        <v>0</v>
      </c>
      <c r="AB784" s="105">
        <v>0</v>
      </c>
      <c r="AC784" s="8">
        <f t="shared" si="84"/>
        <v>99999999.999999955</v>
      </c>
      <c r="AD784" s="8">
        <f t="shared" si="85"/>
        <v>0</v>
      </c>
      <c r="AE784" s="8">
        <f t="shared" si="86"/>
        <v>0</v>
      </c>
      <c r="AF784" s="106">
        <f t="shared" si="87"/>
        <v>0</v>
      </c>
      <c r="AG784" s="8">
        <f t="shared" si="88"/>
        <v>0</v>
      </c>
      <c r="AH784" s="8">
        <f>IF($O784="Aktif",MAX(0,MIN($AE784,$AD784-SUM($AG784:AG784))),0)</f>
        <v>0</v>
      </c>
      <c r="AI784" s="8">
        <f>IF($O784="Aktif",MAX(0,MIN($AE784,$AD784-SUM($AG784:AH784))),0)</f>
        <v>0</v>
      </c>
      <c r="AJ784" s="8">
        <f>IF($O784="Aktif",MAX(0,MIN($AE784,$AD784-SUM($AG784:AI784))),0)</f>
        <v>0</v>
      </c>
      <c r="AK784" s="8">
        <f>IF($O784="Aktif",MAX(0,MIN($AE784,$AD784-SUM($AG784:AJ784))),0)</f>
        <v>0</v>
      </c>
      <c r="AL784" s="8">
        <f>IF($O784="Aktif",MAX(0,MIN($AE784,$AD784-SUM($AG784:AK784))),0)</f>
        <v>0</v>
      </c>
      <c r="AM784" s="8">
        <f>IF($O784="Aktif",MAX(0,MIN($AE784,$AD784-SUM($AG784:AL784))),0)</f>
        <v>0</v>
      </c>
      <c r="AN784" s="8">
        <f>IF($O784="Aktif",MAX(0,MIN($AE784,$AD784-SUM($AG784:AM784))),0)</f>
        <v>0</v>
      </c>
      <c r="AO784" s="8">
        <f>IF($O784="Aktif",MAX(0,MIN($AE784,$AD784-SUM($AG784:AN784))),0)</f>
        <v>0</v>
      </c>
      <c r="AP784" s="8">
        <f>IF($O784="Aktif",MAX(0,MIN($AE784,$AD784-SUM($AG784:AO784))),0)</f>
        <v>0</v>
      </c>
      <c r="AQ784" s="8">
        <f>IF($O784="Aktif",MAX(0,MIN($AE784,$AD784-SUM($AG784:AP784))),0)</f>
        <v>0</v>
      </c>
      <c r="AR784" s="8">
        <f>IF($O784="Aktif",MAX(0,MIN($AE784,$AD784-SUM($AG784:AQ784))),0)</f>
        <v>0</v>
      </c>
      <c r="AS784" s="8">
        <f>IF($O784="Aktif",MAX(0,MIN($AE784,$AD784-SUM($AG784:AR784))),0)</f>
        <v>0</v>
      </c>
      <c r="AT784" s="8">
        <f>IF($O784="Aktif",MAX(0,MIN($AE784,$AD784-SUM($AG784:AS784))),0)</f>
        <v>0</v>
      </c>
      <c r="AU784" s="8">
        <f>IF($O784="Aktif",MAX(0,MIN($AE784,$AD784-SUM($AG784:AT784))),0)</f>
        <v>0</v>
      </c>
      <c r="AV784" s="8">
        <f>IF($O784="Aktif",MAX(0,MIN($AE784,$AD784-SUM($AG784:AU784))),0)</f>
        <v>0</v>
      </c>
      <c r="AW784" s="8">
        <f t="shared" si="89"/>
        <v>0</v>
      </c>
      <c r="AX784" s="8">
        <f t="shared" si="90"/>
        <v>0</v>
      </c>
    </row>
    <row r="785" spans="1:50" ht="15" customHeight="1" x14ac:dyDescent="0.35">
      <c r="A785" s="102">
        <v>779</v>
      </c>
      <c r="B785" s="102" t="s">
        <v>1326</v>
      </c>
      <c r="C785" s="103">
        <v>413</v>
      </c>
      <c r="D785" s="102" t="s">
        <v>185</v>
      </c>
      <c r="E785" s="102" t="s">
        <v>479</v>
      </c>
      <c r="F785" s="102" t="s">
        <v>2332</v>
      </c>
      <c r="G785" s="102" t="s">
        <v>2333</v>
      </c>
      <c r="H785" s="102" t="s">
        <v>2334</v>
      </c>
      <c r="I785" s="102" t="s">
        <v>63</v>
      </c>
      <c r="J785" s="102"/>
      <c r="K785" s="102" t="s">
        <v>2460</v>
      </c>
      <c r="L785" s="104">
        <v>44649</v>
      </c>
      <c r="M785" s="102" t="s">
        <v>2461</v>
      </c>
      <c r="N785" s="102" t="s">
        <v>2462</v>
      </c>
      <c r="O785" s="102" t="s">
        <v>383</v>
      </c>
      <c r="P785" s="103">
        <v>1</v>
      </c>
      <c r="Q785" s="105">
        <v>50000000</v>
      </c>
      <c r="R785" s="103">
        <v>48</v>
      </c>
      <c r="S785" s="105">
        <v>1041666.66666667</v>
      </c>
      <c r="T785" s="105">
        <v>47916666.666666701</v>
      </c>
      <c r="U785" s="105">
        <v>1041666.66666667</v>
      </c>
      <c r="V785" s="105">
        <v>1041666.66666667</v>
      </c>
      <c r="W785" s="105">
        <v>0</v>
      </c>
      <c r="X785" s="105">
        <v>0</v>
      </c>
      <c r="Y785" s="105">
        <v>0</v>
      </c>
      <c r="Z785" s="105">
        <v>0</v>
      </c>
      <c r="AA785" s="105">
        <v>0</v>
      </c>
      <c r="AB785" s="105">
        <v>0</v>
      </c>
      <c r="AC785" s="8">
        <f t="shared" si="84"/>
        <v>50000000.000000045</v>
      </c>
      <c r="AD785" s="8">
        <f t="shared" si="85"/>
        <v>0</v>
      </c>
      <c r="AE785" s="8">
        <f t="shared" si="86"/>
        <v>0</v>
      </c>
      <c r="AF785" s="106">
        <f t="shared" si="87"/>
        <v>0</v>
      </c>
      <c r="AG785" s="8">
        <f t="shared" si="88"/>
        <v>0</v>
      </c>
      <c r="AH785" s="8">
        <f>IF($O785="Aktif",MAX(0,MIN($AE785,$AD785-SUM($AG785:AG785))),0)</f>
        <v>0</v>
      </c>
      <c r="AI785" s="8">
        <f>IF($O785="Aktif",MAX(0,MIN($AE785,$AD785-SUM($AG785:AH785))),0)</f>
        <v>0</v>
      </c>
      <c r="AJ785" s="8">
        <f>IF($O785="Aktif",MAX(0,MIN($AE785,$AD785-SUM($AG785:AI785))),0)</f>
        <v>0</v>
      </c>
      <c r="AK785" s="8">
        <f>IF($O785="Aktif",MAX(0,MIN($AE785,$AD785-SUM($AG785:AJ785))),0)</f>
        <v>0</v>
      </c>
      <c r="AL785" s="8">
        <f>IF($O785="Aktif",MAX(0,MIN($AE785,$AD785-SUM($AG785:AK785))),0)</f>
        <v>0</v>
      </c>
      <c r="AM785" s="8">
        <f>IF($O785="Aktif",MAX(0,MIN($AE785,$AD785-SUM($AG785:AL785))),0)</f>
        <v>0</v>
      </c>
      <c r="AN785" s="8">
        <f>IF($O785="Aktif",MAX(0,MIN($AE785,$AD785-SUM($AG785:AM785))),0)</f>
        <v>0</v>
      </c>
      <c r="AO785" s="8">
        <f>IF($O785="Aktif",MAX(0,MIN($AE785,$AD785-SUM($AG785:AN785))),0)</f>
        <v>0</v>
      </c>
      <c r="AP785" s="8">
        <f>IF($O785="Aktif",MAX(0,MIN($AE785,$AD785-SUM($AG785:AO785))),0)</f>
        <v>0</v>
      </c>
      <c r="AQ785" s="8">
        <f>IF($O785="Aktif",MAX(0,MIN($AE785,$AD785-SUM($AG785:AP785))),0)</f>
        <v>0</v>
      </c>
      <c r="AR785" s="8">
        <f>IF($O785="Aktif",MAX(0,MIN($AE785,$AD785-SUM($AG785:AQ785))),0)</f>
        <v>0</v>
      </c>
      <c r="AS785" s="8">
        <f>IF($O785="Aktif",MAX(0,MIN($AE785,$AD785-SUM($AG785:AR785))),0)</f>
        <v>0</v>
      </c>
      <c r="AT785" s="8">
        <f>IF($O785="Aktif",MAX(0,MIN($AE785,$AD785-SUM($AG785:AS785))),0)</f>
        <v>0</v>
      </c>
      <c r="AU785" s="8">
        <f>IF($O785="Aktif",MAX(0,MIN($AE785,$AD785-SUM($AG785:AT785))),0)</f>
        <v>0</v>
      </c>
      <c r="AV785" s="8">
        <f>IF($O785="Aktif",MAX(0,MIN($AE785,$AD785-SUM($AG785:AU785))),0)</f>
        <v>0</v>
      </c>
      <c r="AW785" s="8">
        <f t="shared" si="89"/>
        <v>0</v>
      </c>
      <c r="AX785" s="8">
        <f t="shared" si="90"/>
        <v>0</v>
      </c>
    </row>
    <row r="786" spans="1:50" ht="15" customHeight="1" x14ac:dyDescent="0.35">
      <c r="A786" s="102">
        <v>780</v>
      </c>
      <c r="B786" s="102" t="s">
        <v>1326</v>
      </c>
      <c r="C786" s="103">
        <v>414</v>
      </c>
      <c r="D786" s="102" t="s">
        <v>185</v>
      </c>
      <c r="E786" s="102" t="s">
        <v>479</v>
      </c>
      <c r="F786" s="102" t="s">
        <v>2332</v>
      </c>
      <c r="G786" s="102" t="s">
        <v>2333</v>
      </c>
      <c r="H786" s="102" t="s">
        <v>2334</v>
      </c>
      <c r="I786" s="102" t="s">
        <v>63</v>
      </c>
      <c r="J786" s="102"/>
      <c r="K786" s="102" t="s">
        <v>2463</v>
      </c>
      <c r="L786" s="104">
        <v>44659</v>
      </c>
      <c r="M786" s="102" t="s">
        <v>2464</v>
      </c>
      <c r="N786" s="102" t="s">
        <v>2465</v>
      </c>
      <c r="O786" s="102" t="s">
        <v>383</v>
      </c>
      <c r="P786" s="103">
        <v>1</v>
      </c>
      <c r="Q786" s="105">
        <v>20000000</v>
      </c>
      <c r="R786" s="103">
        <v>48</v>
      </c>
      <c r="S786" s="105">
        <v>416666.66666666698</v>
      </c>
      <c r="T786" s="105">
        <v>18750000</v>
      </c>
      <c r="U786" s="105">
        <v>416666.66666666698</v>
      </c>
      <c r="V786" s="105">
        <v>416666.66666666698</v>
      </c>
      <c r="W786" s="105">
        <v>416666.66666666698</v>
      </c>
      <c r="X786" s="105">
        <v>0</v>
      </c>
      <c r="Y786" s="105">
        <v>0</v>
      </c>
      <c r="Z786" s="105">
        <v>0</v>
      </c>
      <c r="AA786" s="105">
        <v>0</v>
      </c>
      <c r="AB786" s="105">
        <v>0</v>
      </c>
      <c r="AC786" s="8">
        <f t="shared" si="84"/>
        <v>20000000</v>
      </c>
      <c r="AD786" s="8">
        <f t="shared" si="85"/>
        <v>0</v>
      </c>
      <c r="AE786" s="8">
        <f t="shared" si="86"/>
        <v>0</v>
      </c>
      <c r="AF786" s="106">
        <f t="shared" si="87"/>
        <v>0</v>
      </c>
      <c r="AG786" s="8">
        <f t="shared" si="88"/>
        <v>0</v>
      </c>
      <c r="AH786" s="8">
        <f>IF($O786="Aktif",MAX(0,MIN($AE786,$AD786-SUM($AG786:AG786))),0)</f>
        <v>0</v>
      </c>
      <c r="AI786" s="8">
        <f>IF($O786="Aktif",MAX(0,MIN($AE786,$AD786-SUM($AG786:AH786))),0)</f>
        <v>0</v>
      </c>
      <c r="AJ786" s="8">
        <f>IF($O786="Aktif",MAX(0,MIN($AE786,$AD786-SUM($AG786:AI786))),0)</f>
        <v>0</v>
      </c>
      <c r="AK786" s="8">
        <f>IF($O786="Aktif",MAX(0,MIN($AE786,$AD786-SUM($AG786:AJ786))),0)</f>
        <v>0</v>
      </c>
      <c r="AL786" s="8">
        <f>IF($O786="Aktif",MAX(0,MIN($AE786,$AD786-SUM($AG786:AK786))),0)</f>
        <v>0</v>
      </c>
      <c r="AM786" s="8">
        <f>IF($O786="Aktif",MAX(0,MIN($AE786,$AD786-SUM($AG786:AL786))),0)</f>
        <v>0</v>
      </c>
      <c r="AN786" s="8">
        <f>IF($O786="Aktif",MAX(0,MIN($AE786,$AD786-SUM($AG786:AM786))),0)</f>
        <v>0</v>
      </c>
      <c r="AO786" s="8">
        <f>IF($O786="Aktif",MAX(0,MIN($AE786,$AD786-SUM($AG786:AN786))),0)</f>
        <v>0</v>
      </c>
      <c r="AP786" s="8">
        <f>IF($O786="Aktif",MAX(0,MIN($AE786,$AD786-SUM($AG786:AO786))),0)</f>
        <v>0</v>
      </c>
      <c r="AQ786" s="8">
        <f>IF($O786="Aktif",MAX(0,MIN($AE786,$AD786-SUM($AG786:AP786))),0)</f>
        <v>0</v>
      </c>
      <c r="AR786" s="8">
        <f>IF($O786="Aktif",MAX(0,MIN($AE786,$AD786-SUM($AG786:AQ786))),0)</f>
        <v>0</v>
      </c>
      <c r="AS786" s="8">
        <f>IF($O786="Aktif",MAX(0,MIN($AE786,$AD786-SUM($AG786:AR786))),0)</f>
        <v>0</v>
      </c>
      <c r="AT786" s="8">
        <f>IF($O786="Aktif",MAX(0,MIN($AE786,$AD786-SUM($AG786:AS786))),0)</f>
        <v>0</v>
      </c>
      <c r="AU786" s="8">
        <f>IF($O786="Aktif",MAX(0,MIN($AE786,$AD786-SUM($AG786:AT786))),0)</f>
        <v>0</v>
      </c>
      <c r="AV786" s="8">
        <f>IF($O786="Aktif",MAX(0,MIN($AE786,$AD786-SUM($AG786:AU786))),0)</f>
        <v>0</v>
      </c>
      <c r="AW786" s="8">
        <f t="shared" si="89"/>
        <v>0</v>
      </c>
      <c r="AX786" s="8">
        <f t="shared" si="90"/>
        <v>0</v>
      </c>
    </row>
    <row r="787" spans="1:50" ht="15" customHeight="1" x14ac:dyDescent="0.35">
      <c r="A787" s="102">
        <v>781</v>
      </c>
      <c r="B787" s="102" t="s">
        <v>1326</v>
      </c>
      <c r="C787" s="103">
        <v>415</v>
      </c>
      <c r="D787" s="102" t="s">
        <v>185</v>
      </c>
      <c r="E787" s="102" t="s">
        <v>479</v>
      </c>
      <c r="F787" s="102" t="s">
        <v>2332</v>
      </c>
      <c r="G787" s="102" t="s">
        <v>2333</v>
      </c>
      <c r="H787" s="102" t="s">
        <v>2334</v>
      </c>
      <c r="I787" s="102" t="s">
        <v>63</v>
      </c>
      <c r="J787" s="102"/>
      <c r="K787" s="102" t="s">
        <v>2466</v>
      </c>
      <c r="L787" s="104">
        <v>44663</v>
      </c>
      <c r="M787" s="102" t="s">
        <v>2467</v>
      </c>
      <c r="N787" s="102" t="s">
        <v>2468</v>
      </c>
      <c r="O787" s="102" t="s">
        <v>383</v>
      </c>
      <c r="P787" s="103">
        <v>1</v>
      </c>
      <c r="Q787" s="105">
        <v>11500000</v>
      </c>
      <c r="R787" s="103">
        <v>48</v>
      </c>
      <c r="S787" s="105">
        <v>239583.33333333299</v>
      </c>
      <c r="T787" s="105">
        <v>10781250</v>
      </c>
      <c r="U787" s="105">
        <v>239583.33333333299</v>
      </c>
      <c r="V787" s="105">
        <v>239583.33333333299</v>
      </c>
      <c r="W787" s="105">
        <v>239583.33333333299</v>
      </c>
      <c r="X787" s="105">
        <v>0</v>
      </c>
      <c r="Y787" s="105">
        <v>0</v>
      </c>
      <c r="Z787" s="105">
        <v>0</v>
      </c>
      <c r="AA787" s="105">
        <v>0</v>
      </c>
      <c r="AB787" s="105">
        <v>0</v>
      </c>
      <c r="AC787" s="8">
        <f t="shared" si="84"/>
        <v>11499999.999999998</v>
      </c>
      <c r="AD787" s="8">
        <f t="shared" si="85"/>
        <v>0</v>
      </c>
      <c r="AE787" s="8">
        <f t="shared" si="86"/>
        <v>0</v>
      </c>
      <c r="AF787" s="106">
        <f t="shared" si="87"/>
        <v>0</v>
      </c>
      <c r="AG787" s="8">
        <f t="shared" si="88"/>
        <v>0</v>
      </c>
      <c r="AH787" s="8">
        <f>IF($O787="Aktif",MAX(0,MIN($AE787,$AD787-SUM($AG787:AG787))),0)</f>
        <v>0</v>
      </c>
      <c r="AI787" s="8">
        <f>IF($O787="Aktif",MAX(0,MIN($AE787,$AD787-SUM($AG787:AH787))),0)</f>
        <v>0</v>
      </c>
      <c r="AJ787" s="8">
        <f>IF($O787="Aktif",MAX(0,MIN($AE787,$AD787-SUM($AG787:AI787))),0)</f>
        <v>0</v>
      </c>
      <c r="AK787" s="8">
        <f>IF($O787="Aktif",MAX(0,MIN($AE787,$AD787-SUM($AG787:AJ787))),0)</f>
        <v>0</v>
      </c>
      <c r="AL787" s="8">
        <f>IF($O787="Aktif",MAX(0,MIN($AE787,$AD787-SUM($AG787:AK787))),0)</f>
        <v>0</v>
      </c>
      <c r="AM787" s="8">
        <f>IF($O787="Aktif",MAX(0,MIN($AE787,$AD787-SUM($AG787:AL787))),0)</f>
        <v>0</v>
      </c>
      <c r="AN787" s="8">
        <f>IF($O787="Aktif",MAX(0,MIN($AE787,$AD787-SUM($AG787:AM787))),0)</f>
        <v>0</v>
      </c>
      <c r="AO787" s="8">
        <f>IF($O787="Aktif",MAX(0,MIN($AE787,$AD787-SUM($AG787:AN787))),0)</f>
        <v>0</v>
      </c>
      <c r="AP787" s="8">
        <f>IF($O787="Aktif",MAX(0,MIN($AE787,$AD787-SUM($AG787:AO787))),0)</f>
        <v>0</v>
      </c>
      <c r="AQ787" s="8">
        <f>IF($O787="Aktif",MAX(0,MIN($AE787,$AD787-SUM($AG787:AP787))),0)</f>
        <v>0</v>
      </c>
      <c r="AR787" s="8">
        <f>IF($O787="Aktif",MAX(0,MIN($AE787,$AD787-SUM($AG787:AQ787))),0)</f>
        <v>0</v>
      </c>
      <c r="AS787" s="8">
        <f>IF($O787="Aktif",MAX(0,MIN($AE787,$AD787-SUM($AG787:AR787))),0)</f>
        <v>0</v>
      </c>
      <c r="AT787" s="8">
        <f>IF($O787="Aktif",MAX(0,MIN($AE787,$AD787-SUM($AG787:AS787))),0)</f>
        <v>0</v>
      </c>
      <c r="AU787" s="8">
        <f>IF($O787="Aktif",MAX(0,MIN($AE787,$AD787-SUM($AG787:AT787))),0)</f>
        <v>0</v>
      </c>
      <c r="AV787" s="8">
        <f>IF($O787="Aktif",MAX(0,MIN($AE787,$AD787-SUM($AG787:AU787))),0)</f>
        <v>0</v>
      </c>
      <c r="AW787" s="8">
        <f t="shared" si="89"/>
        <v>0</v>
      </c>
      <c r="AX787" s="8">
        <f t="shared" si="90"/>
        <v>0</v>
      </c>
    </row>
    <row r="788" spans="1:50" ht="15" customHeight="1" x14ac:dyDescent="0.35">
      <c r="A788" s="102">
        <v>782</v>
      </c>
      <c r="B788" s="102" t="s">
        <v>1326</v>
      </c>
      <c r="C788" s="103">
        <v>416</v>
      </c>
      <c r="D788" s="102" t="s">
        <v>185</v>
      </c>
      <c r="E788" s="102" t="s">
        <v>479</v>
      </c>
      <c r="F788" s="102" t="s">
        <v>2332</v>
      </c>
      <c r="G788" s="102" t="s">
        <v>2333</v>
      </c>
      <c r="H788" s="102" t="s">
        <v>2334</v>
      </c>
      <c r="I788" s="102" t="s">
        <v>63</v>
      </c>
      <c r="J788" s="102"/>
      <c r="K788" s="102" t="s">
        <v>2469</v>
      </c>
      <c r="L788" s="104">
        <v>44691</v>
      </c>
      <c r="M788" s="102" t="s">
        <v>2470</v>
      </c>
      <c r="N788" s="102" t="s">
        <v>2471</v>
      </c>
      <c r="O788" s="102" t="s">
        <v>383</v>
      </c>
      <c r="P788" s="103">
        <v>1</v>
      </c>
      <c r="Q788" s="105">
        <v>8500000</v>
      </c>
      <c r="R788" s="103">
        <v>48</v>
      </c>
      <c r="S788" s="105">
        <v>177083.33333333299</v>
      </c>
      <c r="T788" s="105">
        <v>7791666.6666666698</v>
      </c>
      <c r="U788" s="105">
        <v>177083.33333333299</v>
      </c>
      <c r="V788" s="105">
        <v>177083.33333333299</v>
      </c>
      <c r="W788" s="105">
        <v>177083.33333333299</v>
      </c>
      <c r="X788" s="105">
        <v>177083.33333333299</v>
      </c>
      <c r="Y788" s="105">
        <v>0</v>
      </c>
      <c r="Z788" s="105">
        <v>0</v>
      </c>
      <c r="AA788" s="105">
        <v>0</v>
      </c>
      <c r="AB788" s="105">
        <v>0</v>
      </c>
      <c r="AC788" s="8">
        <f t="shared" si="84"/>
        <v>8500000.0000000019</v>
      </c>
      <c r="AD788" s="8">
        <f t="shared" si="85"/>
        <v>0</v>
      </c>
      <c r="AE788" s="8">
        <f t="shared" si="86"/>
        <v>0</v>
      </c>
      <c r="AF788" s="106">
        <f t="shared" si="87"/>
        <v>0</v>
      </c>
      <c r="AG788" s="8">
        <f t="shared" si="88"/>
        <v>0</v>
      </c>
      <c r="AH788" s="8">
        <f>IF($O788="Aktif",MAX(0,MIN($AE788,$AD788-SUM($AG788:AG788))),0)</f>
        <v>0</v>
      </c>
      <c r="AI788" s="8">
        <f>IF($O788="Aktif",MAX(0,MIN($AE788,$AD788-SUM($AG788:AH788))),0)</f>
        <v>0</v>
      </c>
      <c r="AJ788" s="8">
        <f>IF($O788="Aktif",MAX(0,MIN($AE788,$AD788-SUM($AG788:AI788))),0)</f>
        <v>0</v>
      </c>
      <c r="AK788" s="8">
        <f>IF($O788="Aktif",MAX(0,MIN($AE788,$AD788-SUM($AG788:AJ788))),0)</f>
        <v>0</v>
      </c>
      <c r="AL788" s="8">
        <f>IF($O788="Aktif",MAX(0,MIN($AE788,$AD788-SUM($AG788:AK788))),0)</f>
        <v>0</v>
      </c>
      <c r="AM788" s="8">
        <f>IF($O788="Aktif",MAX(0,MIN($AE788,$AD788-SUM($AG788:AL788))),0)</f>
        <v>0</v>
      </c>
      <c r="AN788" s="8">
        <f>IF($O788="Aktif",MAX(0,MIN($AE788,$AD788-SUM($AG788:AM788))),0)</f>
        <v>0</v>
      </c>
      <c r="AO788" s="8">
        <f>IF($O788="Aktif",MAX(0,MIN($AE788,$AD788-SUM($AG788:AN788))),0)</f>
        <v>0</v>
      </c>
      <c r="AP788" s="8">
        <f>IF($O788="Aktif",MAX(0,MIN($AE788,$AD788-SUM($AG788:AO788))),0)</f>
        <v>0</v>
      </c>
      <c r="AQ788" s="8">
        <f>IF($O788="Aktif",MAX(0,MIN($AE788,$AD788-SUM($AG788:AP788))),0)</f>
        <v>0</v>
      </c>
      <c r="AR788" s="8">
        <f>IF($O788="Aktif",MAX(0,MIN($AE788,$AD788-SUM($AG788:AQ788))),0)</f>
        <v>0</v>
      </c>
      <c r="AS788" s="8">
        <f>IF($O788="Aktif",MAX(0,MIN($AE788,$AD788-SUM($AG788:AR788))),0)</f>
        <v>0</v>
      </c>
      <c r="AT788" s="8">
        <f>IF($O788="Aktif",MAX(0,MIN($AE788,$AD788-SUM($AG788:AS788))),0)</f>
        <v>0</v>
      </c>
      <c r="AU788" s="8">
        <f>IF($O788="Aktif",MAX(0,MIN($AE788,$AD788-SUM($AG788:AT788))),0)</f>
        <v>0</v>
      </c>
      <c r="AV788" s="8">
        <f>IF($O788="Aktif",MAX(0,MIN($AE788,$AD788-SUM($AG788:AU788))),0)</f>
        <v>0</v>
      </c>
      <c r="AW788" s="8">
        <f t="shared" si="89"/>
        <v>0</v>
      </c>
      <c r="AX788" s="8">
        <f t="shared" si="90"/>
        <v>0</v>
      </c>
    </row>
    <row r="789" spans="1:50" ht="15" customHeight="1" x14ac:dyDescent="0.35">
      <c r="A789" s="102">
        <v>783</v>
      </c>
      <c r="B789" s="102" t="s">
        <v>1326</v>
      </c>
      <c r="C789" s="103">
        <v>417</v>
      </c>
      <c r="D789" s="102" t="s">
        <v>185</v>
      </c>
      <c r="E789" s="102" t="s">
        <v>479</v>
      </c>
      <c r="F789" s="102" t="s">
        <v>2332</v>
      </c>
      <c r="G789" s="102" t="s">
        <v>2333</v>
      </c>
      <c r="H789" s="102" t="s">
        <v>2334</v>
      </c>
      <c r="I789" s="102" t="s">
        <v>63</v>
      </c>
      <c r="J789" s="102"/>
      <c r="K789" s="102" t="s">
        <v>2472</v>
      </c>
      <c r="L789" s="104">
        <v>44716</v>
      </c>
      <c r="M789" s="102" t="s">
        <v>2473</v>
      </c>
      <c r="N789" s="102" t="s">
        <v>2474</v>
      </c>
      <c r="O789" s="102" t="s">
        <v>383</v>
      </c>
      <c r="P789" s="103">
        <v>1</v>
      </c>
      <c r="Q789" s="105">
        <v>1844000</v>
      </c>
      <c r="R789" s="103">
        <v>48</v>
      </c>
      <c r="S789" s="105">
        <v>38416.666666666701</v>
      </c>
      <c r="T789" s="105">
        <v>1651916.66666667</v>
      </c>
      <c r="U789" s="105">
        <v>38416.666666666701</v>
      </c>
      <c r="V789" s="105">
        <v>38416.666666666701</v>
      </c>
      <c r="W789" s="105">
        <v>38416.666666666701</v>
      </c>
      <c r="X789" s="105">
        <v>38416.666666666701</v>
      </c>
      <c r="Y789" s="105">
        <v>38416.666666666701</v>
      </c>
      <c r="Z789" s="105">
        <v>0</v>
      </c>
      <c r="AA789" s="105">
        <v>0</v>
      </c>
      <c r="AB789" s="105">
        <v>0</v>
      </c>
      <c r="AC789" s="8">
        <f t="shared" si="84"/>
        <v>1844000.0000000035</v>
      </c>
      <c r="AD789" s="8">
        <f t="shared" si="85"/>
        <v>-3.4924596548080444E-9</v>
      </c>
      <c r="AE789" s="8">
        <f t="shared" si="86"/>
        <v>0</v>
      </c>
      <c r="AF789" s="106">
        <f t="shared" si="87"/>
        <v>0</v>
      </c>
      <c r="AG789" s="8">
        <f t="shared" si="88"/>
        <v>0</v>
      </c>
      <c r="AH789" s="8">
        <f>IF($O789="Aktif",MAX(0,MIN($AE789,$AD789-SUM($AG789:AG789))),0)</f>
        <v>0</v>
      </c>
      <c r="AI789" s="8">
        <f>IF($O789="Aktif",MAX(0,MIN($AE789,$AD789-SUM($AG789:AH789))),0)</f>
        <v>0</v>
      </c>
      <c r="AJ789" s="8">
        <f>IF($O789="Aktif",MAX(0,MIN($AE789,$AD789-SUM($AG789:AI789))),0)</f>
        <v>0</v>
      </c>
      <c r="AK789" s="8">
        <f>IF($O789="Aktif",MAX(0,MIN($AE789,$AD789-SUM($AG789:AJ789))),0)</f>
        <v>0</v>
      </c>
      <c r="AL789" s="8">
        <f>IF($O789="Aktif",MAX(0,MIN($AE789,$AD789-SUM($AG789:AK789))),0)</f>
        <v>0</v>
      </c>
      <c r="AM789" s="8">
        <f>IF($O789="Aktif",MAX(0,MIN($AE789,$AD789-SUM($AG789:AL789))),0)</f>
        <v>0</v>
      </c>
      <c r="AN789" s="8">
        <f>IF($O789="Aktif",MAX(0,MIN($AE789,$AD789-SUM($AG789:AM789))),0)</f>
        <v>0</v>
      </c>
      <c r="AO789" s="8">
        <f>IF($O789="Aktif",MAX(0,MIN($AE789,$AD789-SUM($AG789:AN789))),0)</f>
        <v>0</v>
      </c>
      <c r="AP789" s="8">
        <f>IF($O789="Aktif",MAX(0,MIN($AE789,$AD789-SUM($AG789:AO789))),0)</f>
        <v>0</v>
      </c>
      <c r="AQ789" s="8">
        <f>IF($O789="Aktif",MAX(0,MIN($AE789,$AD789-SUM($AG789:AP789))),0)</f>
        <v>0</v>
      </c>
      <c r="AR789" s="8">
        <f>IF($O789="Aktif",MAX(0,MIN($AE789,$AD789-SUM($AG789:AQ789))),0)</f>
        <v>0</v>
      </c>
      <c r="AS789" s="8">
        <f>IF($O789="Aktif",MAX(0,MIN($AE789,$AD789-SUM($AG789:AR789))),0)</f>
        <v>0</v>
      </c>
      <c r="AT789" s="8">
        <f>IF($O789="Aktif",MAX(0,MIN($AE789,$AD789-SUM($AG789:AS789))),0)</f>
        <v>0</v>
      </c>
      <c r="AU789" s="8">
        <f>IF($O789="Aktif",MAX(0,MIN($AE789,$AD789-SUM($AG789:AT789))),0)</f>
        <v>0</v>
      </c>
      <c r="AV789" s="8">
        <f>IF($O789="Aktif",MAX(0,MIN($AE789,$AD789-SUM($AG789:AU789))),0)</f>
        <v>0</v>
      </c>
      <c r="AW789" s="8">
        <f t="shared" si="89"/>
        <v>0</v>
      </c>
      <c r="AX789" s="8">
        <f t="shared" si="90"/>
        <v>-3.4924596548080444E-9</v>
      </c>
    </row>
    <row r="790" spans="1:50" ht="15" customHeight="1" x14ac:dyDescent="0.35">
      <c r="A790" s="102">
        <v>784</v>
      </c>
      <c r="B790" s="102" t="s">
        <v>1326</v>
      </c>
      <c r="C790" s="103">
        <v>418</v>
      </c>
      <c r="D790" s="102" t="s">
        <v>185</v>
      </c>
      <c r="E790" s="102" t="s">
        <v>479</v>
      </c>
      <c r="F790" s="102" t="s">
        <v>2332</v>
      </c>
      <c r="G790" s="102" t="s">
        <v>2333</v>
      </c>
      <c r="H790" s="102" t="s">
        <v>2334</v>
      </c>
      <c r="I790" s="102" t="s">
        <v>63</v>
      </c>
      <c r="J790" s="102"/>
      <c r="K790" s="102" t="s">
        <v>2475</v>
      </c>
      <c r="L790" s="104">
        <v>44763</v>
      </c>
      <c r="M790" s="102" t="s">
        <v>2476</v>
      </c>
      <c r="N790" s="102" t="s">
        <v>2477</v>
      </c>
      <c r="O790" s="102" t="s">
        <v>383</v>
      </c>
      <c r="P790" s="103">
        <v>1</v>
      </c>
      <c r="Q790" s="105">
        <v>1776577</v>
      </c>
      <c r="R790" s="103">
        <v>48</v>
      </c>
      <c r="S790" s="105">
        <v>37012.020833333299</v>
      </c>
      <c r="T790" s="105">
        <v>1554504.875</v>
      </c>
      <c r="U790" s="105">
        <v>37012.020833333299</v>
      </c>
      <c r="V790" s="105">
        <v>37012.020833333299</v>
      </c>
      <c r="W790" s="105">
        <v>37012.020833333299</v>
      </c>
      <c r="X790" s="105">
        <v>37012.020833333299</v>
      </c>
      <c r="Y790" s="105">
        <v>37012.020833333299</v>
      </c>
      <c r="Z790" s="105">
        <v>37012.020833333299</v>
      </c>
      <c r="AA790" s="105">
        <v>0</v>
      </c>
      <c r="AB790" s="105">
        <v>0</v>
      </c>
      <c r="AC790" s="8">
        <f t="shared" si="84"/>
        <v>1776576.9999999998</v>
      </c>
      <c r="AD790" s="8">
        <f t="shared" si="85"/>
        <v>0</v>
      </c>
      <c r="AE790" s="8">
        <f t="shared" si="86"/>
        <v>0</v>
      </c>
      <c r="AF790" s="106">
        <f t="shared" si="87"/>
        <v>0</v>
      </c>
      <c r="AG790" s="8">
        <f t="shared" si="88"/>
        <v>0</v>
      </c>
      <c r="AH790" s="8">
        <f>IF($O790="Aktif",MAX(0,MIN($AE790,$AD790-SUM($AG790:AG790))),0)</f>
        <v>0</v>
      </c>
      <c r="AI790" s="8">
        <f>IF($O790="Aktif",MAX(0,MIN($AE790,$AD790-SUM($AG790:AH790))),0)</f>
        <v>0</v>
      </c>
      <c r="AJ790" s="8">
        <f>IF($O790="Aktif",MAX(0,MIN($AE790,$AD790-SUM($AG790:AI790))),0)</f>
        <v>0</v>
      </c>
      <c r="AK790" s="8">
        <f>IF($O790="Aktif",MAX(0,MIN($AE790,$AD790-SUM($AG790:AJ790))),0)</f>
        <v>0</v>
      </c>
      <c r="AL790" s="8">
        <f>IF($O790="Aktif",MAX(0,MIN($AE790,$AD790-SUM($AG790:AK790))),0)</f>
        <v>0</v>
      </c>
      <c r="AM790" s="8">
        <f>IF($O790="Aktif",MAX(0,MIN($AE790,$AD790-SUM($AG790:AL790))),0)</f>
        <v>0</v>
      </c>
      <c r="AN790" s="8">
        <f>IF($O790="Aktif",MAX(0,MIN($AE790,$AD790-SUM($AG790:AM790))),0)</f>
        <v>0</v>
      </c>
      <c r="AO790" s="8">
        <f>IF($O790="Aktif",MAX(0,MIN($AE790,$AD790-SUM($AG790:AN790))),0)</f>
        <v>0</v>
      </c>
      <c r="AP790" s="8">
        <f>IF($O790="Aktif",MAX(0,MIN($AE790,$AD790-SUM($AG790:AO790))),0)</f>
        <v>0</v>
      </c>
      <c r="AQ790" s="8">
        <f>IF($O790="Aktif",MAX(0,MIN($AE790,$AD790-SUM($AG790:AP790))),0)</f>
        <v>0</v>
      </c>
      <c r="AR790" s="8">
        <f>IF($O790="Aktif",MAX(0,MIN($AE790,$AD790-SUM($AG790:AQ790))),0)</f>
        <v>0</v>
      </c>
      <c r="AS790" s="8">
        <f>IF($O790="Aktif",MAX(0,MIN($AE790,$AD790-SUM($AG790:AR790))),0)</f>
        <v>0</v>
      </c>
      <c r="AT790" s="8">
        <f>IF($O790="Aktif",MAX(0,MIN($AE790,$AD790-SUM($AG790:AS790))),0)</f>
        <v>0</v>
      </c>
      <c r="AU790" s="8">
        <f>IF($O790="Aktif",MAX(0,MIN($AE790,$AD790-SUM($AG790:AT790))),0)</f>
        <v>0</v>
      </c>
      <c r="AV790" s="8">
        <f>IF($O790="Aktif",MAX(0,MIN($AE790,$AD790-SUM($AG790:AU790))),0)</f>
        <v>0</v>
      </c>
      <c r="AW790" s="8">
        <f t="shared" si="89"/>
        <v>0</v>
      </c>
      <c r="AX790" s="8">
        <f t="shared" si="90"/>
        <v>0</v>
      </c>
    </row>
    <row r="791" spans="1:50" ht="15" customHeight="1" x14ac:dyDescent="0.35">
      <c r="A791" s="102">
        <v>785</v>
      </c>
      <c r="B791" s="102" t="s">
        <v>1326</v>
      </c>
      <c r="C791" s="103">
        <v>419</v>
      </c>
      <c r="D791" s="102" t="s">
        <v>185</v>
      </c>
      <c r="E791" s="102" t="s">
        <v>479</v>
      </c>
      <c r="F791" s="102" t="s">
        <v>2332</v>
      </c>
      <c r="G791" s="102" t="s">
        <v>2333</v>
      </c>
      <c r="H791" s="102" t="s">
        <v>2334</v>
      </c>
      <c r="I791" s="102" t="s">
        <v>63</v>
      </c>
      <c r="J791" s="102"/>
      <c r="K791" s="102" t="s">
        <v>2478</v>
      </c>
      <c r="L791" s="104">
        <v>44770</v>
      </c>
      <c r="M791" s="102" t="s">
        <v>2479</v>
      </c>
      <c r="N791" s="102" t="s">
        <v>2480</v>
      </c>
      <c r="O791" s="102" t="s">
        <v>383</v>
      </c>
      <c r="P791" s="103">
        <v>1</v>
      </c>
      <c r="Q791" s="105">
        <v>1199000</v>
      </c>
      <c r="R791" s="103">
        <v>48</v>
      </c>
      <c r="S791" s="105">
        <v>24979.166666666701</v>
      </c>
      <c r="T791" s="105">
        <v>1049125</v>
      </c>
      <c r="U791" s="105">
        <v>24979.166666666701</v>
      </c>
      <c r="V791" s="105">
        <v>24979.166666666701</v>
      </c>
      <c r="W791" s="105">
        <v>24979.166666666701</v>
      </c>
      <c r="X791" s="105">
        <v>24979.166666666701</v>
      </c>
      <c r="Y791" s="105">
        <v>24979.166666666701</v>
      </c>
      <c r="Z791" s="105">
        <v>24979.166666666701</v>
      </c>
      <c r="AA791" s="105">
        <v>0</v>
      </c>
      <c r="AB791" s="105">
        <v>0</v>
      </c>
      <c r="AC791" s="8">
        <f t="shared" si="84"/>
        <v>1199000.0000000002</v>
      </c>
      <c r="AD791" s="8">
        <f t="shared" si="85"/>
        <v>0</v>
      </c>
      <c r="AE791" s="8">
        <f t="shared" si="86"/>
        <v>0</v>
      </c>
      <c r="AF791" s="106">
        <f t="shared" si="87"/>
        <v>0</v>
      </c>
      <c r="AG791" s="8">
        <f t="shared" si="88"/>
        <v>0</v>
      </c>
      <c r="AH791" s="8">
        <f>IF($O791="Aktif",MAX(0,MIN($AE791,$AD791-SUM($AG791:AG791))),0)</f>
        <v>0</v>
      </c>
      <c r="AI791" s="8">
        <f>IF($O791="Aktif",MAX(0,MIN($AE791,$AD791-SUM($AG791:AH791))),0)</f>
        <v>0</v>
      </c>
      <c r="AJ791" s="8">
        <f>IF($O791="Aktif",MAX(0,MIN($AE791,$AD791-SUM($AG791:AI791))),0)</f>
        <v>0</v>
      </c>
      <c r="AK791" s="8">
        <f>IF($O791="Aktif",MAX(0,MIN($AE791,$AD791-SUM($AG791:AJ791))),0)</f>
        <v>0</v>
      </c>
      <c r="AL791" s="8">
        <f>IF($O791="Aktif",MAX(0,MIN($AE791,$AD791-SUM($AG791:AK791))),0)</f>
        <v>0</v>
      </c>
      <c r="AM791" s="8">
        <f>IF($O791="Aktif",MAX(0,MIN($AE791,$AD791-SUM($AG791:AL791))),0)</f>
        <v>0</v>
      </c>
      <c r="AN791" s="8">
        <f>IF($O791="Aktif",MAX(0,MIN($AE791,$AD791-SUM($AG791:AM791))),0)</f>
        <v>0</v>
      </c>
      <c r="AO791" s="8">
        <f>IF($O791="Aktif",MAX(0,MIN($AE791,$AD791-SUM($AG791:AN791))),0)</f>
        <v>0</v>
      </c>
      <c r="AP791" s="8">
        <f>IF($O791="Aktif",MAX(0,MIN($AE791,$AD791-SUM($AG791:AO791))),0)</f>
        <v>0</v>
      </c>
      <c r="AQ791" s="8">
        <f>IF($O791="Aktif",MAX(0,MIN($AE791,$AD791-SUM($AG791:AP791))),0)</f>
        <v>0</v>
      </c>
      <c r="AR791" s="8">
        <f>IF($O791="Aktif",MAX(0,MIN($AE791,$AD791-SUM($AG791:AQ791))),0)</f>
        <v>0</v>
      </c>
      <c r="AS791" s="8">
        <f>IF($O791="Aktif",MAX(0,MIN($AE791,$AD791-SUM($AG791:AR791))),0)</f>
        <v>0</v>
      </c>
      <c r="AT791" s="8">
        <f>IF($O791="Aktif",MAX(0,MIN($AE791,$AD791-SUM($AG791:AS791))),0)</f>
        <v>0</v>
      </c>
      <c r="AU791" s="8">
        <f>IF($O791="Aktif",MAX(0,MIN($AE791,$AD791-SUM($AG791:AT791))),0)</f>
        <v>0</v>
      </c>
      <c r="AV791" s="8">
        <f>IF($O791="Aktif",MAX(0,MIN($AE791,$AD791-SUM($AG791:AU791))),0)</f>
        <v>0</v>
      </c>
      <c r="AW791" s="8">
        <f t="shared" si="89"/>
        <v>0</v>
      </c>
      <c r="AX791" s="8">
        <f t="shared" si="90"/>
        <v>0</v>
      </c>
    </row>
    <row r="792" spans="1:50" ht="15" customHeight="1" x14ac:dyDescent="0.35">
      <c r="A792" s="102">
        <v>786</v>
      </c>
      <c r="B792" s="102" t="s">
        <v>1326</v>
      </c>
      <c r="C792" s="103">
        <v>420</v>
      </c>
      <c r="D792" s="102" t="s">
        <v>185</v>
      </c>
      <c r="E792" s="102" t="s">
        <v>479</v>
      </c>
      <c r="F792" s="102" t="s">
        <v>2332</v>
      </c>
      <c r="G792" s="102" t="s">
        <v>2333</v>
      </c>
      <c r="H792" s="102" t="s">
        <v>2334</v>
      </c>
      <c r="I792" s="102" t="s">
        <v>63</v>
      </c>
      <c r="J792" s="102"/>
      <c r="K792" s="102" t="s">
        <v>2481</v>
      </c>
      <c r="L792" s="104">
        <v>44774</v>
      </c>
      <c r="M792" s="102" t="s">
        <v>2482</v>
      </c>
      <c r="N792" s="102" t="s">
        <v>2483</v>
      </c>
      <c r="O792" s="102" t="s">
        <v>383</v>
      </c>
      <c r="P792" s="103">
        <v>1</v>
      </c>
      <c r="Q792" s="105">
        <v>4800000</v>
      </c>
      <c r="R792" s="103">
        <v>48</v>
      </c>
      <c r="S792" s="105">
        <v>100000</v>
      </c>
      <c r="T792" s="105">
        <v>4100000</v>
      </c>
      <c r="U792" s="105">
        <v>100000</v>
      </c>
      <c r="V792" s="105">
        <v>100000</v>
      </c>
      <c r="W792" s="105">
        <v>100000</v>
      </c>
      <c r="X792" s="105">
        <v>100000</v>
      </c>
      <c r="Y792" s="105">
        <v>100000</v>
      </c>
      <c r="Z792" s="105">
        <v>100000</v>
      </c>
      <c r="AA792" s="105">
        <v>100000</v>
      </c>
      <c r="AB792" s="105">
        <v>0</v>
      </c>
      <c r="AC792" s="8">
        <f t="shared" si="84"/>
        <v>4800000</v>
      </c>
      <c r="AD792" s="8">
        <f t="shared" si="85"/>
        <v>0</v>
      </c>
      <c r="AE792" s="8">
        <f t="shared" si="86"/>
        <v>0</v>
      </c>
      <c r="AF792" s="106">
        <f t="shared" si="87"/>
        <v>0</v>
      </c>
      <c r="AG792" s="8">
        <f t="shared" si="88"/>
        <v>0</v>
      </c>
      <c r="AH792" s="8">
        <f>IF($O792="Aktif",MAX(0,MIN($AE792,$AD792-SUM($AG792:AG792))),0)</f>
        <v>0</v>
      </c>
      <c r="AI792" s="8">
        <f>IF($O792="Aktif",MAX(0,MIN($AE792,$AD792-SUM($AG792:AH792))),0)</f>
        <v>0</v>
      </c>
      <c r="AJ792" s="8">
        <f>IF($O792="Aktif",MAX(0,MIN($AE792,$AD792-SUM($AG792:AI792))),0)</f>
        <v>0</v>
      </c>
      <c r="AK792" s="8">
        <f>IF($O792="Aktif",MAX(0,MIN($AE792,$AD792-SUM($AG792:AJ792))),0)</f>
        <v>0</v>
      </c>
      <c r="AL792" s="8">
        <f>IF($O792="Aktif",MAX(0,MIN($AE792,$AD792-SUM($AG792:AK792))),0)</f>
        <v>0</v>
      </c>
      <c r="AM792" s="8">
        <f>IF($O792="Aktif",MAX(0,MIN($AE792,$AD792-SUM($AG792:AL792))),0)</f>
        <v>0</v>
      </c>
      <c r="AN792" s="8">
        <f>IF($O792="Aktif",MAX(0,MIN($AE792,$AD792-SUM($AG792:AM792))),0)</f>
        <v>0</v>
      </c>
      <c r="AO792" s="8">
        <f>IF($O792="Aktif",MAX(0,MIN($AE792,$AD792-SUM($AG792:AN792))),0)</f>
        <v>0</v>
      </c>
      <c r="AP792" s="8">
        <f>IF($O792="Aktif",MAX(0,MIN($AE792,$AD792-SUM($AG792:AO792))),0)</f>
        <v>0</v>
      </c>
      <c r="AQ792" s="8">
        <f>IF($O792="Aktif",MAX(0,MIN($AE792,$AD792-SUM($AG792:AP792))),0)</f>
        <v>0</v>
      </c>
      <c r="AR792" s="8">
        <f>IF($O792="Aktif",MAX(0,MIN($AE792,$AD792-SUM($AG792:AQ792))),0)</f>
        <v>0</v>
      </c>
      <c r="AS792" s="8">
        <f>IF($O792="Aktif",MAX(0,MIN($AE792,$AD792-SUM($AG792:AR792))),0)</f>
        <v>0</v>
      </c>
      <c r="AT792" s="8">
        <f>IF($O792="Aktif",MAX(0,MIN($AE792,$AD792-SUM($AG792:AS792))),0)</f>
        <v>0</v>
      </c>
      <c r="AU792" s="8">
        <f>IF($O792="Aktif",MAX(0,MIN($AE792,$AD792-SUM($AG792:AT792))),0)</f>
        <v>0</v>
      </c>
      <c r="AV792" s="8">
        <f>IF($O792="Aktif",MAX(0,MIN($AE792,$AD792-SUM($AG792:AU792))),0)</f>
        <v>0</v>
      </c>
      <c r="AW792" s="8">
        <f t="shared" si="89"/>
        <v>0</v>
      </c>
      <c r="AX792" s="8">
        <f t="shared" si="90"/>
        <v>0</v>
      </c>
    </row>
    <row r="793" spans="1:50" ht="15" customHeight="1" x14ac:dyDescent="0.35">
      <c r="A793" s="102">
        <v>787</v>
      </c>
      <c r="B793" s="102" t="s">
        <v>1326</v>
      </c>
      <c r="C793" s="103">
        <v>421</v>
      </c>
      <c r="D793" s="102" t="s">
        <v>185</v>
      </c>
      <c r="E793" s="102" t="s">
        <v>479</v>
      </c>
      <c r="F793" s="102" t="s">
        <v>2332</v>
      </c>
      <c r="G793" s="102" t="s">
        <v>2333</v>
      </c>
      <c r="H793" s="102" t="s">
        <v>2334</v>
      </c>
      <c r="I793" s="102" t="s">
        <v>63</v>
      </c>
      <c r="J793" s="102"/>
      <c r="K793" s="102" t="s">
        <v>2484</v>
      </c>
      <c r="L793" s="104">
        <v>44791</v>
      </c>
      <c r="M793" s="102" t="s">
        <v>2485</v>
      </c>
      <c r="N793" s="102" t="s">
        <v>2486</v>
      </c>
      <c r="O793" s="102" t="s">
        <v>383</v>
      </c>
      <c r="P793" s="103">
        <v>1</v>
      </c>
      <c r="Q793" s="105">
        <v>4387072</v>
      </c>
      <c r="R793" s="103">
        <v>48</v>
      </c>
      <c r="S793" s="105">
        <v>91397.333333333299</v>
      </c>
      <c r="T793" s="105">
        <v>3747290.6666666698</v>
      </c>
      <c r="U793" s="105">
        <v>91397.333333333299</v>
      </c>
      <c r="V793" s="105">
        <v>91397.333333333299</v>
      </c>
      <c r="W793" s="105">
        <v>91397.333333333299</v>
      </c>
      <c r="X793" s="105">
        <v>91397.333333333299</v>
      </c>
      <c r="Y793" s="105">
        <v>91397.333333333299</v>
      </c>
      <c r="Z793" s="105">
        <v>91397.333333333299</v>
      </c>
      <c r="AA793" s="105">
        <v>91397.333333333299</v>
      </c>
      <c r="AB793" s="105">
        <v>0</v>
      </c>
      <c r="AC793" s="8">
        <f t="shared" si="84"/>
        <v>4387072.0000000028</v>
      </c>
      <c r="AD793" s="8">
        <f t="shared" si="85"/>
        <v>0</v>
      </c>
      <c r="AE793" s="8">
        <f t="shared" si="86"/>
        <v>0</v>
      </c>
      <c r="AF793" s="106">
        <f t="shared" si="87"/>
        <v>0</v>
      </c>
      <c r="AG793" s="8">
        <f t="shared" si="88"/>
        <v>0</v>
      </c>
      <c r="AH793" s="8">
        <f>IF($O793="Aktif",MAX(0,MIN($AE793,$AD793-SUM($AG793:AG793))),0)</f>
        <v>0</v>
      </c>
      <c r="AI793" s="8">
        <f>IF($O793="Aktif",MAX(0,MIN($AE793,$AD793-SUM($AG793:AH793))),0)</f>
        <v>0</v>
      </c>
      <c r="AJ793" s="8">
        <f>IF($O793="Aktif",MAX(0,MIN($AE793,$AD793-SUM($AG793:AI793))),0)</f>
        <v>0</v>
      </c>
      <c r="AK793" s="8">
        <f>IF($O793="Aktif",MAX(0,MIN($AE793,$AD793-SUM($AG793:AJ793))),0)</f>
        <v>0</v>
      </c>
      <c r="AL793" s="8">
        <f>IF($O793="Aktif",MAX(0,MIN($AE793,$AD793-SUM($AG793:AK793))),0)</f>
        <v>0</v>
      </c>
      <c r="AM793" s="8">
        <f>IF($O793="Aktif",MAX(0,MIN($AE793,$AD793-SUM($AG793:AL793))),0)</f>
        <v>0</v>
      </c>
      <c r="AN793" s="8">
        <f>IF($O793="Aktif",MAX(0,MIN($AE793,$AD793-SUM($AG793:AM793))),0)</f>
        <v>0</v>
      </c>
      <c r="AO793" s="8">
        <f>IF($O793="Aktif",MAX(0,MIN($AE793,$AD793-SUM($AG793:AN793))),0)</f>
        <v>0</v>
      </c>
      <c r="AP793" s="8">
        <f>IF($O793="Aktif",MAX(0,MIN($AE793,$AD793-SUM($AG793:AO793))),0)</f>
        <v>0</v>
      </c>
      <c r="AQ793" s="8">
        <f>IF($O793="Aktif",MAX(0,MIN($AE793,$AD793-SUM($AG793:AP793))),0)</f>
        <v>0</v>
      </c>
      <c r="AR793" s="8">
        <f>IF($O793="Aktif",MAX(0,MIN($AE793,$AD793-SUM($AG793:AQ793))),0)</f>
        <v>0</v>
      </c>
      <c r="AS793" s="8">
        <f>IF($O793="Aktif",MAX(0,MIN($AE793,$AD793-SUM($AG793:AR793))),0)</f>
        <v>0</v>
      </c>
      <c r="AT793" s="8">
        <f>IF($O793="Aktif",MAX(0,MIN($AE793,$AD793-SUM($AG793:AS793))),0)</f>
        <v>0</v>
      </c>
      <c r="AU793" s="8">
        <f>IF($O793="Aktif",MAX(0,MIN($AE793,$AD793-SUM($AG793:AT793))),0)</f>
        <v>0</v>
      </c>
      <c r="AV793" s="8">
        <f>IF($O793="Aktif",MAX(0,MIN($AE793,$AD793-SUM($AG793:AU793))),0)</f>
        <v>0</v>
      </c>
      <c r="AW793" s="8">
        <f t="shared" si="89"/>
        <v>0</v>
      </c>
      <c r="AX793" s="8">
        <f t="shared" si="90"/>
        <v>0</v>
      </c>
    </row>
    <row r="794" spans="1:50" ht="15" customHeight="1" x14ac:dyDescent="0.35">
      <c r="A794" s="102">
        <v>788</v>
      </c>
      <c r="B794" s="102" t="s">
        <v>1326</v>
      </c>
      <c r="C794" s="103">
        <v>422</v>
      </c>
      <c r="D794" s="102" t="s">
        <v>185</v>
      </c>
      <c r="E794" s="102" t="s">
        <v>479</v>
      </c>
      <c r="F794" s="102" t="s">
        <v>2332</v>
      </c>
      <c r="G794" s="102" t="s">
        <v>2333</v>
      </c>
      <c r="H794" s="102" t="s">
        <v>2334</v>
      </c>
      <c r="I794" s="102" t="s">
        <v>63</v>
      </c>
      <c r="J794" s="102"/>
      <c r="K794" s="102" t="s">
        <v>2487</v>
      </c>
      <c r="L794" s="104">
        <v>44801</v>
      </c>
      <c r="M794" s="102" t="s">
        <v>2488</v>
      </c>
      <c r="N794" s="102" t="s">
        <v>2489</v>
      </c>
      <c r="O794" s="102" t="s">
        <v>383</v>
      </c>
      <c r="P794" s="103">
        <v>1</v>
      </c>
      <c r="Q794" s="105">
        <v>1098000</v>
      </c>
      <c r="R794" s="103">
        <v>48</v>
      </c>
      <c r="S794" s="105">
        <v>22875</v>
      </c>
      <c r="T794" s="105">
        <v>937875</v>
      </c>
      <c r="U794" s="105">
        <v>22875</v>
      </c>
      <c r="V794" s="105">
        <v>22875</v>
      </c>
      <c r="W794" s="105">
        <v>22875</v>
      </c>
      <c r="X794" s="105">
        <v>22875</v>
      </c>
      <c r="Y794" s="105">
        <v>22875</v>
      </c>
      <c r="Z794" s="105">
        <v>22875</v>
      </c>
      <c r="AA794" s="105">
        <v>22875</v>
      </c>
      <c r="AB794" s="105">
        <v>0</v>
      </c>
      <c r="AC794" s="8">
        <f t="shared" si="84"/>
        <v>1098000</v>
      </c>
      <c r="AD794" s="8">
        <f t="shared" si="85"/>
        <v>0</v>
      </c>
      <c r="AE794" s="8">
        <f t="shared" si="86"/>
        <v>0</v>
      </c>
      <c r="AF794" s="106">
        <f t="shared" si="87"/>
        <v>0</v>
      </c>
      <c r="AG794" s="8">
        <f t="shared" si="88"/>
        <v>0</v>
      </c>
      <c r="AH794" s="8">
        <f>IF($O794="Aktif",MAX(0,MIN($AE794,$AD794-SUM($AG794:AG794))),0)</f>
        <v>0</v>
      </c>
      <c r="AI794" s="8">
        <f>IF($O794="Aktif",MAX(0,MIN($AE794,$AD794-SUM($AG794:AH794))),0)</f>
        <v>0</v>
      </c>
      <c r="AJ794" s="8">
        <f>IF($O794="Aktif",MAX(0,MIN($AE794,$AD794-SUM($AG794:AI794))),0)</f>
        <v>0</v>
      </c>
      <c r="AK794" s="8">
        <f>IF($O794="Aktif",MAX(0,MIN($AE794,$AD794-SUM($AG794:AJ794))),0)</f>
        <v>0</v>
      </c>
      <c r="AL794" s="8">
        <f>IF($O794="Aktif",MAX(0,MIN($AE794,$AD794-SUM($AG794:AK794))),0)</f>
        <v>0</v>
      </c>
      <c r="AM794" s="8">
        <f>IF($O794="Aktif",MAX(0,MIN($AE794,$AD794-SUM($AG794:AL794))),0)</f>
        <v>0</v>
      </c>
      <c r="AN794" s="8">
        <f>IF($O794="Aktif",MAX(0,MIN($AE794,$AD794-SUM($AG794:AM794))),0)</f>
        <v>0</v>
      </c>
      <c r="AO794" s="8">
        <f>IF($O794="Aktif",MAX(0,MIN($AE794,$AD794-SUM($AG794:AN794))),0)</f>
        <v>0</v>
      </c>
      <c r="AP794" s="8">
        <f>IF($O794="Aktif",MAX(0,MIN($AE794,$AD794-SUM($AG794:AO794))),0)</f>
        <v>0</v>
      </c>
      <c r="AQ794" s="8">
        <f>IF($O794="Aktif",MAX(0,MIN($AE794,$AD794-SUM($AG794:AP794))),0)</f>
        <v>0</v>
      </c>
      <c r="AR794" s="8">
        <f>IF($O794="Aktif",MAX(0,MIN($AE794,$AD794-SUM($AG794:AQ794))),0)</f>
        <v>0</v>
      </c>
      <c r="AS794" s="8">
        <f>IF($O794="Aktif",MAX(0,MIN($AE794,$AD794-SUM($AG794:AR794))),0)</f>
        <v>0</v>
      </c>
      <c r="AT794" s="8">
        <f>IF($O794="Aktif",MAX(0,MIN($AE794,$AD794-SUM($AG794:AS794))),0)</f>
        <v>0</v>
      </c>
      <c r="AU794" s="8">
        <f>IF($O794="Aktif",MAX(0,MIN($AE794,$AD794-SUM($AG794:AT794))),0)</f>
        <v>0</v>
      </c>
      <c r="AV794" s="8">
        <f>IF($O794="Aktif",MAX(0,MIN($AE794,$AD794-SUM($AG794:AU794))),0)</f>
        <v>0</v>
      </c>
      <c r="AW794" s="8">
        <f t="shared" si="89"/>
        <v>0</v>
      </c>
      <c r="AX794" s="8">
        <f t="shared" si="90"/>
        <v>0</v>
      </c>
    </row>
    <row r="795" spans="1:50" ht="15" customHeight="1" x14ac:dyDescent="0.35">
      <c r="A795" s="102">
        <v>789</v>
      </c>
      <c r="B795" s="102" t="s">
        <v>1326</v>
      </c>
      <c r="C795" s="103">
        <v>423</v>
      </c>
      <c r="D795" s="102" t="s">
        <v>185</v>
      </c>
      <c r="E795" s="102" t="s">
        <v>479</v>
      </c>
      <c r="F795" s="102" t="s">
        <v>2332</v>
      </c>
      <c r="G795" s="102" t="s">
        <v>2333</v>
      </c>
      <c r="H795" s="102" t="s">
        <v>2334</v>
      </c>
      <c r="I795" s="102" t="s">
        <v>63</v>
      </c>
      <c r="J795" s="102"/>
      <c r="K795" s="102" t="s">
        <v>2490</v>
      </c>
      <c r="L795" s="104">
        <v>44806</v>
      </c>
      <c r="M795" s="102" t="s">
        <v>2491</v>
      </c>
      <c r="N795" s="102" t="s">
        <v>2492</v>
      </c>
      <c r="O795" s="102" t="s">
        <v>383</v>
      </c>
      <c r="P795" s="103">
        <v>1</v>
      </c>
      <c r="Q795" s="105">
        <v>2149900</v>
      </c>
      <c r="R795" s="103">
        <v>48</v>
      </c>
      <c r="S795" s="105">
        <v>44789.583333333299</v>
      </c>
      <c r="T795" s="105">
        <v>1791583.33333333</v>
      </c>
      <c r="U795" s="105">
        <v>44789.583333333299</v>
      </c>
      <c r="V795" s="105">
        <v>44789.583333333299</v>
      </c>
      <c r="W795" s="105">
        <v>44789.583333333299</v>
      </c>
      <c r="X795" s="105">
        <v>44789.583333333299</v>
      </c>
      <c r="Y795" s="105">
        <v>44789.583333333299</v>
      </c>
      <c r="Z795" s="105">
        <v>44789.583333333299</v>
      </c>
      <c r="AA795" s="105">
        <v>44789.583333333299</v>
      </c>
      <c r="AB795" s="105">
        <v>44789.583333333299</v>
      </c>
      <c r="AC795" s="8">
        <f t="shared" si="84"/>
        <v>2149899.9999999963</v>
      </c>
      <c r="AD795" s="8">
        <f t="shared" si="85"/>
        <v>3.7252902984619141E-9</v>
      </c>
      <c r="AE795" s="8">
        <f t="shared" si="86"/>
        <v>44789.583333333299</v>
      </c>
      <c r="AF795" s="106">
        <f t="shared" si="87"/>
        <v>8.3173140297768275E-14</v>
      </c>
      <c r="AG795" s="8">
        <f t="shared" si="88"/>
        <v>3.7252902984619141E-9</v>
      </c>
      <c r="AH795" s="8">
        <f>IF($O795="Aktif",MAX(0,MIN($AE795,$AD795-SUM($AG795:AG795))),0)</f>
        <v>0</v>
      </c>
      <c r="AI795" s="8">
        <f>IF($O795="Aktif",MAX(0,MIN($AE795,$AD795-SUM($AG795:AH795))),0)</f>
        <v>0</v>
      </c>
      <c r="AJ795" s="8">
        <f>IF($O795="Aktif",MAX(0,MIN($AE795,$AD795-SUM($AG795:AI795))),0)</f>
        <v>0</v>
      </c>
      <c r="AK795" s="8">
        <f>IF($O795="Aktif",MAX(0,MIN($AE795,$AD795-SUM($AG795:AJ795))),0)</f>
        <v>0</v>
      </c>
      <c r="AL795" s="8">
        <f>IF($O795="Aktif",MAX(0,MIN($AE795,$AD795-SUM($AG795:AK795))),0)</f>
        <v>0</v>
      </c>
      <c r="AM795" s="8">
        <f>IF($O795="Aktif",MAX(0,MIN($AE795,$AD795-SUM($AG795:AL795))),0)</f>
        <v>0</v>
      </c>
      <c r="AN795" s="8">
        <f>IF($O795="Aktif",MAX(0,MIN($AE795,$AD795-SUM($AG795:AM795))),0)</f>
        <v>0</v>
      </c>
      <c r="AO795" s="8">
        <f>IF($O795="Aktif",MAX(0,MIN($AE795,$AD795-SUM($AG795:AN795))),0)</f>
        <v>0</v>
      </c>
      <c r="AP795" s="8">
        <f>IF($O795="Aktif",MAX(0,MIN($AE795,$AD795-SUM($AG795:AO795))),0)</f>
        <v>0</v>
      </c>
      <c r="AQ795" s="8">
        <f>IF($O795="Aktif",MAX(0,MIN($AE795,$AD795-SUM($AG795:AP795))),0)</f>
        <v>0</v>
      </c>
      <c r="AR795" s="8">
        <f>IF($O795="Aktif",MAX(0,MIN($AE795,$AD795-SUM($AG795:AQ795))),0)</f>
        <v>0</v>
      </c>
      <c r="AS795" s="8">
        <f>IF($O795="Aktif",MAX(0,MIN($AE795,$AD795-SUM($AG795:AR795))),0)</f>
        <v>0</v>
      </c>
      <c r="AT795" s="8">
        <f>IF($O795="Aktif",MAX(0,MIN($AE795,$AD795-SUM($AG795:AS795))),0)</f>
        <v>0</v>
      </c>
      <c r="AU795" s="8">
        <f>IF($O795="Aktif",MAX(0,MIN($AE795,$AD795-SUM($AG795:AT795))),0)</f>
        <v>0</v>
      </c>
      <c r="AV795" s="8">
        <f>IF($O795="Aktif",MAX(0,MIN($AE795,$AD795-SUM($AG795:AU795))),0)</f>
        <v>0</v>
      </c>
      <c r="AW795" s="8">
        <f t="shared" si="89"/>
        <v>3.7252902984619141E-9</v>
      </c>
      <c r="AX795" s="8">
        <f t="shared" si="90"/>
        <v>0</v>
      </c>
    </row>
    <row r="796" spans="1:50" ht="15" customHeight="1" x14ac:dyDescent="0.35">
      <c r="A796" s="102">
        <v>790</v>
      </c>
      <c r="B796" s="102" t="s">
        <v>1326</v>
      </c>
      <c r="C796" s="103">
        <v>424</v>
      </c>
      <c r="D796" s="102" t="s">
        <v>185</v>
      </c>
      <c r="E796" s="102" t="s">
        <v>479</v>
      </c>
      <c r="F796" s="102" t="s">
        <v>2332</v>
      </c>
      <c r="G796" s="102" t="s">
        <v>2333</v>
      </c>
      <c r="H796" s="102" t="s">
        <v>2334</v>
      </c>
      <c r="I796" s="102" t="s">
        <v>63</v>
      </c>
      <c r="J796" s="102"/>
      <c r="K796" s="102" t="s">
        <v>2493</v>
      </c>
      <c r="L796" s="104">
        <v>44811</v>
      </c>
      <c r="M796" s="102" t="s">
        <v>2494</v>
      </c>
      <c r="N796" s="102" t="s">
        <v>2495</v>
      </c>
      <c r="O796" s="102" t="s">
        <v>383</v>
      </c>
      <c r="P796" s="103">
        <v>1</v>
      </c>
      <c r="Q796" s="105">
        <v>1669950</v>
      </c>
      <c r="R796" s="103">
        <v>48</v>
      </c>
      <c r="S796" s="105">
        <v>34790.625</v>
      </c>
      <c r="T796" s="105">
        <v>1391625</v>
      </c>
      <c r="U796" s="105">
        <v>34790.625</v>
      </c>
      <c r="V796" s="105">
        <v>34790.625</v>
      </c>
      <c r="W796" s="105">
        <v>34790.625</v>
      </c>
      <c r="X796" s="105">
        <v>34790.625</v>
      </c>
      <c r="Y796" s="105">
        <v>34790.625</v>
      </c>
      <c r="Z796" s="105">
        <v>34790.625</v>
      </c>
      <c r="AA796" s="105">
        <v>34790.625</v>
      </c>
      <c r="AB796" s="105">
        <v>34790.625</v>
      </c>
      <c r="AC796" s="8">
        <f t="shared" si="84"/>
        <v>1669950</v>
      </c>
      <c r="AD796" s="8">
        <f t="shared" si="85"/>
        <v>0</v>
      </c>
      <c r="AE796" s="8">
        <f t="shared" si="86"/>
        <v>34790.625</v>
      </c>
      <c r="AF796" s="106">
        <f t="shared" si="87"/>
        <v>0</v>
      </c>
      <c r="AG796" s="8">
        <f t="shared" si="88"/>
        <v>0</v>
      </c>
      <c r="AH796" s="8">
        <f>IF($O796="Aktif",MAX(0,MIN($AE796,$AD796-SUM($AG796:AG796))),0)</f>
        <v>0</v>
      </c>
      <c r="AI796" s="8">
        <f>IF($O796="Aktif",MAX(0,MIN($AE796,$AD796-SUM($AG796:AH796))),0)</f>
        <v>0</v>
      </c>
      <c r="AJ796" s="8">
        <f>IF($O796="Aktif",MAX(0,MIN($AE796,$AD796-SUM($AG796:AI796))),0)</f>
        <v>0</v>
      </c>
      <c r="AK796" s="8">
        <f>IF($O796="Aktif",MAX(0,MIN($AE796,$AD796-SUM($AG796:AJ796))),0)</f>
        <v>0</v>
      </c>
      <c r="AL796" s="8">
        <f>IF($O796="Aktif",MAX(0,MIN($AE796,$AD796-SUM($AG796:AK796))),0)</f>
        <v>0</v>
      </c>
      <c r="AM796" s="8">
        <f>IF($O796="Aktif",MAX(0,MIN($AE796,$AD796-SUM($AG796:AL796))),0)</f>
        <v>0</v>
      </c>
      <c r="AN796" s="8">
        <f>IF($O796="Aktif",MAX(0,MIN($AE796,$AD796-SUM($AG796:AM796))),0)</f>
        <v>0</v>
      </c>
      <c r="AO796" s="8">
        <f>IF($O796="Aktif",MAX(0,MIN($AE796,$AD796-SUM($AG796:AN796))),0)</f>
        <v>0</v>
      </c>
      <c r="AP796" s="8">
        <f>IF($O796="Aktif",MAX(0,MIN($AE796,$AD796-SUM($AG796:AO796))),0)</f>
        <v>0</v>
      </c>
      <c r="AQ796" s="8">
        <f>IF($O796="Aktif",MAX(0,MIN($AE796,$AD796-SUM($AG796:AP796))),0)</f>
        <v>0</v>
      </c>
      <c r="AR796" s="8">
        <f>IF($O796="Aktif",MAX(0,MIN($AE796,$AD796-SUM($AG796:AQ796))),0)</f>
        <v>0</v>
      </c>
      <c r="AS796" s="8">
        <f>IF($O796="Aktif",MAX(0,MIN($AE796,$AD796-SUM($AG796:AR796))),0)</f>
        <v>0</v>
      </c>
      <c r="AT796" s="8">
        <f>IF($O796="Aktif",MAX(0,MIN($AE796,$AD796-SUM($AG796:AS796))),0)</f>
        <v>0</v>
      </c>
      <c r="AU796" s="8">
        <f>IF($O796="Aktif",MAX(0,MIN($AE796,$AD796-SUM($AG796:AT796))),0)</f>
        <v>0</v>
      </c>
      <c r="AV796" s="8">
        <f>IF($O796="Aktif",MAX(0,MIN($AE796,$AD796-SUM($AG796:AU796))),0)</f>
        <v>0</v>
      </c>
      <c r="AW796" s="8">
        <f t="shared" si="89"/>
        <v>0</v>
      </c>
      <c r="AX796" s="8">
        <f t="shared" si="90"/>
        <v>0</v>
      </c>
    </row>
    <row r="797" spans="1:50" ht="15" customHeight="1" x14ac:dyDescent="0.35">
      <c r="A797" s="102">
        <v>791</v>
      </c>
      <c r="B797" s="102" t="s">
        <v>1326</v>
      </c>
      <c r="C797" s="103">
        <v>425</v>
      </c>
      <c r="D797" s="102" t="s">
        <v>185</v>
      </c>
      <c r="E797" s="102" t="s">
        <v>479</v>
      </c>
      <c r="F797" s="102" t="s">
        <v>2332</v>
      </c>
      <c r="G797" s="102" t="s">
        <v>2333</v>
      </c>
      <c r="H797" s="102" t="s">
        <v>2334</v>
      </c>
      <c r="I797" s="102" t="s">
        <v>63</v>
      </c>
      <c r="J797" s="102"/>
      <c r="K797" s="102" t="s">
        <v>2496</v>
      </c>
      <c r="L797" s="104">
        <v>44830</v>
      </c>
      <c r="M797" s="102" t="s">
        <v>2497</v>
      </c>
      <c r="N797" s="102" t="s">
        <v>2498</v>
      </c>
      <c r="O797" s="102" t="s">
        <v>383</v>
      </c>
      <c r="P797" s="103">
        <v>1</v>
      </c>
      <c r="Q797" s="105">
        <v>8080100</v>
      </c>
      <c r="R797" s="103">
        <v>48</v>
      </c>
      <c r="S797" s="105">
        <v>168335.41666666701</v>
      </c>
      <c r="T797" s="105">
        <v>6733416.6666666698</v>
      </c>
      <c r="U797" s="105">
        <v>168335.41666666701</v>
      </c>
      <c r="V797" s="105">
        <v>168335.41666666701</v>
      </c>
      <c r="W797" s="105">
        <v>168335.41666666701</v>
      </c>
      <c r="X797" s="105">
        <v>168335.41666666701</v>
      </c>
      <c r="Y797" s="105">
        <v>168335.41666666701</v>
      </c>
      <c r="Z797" s="105">
        <v>168335.41666666701</v>
      </c>
      <c r="AA797" s="105">
        <v>168335.41666666701</v>
      </c>
      <c r="AB797" s="105">
        <v>168335.41666666701</v>
      </c>
      <c r="AC797" s="8">
        <f t="shared" si="84"/>
        <v>8080100.0000000056</v>
      </c>
      <c r="AD797" s="8">
        <f t="shared" si="85"/>
        <v>0</v>
      </c>
      <c r="AE797" s="8">
        <f t="shared" si="86"/>
        <v>168335.41666666701</v>
      </c>
      <c r="AF797" s="106">
        <f t="shared" si="87"/>
        <v>0</v>
      </c>
      <c r="AG797" s="8">
        <f t="shared" si="88"/>
        <v>0</v>
      </c>
      <c r="AH797" s="8">
        <f>IF($O797="Aktif",MAX(0,MIN($AE797,$AD797-SUM($AG797:AG797))),0)</f>
        <v>0</v>
      </c>
      <c r="AI797" s="8">
        <f>IF($O797="Aktif",MAX(0,MIN($AE797,$AD797-SUM($AG797:AH797))),0)</f>
        <v>0</v>
      </c>
      <c r="AJ797" s="8">
        <f>IF($O797="Aktif",MAX(0,MIN($AE797,$AD797-SUM($AG797:AI797))),0)</f>
        <v>0</v>
      </c>
      <c r="AK797" s="8">
        <f>IF($O797="Aktif",MAX(0,MIN($AE797,$AD797-SUM($AG797:AJ797))),0)</f>
        <v>0</v>
      </c>
      <c r="AL797" s="8">
        <f>IF($O797="Aktif",MAX(0,MIN($AE797,$AD797-SUM($AG797:AK797))),0)</f>
        <v>0</v>
      </c>
      <c r="AM797" s="8">
        <f>IF($O797="Aktif",MAX(0,MIN($AE797,$AD797-SUM($AG797:AL797))),0)</f>
        <v>0</v>
      </c>
      <c r="AN797" s="8">
        <f>IF($O797="Aktif",MAX(0,MIN($AE797,$AD797-SUM($AG797:AM797))),0)</f>
        <v>0</v>
      </c>
      <c r="AO797" s="8">
        <f>IF($O797="Aktif",MAX(0,MIN($AE797,$AD797-SUM($AG797:AN797))),0)</f>
        <v>0</v>
      </c>
      <c r="AP797" s="8">
        <f>IF($O797="Aktif",MAX(0,MIN($AE797,$AD797-SUM($AG797:AO797))),0)</f>
        <v>0</v>
      </c>
      <c r="AQ797" s="8">
        <f>IF($O797="Aktif",MAX(0,MIN($AE797,$AD797-SUM($AG797:AP797))),0)</f>
        <v>0</v>
      </c>
      <c r="AR797" s="8">
        <f>IF($O797="Aktif",MAX(0,MIN($AE797,$AD797-SUM($AG797:AQ797))),0)</f>
        <v>0</v>
      </c>
      <c r="AS797" s="8">
        <f>IF($O797="Aktif",MAX(0,MIN($AE797,$AD797-SUM($AG797:AR797))),0)</f>
        <v>0</v>
      </c>
      <c r="AT797" s="8">
        <f>IF($O797="Aktif",MAX(0,MIN($AE797,$AD797-SUM($AG797:AS797))),0)</f>
        <v>0</v>
      </c>
      <c r="AU797" s="8">
        <f>IF($O797="Aktif",MAX(0,MIN($AE797,$AD797-SUM($AG797:AT797))),0)</f>
        <v>0</v>
      </c>
      <c r="AV797" s="8">
        <f>IF($O797="Aktif",MAX(0,MIN($AE797,$AD797-SUM($AG797:AU797))),0)</f>
        <v>0</v>
      </c>
      <c r="AW797" s="8">
        <f t="shared" si="89"/>
        <v>0</v>
      </c>
      <c r="AX797" s="8">
        <f t="shared" si="90"/>
        <v>0</v>
      </c>
    </row>
    <row r="798" spans="1:50" ht="15" customHeight="1" x14ac:dyDescent="0.35">
      <c r="A798" s="102">
        <v>792</v>
      </c>
      <c r="B798" s="102" t="s">
        <v>1326</v>
      </c>
      <c r="C798" s="103">
        <v>426</v>
      </c>
      <c r="D798" s="102" t="s">
        <v>185</v>
      </c>
      <c r="E798" s="102" t="s">
        <v>479</v>
      </c>
      <c r="F798" s="102" t="s">
        <v>2332</v>
      </c>
      <c r="G798" s="102" t="s">
        <v>2333</v>
      </c>
      <c r="H798" s="102" t="s">
        <v>2334</v>
      </c>
      <c r="I798" s="102" t="s">
        <v>63</v>
      </c>
      <c r="J798" s="102"/>
      <c r="K798" s="102" t="s">
        <v>2499</v>
      </c>
      <c r="L798" s="104">
        <v>44846</v>
      </c>
      <c r="M798" s="102" t="s">
        <v>951</v>
      </c>
      <c r="N798" s="102" t="s">
        <v>2500</v>
      </c>
      <c r="O798" s="102" t="s">
        <v>383</v>
      </c>
      <c r="P798" s="103">
        <v>1</v>
      </c>
      <c r="Q798" s="105">
        <v>1100000</v>
      </c>
      <c r="R798" s="103">
        <v>48</v>
      </c>
      <c r="S798" s="105">
        <v>22916.666666666701</v>
      </c>
      <c r="T798" s="105">
        <v>893750</v>
      </c>
      <c r="U798" s="105">
        <v>22916.666666666701</v>
      </c>
      <c r="V798" s="105">
        <v>22916.666666666701</v>
      </c>
      <c r="W798" s="105">
        <v>22916.666666666701</v>
      </c>
      <c r="X798" s="105">
        <v>22916.666666666701</v>
      </c>
      <c r="Y798" s="105">
        <v>22916.666666666701</v>
      </c>
      <c r="Z798" s="105">
        <v>22916.666666666701</v>
      </c>
      <c r="AA798" s="105">
        <v>22916.666666666701</v>
      </c>
      <c r="AB798" s="105">
        <v>22916.666666666701</v>
      </c>
      <c r="AC798" s="8">
        <f t="shared" si="84"/>
        <v>1077083.3333333335</v>
      </c>
      <c r="AD798" s="8">
        <f t="shared" si="85"/>
        <v>22916.666666666511</v>
      </c>
      <c r="AE798" s="8">
        <f t="shared" si="86"/>
        <v>22916.666666666701</v>
      </c>
      <c r="AF798" s="106">
        <f t="shared" si="87"/>
        <v>0.99999999999999178</v>
      </c>
      <c r="AG798" s="8">
        <f t="shared" si="88"/>
        <v>22916.666666666511</v>
      </c>
      <c r="AH798" s="8">
        <f>IF($O798="Aktif",MAX(0,MIN($AE798,$AD798-SUM($AG798:AG798))),0)</f>
        <v>0</v>
      </c>
      <c r="AI798" s="8">
        <f>IF($O798="Aktif",MAX(0,MIN($AE798,$AD798-SUM($AG798:AH798))),0)</f>
        <v>0</v>
      </c>
      <c r="AJ798" s="8">
        <f>IF($O798="Aktif",MAX(0,MIN($AE798,$AD798-SUM($AG798:AI798))),0)</f>
        <v>0</v>
      </c>
      <c r="AK798" s="8">
        <f>IF($O798="Aktif",MAX(0,MIN($AE798,$AD798-SUM($AG798:AJ798))),0)</f>
        <v>0</v>
      </c>
      <c r="AL798" s="8">
        <f>IF($O798="Aktif",MAX(0,MIN($AE798,$AD798-SUM($AG798:AK798))),0)</f>
        <v>0</v>
      </c>
      <c r="AM798" s="8">
        <f>IF($O798="Aktif",MAX(0,MIN($AE798,$AD798-SUM($AG798:AL798))),0)</f>
        <v>0</v>
      </c>
      <c r="AN798" s="8">
        <f>IF($O798="Aktif",MAX(0,MIN($AE798,$AD798-SUM($AG798:AM798))),0)</f>
        <v>0</v>
      </c>
      <c r="AO798" s="8">
        <f>IF($O798="Aktif",MAX(0,MIN($AE798,$AD798-SUM($AG798:AN798))),0)</f>
        <v>0</v>
      </c>
      <c r="AP798" s="8">
        <f>IF($O798="Aktif",MAX(0,MIN($AE798,$AD798-SUM($AG798:AO798))),0)</f>
        <v>0</v>
      </c>
      <c r="AQ798" s="8">
        <f>IF($O798="Aktif",MAX(0,MIN($AE798,$AD798-SUM($AG798:AP798))),0)</f>
        <v>0</v>
      </c>
      <c r="AR798" s="8">
        <f>IF($O798="Aktif",MAX(0,MIN($AE798,$AD798-SUM($AG798:AQ798))),0)</f>
        <v>0</v>
      </c>
      <c r="AS798" s="8">
        <f>IF($O798="Aktif",MAX(0,MIN($AE798,$AD798-SUM($AG798:AR798))),0)</f>
        <v>0</v>
      </c>
      <c r="AT798" s="8">
        <f>IF($O798="Aktif",MAX(0,MIN($AE798,$AD798-SUM($AG798:AS798))),0)</f>
        <v>0</v>
      </c>
      <c r="AU798" s="8">
        <f>IF($O798="Aktif",MAX(0,MIN($AE798,$AD798-SUM($AG798:AT798))),0)</f>
        <v>0</v>
      </c>
      <c r="AV798" s="8">
        <f>IF($O798="Aktif",MAX(0,MIN($AE798,$AD798-SUM($AG798:AU798))),0)</f>
        <v>0</v>
      </c>
      <c r="AW798" s="8">
        <f t="shared" si="89"/>
        <v>22916.666666666511</v>
      </c>
      <c r="AX798" s="8">
        <f t="shared" si="90"/>
        <v>0</v>
      </c>
    </row>
    <row r="799" spans="1:50" ht="15" customHeight="1" x14ac:dyDescent="0.35">
      <c r="A799" s="102">
        <v>793</v>
      </c>
      <c r="B799" s="102" t="s">
        <v>1326</v>
      </c>
      <c r="C799" s="103">
        <v>427</v>
      </c>
      <c r="D799" s="102" t="s">
        <v>185</v>
      </c>
      <c r="E799" s="102" t="s">
        <v>479</v>
      </c>
      <c r="F799" s="102" t="s">
        <v>2332</v>
      </c>
      <c r="G799" s="102" t="s">
        <v>2333</v>
      </c>
      <c r="H799" s="102" t="s">
        <v>2334</v>
      </c>
      <c r="I799" s="102" t="s">
        <v>63</v>
      </c>
      <c r="J799" s="102"/>
      <c r="K799" s="102" t="s">
        <v>2501</v>
      </c>
      <c r="L799" s="104">
        <v>44858</v>
      </c>
      <c r="M799" s="102" t="s">
        <v>2502</v>
      </c>
      <c r="N799" s="102" t="s">
        <v>2503</v>
      </c>
      <c r="O799" s="102" t="s">
        <v>383</v>
      </c>
      <c r="P799" s="103">
        <v>1</v>
      </c>
      <c r="Q799" s="105">
        <v>5415000</v>
      </c>
      <c r="R799" s="103">
        <v>48</v>
      </c>
      <c r="S799" s="105">
        <v>112812.5</v>
      </c>
      <c r="T799" s="105">
        <v>4399687.4966666698</v>
      </c>
      <c r="U799" s="105">
        <v>112812.5</v>
      </c>
      <c r="V799" s="105">
        <v>112812.5</v>
      </c>
      <c r="W799" s="105">
        <v>112812.5</v>
      </c>
      <c r="X799" s="105">
        <v>112812.5</v>
      </c>
      <c r="Y799" s="105">
        <v>112812.5</v>
      </c>
      <c r="Z799" s="105">
        <v>112812.5</v>
      </c>
      <c r="AA799" s="105">
        <v>112812.5</v>
      </c>
      <c r="AB799" s="105">
        <v>112812.5</v>
      </c>
      <c r="AC799" s="8">
        <f t="shared" si="84"/>
        <v>5302187.4966666698</v>
      </c>
      <c r="AD799" s="8">
        <f t="shared" si="85"/>
        <v>112812.50333333015</v>
      </c>
      <c r="AE799" s="8">
        <f t="shared" si="86"/>
        <v>112812.5</v>
      </c>
      <c r="AF799" s="106">
        <f t="shared" si="87"/>
        <v>1.0000000295475249</v>
      </c>
      <c r="AG799" s="8">
        <f t="shared" si="88"/>
        <v>112812.5</v>
      </c>
      <c r="AH799" s="8">
        <f>IF($O799="Aktif",MAX(0,MIN($AE799,$AD799-SUM($AG799:AG799))),0)</f>
        <v>3.3333301544189453E-3</v>
      </c>
      <c r="AI799" s="8">
        <f>IF($O799="Aktif",MAX(0,MIN($AE799,$AD799-SUM($AG799:AH799))),0)</f>
        <v>0</v>
      </c>
      <c r="AJ799" s="8">
        <f>IF($O799="Aktif",MAX(0,MIN($AE799,$AD799-SUM($AG799:AI799))),0)</f>
        <v>0</v>
      </c>
      <c r="AK799" s="8">
        <f>IF($O799="Aktif",MAX(0,MIN($AE799,$AD799-SUM($AG799:AJ799))),0)</f>
        <v>0</v>
      </c>
      <c r="AL799" s="8">
        <f>IF($O799="Aktif",MAX(0,MIN($AE799,$AD799-SUM($AG799:AK799))),0)</f>
        <v>0</v>
      </c>
      <c r="AM799" s="8">
        <f>IF($O799="Aktif",MAX(0,MIN($AE799,$AD799-SUM($AG799:AL799))),0)</f>
        <v>0</v>
      </c>
      <c r="AN799" s="8">
        <f>IF($O799="Aktif",MAX(0,MIN($AE799,$AD799-SUM($AG799:AM799))),0)</f>
        <v>0</v>
      </c>
      <c r="AO799" s="8">
        <f>IF($O799="Aktif",MAX(0,MIN($AE799,$AD799-SUM($AG799:AN799))),0)</f>
        <v>0</v>
      </c>
      <c r="AP799" s="8">
        <f>IF($O799="Aktif",MAX(0,MIN($AE799,$AD799-SUM($AG799:AO799))),0)</f>
        <v>0</v>
      </c>
      <c r="AQ799" s="8">
        <f>IF($O799="Aktif",MAX(0,MIN($AE799,$AD799-SUM($AG799:AP799))),0)</f>
        <v>0</v>
      </c>
      <c r="AR799" s="8">
        <f>IF($O799="Aktif",MAX(0,MIN($AE799,$AD799-SUM($AG799:AQ799))),0)</f>
        <v>0</v>
      </c>
      <c r="AS799" s="8">
        <f>IF($O799="Aktif",MAX(0,MIN($AE799,$AD799-SUM($AG799:AR799))),0)</f>
        <v>0</v>
      </c>
      <c r="AT799" s="8">
        <f>IF($O799="Aktif",MAX(0,MIN($AE799,$AD799-SUM($AG799:AS799))),0)</f>
        <v>0</v>
      </c>
      <c r="AU799" s="8">
        <f>IF($O799="Aktif",MAX(0,MIN($AE799,$AD799-SUM($AG799:AT799))),0)</f>
        <v>0</v>
      </c>
      <c r="AV799" s="8">
        <f>IF($O799="Aktif",MAX(0,MIN($AE799,$AD799-SUM($AG799:AU799))),0)</f>
        <v>0</v>
      </c>
      <c r="AW799" s="8">
        <f t="shared" si="89"/>
        <v>112812.50333333015</v>
      </c>
      <c r="AX799" s="8">
        <f t="shared" si="90"/>
        <v>0</v>
      </c>
    </row>
    <row r="800" spans="1:50" ht="15" customHeight="1" x14ac:dyDescent="0.35">
      <c r="A800" s="102">
        <v>794</v>
      </c>
      <c r="B800" s="102" t="s">
        <v>1326</v>
      </c>
      <c r="C800" s="103">
        <v>428</v>
      </c>
      <c r="D800" s="102" t="s">
        <v>185</v>
      </c>
      <c r="E800" s="102" t="s">
        <v>479</v>
      </c>
      <c r="F800" s="102" t="s">
        <v>2332</v>
      </c>
      <c r="G800" s="102" t="s">
        <v>2333</v>
      </c>
      <c r="H800" s="102" t="s">
        <v>2334</v>
      </c>
      <c r="I800" s="102" t="s">
        <v>63</v>
      </c>
      <c r="J800" s="102"/>
      <c r="K800" s="102" t="s">
        <v>2504</v>
      </c>
      <c r="L800" s="104">
        <v>44876</v>
      </c>
      <c r="M800" s="102" t="s">
        <v>2505</v>
      </c>
      <c r="N800" s="102" t="s">
        <v>2506</v>
      </c>
      <c r="O800" s="102" t="s">
        <v>383</v>
      </c>
      <c r="P800" s="103">
        <v>1</v>
      </c>
      <c r="Q800" s="105">
        <v>68500000</v>
      </c>
      <c r="R800" s="103">
        <v>48</v>
      </c>
      <c r="S800" s="105">
        <v>1427083.33333333</v>
      </c>
      <c r="T800" s="105">
        <v>54229166.666666701</v>
      </c>
      <c r="U800" s="105">
        <v>1427083.33333333</v>
      </c>
      <c r="V800" s="105">
        <v>1427083.33333333</v>
      </c>
      <c r="W800" s="105">
        <v>1427083.33333333</v>
      </c>
      <c r="X800" s="105">
        <v>1427083.33333333</v>
      </c>
      <c r="Y800" s="105">
        <v>1427083.33333333</v>
      </c>
      <c r="Z800" s="105">
        <v>1427083.33333333</v>
      </c>
      <c r="AA800" s="105">
        <v>1427083.33333333</v>
      </c>
      <c r="AB800" s="105">
        <v>1427083.33333333</v>
      </c>
      <c r="AC800" s="8">
        <f t="shared" si="84"/>
        <v>65645833.333333343</v>
      </c>
      <c r="AD800" s="8">
        <f t="shared" si="85"/>
        <v>2854166.6666666567</v>
      </c>
      <c r="AE800" s="8">
        <f t="shared" si="86"/>
        <v>1427083.33333333</v>
      </c>
      <c r="AF800" s="106">
        <f t="shared" si="87"/>
        <v>1.9999999999999978</v>
      </c>
      <c r="AG800" s="8">
        <f t="shared" si="88"/>
        <v>1427083.33333333</v>
      </c>
      <c r="AH800" s="8">
        <f>IF($O800="Aktif",MAX(0,MIN($AE800,$AD800-SUM($AG800:AG800))),0)</f>
        <v>1427083.3333333267</v>
      </c>
      <c r="AI800" s="8">
        <f>IF($O800="Aktif",MAX(0,MIN($AE800,$AD800-SUM($AG800:AH800))),0)</f>
        <v>0</v>
      </c>
      <c r="AJ800" s="8">
        <f>IF($O800="Aktif",MAX(0,MIN($AE800,$AD800-SUM($AG800:AI800))),0)</f>
        <v>0</v>
      </c>
      <c r="AK800" s="8">
        <f>IF($O800="Aktif",MAX(0,MIN($AE800,$AD800-SUM($AG800:AJ800))),0)</f>
        <v>0</v>
      </c>
      <c r="AL800" s="8">
        <f>IF($O800="Aktif",MAX(0,MIN($AE800,$AD800-SUM($AG800:AK800))),0)</f>
        <v>0</v>
      </c>
      <c r="AM800" s="8">
        <f>IF($O800="Aktif",MAX(0,MIN($AE800,$AD800-SUM($AG800:AL800))),0)</f>
        <v>0</v>
      </c>
      <c r="AN800" s="8">
        <f>IF($O800="Aktif",MAX(0,MIN($AE800,$AD800-SUM($AG800:AM800))),0)</f>
        <v>0</v>
      </c>
      <c r="AO800" s="8">
        <f>IF($O800="Aktif",MAX(0,MIN($AE800,$AD800-SUM($AG800:AN800))),0)</f>
        <v>0</v>
      </c>
      <c r="AP800" s="8">
        <f>IF($O800="Aktif",MAX(0,MIN($AE800,$AD800-SUM($AG800:AO800))),0)</f>
        <v>0</v>
      </c>
      <c r="AQ800" s="8">
        <f>IF($O800="Aktif",MAX(0,MIN($AE800,$AD800-SUM($AG800:AP800))),0)</f>
        <v>0</v>
      </c>
      <c r="AR800" s="8">
        <f>IF($O800="Aktif",MAX(0,MIN($AE800,$AD800-SUM($AG800:AQ800))),0)</f>
        <v>0</v>
      </c>
      <c r="AS800" s="8">
        <f>IF($O800="Aktif",MAX(0,MIN($AE800,$AD800-SUM($AG800:AR800))),0)</f>
        <v>0</v>
      </c>
      <c r="AT800" s="8">
        <f>IF($O800="Aktif",MAX(0,MIN($AE800,$AD800-SUM($AG800:AS800))),0)</f>
        <v>0</v>
      </c>
      <c r="AU800" s="8">
        <f>IF($O800="Aktif",MAX(0,MIN($AE800,$AD800-SUM($AG800:AT800))),0)</f>
        <v>0</v>
      </c>
      <c r="AV800" s="8">
        <f>IF($O800="Aktif",MAX(0,MIN($AE800,$AD800-SUM($AG800:AU800))),0)</f>
        <v>0</v>
      </c>
      <c r="AW800" s="8">
        <f t="shared" si="89"/>
        <v>2854166.6666666567</v>
      </c>
      <c r="AX800" s="8">
        <f t="shared" si="90"/>
        <v>0</v>
      </c>
    </row>
    <row r="801" spans="1:50" ht="15" customHeight="1" x14ac:dyDescent="0.35">
      <c r="A801" s="102">
        <v>795</v>
      </c>
      <c r="B801" s="102" t="s">
        <v>1326</v>
      </c>
      <c r="C801" s="103">
        <v>429</v>
      </c>
      <c r="D801" s="102" t="s">
        <v>185</v>
      </c>
      <c r="E801" s="102" t="s">
        <v>479</v>
      </c>
      <c r="F801" s="102" t="s">
        <v>2332</v>
      </c>
      <c r="G801" s="102" t="s">
        <v>2333</v>
      </c>
      <c r="H801" s="102" t="s">
        <v>2334</v>
      </c>
      <c r="I801" s="102" t="s">
        <v>63</v>
      </c>
      <c r="J801" s="102"/>
      <c r="K801" s="102" t="s">
        <v>2507</v>
      </c>
      <c r="L801" s="104">
        <v>44893</v>
      </c>
      <c r="M801" s="102" t="s">
        <v>2508</v>
      </c>
      <c r="N801" s="102" t="s">
        <v>2509</v>
      </c>
      <c r="O801" s="102" t="s">
        <v>383</v>
      </c>
      <c r="P801" s="103">
        <v>1</v>
      </c>
      <c r="Q801" s="105">
        <v>1600000</v>
      </c>
      <c r="R801" s="103">
        <v>48</v>
      </c>
      <c r="S801" s="105">
        <v>33333.333333333299</v>
      </c>
      <c r="T801" s="105">
        <v>1266666.66666667</v>
      </c>
      <c r="U801" s="105">
        <v>33333.333333333299</v>
      </c>
      <c r="V801" s="105">
        <v>33333.333333333299</v>
      </c>
      <c r="W801" s="105">
        <v>33333.333333333299</v>
      </c>
      <c r="X801" s="105">
        <v>33333.333333333299</v>
      </c>
      <c r="Y801" s="105">
        <v>33333.333333333299</v>
      </c>
      <c r="Z801" s="105">
        <v>33333.333333333299</v>
      </c>
      <c r="AA801" s="105">
        <v>33333.333333333299</v>
      </c>
      <c r="AB801" s="105">
        <v>33333.333333333299</v>
      </c>
      <c r="AC801" s="8">
        <f t="shared" si="84"/>
        <v>1533333.3333333365</v>
      </c>
      <c r="AD801" s="8">
        <f t="shared" si="85"/>
        <v>66666.666666663485</v>
      </c>
      <c r="AE801" s="8">
        <f t="shared" si="86"/>
        <v>33333.333333333299</v>
      </c>
      <c r="AF801" s="106">
        <f t="shared" si="87"/>
        <v>1.9999999999999065</v>
      </c>
      <c r="AG801" s="8">
        <f t="shared" si="88"/>
        <v>33333.333333333299</v>
      </c>
      <c r="AH801" s="8">
        <f>IF($O801="Aktif",MAX(0,MIN($AE801,$AD801-SUM($AG801:AG801))),0)</f>
        <v>33333.333333330185</v>
      </c>
      <c r="AI801" s="8">
        <f>IF($O801="Aktif",MAX(0,MIN($AE801,$AD801-SUM($AG801:AH801))),0)</f>
        <v>0</v>
      </c>
      <c r="AJ801" s="8">
        <f>IF($O801="Aktif",MAX(0,MIN($AE801,$AD801-SUM($AG801:AI801))),0)</f>
        <v>0</v>
      </c>
      <c r="AK801" s="8">
        <f>IF($O801="Aktif",MAX(0,MIN($AE801,$AD801-SUM($AG801:AJ801))),0)</f>
        <v>0</v>
      </c>
      <c r="AL801" s="8">
        <f>IF($O801="Aktif",MAX(0,MIN($AE801,$AD801-SUM($AG801:AK801))),0)</f>
        <v>0</v>
      </c>
      <c r="AM801" s="8">
        <f>IF($O801="Aktif",MAX(0,MIN($AE801,$AD801-SUM($AG801:AL801))),0)</f>
        <v>0</v>
      </c>
      <c r="AN801" s="8">
        <f>IF($O801="Aktif",MAX(0,MIN($AE801,$AD801-SUM($AG801:AM801))),0)</f>
        <v>0</v>
      </c>
      <c r="AO801" s="8">
        <f>IF($O801="Aktif",MAX(0,MIN($AE801,$AD801-SUM($AG801:AN801))),0)</f>
        <v>0</v>
      </c>
      <c r="AP801" s="8">
        <f>IF($O801="Aktif",MAX(0,MIN($AE801,$AD801-SUM($AG801:AO801))),0)</f>
        <v>0</v>
      </c>
      <c r="AQ801" s="8">
        <f>IF($O801="Aktif",MAX(0,MIN($AE801,$AD801-SUM($AG801:AP801))),0)</f>
        <v>0</v>
      </c>
      <c r="AR801" s="8">
        <f>IF($O801="Aktif",MAX(0,MIN($AE801,$AD801-SUM($AG801:AQ801))),0)</f>
        <v>0</v>
      </c>
      <c r="AS801" s="8">
        <f>IF($O801="Aktif",MAX(0,MIN($AE801,$AD801-SUM($AG801:AR801))),0)</f>
        <v>0</v>
      </c>
      <c r="AT801" s="8">
        <f>IF($O801="Aktif",MAX(0,MIN($AE801,$AD801-SUM($AG801:AS801))),0)</f>
        <v>0</v>
      </c>
      <c r="AU801" s="8">
        <f>IF($O801="Aktif",MAX(0,MIN($AE801,$AD801-SUM($AG801:AT801))),0)</f>
        <v>0</v>
      </c>
      <c r="AV801" s="8">
        <f>IF($O801="Aktif",MAX(0,MIN($AE801,$AD801-SUM($AG801:AU801))),0)</f>
        <v>0</v>
      </c>
      <c r="AW801" s="8">
        <f t="shared" si="89"/>
        <v>66666.666666663485</v>
      </c>
      <c r="AX801" s="8">
        <f t="shared" si="90"/>
        <v>0</v>
      </c>
    </row>
    <row r="802" spans="1:50" ht="15" customHeight="1" x14ac:dyDescent="0.35">
      <c r="A802" s="102">
        <v>796</v>
      </c>
      <c r="B802" s="102" t="s">
        <v>1326</v>
      </c>
      <c r="C802" s="103">
        <v>430</v>
      </c>
      <c r="D802" s="102" t="s">
        <v>185</v>
      </c>
      <c r="E802" s="102" t="s">
        <v>479</v>
      </c>
      <c r="F802" s="102" t="s">
        <v>2332</v>
      </c>
      <c r="G802" s="102" t="s">
        <v>2333</v>
      </c>
      <c r="H802" s="102" t="s">
        <v>2334</v>
      </c>
      <c r="I802" s="102" t="s">
        <v>63</v>
      </c>
      <c r="J802" s="102"/>
      <c r="K802" s="102" t="s">
        <v>2510</v>
      </c>
      <c r="L802" s="104">
        <v>44911</v>
      </c>
      <c r="M802" s="102" t="s">
        <v>1635</v>
      </c>
      <c r="N802" s="102" t="s">
        <v>2511</v>
      </c>
      <c r="O802" s="102" t="s">
        <v>383</v>
      </c>
      <c r="P802" s="103">
        <v>1</v>
      </c>
      <c r="Q802" s="105">
        <v>10750000</v>
      </c>
      <c r="R802" s="103">
        <v>48</v>
      </c>
      <c r="S802" s="105">
        <v>223958.33333333299</v>
      </c>
      <c r="T802" s="105">
        <v>8286458.3333333302</v>
      </c>
      <c r="U802" s="105">
        <v>223958.33333333299</v>
      </c>
      <c r="V802" s="105">
        <v>223958.33333333299</v>
      </c>
      <c r="W802" s="105">
        <v>223958.33333333299</v>
      </c>
      <c r="X802" s="105">
        <v>223958.33333333299</v>
      </c>
      <c r="Y802" s="105">
        <v>223958.33333333299</v>
      </c>
      <c r="Z802" s="105">
        <v>223958.33333333299</v>
      </c>
      <c r="AA802" s="105">
        <v>223958.33333333299</v>
      </c>
      <c r="AB802" s="105">
        <v>223958.33333333299</v>
      </c>
      <c r="AC802" s="8">
        <f t="shared" si="84"/>
        <v>10078124.999999994</v>
      </c>
      <c r="AD802" s="8">
        <f t="shared" si="85"/>
        <v>671875.00000000559</v>
      </c>
      <c r="AE802" s="8">
        <f t="shared" si="86"/>
        <v>223958.33333333299</v>
      </c>
      <c r="AF802" s="106">
        <f t="shared" si="87"/>
        <v>3.0000000000000293</v>
      </c>
      <c r="AG802" s="8">
        <f t="shared" si="88"/>
        <v>223958.33333333299</v>
      </c>
      <c r="AH802" s="8">
        <f>IF($O802="Aktif",MAX(0,MIN($AE802,$AD802-SUM($AG802:AG802))),0)</f>
        <v>223958.33333333299</v>
      </c>
      <c r="AI802" s="8">
        <f>IF($O802="Aktif",MAX(0,MIN($AE802,$AD802-SUM($AG802:AH802))),0)</f>
        <v>223958.33333333299</v>
      </c>
      <c r="AJ802" s="8">
        <f>IF($O802="Aktif",MAX(0,MIN($AE802,$AD802-SUM($AG802:AI802))),0)</f>
        <v>6.6356733441352844E-9</v>
      </c>
      <c r="AK802" s="8">
        <f>IF($O802="Aktif",MAX(0,MIN($AE802,$AD802-SUM($AG802:AJ802))),0)</f>
        <v>0</v>
      </c>
      <c r="AL802" s="8">
        <f>IF($O802="Aktif",MAX(0,MIN($AE802,$AD802-SUM($AG802:AK802))),0)</f>
        <v>0</v>
      </c>
      <c r="AM802" s="8">
        <f>IF($O802="Aktif",MAX(0,MIN($AE802,$AD802-SUM($AG802:AL802))),0)</f>
        <v>0</v>
      </c>
      <c r="AN802" s="8">
        <f>IF($O802="Aktif",MAX(0,MIN($AE802,$AD802-SUM($AG802:AM802))),0)</f>
        <v>0</v>
      </c>
      <c r="AO802" s="8">
        <f>IF($O802="Aktif",MAX(0,MIN($AE802,$AD802-SUM($AG802:AN802))),0)</f>
        <v>0</v>
      </c>
      <c r="AP802" s="8">
        <f>IF($O802="Aktif",MAX(0,MIN($AE802,$AD802-SUM($AG802:AO802))),0)</f>
        <v>0</v>
      </c>
      <c r="AQ802" s="8">
        <f>IF($O802="Aktif",MAX(0,MIN($AE802,$AD802-SUM($AG802:AP802))),0)</f>
        <v>0</v>
      </c>
      <c r="AR802" s="8">
        <f>IF($O802="Aktif",MAX(0,MIN($AE802,$AD802-SUM($AG802:AQ802))),0)</f>
        <v>0</v>
      </c>
      <c r="AS802" s="8">
        <f>IF($O802="Aktif",MAX(0,MIN($AE802,$AD802-SUM($AG802:AR802))),0)</f>
        <v>0</v>
      </c>
      <c r="AT802" s="8">
        <f>IF($O802="Aktif",MAX(0,MIN($AE802,$AD802-SUM($AG802:AS802))),0)</f>
        <v>0</v>
      </c>
      <c r="AU802" s="8">
        <f>IF($O802="Aktif",MAX(0,MIN($AE802,$AD802-SUM($AG802:AT802))),0)</f>
        <v>0</v>
      </c>
      <c r="AV802" s="8">
        <f>IF($O802="Aktif",MAX(0,MIN($AE802,$AD802-SUM($AG802:AU802))),0)</f>
        <v>0</v>
      </c>
      <c r="AW802" s="8">
        <f t="shared" si="89"/>
        <v>671875.00000000559</v>
      </c>
      <c r="AX802" s="8">
        <f t="shared" si="90"/>
        <v>0</v>
      </c>
    </row>
    <row r="803" spans="1:50" ht="15" customHeight="1" x14ac:dyDescent="0.35">
      <c r="A803" s="102">
        <v>797</v>
      </c>
      <c r="B803" s="102" t="s">
        <v>1326</v>
      </c>
      <c r="C803" s="103">
        <v>431</v>
      </c>
      <c r="D803" s="102" t="s">
        <v>185</v>
      </c>
      <c r="E803" s="102" t="s">
        <v>479</v>
      </c>
      <c r="F803" s="102" t="s">
        <v>2332</v>
      </c>
      <c r="G803" s="102" t="s">
        <v>2333</v>
      </c>
      <c r="H803" s="102" t="s">
        <v>2334</v>
      </c>
      <c r="I803" s="102" t="s">
        <v>63</v>
      </c>
      <c r="J803" s="102"/>
      <c r="K803" s="102" t="s">
        <v>2512</v>
      </c>
      <c r="L803" s="104">
        <v>44942</v>
      </c>
      <c r="M803" s="102" t="s">
        <v>2513</v>
      </c>
      <c r="N803" s="102" t="s">
        <v>2514</v>
      </c>
      <c r="O803" s="102" t="s">
        <v>383</v>
      </c>
      <c r="P803" s="103">
        <v>1</v>
      </c>
      <c r="Q803" s="105">
        <v>50000000</v>
      </c>
      <c r="R803" s="103">
        <v>48</v>
      </c>
      <c r="S803" s="105">
        <v>1041666.66666667</v>
      </c>
      <c r="T803" s="105">
        <v>37500000</v>
      </c>
      <c r="U803" s="105">
        <v>1041666.66666667</v>
      </c>
      <c r="V803" s="105">
        <v>1041666.66666667</v>
      </c>
      <c r="W803" s="105">
        <v>1041666.66666667</v>
      </c>
      <c r="X803" s="105">
        <v>1041666.66666667</v>
      </c>
      <c r="Y803" s="105">
        <v>1041666.66666667</v>
      </c>
      <c r="Z803" s="105">
        <v>1041666.66666667</v>
      </c>
      <c r="AA803" s="105">
        <v>1041666.66666667</v>
      </c>
      <c r="AB803" s="105">
        <v>1041666.66666667</v>
      </c>
      <c r="AC803" s="8">
        <f t="shared" si="84"/>
        <v>45833333.333333358</v>
      </c>
      <c r="AD803" s="8">
        <f t="shared" si="85"/>
        <v>4166666.6666666418</v>
      </c>
      <c r="AE803" s="8">
        <f t="shared" si="86"/>
        <v>1041666.66666667</v>
      </c>
      <c r="AF803" s="106">
        <f t="shared" si="87"/>
        <v>3.9999999999999631</v>
      </c>
      <c r="AG803" s="8">
        <f t="shared" si="88"/>
        <v>1041666.66666667</v>
      </c>
      <c r="AH803" s="8">
        <f>IF($O803="Aktif",MAX(0,MIN($AE803,$AD803-SUM($AG803:AG803))),0)</f>
        <v>1041666.66666667</v>
      </c>
      <c r="AI803" s="8">
        <f>IF($O803="Aktif",MAX(0,MIN($AE803,$AD803-SUM($AG803:AH803))),0)</f>
        <v>1041666.66666667</v>
      </c>
      <c r="AJ803" s="8">
        <f>IF($O803="Aktif",MAX(0,MIN($AE803,$AD803-SUM($AG803:AI803))),0)</f>
        <v>1041666.6666666316</v>
      </c>
      <c r="AK803" s="8">
        <f>IF($O803="Aktif",MAX(0,MIN($AE803,$AD803-SUM($AG803:AJ803))),0)</f>
        <v>0</v>
      </c>
      <c r="AL803" s="8">
        <f>IF($O803="Aktif",MAX(0,MIN($AE803,$AD803-SUM($AG803:AK803))),0)</f>
        <v>0</v>
      </c>
      <c r="AM803" s="8">
        <f>IF($O803="Aktif",MAX(0,MIN($AE803,$AD803-SUM($AG803:AL803))),0)</f>
        <v>0</v>
      </c>
      <c r="AN803" s="8">
        <f>IF($O803="Aktif",MAX(0,MIN($AE803,$AD803-SUM($AG803:AM803))),0)</f>
        <v>0</v>
      </c>
      <c r="AO803" s="8">
        <f>IF($O803="Aktif",MAX(0,MIN($AE803,$AD803-SUM($AG803:AN803))),0)</f>
        <v>0</v>
      </c>
      <c r="AP803" s="8">
        <f>IF($O803="Aktif",MAX(0,MIN($AE803,$AD803-SUM($AG803:AO803))),0)</f>
        <v>0</v>
      </c>
      <c r="AQ803" s="8">
        <f>IF($O803="Aktif",MAX(0,MIN($AE803,$AD803-SUM($AG803:AP803))),0)</f>
        <v>0</v>
      </c>
      <c r="AR803" s="8">
        <f>IF($O803="Aktif",MAX(0,MIN($AE803,$AD803-SUM($AG803:AQ803))),0)</f>
        <v>0</v>
      </c>
      <c r="AS803" s="8">
        <f>IF($O803="Aktif",MAX(0,MIN($AE803,$AD803-SUM($AG803:AR803))),0)</f>
        <v>0</v>
      </c>
      <c r="AT803" s="8">
        <f>IF($O803="Aktif",MAX(0,MIN($AE803,$AD803-SUM($AG803:AS803))),0)</f>
        <v>0</v>
      </c>
      <c r="AU803" s="8">
        <f>IF($O803="Aktif",MAX(0,MIN($AE803,$AD803-SUM($AG803:AT803))),0)</f>
        <v>0</v>
      </c>
      <c r="AV803" s="8">
        <f>IF($O803="Aktif",MAX(0,MIN($AE803,$AD803-SUM($AG803:AU803))),0)</f>
        <v>0</v>
      </c>
      <c r="AW803" s="8">
        <f t="shared" si="89"/>
        <v>4166666.6666666418</v>
      </c>
      <c r="AX803" s="8">
        <f t="shared" si="90"/>
        <v>0</v>
      </c>
    </row>
    <row r="804" spans="1:50" ht="15" customHeight="1" x14ac:dyDescent="0.35">
      <c r="A804" s="102">
        <v>798</v>
      </c>
      <c r="B804" s="102" t="s">
        <v>1326</v>
      </c>
      <c r="C804" s="103">
        <v>432</v>
      </c>
      <c r="D804" s="102" t="s">
        <v>185</v>
      </c>
      <c r="E804" s="102" t="s">
        <v>479</v>
      </c>
      <c r="F804" s="102" t="s">
        <v>2332</v>
      </c>
      <c r="G804" s="102" t="s">
        <v>2333</v>
      </c>
      <c r="H804" s="102" t="s">
        <v>2334</v>
      </c>
      <c r="I804" s="102" t="s">
        <v>63</v>
      </c>
      <c r="J804" s="102"/>
      <c r="K804" s="102" t="s">
        <v>2515</v>
      </c>
      <c r="L804" s="104">
        <v>44963</v>
      </c>
      <c r="M804" s="102" t="s">
        <v>2516</v>
      </c>
      <c r="N804" s="102" t="s">
        <v>2517</v>
      </c>
      <c r="O804" s="102" t="s">
        <v>383</v>
      </c>
      <c r="P804" s="103">
        <v>1</v>
      </c>
      <c r="Q804" s="105">
        <v>5800000</v>
      </c>
      <c r="R804" s="103">
        <v>48</v>
      </c>
      <c r="S804" s="105">
        <v>120833.33333333299</v>
      </c>
      <c r="T804" s="105">
        <v>4229166.6666666698</v>
      </c>
      <c r="U804" s="105">
        <v>120833.33333333299</v>
      </c>
      <c r="V804" s="105">
        <v>120833.33333333299</v>
      </c>
      <c r="W804" s="105">
        <v>120833.33333333299</v>
      </c>
      <c r="X804" s="105">
        <v>120833.33333333299</v>
      </c>
      <c r="Y804" s="105">
        <v>120833.33333333299</v>
      </c>
      <c r="Z804" s="105">
        <v>120833.33333333299</v>
      </c>
      <c r="AA804" s="105">
        <v>120833.33333333299</v>
      </c>
      <c r="AB804" s="105">
        <v>120833.33333333299</v>
      </c>
      <c r="AC804" s="8">
        <f t="shared" si="84"/>
        <v>5195833.333333334</v>
      </c>
      <c r="AD804" s="8">
        <f t="shared" si="85"/>
        <v>604166.66666666605</v>
      </c>
      <c r="AE804" s="8">
        <f t="shared" si="86"/>
        <v>120833.33333333299</v>
      </c>
      <c r="AF804" s="106">
        <f t="shared" si="87"/>
        <v>5.0000000000000089</v>
      </c>
      <c r="AG804" s="8">
        <f t="shared" si="88"/>
        <v>120833.33333333299</v>
      </c>
      <c r="AH804" s="8">
        <f>IF($O804="Aktif",MAX(0,MIN($AE804,$AD804-SUM($AG804:AG804))),0)</f>
        <v>120833.33333333299</v>
      </c>
      <c r="AI804" s="8">
        <f>IF($O804="Aktif",MAX(0,MIN($AE804,$AD804-SUM($AG804:AH804))),0)</f>
        <v>120833.33333333299</v>
      </c>
      <c r="AJ804" s="8">
        <f>IF($O804="Aktif",MAX(0,MIN($AE804,$AD804-SUM($AG804:AI804))),0)</f>
        <v>120833.33333333299</v>
      </c>
      <c r="AK804" s="8">
        <f>IF($O804="Aktif",MAX(0,MIN($AE804,$AD804-SUM($AG804:AJ804))),0)</f>
        <v>120833.33333333299</v>
      </c>
      <c r="AL804" s="8">
        <f>IF($O804="Aktif",MAX(0,MIN($AE804,$AD804-SUM($AG804:AK804))),0)</f>
        <v>1.0477378964424133E-9</v>
      </c>
      <c r="AM804" s="8">
        <f>IF($O804="Aktif",MAX(0,MIN($AE804,$AD804-SUM($AG804:AL804))),0)</f>
        <v>0</v>
      </c>
      <c r="AN804" s="8">
        <f>IF($O804="Aktif",MAX(0,MIN($AE804,$AD804-SUM($AG804:AM804))),0)</f>
        <v>0</v>
      </c>
      <c r="AO804" s="8">
        <f>IF($O804="Aktif",MAX(0,MIN($AE804,$AD804-SUM($AG804:AN804))),0)</f>
        <v>0</v>
      </c>
      <c r="AP804" s="8">
        <f>IF($O804="Aktif",MAX(0,MIN($AE804,$AD804-SUM($AG804:AO804))),0)</f>
        <v>0</v>
      </c>
      <c r="AQ804" s="8">
        <f>IF($O804="Aktif",MAX(0,MIN($AE804,$AD804-SUM($AG804:AP804))),0)</f>
        <v>0</v>
      </c>
      <c r="AR804" s="8">
        <f>IF($O804="Aktif",MAX(0,MIN($AE804,$AD804-SUM($AG804:AQ804))),0)</f>
        <v>0</v>
      </c>
      <c r="AS804" s="8">
        <f>IF($O804="Aktif",MAX(0,MIN($AE804,$AD804-SUM($AG804:AR804))),0)</f>
        <v>0</v>
      </c>
      <c r="AT804" s="8">
        <f>IF($O804="Aktif",MAX(0,MIN($AE804,$AD804-SUM($AG804:AS804))),0)</f>
        <v>0</v>
      </c>
      <c r="AU804" s="8">
        <f>IF($O804="Aktif",MAX(0,MIN($AE804,$AD804-SUM($AG804:AT804))),0)</f>
        <v>0</v>
      </c>
      <c r="AV804" s="8">
        <f>IF($O804="Aktif",MAX(0,MIN($AE804,$AD804-SUM($AG804:AU804))),0)</f>
        <v>0</v>
      </c>
      <c r="AW804" s="8">
        <f t="shared" si="89"/>
        <v>604166.66666666605</v>
      </c>
      <c r="AX804" s="8">
        <f t="shared" si="90"/>
        <v>0</v>
      </c>
    </row>
    <row r="805" spans="1:50" ht="15" customHeight="1" x14ac:dyDescent="0.35">
      <c r="A805" s="102">
        <v>799</v>
      </c>
      <c r="B805" s="102" t="s">
        <v>1326</v>
      </c>
      <c r="C805" s="103">
        <v>433</v>
      </c>
      <c r="D805" s="102" t="s">
        <v>185</v>
      </c>
      <c r="E805" s="102" t="s">
        <v>479</v>
      </c>
      <c r="F805" s="102" t="s">
        <v>2332</v>
      </c>
      <c r="G805" s="102" t="s">
        <v>2333</v>
      </c>
      <c r="H805" s="102" t="s">
        <v>2334</v>
      </c>
      <c r="I805" s="102" t="s">
        <v>63</v>
      </c>
      <c r="J805" s="102"/>
      <c r="K805" s="102" t="s">
        <v>2518</v>
      </c>
      <c r="L805" s="104">
        <v>44979</v>
      </c>
      <c r="M805" s="102" t="s">
        <v>2519</v>
      </c>
      <c r="N805" s="102" t="s">
        <v>2520</v>
      </c>
      <c r="O805" s="102" t="s">
        <v>383</v>
      </c>
      <c r="P805" s="103">
        <v>1</v>
      </c>
      <c r="Q805" s="105">
        <v>9672500</v>
      </c>
      <c r="R805" s="103">
        <v>48</v>
      </c>
      <c r="S805" s="105">
        <v>201510.41666666701</v>
      </c>
      <c r="T805" s="105">
        <v>7052864.5833333302</v>
      </c>
      <c r="U805" s="105">
        <v>201510.41666666701</v>
      </c>
      <c r="V805" s="105">
        <v>201510.41666666701</v>
      </c>
      <c r="W805" s="105">
        <v>201510.41666666701</v>
      </c>
      <c r="X805" s="105">
        <v>201510.41666666701</v>
      </c>
      <c r="Y805" s="105">
        <v>201510.41666666701</v>
      </c>
      <c r="Z805" s="105">
        <v>201510.41666666701</v>
      </c>
      <c r="AA805" s="105">
        <v>201510.41666666701</v>
      </c>
      <c r="AB805" s="105">
        <v>201510.41666666701</v>
      </c>
      <c r="AC805" s="8">
        <f t="shared" si="84"/>
        <v>8664947.916666666</v>
      </c>
      <c r="AD805" s="8">
        <f t="shared" si="85"/>
        <v>1007552.083333334</v>
      </c>
      <c r="AE805" s="8">
        <f t="shared" si="86"/>
        <v>201510.41666666701</v>
      </c>
      <c r="AF805" s="106">
        <f t="shared" si="87"/>
        <v>4.9999999999999947</v>
      </c>
      <c r="AG805" s="8">
        <f t="shared" si="88"/>
        <v>201510.41666666701</v>
      </c>
      <c r="AH805" s="8">
        <f>IF($O805="Aktif",MAX(0,MIN($AE805,$AD805-SUM($AG805:AG805))),0)</f>
        <v>201510.41666666701</v>
      </c>
      <c r="AI805" s="8">
        <f>IF($O805="Aktif",MAX(0,MIN($AE805,$AD805-SUM($AG805:AH805))),0)</f>
        <v>201510.41666666701</v>
      </c>
      <c r="AJ805" s="8">
        <f>IF($O805="Aktif",MAX(0,MIN($AE805,$AD805-SUM($AG805:AI805))),0)</f>
        <v>201510.41666666701</v>
      </c>
      <c r="AK805" s="8">
        <f>IF($O805="Aktif",MAX(0,MIN($AE805,$AD805-SUM($AG805:AJ805))),0)</f>
        <v>201510.41666666593</v>
      </c>
      <c r="AL805" s="8">
        <f>IF($O805="Aktif",MAX(0,MIN($AE805,$AD805-SUM($AG805:AK805))),0)</f>
        <v>0</v>
      </c>
      <c r="AM805" s="8">
        <f>IF($O805="Aktif",MAX(0,MIN($AE805,$AD805-SUM($AG805:AL805))),0)</f>
        <v>0</v>
      </c>
      <c r="AN805" s="8">
        <f>IF($O805="Aktif",MAX(0,MIN($AE805,$AD805-SUM($AG805:AM805))),0)</f>
        <v>0</v>
      </c>
      <c r="AO805" s="8">
        <f>IF($O805="Aktif",MAX(0,MIN($AE805,$AD805-SUM($AG805:AN805))),0)</f>
        <v>0</v>
      </c>
      <c r="AP805" s="8">
        <f>IF($O805="Aktif",MAX(0,MIN($AE805,$AD805-SUM($AG805:AO805))),0)</f>
        <v>0</v>
      </c>
      <c r="AQ805" s="8">
        <f>IF($O805="Aktif",MAX(0,MIN($AE805,$AD805-SUM($AG805:AP805))),0)</f>
        <v>0</v>
      </c>
      <c r="AR805" s="8">
        <f>IF($O805="Aktif",MAX(0,MIN($AE805,$AD805-SUM($AG805:AQ805))),0)</f>
        <v>0</v>
      </c>
      <c r="AS805" s="8">
        <f>IF($O805="Aktif",MAX(0,MIN($AE805,$AD805-SUM($AG805:AR805))),0)</f>
        <v>0</v>
      </c>
      <c r="AT805" s="8">
        <f>IF($O805="Aktif",MAX(0,MIN($AE805,$AD805-SUM($AG805:AS805))),0)</f>
        <v>0</v>
      </c>
      <c r="AU805" s="8">
        <f>IF($O805="Aktif",MAX(0,MIN($AE805,$AD805-SUM($AG805:AT805))),0)</f>
        <v>0</v>
      </c>
      <c r="AV805" s="8">
        <f>IF($O805="Aktif",MAX(0,MIN($AE805,$AD805-SUM($AG805:AU805))),0)</f>
        <v>0</v>
      </c>
      <c r="AW805" s="8">
        <f t="shared" si="89"/>
        <v>1007552.083333334</v>
      </c>
      <c r="AX805" s="8">
        <f t="shared" si="90"/>
        <v>0</v>
      </c>
    </row>
    <row r="806" spans="1:50" ht="15" customHeight="1" x14ac:dyDescent="0.35">
      <c r="A806" s="102">
        <v>800</v>
      </c>
      <c r="B806" s="102" t="s">
        <v>1326</v>
      </c>
      <c r="C806" s="103">
        <v>434</v>
      </c>
      <c r="D806" s="102" t="s">
        <v>185</v>
      </c>
      <c r="E806" s="102" t="s">
        <v>479</v>
      </c>
      <c r="F806" s="102" t="s">
        <v>2332</v>
      </c>
      <c r="G806" s="102" t="s">
        <v>2333</v>
      </c>
      <c r="H806" s="102" t="s">
        <v>2334</v>
      </c>
      <c r="I806" s="102" t="s">
        <v>63</v>
      </c>
      <c r="J806" s="102"/>
      <c r="K806" s="102" t="s">
        <v>2521</v>
      </c>
      <c r="L806" s="104">
        <v>44981</v>
      </c>
      <c r="M806" s="102" t="s">
        <v>2522</v>
      </c>
      <c r="N806" s="102" t="s">
        <v>2523</v>
      </c>
      <c r="O806" s="102" t="s">
        <v>383</v>
      </c>
      <c r="P806" s="103">
        <v>1</v>
      </c>
      <c r="Q806" s="105">
        <v>2360000</v>
      </c>
      <c r="R806" s="103">
        <v>48</v>
      </c>
      <c r="S806" s="105">
        <v>49166.666666666701</v>
      </c>
      <c r="T806" s="105">
        <v>1720833.33333333</v>
      </c>
      <c r="U806" s="105">
        <v>49166.666666666701</v>
      </c>
      <c r="V806" s="105">
        <v>49166.666666666701</v>
      </c>
      <c r="W806" s="105">
        <v>49166.666666666701</v>
      </c>
      <c r="X806" s="105">
        <v>49166.666666666701</v>
      </c>
      <c r="Y806" s="105">
        <v>49166.666666666701</v>
      </c>
      <c r="Z806" s="105">
        <v>49166.666666666701</v>
      </c>
      <c r="AA806" s="105">
        <v>49166.666666666701</v>
      </c>
      <c r="AB806" s="105">
        <v>49166.666666666701</v>
      </c>
      <c r="AC806" s="8">
        <f t="shared" si="84"/>
        <v>2114166.6666666637</v>
      </c>
      <c r="AD806" s="8">
        <f t="shared" si="85"/>
        <v>245833.33333333628</v>
      </c>
      <c r="AE806" s="8">
        <f t="shared" si="86"/>
        <v>49166.666666666701</v>
      </c>
      <c r="AF806" s="106">
        <f t="shared" si="87"/>
        <v>5.0000000000000568</v>
      </c>
      <c r="AG806" s="8">
        <f t="shared" si="88"/>
        <v>49166.666666666701</v>
      </c>
      <c r="AH806" s="8">
        <f>IF($O806="Aktif",MAX(0,MIN($AE806,$AD806-SUM($AG806:AG806))),0)</f>
        <v>49166.666666666701</v>
      </c>
      <c r="AI806" s="8">
        <f>IF($O806="Aktif",MAX(0,MIN($AE806,$AD806-SUM($AG806:AH806))),0)</f>
        <v>49166.666666666701</v>
      </c>
      <c r="AJ806" s="8">
        <f>IF($O806="Aktif",MAX(0,MIN($AE806,$AD806-SUM($AG806:AI806))),0)</f>
        <v>49166.666666666701</v>
      </c>
      <c r="AK806" s="8">
        <f>IF($O806="Aktif",MAX(0,MIN($AE806,$AD806-SUM($AG806:AJ806))),0)</f>
        <v>49166.666666666701</v>
      </c>
      <c r="AL806" s="8">
        <f>IF($O806="Aktif",MAX(0,MIN($AE806,$AD806-SUM($AG806:AK806))),0)</f>
        <v>2.7939677238464355E-9</v>
      </c>
      <c r="AM806" s="8">
        <f>IF($O806="Aktif",MAX(0,MIN($AE806,$AD806-SUM($AG806:AL806))),0)</f>
        <v>0</v>
      </c>
      <c r="AN806" s="8">
        <f>IF($O806="Aktif",MAX(0,MIN($AE806,$AD806-SUM($AG806:AM806))),0)</f>
        <v>0</v>
      </c>
      <c r="AO806" s="8">
        <f>IF($O806="Aktif",MAX(0,MIN($AE806,$AD806-SUM($AG806:AN806))),0)</f>
        <v>0</v>
      </c>
      <c r="AP806" s="8">
        <f>IF($O806="Aktif",MAX(0,MIN($AE806,$AD806-SUM($AG806:AO806))),0)</f>
        <v>0</v>
      </c>
      <c r="AQ806" s="8">
        <f>IF($O806="Aktif",MAX(0,MIN($AE806,$AD806-SUM($AG806:AP806))),0)</f>
        <v>0</v>
      </c>
      <c r="AR806" s="8">
        <f>IF($O806="Aktif",MAX(0,MIN($AE806,$AD806-SUM($AG806:AQ806))),0)</f>
        <v>0</v>
      </c>
      <c r="AS806" s="8">
        <f>IF($O806="Aktif",MAX(0,MIN($AE806,$AD806-SUM($AG806:AR806))),0)</f>
        <v>0</v>
      </c>
      <c r="AT806" s="8">
        <f>IF($O806="Aktif",MAX(0,MIN($AE806,$AD806-SUM($AG806:AS806))),0)</f>
        <v>0</v>
      </c>
      <c r="AU806" s="8">
        <f>IF($O806="Aktif",MAX(0,MIN($AE806,$AD806-SUM($AG806:AT806))),0)</f>
        <v>0</v>
      </c>
      <c r="AV806" s="8">
        <f>IF($O806="Aktif",MAX(0,MIN($AE806,$AD806-SUM($AG806:AU806))),0)</f>
        <v>0</v>
      </c>
      <c r="AW806" s="8">
        <f t="shared" si="89"/>
        <v>245833.33333333628</v>
      </c>
      <c r="AX806" s="8">
        <f t="shared" si="90"/>
        <v>0</v>
      </c>
    </row>
    <row r="807" spans="1:50" ht="15" customHeight="1" x14ac:dyDescent="0.35">
      <c r="A807" s="102">
        <v>801</v>
      </c>
      <c r="B807" s="102" t="s">
        <v>1326</v>
      </c>
      <c r="C807" s="103">
        <v>435</v>
      </c>
      <c r="D807" s="102" t="s">
        <v>185</v>
      </c>
      <c r="E807" s="102" t="s">
        <v>479</v>
      </c>
      <c r="F807" s="102" t="s">
        <v>2332</v>
      </c>
      <c r="G807" s="102" t="s">
        <v>2333</v>
      </c>
      <c r="H807" s="102" t="s">
        <v>2334</v>
      </c>
      <c r="I807" s="102" t="s">
        <v>63</v>
      </c>
      <c r="J807" s="102"/>
      <c r="K807" s="102" t="s">
        <v>2524</v>
      </c>
      <c r="L807" s="104">
        <v>44995</v>
      </c>
      <c r="M807" s="102" t="s">
        <v>2525</v>
      </c>
      <c r="N807" s="102" t="s">
        <v>2526</v>
      </c>
      <c r="O807" s="102" t="s">
        <v>383</v>
      </c>
      <c r="P807" s="103">
        <v>1</v>
      </c>
      <c r="Q807" s="105">
        <v>13378378</v>
      </c>
      <c r="R807" s="103">
        <v>48</v>
      </c>
      <c r="S807" s="105">
        <v>278716.20833333302</v>
      </c>
      <c r="T807" s="105">
        <v>9476351.0833333302</v>
      </c>
      <c r="U807" s="105">
        <v>278716.20833333302</v>
      </c>
      <c r="V807" s="105">
        <v>278716.20833333302</v>
      </c>
      <c r="W807" s="105">
        <v>278716.20833333302</v>
      </c>
      <c r="X807" s="105">
        <v>278716.20833333302</v>
      </c>
      <c r="Y807" s="105">
        <v>278716.20833333302</v>
      </c>
      <c r="Z807" s="105">
        <v>278716.20833333302</v>
      </c>
      <c r="AA807" s="105">
        <v>278716.20833333302</v>
      </c>
      <c r="AB807" s="105">
        <v>278716.20833333302</v>
      </c>
      <c r="AC807" s="8">
        <f t="shared" si="84"/>
        <v>11706080.749999994</v>
      </c>
      <c r="AD807" s="8">
        <f t="shared" si="85"/>
        <v>1672297.2500000056</v>
      </c>
      <c r="AE807" s="8">
        <f t="shared" si="86"/>
        <v>278716.20833333302</v>
      </c>
      <c r="AF807" s="106">
        <f t="shared" si="87"/>
        <v>6.0000000000000266</v>
      </c>
      <c r="AG807" s="8">
        <f t="shared" si="88"/>
        <v>278716.20833333302</v>
      </c>
      <c r="AH807" s="8">
        <f>IF($O807="Aktif",MAX(0,MIN($AE807,$AD807-SUM($AG807:AG807))),0)</f>
        <v>278716.20833333302</v>
      </c>
      <c r="AI807" s="8">
        <f>IF($O807="Aktif",MAX(0,MIN($AE807,$AD807-SUM($AG807:AH807))),0)</f>
        <v>278716.20833333302</v>
      </c>
      <c r="AJ807" s="8">
        <f>IF($O807="Aktif",MAX(0,MIN($AE807,$AD807-SUM($AG807:AI807))),0)</f>
        <v>278716.20833333302</v>
      </c>
      <c r="AK807" s="8">
        <f>IF($O807="Aktif",MAX(0,MIN($AE807,$AD807-SUM($AG807:AJ807))),0)</f>
        <v>278716.20833333302</v>
      </c>
      <c r="AL807" s="8">
        <f>IF($O807="Aktif",MAX(0,MIN($AE807,$AD807-SUM($AG807:AK807))),0)</f>
        <v>278716.20833333302</v>
      </c>
      <c r="AM807" s="8">
        <f>IF($O807="Aktif",MAX(0,MIN($AE807,$AD807-SUM($AG807:AL807))),0)</f>
        <v>7.4505805969238281E-9</v>
      </c>
      <c r="AN807" s="8">
        <f>IF($O807="Aktif",MAX(0,MIN($AE807,$AD807-SUM($AG807:AM807))),0)</f>
        <v>0</v>
      </c>
      <c r="AO807" s="8">
        <f>IF($O807="Aktif",MAX(0,MIN($AE807,$AD807-SUM($AG807:AN807))),0)</f>
        <v>0</v>
      </c>
      <c r="AP807" s="8">
        <f>IF($O807="Aktif",MAX(0,MIN($AE807,$AD807-SUM($AG807:AO807))),0)</f>
        <v>0</v>
      </c>
      <c r="AQ807" s="8">
        <f>IF($O807="Aktif",MAX(0,MIN($AE807,$AD807-SUM($AG807:AP807))),0)</f>
        <v>0</v>
      </c>
      <c r="AR807" s="8">
        <f>IF($O807="Aktif",MAX(0,MIN($AE807,$AD807-SUM($AG807:AQ807))),0)</f>
        <v>0</v>
      </c>
      <c r="AS807" s="8">
        <f>IF($O807="Aktif",MAX(0,MIN($AE807,$AD807-SUM($AG807:AR807))),0)</f>
        <v>0</v>
      </c>
      <c r="AT807" s="8">
        <f>IF($O807="Aktif",MAX(0,MIN($AE807,$AD807-SUM($AG807:AS807))),0)</f>
        <v>0</v>
      </c>
      <c r="AU807" s="8">
        <f>IF($O807="Aktif",MAX(0,MIN($AE807,$AD807-SUM($AG807:AT807))),0)</f>
        <v>0</v>
      </c>
      <c r="AV807" s="8">
        <f>IF($O807="Aktif",MAX(0,MIN($AE807,$AD807-SUM($AG807:AU807))),0)</f>
        <v>0</v>
      </c>
      <c r="AW807" s="8">
        <f t="shared" si="89"/>
        <v>1672297.2500000056</v>
      </c>
      <c r="AX807" s="8">
        <f t="shared" si="90"/>
        <v>0</v>
      </c>
    </row>
    <row r="808" spans="1:50" ht="15" customHeight="1" x14ac:dyDescent="0.35">
      <c r="A808" s="102">
        <v>802</v>
      </c>
      <c r="B808" s="102" t="s">
        <v>1326</v>
      </c>
      <c r="C808" s="103">
        <v>436</v>
      </c>
      <c r="D808" s="102" t="s">
        <v>185</v>
      </c>
      <c r="E808" s="102" t="s">
        <v>479</v>
      </c>
      <c r="F808" s="102" t="s">
        <v>2332</v>
      </c>
      <c r="G808" s="102" t="s">
        <v>2333</v>
      </c>
      <c r="H808" s="102" t="s">
        <v>2334</v>
      </c>
      <c r="I808" s="102" t="s">
        <v>63</v>
      </c>
      <c r="J808" s="102"/>
      <c r="K808" s="102" t="s">
        <v>2527</v>
      </c>
      <c r="L808" s="104">
        <v>44995</v>
      </c>
      <c r="M808" s="102" t="s">
        <v>2528</v>
      </c>
      <c r="N808" s="102" t="s">
        <v>2529</v>
      </c>
      <c r="O808" s="102" t="s">
        <v>383</v>
      </c>
      <c r="P808" s="103">
        <v>1</v>
      </c>
      <c r="Q808" s="105">
        <v>5855857</v>
      </c>
      <c r="R808" s="103">
        <v>48</v>
      </c>
      <c r="S808" s="105">
        <v>121997.02083333299</v>
      </c>
      <c r="T808" s="105">
        <v>4147898.7083333302</v>
      </c>
      <c r="U808" s="105">
        <v>121997.02083333299</v>
      </c>
      <c r="V808" s="105">
        <v>121997.02083333299</v>
      </c>
      <c r="W808" s="105">
        <v>121997.02083333299</v>
      </c>
      <c r="X808" s="105">
        <v>121997.02083333299</v>
      </c>
      <c r="Y808" s="105">
        <v>121997.02083333299</v>
      </c>
      <c r="Z808" s="105">
        <v>121997.02083333299</v>
      </c>
      <c r="AA808" s="105">
        <v>121997.02083333299</v>
      </c>
      <c r="AB808" s="105">
        <v>121997.02083333299</v>
      </c>
      <c r="AC808" s="8">
        <f t="shared" si="84"/>
        <v>5123874.8749999944</v>
      </c>
      <c r="AD808" s="8">
        <f t="shared" si="85"/>
        <v>731982.12500000559</v>
      </c>
      <c r="AE808" s="8">
        <f t="shared" si="86"/>
        <v>121997.02083333299</v>
      </c>
      <c r="AF808" s="106">
        <f t="shared" si="87"/>
        <v>6.0000000000000622</v>
      </c>
      <c r="AG808" s="8">
        <f t="shared" si="88"/>
        <v>121997.02083333299</v>
      </c>
      <c r="AH808" s="8">
        <f>IF($O808="Aktif",MAX(0,MIN($AE808,$AD808-SUM($AG808:AG808))),0)</f>
        <v>121997.02083333299</v>
      </c>
      <c r="AI808" s="8">
        <f>IF($O808="Aktif",MAX(0,MIN($AE808,$AD808-SUM($AG808:AH808))),0)</f>
        <v>121997.02083333299</v>
      </c>
      <c r="AJ808" s="8">
        <f>IF($O808="Aktif",MAX(0,MIN($AE808,$AD808-SUM($AG808:AI808))),0)</f>
        <v>121997.02083333299</v>
      </c>
      <c r="AK808" s="8">
        <f>IF($O808="Aktif",MAX(0,MIN($AE808,$AD808-SUM($AG808:AJ808))),0)</f>
        <v>121997.02083333299</v>
      </c>
      <c r="AL808" s="8">
        <f>IF($O808="Aktif",MAX(0,MIN($AE808,$AD808-SUM($AG808:AK808))),0)</f>
        <v>121997.02083333299</v>
      </c>
      <c r="AM808" s="8">
        <f>IF($O808="Aktif",MAX(0,MIN($AE808,$AD808-SUM($AG808:AL808))),0)</f>
        <v>7.5669959187507629E-9</v>
      </c>
      <c r="AN808" s="8">
        <f>IF($O808="Aktif",MAX(0,MIN($AE808,$AD808-SUM($AG808:AM808))),0)</f>
        <v>0</v>
      </c>
      <c r="AO808" s="8">
        <f>IF($O808="Aktif",MAX(0,MIN($AE808,$AD808-SUM($AG808:AN808))),0)</f>
        <v>0</v>
      </c>
      <c r="AP808" s="8">
        <f>IF($O808="Aktif",MAX(0,MIN($AE808,$AD808-SUM($AG808:AO808))),0)</f>
        <v>0</v>
      </c>
      <c r="AQ808" s="8">
        <f>IF($O808="Aktif",MAX(0,MIN($AE808,$AD808-SUM($AG808:AP808))),0)</f>
        <v>0</v>
      </c>
      <c r="AR808" s="8">
        <f>IF($O808="Aktif",MAX(0,MIN($AE808,$AD808-SUM($AG808:AQ808))),0)</f>
        <v>0</v>
      </c>
      <c r="AS808" s="8">
        <f>IF($O808="Aktif",MAX(0,MIN($AE808,$AD808-SUM($AG808:AR808))),0)</f>
        <v>0</v>
      </c>
      <c r="AT808" s="8">
        <f>IF($O808="Aktif",MAX(0,MIN($AE808,$AD808-SUM($AG808:AS808))),0)</f>
        <v>0</v>
      </c>
      <c r="AU808" s="8">
        <f>IF($O808="Aktif",MAX(0,MIN($AE808,$AD808-SUM($AG808:AT808))),0)</f>
        <v>0</v>
      </c>
      <c r="AV808" s="8">
        <f>IF($O808="Aktif",MAX(0,MIN($AE808,$AD808-SUM($AG808:AU808))),0)</f>
        <v>0</v>
      </c>
      <c r="AW808" s="8">
        <f t="shared" si="89"/>
        <v>731982.12500000559</v>
      </c>
      <c r="AX808" s="8">
        <f t="shared" si="90"/>
        <v>0</v>
      </c>
    </row>
    <row r="809" spans="1:50" ht="15" customHeight="1" x14ac:dyDescent="0.35">
      <c r="A809" s="102">
        <v>803</v>
      </c>
      <c r="B809" s="102" t="s">
        <v>1326</v>
      </c>
      <c r="C809" s="103">
        <v>437</v>
      </c>
      <c r="D809" s="102" t="s">
        <v>185</v>
      </c>
      <c r="E809" s="102" t="s">
        <v>479</v>
      </c>
      <c r="F809" s="102" t="s">
        <v>2332</v>
      </c>
      <c r="G809" s="102" t="s">
        <v>2333</v>
      </c>
      <c r="H809" s="102" t="s">
        <v>2334</v>
      </c>
      <c r="I809" s="102" t="s">
        <v>63</v>
      </c>
      <c r="J809" s="102"/>
      <c r="K809" s="102" t="s">
        <v>2530</v>
      </c>
      <c r="L809" s="104">
        <v>45005</v>
      </c>
      <c r="M809" s="102" t="s">
        <v>2531</v>
      </c>
      <c r="N809" s="102" t="s">
        <v>2532</v>
      </c>
      <c r="O809" s="102" t="s">
        <v>383</v>
      </c>
      <c r="P809" s="103">
        <v>2</v>
      </c>
      <c r="Q809" s="105">
        <v>2200000</v>
      </c>
      <c r="R809" s="103">
        <v>48</v>
      </c>
      <c r="S809" s="105">
        <v>45833.333333333299</v>
      </c>
      <c r="T809" s="105">
        <v>1558333.33333333</v>
      </c>
      <c r="U809" s="105">
        <v>45833.333333333299</v>
      </c>
      <c r="V809" s="105">
        <v>45833.333333333299</v>
      </c>
      <c r="W809" s="105">
        <v>45833.333333333299</v>
      </c>
      <c r="X809" s="105">
        <v>45833.333333333299</v>
      </c>
      <c r="Y809" s="105">
        <v>45833.333333333299</v>
      </c>
      <c r="Z809" s="105">
        <v>45833.333333333299</v>
      </c>
      <c r="AA809" s="105">
        <v>45833.333333333299</v>
      </c>
      <c r="AB809" s="105">
        <v>45833.333333333299</v>
      </c>
      <c r="AC809" s="8">
        <f t="shared" si="84"/>
        <v>1924999.9999999965</v>
      </c>
      <c r="AD809" s="8">
        <f t="shared" si="85"/>
        <v>275000.00000000349</v>
      </c>
      <c r="AE809" s="8">
        <f t="shared" si="86"/>
        <v>45833.333333333299</v>
      </c>
      <c r="AF809" s="106">
        <f t="shared" si="87"/>
        <v>6.0000000000000808</v>
      </c>
      <c r="AG809" s="8">
        <f t="shared" si="88"/>
        <v>45833.333333333299</v>
      </c>
      <c r="AH809" s="8">
        <f>IF($O809="Aktif",MAX(0,MIN($AE809,$AD809-SUM($AG809:AG809))),0)</f>
        <v>45833.333333333299</v>
      </c>
      <c r="AI809" s="8">
        <f>IF($O809="Aktif",MAX(0,MIN($AE809,$AD809-SUM($AG809:AH809))),0)</f>
        <v>45833.333333333299</v>
      </c>
      <c r="AJ809" s="8">
        <f>IF($O809="Aktif",MAX(0,MIN($AE809,$AD809-SUM($AG809:AI809))),0)</f>
        <v>45833.333333333299</v>
      </c>
      <c r="AK809" s="8">
        <f>IF($O809="Aktif",MAX(0,MIN($AE809,$AD809-SUM($AG809:AJ809))),0)</f>
        <v>45833.333333333299</v>
      </c>
      <c r="AL809" s="8">
        <f>IF($O809="Aktif",MAX(0,MIN($AE809,$AD809-SUM($AG809:AK809))),0)</f>
        <v>45833.333333333299</v>
      </c>
      <c r="AM809" s="8">
        <f>IF($O809="Aktif",MAX(0,MIN($AE809,$AD809-SUM($AG809:AL809))),0)</f>
        <v>3.6670826375484467E-9</v>
      </c>
      <c r="AN809" s="8">
        <f>IF($O809="Aktif",MAX(0,MIN($AE809,$AD809-SUM($AG809:AM809))),0)</f>
        <v>0</v>
      </c>
      <c r="AO809" s="8">
        <f>IF($O809="Aktif",MAX(0,MIN($AE809,$AD809-SUM($AG809:AN809))),0)</f>
        <v>0</v>
      </c>
      <c r="AP809" s="8">
        <f>IF($O809="Aktif",MAX(0,MIN($AE809,$AD809-SUM($AG809:AO809))),0)</f>
        <v>0</v>
      </c>
      <c r="AQ809" s="8">
        <f>IF($O809="Aktif",MAX(0,MIN($AE809,$AD809-SUM($AG809:AP809))),0)</f>
        <v>0</v>
      </c>
      <c r="AR809" s="8">
        <f>IF($O809="Aktif",MAX(0,MIN($AE809,$AD809-SUM($AG809:AQ809))),0)</f>
        <v>0</v>
      </c>
      <c r="AS809" s="8">
        <f>IF($O809="Aktif",MAX(0,MIN($AE809,$AD809-SUM($AG809:AR809))),0)</f>
        <v>0</v>
      </c>
      <c r="AT809" s="8">
        <f>IF($O809="Aktif",MAX(0,MIN($AE809,$AD809-SUM($AG809:AS809))),0)</f>
        <v>0</v>
      </c>
      <c r="AU809" s="8">
        <f>IF($O809="Aktif",MAX(0,MIN($AE809,$AD809-SUM($AG809:AT809))),0)</f>
        <v>0</v>
      </c>
      <c r="AV809" s="8">
        <f>IF($O809="Aktif",MAX(0,MIN($AE809,$AD809-SUM($AG809:AU809))),0)</f>
        <v>0</v>
      </c>
      <c r="AW809" s="8">
        <f t="shared" si="89"/>
        <v>275000.00000000349</v>
      </c>
      <c r="AX809" s="8">
        <f t="shared" si="90"/>
        <v>0</v>
      </c>
    </row>
    <row r="810" spans="1:50" ht="15" customHeight="1" x14ac:dyDescent="0.35">
      <c r="A810" s="102">
        <v>804</v>
      </c>
      <c r="B810" s="102" t="s">
        <v>1326</v>
      </c>
      <c r="C810" s="103">
        <v>438</v>
      </c>
      <c r="D810" s="102" t="s">
        <v>185</v>
      </c>
      <c r="E810" s="102" t="s">
        <v>479</v>
      </c>
      <c r="F810" s="102" t="s">
        <v>2332</v>
      </c>
      <c r="G810" s="102" t="s">
        <v>2333</v>
      </c>
      <c r="H810" s="102" t="s">
        <v>2334</v>
      </c>
      <c r="I810" s="102" t="s">
        <v>63</v>
      </c>
      <c r="J810" s="102"/>
      <c r="K810" s="102" t="s">
        <v>2533</v>
      </c>
      <c r="L810" s="104">
        <v>45034</v>
      </c>
      <c r="M810" s="102" t="s">
        <v>2534</v>
      </c>
      <c r="N810" s="102" t="s">
        <v>2535</v>
      </c>
      <c r="O810" s="102" t="s">
        <v>383</v>
      </c>
      <c r="P810" s="103">
        <v>1</v>
      </c>
      <c r="Q810" s="105">
        <v>2225000</v>
      </c>
      <c r="R810" s="103">
        <v>48</v>
      </c>
      <c r="S810" s="105">
        <v>46354.166666666701</v>
      </c>
      <c r="T810" s="105">
        <v>1529687.5</v>
      </c>
      <c r="U810" s="105">
        <v>46354.166666666701</v>
      </c>
      <c r="V810" s="105">
        <v>46354.166666666701</v>
      </c>
      <c r="W810" s="105">
        <v>46354.166666666701</v>
      </c>
      <c r="X810" s="105">
        <v>46354.166666666701</v>
      </c>
      <c r="Y810" s="105">
        <v>46354.166666666701</v>
      </c>
      <c r="Z810" s="105">
        <v>46354.166666666701</v>
      </c>
      <c r="AA810" s="105">
        <v>46354.166666666701</v>
      </c>
      <c r="AB810" s="105">
        <v>46354.166666666701</v>
      </c>
      <c r="AC810" s="8">
        <f t="shared" si="84"/>
        <v>1900520.8333333335</v>
      </c>
      <c r="AD810" s="8">
        <f t="shared" si="85"/>
        <v>324479.16666666651</v>
      </c>
      <c r="AE810" s="8">
        <f t="shared" si="86"/>
        <v>46354.166666666701</v>
      </c>
      <c r="AF810" s="106">
        <f t="shared" si="87"/>
        <v>6.9999999999999911</v>
      </c>
      <c r="AG810" s="8">
        <f t="shared" si="88"/>
        <v>46354.166666666701</v>
      </c>
      <c r="AH810" s="8">
        <f>IF($O810="Aktif",MAX(0,MIN($AE810,$AD810-SUM($AG810:AG810))),0)</f>
        <v>46354.166666666701</v>
      </c>
      <c r="AI810" s="8">
        <f>IF($O810="Aktif",MAX(0,MIN($AE810,$AD810-SUM($AG810:AH810))),0)</f>
        <v>46354.166666666701</v>
      </c>
      <c r="AJ810" s="8">
        <f>IF($O810="Aktif",MAX(0,MIN($AE810,$AD810-SUM($AG810:AI810))),0)</f>
        <v>46354.166666666701</v>
      </c>
      <c r="AK810" s="8">
        <f>IF($O810="Aktif",MAX(0,MIN($AE810,$AD810-SUM($AG810:AJ810))),0)</f>
        <v>46354.166666666701</v>
      </c>
      <c r="AL810" s="8">
        <f>IF($O810="Aktif",MAX(0,MIN($AE810,$AD810-SUM($AG810:AK810))),0)</f>
        <v>46354.166666666701</v>
      </c>
      <c r="AM810" s="8">
        <f>IF($O810="Aktif",MAX(0,MIN($AE810,$AD810-SUM($AG810:AL810))),0)</f>
        <v>46354.166666666337</v>
      </c>
      <c r="AN810" s="8">
        <f>IF($O810="Aktif",MAX(0,MIN($AE810,$AD810-SUM($AG810:AM810))),0)</f>
        <v>0</v>
      </c>
      <c r="AO810" s="8">
        <f>IF($O810="Aktif",MAX(0,MIN($AE810,$AD810-SUM($AG810:AN810))),0)</f>
        <v>0</v>
      </c>
      <c r="AP810" s="8">
        <f>IF($O810="Aktif",MAX(0,MIN($AE810,$AD810-SUM($AG810:AO810))),0)</f>
        <v>0</v>
      </c>
      <c r="AQ810" s="8">
        <f>IF($O810="Aktif",MAX(0,MIN($AE810,$AD810-SUM($AG810:AP810))),0)</f>
        <v>0</v>
      </c>
      <c r="AR810" s="8">
        <f>IF($O810="Aktif",MAX(0,MIN($AE810,$AD810-SUM($AG810:AQ810))),0)</f>
        <v>0</v>
      </c>
      <c r="AS810" s="8">
        <f>IF($O810="Aktif",MAX(0,MIN($AE810,$AD810-SUM($AG810:AR810))),0)</f>
        <v>0</v>
      </c>
      <c r="AT810" s="8">
        <f>IF($O810="Aktif",MAX(0,MIN($AE810,$AD810-SUM($AG810:AS810))),0)</f>
        <v>0</v>
      </c>
      <c r="AU810" s="8">
        <f>IF($O810="Aktif",MAX(0,MIN($AE810,$AD810-SUM($AG810:AT810))),0)</f>
        <v>0</v>
      </c>
      <c r="AV810" s="8">
        <f>IF($O810="Aktif",MAX(0,MIN($AE810,$AD810-SUM($AG810:AU810))),0)</f>
        <v>0</v>
      </c>
      <c r="AW810" s="8">
        <f t="shared" si="89"/>
        <v>324479.16666666651</v>
      </c>
      <c r="AX810" s="8">
        <f t="shared" si="90"/>
        <v>0</v>
      </c>
    </row>
    <row r="811" spans="1:50" ht="15" customHeight="1" x14ac:dyDescent="0.35">
      <c r="A811" s="102">
        <v>805</v>
      </c>
      <c r="B811" s="102" t="s">
        <v>1326</v>
      </c>
      <c r="C811" s="103">
        <v>439</v>
      </c>
      <c r="D811" s="102" t="s">
        <v>185</v>
      </c>
      <c r="E811" s="102" t="s">
        <v>479</v>
      </c>
      <c r="F811" s="102" t="s">
        <v>2332</v>
      </c>
      <c r="G811" s="102" t="s">
        <v>2333</v>
      </c>
      <c r="H811" s="102" t="s">
        <v>2334</v>
      </c>
      <c r="I811" s="102" t="s">
        <v>63</v>
      </c>
      <c r="J811" s="102"/>
      <c r="K811" s="102" t="s">
        <v>2536</v>
      </c>
      <c r="L811" s="104">
        <v>45072</v>
      </c>
      <c r="M811" s="102" t="s">
        <v>2537</v>
      </c>
      <c r="N811" s="102" t="s">
        <v>2538</v>
      </c>
      <c r="O811" s="102" t="s">
        <v>383</v>
      </c>
      <c r="P811" s="103">
        <v>1</v>
      </c>
      <c r="Q811" s="105">
        <v>27904328</v>
      </c>
      <c r="R811" s="103">
        <v>48</v>
      </c>
      <c r="S811" s="105">
        <v>581340.16666666698</v>
      </c>
      <c r="T811" s="105">
        <v>18602885.333333299</v>
      </c>
      <c r="U811" s="105">
        <v>581340.16666666698</v>
      </c>
      <c r="V811" s="105">
        <v>581340.16666666698</v>
      </c>
      <c r="W811" s="105">
        <v>581340.16666666698</v>
      </c>
      <c r="X811" s="105">
        <v>581340.16666666698</v>
      </c>
      <c r="Y811" s="105">
        <v>581340.16666666698</v>
      </c>
      <c r="Z811" s="105">
        <v>581340.16666666698</v>
      </c>
      <c r="AA811" s="105">
        <v>581340.16666666698</v>
      </c>
      <c r="AB811" s="105">
        <v>581340.16666666698</v>
      </c>
      <c r="AC811" s="8">
        <f t="shared" si="84"/>
        <v>23253606.666666634</v>
      </c>
      <c r="AD811" s="8">
        <f t="shared" si="85"/>
        <v>4650721.3333333656</v>
      </c>
      <c r="AE811" s="8">
        <f t="shared" si="86"/>
        <v>581340.16666666698</v>
      </c>
      <c r="AF811" s="106">
        <f t="shared" si="87"/>
        <v>8.0000000000000515</v>
      </c>
      <c r="AG811" s="8">
        <f t="shared" si="88"/>
        <v>581340.16666666698</v>
      </c>
      <c r="AH811" s="8">
        <f>IF($O811="Aktif",MAX(0,MIN($AE811,$AD811-SUM($AG811:AG811))),0)</f>
        <v>581340.16666666698</v>
      </c>
      <c r="AI811" s="8">
        <f>IF($O811="Aktif",MAX(0,MIN($AE811,$AD811-SUM($AG811:AH811))),0)</f>
        <v>581340.16666666698</v>
      </c>
      <c r="AJ811" s="8">
        <f>IF($O811="Aktif",MAX(0,MIN($AE811,$AD811-SUM($AG811:AI811))),0)</f>
        <v>581340.16666666698</v>
      </c>
      <c r="AK811" s="8">
        <f>IF($O811="Aktif",MAX(0,MIN($AE811,$AD811-SUM($AG811:AJ811))),0)</f>
        <v>581340.16666666698</v>
      </c>
      <c r="AL811" s="8">
        <f>IF($O811="Aktif",MAX(0,MIN($AE811,$AD811-SUM($AG811:AK811))),0)</f>
        <v>581340.16666666698</v>
      </c>
      <c r="AM811" s="8">
        <f>IF($O811="Aktif",MAX(0,MIN($AE811,$AD811-SUM($AG811:AL811))),0)</f>
        <v>581340.16666666698</v>
      </c>
      <c r="AN811" s="8">
        <f>IF($O811="Aktif",MAX(0,MIN($AE811,$AD811-SUM($AG811:AM811))),0)</f>
        <v>581340.16666666698</v>
      </c>
      <c r="AO811" s="8">
        <f>IF($O811="Aktif",MAX(0,MIN($AE811,$AD811-SUM($AG811:AN811))),0)</f>
        <v>2.9802322387695313E-8</v>
      </c>
      <c r="AP811" s="8">
        <f>IF($O811="Aktif",MAX(0,MIN($AE811,$AD811-SUM($AG811:AO811))),0)</f>
        <v>0</v>
      </c>
      <c r="AQ811" s="8">
        <f>IF($O811="Aktif",MAX(0,MIN($AE811,$AD811-SUM($AG811:AP811))),0)</f>
        <v>0</v>
      </c>
      <c r="AR811" s="8">
        <f>IF($O811="Aktif",MAX(0,MIN($AE811,$AD811-SUM($AG811:AQ811))),0)</f>
        <v>0</v>
      </c>
      <c r="AS811" s="8">
        <f>IF($O811="Aktif",MAX(0,MIN($AE811,$AD811-SUM($AG811:AR811))),0)</f>
        <v>0</v>
      </c>
      <c r="AT811" s="8">
        <f>IF($O811="Aktif",MAX(0,MIN($AE811,$AD811-SUM($AG811:AS811))),0)</f>
        <v>0</v>
      </c>
      <c r="AU811" s="8">
        <f>IF($O811="Aktif",MAX(0,MIN($AE811,$AD811-SUM($AG811:AT811))),0)</f>
        <v>0</v>
      </c>
      <c r="AV811" s="8">
        <f>IF($O811="Aktif",MAX(0,MIN($AE811,$AD811-SUM($AG811:AU811))),0)</f>
        <v>0</v>
      </c>
      <c r="AW811" s="8">
        <f t="shared" si="89"/>
        <v>4650721.3333333656</v>
      </c>
      <c r="AX811" s="8">
        <f t="shared" si="90"/>
        <v>0</v>
      </c>
    </row>
    <row r="812" spans="1:50" ht="15" customHeight="1" x14ac:dyDescent="0.35">
      <c r="A812" s="102">
        <v>806</v>
      </c>
      <c r="B812" s="102" t="s">
        <v>1326</v>
      </c>
      <c r="C812" s="103">
        <v>440</v>
      </c>
      <c r="D812" s="102" t="s">
        <v>185</v>
      </c>
      <c r="E812" s="102" t="s">
        <v>540</v>
      </c>
      <c r="F812" s="102" t="s">
        <v>2283</v>
      </c>
      <c r="G812" s="102" t="s">
        <v>2284</v>
      </c>
      <c r="H812" s="102" t="s">
        <v>2285</v>
      </c>
      <c r="I812" s="102" t="s">
        <v>63</v>
      </c>
      <c r="J812" s="102"/>
      <c r="K812" s="102" t="s">
        <v>2539</v>
      </c>
      <c r="L812" s="104">
        <v>45098</v>
      </c>
      <c r="M812" s="102" t="s">
        <v>2540</v>
      </c>
      <c r="N812" s="102" t="s">
        <v>2541</v>
      </c>
      <c r="O812" s="102" t="s">
        <v>383</v>
      </c>
      <c r="P812" s="103">
        <v>1</v>
      </c>
      <c r="Q812" s="105">
        <v>70169000</v>
      </c>
      <c r="R812" s="103">
        <v>96</v>
      </c>
      <c r="S812" s="105">
        <v>730927.08333333302</v>
      </c>
      <c r="T812" s="105">
        <v>22658739.583333299</v>
      </c>
      <c r="U812" s="105">
        <v>730927.08333333302</v>
      </c>
      <c r="V812" s="105">
        <v>730927.08333333302</v>
      </c>
      <c r="W812" s="105">
        <v>730927.08333333302</v>
      </c>
      <c r="X812" s="105">
        <v>730927.08333333302</v>
      </c>
      <c r="Y812" s="105">
        <v>730927.08333333302</v>
      </c>
      <c r="Z812" s="105">
        <v>730927.08333333302</v>
      </c>
      <c r="AA812" s="105">
        <v>730927.08333333302</v>
      </c>
      <c r="AB812" s="105">
        <v>730927.08333333302</v>
      </c>
      <c r="AC812" s="8">
        <f t="shared" si="84"/>
        <v>28506156.249999963</v>
      </c>
      <c r="AD812" s="8">
        <f t="shared" si="85"/>
        <v>41662843.750000037</v>
      </c>
      <c r="AE812" s="8">
        <f t="shared" si="86"/>
        <v>730927.08333333302</v>
      </c>
      <c r="AF812" s="106">
        <f t="shared" si="87"/>
        <v>57.000000000000078</v>
      </c>
      <c r="AG812" s="8">
        <f t="shared" si="88"/>
        <v>730927.08333333302</v>
      </c>
      <c r="AH812" s="8">
        <f>IF($O812="Aktif",MAX(0,MIN($AE812,$AD812-SUM($AG812:AG812))),0)</f>
        <v>730927.08333333302</v>
      </c>
      <c r="AI812" s="8">
        <f>IF($O812="Aktif",MAX(0,MIN($AE812,$AD812-SUM($AG812:AH812))),0)</f>
        <v>730927.08333333302</v>
      </c>
      <c r="AJ812" s="8">
        <f>IF($O812="Aktif",MAX(0,MIN($AE812,$AD812-SUM($AG812:AI812))),0)</f>
        <v>730927.08333333302</v>
      </c>
      <c r="AK812" s="8">
        <f>IF($O812="Aktif",MAX(0,MIN($AE812,$AD812-SUM($AG812:AJ812))),0)</f>
        <v>730927.08333333302</v>
      </c>
      <c r="AL812" s="8">
        <f>IF($O812="Aktif",MAX(0,MIN($AE812,$AD812-SUM($AG812:AK812))),0)</f>
        <v>730927.08333333302</v>
      </c>
      <c r="AM812" s="8">
        <f>IF($O812="Aktif",MAX(0,MIN($AE812,$AD812-SUM($AG812:AL812))),0)</f>
        <v>730927.08333333302</v>
      </c>
      <c r="AN812" s="8">
        <f>IF($O812="Aktif",MAX(0,MIN($AE812,$AD812-SUM($AG812:AM812))),0)</f>
        <v>730927.08333333302</v>
      </c>
      <c r="AO812" s="8">
        <f>IF($O812="Aktif",MAX(0,MIN($AE812,$AD812-SUM($AG812:AN812))),0)</f>
        <v>730927.08333333302</v>
      </c>
      <c r="AP812" s="8">
        <f>IF($O812="Aktif",MAX(0,MIN($AE812,$AD812-SUM($AG812:AO812))),0)</f>
        <v>730927.08333333302</v>
      </c>
      <c r="AQ812" s="8">
        <f>IF($O812="Aktif",MAX(0,MIN($AE812,$AD812-SUM($AG812:AP812))),0)</f>
        <v>730927.08333333302</v>
      </c>
      <c r="AR812" s="8">
        <f>IF($O812="Aktif",MAX(0,MIN($AE812,$AD812-SUM($AG812:AQ812))),0)</f>
        <v>730927.08333333302</v>
      </c>
      <c r="AS812" s="8">
        <f>IF($O812="Aktif",MAX(0,MIN($AE812,$AD812-SUM($AG812:AR812))),0)</f>
        <v>730927.08333333302</v>
      </c>
      <c r="AT812" s="8">
        <f>IF($O812="Aktif",MAX(0,MIN($AE812,$AD812-SUM($AG812:AS812))),0)</f>
        <v>730927.08333333302</v>
      </c>
      <c r="AU812" s="8">
        <f>IF($O812="Aktif",MAX(0,MIN($AE812,$AD812-SUM($AG812:AT812))),0)</f>
        <v>730927.08333333302</v>
      </c>
      <c r="AV812" s="8">
        <f>IF($O812="Aktif",MAX(0,MIN($AE812,$AD812-SUM($AG812:AU812))),0)</f>
        <v>730927.08333333302</v>
      </c>
      <c r="AW812" s="8">
        <f t="shared" si="89"/>
        <v>11694833.333333325</v>
      </c>
      <c r="AX812" s="8">
        <f t="shared" si="90"/>
        <v>29968010.416666713</v>
      </c>
    </row>
    <row r="813" spans="1:50" ht="15" customHeight="1" x14ac:dyDescent="0.35">
      <c r="A813" s="102">
        <v>807</v>
      </c>
      <c r="B813" s="102" t="s">
        <v>1326</v>
      </c>
      <c r="C813" s="103">
        <v>441</v>
      </c>
      <c r="D813" s="102" t="s">
        <v>185</v>
      </c>
      <c r="E813" s="102" t="s">
        <v>479</v>
      </c>
      <c r="F813" s="102" t="s">
        <v>2332</v>
      </c>
      <c r="G813" s="102" t="s">
        <v>2333</v>
      </c>
      <c r="H813" s="102" t="s">
        <v>2334</v>
      </c>
      <c r="I813" s="102" t="s">
        <v>63</v>
      </c>
      <c r="J813" s="102"/>
      <c r="K813" s="102" t="s">
        <v>2542</v>
      </c>
      <c r="L813" s="104">
        <v>45099</v>
      </c>
      <c r="M813" s="102" t="s">
        <v>2543</v>
      </c>
      <c r="N813" s="102" t="s">
        <v>2544</v>
      </c>
      <c r="O813" s="102" t="s">
        <v>383</v>
      </c>
      <c r="P813" s="103">
        <v>1</v>
      </c>
      <c r="Q813" s="105">
        <v>17042000</v>
      </c>
      <c r="R813" s="103">
        <v>48</v>
      </c>
      <c r="S813" s="105">
        <v>355041.66666666698</v>
      </c>
      <c r="T813" s="105">
        <v>11006291.6666667</v>
      </c>
      <c r="U813" s="105">
        <v>355041.66666666698</v>
      </c>
      <c r="V813" s="105">
        <v>355041.66666666698</v>
      </c>
      <c r="W813" s="105">
        <v>355041.66666666698</v>
      </c>
      <c r="X813" s="105">
        <v>355041.66666666698</v>
      </c>
      <c r="Y813" s="105">
        <v>355041.66666666698</v>
      </c>
      <c r="Z813" s="105">
        <v>355041.66666666698</v>
      </c>
      <c r="AA813" s="105">
        <v>355041.66666666698</v>
      </c>
      <c r="AB813" s="105">
        <v>355041.66666666698</v>
      </c>
      <c r="AC813" s="8">
        <f t="shared" si="84"/>
        <v>13846625.000000035</v>
      </c>
      <c r="AD813" s="8">
        <f t="shared" si="85"/>
        <v>3195374.9999999646</v>
      </c>
      <c r="AE813" s="8">
        <f t="shared" si="86"/>
        <v>355041.66666666698</v>
      </c>
      <c r="AF813" s="106">
        <f t="shared" si="87"/>
        <v>8.9999999999998916</v>
      </c>
      <c r="AG813" s="8">
        <f t="shared" si="88"/>
        <v>355041.66666666698</v>
      </c>
      <c r="AH813" s="8">
        <f>IF($O813="Aktif",MAX(0,MIN($AE813,$AD813-SUM($AG813:AG813))),0)</f>
        <v>355041.66666666698</v>
      </c>
      <c r="AI813" s="8">
        <f>IF($O813="Aktif",MAX(0,MIN($AE813,$AD813-SUM($AG813:AH813))),0)</f>
        <v>355041.66666666698</v>
      </c>
      <c r="AJ813" s="8">
        <f>IF($O813="Aktif",MAX(0,MIN($AE813,$AD813-SUM($AG813:AI813))),0)</f>
        <v>355041.66666666698</v>
      </c>
      <c r="AK813" s="8">
        <f>IF($O813="Aktif",MAX(0,MIN($AE813,$AD813-SUM($AG813:AJ813))),0)</f>
        <v>355041.66666666698</v>
      </c>
      <c r="AL813" s="8">
        <f>IF($O813="Aktif",MAX(0,MIN($AE813,$AD813-SUM($AG813:AK813))),0)</f>
        <v>355041.66666666698</v>
      </c>
      <c r="AM813" s="8">
        <f>IF($O813="Aktif",MAX(0,MIN($AE813,$AD813-SUM($AG813:AL813))),0)</f>
        <v>355041.66666666698</v>
      </c>
      <c r="AN813" s="8">
        <f>IF($O813="Aktif",MAX(0,MIN($AE813,$AD813-SUM($AG813:AM813))),0)</f>
        <v>355041.66666666698</v>
      </c>
      <c r="AO813" s="8">
        <f>IF($O813="Aktif",MAX(0,MIN($AE813,$AD813-SUM($AG813:AN813))),0)</f>
        <v>355041.66666662879</v>
      </c>
      <c r="AP813" s="8">
        <f>IF($O813="Aktif",MAX(0,MIN($AE813,$AD813-SUM($AG813:AO813))),0)</f>
        <v>0</v>
      </c>
      <c r="AQ813" s="8">
        <f>IF($O813="Aktif",MAX(0,MIN($AE813,$AD813-SUM($AG813:AP813))),0)</f>
        <v>0</v>
      </c>
      <c r="AR813" s="8">
        <f>IF($O813="Aktif",MAX(0,MIN($AE813,$AD813-SUM($AG813:AQ813))),0)</f>
        <v>0</v>
      </c>
      <c r="AS813" s="8">
        <f>IF($O813="Aktif",MAX(0,MIN($AE813,$AD813-SUM($AG813:AR813))),0)</f>
        <v>0</v>
      </c>
      <c r="AT813" s="8">
        <f>IF($O813="Aktif",MAX(0,MIN($AE813,$AD813-SUM($AG813:AS813))),0)</f>
        <v>0</v>
      </c>
      <c r="AU813" s="8">
        <f>IF($O813="Aktif",MAX(0,MIN($AE813,$AD813-SUM($AG813:AT813))),0)</f>
        <v>0</v>
      </c>
      <c r="AV813" s="8">
        <f>IF($O813="Aktif",MAX(0,MIN($AE813,$AD813-SUM($AG813:AU813))),0)</f>
        <v>0</v>
      </c>
      <c r="AW813" s="8">
        <f t="shared" si="89"/>
        <v>3195374.9999999646</v>
      </c>
      <c r="AX813" s="8">
        <f t="shared" si="90"/>
        <v>0</v>
      </c>
    </row>
    <row r="814" spans="1:50" ht="15" customHeight="1" x14ac:dyDescent="0.35">
      <c r="A814" s="102">
        <v>808</v>
      </c>
      <c r="B814" s="102" t="s">
        <v>1326</v>
      </c>
      <c r="C814" s="103">
        <v>442</v>
      </c>
      <c r="D814" s="102" t="s">
        <v>185</v>
      </c>
      <c r="E814" s="102" t="s">
        <v>479</v>
      </c>
      <c r="F814" s="102" t="s">
        <v>2332</v>
      </c>
      <c r="G814" s="102" t="s">
        <v>2333</v>
      </c>
      <c r="H814" s="102" t="s">
        <v>2334</v>
      </c>
      <c r="I814" s="102" t="s">
        <v>63</v>
      </c>
      <c r="J814" s="102"/>
      <c r="K814" s="102" t="s">
        <v>2545</v>
      </c>
      <c r="L814" s="104">
        <v>45148</v>
      </c>
      <c r="M814" s="102" t="s">
        <v>2546</v>
      </c>
      <c r="N814" s="102" t="s">
        <v>2547</v>
      </c>
      <c r="O814" s="102" t="s">
        <v>383</v>
      </c>
      <c r="P814" s="103">
        <v>1</v>
      </c>
      <c r="Q814" s="105">
        <v>30000000</v>
      </c>
      <c r="R814" s="103">
        <v>48</v>
      </c>
      <c r="S814" s="105">
        <v>625000</v>
      </c>
      <c r="T814" s="105">
        <v>18125000</v>
      </c>
      <c r="U814" s="105">
        <v>625000</v>
      </c>
      <c r="V814" s="105">
        <v>625000</v>
      </c>
      <c r="W814" s="105">
        <v>625000</v>
      </c>
      <c r="X814" s="105">
        <v>625000</v>
      </c>
      <c r="Y814" s="105">
        <v>625000</v>
      </c>
      <c r="Z814" s="105">
        <v>625000</v>
      </c>
      <c r="AA814" s="105">
        <v>625000</v>
      </c>
      <c r="AB814" s="105">
        <v>625000</v>
      </c>
      <c r="AC814" s="8">
        <f t="shared" si="84"/>
        <v>23125000</v>
      </c>
      <c r="AD814" s="8">
        <f t="shared" si="85"/>
        <v>6875000</v>
      </c>
      <c r="AE814" s="8">
        <f t="shared" si="86"/>
        <v>625000</v>
      </c>
      <c r="AF814" s="106">
        <f t="shared" si="87"/>
        <v>11</v>
      </c>
      <c r="AG814" s="8">
        <f t="shared" si="88"/>
        <v>625000</v>
      </c>
      <c r="AH814" s="8">
        <f>IF($O814="Aktif",MAX(0,MIN($AE814,$AD814-SUM($AG814:AG814))),0)</f>
        <v>625000</v>
      </c>
      <c r="AI814" s="8">
        <f>IF($O814="Aktif",MAX(0,MIN($AE814,$AD814-SUM($AG814:AH814))),0)</f>
        <v>625000</v>
      </c>
      <c r="AJ814" s="8">
        <f>IF($O814="Aktif",MAX(0,MIN($AE814,$AD814-SUM($AG814:AI814))),0)</f>
        <v>625000</v>
      </c>
      <c r="AK814" s="8">
        <f>IF($O814="Aktif",MAX(0,MIN($AE814,$AD814-SUM($AG814:AJ814))),0)</f>
        <v>625000</v>
      </c>
      <c r="AL814" s="8">
        <f>IF($O814="Aktif",MAX(0,MIN($AE814,$AD814-SUM($AG814:AK814))),0)</f>
        <v>625000</v>
      </c>
      <c r="AM814" s="8">
        <f>IF($O814="Aktif",MAX(0,MIN($AE814,$AD814-SUM($AG814:AL814))),0)</f>
        <v>625000</v>
      </c>
      <c r="AN814" s="8">
        <f>IF($O814="Aktif",MAX(0,MIN($AE814,$AD814-SUM($AG814:AM814))),0)</f>
        <v>625000</v>
      </c>
      <c r="AO814" s="8">
        <f>IF($O814="Aktif",MAX(0,MIN($AE814,$AD814-SUM($AG814:AN814))),0)</f>
        <v>625000</v>
      </c>
      <c r="AP814" s="8">
        <f>IF($O814="Aktif",MAX(0,MIN($AE814,$AD814-SUM($AG814:AO814))),0)</f>
        <v>625000</v>
      </c>
      <c r="AQ814" s="8">
        <f>IF($O814="Aktif",MAX(0,MIN($AE814,$AD814-SUM($AG814:AP814))),0)</f>
        <v>625000</v>
      </c>
      <c r="AR814" s="8">
        <f>IF($O814="Aktif",MAX(0,MIN($AE814,$AD814-SUM($AG814:AQ814))),0)</f>
        <v>0</v>
      </c>
      <c r="AS814" s="8">
        <f>IF($O814="Aktif",MAX(0,MIN($AE814,$AD814-SUM($AG814:AR814))),0)</f>
        <v>0</v>
      </c>
      <c r="AT814" s="8">
        <f>IF($O814="Aktif",MAX(0,MIN($AE814,$AD814-SUM($AG814:AS814))),0)</f>
        <v>0</v>
      </c>
      <c r="AU814" s="8">
        <f>IF($O814="Aktif",MAX(0,MIN($AE814,$AD814-SUM($AG814:AT814))),0)</f>
        <v>0</v>
      </c>
      <c r="AV814" s="8">
        <f>IF($O814="Aktif",MAX(0,MIN($AE814,$AD814-SUM($AG814:AU814))),0)</f>
        <v>0</v>
      </c>
      <c r="AW814" s="8">
        <f t="shared" si="89"/>
        <v>6875000</v>
      </c>
      <c r="AX814" s="8">
        <f t="shared" si="90"/>
        <v>0</v>
      </c>
    </row>
    <row r="815" spans="1:50" ht="15" customHeight="1" x14ac:dyDescent="0.35">
      <c r="A815" s="102">
        <v>809</v>
      </c>
      <c r="B815" s="102" t="s">
        <v>1326</v>
      </c>
      <c r="C815" s="103">
        <v>443</v>
      </c>
      <c r="D815" s="102" t="s">
        <v>185</v>
      </c>
      <c r="E815" s="102" t="s">
        <v>479</v>
      </c>
      <c r="F815" s="102" t="s">
        <v>2332</v>
      </c>
      <c r="G815" s="102" t="s">
        <v>2333</v>
      </c>
      <c r="H815" s="102" t="s">
        <v>2334</v>
      </c>
      <c r="I815" s="102" t="s">
        <v>63</v>
      </c>
      <c r="J815" s="102"/>
      <c r="K815" s="102" t="s">
        <v>2548</v>
      </c>
      <c r="L815" s="104">
        <v>45190</v>
      </c>
      <c r="M815" s="102" t="s">
        <v>2549</v>
      </c>
      <c r="N815" s="102" t="s">
        <v>2550</v>
      </c>
      <c r="O815" s="102" t="s">
        <v>383</v>
      </c>
      <c r="P815" s="103">
        <v>1</v>
      </c>
      <c r="Q815" s="105">
        <v>2500000</v>
      </c>
      <c r="R815" s="103">
        <v>48</v>
      </c>
      <c r="S815" s="105">
        <v>52083.333333333299</v>
      </c>
      <c r="T815" s="105">
        <v>1458333.33333333</v>
      </c>
      <c r="U815" s="105">
        <v>52083.333333333299</v>
      </c>
      <c r="V815" s="105">
        <v>52083.333333333299</v>
      </c>
      <c r="W815" s="105">
        <v>52083.333333333299</v>
      </c>
      <c r="X815" s="105">
        <v>52083.333333333299</v>
      </c>
      <c r="Y815" s="105">
        <v>52083.333333333299</v>
      </c>
      <c r="Z815" s="105">
        <v>52083.333333333299</v>
      </c>
      <c r="AA815" s="105">
        <v>52083.333333333299</v>
      </c>
      <c r="AB815" s="105">
        <v>52083.333333333299</v>
      </c>
      <c r="AC815" s="8">
        <f t="shared" si="84"/>
        <v>1874999.9999999965</v>
      </c>
      <c r="AD815" s="8">
        <f t="shared" si="85"/>
        <v>625000.00000000349</v>
      </c>
      <c r="AE815" s="8">
        <f t="shared" si="86"/>
        <v>52083.333333333299</v>
      </c>
      <c r="AF815" s="106">
        <f t="shared" si="87"/>
        <v>12.000000000000075</v>
      </c>
      <c r="AG815" s="8">
        <f t="shared" si="88"/>
        <v>52083.333333333299</v>
      </c>
      <c r="AH815" s="8">
        <f>IF($O815="Aktif",MAX(0,MIN($AE815,$AD815-SUM($AG815:AG815))),0)</f>
        <v>52083.333333333299</v>
      </c>
      <c r="AI815" s="8">
        <f>IF($O815="Aktif",MAX(0,MIN($AE815,$AD815-SUM($AG815:AH815))),0)</f>
        <v>52083.333333333299</v>
      </c>
      <c r="AJ815" s="8">
        <f>IF($O815="Aktif",MAX(0,MIN($AE815,$AD815-SUM($AG815:AI815))),0)</f>
        <v>52083.333333333299</v>
      </c>
      <c r="AK815" s="8">
        <f>IF($O815="Aktif",MAX(0,MIN($AE815,$AD815-SUM($AG815:AJ815))),0)</f>
        <v>52083.333333333299</v>
      </c>
      <c r="AL815" s="8">
        <f>IF($O815="Aktif",MAX(0,MIN($AE815,$AD815-SUM($AG815:AK815))),0)</f>
        <v>52083.333333333299</v>
      </c>
      <c r="AM815" s="8">
        <f>IF($O815="Aktif",MAX(0,MIN($AE815,$AD815-SUM($AG815:AL815))),0)</f>
        <v>52083.333333333299</v>
      </c>
      <c r="AN815" s="8">
        <f>IF($O815="Aktif",MAX(0,MIN($AE815,$AD815-SUM($AG815:AM815))),0)</f>
        <v>52083.333333333299</v>
      </c>
      <c r="AO815" s="8">
        <f>IF($O815="Aktif",MAX(0,MIN($AE815,$AD815-SUM($AG815:AN815))),0)</f>
        <v>52083.333333333299</v>
      </c>
      <c r="AP815" s="8">
        <f>IF($O815="Aktif",MAX(0,MIN($AE815,$AD815-SUM($AG815:AO815))),0)</f>
        <v>52083.333333333299</v>
      </c>
      <c r="AQ815" s="8">
        <f>IF($O815="Aktif",MAX(0,MIN($AE815,$AD815-SUM($AG815:AP815))),0)</f>
        <v>52083.333333333299</v>
      </c>
      <c r="AR815" s="8">
        <f>IF($O815="Aktif",MAX(0,MIN($AE815,$AD815-SUM($AG815:AQ815))),0)</f>
        <v>52083.333333333299</v>
      </c>
      <c r="AS815" s="8">
        <f>IF($O815="Aktif",MAX(0,MIN($AE815,$AD815-SUM($AG815:AR815))),0)</f>
        <v>3.8417056202888489E-9</v>
      </c>
      <c r="AT815" s="8">
        <f>IF($O815="Aktif",MAX(0,MIN($AE815,$AD815-SUM($AG815:AS815))),0)</f>
        <v>0</v>
      </c>
      <c r="AU815" s="8">
        <f>IF($O815="Aktif",MAX(0,MIN($AE815,$AD815-SUM($AG815:AT815))),0)</f>
        <v>0</v>
      </c>
      <c r="AV815" s="8">
        <f>IF($O815="Aktif",MAX(0,MIN($AE815,$AD815-SUM($AG815:AU815))),0)</f>
        <v>0</v>
      </c>
      <c r="AW815" s="8">
        <f t="shared" si="89"/>
        <v>625000.00000000349</v>
      </c>
      <c r="AX815" s="8">
        <f t="shared" si="90"/>
        <v>0</v>
      </c>
    </row>
    <row r="816" spans="1:50" ht="15" customHeight="1" x14ac:dyDescent="0.35">
      <c r="A816" s="102">
        <v>810</v>
      </c>
      <c r="B816" s="102" t="s">
        <v>1326</v>
      </c>
      <c r="C816" s="103">
        <v>444</v>
      </c>
      <c r="D816" s="102" t="s">
        <v>185</v>
      </c>
      <c r="E816" s="102" t="s">
        <v>479</v>
      </c>
      <c r="F816" s="102" t="s">
        <v>2332</v>
      </c>
      <c r="G816" s="102" t="s">
        <v>2333</v>
      </c>
      <c r="H816" s="102" t="s">
        <v>2334</v>
      </c>
      <c r="I816" s="102" t="s">
        <v>63</v>
      </c>
      <c r="J816" s="102"/>
      <c r="K816" s="102" t="s">
        <v>2551</v>
      </c>
      <c r="L816" s="104">
        <v>45190</v>
      </c>
      <c r="M816" s="102" t="s">
        <v>2552</v>
      </c>
      <c r="N816" s="102" t="s">
        <v>2553</v>
      </c>
      <c r="O816" s="102" t="s">
        <v>383</v>
      </c>
      <c r="P816" s="103">
        <v>1</v>
      </c>
      <c r="Q816" s="105">
        <v>4000000</v>
      </c>
      <c r="R816" s="103">
        <v>48</v>
      </c>
      <c r="S816" s="105">
        <v>83333.333333333299</v>
      </c>
      <c r="T816" s="105">
        <v>2333333.3333333302</v>
      </c>
      <c r="U816" s="105">
        <v>83333.333333333299</v>
      </c>
      <c r="V816" s="105">
        <v>83333.333333333299</v>
      </c>
      <c r="W816" s="105">
        <v>83333.333333333299</v>
      </c>
      <c r="X816" s="105">
        <v>83333.333333333299</v>
      </c>
      <c r="Y816" s="105">
        <v>83333.333333333299</v>
      </c>
      <c r="Z816" s="105">
        <v>83333.333333333299</v>
      </c>
      <c r="AA816" s="105">
        <v>83333.333333333299</v>
      </c>
      <c r="AB816" s="105">
        <v>83333.333333333299</v>
      </c>
      <c r="AC816" s="8">
        <f t="shared" si="84"/>
        <v>2999999.9999999967</v>
      </c>
      <c r="AD816" s="8">
        <f t="shared" si="85"/>
        <v>1000000.0000000033</v>
      </c>
      <c r="AE816" s="8">
        <f t="shared" si="86"/>
        <v>83333.333333333299</v>
      </c>
      <c r="AF816" s="106">
        <f t="shared" si="87"/>
        <v>12.000000000000044</v>
      </c>
      <c r="AG816" s="8">
        <f t="shared" si="88"/>
        <v>83333.333333333299</v>
      </c>
      <c r="AH816" s="8">
        <f>IF($O816="Aktif",MAX(0,MIN($AE816,$AD816-SUM($AG816:AG816))),0)</f>
        <v>83333.333333333299</v>
      </c>
      <c r="AI816" s="8">
        <f>IF($O816="Aktif",MAX(0,MIN($AE816,$AD816-SUM($AG816:AH816))),0)</f>
        <v>83333.333333333299</v>
      </c>
      <c r="AJ816" s="8">
        <f>IF($O816="Aktif",MAX(0,MIN($AE816,$AD816-SUM($AG816:AI816))),0)</f>
        <v>83333.333333333299</v>
      </c>
      <c r="AK816" s="8">
        <f>IF($O816="Aktif",MAX(0,MIN($AE816,$AD816-SUM($AG816:AJ816))),0)</f>
        <v>83333.333333333299</v>
      </c>
      <c r="AL816" s="8">
        <f>IF($O816="Aktif",MAX(0,MIN($AE816,$AD816-SUM($AG816:AK816))),0)</f>
        <v>83333.333333333299</v>
      </c>
      <c r="AM816" s="8">
        <f>IF($O816="Aktif",MAX(0,MIN($AE816,$AD816-SUM($AG816:AL816))),0)</f>
        <v>83333.333333333299</v>
      </c>
      <c r="AN816" s="8">
        <f>IF($O816="Aktif",MAX(0,MIN($AE816,$AD816-SUM($AG816:AM816))),0)</f>
        <v>83333.333333333299</v>
      </c>
      <c r="AO816" s="8">
        <f>IF($O816="Aktif",MAX(0,MIN($AE816,$AD816-SUM($AG816:AN816))),0)</f>
        <v>83333.333333333299</v>
      </c>
      <c r="AP816" s="8">
        <f>IF($O816="Aktif",MAX(0,MIN($AE816,$AD816-SUM($AG816:AO816))),0)</f>
        <v>83333.333333333299</v>
      </c>
      <c r="AQ816" s="8">
        <f>IF($O816="Aktif",MAX(0,MIN($AE816,$AD816-SUM($AG816:AP816))),0)</f>
        <v>83333.333333333299</v>
      </c>
      <c r="AR816" s="8">
        <f>IF($O816="Aktif",MAX(0,MIN($AE816,$AD816-SUM($AG816:AQ816))),0)</f>
        <v>83333.333333333299</v>
      </c>
      <c r="AS816" s="8">
        <f>IF($O816="Aktif",MAX(0,MIN($AE816,$AD816-SUM($AG816:AR816))),0)</f>
        <v>3.8417056202888489E-9</v>
      </c>
      <c r="AT816" s="8">
        <f>IF($O816="Aktif",MAX(0,MIN($AE816,$AD816-SUM($AG816:AS816))),0)</f>
        <v>0</v>
      </c>
      <c r="AU816" s="8">
        <f>IF($O816="Aktif",MAX(0,MIN($AE816,$AD816-SUM($AG816:AT816))),0)</f>
        <v>0</v>
      </c>
      <c r="AV816" s="8">
        <f>IF($O816="Aktif",MAX(0,MIN($AE816,$AD816-SUM($AG816:AU816))),0)</f>
        <v>0</v>
      </c>
      <c r="AW816" s="8">
        <f t="shared" si="89"/>
        <v>1000000.0000000033</v>
      </c>
      <c r="AX816" s="8">
        <f t="shared" si="90"/>
        <v>0</v>
      </c>
    </row>
    <row r="817" spans="1:50" ht="15" customHeight="1" x14ac:dyDescent="0.35">
      <c r="A817" s="102">
        <v>811</v>
      </c>
      <c r="B817" s="102" t="s">
        <v>1326</v>
      </c>
      <c r="C817" s="103">
        <v>445</v>
      </c>
      <c r="D817" s="102" t="s">
        <v>185</v>
      </c>
      <c r="E817" s="102" t="s">
        <v>479</v>
      </c>
      <c r="F817" s="102" t="s">
        <v>2332</v>
      </c>
      <c r="G817" s="102" t="s">
        <v>2333</v>
      </c>
      <c r="H817" s="102" t="s">
        <v>2334</v>
      </c>
      <c r="I817" s="102" t="s">
        <v>63</v>
      </c>
      <c r="J817" s="102"/>
      <c r="K817" s="102" t="s">
        <v>2554</v>
      </c>
      <c r="L817" s="104">
        <v>45202</v>
      </c>
      <c r="M817" s="102" t="s">
        <v>2555</v>
      </c>
      <c r="N817" s="102" t="s">
        <v>2556</v>
      </c>
      <c r="O817" s="102" t="s">
        <v>383</v>
      </c>
      <c r="P817" s="103">
        <v>5</v>
      </c>
      <c r="Q817" s="105">
        <v>32000000</v>
      </c>
      <c r="R817" s="103">
        <v>48</v>
      </c>
      <c r="S817" s="105">
        <v>666666.66666666698</v>
      </c>
      <c r="T817" s="105">
        <v>18000000</v>
      </c>
      <c r="U817" s="105">
        <v>666666.66666666698</v>
      </c>
      <c r="V817" s="105">
        <v>666666.66666666698</v>
      </c>
      <c r="W817" s="105">
        <v>666666.66666666698</v>
      </c>
      <c r="X817" s="105">
        <v>666666.66666666698</v>
      </c>
      <c r="Y817" s="105">
        <v>666666.66666666698</v>
      </c>
      <c r="Z817" s="105">
        <v>666666.66666666698</v>
      </c>
      <c r="AA817" s="105">
        <v>666666.66666666698</v>
      </c>
      <c r="AB817" s="105">
        <v>666666.66666666698</v>
      </c>
      <c r="AC817" s="8">
        <f t="shared" si="84"/>
        <v>23333333.333333336</v>
      </c>
      <c r="AD817" s="8">
        <f t="shared" si="85"/>
        <v>8666666.6666666642</v>
      </c>
      <c r="AE817" s="8">
        <f t="shared" si="86"/>
        <v>666666.66666666698</v>
      </c>
      <c r="AF817" s="106">
        <f t="shared" si="87"/>
        <v>12.999999999999989</v>
      </c>
      <c r="AG817" s="8">
        <f t="shared" si="88"/>
        <v>666666.66666666698</v>
      </c>
      <c r="AH817" s="8">
        <f>IF($O817="Aktif",MAX(0,MIN($AE817,$AD817-SUM($AG817:AG817))),0)</f>
        <v>666666.66666666698</v>
      </c>
      <c r="AI817" s="8">
        <f>IF($O817="Aktif",MAX(0,MIN($AE817,$AD817-SUM($AG817:AH817))),0)</f>
        <v>666666.66666666698</v>
      </c>
      <c r="AJ817" s="8">
        <f>IF($O817="Aktif",MAX(0,MIN($AE817,$AD817-SUM($AG817:AI817))),0)</f>
        <v>666666.66666666698</v>
      </c>
      <c r="AK817" s="8">
        <f>IF($O817="Aktif",MAX(0,MIN($AE817,$AD817-SUM($AG817:AJ817))),0)</f>
        <v>666666.66666666698</v>
      </c>
      <c r="AL817" s="8">
        <f>IF($O817="Aktif",MAX(0,MIN($AE817,$AD817-SUM($AG817:AK817))),0)</f>
        <v>666666.66666666698</v>
      </c>
      <c r="AM817" s="8">
        <f>IF($O817="Aktif",MAX(0,MIN($AE817,$AD817-SUM($AG817:AL817))),0)</f>
        <v>666666.66666666698</v>
      </c>
      <c r="AN817" s="8">
        <f>IF($O817="Aktif",MAX(0,MIN($AE817,$AD817-SUM($AG817:AM817))),0)</f>
        <v>666666.66666666698</v>
      </c>
      <c r="AO817" s="8">
        <f>IF($O817="Aktif",MAX(0,MIN($AE817,$AD817-SUM($AG817:AN817))),0)</f>
        <v>666666.66666666698</v>
      </c>
      <c r="AP817" s="8">
        <f>IF($O817="Aktif",MAX(0,MIN($AE817,$AD817-SUM($AG817:AO817))),0)</f>
        <v>666666.66666666698</v>
      </c>
      <c r="AQ817" s="8">
        <f>IF($O817="Aktif",MAX(0,MIN($AE817,$AD817-SUM($AG817:AP817))),0)</f>
        <v>666666.66666666698</v>
      </c>
      <c r="AR817" s="8">
        <f>IF($O817="Aktif",MAX(0,MIN($AE817,$AD817-SUM($AG817:AQ817))),0)</f>
        <v>666666.66666666698</v>
      </c>
      <c r="AS817" s="8">
        <f>IF($O817="Aktif",MAX(0,MIN($AE817,$AD817-SUM($AG817:AR817))),0)</f>
        <v>666666.66666666046</v>
      </c>
      <c r="AT817" s="8">
        <f>IF($O817="Aktif",MAX(0,MIN($AE817,$AD817-SUM($AG817:AS817))),0)</f>
        <v>0</v>
      </c>
      <c r="AU817" s="8">
        <f>IF($O817="Aktif",MAX(0,MIN($AE817,$AD817-SUM($AG817:AT817))),0)</f>
        <v>0</v>
      </c>
      <c r="AV817" s="8">
        <f>IF($O817="Aktif",MAX(0,MIN($AE817,$AD817-SUM($AG817:AU817))),0)</f>
        <v>0</v>
      </c>
      <c r="AW817" s="8">
        <f t="shared" si="89"/>
        <v>8666666.6666666642</v>
      </c>
      <c r="AX817" s="8">
        <f t="shared" si="90"/>
        <v>0</v>
      </c>
    </row>
    <row r="818" spans="1:50" ht="15" customHeight="1" x14ac:dyDescent="0.35">
      <c r="A818" s="102">
        <v>812</v>
      </c>
      <c r="B818" s="102" t="s">
        <v>1326</v>
      </c>
      <c r="C818" s="103">
        <v>446</v>
      </c>
      <c r="D818" s="102" t="s">
        <v>185</v>
      </c>
      <c r="E818" s="102" t="s">
        <v>540</v>
      </c>
      <c r="F818" s="102" t="s">
        <v>2283</v>
      </c>
      <c r="G818" s="102" t="s">
        <v>2284</v>
      </c>
      <c r="H818" s="102" t="s">
        <v>2285</v>
      </c>
      <c r="I818" s="102" t="s">
        <v>63</v>
      </c>
      <c r="J818" s="102"/>
      <c r="K818" s="102" t="s">
        <v>2557</v>
      </c>
      <c r="L818" s="104">
        <v>45202</v>
      </c>
      <c r="M818" s="102" t="s">
        <v>2558</v>
      </c>
      <c r="N818" s="102" t="s">
        <v>2559</v>
      </c>
      <c r="O818" s="102" t="s">
        <v>383</v>
      </c>
      <c r="P818" s="103">
        <v>1</v>
      </c>
      <c r="Q818" s="105">
        <v>65000000</v>
      </c>
      <c r="R818" s="103">
        <v>96</v>
      </c>
      <c r="S818" s="105">
        <v>677083.33333333302</v>
      </c>
      <c r="T818" s="105">
        <v>18281250</v>
      </c>
      <c r="U818" s="105">
        <v>677083.33333333302</v>
      </c>
      <c r="V818" s="105">
        <v>677083.33333333302</v>
      </c>
      <c r="W818" s="105">
        <v>677083.33333333302</v>
      </c>
      <c r="X818" s="105">
        <v>677083.33333333302</v>
      </c>
      <c r="Y818" s="105">
        <v>677083.33333333302</v>
      </c>
      <c r="Z818" s="105">
        <v>677083.33333333302</v>
      </c>
      <c r="AA818" s="105">
        <v>677083.33333333302</v>
      </c>
      <c r="AB818" s="105">
        <v>677083.33333333302</v>
      </c>
      <c r="AC818" s="8">
        <f t="shared" si="84"/>
        <v>23697916.666666664</v>
      </c>
      <c r="AD818" s="8">
        <f t="shared" si="85"/>
        <v>41302083.333333336</v>
      </c>
      <c r="AE818" s="8">
        <f t="shared" si="86"/>
        <v>677083.33333333302</v>
      </c>
      <c r="AF818" s="106">
        <f t="shared" si="87"/>
        <v>61.000000000000028</v>
      </c>
      <c r="AG818" s="8">
        <f t="shared" si="88"/>
        <v>677083.33333333302</v>
      </c>
      <c r="AH818" s="8">
        <f>IF($O818="Aktif",MAX(0,MIN($AE818,$AD818-SUM($AG818:AG818))),0)</f>
        <v>677083.33333333302</v>
      </c>
      <c r="AI818" s="8">
        <f>IF($O818="Aktif",MAX(0,MIN($AE818,$AD818-SUM($AG818:AH818))),0)</f>
        <v>677083.33333333302</v>
      </c>
      <c r="AJ818" s="8">
        <f>IF($O818="Aktif",MAX(0,MIN($AE818,$AD818-SUM($AG818:AI818))),0)</f>
        <v>677083.33333333302</v>
      </c>
      <c r="AK818" s="8">
        <f>IF($O818="Aktif",MAX(0,MIN($AE818,$AD818-SUM($AG818:AJ818))),0)</f>
        <v>677083.33333333302</v>
      </c>
      <c r="AL818" s="8">
        <f>IF($O818="Aktif",MAX(0,MIN($AE818,$AD818-SUM($AG818:AK818))),0)</f>
        <v>677083.33333333302</v>
      </c>
      <c r="AM818" s="8">
        <f>IF($O818="Aktif",MAX(0,MIN($AE818,$AD818-SUM($AG818:AL818))),0)</f>
        <v>677083.33333333302</v>
      </c>
      <c r="AN818" s="8">
        <f>IF($O818="Aktif",MAX(0,MIN($AE818,$AD818-SUM($AG818:AM818))),0)</f>
        <v>677083.33333333302</v>
      </c>
      <c r="AO818" s="8">
        <f>IF($O818="Aktif",MAX(0,MIN($AE818,$AD818-SUM($AG818:AN818))),0)</f>
        <v>677083.33333333302</v>
      </c>
      <c r="AP818" s="8">
        <f>IF($O818="Aktif",MAX(0,MIN($AE818,$AD818-SUM($AG818:AO818))),0)</f>
        <v>677083.33333333302</v>
      </c>
      <c r="AQ818" s="8">
        <f>IF($O818="Aktif",MAX(0,MIN($AE818,$AD818-SUM($AG818:AP818))),0)</f>
        <v>677083.33333333302</v>
      </c>
      <c r="AR818" s="8">
        <f>IF($O818="Aktif",MAX(0,MIN($AE818,$AD818-SUM($AG818:AQ818))),0)</f>
        <v>677083.33333333302</v>
      </c>
      <c r="AS818" s="8">
        <f>IF($O818="Aktif",MAX(0,MIN($AE818,$AD818-SUM($AG818:AR818))),0)</f>
        <v>677083.33333333302</v>
      </c>
      <c r="AT818" s="8">
        <f>IF($O818="Aktif",MAX(0,MIN($AE818,$AD818-SUM($AG818:AS818))),0)</f>
        <v>677083.33333333302</v>
      </c>
      <c r="AU818" s="8">
        <f>IF($O818="Aktif",MAX(0,MIN($AE818,$AD818-SUM($AG818:AT818))),0)</f>
        <v>677083.33333333302</v>
      </c>
      <c r="AV818" s="8">
        <f>IF($O818="Aktif",MAX(0,MIN($AE818,$AD818-SUM($AG818:AU818))),0)</f>
        <v>677083.33333333302</v>
      </c>
      <c r="AW818" s="8">
        <f t="shared" si="89"/>
        <v>10833333.333333325</v>
      </c>
      <c r="AX818" s="8">
        <f t="shared" si="90"/>
        <v>30468750.000000011</v>
      </c>
    </row>
    <row r="819" spans="1:50" ht="15" customHeight="1" x14ac:dyDescent="0.35">
      <c r="A819" s="102">
        <v>813</v>
      </c>
      <c r="B819" s="102" t="s">
        <v>1326</v>
      </c>
      <c r="C819" s="103">
        <v>447</v>
      </c>
      <c r="D819" s="102" t="s">
        <v>185</v>
      </c>
      <c r="E819" s="102" t="s">
        <v>540</v>
      </c>
      <c r="F819" s="102" t="s">
        <v>2283</v>
      </c>
      <c r="G819" s="102" t="s">
        <v>2284</v>
      </c>
      <c r="H819" s="102" t="s">
        <v>2285</v>
      </c>
      <c r="I819" s="102" t="s">
        <v>63</v>
      </c>
      <c r="J819" s="102"/>
      <c r="K819" s="102" t="s">
        <v>2560</v>
      </c>
      <c r="L819" s="104">
        <v>45212</v>
      </c>
      <c r="M819" s="102" t="s">
        <v>2561</v>
      </c>
      <c r="N819" s="102" t="s">
        <v>2562</v>
      </c>
      <c r="O819" s="102" t="s">
        <v>383</v>
      </c>
      <c r="P819" s="103">
        <v>1</v>
      </c>
      <c r="Q819" s="105">
        <v>60000000</v>
      </c>
      <c r="R819" s="103">
        <v>96</v>
      </c>
      <c r="S819" s="105">
        <v>625000</v>
      </c>
      <c r="T819" s="105">
        <v>16875000</v>
      </c>
      <c r="U819" s="105">
        <v>625000</v>
      </c>
      <c r="V819" s="105">
        <v>625000</v>
      </c>
      <c r="W819" s="105">
        <v>625000</v>
      </c>
      <c r="X819" s="105">
        <v>625000</v>
      </c>
      <c r="Y819" s="105">
        <v>625000</v>
      </c>
      <c r="Z819" s="105">
        <v>625000</v>
      </c>
      <c r="AA819" s="105">
        <v>625000</v>
      </c>
      <c r="AB819" s="105">
        <v>625000</v>
      </c>
      <c r="AC819" s="8">
        <f t="shared" si="84"/>
        <v>21875000</v>
      </c>
      <c r="AD819" s="8">
        <f t="shared" si="85"/>
        <v>38125000</v>
      </c>
      <c r="AE819" s="8">
        <f t="shared" si="86"/>
        <v>625000</v>
      </c>
      <c r="AF819" s="106">
        <f t="shared" si="87"/>
        <v>61</v>
      </c>
      <c r="AG819" s="8">
        <f t="shared" si="88"/>
        <v>625000</v>
      </c>
      <c r="AH819" s="8">
        <f>IF($O819="Aktif",MAX(0,MIN($AE819,$AD819-SUM($AG819:AG819))),0)</f>
        <v>625000</v>
      </c>
      <c r="AI819" s="8">
        <f>IF($O819="Aktif",MAX(0,MIN($AE819,$AD819-SUM($AG819:AH819))),0)</f>
        <v>625000</v>
      </c>
      <c r="AJ819" s="8">
        <f>IF($O819="Aktif",MAX(0,MIN($AE819,$AD819-SUM($AG819:AI819))),0)</f>
        <v>625000</v>
      </c>
      <c r="AK819" s="8">
        <f>IF($O819="Aktif",MAX(0,MIN($AE819,$AD819-SUM($AG819:AJ819))),0)</f>
        <v>625000</v>
      </c>
      <c r="AL819" s="8">
        <f>IF($O819="Aktif",MAX(0,MIN($AE819,$AD819-SUM($AG819:AK819))),0)</f>
        <v>625000</v>
      </c>
      <c r="AM819" s="8">
        <f>IF($O819="Aktif",MAX(0,MIN($AE819,$AD819-SUM($AG819:AL819))),0)</f>
        <v>625000</v>
      </c>
      <c r="AN819" s="8">
        <f>IF($O819="Aktif",MAX(0,MIN($AE819,$AD819-SUM($AG819:AM819))),0)</f>
        <v>625000</v>
      </c>
      <c r="AO819" s="8">
        <f>IF($O819="Aktif",MAX(0,MIN($AE819,$AD819-SUM($AG819:AN819))),0)</f>
        <v>625000</v>
      </c>
      <c r="AP819" s="8">
        <f>IF($O819="Aktif",MAX(0,MIN($AE819,$AD819-SUM($AG819:AO819))),0)</f>
        <v>625000</v>
      </c>
      <c r="AQ819" s="8">
        <f>IF($O819="Aktif",MAX(0,MIN($AE819,$AD819-SUM($AG819:AP819))),0)</f>
        <v>625000</v>
      </c>
      <c r="AR819" s="8">
        <f>IF($O819="Aktif",MAX(0,MIN($AE819,$AD819-SUM($AG819:AQ819))),0)</f>
        <v>625000</v>
      </c>
      <c r="AS819" s="8">
        <f>IF($O819="Aktif",MAX(0,MIN($AE819,$AD819-SUM($AG819:AR819))),0)</f>
        <v>625000</v>
      </c>
      <c r="AT819" s="8">
        <f>IF($O819="Aktif",MAX(0,MIN($AE819,$AD819-SUM($AG819:AS819))),0)</f>
        <v>625000</v>
      </c>
      <c r="AU819" s="8">
        <f>IF($O819="Aktif",MAX(0,MIN($AE819,$AD819-SUM($AG819:AT819))),0)</f>
        <v>625000</v>
      </c>
      <c r="AV819" s="8">
        <f>IF($O819="Aktif",MAX(0,MIN($AE819,$AD819-SUM($AG819:AU819))),0)</f>
        <v>625000</v>
      </c>
      <c r="AW819" s="8">
        <f t="shared" si="89"/>
        <v>10000000</v>
      </c>
      <c r="AX819" s="8">
        <f t="shared" si="90"/>
        <v>28125000</v>
      </c>
    </row>
    <row r="820" spans="1:50" ht="15" customHeight="1" x14ac:dyDescent="0.35">
      <c r="A820" s="102">
        <v>814</v>
      </c>
      <c r="B820" s="102" t="s">
        <v>1326</v>
      </c>
      <c r="C820" s="103">
        <v>448</v>
      </c>
      <c r="D820" s="102" t="s">
        <v>185</v>
      </c>
      <c r="E820" s="102" t="s">
        <v>479</v>
      </c>
      <c r="F820" s="102" t="s">
        <v>2332</v>
      </c>
      <c r="G820" s="102" t="s">
        <v>2333</v>
      </c>
      <c r="H820" s="102" t="s">
        <v>2334</v>
      </c>
      <c r="I820" s="102" t="s">
        <v>63</v>
      </c>
      <c r="J820" s="102"/>
      <c r="K820" s="102" t="s">
        <v>2563</v>
      </c>
      <c r="L820" s="104">
        <v>45238</v>
      </c>
      <c r="M820" s="102" t="s">
        <v>2564</v>
      </c>
      <c r="N820" s="102" t="s">
        <v>2565</v>
      </c>
      <c r="O820" s="102" t="s">
        <v>383</v>
      </c>
      <c r="P820" s="103">
        <v>4</v>
      </c>
      <c r="Q820" s="105">
        <v>4800000</v>
      </c>
      <c r="R820" s="103">
        <v>48</v>
      </c>
      <c r="S820" s="105">
        <v>100000</v>
      </c>
      <c r="T820" s="105">
        <v>2600000</v>
      </c>
      <c r="U820" s="105">
        <v>100000</v>
      </c>
      <c r="V820" s="105">
        <v>100000</v>
      </c>
      <c r="W820" s="105">
        <v>100000</v>
      </c>
      <c r="X820" s="105">
        <v>100000</v>
      </c>
      <c r="Y820" s="105">
        <v>100000</v>
      </c>
      <c r="Z820" s="105">
        <v>100000</v>
      </c>
      <c r="AA820" s="105">
        <v>100000</v>
      </c>
      <c r="AB820" s="105">
        <v>100000</v>
      </c>
      <c r="AC820" s="8">
        <f t="shared" si="84"/>
        <v>3400000</v>
      </c>
      <c r="AD820" s="8">
        <f t="shared" si="85"/>
        <v>1400000</v>
      </c>
      <c r="AE820" s="8">
        <f t="shared" si="86"/>
        <v>100000</v>
      </c>
      <c r="AF820" s="106">
        <f t="shared" si="87"/>
        <v>14</v>
      </c>
      <c r="AG820" s="8">
        <f t="shared" si="88"/>
        <v>100000</v>
      </c>
      <c r="AH820" s="8">
        <f>IF($O820="Aktif",MAX(0,MIN($AE820,$AD820-SUM($AG820:AG820))),0)</f>
        <v>100000</v>
      </c>
      <c r="AI820" s="8">
        <f>IF($O820="Aktif",MAX(0,MIN($AE820,$AD820-SUM($AG820:AH820))),0)</f>
        <v>100000</v>
      </c>
      <c r="AJ820" s="8">
        <f>IF($O820="Aktif",MAX(0,MIN($AE820,$AD820-SUM($AG820:AI820))),0)</f>
        <v>100000</v>
      </c>
      <c r="AK820" s="8">
        <f>IF($O820="Aktif",MAX(0,MIN($AE820,$AD820-SUM($AG820:AJ820))),0)</f>
        <v>100000</v>
      </c>
      <c r="AL820" s="8">
        <f>IF($O820="Aktif",MAX(0,MIN($AE820,$AD820-SUM($AG820:AK820))),0)</f>
        <v>100000</v>
      </c>
      <c r="AM820" s="8">
        <f>IF($O820="Aktif",MAX(0,MIN($AE820,$AD820-SUM($AG820:AL820))),0)</f>
        <v>100000</v>
      </c>
      <c r="AN820" s="8">
        <f>IF($O820="Aktif",MAX(0,MIN($AE820,$AD820-SUM($AG820:AM820))),0)</f>
        <v>100000</v>
      </c>
      <c r="AO820" s="8">
        <f>IF($O820="Aktif",MAX(0,MIN($AE820,$AD820-SUM($AG820:AN820))),0)</f>
        <v>100000</v>
      </c>
      <c r="AP820" s="8">
        <f>IF($O820="Aktif",MAX(0,MIN($AE820,$AD820-SUM($AG820:AO820))),0)</f>
        <v>100000</v>
      </c>
      <c r="AQ820" s="8">
        <f>IF($O820="Aktif",MAX(0,MIN($AE820,$AD820-SUM($AG820:AP820))),0)</f>
        <v>100000</v>
      </c>
      <c r="AR820" s="8">
        <f>IF($O820="Aktif",MAX(0,MIN($AE820,$AD820-SUM($AG820:AQ820))),0)</f>
        <v>100000</v>
      </c>
      <c r="AS820" s="8">
        <f>IF($O820="Aktif",MAX(0,MIN($AE820,$AD820-SUM($AG820:AR820))),0)</f>
        <v>100000</v>
      </c>
      <c r="AT820" s="8">
        <f>IF($O820="Aktif",MAX(0,MIN($AE820,$AD820-SUM($AG820:AS820))),0)</f>
        <v>100000</v>
      </c>
      <c r="AU820" s="8">
        <f>IF($O820="Aktif",MAX(0,MIN($AE820,$AD820-SUM($AG820:AT820))),0)</f>
        <v>0</v>
      </c>
      <c r="AV820" s="8">
        <f>IF($O820="Aktif",MAX(0,MIN($AE820,$AD820-SUM($AG820:AU820))),0)</f>
        <v>0</v>
      </c>
      <c r="AW820" s="8">
        <f t="shared" si="89"/>
        <v>1400000</v>
      </c>
      <c r="AX820" s="8">
        <f t="shared" si="90"/>
        <v>0</v>
      </c>
    </row>
    <row r="821" spans="1:50" ht="15" customHeight="1" x14ac:dyDescent="0.35">
      <c r="A821" s="102">
        <v>815</v>
      </c>
      <c r="B821" s="102" t="s">
        <v>1326</v>
      </c>
      <c r="C821" s="103">
        <v>449</v>
      </c>
      <c r="D821" s="102" t="s">
        <v>185</v>
      </c>
      <c r="E821" s="102" t="s">
        <v>540</v>
      </c>
      <c r="F821" s="102" t="s">
        <v>2283</v>
      </c>
      <c r="G821" s="102" t="s">
        <v>2284</v>
      </c>
      <c r="H821" s="102" t="s">
        <v>2285</v>
      </c>
      <c r="I821" s="102" t="s">
        <v>63</v>
      </c>
      <c r="J821" s="102"/>
      <c r="K821" s="102" t="s">
        <v>2566</v>
      </c>
      <c r="L821" s="104">
        <v>45259</v>
      </c>
      <c r="M821" s="102" t="s">
        <v>2567</v>
      </c>
      <c r="N821" s="102" t="s">
        <v>2568</v>
      </c>
      <c r="O821" s="102" t="s">
        <v>383</v>
      </c>
      <c r="P821" s="103">
        <v>3</v>
      </c>
      <c r="Q821" s="105">
        <v>49500000</v>
      </c>
      <c r="R821" s="103">
        <v>96</v>
      </c>
      <c r="S821" s="105">
        <v>515625</v>
      </c>
      <c r="T821" s="105">
        <v>13406250.000816301</v>
      </c>
      <c r="U821" s="105">
        <v>515625</v>
      </c>
      <c r="V821" s="105">
        <v>515625</v>
      </c>
      <c r="W821" s="105">
        <v>515625</v>
      </c>
      <c r="X821" s="105">
        <v>515625</v>
      </c>
      <c r="Y821" s="105">
        <v>515625</v>
      </c>
      <c r="Z821" s="105">
        <v>515625</v>
      </c>
      <c r="AA821" s="105">
        <v>515625</v>
      </c>
      <c r="AB821" s="105">
        <v>515625</v>
      </c>
      <c r="AC821" s="8">
        <f t="shared" si="84"/>
        <v>17531250.000816301</v>
      </c>
      <c r="AD821" s="8">
        <f t="shared" si="85"/>
        <v>31968749.999183699</v>
      </c>
      <c r="AE821" s="8">
        <f t="shared" si="86"/>
        <v>515625</v>
      </c>
      <c r="AF821" s="106">
        <f t="shared" si="87"/>
        <v>61.999999998416875</v>
      </c>
      <c r="AG821" s="8">
        <f t="shared" si="88"/>
        <v>515625</v>
      </c>
      <c r="AH821" s="8">
        <f>IF($O821="Aktif",MAX(0,MIN($AE821,$AD821-SUM($AG821:AG821))),0)</f>
        <v>515625</v>
      </c>
      <c r="AI821" s="8">
        <f>IF($O821="Aktif",MAX(0,MIN($AE821,$AD821-SUM($AG821:AH821))),0)</f>
        <v>515625</v>
      </c>
      <c r="AJ821" s="8">
        <f>IF($O821="Aktif",MAX(0,MIN($AE821,$AD821-SUM($AG821:AI821))),0)</f>
        <v>515625</v>
      </c>
      <c r="AK821" s="8">
        <f>IF($O821="Aktif",MAX(0,MIN($AE821,$AD821-SUM($AG821:AJ821))),0)</f>
        <v>515625</v>
      </c>
      <c r="AL821" s="8">
        <f>IF($O821="Aktif",MAX(0,MIN($AE821,$AD821-SUM($AG821:AK821))),0)</f>
        <v>515625</v>
      </c>
      <c r="AM821" s="8">
        <f>IF($O821="Aktif",MAX(0,MIN($AE821,$AD821-SUM($AG821:AL821))),0)</f>
        <v>515625</v>
      </c>
      <c r="AN821" s="8">
        <f>IF($O821="Aktif",MAX(0,MIN($AE821,$AD821-SUM($AG821:AM821))),0)</f>
        <v>515625</v>
      </c>
      <c r="AO821" s="8">
        <f>IF($O821="Aktif",MAX(0,MIN($AE821,$AD821-SUM($AG821:AN821))),0)</f>
        <v>515625</v>
      </c>
      <c r="AP821" s="8">
        <f>IF($O821="Aktif",MAX(0,MIN($AE821,$AD821-SUM($AG821:AO821))),0)</f>
        <v>515625</v>
      </c>
      <c r="AQ821" s="8">
        <f>IF($O821="Aktif",MAX(0,MIN($AE821,$AD821-SUM($AG821:AP821))),0)</f>
        <v>515625</v>
      </c>
      <c r="AR821" s="8">
        <f>IF($O821="Aktif",MAX(0,MIN($AE821,$AD821-SUM($AG821:AQ821))),0)</f>
        <v>515625</v>
      </c>
      <c r="AS821" s="8">
        <f>IF($O821="Aktif",MAX(0,MIN($AE821,$AD821-SUM($AG821:AR821))),0)</f>
        <v>515625</v>
      </c>
      <c r="AT821" s="8">
        <f>IF($O821="Aktif",MAX(0,MIN($AE821,$AD821-SUM($AG821:AS821))),0)</f>
        <v>515625</v>
      </c>
      <c r="AU821" s="8">
        <f>IF($O821="Aktif",MAX(0,MIN($AE821,$AD821-SUM($AG821:AT821))),0)</f>
        <v>515625</v>
      </c>
      <c r="AV821" s="8">
        <f>IF($O821="Aktif",MAX(0,MIN($AE821,$AD821-SUM($AG821:AU821))),0)</f>
        <v>515625</v>
      </c>
      <c r="AW821" s="8">
        <f t="shared" si="89"/>
        <v>8250000</v>
      </c>
      <c r="AX821" s="8">
        <f t="shared" si="90"/>
        <v>23718749.999183699</v>
      </c>
    </row>
    <row r="822" spans="1:50" ht="15" customHeight="1" x14ac:dyDescent="0.35">
      <c r="A822" s="102">
        <v>816</v>
      </c>
      <c r="B822" s="102" t="s">
        <v>1326</v>
      </c>
      <c r="C822" s="103">
        <v>450</v>
      </c>
      <c r="D822" s="102" t="s">
        <v>185</v>
      </c>
      <c r="E822" s="102" t="s">
        <v>540</v>
      </c>
      <c r="F822" s="102" t="s">
        <v>2283</v>
      </c>
      <c r="G822" s="102" t="s">
        <v>2284</v>
      </c>
      <c r="H822" s="102" t="s">
        <v>2285</v>
      </c>
      <c r="I822" s="102" t="s">
        <v>63</v>
      </c>
      <c r="J822" s="102"/>
      <c r="K822" s="102" t="s">
        <v>2569</v>
      </c>
      <c r="L822" s="104">
        <v>45259</v>
      </c>
      <c r="M822" s="102" t="s">
        <v>2570</v>
      </c>
      <c r="N822" s="102" t="s">
        <v>2571</v>
      </c>
      <c r="O822" s="102" t="s">
        <v>383</v>
      </c>
      <c r="P822" s="103">
        <v>3</v>
      </c>
      <c r="Q822" s="105">
        <v>180000000</v>
      </c>
      <c r="R822" s="103">
        <v>96</v>
      </c>
      <c r="S822" s="105">
        <v>1875000</v>
      </c>
      <c r="T822" s="105">
        <v>48750000.003877603</v>
      </c>
      <c r="U822" s="105">
        <v>1875000</v>
      </c>
      <c r="V822" s="105">
        <v>1875000</v>
      </c>
      <c r="W822" s="105">
        <v>1875000</v>
      </c>
      <c r="X822" s="105">
        <v>1875000</v>
      </c>
      <c r="Y822" s="105">
        <v>1875000</v>
      </c>
      <c r="Z822" s="105">
        <v>1875000</v>
      </c>
      <c r="AA822" s="105">
        <v>1875000</v>
      </c>
      <c r="AB822" s="105">
        <v>1875000</v>
      </c>
      <c r="AC822" s="8">
        <f t="shared" si="84"/>
        <v>63750000.003877603</v>
      </c>
      <c r="AD822" s="8">
        <f t="shared" si="85"/>
        <v>116249999.99612239</v>
      </c>
      <c r="AE822" s="8">
        <f t="shared" si="86"/>
        <v>1875000</v>
      </c>
      <c r="AF822" s="106">
        <f t="shared" si="87"/>
        <v>61.999999997931944</v>
      </c>
      <c r="AG822" s="8">
        <f t="shared" si="88"/>
        <v>1875000</v>
      </c>
      <c r="AH822" s="8">
        <f>IF($O822="Aktif",MAX(0,MIN($AE822,$AD822-SUM($AG822:AG822))),0)</f>
        <v>1875000</v>
      </c>
      <c r="AI822" s="8">
        <f>IF($O822="Aktif",MAX(0,MIN($AE822,$AD822-SUM($AG822:AH822))),0)</f>
        <v>1875000</v>
      </c>
      <c r="AJ822" s="8">
        <f>IF($O822="Aktif",MAX(0,MIN($AE822,$AD822-SUM($AG822:AI822))),0)</f>
        <v>1875000</v>
      </c>
      <c r="AK822" s="8">
        <f>IF($O822="Aktif",MAX(0,MIN($AE822,$AD822-SUM($AG822:AJ822))),0)</f>
        <v>1875000</v>
      </c>
      <c r="AL822" s="8">
        <f>IF($O822="Aktif",MAX(0,MIN($AE822,$AD822-SUM($AG822:AK822))),0)</f>
        <v>1875000</v>
      </c>
      <c r="AM822" s="8">
        <f>IF($O822="Aktif",MAX(0,MIN($AE822,$AD822-SUM($AG822:AL822))),0)</f>
        <v>1875000</v>
      </c>
      <c r="AN822" s="8">
        <f>IF($O822="Aktif",MAX(0,MIN($AE822,$AD822-SUM($AG822:AM822))),0)</f>
        <v>1875000</v>
      </c>
      <c r="AO822" s="8">
        <f>IF($O822="Aktif",MAX(0,MIN($AE822,$AD822-SUM($AG822:AN822))),0)</f>
        <v>1875000</v>
      </c>
      <c r="AP822" s="8">
        <f>IF($O822="Aktif",MAX(0,MIN($AE822,$AD822-SUM($AG822:AO822))),0)</f>
        <v>1875000</v>
      </c>
      <c r="AQ822" s="8">
        <f>IF($O822="Aktif",MAX(0,MIN($AE822,$AD822-SUM($AG822:AP822))),0)</f>
        <v>1875000</v>
      </c>
      <c r="AR822" s="8">
        <f>IF($O822="Aktif",MAX(0,MIN($AE822,$AD822-SUM($AG822:AQ822))),0)</f>
        <v>1875000</v>
      </c>
      <c r="AS822" s="8">
        <f>IF($O822="Aktif",MAX(0,MIN($AE822,$AD822-SUM($AG822:AR822))),0)</f>
        <v>1875000</v>
      </c>
      <c r="AT822" s="8">
        <f>IF($O822="Aktif",MAX(0,MIN($AE822,$AD822-SUM($AG822:AS822))),0)</f>
        <v>1875000</v>
      </c>
      <c r="AU822" s="8">
        <f>IF($O822="Aktif",MAX(0,MIN($AE822,$AD822-SUM($AG822:AT822))),0)</f>
        <v>1875000</v>
      </c>
      <c r="AV822" s="8">
        <f>IF($O822="Aktif",MAX(0,MIN($AE822,$AD822-SUM($AG822:AU822))),0)</f>
        <v>1875000</v>
      </c>
      <c r="AW822" s="8">
        <f t="shared" si="89"/>
        <v>30000000</v>
      </c>
      <c r="AX822" s="8">
        <f t="shared" si="90"/>
        <v>86249999.99612239</v>
      </c>
    </row>
    <row r="823" spans="1:50" ht="15" customHeight="1" x14ac:dyDescent="0.35">
      <c r="A823" s="102">
        <v>817</v>
      </c>
      <c r="B823" s="102" t="s">
        <v>1326</v>
      </c>
      <c r="C823" s="103">
        <v>451</v>
      </c>
      <c r="D823" s="102" t="s">
        <v>185</v>
      </c>
      <c r="E823" s="102" t="s">
        <v>479</v>
      </c>
      <c r="F823" s="102" t="s">
        <v>2332</v>
      </c>
      <c r="G823" s="102" t="s">
        <v>2333</v>
      </c>
      <c r="H823" s="102" t="s">
        <v>2334</v>
      </c>
      <c r="I823" s="102" t="s">
        <v>63</v>
      </c>
      <c r="J823" s="102"/>
      <c r="K823" s="102" t="s">
        <v>2572</v>
      </c>
      <c r="L823" s="104">
        <v>45261</v>
      </c>
      <c r="M823" s="102" t="s">
        <v>2573</v>
      </c>
      <c r="N823" s="102" t="s">
        <v>2574</v>
      </c>
      <c r="O823" s="102" t="s">
        <v>383</v>
      </c>
      <c r="P823" s="103">
        <v>1</v>
      </c>
      <c r="Q823" s="105">
        <v>15750000</v>
      </c>
      <c r="R823" s="103">
        <v>48</v>
      </c>
      <c r="S823" s="105">
        <v>328125</v>
      </c>
      <c r="T823" s="105">
        <v>8203125</v>
      </c>
      <c r="U823" s="105">
        <v>328125</v>
      </c>
      <c r="V823" s="105">
        <v>328125</v>
      </c>
      <c r="W823" s="105">
        <v>328125</v>
      </c>
      <c r="X823" s="105">
        <v>328125</v>
      </c>
      <c r="Y823" s="105">
        <v>328125</v>
      </c>
      <c r="Z823" s="105">
        <v>328125</v>
      </c>
      <c r="AA823" s="105">
        <v>328125</v>
      </c>
      <c r="AB823" s="105">
        <v>328125</v>
      </c>
      <c r="AC823" s="8">
        <f t="shared" si="84"/>
        <v>10828125</v>
      </c>
      <c r="AD823" s="8">
        <f t="shared" si="85"/>
        <v>4921875</v>
      </c>
      <c r="AE823" s="8">
        <f t="shared" si="86"/>
        <v>328125</v>
      </c>
      <c r="AF823" s="106">
        <f t="shared" si="87"/>
        <v>15</v>
      </c>
      <c r="AG823" s="8">
        <f t="shared" si="88"/>
        <v>328125</v>
      </c>
      <c r="AH823" s="8">
        <f>IF($O823="Aktif",MAX(0,MIN($AE823,$AD823-SUM($AG823:AG823))),0)</f>
        <v>328125</v>
      </c>
      <c r="AI823" s="8">
        <f>IF($O823="Aktif",MAX(0,MIN($AE823,$AD823-SUM($AG823:AH823))),0)</f>
        <v>328125</v>
      </c>
      <c r="AJ823" s="8">
        <f>IF($O823="Aktif",MAX(0,MIN($AE823,$AD823-SUM($AG823:AI823))),0)</f>
        <v>328125</v>
      </c>
      <c r="AK823" s="8">
        <f>IF($O823="Aktif",MAX(0,MIN($AE823,$AD823-SUM($AG823:AJ823))),0)</f>
        <v>328125</v>
      </c>
      <c r="AL823" s="8">
        <f>IF($O823="Aktif",MAX(0,MIN($AE823,$AD823-SUM($AG823:AK823))),0)</f>
        <v>328125</v>
      </c>
      <c r="AM823" s="8">
        <f>IF($O823="Aktif",MAX(0,MIN($AE823,$AD823-SUM($AG823:AL823))),0)</f>
        <v>328125</v>
      </c>
      <c r="AN823" s="8">
        <f>IF($O823="Aktif",MAX(0,MIN($AE823,$AD823-SUM($AG823:AM823))),0)</f>
        <v>328125</v>
      </c>
      <c r="AO823" s="8">
        <f>IF($O823="Aktif",MAX(0,MIN($AE823,$AD823-SUM($AG823:AN823))),0)</f>
        <v>328125</v>
      </c>
      <c r="AP823" s="8">
        <f>IF($O823="Aktif",MAX(0,MIN($AE823,$AD823-SUM($AG823:AO823))),0)</f>
        <v>328125</v>
      </c>
      <c r="AQ823" s="8">
        <f>IF($O823="Aktif",MAX(0,MIN($AE823,$AD823-SUM($AG823:AP823))),0)</f>
        <v>328125</v>
      </c>
      <c r="AR823" s="8">
        <f>IF($O823="Aktif",MAX(0,MIN($AE823,$AD823-SUM($AG823:AQ823))),0)</f>
        <v>328125</v>
      </c>
      <c r="AS823" s="8">
        <f>IF($O823="Aktif",MAX(0,MIN($AE823,$AD823-SUM($AG823:AR823))),0)</f>
        <v>328125</v>
      </c>
      <c r="AT823" s="8">
        <f>IF($O823="Aktif",MAX(0,MIN($AE823,$AD823-SUM($AG823:AS823))),0)</f>
        <v>328125</v>
      </c>
      <c r="AU823" s="8">
        <f>IF($O823="Aktif",MAX(0,MIN($AE823,$AD823-SUM($AG823:AT823))),0)</f>
        <v>328125</v>
      </c>
      <c r="AV823" s="8">
        <f>IF($O823="Aktif",MAX(0,MIN($AE823,$AD823-SUM($AG823:AU823))),0)</f>
        <v>0</v>
      </c>
      <c r="AW823" s="8">
        <f t="shared" si="89"/>
        <v>4921875</v>
      </c>
      <c r="AX823" s="8">
        <f t="shared" si="90"/>
        <v>0</v>
      </c>
    </row>
    <row r="824" spans="1:50" ht="15" customHeight="1" x14ac:dyDescent="0.35">
      <c r="A824" s="102">
        <v>818</v>
      </c>
      <c r="B824" s="102" t="s">
        <v>1326</v>
      </c>
      <c r="C824" s="103">
        <v>452</v>
      </c>
      <c r="D824" s="102" t="s">
        <v>185</v>
      </c>
      <c r="E824" s="102" t="s">
        <v>479</v>
      </c>
      <c r="F824" s="102" t="s">
        <v>2332</v>
      </c>
      <c r="G824" s="102" t="s">
        <v>2333</v>
      </c>
      <c r="H824" s="102" t="s">
        <v>2334</v>
      </c>
      <c r="I824" s="102" t="s">
        <v>63</v>
      </c>
      <c r="J824" s="102"/>
      <c r="K824" s="102" t="s">
        <v>2575</v>
      </c>
      <c r="L824" s="104">
        <v>45273</v>
      </c>
      <c r="M824" s="102" t="s">
        <v>2576</v>
      </c>
      <c r="N824" s="102" t="s">
        <v>2577</v>
      </c>
      <c r="O824" s="102" t="s">
        <v>383</v>
      </c>
      <c r="P824" s="103">
        <v>1</v>
      </c>
      <c r="Q824" s="105">
        <v>1800000</v>
      </c>
      <c r="R824" s="103">
        <v>48</v>
      </c>
      <c r="S824" s="105">
        <v>37500</v>
      </c>
      <c r="T824" s="105">
        <v>937500</v>
      </c>
      <c r="U824" s="105">
        <v>37500</v>
      </c>
      <c r="V824" s="105">
        <v>37500</v>
      </c>
      <c r="W824" s="105">
        <v>37500</v>
      </c>
      <c r="X824" s="105">
        <v>37500</v>
      </c>
      <c r="Y824" s="105">
        <v>37500</v>
      </c>
      <c r="Z824" s="105">
        <v>37500</v>
      </c>
      <c r="AA824" s="105">
        <v>37500</v>
      </c>
      <c r="AB824" s="105">
        <v>37500</v>
      </c>
      <c r="AC824" s="8">
        <f t="shared" si="84"/>
        <v>1237500</v>
      </c>
      <c r="AD824" s="8">
        <f t="shared" si="85"/>
        <v>562500</v>
      </c>
      <c r="AE824" s="8">
        <f t="shared" si="86"/>
        <v>37500</v>
      </c>
      <c r="AF824" s="106">
        <f t="shared" si="87"/>
        <v>15</v>
      </c>
      <c r="AG824" s="8">
        <f t="shared" si="88"/>
        <v>37500</v>
      </c>
      <c r="AH824" s="8">
        <f>IF($O824="Aktif",MAX(0,MIN($AE824,$AD824-SUM($AG824:AG824))),0)</f>
        <v>37500</v>
      </c>
      <c r="AI824" s="8">
        <f>IF($O824="Aktif",MAX(0,MIN($AE824,$AD824-SUM($AG824:AH824))),0)</f>
        <v>37500</v>
      </c>
      <c r="AJ824" s="8">
        <f>IF($O824="Aktif",MAX(0,MIN($AE824,$AD824-SUM($AG824:AI824))),0)</f>
        <v>37500</v>
      </c>
      <c r="AK824" s="8">
        <f>IF($O824="Aktif",MAX(0,MIN($AE824,$AD824-SUM($AG824:AJ824))),0)</f>
        <v>37500</v>
      </c>
      <c r="AL824" s="8">
        <f>IF($O824="Aktif",MAX(0,MIN($AE824,$AD824-SUM($AG824:AK824))),0)</f>
        <v>37500</v>
      </c>
      <c r="AM824" s="8">
        <f>IF($O824="Aktif",MAX(0,MIN($AE824,$AD824-SUM($AG824:AL824))),0)</f>
        <v>37500</v>
      </c>
      <c r="AN824" s="8">
        <f>IF($O824="Aktif",MAX(0,MIN($AE824,$AD824-SUM($AG824:AM824))),0)</f>
        <v>37500</v>
      </c>
      <c r="AO824" s="8">
        <f>IF($O824="Aktif",MAX(0,MIN($AE824,$AD824-SUM($AG824:AN824))),0)</f>
        <v>37500</v>
      </c>
      <c r="AP824" s="8">
        <f>IF($O824="Aktif",MAX(0,MIN($AE824,$AD824-SUM($AG824:AO824))),0)</f>
        <v>37500</v>
      </c>
      <c r="AQ824" s="8">
        <f>IF($O824="Aktif",MAX(0,MIN($AE824,$AD824-SUM($AG824:AP824))),0)</f>
        <v>37500</v>
      </c>
      <c r="AR824" s="8">
        <f>IF($O824="Aktif",MAX(0,MIN($AE824,$AD824-SUM($AG824:AQ824))),0)</f>
        <v>37500</v>
      </c>
      <c r="AS824" s="8">
        <f>IF($O824="Aktif",MAX(0,MIN($AE824,$AD824-SUM($AG824:AR824))),0)</f>
        <v>37500</v>
      </c>
      <c r="AT824" s="8">
        <f>IF($O824="Aktif",MAX(0,MIN($AE824,$AD824-SUM($AG824:AS824))),0)</f>
        <v>37500</v>
      </c>
      <c r="AU824" s="8">
        <f>IF($O824="Aktif",MAX(0,MIN($AE824,$AD824-SUM($AG824:AT824))),0)</f>
        <v>37500</v>
      </c>
      <c r="AV824" s="8">
        <f>IF($O824="Aktif",MAX(0,MIN($AE824,$AD824-SUM($AG824:AU824))),0)</f>
        <v>0</v>
      </c>
      <c r="AW824" s="8">
        <f t="shared" si="89"/>
        <v>562500</v>
      </c>
      <c r="AX824" s="8">
        <f t="shared" si="90"/>
        <v>0</v>
      </c>
    </row>
    <row r="825" spans="1:50" ht="15" customHeight="1" x14ac:dyDescent="0.35">
      <c r="A825" s="102">
        <v>819</v>
      </c>
      <c r="B825" s="102" t="s">
        <v>1326</v>
      </c>
      <c r="C825" s="103">
        <v>453</v>
      </c>
      <c r="D825" s="102" t="s">
        <v>185</v>
      </c>
      <c r="E825" s="102" t="s">
        <v>540</v>
      </c>
      <c r="F825" s="102" t="s">
        <v>2283</v>
      </c>
      <c r="G825" s="102" t="s">
        <v>2284</v>
      </c>
      <c r="H825" s="102" t="s">
        <v>2285</v>
      </c>
      <c r="I825" s="102" t="s">
        <v>63</v>
      </c>
      <c r="J825" s="102"/>
      <c r="K825" s="102" t="s">
        <v>2578</v>
      </c>
      <c r="L825" s="104">
        <v>45280</v>
      </c>
      <c r="M825" s="102" t="s">
        <v>2579</v>
      </c>
      <c r="N825" s="102" t="s">
        <v>2580</v>
      </c>
      <c r="O825" s="102" t="s">
        <v>383</v>
      </c>
      <c r="P825" s="103">
        <v>1</v>
      </c>
      <c r="Q825" s="105">
        <v>5000000</v>
      </c>
      <c r="R825" s="103">
        <v>96</v>
      </c>
      <c r="S825" s="105">
        <v>52083.333333333299</v>
      </c>
      <c r="T825" s="105">
        <v>1302083.33333333</v>
      </c>
      <c r="U825" s="105">
        <v>52083.333333333299</v>
      </c>
      <c r="V825" s="105">
        <v>52083.333333333299</v>
      </c>
      <c r="W825" s="105">
        <v>52083.333333333299</v>
      </c>
      <c r="X825" s="105">
        <v>52083.333333333299</v>
      </c>
      <c r="Y825" s="105">
        <v>52083.333333333299</v>
      </c>
      <c r="Z825" s="105">
        <v>52083.333333333299</v>
      </c>
      <c r="AA825" s="105">
        <v>52083.333333333299</v>
      </c>
      <c r="AB825" s="105">
        <v>52083.333333333299</v>
      </c>
      <c r="AC825" s="8">
        <f t="shared" si="84"/>
        <v>1718749.9999999965</v>
      </c>
      <c r="AD825" s="8">
        <f t="shared" si="85"/>
        <v>3281250.0000000037</v>
      </c>
      <c r="AE825" s="8">
        <f t="shared" si="86"/>
        <v>52083.333333333299</v>
      </c>
      <c r="AF825" s="106">
        <f t="shared" si="87"/>
        <v>63.000000000000114</v>
      </c>
      <c r="AG825" s="8">
        <f t="shared" si="88"/>
        <v>52083.333333333299</v>
      </c>
      <c r="AH825" s="8">
        <f>IF($O825="Aktif",MAX(0,MIN($AE825,$AD825-SUM($AG825:AG825))),0)</f>
        <v>52083.333333333299</v>
      </c>
      <c r="AI825" s="8">
        <f>IF($O825="Aktif",MAX(0,MIN($AE825,$AD825-SUM($AG825:AH825))),0)</f>
        <v>52083.333333333299</v>
      </c>
      <c r="AJ825" s="8">
        <f>IF($O825="Aktif",MAX(0,MIN($AE825,$AD825-SUM($AG825:AI825))),0)</f>
        <v>52083.333333333299</v>
      </c>
      <c r="AK825" s="8">
        <f>IF($O825="Aktif",MAX(0,MIN($AE825,$AD825-SUM($AG825:AJ825))),0)</f>
        <v>52083.333333333299</v>
      </c>
      <c r="AL825" s="8">
        <f>IF($O825="Aktif",MAX(0,MIN($AE825,$AD825-SUM($AG825:AK825))),0)</f>
        <v>52083.333333333299</v>
      </c>
      <c r="AM825" s="8">
        <f>IF($O825="Aktif",MAX(0,MIN($AE825,$AD825-SUM($AG825:AL825))),0)</f>
        <v>52083.333333333299</v>
      </c>
      <c r="AN825" s="8">
        <f>IF($O825="Aktif",MAX(0,MIN($AE825,$AD825-SUM($AG825:AM825))),0)</f>
        <v>52083.333333333299</v>
      </c>
      <c r="AO825" s="8">
        <f>IF($O825="Aktif",MAX(0,MIN($AE825,$AD825-SUM($AG825:AN825))),0)</f>
        <v>52083.333333333299</v>
      </c>
      <c r="AP825" s="8">
        <f>IF($O825="Aktif",MAX(0,MIN($AE825,$AD825-SUM($AG825:AO825))),0)</f>
        <v>52083.333333333299</v>
      </c>
      <c r="AQ825" s="8">
        <f>IF($O825="Aktif",MAX(0,MIN($AE825,$AD825-SUM($AG825:AP825))),0)</f>
        <v>52083.333333333299</v>
      </c>
      <c r="AR825" s="8">
        <f>IF($O825="Aktif",MAX(0,MIN($AE825,$AD825-SUM($AG825:AQ825))),0)</f>
        <v>52083.333333333299</v>
      </c>
      <c r="AS825" s="8">
        <f>IF($O825="Aktif",MAX(0,MIN($AE825,$AD825-SUM($AG825:AR825))),0)</f>
        <v>52083.333333333299</v>
      </c>
      <c r="AT825" s="8">
        <f>IF($O825="Aktif",MAX(0,MIN($AE825,$AD825-SUM($AG825:AS825))),0)</f>
        <v>52083.333333333299</v>
      </c>
      <c r="AU825" s="8">
        <f>IF($O825="Aktif",MAX(0,MIN($AE825,$AD825-SUM($AG825:AT825))),0)</f>
        <v>52083.333333333299</v>
      </c>
      <c r="AV825" s="8">
        <f>IF($O825="Aktif",MAX(0,MIN($AE825,$AD825-SUM($AG825:AU825))),0)</f>
        <v>52083.333333333299</v>
      </c>
      <c r="AW825" s="8">
        <f t="shared" si="89"/>
        <v>833333.33333333267</v>
      </c>
      <c r="AX825" s="8">
        <f t="shared" si="90"/>
        <v>2447916.6666666712</v>
      </c>
    </row>
    <row r="826" spans="1:50" ht="15" customHeight="1" x14ac:dyDescent="0.35">
      <c r="A826" s="102">
        <v>820</v>
      </c>
      <c r="B826" s="102" t="s">
        <v>1326</v>
      </c>
      <c r="C826" s="103">
        <v>454</v>
      </c>
      <c r="D826" s="102" t="s">
        <v>185</v>
      </c>
      <c r="E826" s="102" t="s">
        <v>540</v>
      </c>
      <c r="F826" s="102" t="s">
        <v>2283</v>
      </c>
      <c r="G826" s="102" t="s">
        <v>2284</v>
      </c>
      <c r="H826" s="102" t="s">
        <v>2285</v>
      </c>
      <c r="I826" s="102" t="s">
        <v>63</v>
      </c>
      <c r="J826" s="102"/>
      <c r="K826" s="102" t="s">
        <v>2581</v>
      </c>
      <c r="L826" s="104">
        <v>45274</v>
      </c>
      <c r="M826" s="102" t="s">
        <v>2582</v>
      </c>
      <c r="N826" s="102" t="s">
        <v>2583</v>
      </c>
      <c r="O826" s="102" t="s">
        <v>383</v>
      </c>
      <c r="P826" s="103">
        <v>1</v>
      </c>
      <c r="Q826" s="105">
        <v>45000000</v>
      </c>
      <c r="R826" s="103">
        <v>96</v>
      </c>
      <c r="S826" s="105">
        <v>468750</v>
      </c>
      <c r="T826" s="105">
        <v>11718750</v>
      </c>
      <c r="U826" s="105">
        <v>468750</v>
      </c>
      <c r="V826" s="105">
        <v>468750</v>
      </c>
      <c r="W826" s="105">
        <v>468750</v>
      </c>
      <c r="X826" s="105">
        <v>468750</v>
      </c>
      <c r="Y826" s="105">
        <v>468750</v>
      </c>
      <c r="Z826" s="105">
        <v>468750</v>
      </c>
      <c r="AA826" s="105">
        <v>468750</v>
      </c>
      <c r="AB826" s="105">
        <v>468750</v>
      </c>
      <c r="AC826" s="8">
        <f t="shared" si="84"/>
        <v>15468750</v>
      </c>
      <c r="AD826" s="8">
        <f t="shared" si="85"/>
        <v>29531250</v>
      </c>
      <c r="AE826" s="8">
        <f t="shared" si="86"/>
        <v>468750</v>
      </c>
      <c r="AF826" s="106">
        <f t="shared" si="87"/>
        <v>63</v>
      </c>
      <c r="AG826" s="8">
        <f t="shared" si="88"/>
        <v>468750</v>
      </c>
      <c r="AH826" s="8">
        <f>IF($O826="Aktif",MAX(0,MIN($AE826,$AD826-SUM($AG826:AG826))),0)</f>
        <v>468750</v>
      </c>
      <c r="AI826" s="8">
        <f>IF($O826="Aktif",MAX(0,MIN($AE826,$AD826-SUM($AG826:AH826))),0)</f>
        <v>468750</v>
      </c>
      <c r="AJ826" s="8">
        <f>IF($O826="Aktif",MAX(0,MIN($AE826,$AD826-SUM($AG826:AI826))),0)</f>
        <v>468750</v>
      </c>
      <c r="AK826" s="8">
        <f>IF($O826="Aktif",MAX(0,MIN($AE826,$AD826-SUM($AG826:AJ826))),0)</f>
        <v>468750</v>
      </c>
      <c r="AL826" s="8">
        <f>IF($O826="Aktif",MAX(0,MIN($AE826,$AD826-SUM($AG826:AK826))),0)</f>
        <v>468750</v>
      </c>
      <c r="AM826" s="8">
        <f>IF($O826="Aktif",MAX(0,MIN($AE826,$AD826-SUM($AG826:AL826))),0)</f>
        <v>468750</v>
      </c>
      <c r="AN826" s="8">
        <f>IF($O826="Aktif",MAX(0,MIN($AE826,$AD826-SUM($AG826:AM826))),0)</f>
        <v>468750</v>
      </c>
      <c r="AO826" s="8">
        <f>IF($O826="Aktif",MAX(0,MIN($AE826,$AD826-SUM($AG826:AN826))),0)</f>
        <v>468750</v>
      </c>
      <c r="AP826" s="8">
        <f>IF($O826="Aktif",MAX(0,MIN($AE826,$AD826-SUM($AG826:AO826))),0)</f>
        <v>468750</v>
      </c>
      <c r="AQ826" s="8">
        <f>IF($O826="Aktif",MAX(0,MIN($AE826,$AD826-SUM($AG826:AP826))),0)</f>
        <v>468750</v>
      </c>
      <c r="AR826" s="8">
        <f>IF($O826="Aktif",MAX(0,MIN($AE826,$AD826-SUM($AG826:AQ826))),0)</f>
        <v>468750</v>
      </c>
      <c r="AS826" s="8">
        <f>IF($O826="Aktif",MAX(0,MIN($AE826,$AD826-SUM($AG826:AR826))),0)</f>
        <v>468750</v>
      </c>
      <c r="AT826" s="8">
        <f>IF($O826="Aktif",MAX(0,MIN($AE826,$AD826-SUM($AG826:AS826))),0)</f>
        <v>468750</v>
      </c>
      <c r="AU826" s="8">
        <f>IF($O826="Aktif",MAX(0,MIN($AE826,$AD826-SUM($AG826:AT826))),0)</f>
        <v>468750</v>
      </c>
      <c r="AV826" s="8">
        <f>IF($O826="Aktif",MAX(0,MIN($AE826,$AD826-SUM($AG826:AU826))),0)</f>
        <v>468750</v>
      </c>
      <c r="AW826" s="8">
        <f t="shared" si="89"/>
        <v>7500000</v>
      </c>
      <c r="AX826" s="8">
        <f t="shared" si="90"/>
        <v>22031250</v>
      </c>
    </row>
    <row r="827" spans="1:50" ht="15" customHeight="1" x14ac:dyDescent="0.35">
      <c r="A827" s="102">
        <v>821</v>
      </c>
      <c r="B827" s="102" t="s">
        <v>1326</v>
      </c>
      <c r="C827" s="103">
        <v>455</v>
      </c>
      <c r="D827" s="102" t="s">
        <v>185</v>
      </c>
      <c r="E827" s="102" t="s">
        <v>479</v>
      </c>
      <c r="F827" s="102" t="s">
        <v>2332</v>
      </c>
      <c r="G827" s="102" t="s">
        <v>2333</v>
      </c>
      <c r="H827" s="102" t="s">
        <v>2334</v>
      </c>
      <c r="I827" s="102" t="s">
        <v>63</v>
      </c>
      <c r="J827" s="102"/>
      <c r="K827" s="102" t="s">
        <v>2584</v>
      </c>
      <c r="L827" s="104">
        <v>45282</v>
      </c>
      <c r="M827" s="102" t="s">
        <v>2585</v>
      </c>
      <c r="N827" s="102" t="s">
        <v>2586</v>
      </c>
      <c r="O827" s="102" t="s">
        <v>383</v>
      </c>
      <c r="P827" s="103">
        <v>1</v>
      </c>
      <c r="Q827" s="105">
        <v>8200000</v>
      </c>
      <c r="R827" s="103">
        <v>48</v>
      </c>
      <c r="S827" s="105">
        <v>170833.33333333299</v>
      </c>
      <c r="T827" s="105">
        <v>4270833.3333333302</v>
      </c>
      <c r="U827" s="105">
        <v>170833.33333333299</v>
      </c>
      <c r="V827" s="105">
        <v>170833.33333333299</v>
      </c>
      <c r="W827" s="105">
        <v>170833.33333333299</v>
      </c>
      <c r="X827" s="105">
        <v>170833.33333333299</v>
      </c>
      <c r="Y827" s="105">
        <v>170833.33333333299</v>
      </c>
      <c r="Z827" s="105">
        <v>170833.33333333299</v>
      </c>
      <c r="AA827" s="105">
        <v>170833.33333333299</v>
      </c>
      <c r="AB827" s="105">
        <v>170833.33333333299</v>
      </c>
      <c r="AC827" s="8">
        <f t="shared" si="84"/>
        <v>5637499.9999999944</v>
      </c>
      <c r="AD827" s="8">
        <f t="shared" si="85"/>
        <v>2562500.0000000056</v>
      </c>
      <c r="AE827" s="8">
        <f t="shared" si="86"/>
        <v>170833.33333333299</v>
      </c>
      <c r="AF827" s="106">
        <f t="shared" si="87"/>
        <v>15.000000000000062</v>
      </c>
      <c r="AG827" s="8">
        <f t="shared" si="88"/>
        <v>170833.33333333299</v>
      </c>
      <c r="AH827" s="8">
        <f>IF($O827="Aktif",MAX(0,MIN($AE827,$AD827-SUM($AG827:AG827))),0)</f>
        <v>170833.33333333299</v>
      </c>
      <c r="AI827" s="8">
        <f>IF($O827="Aktif",MAX(0,MIN($AE827,$AD827-SUM($AG827:AH827))),0)</f>
        <v>170833.33333333299</v>
      </c>
      <c r="AJ827" s="8">
        <f>IF($O827="Aktif",MAX(0,MIN($AE827,$AD827-SUM($AG827:AI827))),0)</f>
        <v>170833.33333333299</v>
      </c>
      <c r="AK827" s="8">
        <f>IF($O827="Aktif",MAX(0,MIN($AE827,$AD827-SUM($AG827:AJ827))),0)</f>
        <v>170833.33333333299</v>
      </c>
      <c r="AL827" s="8">
        <f>IF($O827="Aktif",MAX(0,MIN($AE827,$AD827-SUM($AG827:AK827))),0)</f>
        <v>170833.33333333299</v>
      </c>
      <c r="AM827" s="8">
        <f>IF($O827="Aktif",MAX(0,MIN($AE827,$AD827-SUM($AG827:AL827))),0)</f>
        <v>170833.33333333299</v>
      </c>
      <c r="AN827" s="8">
        <f>IF($O827="Aktif",MAX(0,MIN($AE827,$AD827-SUM($AG827:AM827))),0)</f>
        <v>170833.33333333299</v>
      </c>
      <c r="AO827" s="8">
        <f>IF($O827="Aktif",MAX(0,MIN($AE827,$AD827-SUM($AG827:AN827))),0)</f>
        <v>170833.33333333299</v>
      </c>
      <c r="AP827" s="8">
        <f>IF($O827="Aktif",MAX(0,MIN($AE827,$AD827-SUM($AG827:AO827))),0)</f>
        <v>170833.33333333299</v>
      </c>
      <c r="AQ827" s="8">
        <f>IF($O827="Aktif",MAX(0,MIN($AE827,$AD827-SUM($AG827:AP827))),0)</f>
        <v>170833.33333333299</v>
      </c>
      <c r="AR827" s="8">
        <f>IF($O827="Aktif",MAX(0,MIN($AE827,$AD827-SUM($AG827:AQ827))),0)</f>
        <v>170833.33333333299</v>
      </c>
      <c r="AS827" s="8">
        <f>IF($O827="Aktif",MAX(0,MIN($AE827,$AD827-SUM($AG827:AR827))),0)</f>
        <v>170833.33333333299</v>
      </c>
      <c r="AT827" s="8">
        <f>IF($O827="Aktif",MAX(0,MIN($AE827,$AD827-SUM($AG827:AS827))),0)</f>
        <v>170833.33333333299</v>
      </c>
      <c r="AU827" s="8">
        <f>IF($O827="Aktif",MAX(0,MIN($AE827,$AD827-SUM($AG827:AT827))),0)</f>
        <v>170833.33333333299</v>
      </c>
      <c r="AV827" s="8">
        <f>IF($O827="Aktif",MAX(0,MIN($AE827,$AD827-SUM($AG827:AU827))),0)</f>
        <v>1.0710209608078003E-8</v>
      </c>
      <c r="AW827" s="8">
        <f t="shared" si="89"/>
        <v>2562500.0000000056</v>
      </c>
      <c r="AX827" s="8">
        <f t="shared" si="90"/>
        <v>0</v>
      </c>
    </row>
    <row r="828" spans="1:50" ht="15" customHeight="1" x14ac:dyDescent="0.35">
      <c r="A828" s="102">
        <v>822</v>
      </c>
      <c r="B828" s="102" t="s">
        <v>1326</v>
      </c>
      <c r="C828" s="103">
        <v>456</v>
      </c>
      <c r="D828" s="102" t="s">
        <v>185</v>
      </c>
      <c r="E828" s="102" t="s">
        <v>479</v>
      </c>
      <c r="F828" s="102" t="s">
        <v>2332</v>
      </c>
      <c r="G828" s="102" t="s">
        <v>2333</v>
      </c>
      <c r="H828" s="102" t="s">
        <v>2334</v>
      </c>
      <c r="I828" s="102" t="s">
        <v>63</v>
      </c>
      <c r="J828" s="102"/>
      <c r="K828" s="102" t="s">
        <v>2587</v>
      </c>
      <c r="L828" s="102" t="s">
        <v>2588</v>
      </c>
      <c r="M828" s="102" t="s">
        <v>2589</v>
      </c>
      <c r="N828" s="102"/>
      <c r="O828" s="102" t="s">
        <v>383</v>
      </c>
      <c r="P828" s="103">
        <v>1</v>
      </c>
      <c r="Q828" s="105">
        <v>11000000</v>
      </c>
      <c r="R828" s="103">
        <v>48</v>
      </c>
      <c r="S828" s="105">
        <v>229166.66666666701</v>
      </c>
      <c r="T828" s="105">
        <v>5500000</v>
      </c>
      <c r="U828" s="105">
        <v>229166.66666666701</v>
      </c>
      <c r="V828" s="105">
        <v>229166.66666666701</v>
      </c>
      <c r="W828" s="105">
        <v>229166.66666666701</v>
      </c>
      <c r="X828" s="105">
        <v>229166.66666666701</v>
      </c>
      <c r="Y828" s="105">
        <v>229166.66666666701</v>
      </c>
      <c r="Z828" s="105">
        <v>229166.66666666701</v>
      </c>
      <c r="AA828" s="105">
        <v>229166.66666666701</v>
      </c>
      <c r="AB828" s="105">
        <v>229166.66666666701</v>
      </c>
      <c r="AC828" s="8">
        <f t="shared" si="84"/>
        <v>7333333.3333333358</v>
      </c>
      <c r="AD828" s="8">
        <f t="shared" si="85"/>
        <v>3666666.6666666642</v>
      </c>
      <c r="AE828" s="8">
        <f t="shared" si="86"/>
        <v>229166.66666666701</v>
      </c>
      <c r="AF828" s="106">
        <f t="shared" si="87"/>
        <v>15.999999999999966</v>
      </c>
      <c r="AG828" s="8">
        <f t="shared" si="88"/>
        <v>229166.66666666701</v>
      </c>
      <c r="AH828" s="8">
        <f>IF($O828="Aktif",MAX(0,MIN($AE828,$AD828-SUM($AG828:AG828))),0)</f>
        <v>229166.66666666701</v>
      </c>
      <c r="AI828" s="8">
        <f>IF($O828="Aktif",MAX(0,MIN($AE828,$AD828-SUM($AG828:AH828))),0)</f>
        <v>229166.66666666701</v>
      </c>
      <c r="AJ828" s="8">
        <f>IF($O828="Aktif",MAX(0,MIN($AE828,$AD828-SUM($AG828:AI828))),0)</f>
        <v>229166.66666666701</v>
      </c>
      <c r="AK828" s="8">
        <f>IF($O828="Aktif",MAX(0,MIN($AE828,$AD828-SUM($AG828:AJ828))),0)</f>
        <v>229166.66666666701</v>
      </c>
      <c r="AL828" s="8">
        <f>IF($O828="Aktif",MAX(0,MIN($AE828,$AD828-SUM($AG828:AK828))),0)</f>
        <v>229166.66666666701</v>
      </c>
      <c r="AM828" s="8">
        <f>IF($O828="Aktif",MAX(0,MIN($AE828,$AD828-SUM($AG828:AL828))),0)</f>
        <v>229166.66666666701</v>
      </c>
      <c r="AN828" s="8">
        <f>IF($O828="Aktif",MAX(0,MIN($AE828,$AD828-SUM($AG828:AM828))),0)</f>
        <v>229166.66666666701</v>
      </c>
      <c r="AO828" s="8">
        <f>IF($O828="Aktif",MAX(0,MIN($AE828,$AD828-SUM($AG828:AN828))),0)</f>
        <v>229166.66666666701</v>
      </c>
      <c r="AP828" s="8">
        <f>IF($O828="Aktif",MAX(0,MIN($AE828,$AD828-SUM($AG828:AO828))),0)</f>
        <v>229166.66666666701</v>
      </c>
      <c r="AQ828" s="8">
        <f>IF($O828="Aktif",MAX(0,MIN($AE828,$AD828-SUM($AG828:AP828))),0)</f>
        <v>229166.66666666701</v>
      </c>
      <c r="AR828" s="8">
        <f>IF($O828="Aktif",MAX(0,MIN($AE828,$AD828-SUM($AG828:AQ828))),0)</f>
        <v>229166.66666666701</v>
      </c>
      <c r="AS828" s="8">
        <f>IF($O828="Aktif",MAX(0,MIN($AE828,$AD828-SUM($AG828:AR828))),0)</f>
        <v>229166.66666666701</v>
      </c>
      <c r="AT828" s="8">
        <f>IF($O828="Aktif",MAX(0,MIN($AE828,$AD828-SUM($AG828:AS828))),0)</f>
        <v>229166.66666666701</v>
      </c>
      <c r="AU828" s="8">
        <f>IF($O828="Aktif",MAX(0,MIN($AE828,$AD828-SUM($AG828:AT828))),0)</f>
        <v>229166.66666666701</v>
      </c>
      <c r="AV828" s="8">
        <f>IF($O828="Aktif",MAX(0,MIN($AE828,$AD828-SUM($AG828:AU828))),0)</f>
        <v>229166.66666665906</v>
      </c>
      <c r="AW828" s="8">
        <f t="shared" si="89"/>
        <v>3666666.6666666642</v>
      </c>
      <c r="AX828" s="8">
        <f t="shared" si="90"/>
        <v>0</v>
      </c>
    </row>
    <row r="829" spans="1:50" ht="15" customHeight="1" x14ac:dyDescent="0.35">
      <c r="A829" s="102">
        <v>823</v>
      </c>
      <c r="B829" s="102" t="s">
        <v>1326</v>
      </c>
      <c r="C829" s="103">
        <v>457</v>
      </c>
      <c r="D829" s="102" t="s">
        <v>185</v>
      </c>
      <c r="E829" s="102" t="s">
        <v>540</v>
      </c>
      <c r="F829" s="102" t="s">
        <v>2283</v>
      </c>
      <c r="G829" s="102" t="s">
        <v>2284</v>
      </c>
      <c r="H829" s="102" t="s">
        <v>2285</v>
      </c>
      <c r="I829" s="102" t="s">
        <v>63</v>
      </c>
      <c r="J829" s="102"/>
      <c r="K829" s="102" t="s">
        <v>2590</v>
      </c>
      <c r="L829" s="102" t="s">
        <v>2591</v>
      </c>
      <c r="M829" s="102" t="s">
        <v>2592</v>
      </c>
      <c r="N829" s="102"/>
      <c r="O829" s="102" t="s">
        <v>383</v>
      </c>
      <c r="P829" s="103">
        <v>1</v>
      </c>
      <c r="Q829" s="105">
        <v>22000000</v>
      </c>
      <c r="R829" s="103">
        <v>96</v>
      </c>
      <c r="S829" s="105">
        <v>229166.66666666701</v>
      </c>
      <c r="T829" s="105">
        <v>5500000</v>
      </c>
      <c r="U829" s="105">
        <v>229166.66666666701</v>
      </c>
      <c r="V829" s="105">
        <v>229166.66666666701</v>
      </c>
      <c r="W829" s="105">
        <v>229166.66666666701</v>
      </c>
      <c r="X829" s="105">
        <v>229166.66666666701</v>
      </c>
      <c r="Y829" s="105">
        <v>229166.66666666701</v>
      </c>
      <c r="Z829" s="105">
        <v>229166.66666666701</v>
      </c>
      <c r="AA829" s="105">
        <v>229166.66666666701</v>
      </c>
      <c r="AB829" s="105">
        <v>229166.66666666701</v>
      </c>
      <c r="AC829" s="8">
        <f t="shared" si="84"/>
        <v>7333333.3333333358</v>
      </c>
      <c r="AD829" s="8">
        <f t="shared" si="85"/>
        <v>14666666.666666664</v>
      </c>
      <c r="AE829" s="8">
        <f t="shared" si="86"/>
        <v>229166.66666666701</v>
      </c>
      <c r="AF829" s="106">
        <f t="shared" si="87"/>
        <v>63.999999999999893</v>
      </c>
      <c r="AG829" s="8">
        <f t="shared" si="88"/>
        <v>229166.66666666701</v>
      </c>
      <c r="AH829" s="8">
        <f>IF($O829="Aktif",MAX(0,MIN($AE829,$AD829-SUM($AG829:AG829))),0)</f>
        <v>229166.66666666701</v>
      </c>
      <c r="AI829" s="8">
        <f>IF($O829="Aktif",MAX(0,MIN($AE829,$AD829-SUM($AG829:AH829))),0)</f>
        <v>229166.66666666701</v>
      </c>
      <c r="AJ829" s="8">
        <f>IF($O829="Aktif",MAX(0,MIN($AE829,$AD829-SUM($AG829:AI829))),0)</f>
        <v>229166.66666666701</v>
      </c>
      <c r="AK829" s="8">
        <f>IF($O829="Aktif",MAX(0,MIN($AE829,$AD829-SUM($AG829:AJ829))),0)</f>
        <v>229166.66666666701</v>
      </c>
      <c r="AL829" s="8">
        <f>IF($O829="Aktif",MAX(0,MIN($AE829,$AD829-SUM($AG829:AK829))),0)</f>
        <v>229166.66666666701</v>
      </c>
      <c r="AM829" s="8">
        <f>IF($O829="Aktif",MAX(0,MIN($AE829,$AD829-SUM($AG829:AL829))),0)</f>
        <v>229166.66666666701</v>
      </c>
      <c r="AN829" s="8">
        <f>IF($O829="Aktif",MAX(0,MIN($AE829,$AD829-SUM($AG829:AM829))),0)</f>
        <v>229166.66666666701</v>
      </c>
      <c r="AO829" s="8">
        <f>IF($O829="Aktif",MAX(0,MIN($AE829,$AD829-SUM($AG829:AN829))),0)</f>
        <v>229166.66666666701</v>
      </c>
      <c r="AP829" s="8">
        <f>IF($O829="Aktif",MAX(0,MIN($AE829,$AD829-SUM($AG829:AO829))),0)</f>
        <v>229166.66666666701</v>
      </c>
      <c r="AQ829" s="8">
        <f>IF($O829="Aktif",MAX(0,MIN($AE829,$AD829-SUM($AG829:AP829))),0)</f>
        <v>229166.66666666701</v>
      </c>
      <c r="AR829" s="8">
        <f>IF($O829="Aktif",MAX(0,MIN($AE829,$AD829-SUM($AG829:AQ829))),0)</f>
        <v>229166.66666666701</v>
      </c>
      <c r="AS829" s="8">
        <f>IF($O829="Aktif",MAX(0,MIN($AE829,$AD829-SUM($AG829:AR829))),0)</f>
        <v>229166.66666666701</v>
      </c>
      <c r="AT829" s="8">
        <f>IF($O829="Aktif",MAX(0,MIN($AE829,$AD829-SUM($AG829:AS829))),0)</f>
        <v>229166.66666666701</v>
      </c>
      <c r="AU829" s="8">
        <f>IF($O829="Aktif",MAX(0,MIN($AE829,$AD829-SUM($AG829:AT829))),0)</f>
        <v>229166.66666666701</v>
      </c>
      <c r="AV829" s="8">
        <f>IF($O829="Aktif",MAX(0,MIN($AE829,$AD829-SUM($AG829:AU829))),0)</f>
        <v>229166.66666666701</v>
      </c>
      <c r="AW829" s="8">
        <f t="shared" si="89"/>
        <v>3666666.6666666721</v>
      </c>
      <c r="AX829" s="8">
        <f t="shared" si="90"/>
        <v>10999999.999999993</v>
      </c>
    </row>
    <row r="830" spans="1:50" ht="15" customHeight="1" x14ac:dyDescent="0.35">
      <c r="A830" s="102">
        <v>824</v>
      </c>
      <c r="B830" s="102" t="s">
        <v>1326</v>
      </c>
      <c r="C830" s="103">
        <v>458</v>
      </c>
      <c r="D830" s="102" t="s">
        <v>185</v>
      </c>
      <c r="E830" s="102" t="s">
        <v>540</v>
      </c>
      <c r="F830" s="102" t="s">
        <v>2283</v>
      </c>
      <c r="G830" s="102" t="s">
        <v>2284</v>
      </c>
      <c r="H830" s="102" t="s">
        <v>2285</v>
      </c>
      <c r="I830" s="102" t="s">
        <v>63</v>
      </c>
      <c r="J830" s="102"/>
      <c r="K830" s="102" t="s">
        <v>2593</v>
      </c>
      <c r="L830" s="102" t="s">
        <v>2591</v>
      </c>
      <c r="M830" s="102" t="s">
        <v>2594</v>
      </c>
      <c r="N830" s="102"/>
      <c r="O830" s="102" t="s">
        <v>383</v>
      </c>
      <c r="P830" s="103">
        <v>1</v>
      </c>
      <c r="Q830" s="105">
        <v>22000000</v>
      </c>
      <c r="R830" s="103">
        <v>96</v>
      </c>
      <c r="S830" s="105">
        <v>229166.66666666701</v>
      </c>
      <c r="T830" s="105">
        <v>5500000</v>
      </c>
      <c r="U830" s="105">
        <v>229166.66666666701</v>
      </c>
      <c r="V830" s="105">
        <v>229166.66666666701</v>
      </c>
      <c r="W830" s="105">
        <v>229166.66666666701</v>
      </c>
      <c r="X830" s="105">
        <v>229166.66666666701</v>
      </c>
      <c r="Y830" s="105">
        <v>229166.66666666701</v>
      </c>
      <c r="Z830" s="105">
        <v>229166.66666666701</v>
      </c>
      <c r="AA830" s="105">
        <v>229166.66666666701</v>
      </c>
      <c r="AB830" s="105">
        <v>229166.66666666701</v>
      </c>
      <c r="AC830" s="8">
        <f t="shared" si="84"/>
        <v>7333333.3333333358</v>
      </c>
      <c r="AD830" s="8">
        <f t="shared" si="85"/>
        <v>14666666.666666664</v>
      </c>
      <c r="AE830" s="8">
        <f t="shared" si="86"/>
        <v>229166.66666666701</v>
      </c>
      <c r="AF830" s="106">
        <f t="shared" si="87"/>
        <v>63.999999999999893</v>
      </c>
      <c r="AG830" s="8">
        <f t="shared" si="88"/>
        <v>229166.66666666701</v>
      </c>
      <c r="AH830" s="8">
        <f>IF($O830="Aktif",MAX(0,MIN($AE830,$AD830-SUM($AG830:AG830))),0)</f>
        <v>229166.66666666701</v>
      </c>
      <c r="AI830" s="8">
        <f>IF($O830="Aktif",MAX(0,MIN($AE830,$AD830-SUM($AG830:AH830))),0)</f>
        <v>229166.66666666701</v>
      </c>
      <c r="AJ830" s="8">
        <f>IF($O830="Aktif",MAX(0,MIN($AE830,$AD830-SUM($AG830:AI830))),0)</f>
        <v>229166.66666666701</v>
      </c>
      <c r="AK830" s="8">
        <f>IF($O830="Aktif",MAX(0,MIN($AE830,$AD830-SUM($AG830:AJ830))),0)</f>
        <v>229166.66666666701</v>
      </c>
      <c r="AL830" s="8">
        <f>IF($O830="Aktif",MAX(0,MIN($AE830,$AD830-SUM($AG830:AK830))),0)</f>
        <v>229166.66666666701</v>
      </c>
      <c r="AM830" s="8">
        <f>IF($O830="Aktif",MAX(0,MIN($AE830,$AD830-SUM($AG830:AL830))),0)</f>
        <v>229166.66666666701</v>
      </c>
      <c r="AN830" s="8">
        <f>IF($O830="Aktif",MAX(0,MIN($AE830,$AD830-SUM($AG830:AM830))),0)</f>
        <v>229166.66666666701</v>
      </c>
      <c r="AO830" s="8">
        <f>IF($O830="Aktif",MAX(0,MIN($AE830,$AD830-SUM($AG830:AN830))),0)</f>
        <v>229166.66666666701</v>
      </c>
      <c r="AP830" s="8">
        <f>IF($O830="Aktif",MAX(0,MIN($AE830,$AD830-SUM($AG830:AO830))),0)</f>
        <v>229166.66666666701</v>
      </c>
      <c r="AQ830" s="8">
        <f>IF($O830="Aktif",MAX(0,MIN($AE830,$AD830-SUM($AG830:AP830))),0)</f>
        <v>229166.66666666701</v>
      </c>
      <c r="AR830" s="8">
        <f>IF($O830="Aktif",MAX(0,MIN($AE830,$AD830-SUM($AG830:AQ830))),0)</f>
        <v>229166.66666666701</v>
      </c>
      <c r="AS830" s="8">
        <f>IF($O830="Aktif",MAX(0,MIN($AE830,$AD830-SUM($AG830:AR830))),0)</f>
        <v>229166.66666666701</v>
      </c>
      <c r="AT830" s="8">
        <f>IF($O830="Aktif",MAX(0,MIN($AE830,$AD830-SUM($AG830:AS830))),0)</f>
        <v>229166.66666666701</v>
      </c>
      <c r="AU830" s="8">
        <f>IF($O830="Aktif",MAX(0,MIN($AE830,$AD830-SUM($AG830:AT830))),0)</f>
        <v>229166.66666666701</v>
      </c>
      <c r="AV830" s="8">
        <f>IF($O830="Aktif",MAX(0,MIN($AE830,$AD830-SUM($AG830:AU830))),0)</f>
        <v>229166.66666666701</v>
      </c>
      <c r="AW830" s="8">
        <f t="shared" si="89"/>
        <v>3666666.6666666721</v>
      </c>
      <c r="AX830" s="8">
        <f t="shared" si="90"/>
        <v>10999999.999999993</v>
      </c>
    </row>
    <row r="831" spans="1:50" ht="15" customHeight="1" x14ac:dyDescent="0.35">
      <c r="A831" s="102">
        <v>825</v>
      </c>
      <c r="B831" s="102" t="s">
        <v>1326</v>
      </c>
      <c r="C831" s="103">
        <v>459</v>
      </c>
      <c r="D831" s="102" t="s">
        <v>185</v>
      </c>
      <c r="E831" s="102" t="s">
        <v>540</v>
      </c>
      <c r="F831" s="102" t="s">
        <v>2283</v>
      </c>
      <c r="G831" s="102" t="s">
        <v>2284</v>
      </c>
      <c r="H831" s="102" t="s">
        <v>2285</v>
      </c>
      <c r="I831" s="102" t="s">
        <v>63</v>
      </c>
      <c r="J831" s="102"/>
      <c r="K831" s="102" t="s">
        <v>2595</v>
      </c>
      <c r="L831" s="102" t="s">
        <v>2591</v>
      </c>
      <c r="M831" s="102" t="s">
        <v>2596</v>
      </c>
      <c r="N831" s="102"/>
      <c r="O831" s="102" t="s">
        <v>383</v>
      </c>
      <c r="P831" s="103">
        <v>1</v>
      </c>
      <c r="Q831" s="105">
        <v>22000000</v>
      </c>
      <c r="R831" s="103">
        <v>96</v>
      </c>
      <c r="S831" s="105">
        <v>229166.66666666701</v>
      </c>
      <c r="T831" s="105">
        <v>5500000</v>
      </c>
      <c r="U831" s="105">
        <v>229166.66666666701</v>
      </c>
      <c r="V831" s="105">
        <v>229166.66666666701</v>
      </c>
      <c r="W831" s="105">
        <v>229166.66666666701</v>
      </c>
      <c r="X831" s="105">
        <v>229166.66666666701</v>
      </c>
      <c r="Y831" s="105">
        <v>229166.66666666701</v>
      </c>
      <c r="Z831" s="105">
        <v>229166.66666666701</v>
      </c>
      <c r="AA831" s="105">
        <v>229166.66666666701</v>
      </c>
      <c r="AB831" s="105">
        <v>229166.66666666701</v>
      </c>
      <c r="AC831" s="8">
        <f t="shared" si="84"/>
        <v>7333333.3333333358</v>
      </c>
      <c r="AD831" s="8">
        <f t="shared" si="85"/>
        <v>14666666.666666664</v>
      </c>
      <c r="AE831" s="8">
        <f t="shared" si="86"/>
        <v>229166.66666666701</v>
      </c>
      <c r="AF831" s="106">
        <f t="shared" si="87"/>
        <v>63.999999999999893</v>
      </c>
      <c r="AG831" s="8">
        <f t="shared" si="88"/>
        <v>229166.66666666701</v>
      </c>
      <c r="AH831" s="8">
        <f>IF($O831="Aktif",MAX(0,MIN($AE831,$AD831-SUM($AG831:AG831))),0)</f>
        <v>229166.66666666701</v>
      </c>
      <c r="AI831" s="8">
        <f>IF($O831="Aktif",MAX(0,MIN($AE831,$AD831-SUM($AG831:AH831))),0)</f>
        <v>229166.66666666701</v>
      </c>
      <c r="AJ831" s="8">
        <f>IF($O831="Aktif",MAX(0,MIN($AE831,$AD831-SUM($AG831:AI831))),0)</f>
        <v>229166.66666666701</v>
      </c>
      <c r="AK831" s="8">
        <f>IF($O831="Aktif",MAX(0,MIN($AE831,$AD831-SUM($AG831:AJ831))),0)</f>
        <v>229166.66666666701</v>
      </c>
      <c r="AL831" s="8">
        <f>IF($O831="Aktif",MAX(0,MIN($AE831,$AD831-SUM($AG831:AK831))),0)</f>
        <v>229166.66666666701</v>
      </c>
      <c r="AM831" s="8">
        <f>IF($O831="Aktif",MAX(0,MIN($AE831,$AD831-SUM($AG831:AL831))),0)</f>
        <v>229166.66666666701</v>
      </c>
      <c r="AN831" s="8">
        <f>IF($O831="Aktif",MAX(0,MIN($AE831,$AD831-SUM($AG831:AM831))),0)</f>
        <v>229166.66666666701</v>
      </c>
      <c r="AO831" s="8">
        <f>IF($O831="Aktif",MAX(0,MIN($AE831,$AD831-SUM($AG831:AN831))),0)</f>
        <v>229166.66666666701</v>
      </c>
      <c r="AP831" s="8">
        <f>IF($O831="Aktif",MAX(0,MIN($AE831,$AD831-SUM($AG831:AO831))),0)</f>
        <v>229166.66666666701</v>
      </c>
      <c r="AQ831" s="8">
        <f>IF($O831="Aktif",MAX(0,MIN($AE831,$AD831-SUM($AG831:AP831))),0)</f>
        <v>229166.66666666701</v>
      </c>
      <c r="AR831" s="8">
        <f>IF($O831="Aktif",MAX(0,MIN($AE831,$AD831-SUM($AG831:AQ831))),0)</f>
        <v>229166.66666666701</v>
      </c>
      <c r="AS831" s="8">
        <f>IF($O831="Aktif",MAX(0,MIN($AE831,$AD831-SUM($AG831:AR831))),0)</f>
        <v>229166.66666666701</v>
      </c>
      <c r="AT831" s="8">
        <f>IF($O831="Aktif",MAX(0,MIN($AE831,$AD831-SUM($AG831:AS831))),0)</f>
        <v>229166.66666666701</v>
      </c>
      <c r="AU831" s="8">
        <f>IF($O831="Aktif",MAX(0,MIN($AE831,$AD831-SUM($AG831:AT831))),0)</f>
        <v>229166.66666666701</v>
      </c>
      <c r="AV831" s="8">
        <f>IF($O831="Aktif",MAX(0,MIN($AE831,$AD831-SUM($AG831:AU831))),0)</f>
        <v>229166.66666666701</v>
      </c>
      <c r="AW831" s="8">
        <f t="shared" si="89"/>
        <v>3666666.6666666721</v>
      </c>
      <c r="AX831" s="8">
        <f t="shared" si="90"/>
        <v>10999999.999999993</v>
      </c>
    </row>
    <row r="832" spans="1:50" ht="15" customHeight="1" x14ac:dyDescent="0.35">
      <c r="A832" s="102">
        <v>826</v>
      </c>
      <c r="B832" s="102" t="s">
        <v>1326</v>
      </c>
      <c r="C832" s="103">
        <v>460</v>
      </c>
      <c r="D832" s="102" t="s">
        <v>185</v>
      </c>
      <c r="E832" s="102" t="s">
        <v>479</v>
      </c>
      <c r="F832" s="102" t="s">
        <v>2332</v>
      </c>
      <c r="G832" s="102" t="s">
        <v>2333</v>
      </c>
      <c r="H832" s="102" t="s">
        <v>2334</v>
      </c>
      <c r="I832" s="102" t="s">
        <v>63</v>
      </c>
      <c r="J832" s="102"/>
      <c r="K832" s="102" t="s">
        <v>2597</v>
      </c>
      <c r="L832" s="102" t="s">
        <v>2591</v>
      </c>
      <c r="M832" s="102" t="s">
        <v>2598</v>
      </c>
      <c r="N832" s="102"/>
      <c r="O832" s="102" t="s">
        <v>383</v>
      </c>
      <c r="P832" s="103">
        <v>1</v>
      </c>
      <c r="Q832" s="105">
        <v>3463063</v>
      </c>
      <c r="R832" s="103">
        <v>48</v>
      </c>
      <c r="S832" s="105">
        <v>72147.145833333299</v>
      </c>
      <c r="T832" s="105">
        <v>1731531.5</v>
      </c>
      <c r="U832" s="105">
        <v>72147.145833333299</v>
      </c>
      <c r="V832" s="105">
        <v>72147.145833333299</v>
      </c>
      <c r="W832" s="105">
        <v>72147.145833333299</v>
      </c>
      <c r="X832" s="105">
        <v>72147.145833333299</v>
      </c>
      <c r="Y832" s="105">
        <v>72147.145833333299</v>
      </c>
      <c r="Z832" s="105">
        <v>72147.145833333299</v>
      </c>
      <c r="AA832" s="105">
        <v>72147.145833333299</v>
      </c>
      <c r="AB832" s="105">
        <v>72147.145833333299</v>
      </c>
      <c r="AC832" s="8">
        <f t="shared" si="84"/>
        <v>2308708.6666666665</v>
      </c>
      <c r="AD832" s="8">
        <f t="shared" si="85"/>
        <v>1154354.3333333335</v>
      </c>
      <c r="AE832" s="8">
        <f t="shared" si="86"/>
        <v>72147.145833333299</v>
      </c>
      <c r="AF832" s="106">
        <f t="shared" si="87"/>
        <v>16.000000000000011</v>
      </c>
      <c r="AG832" s="8">
        <f t="shared" si="88"/>
        <v>72147.145833333299</v>
      </c>
      <c r="AH832" s="8">
        <f>IF($O832="Aktif",MAX(0,MIN($AE832,$AD832-SUM($AG832:AG832))),0)</f>
        <v>72147.145833333299</v>
      </c>
      <c r="AI832" s="8">
        <f>IF($O832="Aktif",MAX(0,MIN($AE832,$AD832-SUM($AG832:AH832))),0)</f>
        <v>72147.145833333299</v>
      </c>
      <c r="AJ832" s="8">
        <f>IF($O832="Aktif",MAX(0,MIN($AE832,$AD832-SUM($AG832:AI832))),0)</f>
        <v>72147.145833333299</v>
      </c>
      <c r="AK832" s="8">
        <f>IF($O832="Aktif",MAX(0,MIN($AE832,$AD832-SUM($AG832:AJ832))),0)</f>
        <v>72147.145833333299</v>
      </c>
      <c r="AL832" s="8">
        <f>IF($O832="Aktif",MAX(0,MIN($AE832,$AD832-SUM($AG832:AK832))),0)</f>
        <v>72147.145833333299</v>
      </c>
      <c r="AM832" s="8">
        <f>IF($O832="Aktif",MAX(0,MIN($AE832,$AD832-SUM($AG832:AL832))),0)</f>
        <v>72147.145833333299</v>
      </c>
      <c r="AN832" s="8">
        <f>IF($O832="Aktif",MAX(0,MIN($AE832,$AD832-SUM($AG832:AM832))),0)</f>
        <v>72147.145833333299</v>
      </c>
      <c r="AO832" s="8">
        <f>IF($O832="Aktif",MAX(0,MIN($AE832,$AD832-SUM($AG832:AN832))),0)</f>
        <v>72147.145833333299</v>
      </c>
      <c r="AP832" s="8">
        <f>IF($O832="Aktif",MAX(0,MIN($AE832,$AD832-SUM($AG832:AO832))),0)</f>
        <v>72147.145833333299</v>
      </c>
      <c r="AQ832" s="8">
        <f>IF($O832="Aktif",MAX(0,MIN($AE832,$AD832-SUM($AG832:AP832))),0)</f>
        <v>72147.145833333299</v>
      </c>
      <c r="AR832" s="8">
        <f>IF($O832="Aktif",MAX(0,MIN($AE832,$AD832-SUM($AG832:AQ832))),0)</f>
        <v>72147.145833333299</v>
      </c>
      <c r="AS832" s="8">
        <f>IF($O832="Aktif",MAX(0,MIN($AE832,$AD832-SUM($AG832:AR832))),0)</f>
        <v>72147.145833333299</v>
      </c>
      <c r="AT832" s="8">
        <f>IF($O832="Aktif",MAX(0,MIN($AE832,$AD832-SUM($AG832:AS832))),0)</f>
        <v>72147.145833333299</v>
      </c>
      <c r="AU832" s="8">
        <f>IF($O832="Aktif",MAX(0,MIN($AE832,$AD832-SUM($AG832:AT832))),0)</f>
        <v>72147.145833333299</v>
      </c>
      <c r="AV832" s="8">
        <f>IF($O832="Aktif",MAX(0,MIN($AE832,$AD832-SUM($AG832:AU832))),0)</f>
        <v>72147.145833333299</v>
      </c>
      <c r="AW832" s="8">
        <f t="shared" si="89"/>
        <v>1154354.3333333326</v>
      </c>
      <c r="AX832" s="8">
        <f t="shared" si="90"/>
        <v>0</v>
      </c>
    </row>
    <row r="833" spans="1:50" ht="15" customHeight="1" x14ac:dyDescent="0.35">
      <c r="A833" s="102">
        <v>827</v>
      </c>
      <c r="B833" s="102" t="s">
        <v>1326</v>
      </c>
      <c r="C833" s="103">
        <v>461</v>
      </c>
      <c r="D833" s="102" t="s">
        <v>185</v>
      </c>
      <c r="E833" s="102" t="s">
        <v>479</v>
      </c>
      <c r="F833" s="102" t="s">
        <v>2332</v>
      </c>
      <c r="G833" s="102" t="s">
        <v>2333</v>
      </c>
      <c r="H833" s="102" t="s">
        <v>2334</v>
      </c>
      <c r="I833" s="102" t="s">
        <v>63</v>
      </c>
      <c r="J833" s="102"/>
      <c r="K833" s="102" t="s">
        <v>2599</v>
      </c>
      <c r="L833" s="102" t="s">
        <v>2591</v>
      </c>
      <c r="M833" s="102" t="s">
        <v>2600</v>
      </c>
      <c r="N833" s="102"/>
      <c r="O833" s="102" t="s">
        <v>383</v>
      </c>
      <c r="P833" s="103">
        <v>1</v>
      </c>
      <c r="Q833" s="105">
        <v>3117117</v>
      </c>
      <c r="R833" s="103">
        <v>48</v>
      </c>
      <c r="S833" s="105">
        <v>64939.9375</v>
      </c>
      <c r="T833" s="105">
        <v>1558558.5</v>
      </c>
      <c r="U833" s="105">
        <v>64939.9375</v>
      </c>
      <c r="V833" s="105">
        <v>64939.9375</v>
      </c>
      <c r="W833" s="105">
        <v>64939.9375</v>
      </c>
      <c r="X833" s="105">
        <v>64939.9375</v>
      </c>
      <c r="Y833" s="105">
        <v>64939.9375</v>
      </c>
      <c r="Z833" s="105">
        <v>64939.9375</v>
      </c>
      <c r="AA833" s="105">
        <v>64939.9375</v>
      </c>
      <c r="AB833" s="105">
        <v>64939.9375</v>
      </c>
      <c r="AC833" s="8">
        <f t="shared" si="84"/>
        <v>2078078</v>
      </c>
      <c r="AD833" s="8">
        <f t="shared" si="85"/>
        <v>1039039</v>
      </c>
      <c r="AE833" s="8">
        <f t="shared" si="86"/>
        <v>64939.9375</v>
      </c>
      <c r="AF833" s="106">
        <f t="shared" si="87"/>
        <v>16</v>
      </c>
      <c r="AG833" s="8">
        <f t="shared" si="88"/>
        <v>64939.9375</v>
      </c>
      <c r="AH833" s="8">
        <f>IF($O833="Aktif",MAX(0,MIN($AE833,$AD833-SUM($AG833:AG833))),0)</f>
        <v>64939.9375</v>
      </c>
      <c r="AI833" s="8">
        <f>IF($O833="Aktif",MAX(0,MIN($AE833,$AD833-SUM($AG833:AH833))),0)</f>
        <v>64939.9375</v>
      </c>
      <c r="AJ833" s="8">
        <f>IF($O833="Aktif",MAX(0,MIN($AE833,$AD833-SUM($AG833:AI833))),0)</f>
        <v>64939.9375</v>
      </c>
      <c r="AK833" s="8">
        <f>IF($O833="Aktif",MAX(0,MIN($AE833,$AD833-SUM($AG833:AJ833))),0)</f>
        <v>64939.9375</v>
      </c>
      <c r="AL833" s="8">
        <f>IF($O833="Aktif",MAX(0,MIN($AE833,$AD833-SUM($AG833:AK833))),0)</f>
        <v>64939.9375</v>
      </c>
      <c r="AM833" s="8">
        <f>IF($O833="Aktif",MAX(0,MIN($AE833,$AD833-SUM($AG833:AL833))),0)</f>
        <v>64939.9375</v>
      </c>
      <c r="AN833" s="8">
        <f>IF($O833="Aktif",MAX(0,MIN($AE833,$AD833-SUM($AG833:AM833))),0)</f>
        <v>64939.9375</v>
      </c>
      <c r="AO833" s="8">
        <f>IF($O833="Aktif",MAX(0,MIN($AE833,$AD833-SUM($AG833:AN833))),0)</f>
        <v>64939.9375</v>
      </c>
      <c r="AP833" s="8">
        <f>IF($O833="Aktif",MAX(0,MIN($AE833,$AD833-SUM($AG833:AO833))),0)</f>
        <v>64939.9375</v>
      </c>
      <c r="AQ833" s="8">
        <f>IF($O833="Aktif",MAX(0,MIN($AE833,$AD833-SUM($AG833:AP833))),0)</f>
        <v>64939.9375</v>
      </c>
      <c r="AR833" s="8">
        <f>IF($O833="Aktif",MAX(0,MIN($AE833,$AD833-SUM($AG833:AQ833))),0)</f>
        <v>64939.9375</v>
      </c>
      <c r="AS833" s="8">
        <f>IF($O833="Aktif",MAX(0,MIN($AE833,$AD833-SUM($AG833:AR833))),0)</f>
        <v>64939.9375</v>
      </c>
      <c r="AT833" s="8">
        <f>IF($O833="Aktif",MAX(0,MIN($AE833,$AD833-SUM($AG833:AS833))),0)</f>
        <v>64939.9375</v>
      </c>
      <c r="AU833" s="8">
        <f>IF($O833="Aktif",MAX(0,MIN($AE833,$AD833-SUM($AG833:AT833))),0)</f>
        <v>64939.9375</v>
      </c>
      <c r="AV833" s="8">
        <f>IF($O833="Aktif",MAX(0,MIN($AE833,$AD833-SUM($AG833:AU833))),0)</f>
        <v>64939.9375</v>
      </c>
      <c r="AW833" s="8">
        <f t="shared" si="89"/>
        <v>1039039</v>
      </c>
      <c r="AX833" s="8">
        <f t="shared" si="90"/>
        <v>0</v>
      </c>
    </row>
    <row r="834" spans="1:50" ht="15" customHeight="1" x14ac:dyDescent="0.35">
      <c r="A834" s="102">
        <v>828</v>
      </c>
      <c r="B834" s="102" t="s">
        <v>1326</v>
      </c>
      <c r="C834" s="103">
        <v>462</v>
      </c>
      <c r="D834" s="102" t="s">
        <v>185</v>
      </c>
      <c r="E834" s="102" t="s">
        <v>479</v>
      </c>
      <c r="F834" s="102" t="s">
        <v>2332</v>
      </c>
      <c r="G834" s="102" t="s">
        <v>2333</v>
      </c>
      <c r="H834" s="102" t="s">
        <v>2334</v>
      </c>
      <c r="I834" s="102" t="s">
        <v>63</v>
      </c>
      <c r="J834" s="102"/>
      <c r="K834" s="102" t="s">
        <v>2601</v>
      </c>
      <c r="L834" s="102" t="s">
        <v>2602</v>
      </c>
      <c r="M834" s="102" t="s">
        <v>2603</v>
      </c>
      <c r="N834" s="102"/>
      <c r="O834" s="102" t="s">
        <v>383</v>
      </c>
      <c r="P834" s="103">
        <v>1</v>
      </c>
      <c r="Q834" s="105">
        <v>3800000</v>
      </c>
      <c r="R834" s="103">
        <v>48</v>
      </c>
      <c r="S834" s="105">
        <v>79166.666666666701</v>
      </c>
      <c r="T834" s="105">
        <v>1820833.33333333</v>
      </c>
      <c r="U834" s="105">
        <v>79166.666666666701</v>
      </c>
      <c r="V834" s="105">
        <v>79166.666666666701</v>
      </c>
      <c r="W834" s="105">
        <v>79166.666666666701</v>
      </c>
      <c r="X834" s="105">
        <v>79166.666666666701</v>
      </c>
      <c r="Y834" s="105">
        <v>79166.666666666701</v>
      </c>
      <c r="Z834" s="105">
        <v>79166.666666666701</v>
      </c>
      <c r="AA834" s="105">
        <v>79166.666666666701</v>
      </c>
      <c r="AB834" s="105">
        <v>79166.666666666701</v>
      </c>
      <c r="AC834" s="8">
        <f t="shared" si="84"/>
        <v>2454166.6666666637</v>
      </c>
      <c r="AD834" s="8">
        <f t="shared" si="85"/>
        <v>1345833.3333333363</v>
      </c>
      <c r="AE834" s="8">
        <f t="shared" si="86"/>
        <v>79166.666666666701</v>
      </c>
      <c r="AF834" s="106">
        <f t="shared" si="87"/>
        <v>17.000000000000028</v>
      </c>
      <c r="AG834" s="8">
        <f t="shared" si="88"/>
        <v>79166.666666666701</v>
      </c>
      <c r="AH834" s="8">
        <f>IF($O834="Aktif",MAX(0,MIN($AE834,$AD834-SUM($AG834:AG834))),0)</f>
        <v>79166.666666666701</v>
      </c>
      <c r="AI834" s="8">
        <f>IF($O834="Aktif",MAX(0,MIN($AE834,$AD834-SUM($AG834:AH834))),0)</f>
        <v>79166.666666666701</v>
      </c>
      <c r="AJ834" s="8">
        <f>IF($O834="Aktif",MAX(0,MIN($AE834,$AD834-SUM($AG834:AI834))),0)</f>
        <v>79166.666666666701</v>
      </c>
      <c r="AK834" s="8">
        <f>IF($O834="Aktif",MAX(0,MIN($AE834,$AD834-SUM($AG834:AJ834))),0)</f>
        <v>79166.666666666701</v>
      </c>
      <c r="AL834" s="8">
        <f>IF($O834="Aktif",MAX(0,MIN($AE834,$AD834-SUM($AG834:AK834))),0)</f>
        <v>79166.666666666701</v>
      </c>
      <c r="AM834" s="8">
        <f>IF($O834="Aktif",MAX(0,MIN($AE834,$AD834-SUM($AG834:AL834))),0)</f>
        <v>79166.666666666701</v>
      </c>
      <c r="AN834" s="8">
        <f>IF($O834="Aktif",MAX(0,MIN($AE834,$AD834-SUM($AG834:AM834))),0)</f>
        <v>79166.666666666701</v>
      </c>
      <c r="AO834" s="8">
        <f>IF($O834="Aktif",MAX(0,MIN($AE834,$AD834-SUM($AG834:AN834))),0)</f>
        <v>79166.666666666701</v>
      </c>
      <c r="AP834" s="8">
        <f>IF($O834="Aktif",MAX(0,MIN($AE834,$AD834-SUM($AG834:AO834))),0)</f>
        <v>79166.666666666701</v>
      </c>
      <c r="AQ834" s="8">
        <f>IF($O834="Aktif",MAX(0,MIN($AE834,$AD834-SUM($AG834:AP834))),0)</f>
        <v>79166.666666666701</v>
      </c>
      <c r="AR834" s="8">
        <f>IF($O834="Aktif",MAX(0,MIN($AE834,$AD834-SUM($AG834:AQ834))),0)</f>
        <v>79166.666666666701</v>
      </c>
      <c r="AS834" s="8">
        <f>IF($O834="Aktif",MAX(0,MIN($AE834,$AD834-SUM($AG834:AR834))),0)</f>
        <v>79166.666666666701</v>
      </c>
      <c r="AT834" s="8">
        <f>IF($O834="Aktif",MAX(0,MIN($AE834,$AD834-SUM($AG834:AS834))),0)</f>
        <v>79166.666666666701</v>
      </c>
      <c r="AU834" s="8">
        <f>IF($O834="Aktif",MAX(0,MIN($AE834,$AD834-SUM($AG834:AT834))),0)</f>
        <v>79166.666666666701</v>
      </c>
      <c r="AV834" s="8">
        <f>IF($O834="Aktif",MAX(0,MIN($AE834,$AD834-SUM($AG834:AU834))),0)</f>
        <v>79166.666666666701</v>
      </c>
      <c r="AW834" s="8">
        <f t="shared" si="89"/>
        <v>1266666.6666666674</v>
      </c>
      <c r="AX834" s="8">
        <f t="shared" si="90"/>
        <v>79166.66666666884</v>
      </c>
    </row>
    <row r="835" spans="1:50" ht="15" customHeight="1" x14ac:dyDescent="0.35">
      <c r="A835" s="102">
        <v>829</v>
      </c>
      <c r="B835" s="102" t="s">
        <v>1326</v>
      </c>
      <c r="C835" s="103">
        <v>463</v>
      </c>
      <c r="D835" s="102" t="s">
        <v>185</v>
      </c>
      <c r="E835" s="102" t="s">
        <v>479</v>
      </c>
      <c r="F835" s="102" t="s">
        <v>2332</v>
      </c>
      <c r="G835" s="102" t="s">
        <v>2333</v>
      </c>
      <c r="H835" s="102" t="s">
        <v>2334</v>
      </c>
      <c r="I835" s="102" t="s">
        <v>63</v>
      </c>
      <c r="J835" s="102"/>
      <c r="K835" s="102" t="s">
        <v>2604</v>
      </c>
      <c r="L835" s="104">
        <v>45360</v>
      </c>
      <c r="M835" s="102" t="s">
        <v>2605</v>
      </c>
      <c r="N835" s="102"/>
      <c r="O835" s="102" t="s">
        <v>383</v>
      </c>
      <c r="P835" s="103">
        <v>1</v>
      </c>
      <c r="Q835" s="105">
        <v>11000000</v>
      </c>
      <c r="R835" s="103">
        <v>48</v>
      </c>
      <c r="S835" s="105">
        <v>229166.66666666701</v>
      </c>
      <c r="T835" s="105">
        <v>5041666.6666666698</v>
      </c>
      <c r="U835" s="105">
        <v>229166.66666666701</v>
      </c>
      <c r="V835" s="105">
        <v>229166.66666666701</v>
      </c>
      <c r="W835" s="105">
        <v>229166.66666666701</v>
      </c>
      <c r="X835" s="105">
        <v>229166.66666666701</v>
      </c>
      <c r="Y835" s="105">
        <v>229166.66666666701</v>
      </c>
      <c r="Z835" s="105">
        <v>229166.66666666701</v>
      </c>
      <c r="AA835" s="105">
        <v>229166.66666666701</v>
      </c>
      <c r="AB835" s="105">
        <v>229166.66666666701</v>
      </c>
      <c r="AC835" s="8">
        <f t="shared" si="84"/>
        <v>6875000.0000000056</v>
      </c>
      <c r="AD835" s="8">
        <f t="shared" si="85"/>
        <v>4124999.9999999944</v>
      </c>
      <c r="AE835" s="8">
        <f t="shared" si="86"/>
        <v>229166.66666666701</v>
      </c>
      <c r="AF835" s="106">
        <f t="shared" si="87"/>
        <v>17.99999999999995</v>
      </c>
      <c r="AG835" s="8">
        <f t="shared" si="88"/>
        <v>229166.66666666701</v>
      </c>
      <c r="AH835" s="8">
        <f>IF($O835="Aktif",MAX(0,MIN($AE835,$AD835-SUM($AG835:AG835))),0)</f>
        <v>229166.66666666701</v>
      </c>
      <c r="AI835" s="8">
        <f>IF($O835="Aktif",MAX(0,MIN($AE835,$AD835-SUM($AG835:AH835))),0)</f>
        <v>229166.66666666701</v>
      </c>
      <c r="AJ835" s="8">
        <f>IF($O835="Aktif",MAX(0,MIN($AE835,$AD835-SUM($AG835:AI835))),0)</f>
        <v>229166.66666666701</v>
      </c>
      <c r="AK835" s="8">
        <f>IF($O835="Aktif",MAX(0,MIN($AE835,$AD835-SUM($AG835:AJ835))),0)</f>
        <v>229166.66666666701</v>
      </c>
      <c r="AL835" s="8">
        <f>IF($O835="Aktif",MAX(0,MIN($AE835,$AD835-SUM($AG835:AK835))),0)</f>
        <v>229166.66666666701</v>
      </c>
      <c r="AM835" s="8">
        <f>IF($O835="Aktif",MAX(0,MIN($AE835,$AD835-SUM($AG835:AL835))),0)</f>
        <v>229166.66666666701</v>
      </c>
      <c r="AN835" s="8">
        <f>IF($O835="Aktif",MAX(0,MIN($AE835,$AD835-SUM($AG835:AM835))),0)</f>
        <v>229166.66666666701</v>
      </c>
      <c r="AO835" s="8">
        <f>IF($O835="Aktif",MAX(0,MIN($AE835,$AD835-SUM($AG835:AN835))),0)</f>
        <v>229166.66666666701</v>
      </c>
      <c r="AP835" s="8">
        <f>IF($O835="Aktif",MAX(0,MIN($AE835,$AD835-SUM($AG835:AO835))),0)</f>
        <v>229166.66666666701</v>
      </c>
      <c r="AQ835" s="8">
        <f>IF($O835="Aktif",MAX(0,MIN($AE835,$AD835-SUM($AG835:AP835))),0)</f>
        <v>229166.66666666701</v>
      </c>
      <c r="AR835" s="8">
        <f>IF($O835="Aktif",MAX(0,MIN($AE835,$AD835-SUM($AG835:AQ835))),0)</f>
        <v>229166.66666666701</v>
      </c>
      <c r="AS835" s="8">
        <f>IF($O835="Aktif",MAX(0,MIN($AE835,$AD835-SUM($AG835:AR835))),0)</f>
        <v>229166.66666666701</v>
      </c>
      <c r="AT835" s="8">
        <f>IF($O835="Aktif",MAX(0,MIN($AE835,$AD835-SUM($AG835:AS835))),0)</f>
        <v>229166.66666666701</v>
      </c>
      <c r="AU835" s="8">
        <f>IF($O835="Aktif",MAX(0,MIN($AE835,$AD835-SUM($AG835:AT835))),0)</f>
        <v>229166.66666666701</v>
      </c>
      <c r="AV835" s="8">
        <f>IF($O835="Aktif",MAX(0,MIN($AE835,$AD835-SUM($AG835:AU835))),0)</f>
        <v>229166.66666666701</v>
      </c>
      <c r="AW835" s="8">
        <f t="shared" si="89"/>
        <v>3666666.6666666721</v>
      </c>
      <c r="AX835" s="8">
        <f t="shared" si="90"/>
        <v>458333.33333332231</v>
      </c>
    </row>
    <row r="836" spans="1:50" ht="15" customHeight="1" x14ac:dyDescent="0.35">
      <c r="A836" s="102">
        <v>830</v>
      </c>
      <c r="B836" s="102" t="s">
        <v>1326</v>
      </c>
      <c r="C836" s="103">
        <v>464</v>
      </c>
      <c r="D836" s="102" t="s">
        <v>185</v>
      </c>
      <c r="E836" s="102" t="s">
        <v>479</v>
      </c>
      <c r="F836" s="102" t="s">
        <v>2332</v>
      </c>
      <c r="G836" s="102" t="s">
        <v>2333</v>
      </c>
      <c r="H836" s="102" t="s">
        <v>2334</v>
      </c>
      <c r="I836" s="102" t="s">
        <v>63</v>
      </c>
      <c r="J836" s="102"/>
      <c r="K836" s="102" t="s">
        <v>2606</v>
      </c>
      <c r="L836" s="104">
        <v>45360</v>
      </c>
      <c r="M836" s="102" t="s">
        <v>2607</v>
      </c>
      <c r="N836" s="102"/>
      <c r="O836" s="102" t="s">
        <v>383</v>
      </c>
      <c r="P836" s="103">
        <v>1</v>
      </c>
      <c r="Q836" s="105">
        <v>11000000</v>
      </c>
      <c r="R836" s="103">
        <v>48</v>
      </c>
      <c r="S836" s="105">
        <v>229166.66666666701</v>
      </c>
      <c r="T836" s="105">
        <v>5041666.6666666698</v>
      </c>
      <c r="U836" s="105">
        <v>229166.66666666701</v>
      </c>
      <c r="V836" s="105">
        <v>229166.66666666701</v>
      </c>
      <c r="W836" s="105">
        <v>229166.66666666701</v>
      </c>
      <c r="X836" s="105">
        <v>229166.66666666701</v>
      </c>
      <c r="Y836" s="105">
        <v>229166.66666666701</v>
      </c>
      <c r="Z836" s="105">
        <v>229166.66666666701</v>
      </c>
      <c r="AA836" s="105">
        <v>229166.66666666701</v>
      </c>
      <c r="AB836" s="105">
        <v>229166.66666666701</v>
      </c>
      <c r="AC836" s="8">
        <f t="shared" si="84"/>
        <v>6875000.0000000056</v>
      </c>
      <c r="AD836" s="8">
        <f t="shared" si="85"/>
        <v>4124999.9999999944</v>
      </c>
      <c r="AE836" s="8">
        <f t="shared" si="86"/>
        <v>229166.66666666701</v>
      </c>
      <c r="AF836" s="106">
        <f t="shared" si="87"/>
        <v>17.99999999999995</v>
      </c>
      <c r="AG836" s="8">
        <f t="shared" si="88"/>
        <v>229166.66666666701</v>
      </c>
      <c r="AH836" s="8">
        <f>IF($O836="Aktif",MAX(0,MIN($AE836,$AD836-SUM($AG836:AG836))),0)</f>
        <v>229166.66666666701</v>
      </c>
      <c r="AI836" s="8">
        <f>IF($O836="Aktif",MAX(0,MIN($AE836,$AD836-SUM($AG836:AH836))),0)</f>
        <v>229166.66666666701</v>
      </c>
      <c r="AJ836" s="8">
        <f>IF($O836="Aktif",MAX(0,MIN($AE836,$AD836-SUM($AG836:AI836))),0)</f>
        <v>229166.66666666701</v>
      </c>
      <c r="AK836" s="8">
        <f>IF($O836="Aktif",MAX(0,MIN($AE836,$AD836-SUM($AG836:AJ836))),0)</f>
        <v>229166.66666666701</v>
      </c>
      <c r="AL836" s="8">
        <f>IF($O836="Aktif",MAX(0,MIN($AE836,$AD836-SUM($AG836:AK836))),0)</f>
        <v>229166.66666666701</v>
      </c>
      <c r="AM836" s="8">
        <f>IF($O836="Aktif",MAX(0,MIN($AE836,$AD836-SUM($AG836:AL836))),0)</f>
        <v>229166.66666666701</v>
      </c>
      <c r="AN836" s="8">
        <f>IF($O836="Aktif",MAX(0,MIN($AE836,$AD836-SUM($AG836:AM836))),0)</f>
        <v>229166.66666666701</v>
      </c>
      <c r="AO836" s="8">
        <f>IF($O836="Aktif",MAX(0,MIN($AE836,$AD836-SUM($AG836:AN836))),0)</f>
        <v>229166.66666666701</v>
      </c>
      <c r="AP836" s="8">
        <f>IF($O836="Aktif",MAX(0,MIN($AE836,$AD836-SUM($AG836:AO836))),0)</f>
        <v>229166.66666666701</v>
      </c>
      <c r="AQ836" s="8">
        <f>IF($O836="Aktif",MAX(0,MIN($AE836,$AD836-SUM($AG836:AP836))),0)</f>
        <v>229166.66666666701</v>
      </c>
      <c r="AR836" s="8">
        <f>IF($O836="Aktif",MAX(0,MIN($AE836,$AD836-SUM($AG836:AQ836))),0)</f>
        <v>229166.66666666701</v>
      </c>
      <c r="AS836" s="8">
        <f>IF($O836="Aktif",MAX(0,MIN($AE836,$AD836-SUM($AG836:AR836))),0)</f>
        <v>229166.66666666701</v>
      </c>
      <c r="AT836" s="8">
        <f>IF($O836="Aktif",MAX(0,MIN($AE836,$AD836-SUM($AG836:AS836))),0)</f>
        <v>229166.66666666701</v>
      </c>
      <c r="AU836" s="8">
        <f>IF($O836="Aktif",MAX(0,MIN($AE836,$AD836-SUM($AG836:AT836))),0)</f>
        <v>229166.66666666701</v>
      </c>
      <c r="AV836" s="8">
        <f>IF($O836="Aktif",MAX(0,MIN($AE836,$AD836-SUM($AG836:AU836))),0)</f>
        <v>229166.66666666701</v>
      </c>
      <c r="AW836" s="8">
        <f t="shared" si="89"/>
        <v>3666666.6666666721</v>
      </c>
      <c r="AX836" s="8">
        <f t="shared" si="90"/>
        <v>458333.33333332231</v>
      </c>
    </row>
    <row r="837" spans="1:50" ht="15" customHeight="1" x14ac:dyDescent="0.35">
      <c r="A837" s="102">
        <v>831</v>
      </c>
      <c r="B837" s="102" t="s">
        <v>1326</v>
      </c>
      <c r="C837" s="103">
        <v>465</v>
      </c>
      <c r="D837" s="102" t="s">
        <v>185</v>
      </c>
      <c r="E837" s="102" t="s">
        <v>479</v>
      </c>
      <c r="F837" s="102" t="s">
        <v>2332</v>
      </c>
      <c r="G837" s="102" t="s">
        <v>2333</v>
      </c>
      <c r="H837" s="102" t="s">
        <v>2334</v>
      </c>
      <c r="I837" s="102" t="s">
        <v>63</v>
      </c>
      <c r="J837" s="102"/>
      <c r="K837" s="102" t="s">
        <v>2608</v>
      </c>
      <c r="L837" s="104">
        <v>45360</v>
      </c>
      <c r="M837" s="102" t="s">
        <v>2609</v>
      </c>
      <c r="N837" s="102"/>
      <c r="O837" s="102" t="s">
        <v>383</v>
      </c>
      <c r="P837" s="103">
        <v>1</v>
      </c>
      <c r="Q837" s="105">
        <v>11000000</v>
      </c>
      <c r="R837" s="103">
        <v>48</v>
      </c>
      <c r="S837" s="105">
        <v>229166.66666666701</v>
      </c>
      <c r="T837" s="105">
        <v>5041666.6666666698</v>
      </c>
      <c r="U837" s="105">
        <v>229166.66666666701</v>
      </c>
      <c r="V837" s="105">
        <v>229166.66666666701</v>
      </c>
      <c r="W837" s="105">
        <v>229166.66666666701</v>
      </c>
      <c r="X837" s="105">
        <v>229166.66666666701</v>
      </c>
      <c r="Y837" s="105">
        <v>229166.66666666701</v>
      </c>
      <c r="Z837" s="105">
        <v>229166.66666666701</v>
      </c>
      <c r="AA837" s="105">
        <v>229166.66666666701</v>
      </c>
      <c r="AB837" s="105">
        <v>229166.66666666701</v>
      </c>
      <c r="AC837" s="8">
        <f t="shared" si="84"/>
        <v>6875000.0000000056</v>
      </c>
      <c r="AD837" s="8">
        <f t="shared" si="85"/>
        <v>4124999.9999999944</v>
      </c>
      <c r="AE837" s="8">
        <f t="shared" si="86"/>
        <v>229166.66666666701</v>
      </c>
      <c r="AF837" s="106">
        <f t="shared" si="87"/>
        <v>17.99999999999995</v>
      </c>
      <c r="AG837" s="8">
        <f t="shared" si="88"/>
        <v>229166.66666666701</v>
      </c>
      <c r="AH837" s="8">
        <f>IF($O837="Aktif",MAX(0,MIN($AE837,$AD837-SUM($AG837:AG837))),0)</f>
        <v>229166.66666666701</v>
      </c>
      <c r="AI837" s="8">
        <f>IF($O837="Aktif",MAX(0,MIN($AE837,$AD837-SUM($AG837:AH837))),0)</f>
        <v>229166.66666666701</v>
      </c>
      <c r="AJ837" s="8">
        <f>IF($O837="Aktif",MAX(0,MIN($AE837,$AD837-SUM($AG837:AI837))),0)</f>
        <v>229166.66666666701</v>
      </c>
      <c r="AK837" s="8">
        <f>IF($O837="Aktif",MAX(0,MIN($AE837,$AD837-SUM($AG837:AJ837))),0)</f>
        <v>229166.66666666701</v>
      </c>
      <c r="AL837" s="8">
        <f>IF($O837="Aktif",MAX(0,MIN($AE837,$AD837-SUM($AG837:AK837))),0)</f>
        <v>229166.66666666701</v>
      </c>
      <c r="AM837" s="8">
        <f>IF($O837="Aktif",MAX(0,MIN($AE837,$AD837-SUM($AG837:AL837))),0)</f>
        <v>229166.66666666701</v>
      </c>
      <c r="AN837" s="8">
        <f>IF($O837="Aktif",MAX(0,MIN($AE837,$AD837-SUM($AG837:AM837))),0)</f>
        <v>229166.66666666701</v>
      </c>
      <c r="AO837" s="8">
        <f>IF($O837="Aktif",MAX(0,MIN($AE837,$AD837-SUM($AG837:AN837))),0)</f>
        <v>229166.66666666701</v>
      </c>
      <c r="AP837" s="8">
        <f>IF($O837="Aktif",MAX(0,MIN($AE837,$AD837-SUM($AG837:AO837))),0)</f>
        <v>229166.66666666701</v>
      </c>
      <c r="AQ837" s="8">
        <f>IF($O837="Aktif",MAX(0,MIN($AE837,$AD837-SUM($AG837:AP837))),0)</f>
        <v>229166.66666666701</v>
      </c>
      <c r="AR837" s="8">
        <f>IF($O837="Aktif",MAX(0,MIN($AE837,$AD837-SUM($AG837:AQ837))),0)</f>
        <v>229166.66666666701</v>
      </c>
      <c r="AS837" s="8">
        <f>IF($O837="Aktif",MAX(0,MIN($AE837,$AD837-SUM($AG837:AR837))),0)</f>
        <v>229166.66666666701</v>
      </c>
      <c r="AT837" s="8">
        <f>IF($O837="Aktif",MAX(0,MIN($AE837,$AD837-SUM($AG837:AS837))),0)</f>
        <v>229166.66666666701</v>
      </c>
      <c r="AU837" s="8">
        <f>IF($O837="Aktif",MAX(0,MIN($AE837,$AD837-SUM($AG837:AT837))),0)</f>
        <v>229166.66666666701</v>
      </c>
      <c r="AV837" s="8">
        <f>IF($O837="Aktif",MAX(0,MIN($AE837,$AD837-SUM($AG837:AU837))),0)</f>
        <v>229166.66666666701</v>
      </c>
      <c r="AW837" s="8">
        <f t="shared" si="89"/>
        <v>3666666.6666666721</v>
      </c>
      <c r="AX837" s="8">
        <f t="shared" si="90"/>
        <v>458333.33333332231</v>
      </c>
    </row>
    <row r="838" spans="1:50" ht="15" customHeight="1" x14ac:dyDescent="0.35">
      <c r="A838" s="102">
        <v>832</v>
      </c>
      <c r="B838" s="102" t="s">
        <v>1326</v>
      </c>
      <c r="C838" s="103">
        <v>466</v>
      </c>
      <c r="D838" s="102" t="s">
        <v>185</v>
      </c>
      <c r="E838" s="102" t="s">
        <v>479</v>
      </c>
      <c r="F838" s="102" t="s">
        <v>2332</v>
      </c>
      <c r="G838" s="102" t="s">
        <v>2333</v>
      </c>
      <c r="H838" s="102" t="s">
        <v>2334</v>
      </c>
      <c r="I838" s="102" t="s">
        <v>63</v>
      </c>
      <c r="J838" s="102"/>
      <c r="K838" s="102" t="s">
        <v>2610</v>
      </c>
      <c r="L838" s="104">
        <v>45366</v>
      </c>
      <c r="M838" s="102" t="s">
        <v>2611</v>
      </c>
      <c r="N838" s="102"/>
      <c r="O838" s="102" t="s">
        <v>383</v>
      </c>
      <c r="P838" s="103">
        <v>1</v>
      </c>
      <c r="Q838" s="105">
        <v>10500000</v>
      </c>
      <c r="R838" s="103">
        <v>48</v>
      </c>
      <c r="S838" s="105">
        <v>218750</v>
      </c>
      <c r="T838" s="105">
        <v>4812500</v>
      </c>
      <c r="U838" s="105">
        <v>218750</v>
      </c>
      <c r="V838" s="105">
        <v>218750</v>
      </c>
      <c r="W838" s="105">
        <v>218750</v>
      </c>
      <c r="X838" s="105">
        <v>218750</v>
      </c>
      <c r="Y838" s="105">
        <v>218750</v>
      </c>
      <c r="Z838" s="105">
        <v>218750</v>
      </c>
      <c r="AA838" s="105">
        <v>218750</v>
      </c>
      <c r="AB838" s="105">
        <v>218750</v>
      </c>
      <c r="AC838" s="8">
        <f t="shared" si="84"/>
        <v>6562500</v>
      </c>
      <c r="AD838" s="8">
        <f t="shared" si="85"/>
        <v>3937500</v>
      </c>
      <c r="AE838" s="8">
        <f t="shared" si="86"/>
        <v>218750</v>
      </c>
      <c r="AF838" s="106">
        <f t="shared" si="87"/>
        <v>18</v>
      </c>
      <c r="AG838" s="8">
        <f t="shared" si="88"/>
        <v>218750</v>
      </c>
      <c r="AH838" s="8">
        <f>IF($O838="Aktif",MAX(0,MIN($AE838,$AD838-SUM($AG838:AG838))),0)</f>
        <v>218750</v>
      </c>
      <c r="AI838" s="8">
        <f>IF($O838="Aktif",MAX(0,MIN($AE838,$AD838-SUM($AG838:AH838))),0)</f>
        <v>218750</v>
      </c>
      <c r="AJ838" s="8">
        <f>IF($O838="Aktif",MAX(0,MIN($AE838,$AD838-SUM($AG838:AI838))),0)</f>
        <v>218750</v>
      </c>
      <c r="AK838" s="8">
        <f>IF($O838="Aktif",MAX(0,MIN($AE838,$AD838-SUM($AG838:AJ838))),0)</f>
        <v>218750</v>
      </c>
      <c r="AL838" s="8">
        <f>IF($O838="Aktif",MAX(0,MIN($AE838,$AD838-SUM($AG838:AK838))),0)</f>
        <v>218750</v>
      </c>
      <c r="AM838" s="8">
        <f>IF($O838="Aktif",MAX(0,MIN($AE838,$AD838-SUM($AG838:AL838))),0)</f>
        <v>218750</v>
      </c>
      <c r="AN838" s="8">
        <f>IF($O838="Aktif",MAX(0,MIN($AE838,$AD838-SUM($AG838:AM838))),0)</f>
        <v>218750</v>
      </c>
      <c r="AO838" s="8">
        <f>IF($O838="Aktif",MAX(0,MIN($AE838,$AD838-SUM($AG838:AN838))),0)</f>
        <v>218750</v>
      </c>
      <c r="AP838" s="8">
        <f>IF($O838="Aktif",MAX(0,MIN($AE838,$AD838-SUM($AG838:AO838))),0)</f>
        <v>218750</v>
      </c>
      <c r="AQ838" s="8">
        <f>IF($O838="Aktif",MAX(0,MIN($AE838,$AD838-SUM($AG838:AP838))),0)</f>
        <v>218750</v>
      </c>
      <c r="AR838" s="8">
        <f>IF($O838="Aktif",MAX(0,MIN($AE838,$AD838-SUM($AG838:AQ838))),0)</f>
        <v>218750</v>
      </c>
      <c r="AS838" s="8">
        <f>IF($O838="Aktif",MAX(0,MIN($AE838,$AD838-SUM($AG838:AR838))),0)</f>
        <v>218750</v>
      </c>
      <c r="AT838" s="8">
        <f>IF($O838="Aktif",MAX(0,MIN($AE838,$AD838-SUM($AG838:AS838))),0)</f>
        <v>218750</v>
      </c>
      <c r="AU838" s="8">
        <f>IF($O838="Aktif",MAX(0,MIN($AE838,$AD838-SUM($AG838:AT838))),0)</f>
        <v>218750</v>
      </c>
      <c r="AV838" s="8">
        <f>IF($O838="Aktif",MAX(0,MIN($AE838,$AD838-SUM($AG838:AU838))),0)</f>
        <v>218750</v>
      </c>
      <c r="AW838" s="8">
        <f t="shared" si="89"/>
        <v>3500000</v>
      </c>
      <c r="AX838" s="8">
        <f t="shared" si="90"/>
        <v>437500</v>
      </c>
    </row>
    <row r="839" spans="1:50" ht="15" customHeight="1" x14ac:dyDescent="0.35">
      <c r="A839" s="102">
        <v>833</v>
      </c>
      <c r="B839" s="102" t="s">
        <v>1326</v>
      </c>
      <c r="C839" s="103">
        <v>467</v>
      </c>
      <c r="D839" s="102" t="s">
        <v>185</v>
      </c>
      <c r="E839" s="102" t="s">
        <v>479</v>
      </c>
      <c r="F839" s="102" t="s">
        <v>2332</v>
      </c>
      <c r="G839" s="102" t="s">
        <v>2333</v>
      </c>
      <c r="H839" s="102" t="s">
        <v>2334</v>
      </c>
      <c r="I839" s="102" t="s">
        <v>63</v>
      </c>
      <c r="J839" s="102"/>
      <c r="K839" s="102" t="s">
        <v>2612</v>
      </c>
      <c r="L839" s="104">
        <v>45366</v>
      </c>
      <c r="M839" s="102" t="s">
        <v>2613</v>
      </c>
      <c r="N839" s="102"/>
      <c r="O839" s="102" t="s">
        <v>383</v>
      </c>
      <c r="P839" s="103">
        <v>1</v>
      </c>
      <c r="Q839" s="105">
        <v>258000000</v>
      </c>
      <c r="R839" s="103">
        <v>48</v>
      </c>
      <c r="S839" s="105">
        <v>5375000</v>
      </c>
      <c r="T839" s="105">
        <v>118250000</v>
      </c>
      <c r="U839" s="105">
        <v>5375000</v>
      </c>
      <c r="V839" s="105">
        <v>5375000</v>
      </c>
      <c r="W839" s="105">
        <v>5375000</v>
      </c>
      <c r="X839" s="105">
        <v>5375000</v>
      </c>
      <c r="Y839" s="105">
        <v>5375000</v>
      </c>
      <c r="Z839" s="105">
        <v>5375000</v>
      </c>
      <c r="AA839" s="105">
        <v>5375000</v>
      </c>
      <c r="AB839" s="105">
        <v>5375000</v>
      </c>
      <c r="AC839" s="8">
        <f t="shared" ref="AC839:AC902" si="91">T839+SUM(U839:AB839)</f>
        <v>161250000</v>
      </c>
      <c r="AD839" s="8">
        <f t="shared" ref="AD839:AD902" si="92">Q839-AC839</f>
        <v>96750000</v>
      </c>
      <c r="AE839" s="8">
        <f t="shared" ref="AE839:AE902" si="93">IF(O839="Aktif",AB839,0)</f>
        <v>5375000</v>
      </c>
      <c r="AF839" s="106">
        <f t="shared" ref="AF839:AF902" si="94">IF(AE839&gt;0,MAX(0,AD839)/AE839,0)</f>
        <v>18</v>
      </c>
      <c r="AG839" s="8">
        <f t="shared" ref="AG839:AG902" si="95">IF($O839="Aktif",MAX(0,MIN($AE839,$AD839-0)),0)</f>
        <v>5375000</v>
      </c>
      <c r="AH839" s="8">
        <f>IF($O839="Aktif",MAX(0,MIN($AE839,$AD839-SUM($AG839:AG839))),0)</f>
        <v>5375000</v>
      </c>
      <c r="AI839" s="8">
        <f>IF($O839="Aktif",MAX(0,MIN($AE839,$AD839-SUM($AG839:AH839))),0)</f>
        <v>5375000</v>
      </c>
      <c r="AJ839" s="8">
        <f>IF($O839="Aktif",MAX(0,MIN($AE839,$AD839-SUM($AG839:AI839))),0)</f>
        <v>5375000</v>
      </c>
      <c r="AK839" s="8">
        <f>IF($O839="Aktif",MAX(0,MIN($AE839,$AD839-SUM($AG839:AJ839))),0)</f>
        <v>5375000</v>
      </c>
      <c r="AL839" s="8">
        <f>IF($O839="Aktif",MAX(0,MIN($AE839,$AD839-SUM($AG839:AK839))),0)</f>
        <v>5375000</v>
      </c>
      <c r="AM839" s="8">
        <f>IF($O839="Aktif",MAX(0,MIN($AE839,$AD839-SUM($AG839:AL839))),0)</f>
        <v>5375000</v>
      </c>
      <c r="AN839" s="8">
        <f>IF($O839="Aktif",MAX(0,MIN($AE839,$AD839-SUM($AG839:AM839))),0)</f>
        <v>5375000</v>
      </c>
      <c r="AO839" s="8">
        <f>IF($O839="Aktif",MAX(0,MIN($AE839,$AD839-SUM($AG839:AN839))),0)</f>
        <v>5375000</v>
      </c>
      <c r="AP839" s="8">
        <f>IF($O839="Aktif",MAX(0,MIN($AE839,$AD839-SUM($AG839:AO839))),0)</f>
        <v>5375000</v>
      </c>
      <c r="AQ839" s="8">
        <f>IF($O839="Aktif",MAX(0,MIN($AE839,$AD839-SUM($AG839:AP839))),0)</f>
        <v>5375000</v>
      </c>
      <c r="AR839" s="8">
        <f>IF($O839="Aktif",MAX(0,MIN($AE839,$AD839-SUM($AG839:AQ839))),0)</f>
        <v>5375000</v>
      </c>
      <c r="AS839" s="8">
        <f>IF($O839="Aktif",MAX(0,MIN($AE839,$AD839-SUM($AG839:AR839))),0)</f>
        <v>5375000</v>
      </c>
      <c r="AT839" s="8">
        <f>IF($O839="Aktif",MAX(0,MIN($AE839,$AD839-SUM($AG839:AS839))),0)</f>
        <v>5375000</v>
      </c>
      <c r="AU839" s="8">
        <f>IF($O839="Aktif",MAX(0,MIN($AE839,$AD839-SUM($AG839:AT839))),0)</f>
        <v>5375000</v>
      </c>
      <c r="AV839" s="8">
        <f>IF($O839="Aktif",MAX(0,MIN($AE839,$AD839-SUM($AG839:AU839))),0)</f>
        <v>5375000</v>
      </c>
      <c r="AW839" s="8">
        <f t="shared" ref="AW839:AW902" si="96">SUM(AG839:AV839)</f>
        <v>86000000</v>
      </c>
      <c r="AX839" s="8">
        <f t="shared" ref="AX839:AX902" si="97">AD839-AW839</f>
        <v>10750000</v>
      </c>
    </row>
    <row r="840" spans="1:50" ht="15" customHeight="1" x14ac:dyDescent="0.35">
      <c r="A840" s="102">
        <v>834</v>
      </c>
      <c r="B840" s="102" t="s">
        <v>1326</v>
      </c>
      <c r="C840" s="103">
        <v>468</v>
      </c>
      <c r="D840" s="102" t="s">
        <v>185</v>
      </c>
      <c r="E840" s="102" t="s">
        <v>479</v>
      </c>
      <c r="F840" s="102" t="s">
        <v>2332</v>
      </c>
      <c r="G840" s="102" t="s">
        <v>2333</v>
      </c>
      <c r="H840" s="102" t="s">
        <v>2334</v>
      </c>
      <c r="I840" s="102" t="s">
        <v>63</v>
      </c>
      <c r="J840" s="102"/>
      <c r="K840" s="102" t="s">
        <v>2614</v>
      </c>
      <c r="L840" s="104">
        <v>45366</v>
      </c>
      <c r="M840" s="102" t="s">
        <v>2615</v>
      </c>
      <c r="N840" s="102"/>
      <c r="O840" s="102" t="s">
        <v>383</v>
      </c>
      <c r="P840" s="103">
        <v>1</v>
      </c>
      <c r="Q840" s="105">
        <v>1600000</v>
      </c>
      <c r="R840" s="103">
        <v>48</v>
      </c>
      <c r="S840" s="105">
        <v>33333.333333333299</v>
      </c>
      <c r="T840" s="105">
        <v>733333.33333333302</v>
      </c>
      <c r="U840" s="105">
        <v>33333.333333333299</v>
      </c>
      <c r="V840" s="105">
        <v>33333.333333333299</v>
      </c>
      <c r="W840" s="105">
        <v>33333.333333333299</v>
      </c>
      <c r="X840" s="105">
        <v>33333.333333333299</v>
      </c>
      <c r="Y840" s="105">
        <v>33333.333333333299</v>
      </c>
      <c r="Z840" s="105">
        <v>33333.333333333299</v>
      </c>
      <c r="AA840" s="105">
        <v>33333.333333333299</v>
      </c>
      <c r="AB840" s="105">
        <v>33333.333333333299</v>
      </c>
      <c r="AC840" s="8">
        <f t="shared" si="91"/>
        <v>999999.99999999953</v>
      </c>
      <c r="AD840" s="8">
        <f t="shared" si="92"/>
        <v>600000.00000000047</v>
      </c>
      <c r="AE840" s="8">
        <f t="shared" si="93"/>
        <v>33333.333333333299</v>
      </c>
      <c r="AF840" s="106">
        <f t="shared" si="94"/>
        <v>18.000000000000032</v>
      </c>
      <c r="AG840" s="8">
        <f t="shared" si="95"/>
        <v>33333.333333333299</v>
      </c>
      <c r="AH840" s="8">
        <f>IF($O840="Aktif",MAX(0,MIN($AE840,$AD840-SUM($AG840:AG840))),0)</f>
        <v>33333.333333333299</v>
      </c>
      <c r="AI840" s="8">
        <f>IF($O840="Aktif",MAX(0,MIN($AE840,$AD840-SUM($AG840:AH840))),0)</f>
        <v>33333.333333333299</v>
      </c>
      <c r="AJ840" s="8">
        <f>IF($O840="Aktif",MAX(0,MIN($AE840,$AD840-SUM($AG840:AI840))),0)</f>
        <v>33333.333333333299</v>
      </c>
      <c r="AK840" s="8">
        <f>IF($O840="Aktif",MAX(0,MIN($AE840,$AD840-SUM($AG840:AJ840))),0)</f>
        <v>33333.333333333299</v>
      </c>
      <c r="AL840" s="8">
        <f>IF($O840="Aktif",MAX(0,MIN($AE840,$AD840-SUM($AG840:AK840))),0)</f>
        <v>33333.333333333299</v>
      </c>
      <c r="AM840" s="8">
        <f>IF($O840="Aktif",MAX(0,MIN($AE840,$AD840-SUM($AG840:AL840))),0)</f>
        <v>33333.333333333299</v>
      </c>
      <c r="AN840" s="8">
        <f>IF($O840="Aktif",MAX(0,MIN($AE840,$AD840-SUM($AG840:AM840))),0)</f>
        <v>33333.333333333299</v>
      </c>
      <c r="AO840" s="8">
        <f>IF($O840="Aktif",MAX(0,MIN($AE840,$AD840-SUM($AG840:AN840))),0)</f>
        <v>33333.333333333299</v>
      </c>
      <c r="AP840" s="8">
        <f>IF($O840="Aktif",MAX(0,MIN($AE840,$AD840-SUM($AG840:AO840))),0)</f>
        <v>33333.333333333299</v>
      </c>
      <c r="AQ840" s="8">
        <f>IF($O840="Aktif",MAX(0,MIN($AE840,$AD840-SUM($AG840:AP840))),0)</f>
        <v>33333.333333333299</v>
      </c>
      <c r="AR840" s="8">
        <f>IF($O840="Aktif",MAX(0,MIN($AE840,$AD840-SUM($AG840:AQ840))),0)</f>
        <v>33333.333333333299</v>
      </c>
      <c r="AS840" s="8">
        <f>IF($O840="Aktif",MAX(0,MIN($AE840,$AD840-SUM($AG840:AR840))),0)</f>
        <v>33333.333333333299</v>
      </c>
      <c r="AT840" s="8">
        <f>IF($O840="Aktif",MAX(0,MIN($AE840,$AD840-SUM($AG840:AS840))),0)</f>
        <v>33333.333333333299</v>
      </c>
      <c r="AU840" s="8">
        <f>IF($O840="Aktif",MAX(0,MIN($AE840,$AD840-SUM($AG840:AT840))),0)</f>
        <v>33333.333333333299</v>
      </c>
      <c r="AV840" s="8">
        <f>IF($O840="Aktif",MAX(0,MIN($AE840,$AD840-SUM($AG840:AU840))),0)</f>
        <v>33333.333333333299</v>
      </c>
      <c r="AW840" s="8">
        <f t="shared" si="96"/>
        <v>533333.33333333291</v>
      </c>
      <c r="AX840" s="8">
        <f t="shared" si="97"/>
        <v>66666.666666667559</v>
      </c>
    </row>
    <row r="841" spans="1:50" ht="15" customHeight="1" x14ac:dyDescent="0.35">
      <c r="A841" s="102">
        <v>835</v>
      </c>
      <c r="B841" s="102" t="s">
        <v>1326</v>
      </c>
      <c r="C841" s="103">
        <v>469</v>
      </c>
      <c r="D841" s="102" t="s">
        <v>185</v>
      </c>
      <c r="E841" s="102" t="s">
        <v>479</v>
      </c>
      <c r="F841" s="102" t="s">
        <v>2332</v>
      </c>
      <c r="G841" s="102" t="s">
        <v>2333</v>
      </c>
      <c r="H841" s="102" t="s">
        <v>2334</v>
      </c>
      <c r="I841" s="102" t="s">
        <v>63</v>
      </c>
      <c r="J841" s="102"/>
      <c r="K841" s="102" t="s">
        <v>2616</v>
      </c>
      <c r="L841" s="104">
        <v>45397</v>
      </c>
      <c r="M841" s="102" t="s">
        <v>2617</v>
      </c>
      <c r="N841" s="102"/>
      <c r="O841" s="102" t="s">
        <v>383</v>
      </c>
      <c r="P841" s="103">
        <v>1</v>
      </c>
      <c r="Q841" s="105">
        <v>1054500</v>
      </c>
      <c r="R841" s="103">
        <v>48</v>
      </c>
      <c r="S841" s="105">
        <v>21968.75</v>
      </c>
      <c r="T841" s="105">
        <v>461343.75</v>
      </c>
      <c r="U841" s="105">
        <v>21968.75</v>
      </c>
      <c r="V841" s="105">
        <v>21968.75</v>
      </c>
      <c r="W841" s="105">
        <v>21968.75</v>
      </c>
      <c r="X841" s="105">
        <v>21968.75</v>
      </c>
      <c r="Y841" s="105">
        <v>21968.75</v>
      </c>
      <c r="Z841" s="105">
        <v>21968.75</v>
      </c>
      <c r="AA841" s="105">
        <v>21968.75</v>
      </c>
      <c r="AB841" s="105">
        <v>21968.75</v>
      </c>
      <c r="AC841" s="8">
        <f t="shared" si="91"/>
        <v>637093.75</v>
      </c>
      <c r="AD841" s="8">
        <f t="shared" si="92"/>
        <v>417406.25</v>
      </c>
      <c r="AE841" s="8">
        <f t="shared" si="93"/>
        <v>21968.75</v>
      </c>
      <c r="AF841" s="106">
        <f t="shared" si="94"/>
        <v>19</v>
      </c>
      <c r="AG841" s="8">
        <f t="shared" si="95"/>
        <v>21968.75</v>
      </c>
      <c r="AH841" s="8">
        <f>IF($O841="Aktif",MAX(0,MIN($AE841,$AD841-SUM($AG841:AG841))),0)</f>
        <v>21968.75</v>
      </c>
      <c r="AI841" s="8">
        <f>IF($O841="Aktif",MAX(0,MIN($AE841,$AD841-SUM($AG841:AH841))),0)</f>
        <v>21968.75</v>
      </c>
      <c r="AJ841" s="8">
        <f>IF($O841="Aktif",MAX(0,MIN($AE841,$AD841-SUM($AG841:AI841))),0)</f>
        <v>21968.75</v>
      </c>
      <c r="AK841" s="8">
        <f>IF($O841="Aktif",MAX(0,MIN($AE841,$AD841-SUM($AG841:AJ841))),0)</f>
        <v>21968.75</v>
      </c>
      <c r="AL841" s="8">
        <f>IF($O841="Aktif",MAX(0,MIN($AE841,$AD841-SUM($AG841:AK841))),0)</f>
        <v>21968.75</v>
      </c>
      <c r="AM841" s="8">
        <f>IF($O841="Aktif",MAX(0,MIN($AE841,$AD841-SUM($AG841:AL841))),0)</f>
        <v>21968.75</v>
      </c>
      <c r="AN841" s="8">
        <f>IF($O841="Aktif",MAX(0,MIN($AE841,$AD841-SUM($AG841:AM841))),0)</f>
        <v>21968.75</v>
      </c>
      <c r="AO841" s="8">
        <f>IF($O841="Aktif",MAX(0,MIN($AE841,$AD841-SUM($AG841:AN841))),0)</f>
        <v>21968.75</v>
      </c>
      <c r="AP841" s="8">
        <f>IF($O841="Aktif",MAX(0,MIN($AE841,$AD841-SUM($AG841:AO841))),0)</f>
        <v>21968.75</v>
      </c>
      <c r="AQ841" s="8">
        <f>IF($O841="Aktif",MAX(0,MIN($AE841,$AD841-SUM($AG841:AP841))),0)</f>
        <v>21968.75</v>
      </c>
      <c r="AR841" s="8">
        <f>IF($O841="Aktif",MAX(0,MIN($AE841,$AD841-SUM($AG841:AQ841))),0)</f>
        <v>21968.75</v>
      </c>
      <c r="AS841" s="8">
        <f>IF($O841="Aktif",MAX(0,MIN($AE841,$AD841-SUM($AG841:AR841))),0)</f>
        <v>21968.75</v>
      </c>
      <c r="AT841" s="8">
        <f>IF($O841="Aktif",MAX(0,MIN($AE841,$AD841-SUM($AG841:AS841))),0)</f>
        <v>21968.75</v>
      </c>
      <c r="AU841" s="8">
        <f>IF($O841="Aktif",MAX(0,MIN($AE841,$AD841-SUM($AG841:AT841))),0)</f>
        <v>21968.75</v>
      </c>
      <c r="AV841" s="8">
        <f>IF($O841="Aktif",MAX(0,MIN($AE841,$AD841-SUM($AG841:AU841))),0)</f>
        <v>21968.75</v>
      </c>
      <c r="AW841" s="8">
        <f t="shared" si="96"/>
        <v>351500</v>
      </c>
      <c r="AX841" s="8">
        <f t="shared" si="97"/>
        <v>65906.25</v>
      </c>
    </row>
    <row r="842" spans="1:50" ht="15" customHeight="1" x14ac:dyDescent="0.35">
      <c r="A842" s="102">
        <v>836</v>
      </c>
      <c r="B842" s="102" t="s">
        <v>1326</v>
      </c>
      <c r="C842" s="103">
        <v>470</v>
      </c>
      <c r="D842" s="102" t="s">
        <v>185</v>
      </c>
      <c r="E842" s="102" t="s">
        <v>479</v>
      </c>
      <c r="F842" s="102" t="s">
        <v>2332</v>
      </c>
      <c r="G842" s="102" t="s">
        <v>2333</v>
      </c>
      <c r="H842" s="102" t="s">
        <v>2334</v>
      </c>
      <c r="I842" s="102" t="s">
        <v>63</v>
      </c>
      <c r="J842" s="102"/>
      <c r="K842" s="102" t="s">
        <v>2618</v>
      </c>
      <c r="L842" s="104">
        <v>45397</v>
      </c>
      <c r="M842" s="102" t="s">
        <v>2619</v>
      </c>
      <c r="N842" s="102"/>
      <c r="O842" s="102" t="s">
        <v>383</v>
      </c>
      <c r="P842" s="103">
        <v>1</v>
      </c>
      <c r="Q842" s="105">
        <v>9672500</v>
      </c>
      <c r="R842" s="103">
        <v>48</v>
      </c>
      <c r="S842" s="105">
        <v>201510.41666666701</v>
      </c>
      <c r="T842" s="105">
        <v>4231718.75</v>
      </c>
      <c r="U842" s="105">
        <v>201510.41666666701</v>
      </c>
      <c r="V842" s="105">
        <v>201510.41666666701</v>
      </c>
      <c r="W842" s="105">
        <v>201510.41666666701</v>
      </c>
      <c r="X842" s="105">
        <v>201510.41666666701</v>
      </c>
      <c r="Y842" s="105">
        <v>201510.41666666701</v>
      </c>
      <c r="Z842" s="105">
        <v>201510.41666666701</v>
      </c>
      <c r="AA842" s="105">
        <v>201510.41666666701</v>
      </c>
      <c r="AB842" s="105">
        <v>201510.41666666701</v>
      </c>
      <c r="AC842" s="8">
        <f t="shared" si="91"/>
        <v>5843802.0833333358</v>
      </c>
      <c r="AD842" s="8">
        <f t="shared" si="92"/>
        <v>3828697.9166666642</v>
      </c>
      <c r="AE842" s="8">
        <f t="shared" si="93"/>
        <v>201510.41666666701</v>
      </c>
      <c r="AF842" s="106">
        <f t="shared" si="94"/>
        <v>18.999999999999957</v>
      </c>
      <c r="AG842" s="8">
        <f t="shared" si="95"/>
        <v>201510.41666666701</v>
      </c>
      <c r="AH842" s="8">
        <f>IF($O842="Aktif",MAX(0,MIN($AE842,$AD842-SUM($AG842:AG842))),0)</f>
        <v>201510.41666666701</v>
      </c>
      <c r="AI842" s="8">
        <f>IF($O842="Aktif",MAX(0,MIN($AE842,$AD842-SUM($AG842:AH842))),0)</f>
        <v>201510.41666666701</v>
      </c>
      <c r="AJ842" s="8">
        <f>IF($O842="Aktif",MAX(0,MIN($AE842,$AD842-SUM($AG842:AI842))),0)</f>
        <v>201510.41666666701</v>
      </c>
      <c r="AK842" s="8">
        <f>IF($O842="Aktif",MAX(0,MIN($AE842,$AD842-SUM($AG842:AJ842))),0)</f>
        <v>201510.41666666701</v>
      </c>
      <c r="AL842" s="8">
        <f>IF($O842="Aktif",MAX(0,MIN($AE842,$AD842-SUM($AG842:AK842))),0)</f>
        <v>201510.41666666701</v>
      </c>
      <c r="AM842" s="8">
        <f>IF($O842="Aktif",MAX(0,MIN($AE842,$AD842-SUM($AG842:AL842))),0)</f>
        <v>201510.41666666701</v>
      </c>
      <c r="AN842" s="8">
        <f>IF($O842="Aktif",MAX(0,MIN($AE842,$AD842-SUM($AG842:AM842))),0)</f>
        <v>201510.41666666701</v>
      </c>
      <c r="AO842" s="8">
        <f>IF($O842="Aktif",MAX(0,MIN($AE842,$AD842-SUM($AG842:AN842))),0)</f>
        <v>201510.41666666701</v>
      </c>
      <c r="AP842" s="8">
        <f>IF($O842="Aktif",MAX(0,MIN($AE842,$AD842-SUM($AG842:AO842))),0)</f>
        <v>201510.41666666701</v>
      </c>
      <c r="AQ842" s="8">
        <f>IF($O842="Aktif",MAX(0,MIN($AE842,$AD842-SUM($AG842:AP842))),0)</f>
        <v>201510.41666666701</v>
      </c>
      <c r="AR842" s="8">
        <f>IF($O842="Aktif",MAX(0,MIN($AE842,$AD842-SUM($AG842:AQ842))),0)</f>
        <v>201510.41666666701</v>
      </c>
      <c r="AS842" s="8">
        <f>IF($O842="Aktif",MAX(0,MIN($AE842,$AD842-SUM($AG842:AR842))),0)</f>
        <v>201510.41666666701</v>
      </c>
      <c r="AT842" s="8">
        <f>IF($O842="Aktif",MAX(0,MIN($AE842,$AD842-SUM($AG842:AS842))),0)</f>
        <v>201510.41666666701</v>
      </c>
      <c r="AU842" s="8">
        <f>IF($O842="Aktif",MAX(0,MIN($AE842,$AD842-SUM($AG842:AT842))),0)</f>
        <v>201510.41666666701</v>
      </c>
      <c r="AV842" s="8">
        <f>IF($O842="Aktif",MAX(0,MIN($AE842,$AD842-SUM($AG842:AU842))),0)</f>
        <v>201510.41666666701</v>
      </c>
      <c r="AW842" s="8">
        <f t="shared" si="96"/>
        <v>3224166.6666666721</v>
      </c>
      <c r="AX842" s="8">
        <f t="shared" si="97"/>
        <v>604531.24999999208</v>
      </c>
    </row>
    <row r="843" spans="1:50" ht="15" customHeight="1" x14ac:dyDescent="0.35">
      <c r="A843" s="102">
        <v>837</v>
      </c>
      <c r="B843" s="102" t="s">
        <v>1326</v>
      </c>
      <c r="C843" s="103">
        <v>471</v>
      </c>
      <c r="D843" s="102" t="s">
        <v>185</v>
      </c>
      <c r="E843" s="102" t="s">
        <v>479</v>
      </c>
      <c r="F843" s="102" t="s">
        <v>2332</v>
      </c>
      <c r="G843" s="102" t="s">
        <v>2333</v>
      </c>
      <c r="H843" s="102" t="s">
        <v>2334</v>
      </c>
      <c r="I843" s="102" t="s">
        <v>63</v>
      </c>
      <c r="J843" s="102"/>
      <c r="K843" s="102" t="s">
        <v>2620</v>
      </c>
      <c r="L843" s="102" t="s">
        <v>2621</v>
      </c>
      <c r="M843" s="102" t="s">
        <v>2622</v>
      </c>
      <c r="N843" s="102"/>
      <c r="O843" s="102" t="s">
        <v>383</v>
      </c>
      <c r="P843" s="103">
        <v>1</v>
      </c>
      <c r="Q843" s="105">
        <v>5574300</v>
      </c>
      <c r="R843" s="103">
        <v>48</v>
      </c>
      <c r="S843" s="105">
        <v>116131.25</v>
      </c>
      <c r="T843" s="105">
        <v>2206493.75</v>
      </c>
      <c r="U843" s="105">
        <v>116131.25</v>
      </c>
      <c r="V843" s="105">
        <v>116131.25</v>
      </c>
      <c r="W843" s="105">
        <v>116131.25</v>
      </c>
      <c r="X843" s="105">
        <v>116131.25</v>
      </c>
      <c r="Y843" s="105">
        <v>116131.25</v>
      </c>
      <c r="Z843" s="105">
        <v>116131.25</v>
      </c>
      <c r="AA843" s="105">
        <v>116131.25</v>
      </c>
      <c r="AB843" s="105">
        <v>116131.25</v>
      </c>
      <c r="AC843" s="8">
        <f t="shared" si="91"/>
        <v>3135543.75</v>
      </c>
      <c r="AD843" s="8">
        <f t="shared" si="92"/>
        <v>2438756.25</v>
      </c>
      <c r="AE843" s="8">
        <f t="shared" si="93"/>
        <v>116131.25</v>
      </c>
      <c r="AF843" s="106">
        <f t="shared" si="94"/>
        <v>21</v>
      </c>
      <c r="AG843" s="8">
        <f t="shared" si="95"/>
        <v>116131.25</v>
      </c>
      <c r="AH843" s="8">
        <f>IF($O843="Aktif",MAX(0,MIN($AE843,$AD843-SUM($AG843:AG843))),0)</f>
        <v>116131.25</v>
      </c>
      <c r="AI843" s="8">
        <f>IF($O843="Aktif",MAX(0,MIN($AE843,$AD843-SUM($AG843:AH843))),0)</f>
        <v>116131.25</v>
      </c>
      <c r="AJ843" s="8">
        <f>IF($O843="Aktif",MAX(0,MIN($AE843,$AD843-SUM($AG843:AI843))),0)</f>
        <v>116131.25</v>
      </c>
      <c r="AK843" s="8">
        <f>IF($O843="Aktif",MAX(0,MIN($AE843,$AD843-SUM($AG843:AJ843))),0)</f>
        <v>116131.25</v>
      </c>
      <c r="AL843" s="8">
        <f>IF($O843="Aktif",MAX(0,MIN($AE843,$AD843-SUM($AG843:AK843))),0)</f>
        <v>116131.25</v>
      </c>
      <c r="AM843" s="8">
        <f>IF($O843="Aktif",MAX(0,MIN($AE843,$AD843-SUM($AG843:AL843))),0)</f>
        <v>116131.25</v>
      </c>
      <c r="AN843" s="8">
        <f>IF($O843="Aktif",MAX(0,MIN($AE843,$AD843-SUM($AG843:AM843))),0)</f>
        <v>116131.25</v>
      </c>
      <c r="AO843" s="8">
        <f>IF($O843="Aktif",MAX(0,MIN($AE843,$AD843-SUM($AG843:AN843))),0)</f>
        <v>116131.25</v>
      </c>
      <c r="AP843" s="8">
        <f>IF($O843="Aktif",MAX(0,MIN($AE843,$AD843-SUM($AG843:AO843))),0)</f>
        <v>116131.25</v>
      </c>
      <c r="AQ843" s="8">
        <f>IF($O843="Aktif",MAX(0,MIN($AE843,$AD843-SUM($AG843:AP843))),0)</f>
        <v>116131.25</v>
      </c>
      <c r="AR843" s="8">
        <f>IF($O843="Aktif",MAX(0,MIN($AE843,$AD843-SUM($AG843:AQ843))),0)</f>
        <v>116131.25</v>
      </c>
      <c r="AS843" s="8">
        <f>IF($O843="Aktif",MAX(0,MIN($AE843,$AD843-SUM($AG843:AR843))),0)</f>
        <v>116131.25</v>
      </c>
      <c r="AT843" s="8">
        <f>IF($O843="Aktif",MAX(0,MIN($AE843,$AD843-SUM($AG843:AS843))),0)</f>
        <v>116131.25</v>
      </c>
      <c r="AU843" s="8">
        <f>IF($O843="Aktif",MAX(0,MIN($AE843,$AD843-SUM($AG843:AT843))),0)</f>
        <v>116131.25</v>
      </c>
      <c r="AV843" s="8">
        <f>IF($O843="Aktif",MAX(0,MIN($AE843,$AD843-SUM($AG843:AU843))),0)</f>
        <v>116131.25</v>
      </c>
      <c r="AW843" s="8">
        <f t="shared" si="96"/>
        <v>1858100</v>
      </c>
      <c r="AX843" s="8">
        <f t="shared" si="97"/>
        <v>580656.25</v>
      </c>
    </row>
    <row r="844" spans="1:50" ht="15" customHeight="1" x14ac:dyDescent="0.35">
      <c r="A844" s="102">
        <v>838</v>
      </c>
      <c r="B844" s="102" t="s">
        <v>1326</v>
      </c>
      <c r="C844" s="103">
        <v>472</v>
      </c>
      <c r="D844" s="102" t="s">
        <v>185</v>
      </c>
      <c r="E844" s="102" t="s">
        <v>479</v>
      </c>
      <c r="F844" s="102" t="s">
        <v>2332</v>
      </c>
      <c r="G844" s="102" t="s">
        <v>2333</v>
      </c>
      <c r="H844" s="102" t="s">
        <v>2334</v>
      </c>
      <c r="I844" s="102" t="s">
        <v>63</v>
      </c>
      <c r="J844" s="102"/>
      <c r="K844" s="102" t="s">
        <v>2623</v>
      </c>
      <c r="L844" s="102" t="s">
        <v>472</v>
      </c>
      <c r="M844" s="102" t="s">
        <v>2624</v>
      </c>
      <c r="N844" s="102"/>
      <c r="O844" s="102" t="s">
        <v>383</v>
      </c>
      <c r="P844" s="103">
        <v>1</v>
      </c>
      <c r="Q844" s="105">
        <v>4100000</v>
      </c>
      <c r="R844" s="103">
        <v>48</v>
      </c>
      <c r="S844" s="105">
        <v>85416.666666666701</v>
      </c>
      <c r="T844" s="105">
        <v>1622916.66666667</v>
      </c>
      <c r="U844" s="105">
        <v>85416.666666666701</v>
      </c>
      <c r="V844" s="105">
        <v>85416.666666666701</v>
      </c>
      <c r="W844" s="105">
        <v>85416.666666666701</v>
      </c>
      <c r="X844" s="105">
        <v>85416.666666666701</v>
      </c>
      <c r="Y844" s="105">
        <v>85416.666666666701</v>
      </c>
      <c r="Z844" s="105">
        <v>85416.666666666701</v>
      </c>
      <c r="AA844" s="105">
        <v>85416.666666666701</v>
      </c>
      <c r="AB844" s="105">
        <v>85416.666666666701</v>
      </c>
      <c r="AC844" s="8">
        <f t="shared" si="91"/>
        <v>2306250.0000000037</v>
      </c>
      <c r="AD844" s="8">
        <f t="shared" si="92"/>
        <v>1793749.9999999963</v>
      </c>
      <c r="AE844" s="8">
        <f t="shared" si="93"/>
        <v>85416.666666666701</v>
      </c>
      <c r="AF844" s="106">
        <f t="shared" si="94"/>
        <v>20.999999999999947</v>
      </c>
      <c r="AG844" s="8">
        <f t="shared" si="95"/>
        <v>85416.666666666701</v>
      </c>
      <c r="AH844" s="8">
        <f>IF($O844="Aktif",MAX(0,MIN($AE844,$AD844-SUM($AG844:AG844))),0)</f>
        <v>85416.666666666701</v>
      </c>
      <c r="AI844" s="8">
        <f>IF($O844="Aktif",MAX(0,MIN($AE844,$AD844-SUM($AG844:AH844))),0)</f>
        <v>85416.666666666701</v>
      </c>
      <c r="AJ844" s="8">
        <f>IF($O844="Aktif",MAX(0,MIN($AE844,$AD844-SUM($AG844:AI844))),0)</f>
        <v>85416.666666666701</v>
      </c>
      <c r="AK844" s="8">
        <f>IF($O844="Aktif",MAX(0,MIN($AE844,$AD844-SUM($AG844:AJ844))),0)</f>
        <v>85416.666666666701</v>
      </c>
      <c r="AL844" s="8">
        <f>IF($O844="Aktif",MAX(0,MIN($AE844,$AD844-SUM($AG844:AK844))),0)</f>
        <v>85416.666666666701</v>
      </c>
      <c r="AM844" s="8">
        <f>IF($O844="Aktif",MAX(0,MIN($AE844,$AD844-SUM($AG844:AL844))),0)</f>
        <v>85416.666666666701</v>
      </c>
      <c r="AN844" s="8">
        <f>IF($O844="Aktif",MAX(0,MIN($AE844,$AD844-SUM($AG844:AM844))),0)</f>
        <v>85416.666666666701</v>
      </c>
      <c r="AO844" s="8">
        <f>IF($O844="Aktif",MAX(0,MIN($AE844,$AD844-SUM($AG844:AN844))),0)</f>
        <v>85416.666666666701</v>
      </c>
      <c r="AP844" s="8">
        <f>IF($O844="Aktif",MAX(0,MIN($AE844,$AD844-SUM($AG844:AO844))),0)</f>
        <v>85416.666666666701</v>
      </c>
      <c r="AQ844" s="8">
        <f>IF($O844="Aktif",MAX(0,MIN($AE844,$AD844-SUM($AG844:AP844))),0)</f>
        <v>85416.666666666701</v>
      </c>
      <c r="AR844" s="8">
        <f>IF($O844="Aktif",MAX(0,MIN($AE844,$AD844-SUM($AG844:AQ844))),0)</f>
        <v>85416.666666666701</v>
      </c>
      <c r="AS844" s="8">
        <f>IF($O844="Aktif",MAX(0,MIN($AE844,$AD844-SUM($AG844:AR844))),0)</f>
        <v>85416.666666666701</v>
      </c>
      <c r="AT844" s="8">
        <f>IF($O844="Aktif",MAX(0,MIN($AE844,$AD844-SUM($AG844:AS844))),0)</f>
        <v>85416.666666666701</v>
      </c>
      <c r="AU844" s="8">
        <f>IF($O844="Aktif",MAX(0,MIN($AE844,$AD844-SUM($AG844:AT844))),0)</f>
        <v>85416.666666666701</v>
      </c>
      <c r="AV844" s="8">
        <f>IF($O844="Aktif",MAX(0,MIN($AE844,$AD844-SUM($AG844:AU844))),0)</f>
        <v>85416.666666666701</v>
      </c>
      <c r="AW844" s="8">
        <f t="shared" si="96"/>
        <v>1366666.6666666674</v>
      </c>
      <c r="AX844" s="8">
        <f t="shared" si="97"/>
        <v>427083.33333332883</v>
      </c>
    </row>
    <row r="845" spans="1:50" ht="15" customHeight="1" x14ac:dyDescent="0.35">
      <c r="A845" s="102">
        <v>839</v>
      </c>
      <c r="B845" s="102" t="s">
        <v>1326</v>
      </c>
      <c r="C845" s="103">
        <v>473</v>
      </c>
      <c r="D845" s="102" t="s">
        <v>185</v>
      </c>
      <c r="E845" s="102" t="s">
        <v>479</v>
      </c>
      <c r="F845" s="102" t="s">
        <v>2332</v>
      </c>
      <c r="G845" s="102" t="s">
        <v>2333</v>
      </c>
      <c r="H845" s="102" t="s">
        <v>2334</v>
      </c>
      <c r="I845" s="102" t="s">
        <v>63</v>
      </c>
      <c r="J845" s="102"/>
      <c r="K845" s="102" t="s">
        <v>2625</v>
      </c>
      <c r="L845" s="102" t="s">
        <v>472</v>
      </c>
      <c r="M845" s="102" t="s">
        <v>2626</v>
      </c>
      <c r="N845" s="102"/>
      <c r="O845" s="102" t="s">
        <v>383</v>
      </c>
      <c r="P845" s="103">
        <v>1</v>
      </c>
      <c r="Q845" s="105">
        <v>2400000</v>
      </c>
      <c r="R845" s="103">
        <v>48</v>
      </c>
      <c r="S845" s="105">
        <v>50000</v>
      </c>
      <c r="T845" s="105">
        <v>950000</v>
      </c>
      <c r="U845" s="105">
        <v>50000</v>
      </c>
      <c r="V845" s="105">
        <v>50000</v>
      </c>
      <c r="W845" s="105">
        <v>50000</v>
      </c>
      <c r="X845" s="105">
        <v>50000</v>
      </c>
      <c r="Y845" s="105">
        <v>50000</v>
      </c>
      <c r="Z845" s="105">
        <v>50000</v>
      </c>
      <c r="AA845" s="105">
        <v>50000</v>
      </c>
      <c r="AB845" s="105">
        <v>50000</v>
      </c>
      <c r="AC845" s="8">
        <f t="shared" si="91"/>
        <v>1350000</v>
      </c>
      <c r="AD845" s="8">
        <f t="shared" si="92"/>
        <v>1050000</v>
      </c>
      <c r="AE845" s="8">
        <f t="shared" si="93"/>
        <v>50000</v>
      </c>
      <c r="AF845" s="106">
        <f t="shared" si="94"/>
        <v>21</v>
      </c>
      <c r="AG845" s="8">
        <f t="shared" si="95"/>
        <v>50000</v>
      </c>
      <c r="AH845" s="8">
        <f>IF($O845="Aktif",MAX(0,MIN($AE845,$AD845-SUM($AG845:AG845))),0)</f>
        <v>50000</v>
      </c>
      <c r="AI845" s="8">
        <f>IF($O845="Aktif",MAX(0,MIN($AE845,$AD845-SUM($AG845:AH845))),0)</f>
        <v>50000</v>
      </c>
      <c r="AJ845" s="8">
        <f>IF($O845="Aktif",MAX(0,MIN($AE845,$AD845-SUM($AG845:AI845))),0)</f>
        <v>50000</v>
      </c>
      <c r="AK845" s="8">
        <f>IF($O845="Aktif",MAX(0,MIN($AE845,$AD845-SUM($AG845:AJ845))),0)</f>
        <v>50000</v>
      </c>
      <c r="AL845" s="8">
        <f>IF($O845="Aktif",MAX(0,MIN($AE845,$AD845-SUM($AG845:AK845))),0)</f>
        <v>50000</v>
      </c>
      <c r="AM845" s="8">
        <f>IF($O845="Aktif",MAX(0,MIN($AE845,$AD845-SUM($AG845:AL845))),0)</f>
        <v>50000</v>
      </c>
      <c r="AN845" s="8">
        <f>IF($O845="Aktif",MAX(0,MIN($AE845,$AD845-SUM($AG845:AM845))),0)</f>
        <v>50000</v>
      </c>
      <c r="AO845" s="8">
        <f>IF($O845="Aktif",MAX(0,MIN($AE845,$AD845-SUM($AG845:AN845))),0)</f>
        <v>50000</v>
      </c>
      <c r="AP845" s="8">
        <f>IF($O845="Aktif",MAX(0,MIN($AE845,$AD845-SUM($AG845:AO845))),0)</f>
        <v>50000</v>
      </c>
      <c r="AQ845" s="8">
        <f>IF($O845="Aktif",MAX(0,MIN($AE845,$AD845-SUM($AG845:AP845))),0)</f>
        <v>50000</v>
      </c>
      <c r="AR845" s="8">
        <f>IF($O845="Aktif",MAX(0,MIN($AE845,$AD845-SUM($AG845:AQ845))),0)</f>
        <v>50000</v>
      </c>
      <c r="AS845" s="8">
        <f>IF($O845="Aktif",MAX(0,MIN($AE845,$AD845-SUM($AG845:AR845))),0)</f>
        <v>50000</v>
      </c>
      <c r="AT845" s="8">
        <f>IF($O845="Aktif",MAX(0,MIN($AE845,$AD845-SUM($AG845:AS845))),0)</f>
        <v>50000</v>
      </c>
      <c r="AU845" s="8">
        <f>IF($O845="Aktif",MAX(0,MIN($AE845,$AD845-SUM($AG845:AT845))),0)</f>
        <v>50000</v>
      </c>
      <c r="AV845" s="8">
        <f>IF($O845="Aktif",MAX(0,MIN($AE845,$AD845-SUM($AG845:AU845))),0)</f>
        <v>50000</v>
      </c>
      <c r="AW845" s="8">
        <f t="shared" si="96"/>
        <v>800000</v>
      </c>
      <c r="AX845" s="8">
        <f t="shared" si="97"/>
        <v>250000</v>
      </c>
    </row>
    <row r="846" spans="1:50" ht="15" customHeight="1" x14ac:dyDescent="0.35">
      <c r="A846" s="102">
        <v>840</v>
      </c>
      <c r="B846" s="102" t="s">
        <v>1326</v>
      </c>
      <c r="C846" s="103">
        <v>474</v>
      </c>
      <c r="D846" s="102" t="s">
        <v>185</v>
      </c>
      <c r="E846" s="102" t="s">
        <v>479</v>
      </c>
      <c r="F846" s="102" t="s">
        <v>2332</v>
      </c>
      <c r="G846" s="102" t="s">
        <v>2333</v>
      </c>
      <c r="H846" s="102" t="s">
        <v>2334</v>
      </c>
      <c r="I846" s="102" t="s">
        <v>63</v>
      </c>
      <c r="J846" s="102"/>
      <c r="K846" s="102" t="s">
        <v>2627</v>
      </c>
      <c r="L846" s="102" t="s">
        <v>472</v>
      </c>
      <c r="M846" s="102" t="s">
        <v>2605</v>
      </c>
      <c r="N846" s="102"/>
      <c r="O846" s="102" t="s">
        <v>383</v>
      </c>
      <c r="P846" s="103">
        <v>1</v>
      </c>
      <c r="Q846" s="105">
        <v>11000000</v>
      </c>
      <c r="R846" s="103">
        <v>48</v>
      </c>
      <c r="S846" s="105">
        <v>229166.66666666701</v>
      </c>
      <c r="T846" s="105">
        <v>4354166.6666666698</v>
      </c>
      <c r="U846" s="105">
        <v>229166.66666666701</v>
      </c>
      <c r="V846" s="105">
        <v>229166.66666666701</v>
      </c>
      <c r="W846" s="105">
        <v>229166.66666666701</v>
      </c>
      <c r="X846" s="105">
        <v>229166.66666666701</v>
      </c>
      <c r="Y846" s="105">
        <v>229166.66666666701</v>
      </c>
      <c r="Z846" s="105">
        <v>229166.66666666701</v>
      </c>
      <c r="AA846" s="105">
        <v>229166.66666666701</v>
      </c>
      <c r="AB846" s="105">
        <v>229166.66666666701</v>
      </c>
      <c r="AC846" s="8">
        <f t="shared" si="91"/>
        <v>6187500.0000000056</v>
      </c>
      <c r="AD846" s="8">
        <f t="shared" si="92"/>
        <v>4812499.9999999944</v>
      </c>
      <c r="AE846" s="8">
        <f t="shared" si="93"/>
        <v>229166.66666666701</v>
      </c>
      <c r="AF846" s="106">
        <f t="shared" si="94"/>
        <v>20.999999999999943</v>
      </c>
      <c r="AG846" s="8">
        <f t="shared" si="95"/>
        <v>229166.66666666701</v>
      </c>
      <c r="AH846" s="8">
        <f>IF($O846="Aktif",MAX(0,MIN($AE846,$AD846-SUM($AG846:AG846))),0)</f>
        <v>229166.66666666701</v>
      </c>
      <c r="AI846" s="8">
        <f>IF($O846="Aktif",MAX(0,MIN($AE846,$AD846-SUM($AG846:AH846))),0)</f>
        <v>229166.66666666701</v>
      </c>
      <c r="AJ846" s="8">
        <f>IF($O846="Aktif",MAX(0,MIN($AE846,$AD846-SUM($AG846:AI846))),0)</f>
        <v>229166.66666666701</v>
      </c>
      <c r="AK846" s="8">
        <f>IF($O846="Aktif",MAX(0,MIN($AE846,$AD846-SUM($AG846:AJ846))),0)</f>
        <v>229166.66666666701</v>
      </c>
      <c r="AL846" s="8">
        <f>IF($O846="Aktif",MAX(0,MIN($AE846,$AD846-SUM($AG846:AK846))),0)</f>
        <v>229166.66666666701</v>
      </c>
      <c r="AM846" s="8">
        <f>IF($O846="Aktif",MAX(0,MIN($AE846,$AD846-SUM($AG846:AL846))),0)</f>
        <v>229166.66666666701</v>
      </c>
      <c r="AN846" s="8">
        <f>IF($O846="Aktif",MAX(0,MIN($AE846,$AD846-SUM($AG846:AM846))),0)</f>
        <v>229166.66666666701</v>
      </c>
      <c r="AO846" s="8">
        <f>IF($O846="Aktif",MAX(0,MIN($AE846,$AD846-SUM($AG846:AN846))),0)</f>
        <v>229166.66666666701</v>
      </c>
      <c r="AP846" s="8">
        <f>IF($O846="Aktif",MAX(0,MIN($AE846,$AD846-SUM($AG846:AO846))),0)</f>
        <v>229166.66666666701</v>
      </c>
      <c r="AQ846" s="8">
        <f>IF($O846="Aktif",MAX(0,MIN($AE846,$AD846-SUM($AG846:AP846))),0)</f>
        <v>229166.66666666701</v>
      </c>
      <c r="AR846" s="8">
        <f>IF($O846="Aktif",MAX(0,MIN($AE846,$AD846-SUM($AG846:AQ846))),0)</f>
        <v>229166.66666666701</v>
      </c>
      <c r="AS846" s="8">
        <f>IF($O846="Aktif",MAX(0,MIN($AE846,$AD846-SUM($AG846:AR846))),0)</f>
        <v>229166.66666666701</v>
      </c>
      <c r="AT846" s="8">
        <f>IF($O846="Aktif",MAX(0,MIN($AE846,$AD846-SUM($AG846:AS846))),0)</f>
        <v>229166.66666666701</v>
      </c>
      <c r="AU846" s="8">
        <f>IF($O846="Aktif",MAX(0,MIN($AE846,$AD846-SUM($AG846:AT846))),0)</f>
        <v>229166.66666666701</v>
      </c>
      <c r="AV846" s="8">
        <f>IF($O846="Aktif",MAX(0,MIN($AE846,$AD846-SUM($AG846:AU846))),0)</f>
        <v>229166.66666666701</v>
      </c>
      <c r="AW846" s="8">
        <f t="shared" si="96"/>
        <v>3666666.6666666721</v>
      </c>
      <c r="AX846" s="8">
        <f t="shared" si="97"/>
        <v>1145833.3333333223</v>
      </c>
    </row>
    <row r="847" spans="1:50" ht="15" customHeight="1" x14ac:dyDescent="0.35">
      <c r="A847" s="102">
        <v>841</v>
      </c>
      <c r="B847" s="102" t="s">
        <v>1326</v>
      </c>
      <c r="C847" s="103">
        <v>475</v>
      </c>
      <c r="D847" s="102" t="s">
        <v>185</v>
      </c>
      <c r="E847" s="102" t="s">
        <v>479</v>
      </c>
      <c r="F847" s="102" t="s">
        <v>2332</v>
      </c>
      <c r="G847" s="102" t="s">
        <v>2333</v>
      </c>
      <c r="H847" s="102" t="s">
        <v>2334</v>
      </c>
      <c r="I847" s="102" t="s">
        <v>63</v>
      </c>
      <c r="J847" s="102"/>
      <c r="K847" s="102" t="s">
        <v>2628</v>
      </c>
      <c r="L847" s="102" t="s">
        <v>472</v>
      </c>
      <c r="M847" s="102" t="s">
        <v>2607</v>
      </c>
      <c r="N847" s="102"/>
      <c r="O847" s="102" t="s">
        <v>383</v>
      </c>
      <c r="P847" s="103">
        <v>1</v>
      </c>
      <c r="Q847" s="105">
        <v>11000000</v>
      </c>
      <c r="R847" s="103">
        <v>48</v>
      </c>
      <c r="S847" s="105">
        <v>229166.66666666701</v>
      </c>
      <c r="T847" s="105">
        <v>4354166.6666666698</v>
      </c>
      <c r="U847" s="105">
        <v>229166.66666666701</v>
      </c>
      <c r="V847" s="105">
        <v>229166.66666666701</v>
      </c>
      <c r="W847" s="105">
        <v>229166.66666666701</v>
      </c>
      <c r="X847" s="105">
        <v>229166.66666666701</v>
      </c>
      <c r="Y847" s="105">
        <v>229166.66666666701</v>
      </c>
      <c r="Z847" s="105">
        <v>229166.66666666701</v>
      </c>
      <c r="AA847" s="105">
        <v>229166.66666666701</v>
      </c>
      <c r="AB847" s="105">
        <v>229166.66666666701</v>
      </c>
      <c r="AC847" s="8">
        <f t="shared" si="91"/>
        <v>6187500.0000000056</v>
      </c>
      <c r="AD847" s="8">
        <f t="shared" si="92"/>
        <v>4812499.9999999944</v>
      </c>
      <c r="AE847" s="8">
        <f t="shared" si="93"/>
        <v>229166.66666666701</v>
      </c>
      <c r="AF847" s="106">
        <f t="shared" si="94"/>
        <v>20.999999999999943</v>
      </c>
      <c r="AG847" s="8">
        <f t="shared" si="95"/>
        <v>229166.66666666701</v>
      </c>
      <c r="AH847" s="8">
        <f>IF($O847="Aktif",MAX(0,MIN($AE847,$AD847-SUM($AG847:AG847))),0)</f>
        <v>229166.66666666701</v>
      </c>
      <c r="AI847" s="8">
        <f>IF($O847="Aktif",MAX(0,MIN($AE847,$AD847-SUM($AG847:AH847))),0)</f>
        <v>229166.66666666701</v>
      </c>
      <c r="AJ847" s="8">
        <f>IF($O847="Aktif",MAX(0,MIN($AE847,$AD847-SUM($AG847:AI847))),0)</f>
        <v>229166.66666666701</v>
      </c>
      <c r="AK847" s="8">
        <f>IF($O847="Aktif",MAX(0,MIN($AE847,$AD847-SUM($AG847:AJ847))),0)</f>
        <v>229166.66666666701</v>
      </c>
      <c r="AL847" s="8">
        <f>IF($O847="Aktif",MAX(0,MIN($AE847,$AD847-SUM($AG847:AK847))),0)</f>
        <v>229166.66666666701</v>
      </c>
      <c r="AM847" s="8">
        <f>IF($O847="Aktif",MAX(0,MIN($AE847,$AD847-SUM($AG847:AL847))),0)</f>
        <v>229166.66666666701</v>
      </c>
      <c r="AN847" s="8">
        <f>IF($O847="Aktif",MAX(0,MIN($AE847,$AD847-SUM($AG847:AM847))),0)</f>
        <v>229166.66666666701</v>
      </c>
      <c r="AO847" s="8">
        <f>IF($O847="Aktif",MAX(0,MIN($AE847,$AD847-SUM($AG847:AN847))),0)</f>
        <v>229166.66666666701</v>
      </c>
      <c r="AP847" s="8">
        <f>IF($O847="Aktif",MAX(0,MIN($AE847,$AD847-SUM($AG847:AO847))),0)</f>
        <v>229166.66666666701</v>
      </c>
      <c r="AQ847" s="8">
        <f>IF($O847="Aktif",MAX(0,MIN($AE847,$AD847-SUM($AG847:AP847))),0)</f>
        <v>229166.66666666701</v>
      </c>
      <c r="AR847" s="8">
        <f>IF($O847="Aktif",MAX(0,MIN($AE847,$AD847-SUM($AG847:AQ847))),0)</f>
        <v>229166.66666666701</v>
      </c>
      <c r="AS847" s="8">
        <f>IF($O847="Aktif",MAX(0,MIN($AE847,$AD847-SUM($AG847:AR847))),0)</f>
        <v>229166.66666666701</v>
      </c>
      <c r="AT847" s="8">
        <f>IF($O847="Aktif",MAX(0,MIN($AE847,$AD847-SUM($AG847:AS847))),0)</f>
        <v>229166.66666666701</v>
      </c>
      <c r="AU847" s="8">
        <f>IF($O847="Aktif",MAX(0,MIN($AE847,$AD847-SUM($AG847:AT847))),0)</f>
        <v>229166.66666666701</v>
      </c>
      <c r="AV847" s="8">
        <f>IF($O847="Aktif",MAX(0,MIN($AE847,$AD847-SUM($AG847:AU847))),0)</f>
        <v>229166.66666666701</v>
      </c>
      <c r="AW847" s="8">
        <f t="shared" si="96"/>
        <v>3666666.6666666721</v>
      </c>
      <c r="AX847" s="8">
        <f t="shared" si="97"/>
        <v>1145833.3333333223</v>
      </c>
    </row>
    <row r="848" spans="1:50" ht="15" customHeight="1" x14ac:dyDescent="0.35">
      <c r="A848" s="102">
        <v>842</v>
      </c>
      <c r="B848" s="102" t="s">
        <v>1326</v>
      </c>
      <c r="C848" s="103">
        <v>476</v>
      </c>
      <c r="D848" s="102" t="s">
        <v>185</v>
      </c>
      <c r="E848" s="102" t="s">
        <v>479</v>
      </c>
      <c r="F848" s="102" t="s">
        <v>2332</v>
      </c>
      <c r="G848" s="102" t="s">
        <v>2333</v>
      </c>
      <c r="H848" s="102" t="s">
        <v>2334</v>
      </c>
      <c r="I848" s="102" t="s">
        <v>63</v>
      </c>
      <c r="J848" s="102"/>
      <c r="K848" s="102" t="s">
        <v>2629</v>
      </c>
      <c r="L848" s="102" t="s">
        <v>472</v>
      </c>
      <c r="M848" s="102" t="s">
        <v>2609</v>
      </c>
      <c r="N848" s="102"/>
      <c r="O848" s="102" t="s">
        <v>383</v>
      </c>
      <c r="P848" s="103">
        <v>1</v>
      </c>
      <c r="Q848" s="105">
        <v>11000000</v>
      </c>
      <c r="R848" s="103">
        <v>48</v>
      </c>
      <c r="S848" s="105">
        <v>229166.66666666701</v>
      </c>
      <c r="T848" s="105">
        <v>4354166.6666666698</v>
      </c>
      <c r="U848" s="105">
        <v>229166.66666666701</v>
      </c>
      <c r="V848" s="105">
        <v>229166.66666666701</v>
      </c>
      <c r="W848" s="105">
        <v>229166.66666666701</v>
      </c>
      <c r="X848" s="105">
        <v>229166.66666666701</v>
      </c>
      <c r="Y848" s="105">
        <v>229166.66666666701</v>
      </c>
      <c r="Z848" s="105">
        <v>229166.66666666701</v>
      </c>
      <c r="AA848" s="105">
        <v>229166.66666666701</v>
      </c>
      <c r="AB848" s="105">
        <v>229166.66666666701</v>
      </c>
      <c r="AC848" s="8">
        <f t="shared" si="91"/>
        <v>6187500.0000000056</v>
      </c>
      <c r="AD848" s="8">
        <f t="shared" si="92"/>
        <v>4812499.9999999944</v>
      </c>
      <c r="AE848" s="8">
        <f t="shared" si="93"/>
        <v>229166.66666666701</v>
      </c>
      <c r="AF848" s="106">
        <f t="shared" si="94"/>
        <v>20.999999999999943</v>
      </c>
      <c r="AG848" s="8">
        <f t="shared" si="95"/>
        <v>229166.66666666701</v>
      </c>
      <c r="AH848" s="8">
        <f>IF($O848="Aktif",MAX(0,MIN($AE848,$AD848-SUM($AG848:AG848))),0)</f>
        <v>229166.66666666701</v>
      </c>
      <c r="AI848" s="8">
        <f>IF($O848="Aktif",MAX(0,MIN($AE848,$AD848-SUM($AG848:AH848))),0)</f>
        <v>229166.66666666701</v>
      </c>
      <c r="AJ848" s="8">
        <f>IF($O848="Aktif",MAX(0,MIN($AE848,$AD848-SUM($AG848:AI848))),0)</f>
        <v>229166.66666666701</v>
      </c>
      <c r="AK848" s="8">
        <f>IF($O848="Aktif",MAX(0,MIN($AE848,$AD848-SUM($AG848:AJ848))),0)</f>
        <v>229166.66666666701</v>
      </c>
      <c r="AL848" s="8">
        <f>IF($O848="Aktif",MAX(0,MIN($AE848,$AD848-SUM($AG848:AK848))),0)</f>
        <v>229166.66666666701</v>
      </c>
      <c r="AM848" s="8">
        <f>IF($O848="Aktif",MAX(0,MIN($AE848,$AD848-SUM($AG848:AL848))),0)</f>
        <v>229166.66666666701</v>
      </c>
      <c r="AN848" s="8">
        <f>IF($O848="Aktif",MAX(0,MIN($AE848,$AD848-SUM($AG848:AM848))),0)</f>
        <v>229166.66666666701</v>
      </c>
      <c r="AO848" s="8">
        <f>IF($O848="Aktif",MAX(0,MIN($AE848,$AD848-SUM($AG848:AN848))),0)</f>
        <v>229166.66666666701</v>
      </c>
      <c r="AP848" s="8">
        <f>IF($O848="Aktif",MAX(0,MIN($AE848,$AD848-SUM($AG848:AO848))),0)</f>
        <v>229166.66666666701</v>
      </c>
      <c r="AQ848" s="8">
        <f>IF($O848="Aktif",MAX(0,MIN($AE848,$AD848-SUM($AG848:AP848))),0)</f>
        <v>229166.66666666701</v>
      </c>
      <c r="AR848" s="8">
        <f>IF($O848="Aktif",MAX(0,MIN($AE848,$AD848-SUM($AG848:AQ848))),0)</f>
        <v>229166.66666666701</v>
      </c>
      <c r="AS848" s="8">
        <f>IF($O848="Aktif",MAX(0,MIN($AE848,$AD848-SUM($AG848:AR848))),0)</f>
        <v>229166.66666666701</v>
      </c>
      <c r="AT848" s="8">
        <f>IF($O848="Aktif",MAX(0,MIN($AE848,$AD848-SUM($AG848:AS848))),0)</f>
        <v>229166.66666666701</v>
      </c>
      <c r="AU848" s="8">
        <f>IF($O848="Aktif",MAX(0,MIN($AE848,$AD848-SUM($AG848:AT848))),0)</f>
        <v>229166.66666666701</v>
      </c>
      <c r="AV848" s="8">
        <f>IF($O848="Aktif",MAX(0,MIN($AE848,$AD848-SUM($AG848:AU848))),0)</f>
        <v>229166.66666666701</v>
      </c>
      <c r="AW848" s="8">
        <f t="shared" si="96"/>
        <v>3666666.6666666721</v>
      </c>
      <c r="AX848" s="8">
        <f t="shared" si="97"/>
        <v>1145833.3333333223</v>
      </c>
    </row>
    <row r="849" spans="1:50" ht="15" customHeight="1" x14ac:dyDescent="0.35">
      <c r="A849" s="102">
        <v>843</v>
      </c>
      <c r="B849" s="102" t="s">
        <v>1326</v>
      </c>
      <c r="C849" s="103">
        <v>477</v>
      </c>
      <c r="D849" s="102" t="s">
        <v>185</v>
      </c>
      <c r="E849" s="102" t="s">
        <v>479</v>
      </c>
      <c r="F849" s="102" t="s">
        <v>2332</v>
      </c>
      <c r="G849" s="102" t="s">
        <v>2333</v>
      </c>
      <c r="H849" s="102" t="s">
        <v>2334</v>
      </c>
      <c r="I849" s="102" t="s">
        <v>63</v>
      </c>
      <c r="J849" s="102"/>
      <c r="K849" s="102" t="s">
        <v>2630</v>
      </c>
      <c r="L849" s="102" t="s">
        <v>1121</v>
      </c>
      <c r="M849" s="102" t="s">
        <v>2631</v>
      </c>
      <c r="N849" s="102"/>
      <c r="O849" s="102" t="s">
        <v>383</v>
      </c>
      <c r="P849" s="103">
        <v>1</v>
      </c>
      <c r="Q849" s="105">
        <v>2200000</v>
      </c>
      <c r="R849" s="103">
        <v>48</v>
      </c>
      <c r="S849" s="105">
        <v>45833.333333333299</v>
      </c>
      <c r="T849" s="105">
        <v>870833.33333333302</v>
      </c>
      <c r="U849" s="105">
        <v>45833.333333333299</v>
      </c>
      <c r="V849" s="105">
        <v>45833.333333333299</v>
      </c>
      <c r="W849" s="105">
        <v>45833.333333333299</v>
      </c>
      <c r="X849" s="105">
        <v>45833.333333333299</v>
      </c>
      <c r="Y849" s="105">
        <v>45833.333333333299</v>
      </c>
      <c r="Z849" s="105">
        <v>45833.333333333299</v>
      </c>
      <c r="AA849" s="105">
        <v>45833.333333333299</v>
      </c>
      <c r="AB849" s="105">
        <v>45833.333333333299</v>
      </c>
      <c r="AC849" s="8">
        <f t="shared" si="91"/>
        <v>1237499.9999999995</v>
      </c>
      <c r="AD849" s="8">
        <f t="shared" si="92"/>
        <v>962500.00000000047</v>
      </c>
      <c r="AE849" s="8">
        <f t="shared" si="93"/>
        <v>45833.333333333299</v>
      </c>
      <c r="AF849" s="106">
        <f t="shared" si="94"/>
        <v>21.000000000000025</v>
      </c>
      <c r="AG849" s="8">
        <f t="shared" si="95"/>
        <v>45833.333333333299</v>
      </c>
      <c r="AH849" s="8">
        <f>IF($O849="Aktif",MAX(0,MIN($AE849,$AD849-SUM($AG849:AG849))),0)</f>
        <v>45833.333333333299</v>
      </c>
      <c r="AI849" s="8">
        <f>IF($O849="Aktif",MAX(0,MIN($AE849,$AD849-SUM($AG849:AH849))),0)</f>
        <v>45833.333333333299</v>
      </c>
      <c r="AJ849" s="8">
        <f>IF($O849="Aktif",MAX(0,MIN($AE849,$AD849-SUM($AG849:AI849))),0)</f>
        <v>45833.333333333299</v>
      </c>
      <c r="AK849" s="8">
        <f>IF($O849="Aktif",MAX(0,MIN($AE849,$AD849-SUM($AG849:AJ849))),0)</f>
        <v>45833.333333333299</v>
      </c>
      <c r="AL849" s="8">
        <f>IF($O849="Aktif",MAX(0,MIN($AE849,$AD849-SUM($AG849:AK849))),0)</f>
        <v>45833.333333333299</v>
      </c>
      <c r="AM849" s="8">
        <f>IF($O849="Aktif",MAX(0,MIN($AE849,$AD849-SUM($AG849:AL849))),0)</f>
        <v>45833.333333333299</v>
      </c>
      <c r="AN849" s="8">
        <f>IF($O849="Aktif",MAX(0,MIN($AE849,$AD849-SUM($AG849:AM849))),0)</f>
        <v>45833.333333333299</v>
      </c>
      <c r="AO849" s="8">
        <f>IF($O849="Aktif",MAX(0,MIN($AE849,$AD849-SUM($AG849:AN849))),0)</f>
        <v>45833.333333333299</v>
      </c>
      <c r="AP849" s="8">
        <f>IF($O849="Aktif",MAX(0,MIN($AE849,$AD849-SUM($AG849:AO849))),0)</f>
        <v>45833.333333333299</v>
      </c>
      <c r="AQ849" s="8">
        <f>IF($O849="Aktif",MAX(0,MIN($AE849,$AD849-SUM($AG849:AP849))),0)</f>
        <v>45833.333333333299</v>
      </c>
      <c r="AR849" s="8">
        <f>IF($O849="Aktif",MAX(0,MIN($AE849,$AD849-SUM($AG849:AQ849))),0)</f>
        <v>45833.333333333299</v>
      </c>
      <c r="AS849" s="8">
        <f>IF($O849="Aktif",MAX(0,MIN($AE849,$AD849-SUM($AG849:AR849))),0)</f>
        <v>45833.333333333299</v>
      </c>
      <c r="AT849" s="8">
        <f>IF($O849="Aktif",MAX(0,MIN($AE849,$AD849-SUM($AG849:AS849))),0)</f>
        <v>45833.333333333299</v>
      </c>
      <c r="AU849" s="8">
        <f>IF($O849="Aktif",MAX(0,MIN($AE849,$AD849-SUM($AG849:AT849))),0)</f>
        <v>45833.333333333299</v>
      </c>
      <c r="AV849" s="8">
        <f>IF($O849="Aktif",MAX(0,MIN($AE849,$AD849-SUM($AG849:AU849))),0)</f>
        <v>45833.333333333299</v>
      </c>
      <c r="AW849" s="8">
        <f t="shared" si="96"/>
        <v>733333.33333333267</v>
      </c>
      <c r="AX849" s="8">
        <f t="shared" si="97"/>
        <v>229166.66666666779</v>
      </c>
    </row>
    <row r="850" spans="1:50" ht="15" customHeight="1" x14ac:dyDescent="0.35">
      <c r="A850" s="102">
        <v>844</v>
      </c>
      <c r="B850" s="102" t="s">
        <v>1326</v>
      </c>
      <c r="C850" s="103">
        <v>478</v>
      </c>
      <c r="D850" s="102" t="s">
        <v>185</v>
      </c>
      <c r="E850" s="102" t="s">
        <v>479</v>
      </c>
      <c r="F850" s="102" t="s">
        <v>2332</v>
      </c>
      <c r="G850" s="102" t="s">
        <v>2333</v>
      </c>
      <c r="H850" s="102" t="s">
        <v>2334</v>
      </c>
      <c r="I850" s="102" t="s">
        <v>63</v>
      </c>
      <c r="J850" s="102"/>
      <c r="K850" s="102" t="s">
        <v>2632</v>
      </c>
      <c r="L850" s="102" t="s">
        <v>1121</v>
      </c>
      <c r="M850" s="102" t="s">
        <v>2633</v>
      </c>
      <c r="N850" s="102"/>
      <c r="O850" s="102" t="s">
        <v>383</v>
      </c>
      <c r="P850" s="103">
        <v>1</v>
      </c>
      <c r="Q850" s="105">
        <v>2200000</v>
      </c>
      <c r="R850" s="103">
        <v>48</v>
      </c>
      <c r="S850" s="105">
        <v>45833.333333333299</v>
      </c>
      <c r="T850" s="105">
        <v>870833.33333333302</v>
      </c>
      <c r="U850" s="105">
        <v>45833.333333333299</v>
      </c>
      <c r="V850" s="105">
        <v>45833.333333333299</v>
      </c>
      <c r="W850" s="105">
        <v>45833.333333333299</v>
      </c>
      <c r="X850" s="105">
        <v>45833.333333333299</v>
      </c>
      <c r="Y850" s="105">
        <v>45833.333333333299</v>
      </c>
      <c r="Z850" s="105">
        <v>45833.333333333299</v>
      </c>
      <c r="AA850" s="105">
        <v>45833.333333333299</v>
      </c>
      <c r="AB850" s="105">
        <v>45833.333333333299</v>
      </c>
      <c r="AC850" s="8">
        <f t="shared" si="91"/>
        <v>1237499.9999999995</v>
      </c>
      <c r="AD850" s="8">
        <f t="shared" si="92"/>
        <v>962500.00000000047</v>
      </c>
      <c r="AE850" s="8">
        <f t="shared" si="93"/>
        <v>45833.333333333299</v>
      </c>
      <c r="AF850" s="106">
        <f t="shared" si="94"/>
        <v>21.000000000000025</v>
      </c>
      <c r="AG850" s="8">
        <f t="shared" si="95"/>
        <v>45833.333333333299</v>
      </c>
      <c r="AH850" s="8">
        <f>IF($O850="Aktif",MAX(0,MIN($AE850,$AD850-SUM($AG850:AG850))),0)</f>
        <v>45833.333333333299</v>
      </c>
      <c r="AI850" s="8">
        <f>IF($O850="Aktif",MAX(0,MIN($AE850,$AD850-SUM($AG850:AH850))),0)</f>
        <v>45833.333333333299</v>
      </c>
      <c r="AJ850" s="8">
        <f>IF($O850="Aktif",MAX(0,MIN($AE850,$AD850-SUM($AG850:AI850))),0)</f>
        <v>45833.333333333299</v>
      </c>
      <c r="AK850" s="8">
        <f>IF($O850="Aktif",MAX(0,MIN($AE850,$AD850-SUM($AG850:AJ850))),0)</f>
        <v>45833.333333333299</v>
      </c>
      <c r="AL850" s="8">
        <f>IF($O850="Aktif",MAX(0,MIN($AE850,$AD850-SUM($AG850:AK850))),0)</f>
        <v>45833.333333333299</v>
      </c>
      <c r="AM850" s="8">
        <f>IF($O850="Aktif",MAX(0,MIN($AE850,$AD850-SUM($AG850:AL850))),0)</f>
        <v>45833.333333333299</v>
      </c>
      <c r="AN850" s="8">
        <f>IF($O850="Aktif",MAX(0,MIN($AE850,$AD850-SUM($AG850:AM850))),0)</f>
        <v>45833.333333333299</v>
      </c>
      <c r="AO850" s="8">
        <f>IF($O850="Aktif",MAX(0,MIN($AE850,$AD850-SUM($AG850:AN850))),0)</f>
        <v>45833.333333333299</v>
      </c>
      <c r="AP850" s="8">
        <f>IF($O850="Aktif",MAX(0,MIN($AE850,$AD850-SUM($AG850:AO850))),0)</f>
        <v>45833.333333333299</v>
      </c>
      <c r="AQ850" s="8">
        <f>IF($O850="Aktif",MAX(0,MIN($AE850,$AD850-SUM($AG850:AP850))),0)</f>
        <v>45833.333333333299</v>
      </c>
      <c r="AR850" s="8">
        <f>IF($O850="Aktif",MAX(0,MIN($AE850,$AD850-SUM($AG850:AQ850))),0)</f>
        <v>45833.333333333299</v>
      </c>
      <c r="AS850" s="8">
        <f>IF($O850="Aktif",MAX(0,MIN($AE850,$AD850-SUM($AG850:AR850))),0)</f>
        <v>45833.333333333299</v>
      </c>
      <c r="AT850" s="8">
        <f>IF($O850="Aktif",MAX(0,MIN($AE850,$AD850-SUM($AG850:AS850))),0)</f>
        <v>45833.333333333299</v>
      </c>
      <c r="AU850" s="8">
        <f>IF($O850="Aktif",MAX(0,MIN($AE850,$AD850-SUM($AG850:AT850))),0)</f>
        <v>45833.333333333299</v>
      </c>
      <c r="AV850" s="8">
        <f>IF($O850="Aktif",MAX(0,MIN($AE850,$AD850-SUM($AG850:AU850))),0)</f>
        <v>45833.333333333299</v>
      </c>
      <c r="AW850" s="8">
        <f t="shared" si="96"/>
        <v>733333.33333333267</v>
      </c>
      <c r="AX850" s="8">
        <f t="shared" si="97"/>
        <v>229166.66666666779</v>
      </c>
    </row>
    <row r="851" spans="1:50" ht="15" customHeight="1" x14ac:dyDescent="0.35">
      <c r="A851" s="102">
        <v>845</v>
      </c>
      <c r="B851" s="102" t="s">
        <v>1326</v>
      </c>
      <c r="C851" s="103">
        <v>479</v>
      </c>
      <c r="D851" s="102" t="s">
        <v>185</v>
      </c>
      <c r="E851" s="102" t="s">
        <v>479</v>
      </c>
      <c r="F851" s="102" t="s">
        <v>2332</v>
      </c>
      <c r="G851" s="102" t="s">
        <v>2333</v>
      </c>
      <c r="H851" s="102" t="s">
        <v>2334</v>
      </c>
      <c r="I851" s="102" t="s">
        <v>63</v>
      </c>
      <c r="J851" s="102"/>
      <c r="K851" s="102" t="s">
        <v>2634</v>
      </c>
      <c r="L851" s="102" t="s">
        <v>1121</v>
      </c>
      <c r="M851" s="102" t="s">
        <v>2635</v>
      </c>
      <c r="N851" s="102"/>
      <c r="O851" s="102" t="s">
        <v>383</v>
      </c>
      <c r="P851" s="103">
        <v>1</v>
      </c>
      <c r="Q851" s="105">
        <v>2200000</v>
      </c>
      <c r="R851" s="103">
        <v>48</v>
      </c>
      <c r="S851" s="105">
        <v>45833.333333333299</v>
      </c>
      <c r="T851" s="105">
        <v>870833.33333333302</v>
      </c>
      <c r="U851" s="105">
        <v>45833.333333333299</v>
      </c>
      <c r="V851" s="105">
        <v>45833.333333333299</v>
      </c>
      <c r="W851" s="105">
        <v>45833.333333333299</v>
      </c>
      <c r="X851" s="105">
        <v>45833.333333333299</v>
      </c>
      <c r="Y851" s="105">
        <v>45833.333333333299</v>
      </c>
      <c r="Z851" s="105">
        <v>45833.333333333299</v>
      </c>
      <c r="AA851" s="105">
        <v>45833.333333333299</v>
      </c>
      <c r="AB851" s="105">
        <v>45833.333333333299</v>
      </c>
      <c r="AC851" s="8">
        <f t="shared" si="91"/>
        <v>1237499.9999999995</v>
      </c>
      <c r="AD851" s="8">
        <f t="shared" si="92"/>
        <v>962500.00000000047</v>
      </c>
      <c r="AE851" s="8">
        <f t="shared" si="93"/>
        <v>45833.333333333299</v>
      </c>
      <c r="AF851" s="106">
        <f t="shared" si="94"/>
        <v>21.000000000000025</v>
      </c>
      <c r="AG851" s="8">
        <f t="shared" si="95"/>
        <v>45833.333333333299</v>
      </c>
      <c r="AH851" s="8">
        <f>IF($O851="Aktif",MAX(0,MIN($AE851,$AD851-SUM($AG851:AG851))),0)</f>
        <v>45833.333333333299</v>
      </c>
      <c r="AI851" s="8">
        <f>IF($O851="Aktif",MAX(0,MIN($AE851,$AD851-SUM($AG851:AH851))),0)</f>
        <v>45833.333333333299</v>
      </c>
      <c r="AJ851" s="8">
        <f>IF($O851="Aktif",MAX(0,MIN($AE851,$AD851-SUM($AG851:AI851))),0)</f>
        <v>45833.333333333299</v>
      </c>
      <c r="AK851" s="8">
        <f>IF($O851="Aktif",MAX(0,MIN($AE851,$AD851-SUM($AG851:AJ851))),0)</f>
        <v>45833.333333333299</v>
      </c>
      <c r="AL851" s="8">
        <f>IF($O851="Aktif",MAX(0,MIN($AE851,$AD851-SUM($AG851:AK851))),0)</f>
        <v>45833.333333333299</v>
      </c>
      <c r="AM851" s="8">
        <f>IF($O851="Aktif",MAX(0,MIN($AE851,$AD851-SUM($AG851:AL851))),0)</f>
        <v>45833.333333333299</v>
      </c>
      <c r="AN851" s="8">
        <f>IF($O851="Aktif",MAX(0,MIN($AE851,$AD851-SUM($AG851:AM851))),0)</f>
        <v>45833.333333333299</v>
      </c>
      <c r="AO851" s="8">
        <f>IF($O851="Aktif",MAX(0,MIN($AE851,$AD851-SUM($AG851:AN851))),0)</f>
        <v>45833.333333333299</v>
      </c>
      <c r="AP851" s="8">
        <f>IF($O851="Aktif",MAX(0,MIN($AE851,$AD851-SUM($AG851:AO851))),0)</f>
        <v>45833.333333333299</v>
      </c>
      <c r="AQ851" s="8">
        <f>IF($O851="Aktif",MAX(0,MIN($AE851,$AD851-SUM($AG851:AP851))),0)</f>
        <v>45833.333333333299</v>
      </c>
      <c r="AR851" s="8">
        <f>IF($O851="Aktif",MAX(0,MIN($AE851,$AD851-SUM($AG851:AQ851))),0)</f>
        <v>45833.333333333299</v>
      </c>
      <c r="AS851" s="8">
        <f>IF($O851="Aktif",MAX(0,MIN($AE851,$AD851-SUM($AG851:AR851))),0)</f>
        <v>45833.333333333299</v>
      </c>
      <c r="AT851" s="8">
        <f>IF($O851="Aktif",MAX(0,MIN($AE851,$AD851-SUM($AG851:AS851))),0)</f>
        <v>45833.333333333299</v>
      </c>
      <c r="AU851" s="8">
        <f>IF($O851="Aktif",MAX(0,MIN($AE851,$AD851-SUM($AG851:AT851))),0)</f>
        <v>45833.333333333299</v>
      </c>
      <c r="AV851" s="8">
        <f>IF($O851="Aktif",MAX(0,MIN($AE851,$AD851-SUM($AG851:AU851))),0)</f>
        <v>45833.333333333299</v>
      </c>
      <c r="AW851" s="8">
        <f t="shared" si="96"/>
        <v>733333.33333333267</v>
      </c>
      <c r="AX851" s="8">
        <f t="shared" si="97"/>
        <v>229166.66666666779</v>
      </c>
    </row>
    <row r="852" spans="1:50" ht="15" customHeight="1" x14ac:dyDescent="0.35">
      <c r="A852" s="102">
        <v>846</v>
      </c>
      <c r="B852" s="102" t="s">
        <v>1326</v>
      </c>
      <c r="C852" s="103">
        <v>480</v>
      </c>
      <c r="D852" s="102" t="s">
        <v>185</v>
      </c>
      <c r="E852" s="102" t="s">
        <v>479</v>
      </c>
      <c r="F852" s="102" t="s">
        <v>2332</v>
      </c>
      <c r="G852" s="102" t="s">
        <v>2333</v>
      </c>
      <c r="H852" s="102" t="s">
        <v>2334</v>
      </c>
      <c r="I852" s="102" t="s">
        <v>63</v>
      </c>
      <c r="J852" s="102"/>
      <c r="K852" s="102" t="s">
        <v>2636</v>
      </c>
      <c r="L852" s="102" t="s">
        <v>1121</v>
      </c>
      <c r="M852" s="102" t="s">
        <v>2637</v>
      </c>
      <c r="N852" s="102"/>
      <c r="O852" s="102" t="s">
        <v>383</v>
      </c>
      <c r="P852" s="103">
        <v>1</v>
      </c>
      <c r="Q852" s="105">
        <v>2200000</v>
      </c>
      <c r="R852" s="103">
        <v>48</v>
      </c>
      <c r="S852" s="105">
        <v>45833.333333333299</v>
      </c>
      <c r="T852" s="105">
        <v>870833.33333333302</v>
      </c>
      <c r="U852" s="105">
        <v>45833.333333333299</v>
      </c>
      <c r="V852" s="105">
        <v>45833.333333333299</v>
      </c>
      <c r="W852" s="105">
        <v>45833.333333333299</v>
      </c>
      <c r="X852" s="105">
        <v>45833.333333333299</v>
      </c>
      <c r="Y852" s="105">
        <v>45833.333333333299</v>
      </c>
      <c r="Z852" s="105">
        <v>45833.333333333299</v>
      </c>
      <c r="AA852" s="105">
        <v>45833.333333333299</v>
      </c>
      <c r="AB852" s="105">
        <v>45833.333333333299</v>
      </c>
      <c r="AC852" s="8">
        <f t="shared" si="91"/>
        <v>1237499.9999999995</v>
      </c>
      <c r="AD852" s="8">
        <f t="shared" si="92"/>
        <v>962500.00000000047</v>
      </c>
      <c r="AE852" s="8">
        <f t="shared" si="93"/>
        <v>45833.333333333299</v>
      </c>
      <c r="AF852" s="106">
        <f t="shared" si="94"/>
        <v>21.000000000000025</v>
      </c>
      <c r="AG852" s="8">
        <f t="shared" si="95"/>
        <v>45833.333333333299</v>
      </c>
      <c r="AH852" s="8">
        <f>IF($O852="Aktif",MAX(0,MIN($AE852,$AD852-SUM($AG852:AG852))),0)</f>
        <v>45833.333333333299</v>
      </c>
      <c r="AI852" s="8">
        <f>IF($O852="Aktif",MAX(0,MIN($AE852,$AD852-SUM($AG852:AH852))),0)</f>
        <v>45833.333333333299</v>
      </c>
      <c r="AJ852" s="8">
        <f>IF($O852="Aktif",MAX(0,MIN($AE852,$AD852-SUM($AG852:AI852))),0)</f>
        <v>45833.333333333299</v>
      </c>
      <c r="AK852" s="8">
        <f>IF($O852="Aktif",MAX(0,MIN($AE852,$AD852-SUM($AG852:AJ852))),0)</f>
        <v>45833.333333333299</v>
      </c>
      <c r="AL852" s="8">
        <f>IF($O852="Aktif",MAX(0,MIN($AE852,$AD852-SUM($AG852:AK852))),0)</f>
        <v>45833.333333333299</v>
      </c>
      <c r="AM852" s="8">
        <f>IF($O852="Aktif",MAX(0,MIN($AE852,$AD852-SUM($AG852:AL852))),0)</f>
        <v>45833.333333333299</v>
      </c>
      <c r="AN852" s="8">
        <f>IF($O852="Aktif",MAX(0,MIN($AE852,$AD852-SUM($AG852:AM852))),0)</f>
        <v>45833.333333333299</v>
      </c>
      <c r="AO852" s="8">
        <f>IF($O852="Aktif",MAX(0,MIN($AE852,$AD852-SUM($AG852:AN852))),0)</f>
        <v>45833.333333333299</v>
      </c>
      <c r="AP852" s="8">
        <f>IF($O852="Aktif",MAX(0,MIN($AE852,$AD852-SUM($AG852:AO852))),0)</f>
        <v>45833.333333333299</v>
      </c>
      <c r="AQ852" s="8">
        <f>IF($O852="Aktif",MAX(0,MIN($AE852,$AD852-SUM($AG852:AP852))),0)</f>
        <v>45833.333333333299</v>
      </c>
      <c r="AR852" s="8">
        <f>IF($O852="Aktif",MAX(0,MIN($AE852,$AD852-SUM($AG852:AQ852))),0)</f>
        <v>45833.333333333299</v>
      </c>
      <c r="AS852" s="8">
        <f>IF($O852="Aktif",MAX(0,MIN($AE852,$AD852-SUM($AG852:AR852))),0)</f>
        <v>45833.333333333299</v>
      </c>
      <c r="AT852" s="8">
        <f>IF($O852="Aktif",MAX(0,MIN($AE852,$AD852-SUM($AG852:AS852))),0)</f>
        <v>45833.333333333299</v>
      </c>
      <c r="AU852" s="8">
        <f>IF($O852="Aktif",MAX(0,MIN($AE852,$AD852-SUM($AG852:AT852))),0)</f>
        <v>45833.333333333299</v>
      </c>
      <c r="AV852" s="8">
        <f>IF($O852="Aktif",MAX(0,MIN($AE852,$AD852-SUM($AG852:AU852))),0)</f>
        <v>45833.333333333299</v>
      </c>
      <c r="AW852" s="8">
        <f t="shared" si="96"/>
        <v>733333.33333333267</v>
      </c>
      <c r="AX852" s="8">
        <f t="shared" si="97"/>
        <v>229166.66666666779</v>
      </c>
    </row>
    <row r="853" spans="1:50" ht="15" customHeight="1" x14ac:dyDescent="0.35">
      <c r="A853" s="102">
        <v>847</v>
      </c>
      <c r="B853" s="102" t="s">
        <v>1326</v>
      </c>
      <c r="C853" s="103">
        <v>481</v>
      </c>
      <c r="D853" s="102" t="s">
        <v>185</v>
      </c>
      <c r="E853" s="102" t="s">
        <v>479</v>
      </c>
      <c r="F853" s="102" t="s">
        <v>2332</v>
      </c>
      <c r="G853" s="102" t="s">
        <v>2333</v>
      </c>
      <c r="H853" s="102" t="s">
        <v>2334</v>
      </c>
      <c r="I853" s="102" t="s">
        <v>63</v>
      </c>
      <c r="J853" s="102"/>
      <c r="K853" s="102" t="s">
        <v>2638</v>
      </c>
      <c r="L853" s="102" t="s">
        <v>1121</v>
      </c>
      <c r="M853" s="102" t="s">
        <v>2639</v>
      </c>
      <c r="N853" s="102"/>
      <c r="O853" s="102" t="s">
        <v>383</v>
      </c>
      <c r="P853" s="103">
        <v>1</v>
      </c>
      <c r="Q853" s="105">
        <v>2200000</v>
      </c>
      <c r="R853" s="103">
        <v>48</v>
      </c>
      <c r="S853" s="105">
        <v>45833.333333333299</v>
      </c>
      <c r="T853" s="105">
        <v>870833.33333333302</v>
      </c>
      <c r="U853" s="105">
        <v>45833.333333333299</v>
      </c>
      <c r="V853" s="105">
        <v>45833.333333333299</v>
      </c>
      <c r="W853" s="105">
        <v>45833.333333333299</v>
      </c>
      <c r="X853" s="105">
        <v>45833.333333333299</v>
      </c>
      <c r="Y853" s="105">
        <v>45833.333333333299</v>
      </c>
      <c r="Z853" s="105">
        <v>45833.333333333299</v>
      </c>
      <c r="AA853" s="105">
        <v>45833.333333333299</v>
      </c>
      <c r="AB853" s="105">
        <v>45833.333333333299</v>
      </c>
      <c r="AC853" s="8">
        <f t="shared" si="91"/>
        <v>1237499.9999999995</v>
      </c>
      <c r="AD853" s="8">
        <f t="shared" si="92"/>
        <v>962500.00000000047</v>
      </c>
      <c r="AE853" s="8">
        <f t="shared" si="93"/>
        <v>45833.333333333299</v>
      </c>
      <c r="AF853" s="106">
        <f t="shared" si="94"/>
        <v>21.000000000000025</v>
      </c>
      <c r="AG853" s="8">
        <f t="shared" si="95"/>
        <v>45833.333333333299</v>
      </c>
      <c r="AH853" s="8">
        <f>IF($O853="Aktif",MAX(0,MIN($AE853,$AD853-SUM($AG853:AG853))),0)</f>
        <v>45833.333333333299</v>
      </c>
      <c r="AI853" s="8">
        <f>IF($O853="Aktif",MAX(0,MIN($AE853,$AD853-SUM($AG853:AH853))),0)</f>
        <v>45833.333333333299</v>
      </c>
      <c r="AJ853" s="8">
        <f>IF($O853="Aktif",MAX(0,MIN($AE853,$AD853-SUM($AG853:AI853))),0)</f>
        <v>45833.333333333299</v>
      </c>
      <c r="AK853" s="8">
        <f>IF($O853="Aktif",MAX(0,MIN($AE853,$AD853-SUM($AG853:AJ853))),0)</f>
        <v>45833.333333333299</v>
      </c>
      <c r="AL853" s="8">
        <f>IF($O853="Aktif",MAX(0,MIN($AE853,$AD853-SUM($AG853:AK853))),0)</f>
        <v>45833.333333333299</v>
      </c>
      <c r="AM853" s="8">
        <f>IF($O853="Aktif",MAX(0,MIN($AE853,$AD853-SUM($AG853:AL853))),0)</f>
        <v>45833.333333333299</v>
      </c>
      <c r="AN853" s="8">
        <f>IF($O853="Aktif",MAX(0,MIN($AE853,$AD853-SUM($AG853:AM853))),0)</f>
        <v>45833.333333333299</v>
      </c>
      <c r="AO853" s="8">
        <f>IF($O853="Aktif",MAX(0,MIN($AE853,$AD853-SUM($AG853:AN853))),0)</f>
        <v>45833.333333333299</v>
      </c>
      <c r="AP853" s="8">
        <f>IF($O853="Aktif",MAX(0,MIN($AE853,$AD853-SUM($AG853:AO853))),0)</f>
        <v>45833.333333333299</v>
      </c>
      <c r="AQ853" s="8">
        <f>IF($O853="Aktif",MAX(0,MIN($AE853,$AD853-SUM($AG853:AP853))),0)</f>
        <v>45833.333333333299</v>
      </c>
      <c r="AR853" s="8">
        <f>IF($O853="Aktif",MAX(0,MIN($AE853,$AD853-SUM($AG853:AQ853))),0)</f>
        <v>45833.333333333299</v>
      </c>
      <c r="AS853" s="8">
        <f>IF($O853="Aktif",MAX(0,MIN($AE853,$AD853-SUM($AG853:AR853))),0)</f>
        <v>45833.333333333299</v>
      </c>
      <c r="AT853" s="8">
        <f>IF($O853="Aktif",MAX(0,MIN($AE853,$AD853-SUM($AG853:AS853))),0)</f>
        <v>45833.333333333299</v>
      </c>
      <c r="AU853" s="8">
        <f>IF($O853="Aktif",MAX(0,MIN($AE853,$AD853-SUM($AG853:AT853))),0)</f>
        <v>45833.333333333299</v>
      </c>
      <c r="AV853" s="8">
        <f>IF($O853="Aktif",MAX(0,MIN($AE853,$AD853-SUM($AG853:AU853))),0)</f>
        <v>45833.333333333299</v>
      </c>
      <c r="AW853" s="8">
        <f t="shared" si="96"/>
        <v>733333.33333333267</v>
      </c>
      <c r="AX853" s="8">
        <f t="shared" si="97"/>
        <v>229166.66666666779</v>
      </c>
    </row>
    <row r="854" spans="1:50" ht="15" customHeight="1" x14ac:dyDescent="0.35">
      <c r="A854" s="102">
        <v>848</v>
      </c>
      <c r="B854" s="102" t="s">
        <v>1326</v>
      </c>
      <c r="C854" s="103">
        <v>482</v>
      </c>
      <c r="D854" s="102" t="s">
        <v>185</v>
      </c>
      <c r="E854" s="102" t="s">
        <v>479</v>
      </c>
      <c r="F854" s="102" t="s">
        <v>2332</v>
      </c>
      <c r="G854" s="102" t="s">
        <v>2333</v>
      </c>
      <c r="H854" s="102" t="s">
        <v>2334</v>
      </c>
      <c r="I854" s="102" t="s">
        <v>63</v>
      </c>
      <c r="J854" s="102"/>
      <c r="K854" s="102" t="s">
        <v>2640</v>
      </c>
      <c r="L854" s="102" t="s">
        <v>1121</v>
      </c>
      <c r="M854" s="102" t="s">
        <v>2641</v>
      </c>
      <c r="N854" s="102"/>
      <c r="O854" s="102" t="s">
        <v>383</v>
      </c>
      <c r="P854" s="103">
        <v>1</v>
      </c>
      <c r="Q854" s="105">
        <v>2200000</v>
      </c>
      <c r="R854" s="103">
        <v>48</v>
      </c>
      <c r="S854" s="105">
        <v>45833.333333333299</v>
      </c>
      <c r="T854" s="105">
        <v>870833.33333333302</v>
      </c>
      <c r="U854" s="105">
        <v>45833.333333333299</v>
      </c>
      <c r="V854" s="105">
        <v>45833.333333333299</v>
      </c>
      <c r="W854" s="105">
        <v>45833.333333333299</v>
      </c>
      <c r="X854" s="105">
        <v>45833.333333333299</v>
      </c>
      <c r="Y854" s="105">
        <v>45833.333333333299</v>
      </c>
      <c r="Z854" s="105">
        <v>45833.333333333299</v>
      </c>
      <c r="AA854" s="105">
        <v>45833.333333333299</v>
      </c>
      <c r="AB854" s="105">
        <v>45833.333333333299</v>
      </c>
      <c r="AC854" s="8">
        <f t="shared" si="91"/>
        <v>1237499.9999999995</v>
      </c>
      <c r="AD854" s="8">
        <f t="shared" si="92"/>
        <v>962500.00000000047</v>
      </c>
      <c r="AE854" s="8">
        <f t="shared" si="93"/>
        <v>45833.333333333299</v>
      </c>
      <c r="AF854" s="106">
        <f t="shared" si="94"/>
        <v>21.000000000000025</v>
      </c>
      <c r="AG854" s="8">
        <f t="shared" si="95"/>
        <v>45833.333333333299</v>
      </c>
      <c r="AH854" s="8">
        <f>IF($O854="Aktif",MAX(0,MIN($AE854,$AD854-SUM($AG854:AG854))),0)</f>
        <v>45833.333333333299</v>
      </c>
      <c r="AI854" s="8">
        <f>IF($O854="Aktif",MAX(0,MIN($AE854,$AD854-SUM($AG854:AH854))),0)</f>
        <v>45833.333333333299</v>
      </c>
      <c r="AJ854" s="8">
        <f>IF($O854="Aktif",MAX(0,MIN($AE854,$AD854-SUM($AG854:AI854))),0)</f>
        <v>45833.333333333299</v>
      </c>
      <c r="AK854" s="8">
        <f>IF($O854="Aktif",MAX(0,MIN($AE854,$AD854-SUM($AG854:AJ854))),0)</f>
        <v>45833.333333333299</v>
      </c>
      <c r="AL854" s="8">
        <f>IF($O854="Aktif",MAX(0,MIN($AE854,$AD854-SUM($AG854:AK854))),0)</f>
        <v>45833.333333333299</v>
      </c>
      <c r="AM854" s="8">
        <f>IF($O854="Aktif",MAX(0,MIN($AE854,$AD854-SUM($AG854:AL854))),0)</f>
        <v>45833.333333333299</v>
      </c>
      <c r="AN854" s="8">
        <f>IF($O854="Aktif",MAX(0,MIN($AE854,$AD854-SUM($AG854:AM854))),0)</f>
        <v>45833.333333333299</v>
      </c>
      <c r="AO854" s="8">
        <f>IF($O854="Aktif",MAX(0,MIN($AE854,$AD854-SUM($AG854:AN854))),0)</f>
        <v>45833.333333333299</v>
      </c>
      <c r="AP854" s="8">
        <f>IF($O854="Aktif",MAX(0,MIN($AE854,$AD854-SUM($AG854:AO854))),0)</f>
        <v>45833.333333333299</v>
      </c>
      <c r="AQ854" s="8">
        <f>IF($O854="Aktif",MAX(0,MIN($AE854,$AD854-SUM($AG854:AP854))),0)</f>
        <v>45833.333333333299</v>
      </c>
      <c r="AR854" s="8">
        <f>IF($O854="Aktif",MAX(0,MIN($AE854,$AD854-SUM($AG854:AQ854))),0)</f>
        <v>45833.333333333299</v>
      </c>
      <c r="AS854" s="8">
        <f>IF($O854="Aktif",MAX(0,MIN($AE854,$AD854-SUM($AG854:AR854))),0)</f>
        <v>45833.333333333299</v>
      </c>
      <c r="AT854" s="8">
        <f>IF($O854="Aktif",MAX(0,MIN($AE854,$AD854-SUM($AG854:AS854))),0)</f>
        <v>45833.333333333299</v>
      </c>
      <c r="AU854" s="8">
        <f>IF($O854="Aktif",MAX(0,MIN($AE854,$AD854-SUM($AG854:AT854))),0)</f>
        <v>45833.333333333299</v>
      </c>
      <c r="AV854" s="8">
        <f>IF($O854="Aktif",MAX(0,MIN($AE854,$AD854-SUM($AG854:AU854))),0)</f>
        <v>45833.333333333299</v>
      </c>
      <c r="AW854" s="8">
        <f t="shared" si="96"/>
        <v>733333.33333333267</v>
      </c>
      <c r="AX854" s="8">
        <f t="shared" si="97"/>
        <v>229166.66666666779</v>
      </c>
    </row>
    <row r="855" spans="1:50" ht="15" customHeight="1" x14ac:dyDescent="0.35">
      <c r="A855" s="102">
        <v>849</v>
      </c>
      <c r="B855" s="102" t="s">
        <v>1326</v>
      </c>
      <c r="C855" s="103">
        <v>483</v>
      </c>
      <c r="D855" s="102" t="s">
        <v>185</v>
      </c>
      <c r="E855" s="102" t="s">
        <v>479</v>
      </c>
      <c r="F855" s="102" t="s">
        <v>2332</v>
      </c>
      <c r="G855" s="102" t="s">
        <v>2333</v>
      </c>
      <c r="H855" s="102" t="s">
        <v>2334</v>
      </c>
      <c r="I855" s="102" t="s">
        <v>63</v>
      </c>
      <c r="J855" s="102"/>
      <c r="K855" s="102" t="s">
        <v>2642</v>
      </c>
      <c r="L855" s="102" t="s">
        <v>1121</v>
      </c>
      <c r="M855" s="102" t="s">
        <v>2643</v>
      </c>
      <c r="N855" s="102"/>
      <c r="O855" s="102" t="s">
        <v>383</v>
      </c>
      <c r="P855" s="103">
        <v>1</v>
      </c>
      <c r="Q855" s="105">
        <v>2200000</v>
      </c>
      <c r="R855" s="103">
        <v>48</v>
      </c>
      <c r="S855" s="105">
        <v>45833.333333333299</v>
      </c>
      <c r="T855" s="105">
        <v>870833.33333333302</v>
      </c>
      <c r="U855" s="105">
        <v>45833.333333333299</v>
      </c>
      <c r="V855" s="105">
        <v>45833.333333333299</v>
      </c>
      <c r="W855" s="105">
        <v>45833.333333333299</v>
      </c>
      <c r="X855" s="105">
        <v>45833.333333333299</v>
      </c>
      <c r="Y855" s="105">
        <v>45833.333333333299</v>
      </c>
      <c r="Z855" s="105">
        <v>45833.333333333299</v>
      </c>
      <c r="AA855" s="105">
        <v>45833.333333333299</v>
      </c>
      <c r="AB855" s="105">
        <v>45833.333333333299</v>
      </c>
      <c r="AC855" s="8">
        <f t="shared" si="91"/>
        <v>1237499.9999999995</v>
      </c>
      <c r="AD855" s="8">
        <f t="shared" si="92"/>
        <v>962500.00000000047</v>
      </c>
      <c r="AE855" s="8">
        <f t="shared" si="93"/>
        <v>45833.333333333299</v>
      </c>
      <c r="AF855" s="106">
        <f t="shared" si="94"/>
        <v>21.000000000000025</v>
      </c>
      <c r="AG855" s="8">
        <f t="shared" si="95"/>
        <v>45833.333333333299</v>
      </c>
      <c r="AH855" s="8">
        <f>IF($O855="Aktif",MAX(0,MIN($AE855,$AD855-SUM($AG855:AG855))),0)</f>
        <v>45833.333333333299</v>
      </c>
      <c r="AI855" s="8">
        <f>IF($O855="Aktif",MAX(0,MIN($AE855,$AD855-SUM($AG855:AH855))),0)</f>
        <v>45833.333333333299</v>
      </c>
      <c r="AJ855" s="8">
        <f>IF($O855="Aktif",MAX(0,MIN($AE855,$AD855-SUM($AG855:AI855))),0)</f>
        <v>45833.333333333299</v>
      </c>
      <c r="AK855" s="8">
        <f>IF($O855="Aktif",MAX(0,MIN($AE855,$AD855-SUM($AG855:AJ855))),0)</f>
        <v>45833.333333333299</v>
      </c>
      <c r="AL855" s="8">
        <f>IF($O855="Aktif",MAX(0,MIN($AE855,$AD855-SUM($AG855:AK855))),0)</f>
        <v>45833.333333333299</v>
      </c>
      <c r="AM855" s="8">
        <f>IF($O855="Aktif",MAX(0,MIN($AE855,$AD855-SUM($AG855:AL855))),0)</f>
        <v>45833.333333333299</v>
      </c>
      <c r="AN855" s="8">
        <f>IF($O855="Aktif",MAX(0,MIN($AE855,$AD855-SUM($AG855:AM855))),0)</f>
        <v>45833.333333333299</v>
      </c>
      <c r="AO855" s="8">
        <f>IF($O855="Aktif",MAX(0,MIN($AE855,$AD855-SUM($AG855:AN855))),0)</f>
        <v>45833.333333333299</v>
      </c>
      <c r="AP855" s="8">
        <f>IF($O855="Aktif",MAX(0,MIN($AE855,$AD855-SUM($AG855:AO855))),0)</f>
        <v>45833.333333333299</v>
      </c>
      <c r="AQ855" s="8">
        <f>IF($O855="Aktif",MAX(0,MIN($AE855,$AD855-SUM($AG855:AP855))),0)</f>
        <v>45833.333333333299</v>
      </c>
      <c r="AR855" s="8">
        <f>IF($O855="Aktif",MAX(0,MIN($AE855,$AD855-SUM($AG855:AQ855))),0)</f>
        <v>45833.333333333299</v>
      </c>
      <c r="AS855" s="8">
        <f>IF($O855="Aktif",MAX(0,MIN($AE855,$AD855-SUM($AG855:AR855))),0)</f>
        <v>45833.333333333299</v>
      </c>
      <c r="AT855" s="8">
        <f>IF($O855="Aktif",MAX(0,MIN($AE855,$AD855-SUM($AG855:AS855))),0)</f>
        <v>45833.333333333299</v>
      </c>
      <c r="AU855" s="8">
        <f>IF($O855="Aktif",MAX(0,MIN($AE855,$AD855-SUM($AG855:AT855))),0)</f>
        <v>45833.333333333299</v>
      </c>
      <c r="AV855" s="8">
        <f>IF($O855="Aktif",MAX(0,MIN($AE855,$AD855-SUM($AG855:AU855))),0)</f>
        <v>45833.333333333299</v>
      </c>
      <c r="AW855" s="8">
        <f t="shared" si="96"/>
        <v>733333.33333333267</v>
      </c>
      <c r="AX855" s="8">
        <f t="shared" si="97"/>
        <v>229166.66666666779</v>
      </c>
    </row>
    <row r="856" spans="1:50" ht="15" customHeight="1" x14ac:dyDescent="0.35">
      <c r="A856" s="102">
        <v>850</v>
      </c>
      <c r="B856" s="102" t="s">
        <v>1326</v>
      </c>
      <c r="C856" s="103">
        <v>484</v>
      </c>
      <c r="D856" s="102" t="s">
        <v>185</v>
      </c>
      <c r="E856" s="102" t="s">
        <v>479</v>
      </c>
      <c r="F856" s="102" t="s">
        <v>2332</v>
      </c>
      <c r="G856" s="102" t="s">
        <v>2333</v>
      </c>
      <c r="H856" s="102" t="s">
        <v>2334</v>
      </c>
      <c r="I856" s="102" t="s">
        <v>63</v>
      </c>
      <c r="J856" s="102"/>
      <c r="K856" s="102" t="s">
        <v>2644</v>
      </c>
      <c r="L856" s="102" t="s">
        <v>1121</v>
      </c>
      <c r="M856" s="102" t="s">
        <v>2645</v>
      </c>
      <c r="N856" s="102"/>
      <c r="O856" s="102" t="s">
        <v>383</v>
      </c>
      <c r="P856" s="103">
        <v>1</v>
      </c>
      <c r="Q856" s="105">
        <v>2200000</v>
      </c>
      <c r="R856" s="103">
        <v>48</v>
      </c>
      <c r="S856" s="105">
        <v>45833.333333333299</v>
      </c>
      <c r="T856" s="105">
        <v>870833.33333333302</v>
      </c>
      <c r="U856" s="105">
        <v>45833.333333333299</v>
      </c>
      <c r="V856" s="105">
        <v>45833.333333333299</v>
      </c>
      <c r="W856" s="105">
        <v>45833.333333333299</v>
      </c>
      <c r="X856" s="105">
        <v>45833.333333333299</v>
      </c>
      <c r="Y856" s="105">
        <v>45833.333333333299</v>
      </c>
      <c r="Z856" s="105">
        <v>45833.333333333299</v>
      </c>
      <c r="AA856" s="105">
        <v>45833.333333333299</v>
      </c>
      <c r="AB856" s="105">
        <v>45833.333333333299</v>
      </c>
      <c r="AC856" s="8">
        <f t="shared" si="91"/>
        <v>1237499.9999999995</v>
      </c>
      <c r="AD856" s="8">
        <f t="shared" si="92"/>
        <v>962500.00000000047</v>
      </c>
      <c r="AE856" s="8">
        <f t="shared" si="93"/>
        <v>45833.333333333299</v>
      </c>
      <c r="AF856" s="106">
        <f t="shared" si="94"/>
        <v>21.000000000000025</v>
      </c>
      <c r="AG856" s="8">
        <f t="shared" si="95"/>
        <v>45833.333333333299</v>
      </c>
      <c r="AH856" s="8">
        <f>IF($O856="Aktif",MAX(0,MIN($AE856,$AD856-SUM($AG856:AG856))),0)</f>
        <v>45833.333333333299</v>
      </c>
      <c r="AI856" s="8">
        <f>IF($O856="Aktif",MAX(0,MIN($AE856,$AD856-SUM($AG856:AH856))),0)</f>
        <v>45833.333333333299</v>
      </c>
      <c r="AJ856" s="8">
        <f>IF($O856="Aktif",MAX(0,MIN($AE856,$AD856-SUM($AG856:AI856))),0)</f>
        <v>45833.333333333299</v>
      </c>
      <c r="AK856" s="8">
        <f>IF($O856="Aktif",MAX(0,MIN($AE856,$AD856-SUM($AG856:AJ856))),0)</f>
        <v>45833.333333333299</v>
      </c>
      <c r="AL856" s="8">
        <f>IF($O856="Aktif",MAX(0,MIN($AE856,$AD856-SUM($AG856:AK856))),0)</f>
        <v>45833.333333333299</v>
      </c>
      <c r="AM856" s="8">
        <f>IF($O856="Aktif",MAX(0,MIN($AE856,$AD856-SUM($AG856:AL856))),0)</f>
        <v>45833.333333333299</v>
      </c>
      <c r="AN856" s="8">
        <f>IF($O856="Aktif",MAX(0,MIN($AE856,$AD856-SUM($AG856:AM856))),0)</f>
        <v>45833.333333333299</v>
      </c>
      <c r="AO856" s="8">
        <f>IF($O856="Aktif",MAX(0,MIN($AE856,$AD856-SUM($AG856:AN856))),0)</f>
        <v>45833.333333333299</v>
      </c>
      <c r="AP856" s="8">
        <f>IF($O856="Aktif",MAX(0,MIN($AE856,$AD856-SUM($AG856:AO856))),0)</f>
        <v>45833.333333333299</v>
      </c>
      <c r="AQ856" s="8">
        <f>IF($O856="Aktif",MAX(0,MIN($AE856,$AD856-SUM($AG856:AP856))),0)</f>
        <v>45833.333333333299</v>
      </c>
      <c r="AR856" s="8">
        <f>IF($O856="Aktif",MAX(0,MIN($AE856,$AD856-SUM($AG856:AQ856))),0)</f>
        <v>45833.333333333299</v>
      </c>
      <c r="AS856" s="8">
        <f>IF($O856="Aktif",MAX(0,MIN($AE856,$AD856-SUM($AG856:AR856))),0)</f>
        <v>45833.333333333299</v>
      </c>
      <c r="AT856" s="8">
        <f>IF($O856="Aktif",MAX(0,MIN($AE856,$AD856-SUM($AG856:AS856))),0)</f>
        <v>45833.333333333299</v>
      </c>
      <c r="AU856" s="8">
        <f>IF($O856="Aktif",MAX(0,MIN($AE856,$AD856-SUM($AG856:AT856))),0)</f>
        <v>45833.333333333299</v>
      </c>
      <c r="AV856" s="8">
        <f>IF($O856="Aktif",MAX(0,MIN($AE856,$AD856-SUM($AG856:AU856))),0)</f>
        <v>45833.333333333299</v>
      </c>
      <c r="AW856" s="8">
        <f t="shared" si="96"/>
        <v>733333.33333333267</v>
      </c>
      <c r="AX856" s="8">
        <f t="shared" si="97"/>
        <v>229166.66666666779</v>
      </c>
    </row>
    <row r="857" spans="1:50" ht="15" customHeight="1" x14ac:dyDescent="0.35">
      <c r="A857" s="102">
        <v>851</v>
      </c>
      <c r="B857" s="102" t="s">
        <v>1326</v>
      </c>
      <c r="C857" s="103">
        <v>485</v>
      </c>
      <c r="D857" s="102" t="s">
        <v>185</v>
      </c>
      <c r="E857" s="102" t="s">
        <v>479</v>
      </c>
      <c r="F857" s="102" t="s">
        <v>2332</v>
      </c>
      <c r="G857" s="102" t="s">
        <v>2333</v>
      </c>
      <c r="H857" s="102" t="s">
        <v>2334</v>
      </c>
      <c r="I857" s="102" t="s">
        <v>63</v>
      </c>
      <c r="J857" s="102"/>
      <c r="K857" s="102" t="s">
        <v>2646</v>
      </c>
      <c r="L857" s="102" t="s">
        <v>1121</v>
      </c>
      <c r="M857" s="102" t="s">
        <v>2647</v>
      </c>
      <c r="N857" s="102"/>
      <c r="O857" s="102" t="s">
        <v>383</v>
      </c>
      <c r="P857" s="103">
        <v>1</v>
      </c>
      <c r="Q857" s="105">
        <v>2200000</v>
      </c>
      <c r="R857" s="103">
        <v>48</v>
      </c>
      <c r="S857" s="105">
        <v>45833.333333333299</v>
      </c>
      <c r="T857" s="105">
        <v>870833.33333333302</v>
      </c>
      <c r="U857" s="105">
        <v>45833.333333333299</v>
      </c>
      <c r="V857" s="105">
        <v>45833.333333333299</v>
      </c>
      <c r="W857" s="105">
        <v>45833.333333333299</v>
      </c>
      <c r="X857" s="105">
        <v>45833.333333333299</v>
      </c>
      <c r="Y857" s="105">
        <v>45833.333333333299</v>
      </c>
      <c r="Z857" s="105">
        <v>45833.333333333299</v>
      </c>
      <c r="AA857" s="105">
        <v>45833.333333333299</v>
      </c>
      <c r="AB857" s="105">
        <v>45833.333333333299</v>
      </c>
      <c r="AC857" s="8">
        <f t="shared" si="91"/>
        <v>1237499.9999999995</v>
      </c>
      <c r="AD857" s="8">
        <f t="shared" si="92"/>
        <v>962500.00000000047</v>
      </c>
      <c r="AE857" s="8">
        <f t="shared" si="93"/>
        <v>45833.333333333299</v>
      </c>
      <c r="AF857" s="106">
        <f t="shared" si="94"/>
        <v>21.000000000000025</v>
      </c>
      <c r="AG857" s="8">
        <f t="shared" si="95"/>
        <v>45833.333333333299</v>
      </c>
      <c r="AH857" s="8">
        <f>IF($O857="Aktif",MAX(0,MIN($AE857,$AD857-SUM($AG857:AG857))),0)</f>
        <v>45833.333333333299</v>
      </c>
      <c r="AI857" s="8">
        <f>IF($O857="Aktif",MAX(0,MIN($AE857,$AD857-SUM($AG857:AH857))),0)</f>
        <v>45833.333333333299</v>
      </c>
      <c r="AJ857" s="8">
        <f>IF($O857="Aktif",MAX(0,MIN($AE857,$AD857-SUM($AG857:AI857))),0)</f>
        <v>45833.333333333299</v>
      </c>
      <c r="AK857" s="8">
        <f>IF($O857="Aktif",MAX(0,MIN($AE857,$AD857-SUM($AG857:AJ857))),0)</f>
        <v>45833.333333333299</v>
      </c>
      <c r="AL857" s="8">
        <f>IF($O857="Aktif",MAX(0,MIN($AE857,$AD857-SUM($AG857:AK857))),0)</f>
        <v>45833.333333333299</v>
      </c>
      <c r="AM857" s="8">
        <f>IF($O857="Aktif",MAX(0,MIN($AE857,$AD857-SUM($AG857:AL857))),0)</f>
        <v>45833.333333333299</v>
      </c>
      <c r="AN857" s="8">
        <f>IF($O857="Aktif",MAX(0,MIN($AE857,$AD857-SUM($AG857:AM857))),0)</f>
        <v>45833.333333333299</v>
      </c>
      <c r="AO857" s="8">
        <f>IF($O857="Aktif",MAX(0,MIN($AE857,$AD857-SUM($AG857:AN857))),0)</f>
        <v>45833.333333333299</v>
      </c>
      <c r="AP857" s="8">
        <f>IF($O857="Aktif",MAX(0,MIN($AE857,$AD857-SUM($AG857:AO857))),0)</f>
        <v>45833.333333333299</v>
      </c>
      <c r="AQ857" s="8">
        <f>IF($O857="Aktif",MAX(0,MIN($AE857,$AD857-SUM($AG857:AP857))),0)</f>
        <v>45833.333333333299</v>
      </c>
      <c r="AR857" s="8">
        <f>IF($O857="Aktif",MAX(0,MIN($AE857,$AD857-SUM($AG857:AQ857))),0)</f>
        <v>45833.333333333299</v>
      </c>
      <c r="AS857" s="8">
        <f>IF($O857="Aktif",MAX(0,MIN($AE857,$AD857-SUM($AG857:AR857))),0)</f>
        <v>45833.333333333299</v>
      </c>
      <c r="AT857" s="8">
        <f>IF($O857="Aktif",MAX(0,MIN($AE857,$AD857-SUM($AG857:AS857))),0)</f>
        <v>45833.333333333299</v>
      </c>
      <c r="AU857" s="8">
        <f>IF($O857="Aktif",MAX(0,MIN($AE857,$AD857-SUM($AG857:AT857))),0)</f>
        <v>45833.333333333299</v>
      </c>
      <c r="AV857" s="8">
        <f>IF($O857="Aktif",MAX(0,MIN($AE857,$AD857-SUM($AG857:AU857))),0)</f>
        <v>45833.333333333299</v>
      </c>
      <c r="AW857" s="8">
        <f t="shared" si="96"/>
        <v>733333.33333333267</v>
      </c>
      <c r="AX857" s="8">
        <f t="shared" si="97"/>
        <v>229166.66666666779</v>
      </c>
    </row>
    <row r="858" spans="1:50" ht="15" customHeight="1" x14ac:dyDescent="0.35">
      <c r="A858" s="102">
        <v>852</v>
      </c>
      <c r="B858" s="102" t="s">
        <v>1326</v>
      </c>
      <c r="C858" s="103">
        <v>486</v>
      </c>
      <c r="D858" s="102" t="s">
        <v>185</v>
      </c>
      <c r="E858" s="102" t="s">
        <v>479</v>
      </c>
      <c r="F858" s="102" t="s">
        <v>2332</v>
      </c>
      <c r="G858" s="102" t="s">
        <v>2333</v>
      </c>
      <c r="H858" s="102" t="s">
        <v>2334</v>
      </c>
      <c r="I858" s="102" t="s">
        <v>63</v>
      </c>
      <c r="J858" s="102"/>
      <c r="K858" s="102" t="s">
        <v>2648</v>
      </c>
      <c r="L858" s="102" t="s">
        <v>1121</v>
      </c>
      <c r="M858" s="102" t="s">
        <v>2649</v>
      </c>
      <c r="N858" s="102"/>
      <c r="O858" s="102" t="s">
        <v>383</v>
      </c>
      <c r="P858" s="103">
        <v>1</v>
      </c>
      <c r="Q858" s="105">
        <v>2200000</v>
      </c>
      <c r="R858" s="103">
        <v>48</v>
      </c>
      <c r="S858" s="105">
        <v>45833.333333333299</v>
      </c>
      <c r="T858" s="105">
        <v>870833.33333333302</v>
      </c>
      <c r="U858" s="105">
        <v>45833.333333333299</v>
      </c>
      <c r="V858" s="105">
        <v>45833.333333333299</v>
      </c>
      <c r="W858" s="105">
        <v>45833.333333333299</v>
      </c>
      <c r="X858" s="105">
        <v>45833.333333333299</v>
      </c>
      <c r="Y858" s="105">
        <v>45833.333333333299</v>
      </c>
      <c r="Z858" s="105">
        <v>45833.333333333299</v>
      </c>
      <c r="AA858" s="105">
        <v>45833.333333333299</v>
      </c>
      <c r="AB858" s="105">
        <v>45833.333333333299</v>
      </c>
      <c r="AC858" s="8">
        <f t="shared" si="91"/>
        <v>1237499.9999999995</v>
      </c>
      <c r="AD858" s="8">
        <f t="shared" si="92"/>
        <v>962500.00000000047</v>
      </c>
      <c r="AE858" s="8">
        <f t="shared" si="93"/>
        <v>45833.333333333299</v>
      </c>
      <c r="AF858" s="106">
        <f t="shared" si="94"/>
        <v>21.000000000000025</v>
      </c>
      <c r="AG858" s="8">
        <f t="shared" si="95"/>
        <v>45833.333333333299</v>
      </c>
      <c r="AH858" s="8">
        <f>IF($O858="Aktif",MAX(0,MIN($AE858,$AD858-SUM($AG858:AG858))),0)</f>
        <v>45833.333333333299</v>
      </c>
      <c r="AI858" s="8">
        <f>IF($O858="Aktif",MAX(0,MIN($AE858,$AD858-SUM($AG858:AH858))),0)</f>
        <v>45833.333333333299</v>
      </c>
      <c r="AJ858" s="8">
        <f>IF($O858="Aktif",MAX(0,MIN($AE858,$AD858-SUM($AG858:AI858))),0)</f>
        <v>45833.333333333299</v>
      </c>
      <c r="AK858" s="8">
        <f>IF($O858="Aktif",MAX(0,MIN($AE858,$AD858-SUM($AG858:AJ858))),0)</f>
        <v>45833.333333333299</v>
      </c>
      <c r="AL858" s="8">
        <f>IF($O858="Aktif",MAX(0,MIN($AE858,$AD858-SUM($AG858:AK858))),0)</f>
        <v>45833.333333333299</v>
      </c>
      <c r="AM858" s="8">
        <f>IF($O858="Aktif",MAX(0,MIN($AE858,$AD858-SUM($AG858:AL858))),0)</f>
        <v>45833.333333333299</v>
      </c>
      <c r="AN858" s="8">
        <f>IF($O858="Aktif",MAX(0,MIN($AE858,$AD858-SUM($AG858:AM858))),0)</f>
        <v>45833.333333333299</v>
      </c>
      <c r="AO858" s="8">
        <f>IF($O858="Aktif",MAX(0,MIN($AE858,$AD858-SUM($AG858:AN858))),0)</f>
        <v>45833.333333333299</v>
      </c>
      <c r="AP858" s="8">
        <f>IF($O858="Aktif",MAX(0,MIN($AE858,$AD858-SUM($AG858:AO858))),0)</f>
        <v>45833.333333333299</v>
      </c>
      <c r="AQ858" s="8">
        <f>IF($O858="Aktif",MAX(0,MIN($AE858,$AD858-SUM($AG858:AP858))),0)</f>
        <v>45833.333333333299</v>
      </c>
      <c r="AR858" s="8">
        <f>IF($O858="Aktif",MAX(0,MIN($AE858,$AD858-SUM($AG858:AQ858))),0)</f>
        <v>45833.333333333299</v>
      </c>
      <c r="AS858" s="8">
        <f>IF($O858="Aktif",MAX(0,MIN($AE858,$AD858-SUM($AG858:AR858))),0)</f>
        <v>45833.333333333299</v>
      </c>
      <c r="AT858" s="8">
        <f>IF($O858="Aktif",MAX(0,MIN($AE858,$AD858-SUM($AG858:AS858))),0)</f>
        <v>45833.333333333299</v>
      </c>
      <c r="AU858" s="8">
        <f>IF($O858="Aktif",MAX(0,MIN($AE858,$AD858-SUM($AG858:AT858))),0)</f>
        <v>45833.333333333299</v>
      </c>
      <c r="AV858" s="8">
        <f>IF($O858="Aktif",MAX(0,MIN($AE858,$AD858-SUM($AG858:AU858))),0)</f>
        <v>45833.333333333299</v>
      </c>
      <c r="AW858" s="8">
        <f t="shared" si="96"/>
        <v>733333.33333333267</v>
      </c>
      <c r="AX858" s="8">
        <f t="shared" si="97"/>
        <v>229166.66666666779</v>
      </c>
    </row>
    <row r="859" spans="1:50" ht="15" customHeight="1" x14ac:dyDescent="0.35">
      <c r="A859" s="102">
        <v>853</v>
      </c>
      <c r="B859" s="102" t="s">
        <v>1326</v>
      </c>
      <c r="C859" s="103">
        <v>487</v>
      </c>
      <c r="D859" s="102" t="s">
        <v>185</v>
      </c>
      <c r="E859" s="102" t="s">
        <v>479</v>
      </c>
      <c r="F859" s="102" t="s">
        <v>2332</v>
      </c>
      <c r="G859" s="102" t="s">
        <v>2333</v>
      </c>
      <c r="H859" s="102" t="s">
        <v>2334</v>
      </c>
      <c r="I859" s="102" t="s">
        <v>63</v>
      </c>
      <c r="J859" s="102"/>
      <c r="K859" s="102" t="s">
        <v>2650</v>
      </c>
      <c r="L859" s="102" t="s">
        <v>1121</v>
      </c>
      <c r="M859" s="102" t="s">
        <v>2651</v>
      </c>
      <c r="N859" s="102"/>
      <c r="O859" s="102" t="s">
        <v>383</v>
      </c>
      <c r="P859" s="103">
        <v>1</v>
      </c>
      <c r="Q859" s="105">
        <v>2200000</v>
      </c>
      <c r="R859" s="103">
        <v>48</v>
      </c>
      <c r="S859" s="105">
        <v>45833.333333333299</v>
      </c>
      <c r="T859" s="105">
        <v>870833.33333333302</v>
      </c>
      <c r="U859" s="105">
        <v>45833.333333333299</v>
      </c>
      <c r="V859" s="105">
        <v>45833.333333333299</v>
      </c>
      <c r="W859" s="105">
        <v>45833.333333333299</v>
      </c>
      <c r="X859" s="105">
        <v>45833.333333333299</v>
      </c>
      <c r="Y859" s="105">
        <v>45833.333333333299</v>
      </c>
      <c r="Z859" s="105">
        <v>45833.333333333299</v>
      </c>
      <c r="AA859" s="105">
        <v>45833.333333333299</v>
      </c>
      <c r="AB859" s="105">
        <v>45833.333333333299</v>
      </c>
      <c r="AC859" s="8">
        <f t="shared" si="91"/>
        <v>1237499.9999999995</v>
      </c>
      <c r="AD859" s="8">
        <f t="shared" si="92"/>
        <v>962500.00000000047</v>
      </c>
      <c r="AE859" s="8">
        <f t="shared" si="93"/>
        <v>45833.333333333299</v>
      </c>
      <c r="AF859" s="106">
        <f t="shared" si="94"/>
        <v>21.000000000000025</v>
      </c>
      <c r="AG859" s="8">
        <f t="shared" si="95"/>
        <v>45833.333333333299</v>
      </c>
      <c r="AH859" s="8">
        <f>IF($O859="Aktif",MAX(0,MIN($AE859,$AD859-SUM($AG859:AG859))),0)</f>
        <v>45833.333333333299</v>
      </c>
      <c r="AI859" s="8">
        <f>IF($O859="Aktif",MAX(0,MIN($AE859,$AD859-SUM($AG859:AH859))),0)</f>
        <v>45833.333333333299</v>
      </c>
      <c r="AJ859" s="8">
        <f>IF($O859="Aktif",MAX(0,MIN($AE859,$AD859-SUM($AG859:AI859))),0)</f>
        <v>45833.333333333299</v>
      </c>
      <c r="AK859" s="8">
        <f>IF($O859="Aktif",MAX(0,MIN($AE859,$AD859-SUM($AG859:AJ859))),0)</f>
        <v>45833.333333333299</v>
      </c>
      <c r="AL859" s="8">
        <f>IF($O859="Aktif",MAX(0,MIN($AE859,$AD859-SUM($AG859:AK859))),0)</f>
        <v>45833.333333333299</v>
      </c>
      <c r="AM859" s="8">
        <f>IF($O859="Aktif",MAX(0,MIN($AE859,$AD859-SUM($AG859:AL859))),0)</f>
        <v>45833.333333333299</v>
      </c>
      <c r="AN859" s="8">
        <f>IF($O859="Aktif",MAX(0,MIN($AE859,$AD859-SUM($AG859:AM859))),0)</f>
        <v>45833.333333333299</v>
      </c>
      <c r="AO859" s="8">
        <f>IF($O859="Aktif",MAX(0,MIN($AE859,$AD859-SUM($AG859:AN859))),0)</f>
        <v>45833.333333333299</v>
      </c>
      <c r="AP859" s="8">
        <f>IF($O859="Aktif",MAX(0,MIN($AE859,$AD859-SUM($AG859:AO859))),0)</f>
        <v>45833.333333333299</v>
      </c>
      <c r="AQ859" s="8">
        <f>IF($O859="Aktif",MAX(0,MIN($AE859,$AD859-SUM($AG859:AP859))),0)</f>
        <v>45833.333333333299</v>
      </c>
      <c r="AR859" s="8">
        <f>IF($O859="Aktif",MAX(0,MIN($AE859,$AD859-SUM($AG859:AQ859))),0)</f>
        <v>45833.333333333299</v>
      </c>
      <c r="AS859" s="8">
        <f>IF($O859="Aktif",MAX(0,MIN($AE859,$AD859-SUM($AG859:AR859))),0)</f>
        <v>45833.333333333299</v>
      </c>
      <c r="AT859" s="8">
        <f>IF($O859="Aktif",MAX(0,MIN($AE859,$AD859-SUM($AG859:AS859))),0)</f>
        <v>45833.333333333299</v>
      </c>
      <c r="AU859" s="8">
        <f>IF($O859="Aktif",MAX(0,MIN($AE859,$AD859-SUM($AG859:AT859))),0)</f>
        <v>45833.333333333299</v>
      </c>
      <c r="AV859" s="8">
        <f>IF($O859="Aktif",MAX(0,MIN($AE859,$AD859-SUM($AG859:AU859))),0)</f>
        <v>45833.333333333299</v>
      </c>
      <c r="AW859" s="8">
        <f t="shared" si="96"/>
        <v>733333.33333333267</v>
      </c>
      <c r="AX859" s="8">
        <f t="shared" si="97"/>
        <v>229166.66666666779</v>
      </c>
    </row>
    <row r="860" spans="1:50" ht="15" customHeight="1" x14ac:dyDescent="0.35">
      <c r="A860" s="102">
        <v>854</v>
      </c>
      <c r="B860" s="102" t="s">
        <v>1326</v>
      </c>
      <c r="C860" s="103">
        <v>488</v>
      </c>
      <c r="D860" s="102" t="s">
        <v>185</v>
      </c>
      <c r="E860" s="102" t="s">
        <v>479</v>
      </c>
      <c r="F860" s="102" t="s">
        <v>2332</v>
      </c>
      <c r="G860" s="102" t="s">
        <v>2333</v>
      </c>
      <c r="H860" s="102" t="s">
        <v>2334</v>
      </c>
      <c r="I860" s="102" t="s">
        <v>63</v>
      </c>
      <c r="J860" s="102"/>
      <c r="K860" s="102" t="s">
        <v>2652</v>
      </c>
      <c r="L860" s="102" t="s">
        <v>1121</v>
      </c>
      <c r="M860" s="102" t="s">
        <v>2653</v>
      </c>
      <c r="N860" s="102"/>
      <c r="O860" s="102" t="s">
        <v>383</v>
      </c>
      <c r="P860" s="103">
        <v>1</v>
      </c>
      <c r="Q860" s="105">
        <v>2200000</v>
      </c>
      <c r="R860" s="103">
        <v>48</v>
      </c>
      <c r="S860" s="105">
        <v>45833.333333333299</v>
      </c>
      <c r="T860" s="105">
        <v>870833.33333333302</v>
      </c>
      <c r="U860" s="105">
        <v>45833.333333333299</v>
      </c>
      <c r="V860" s="105">
        <v>45833.333333333299</v>
      </c>
      <c r="W860" s="105">
        <v>45833.333333333299</v>
      </c>
      <c r="X860" s="105">
        <v>45833.333333333299</v>
      </c>
      <c r="Y860" s="105">
        <v>45833.333333333299</v>
      </c>
      <c r="Z860" s="105">
        <v>45833.333333333299</v>
      </c>
      <c r="AA860" s="105">
        <v>45833.333333333299</v>
      </c>
      <c r="AB860" s="105">
        <v>45833.333333333299</v>
      </c>
      <c r="AC860" s="8">
        <f t="shared" si="91"/>
        <v>1237499.9999999995</v>
      </c>
      <c r="AD860" s="8">
        <f t="shared" si="92"/>
        <v>962500.00000000047</v>
      </c>
      <c r="AE860" s="8">
        <f t="shared" si="93"/>
        <v>45833.333333333299</v>
      </c>
      <c r="AF860" s="106">
        <f t="shared" si="94"/>
        <v>21.000000000000025</v>
      </c>
      <c r="AG860" s="8">
        <f t="shared" si="95"/>
        <v>45833.333333333299</v>
      </c>
      <c r="AH860" s="8">
        <f>IF($O860="Aktif",MAX(0,MIN($AE860,$AD860-SUM($AG860:AG860))),0)</f>
        <v>45833.333333333299</v>
      </c>
      <c r="AI860" s="8">
        <f>IF($O860="Aktif",MAX(0,MIN($AE860,$AD860-SUM($AG860:AH860))),0)</f>
        <v>45833.333333333299</v>
      </c>
      <c r="AJ860" s="8">
        <f>IF($O860="Aktif",MAX(0,MIN($AE860,$AD860-SUM($AG860:AI860))),0)</f>
        <v>45833.333333333299</v>
      </c>
      <c r="AK860" s="8">
        <f>IF($O860="Aktif",MAX(0,MIN($AE860,$AD860-SUM($AG860:AJ860))),0)</f>
        <v>45833.333333333299</v>
      </c>
      <c r="AL860" s="8">
        <f>IF($O860="Aktif",MAX(0,MIN($AE860,$AD860-SUM($AG860:AK860))),0)</f>
        <v>45833.333333333299</v>
      </c>
      <c r="AM860" s="8">
        <f>IF($O860="Aktif",MAX(0,MIN($AE860,$AD860-SUM($AG860:AL860))),0)</f>
        <v>45833.333333333299</v>
      </c>
      <c r="AN860" s="8">
        <f>IF($O860="Aktif",MAX(0,MIN($AE860,$AD860-SUM($AG860:AM860))),0)</f>
        <v>45833.333333333299</v>
      </c>
      <c r="AO860" s="8">
        <f>IF($O860="Aktif",MAX(0,MIN($AE860,$AD860-SUM($AG860:AN860))),0)</f>
        <v>45833.333333333299</v>
      </c>
      <c r="AP860" s="8">
        <f>IF($O860="Aktif",MAX(0,MIN($AE860,$AD860-SUM($AG860:AO860))),0)</f>
        <v>45833.333333333299</v>
      </c>
      <c r="AQ860" s="8">
        <f>IF($O860="Aktif",MAX(0,MIN($AE860,$AD860-SUM($AG860:AP860))),0)</f>
        <v>45833.333333333299</v>
      </c>
      <c r="AR860" s="8">
        <f>IF($O860="Aktif",MAX(0,MIN($AE860,$AD860-SUM($AG860:AQ860))),0)</f>
        <v>45833.333333333299</v>
      </c>
      <c r="AS860" s="8">
        <f>IF($O860="Aktif",MAX(0,MIN($AE860,$AD860-SUM($AG860:AR860))),0)</f>
        <v>45833.333333333299</v>
      </c>
      <c r="AT860" s="8">
        <f>IF($O860="Aktif",MAX(0,MIN($AE860,$AD860-SUM($AG860:AS860))),0)</f>
        <v>45833.333333333299</v>
      </c>
      <c r="AU860" s="8">
        <f>IF($O860="Aktif",MAX(0,MIN($AE860,$AD860-SUM($AG860:AT860))),0)</f>
        <v>45833.333333333299</v>
      </c>
      <c r="AV860" s="8">
        <f>IF($O860="Aktif",MAX(0,MIN($AE860,$AD860-SUM($AG860:AU860))),0)</f>
        <v>45833.333333333299</v>
      </c>
      <c r="AW860" s="8">
        <f t="shared" si="96"/>
        <v>733333.33333333267</v>
      </c>
      <c r="AX860" s="8">
        <f t="shared" si="97"/>
        <v>229166.66666666779</v>
      </c>
    </row>
    <row r="861" spans="1:50" ht="15" customHeight="1" x14ac:dyDescent="0.35">
      <c r="A861" s="102">
        <v>855</v>
      </c>
      <c r="B861" s="102" t="s">
        <v>1326</v>
      </c>
      <c r="C861" s="103">
        <v>489</v>
      </c>
      <c r="D861" s="102" t="s">
        <v>185</v>
      </c>
      <c r="E861" s="102" t="s">
        <v>479</v>
      </c>
      <c r="F861" s="102" t="s">
        <v>2332</v>
      </c>
      <c r="G861" s="102" t="s">
        <v>2333</v>
      </c>
      <c r="H861" s="102" t="s">
        <v>2334</v>
      </c>
      <c r="I861" s="102" t="s">
        <v>63</v>
      </c>
      <c r="J861" s="102"/>
      <c r="K861" s="102" t="s">
        <v>2654</v>
      </c>
      <c r="L861" s="102" t="s">
        <v>1121</v>
      </c>
      <c r="M861" s="102" t="s">
        <v>2655</v>
      </c>
      <c r="N861" s="102"/>
      <c r="O861" s="102" t="s">
        <v>383</v>
      </c>
      <c r="P861" s="103">
        <v>1</v>
      </c>
      <c r="Q861" s="105">
        <v>2200000</v>
      </c>
      <c r="R861" s="103">
        <v>48</v>
      </c>
      <c r="S861" s="105">
        <v>45833.333333333299</v>
      </c>
      <c r="T861" s="105">
        <v>870833.33333333302</v>
      </c>
      <c r="U861" s="105">
        <v>45833.333333333299</v>
      </c>
      <c r="V861" s="105">
        <v>45833.333333333299</v>
      </c>
      <c r="W861" s="105">
        <v>45833.333333333299</v>
      </c>
      <c r="X861" s="105">
        <v>45833.333333333299</v>
      </c>
      <c r="Y861" s="105">
        <v>45833.333333333299</v>
      </c>
      <c r="Z861" s="105">
        <v>45833.333333333299</v>
      </c>
      <c r="AA861" s="105">
        <v>45833.333333333299</v>
      </c>
      <c r="AB861" s="105">
        <v>45833.333333333299</v>
      </c>
      <c r="AC861" s="8">
        <f t="shared" si="91"/>
        <v>1237499.9999999995</v>
      </c>
      <c r="AD861" s="8">
        <f t="shared" si="92"/>
        <v>962500.00000000047</v>
      </c>
      <c r="AE861" s="8">
        <f t="shared" si="93"/>
        <v>45833.333333333299</v>
      </c>
      <c r="AF861" s="106">
        <f t="shared" si="94"/>
        <v>21.000000000000025</v>
      </c>
      <c r="AG861" s="8">
        <f t="shared" si="95"/>
        <v>45833.333333333299</v>
      </c>
      <c r="AH861" s="8">
        <f>IF($O861="Aktif",MAX(0,MIN($AE861,$AD861-SUM($AG861:AG861))),0)</f>
        <v>45833.333333333299</v>
      </c>
      <c r="AI861" s="8">
        <f>IF($O861="Aktif",MAX(0,MIN($AE861,$AD861-SUM($AG861:AH861))),0)</f>
        <v>45833.333333333299</v>
      </c>
      <c r="AJ861" s="8">
        <f>IF($O861="Aktif",MAX(0,MIN($AE861,$AD861-SUM($AG861:AI861))),0)</f>
        <v>45833.333333333299</v>
      </c>
      <c r="AK861" s="8">
        <f>IF($O861="Aktif",MAX(0,MIN($AE861,$AD861-SUM($AG861:AJ861))),0)</f>
        <v>45833.333333333299</v>
      </c>
      <c r="AL861" s="8">
        <f>IF($O861="Aktif",MAX(0,MIN($AE861,$AD861-SUM($AG861:AK861))),0)</f>
        <v>45833.333333333299</v>
      </c>
      <c r="AM861" s="8">
        <f>IF($O861="Aktif",MAX(0,MIN($AE861,$AD861-SUM($AG861:AL861))),0)</f>
        <v>45833.333333333299</v>
      </c>
      <c r="AN861" s="8">
        <f>IF($O861="Aktif",MAX(0,MIN($AE861,$AD861-SUM($AG861:AM861))),0)</f>
        <v>45833.333333333299</v>
      </c>
      <c r="AO861" s="8">
        <f>IF($O861="Aktif",MAX(0,MIN($AE861,$AD861-SUM($AG861:AN861))),0)</f>
        <v>45833.333333333299</v>
      </c>
      <c r="AP861" s="8">
        <f>IF($O861="Aktif",MAX(0,MIN($AE861,$AD861-SUM($AG861:AO861))),0)</f>
        <v>45833.333333333299</v>
      </c>
      <c r="AQ861" s="8">
        <f>IF($O861="Aktif",MAX(0,MIN($AE861,$AD861-SUM($AG861:AP861))),0)</f>
        <v>45833.333333333299</v>
      </c>
      <c r="AR861" s="8">
        <f>IF($O861="Aktif",MAX(0,MIN($AE861,$AD861-SUM($AG861:AQ861))),0)</f>
        <v>45833.333333333299</v>
      </c>
      <c r="AS861" s="8">
        <f>IF($O861="Aktif",MAX(0,MIN($AE861,$AD861-SUM($AG861:AR861))),0)</f>
        <v>45833.333333333299</v>
      </c>
      <c r="AT861" s="8">
        <f>IF($O861="Aktif",MAX(0,MIN($AE861,$AD861-SUM($AG861:AS861))),0)</f>
        <v>45833.333333333299</v>
      </c>
      <c r="AU861" s="8">
        <f>IF($O861="Aktif",MAX(0,MIN($AE861,$AD861-SUM($AG861:AT861))),0)</f>
        <v>45833.333333333299</v>
      </c>
      <c r="AV861" s="8">
        <f>IF($O861="Aktif",MAX(0,MIN($AE861,$AD861-SUM($AG861:AU861))),0)</f>
        <v>45833.333333333299</v>
      </c>
      <c r="AW861" s="8">
        <f t="shared" si="96"/>
        <v>733333.33333333267</v>
      </c>
      <c r="AX861" s="8">
        <f t="shared" si="97"/>
        <v>229166.66666666779</v>
      </c>
    </row>
    <row r="862" spans="1:50" ht="15" customHeight="1" x14ac:dyDescent="0.35">
      <c r="A862" s="102">
        <v>856</v>
      </c>
      <c r="B862" s="102" t="s">
        <v>1326</v>
      </c>
      <c r="C862" s="103">
        <v>490</v>
      </c>
      <c r="D862" s="102" t="s">
        <v>185</v>
      </c>
      <c r="E862" s="102" t="s">
        <v>479</v>
      </c>
      <c r="F862" s="102" t="s">
        <v>2332</v>
      </c>
      <c r="G862" s="102" t="s">
        <v>2333</v>
      </c>
      <c r="H862" s="102" t="s">
        <v>2334</v>
      </c>
      <c r="I862" s="102" t="s">
        <v>63</v>
      </c>
      <c r="J862" s="102"/>
      <c r="K862" s="102" t="s">
        <v>2656</v>
      </c>
      <c r="L862" s="102" t="s">
        <v>1121</v>
      </c>
      <c r="M862" s="102" t="s">
        <v>2657</v>
      </c>
      <c r="N862" s="102"/>
      <c r="O862" s="102" t="s">
        <v>383</v>
      </c>
      <c r="P862" s="103">
        <v>1</v>
      </c>
      <c r="Q862" s="105">
        <v>2200000</v>
      </c>
      <c r="R862" s="103">
        <v>48</v>
      </c>
      <c r="S862" s="105">
        <v>45833.333333333299</v>
      </c>
      <c r="T862" s="105">
        <v>870833.33333333302</v>
      </c>
      <c r="U862" s="105">
        <v>45833.333333333299</v>
      </c>
      <c r="V862" s="105">
        <v>45833.333333333299</v>
      </c>
      <c r="W862" s="105">
        <v>45833.333333333299</v>
      </c>
      <c r="X862" s="105">
        <v>45833.333333333299</v>
      </c>
      <c r="Y862" s="105">
        <v>45833.333333333299</v>
      </c>
      <c r="Z862" s="105">
        <v>45833.333333333299</v>
      </c>
      <c r="AA862" s="105">
        <v>45833.333333333299</v>
      </c>
      <c r="AB862" s="105">
        <v>45833.333333333299</v>
      </c>
      <c r="AC862" s="8">
        <f t="shared" si="91"/>
        <v>1237499.9999999995</v>
      </c>
      <c r="AD862" s="8">
        <f t="shared" si="92"/>
        <v>962500.00000000047</v>
      </c>
      <c r="AE862" s="8">
        <f t="shared" si="93"/>
        <v>45833.333333333299</v>
      </c>
      <c r="AF862" s="106">
        <f t="shared" si="94"/>
        <v>21.000000000000025</v>
      </c>
      <c r="AG862" s="8">
        <f t="shared" si="95"/>
        <v>45833.333333333299</v>
      </c>
      <c r="AH862" s="8">
        <f>IF($O862="Aktif",MAX(0,MIN($AE862,$AD862-SUM($AG862:AG862))),0)</f>
        <v>45833.333333333299</v>
      </c>
      <c r="AI862" s="8">
        <f>IF($O862="Aktif",MAX(0,MIN($AE862,$AD862-SUM($AG862:AH862))),0)</f>
        <v>45833.333333333299</v>
      </c>
      <c r="AJ862" s="8">
        <f>IF($O862="Aktif",MAX(0,MIN($AE862,$AD862-SUM($AG862:AI862))),0)</f>
        <v>45833.333333333299</v>
      </c>
      <c r="AK862" s="8">
        <f>IF($O862="Aktif",MAX(0,MIN($AE862,$AD862-SUM($AG862:AJ862))),0)</f>
        <v>45833.333333333299</v>
      </c>
      <c r="AL862" s="8">
        <f>IF($O862="Aktif",MAX(0,MIN($AE862,$AD862-SUM($AG862:AK862))),0)</f>
        <v>45833.333333333299</v>
      </c>
      <c r="AM862" s="8">
        <f>IF($O862="Aktif",MAX(0,MIN($AE862,$AD862-SUM($AG862:AL862))),0)</f>
        <v>45833.333333333299</v>
      </c>
      <c r="AN862" s="8">
        <f>IF($O862="Aktif",MAX(0,MIN($AE862,$AD862-SUM($AG862:AM862))),0)</f>
        <v>45833.333333333299</v>
      </c>
      <c r="AO862" s="8">
        <f>IF($O862="Aktif",MAX(0,MIN($AE862,$AD862-SUM($AG862:AN862))),0)</f>
        <v>45833.333333333299</v>
      </c>
      <c r="AP862" s="8">
        <f>IF($O862="Aktif",MAX(0,MIN($AE862,$AD862-SUM($AG862:AO862))),0)</f>
        <v>45833.333333333299</v>
      </c>
      <c r="AQ862" s="8">
        <f>IF($O862="Aktif",MAX(0,MIN($AE862,$AD862-SUM($AG862:AP862))),0)</f>
        <v>45833.333333333299</v>
      </c>
      <c r="AR862" s="8">
        <f>IF($O862="Aktif",MAX(0,MIN($AE862,$AD862-SUM($AG862:AQ862))),0)</f>
        <v>45833.333333333299</v>
      </c>
      <c r="AS862" s="8">
        <f>IF($O862="Aktif",MAX(0,MIN($AE862,$AD862-SUM($AG862:AR862))),0)</f>
        <v>45833.333333333299</v>
      </c>
      <c r="AT862" s="8">
        <f>IF($O862="Aktif",MAX(0,MIN($AE862,$AD862-SUM($AG862:AS862))),0)</f>
        <v>45833.333333333299</v>
      </c>
      <c r="AU862" s="8">
        <f>IF($O862="Aktif",MAX(0,MIN($AE862,$AD862-SUM($AG862:AT862))),0)</f>
        <v>45833.333333333299</v>
      </c>
      <c r="AV862" s="8">
        <f>IF($O862="Aktif",MAX(0,MIN($AE862,$AD862-SUM($AG862:AU862))),0)</f>
        <v>45833.333333333299</v>
      </c>
      <c r="AW862" s="8">
        <f t="shared" si="96"/>
        <v>733333.33333333267</v>
      </c>
      <c r="AX862" s="8">
        <f t="shared" si="97"/>
        <v>229166.66666666779</v>
      </c>
    </row>
    <row r="863" spans="1:50" ht="15" customHeight="1" x14ac:dyDescent="0.35">
      <c r="A863" s="102">
        <v>857</v>
      </c>
      <c r="B863" s="102" t="s">
        <v>1326</v>
      </c>
      <c r="C863" s="103">
        <v>491</v>
      </c>
      <c r="D863" s="102" t="s">
        <v>185</v>
      </c>
      <c r="E863" s="102" t="s">
        <v>479</v>
      </c>
      <c r="F863" s="102" t="s">
        <v>2332</v>
      </c>
      <c r="G863" s="102" t="s">
        <v>2333</v>
      </c>
      <c r="H863" s="102" t="s">
        <v>2334</v>
      </c>
      <c r="I863" s="102" t="s">
        <v>63</v>
      </c>
      <c r="J863" s="102"/>
      <c r="K863" s="102" t="s">
        <v>2658</v>
      </c>
      <c r="L863" s="102" t="s">
        <v>1121</v>
      </c>
      <c r="M863" s="102" t="s">
        <v>2659</v>
      </c>
      <c r="N863" s="102"/>
      <c r="O863" s="102" t="s">
        <v>383</v>
      </c>
      <c r="P863" s="103">
        <v>1</v>
      </c>
      <c r="Q863" s="105">
        <v>2200000</v>
      </c>
      <c r="R863" s="103">
        <v>48</v>
      </c>
      <c r="S863" s="105">
        <v>45833.333333333299</v>
      </c>
      <c r="T863" s="105">
        <v>870833.33333333302</v>
      </c>
      <c r="U863" s="105">
        <v>45833.333333333299</v>
      </c>
      <c r="V863" s="105">
        <v>45833.333333333299</v>
      </c>
      <c r="W863" s="105">
        <v>45833.333333333299</v>
      </c>
      <c r="X863" s="105">
        <v>45833.333333333299</v>
      </c>
      <c r="Y863" s="105">
        <v>45833.333333333299</v>
      </c>
      <c r="Z863" s="105">
        <v>45833.333333333299</v>
      </c>
      <c r="AA863" s="105">
        <v>45833.333333333299</v>
      </c>
      <c r="AB863" s="105">
        <v>45833.333333333299</v>
      </c>
      <c r="AC863" s="8">
        <f t="shared" si="91"/>
        <v>1237499.9999999995</v>
      </c>
      <c r="AD863" s="8">
        <f t="shared" si="92"/>
        <v>962500.00000000047</v>
      </c>
      <c r="AE863" s="8">
        <f t="shared" si="93"/>
        <v>45833.333333333299</v>
      </c>
      <c r="AF863" s="106">
        <f t="shared" si="94"/>
        <v>21.000000000000025</v>
      </c>
      <c r="AG863" s="8">
        <f t="shared" si="95"/>
        <v>45833.333333333299</v>
      </c>
      <c r="AH863" s="8">
        <f>IF($O863="Aktif",MAX(0,MIN($AE863,$AD863-SUM($AG863:AG863))),0)</f>
        <v>45833.333333333299</v>
      </c>
      <c r="AI863" s="8">
        <f>IF($O863="Aktif",MAX(0,MIN($AE863,$AD863-SUM($AG863:AH863))),0)</f>
        <v>45833.333333333299</v>
      </c>
      <c r="AJ863" s="8">
        <f>IF($O863="Aktif",MAX(0,MIN($AE863,$AD863-SUM($AG863:AI863))),0)</f>
        <v>45833.333333333299</v>
      </c>
      <c r="AK863" s="8">
        <f>IF($O863="Aktif",MAX(0,MIN($AE863,$AD863-SUM($AG863:AJ863))),0)</f>
        <v>45833.333333333299</v>
      </c>
      <c r="AL863" s="8">
        <f>IF($O863="Aktif",MAX(0,MIN($AE863,$AD863-SUM($AG863:AK863))),0)</f>
        <v>45833.333333333299</v>
      </c>
      <c r="AM863" s="8">
        <f>IF($O863="Aktif",MAX(0,MIN($AE863,$AD863-SUM($AG863:AL863))),0)</f>
        <v>45833.333333333299</v>
      </c>
      <c r="AN863" s="8">
        <f>IF($O863="Aktif",MAX(0,MIN($AE863,$AD863-SUM($AG863:AM863))),0)</f>
        <v>45833.333333333299</v>
      </c>
      <c r="AO863" s="8">
        <f>IF($O863="Aktif",MAX(0,MIN($AE863,$AD863-SUM($AG863:AN863))),0)</f>
        <v>45833.333333333299</v>
      </c>
      <c r="AP863" s="8">
        <f>IF($O863="Aktif",MAX(0,MIN($AE863,$AD863-SUM($AG863:AO863))),0)</f>
        <v>45833.333333333299</v>
      </c>
      <c r="AQ863" s="8">
        <f>IF($O863="Aktif",MAX(0,MIN($AE863,$AD863-SUM($AG863:AP863))),0)</f>
        <v>45833.333333333299</v>
      </c>
      <c r="AR863" s="8">
        <f>IF($O863="Aktif",MAX(0,MIN($AE863,$AD863-SUM($AG863:AQ863))),0)</f>
        <v>45833.333333333299</v>
      </c>
      <c r="AS863" s="8">
        <f>IF($O863="Aktif",MAX(0,MIN($AE863,$AD863-SUM($AG863:AR863))),0)</f>
        <v>45833.333333333299</v>
      </c>
      <c r="AT863" s="8">
        <f>IF($O863="Aktif",MAX(0,MIN($AE863,$AD863-SUM($AG863:AS863))),0)</f>
        <v>45833.333333333299</v>
      </c>
      <c r="AU863" s="8">
        <f>IF($O863="Aktif",MAX(0,MIN($AE863,$AD863-SUM($AG863:AT863))),0)</f>
        <v>45833.333333333299</v>
      </c>
      <c r="AV863" s="8">
        <f>IF($O863="Aktif",MAX(0,MIN($AE863,$AD863-SUM($AG863:AU863))),0)</f>
        <v>45833.333333333299</v>
      </c>
      <c r="AW863" s="8">
        <f t="shared" si="96"/>
        <v>733333.33333333267</v>
      </c>
      <c r="AX863" s="8">
        <f t="shared" si="97"/>
        <v>229166.66666666779</v>
      </c>
    </row>
    <row r="864" spans="1:50" ht="15" customHeight="1" x14ac:dyDescent="0.35">
      <c r="A864" s="102">
        <v>858</v>
      </c>
      <c r="B864" s="102" t="s">
        <v>1326</v>
      </c>
      <c r="C864" s="103">
        <v>492</v>
      </c>
      <c r="D864" s="102" t="s">
        <v>185</v>
      </c>
      <c r="E864" s="102" t="s">
        <v>479</v>
      </c>
      <c r="F864" s="102" t="s">
        <v>2332</v>
      </c>
      <c r="G864" s="102" t="s">
        <v>2333</v>
      </c>
      <c r="H864" s="102" t="s">
        <v>2334</v>
      </c>
      <c r="I864" s="102" t="s">
        <v>63</v>
      </c>
      <c r="J864" s="102"/>
      <c r="K864" s="102" t="s">
        <v>2660</v>
      </c>
      <c r="L864" s="102" t="s">
        <v>1121</v>
      </c>
      <c r="M864" s="102" t="s">
        <v>2661</v>
      </c>
      <c r="N864" s="102"/>
      <c r="O864" s="102" t="s">
        <v>383</v>
      </c>
      <c r="P864" s="103">
        <v>1</v>
      </c>
      <c r="Q864" s="105">
        <v>2200000</v>
      </c>
      <c r="R864" s="103">
        <v>48</v>
      </c>
      <c r="S864" s="105">
        <v>45833.333333333299</v>
      </c>
      <c r="T864" s="105">
        <v>870833.33333333302</v>
      </c>
      <c r="U864" s="105">
        <v>45833.333333333299</v>
      </c>
      <c r="V864" s="105">
        <v>45833.333333333299</v>
      </c>
      <c r="W864" s="105">
        <v>45833.333333333299</v>
      </c>
      <c r="X864" s="105">
        <v>45833.333333333299</v>
      </c>
      <c r="Y864" s="105">
        <v>45833.333333333299</v>
      </c>
      <c r="Z864" s="105">
        <v>45833.333333333299</v>
      </c>
      <c r="AA864" s="105">
        <v>45833.333333333299</v>
      </c>
      <c r="AB864" s="105">
        <v>45833.333333333299</v>
      </c>
      <c r="AC864" s="8">
        <f t="shared" si="91"/>
        <v>1237499.9999999995</v>
      </c>
      <c r="AD864" s="8">
        <f t="shared" si="92"/>
        <v>962500.00000000047</v>
      </c>
      <c r="AE864" s="8">
        <f t="shared" si="93"/>
        <v>45833.333333333299</v>
      </c>
      <c r="AF864" s="106">
        <f t="shared" si="94"/>
        <v>21.000000000000025</v>
      </c>
      <c r="AG864" s="8">
        <f t="shared" si="95"/>
        <v>45833.333333333299</v>
      </c>
      <c r="AH864" s="8">
        <f>IF($O864="Aktif",MAX(0,MIN($AE864,$AD864-SUM($AG864:AG864))),0)</f>
        <v>45833.333333333299</v>
      </c>
      <c r="AI864" s="8">
        <f>IF($O864="Aktif",MAX(0,MIN($AE864,$AD864-SUM($AG864:AH864))),0)</f>
        <v>45833.333333333299</v>
      </c>
      <c r="AJ864" s="8">
        <f>IF($O864="Aktif",MAX(0,MIN($AE864,$AD864-SUM($AG864:AI864))),0)</f>
        <v>45833.333333333299</v>
      </c>
      <c r="AK864" s="8">
        <f>IF($O864="Aktif",MAX(0,MIN($AE864,$AD864-SUM($AG864:AJ864))),0)</f>
        <v>45833.333333333299</v>
      </c>
      <c r="AL864" s="8">
        <f>IF($O864="Aktif",MAX(0,MIN($AE864,$AD864-SUM($AG864:AK864))),0)</f>
        <v>45833.333333333299</v>
      </c>
      <c r="AM864" s="8">
        <f>IF($O864="Aktif",MAX(0,MIN($AE864,$AD864-SUM($AG864:AL864))),0)</f>
        <v>45833.333333333299</v>
      </c>
      <c r="AN864" s="8">
        <f>IF($O864="Aktif",MAX(0,MIN($AE864,$AD864-SUM($AG864:AM864))),0)</f>
        <v>45833.333333333299</v>
      </c>
      <c r="AO864" s="8">
        <f>IF($O864="Aktif",MAX(0,MIN($AE864,$AD864-SUM($AG864:AN864))),0)</f>
        <v>45833.333333333299</v>
      </c>
      <c r="AP864" s="8">
        <f>IF($O864="Aktif",MAX(0,MIN($AE864,$AD864-SUM($AG864:AO864))),0)</f>
        <v>45833.333333333299</v>
      </c>
      <c r="AQ864" s="8">
        <f>IF($O864="Aktif",MAX(0,MIN($AE864,$AD864-SUM($AG864:AP864))),0)</f>
        <v>45833.333333333299</v>
      </c>
      <c r="AR864" s="8">
        <f>IF($O864="Aktif",MAX(0,MIN($AE864,$AD864-SUM($AG864:AQ864))),0)</f>
        <v>45833.333333333299</v>
      </c>
      <c r="AS864" s="8">
        <f>IF($O864="Aktif",MAX(0,MIN($AE864,$AD864-SUM($AG864:AR864))),0)</f>
        <v>45833.333333333299</v>
      </c>
      <c r="AT864" s="8">
        <f>IF($O864="Aktif",MAX(0,MIN($AE864,$AD864-SUM($AG864:AS864))),0)</f>
        <v>45833.333333333299</v>
      </c>
      <c r="AU864" s="8">
        <f>IF($O864="Aktif",MAX(0,MIN($AE864,$AD864-SUM($AG864:AT864))),0)</f>
        <v>45833.333333333299</v>
      </c>
      <c r="AV864" s="8">
        <f>IF($O864="Aktif",MAX(0,MIN($AE864,$AD864-SUM($AG864:AU864))),0)</f>
        <v>45833.333333333299</v>
      </c>
      <c r="AW864" s="8">
        <f t="shared" si="96"/>
        <v>733333.33333333267</v>
      </c>
      <c r="AX864" s="8">
        <f t="shared" si="97"/>
        <v>229166.66666666779</v>
      </c>
    </row>
    <row r="865" spans="1:50" ht="15" customHeight="1" x14ac:dyDescent="0.35">
      <c r="A865" s="102">
        <v>859</v>
      </c>
      <c r="B865" s="102" t="s">
        <v>1326</v>
      </c>
      <c r="C865" s="103">
        <v>493</v>
      </c>
      <c r="D865" s="102" t="s">
        <v>185</v>
      </c>
      <c r="E865" s="102" t="s">
        <v>479</v>
      </c>
      <c r="F865" s="102" t="s">
        <v>2332</v>
      </c>
      <c r="G865" s="102" t="s">
        <v>2333</v>
      </c>
      <c r="H865" s="102" t="s">
        <v>2334</v>
      </c>
      <c r="I865" s="102" t="s">
        <v>63</v>
      </c>
      <c r="J865" s="102"/>
      <c r="K865" s="102" t="s">
        <v>2662</v>
      </c>
      <c r="L865" s="102" t="s">
        <v>1121</v>
      </c>
      <c r="M865" s="102" t="s">
        <v>2663</v>
      </c>
      <c r="N865" s="102"/>
      <c r="O865" s="102" t="s">
        <v>383</v>
      </c>
      <c r="P865" s="103">
        <v>1</v>
      </c>
      <c r="Q865" s="105">
        <v>2200000</v>
      </c>
      <c r="R865" s="103">
        <v>48</v>
      </c>
      <c r="S865" s="105">
        <v>45833.333333333299</v>
      </c>
      <c r="T865" s="105">
        <v>870833.33333333302</v>
      </c>
      <c r="U865" s="105">
        <v>45833.333333333299</v>
      </c>
      <c r="V865" s="105">
        <v>45833.333333333299</v>
      </c>
      <c r="W865" s="105">
        <v>45833.333333333299</v>
      </c>
      <c r="X865" s="105">
        <v>45833.333333333299</v>
      </c>
      <c r="Y865" s="105">
        <v>45833.333333333299</v>
      </c>
      <c r="Z865" s="105">
        <v>45833.333333333299</v>
      </c>
      <c r="AA865" s="105">
        <v>45833.333333333299</v>
      </c>
      <c r="AB865" s="105">
        <v>45833.333333333299</v>
      </c>
      <c r="AC865" s="8">
        <f t="shared" si="91"/>
        <v>1237499.9999999995</v>
      </c>
      <c r="AD865" s="8">
        <f t="shared" si="92"/>
        <v>962500.00000000047</v>
      </c>
      <c r="AE865" s="8">
        <f t="shared" si="93"/>
        <v>45833.333333333299</v>
      </c>
      <c r="AF865" s="106">
        <f t="shared" si="94"/>
        <v>21.000000000000025</v>
      </c>
      <c r="AG865" s="8">
        <f t="shared" si="95"/>
        <v>45833.333333333299</v>
      </c>
      <c r="AH865" s="8">
        <f>IF($O865="Aktif",MAX(0,MIN($AE865,$AD865-SUM($AG865:AG865))),0)</f>
        <v>45833.333333333299</v>
      </c>
      <c r="AI865" s="8">
        <f>IF($O865="Aktif",MAX(0,MIN($AE865,$AD865-SUM($AG865:AH865))),0)</f>
        <v>45833.333333333299</v>
      </c>
      <c r="AJ865" s="8">
        <f>IF($O865="Aktif",MAX(0,MIN($AE865,$AD865-SUM($AG865:AI865))),0)</f>
        <v>45833.333333333299</v>
      </c>
      <c r="AK865" s="8">
        <f>IF($O865="Aktif",MAX(0,MIN($AE865,$AD865-SUM($AG865:AJ865))),0)</f>
        <v>45833.333333333299</v>
      </c>
      <c r="AL865" s="8">
        <f>IF($O865="Aktif",MAX(0,MIN($AE865,$AD865-SUM($AG865:AK865))),0)</f>
        <v>45833.333333333299</v>
      </c>
      <c r="AM865" s="8">
        <f>IF($O865="Aktif",MAX(0,MIN($AE865,$AD865-SUM($AG865:AL865))),0)</f>
        <v>45833.333333333299</v>
      </c>
      <c r="AN865" s="8">
        <f>IF($O865="Aktif",MAX(0,MIN($AE865,$AD865-SUM($AG865:AM865))),0)</f>
        <v>45833.333333333299</v>
      </c>
      <c r="AO865" s="8">
        <f>IF($O865="Aktif",MAX(0,MIN($AE865,$AD865-SUM($AG865:AN865))),0)</f>
        <v>45833.333333333299</v>
      </c>
      <c r="AP865" s="8">
        <f>IF($O865="Aktif",MAX(0,MIN($AE865,$AD865-SUM($AG865:AO865))),0)</f>
        <v>45833.333333333299</v>
      </c>
      <c r="AQ865" s="8">
        <f>IF($O865="Aktif",MAX(0,MIN($AE865,$AD865-SUM($AG865:AP865))),0)</f>
        <v>45833.333333333299</v>
      </c>
      <c r="AR865" s="8">
        <f>IF($O865="Aktif",MAX(0,MIN($AE865,$AD865-SUM($AG865:AQ865))),0)</f>
        <v>45833.333333333299</v>
      </c>
      <c r="AS865" s="8">
        <f>IF($O865="Aktif",MAX(0,MIN($AE865,$AD865-SUM($AG865:AR865))),0)</f>
        <v>45833.333333333299</v>
      </c>
      <c r="AT865" s="8">
        <f>IF($O865="Aktif",MAX(0,MIN($AE865,$AD865-SUM($AG865:AS865))),0)</f>
        <v>45833.333333333299</v>
      </c>
      <c r="AU865" s="8">
        <f>IF($O865="Aktif",MAX(0,MIN($AE865,$AD865-SUM($AG865:AT865))),0)</f>
        <v>45833.333333333299</v>
      </c>
      <c r="AV865" s="8">
        <f>IF($O865="Aktif",MAX(0,MIN($AE865,$AD865-SUM($AG865:AU865))),0)</f>
        <v>45833.333333333299</v>
      </c>
      <c r="AW865" s="8">
        <f t="shared" si="96"/>
        <v>733333.33333333267</v>
      </c>
      <c r="AX865" s="8">
        <f t="shared" si="97"/>
        <v>229166.66666666779</v>
      </c>
    </row>
    <row r="866" spans="1:50" ht="15" customHeight="1" x14ac:dyDescent="0.35">
      <c r="A866" s="102">
        <v>860</v>
      </c>
      <c r="B866" s="102" t="s">
        <v>1326</v>
      </c>
      <c r="C866" s="103">
        <v>494</v>
      </c>
      <c r="D866" s="102" t="s">
        <v>185</v>
      </c>
      <c r="E866" s="102" t="s">
        <v>479</v>
      </c>
      <c r="F866" s="102" t="s">
        <v>2332</v>
      </c>
      <c r="G866" s="102" t="s">
        <v>2333</v>
      </c>
      <c r="H866" s="102" t="s">
        <v>2334</v>
      </c>
      <c r="I866" s="102" t="s">
        <v>63</v>
      </c>
      <c r="J866" s="102"/>
      <c r="K866" s="102" t="s">
        <v>2664</v>
      </c>
      <c r="L866" s="102" t="s">
        <v>1121</v>
      </c>
      <c r="M866" s="102" t="s">
        <v>2665</v>
      </c>
      <c r="N866" s="102"/>
      <c r="O866" s="102" t="s">
        <v>383</v>
      </c>
      <c r="P866" s="103">
        <v>1</v>
      </c>
      <c r="Q866" s="105">
        <v>2200000</v>
      </c>
      <c r="R866" s="103">
        <v>48</v>
      </c>
      <c r="S866" s="105">
        <v>45833.333333333299</v>
      </c>
      <c r="T866" s="105">
        <v>870833.33333333302</v>
      </c>
      <c r="U866" s="105">
        <v>45833.333333333299</v>
      </c>
      <c r="V866" s="105">
        <v>45833.333333333299</v>
      </c>
      <c r="W866" s="105">
        <v>45833.333333333299</v>
      </c>
      <c r="X866" s="105">
        <v>45833.333333333299</v>
      </c>
      <c r="Y866" s="105">
        <v>45833.333333333299</v>
      </c>
      <c r="Z866" s="105">
        <v>45833.333333333299</v>
      </c>
      <c r="AA866" s="105">
        <v>45833.333333333299</v>
      </c>
      <c r="AB866" s="105">
        <v>45833.333333333299</v>
      </c>
      <c r="AC866" s="8">
        <f t="shared" si="91"/>
        <v>1237499.9999999995</v>
      </c>
      <c r="AD866" s="8">
        <f t="shared" si="92"/>
        <v>962500.00000000047</v>
      </c>
      <c r="AE866" s="8">
        <f t="shared" si="93"/>
        <v>45833.333333333299</v>
      </c>
      <c r="AF866" s="106">
        <f t="shared" si="94"/>
        <v>21.000000000000025</v>
      </c>
      <c r="AG866" s="8">
        <f t="shared" si="95"/>
        <v>45833.333333333299</v>
      </c>
      <c r="AH866" s="8">
        <f>IF($O866="Aktif",MAX(0,MIN($AE866,$AD866-SUM($AG866:AG866))),0)</f>
        <v>45833.333333333299</v>
      </c>
      <c r="AI866" s="8">
        <f>IF($O866="Aktif",MAX(0,MIN($AE866,$AD866-SUM($AG866:AH866))),0)</f>
        <v>45833.333333333299</v>
      </c>
      <c r="AJ866" s="8">
        <f>IF($O866="Aktif",MAX(0,MIN($AE866,$AD866-SUM($AG866:AI866))),0)</f>
        <v>45833.333333333299</v>
      </c>
      <c r="AK866" s="8">
        <f>IF($O866="Aktif",MAX(0,MIN($AE866,$AD866-SUM($AG866:AJ866))),0)</f>
        <v>45833.333333333299</v>
      </c>
      <c r="AL866" s="8">
        <f>IF($O866="Aktif",MAX(0,MIN($AE866,$AD866-SUM($AG866:AK866))),0)</f>
        <v>45833.333333333299</v>
      </c>
      <c r="AM866" s="8">
        <f>IF($O866="Aktif",MAX(0,MIN($AE866,$AD866-SUM($AG866:AL866))),0)</f>
        <v>45833.333333333299</v>
      </c>
      <c r="AN866" s="8">
        <f>IF($O866="Aktif",MAX(0,MIN($AE866,$AD866-SUM($AG866:AM866))),0)</f>
        <v>45833.333333333299</v>
      </c>
      <c r="AO866" s="8">
        <f>IF($O866="Aktif",MAX(0,MIN($AE866,$AD866-SUM($AG866:AN866))),0)</f>
        <v>45833.333333333299</v>
      </c>
      <c r="AP866" s="8">
        <f>IF($O866="Aktif",MAX(0,MIN($AE866,$AD866-SUM($AG866:AO866))),0)</f>
        <v>45833.333333333299</v>
      </c>
      <c r="AQ866" s="8">
        <f>IF($O866="Aktif",MAX(0,MIN($AE866,$AD866-SUM($AG866:AP866))),0)</f>
        <v>45833.333333333299</v>
      </c>
      <c r="AR866" s="8">
        <f>IF($O866="Aktif",MAX(0,MIN($AE866,$AD866-SUM($AG866:AQ866))),0)</f>
        <v>45833.333333333299</v>
      </c>
      <c r="AS866" s="8">
        <f>IF($O866="Aktif",MAX(0,MIN($AE866,$AD866-SUM($AG866:AR866))),0)</f>
        <v>45833.333333333299</v>
      </c>
      <c r="AT866" s="8">
        <f>IF($O866="Aktif",MAX(0,MIN($AE866,$AD866-SUM($AG866:AS866))),0)</f>
        <v>45833.333333333299</v>
      </c>
      <c r="AU866" s="8">
        <f>IF($O866="Aktif",MAX(0,MIN($AE866,$AD866-SUM($AG866:AT866))),0)</f>
        <v>45833.333333333299</v>
      </c>
      <c r="AV866" s="8">
        <f>IF($O866="Aktif",MAX(0,MIN($AE866,$AD866-SUM($AG866:AU866))),0)</f>
        <v>45833.333333333299</v>
      </c>
      <c r="AW866" s="8">
        <f t="shared" si="96"/>
        <v>733333.33333333267</v>
      </c>
      <c r="AX866" s="8">
        <f t="shared" si="97"/>
        <v>229166.66666666779</v>
      </c>
    </row>
    <row r="867" spans="1:50" ht="15" customHeight="1" x14ac:dyDescent="0.35">
      <c r="A867" s="102">
        <v>861</v>
      </c>
      <c r="B867" s="102" t="s">
        <v>1326</v>
      </c>
      <c r="C867" s="103">
        <v>495</v>
      </c>
      <c r="D867" s="102" t="s">
        <v>185</v>
      </c>
      <c r="E867" s="102" t="s">
        <v>479</v>
      </c>
      <c r="F867" s="102" t="s">
        <v>2332</v>
      </c>
      <c r="G867" s="102" t="s">
        <v>2333</v>
      </c>
      <c r="H867" s="102" t="s">
        <v>2334</v>
      </c>
      <c r="I867" s="102" t="s">
        <v>63</v>
      </c>
      <c r="J867" s="102"/>
      <c r="K867" s="102" t="s">
        <v>2666</v>
      </c>
      <c r="L867" s="102" t="s">
        <v>1121</v>
      </c>
      <c r="M867" s="102" t="s">
        <v>2667</v>
      </c>
      <c r="N867" s="102"/>
      <c r="O867" s="102" t="s">
        <v>383</v>
      </c>
      <c r="P867" s="103">
        <v>1</v>
      </c>
      <c r="Q867" s="105">
        <v>2200000</v>
      </c>
      <c r="R867" s="103">
        <v>48</v>
      </c>
      <c r="S867" s="105">
        <v>45833.333333333299</v>
      </c>
      <c r="T867" s="105">
        <v>870833.33333333302</v>
      </c>
      <c r="U867" s="105">
        <v>45833.333333333299</v>
      </c>
      <c r="V867" s="105">
        <v>45833.333333333299</v>
      </c>
      <c r="W867" s="105">
        <v>45833.333333333299</v>
      </c>
      <c r="X867" s="105">
        <v>45833.333333333299</v>
      </c>
      <c r="Y867" s="105">
        <v>45833.333333333299</v>
      </c>
      <c r="Z867" s="105">
        <v>45833.333333333299</v>
      </c>
      <c r="AA867" s="105">
        <v>45833.333333333299</v>
      </c>
      <c r="AB867" s="105">
        <v>45833.333333333299</v>
      </c>
      <c r="AC867" s="8">
        <f t="shared" si="91"/>
        <v>1237499.9999999995</v>
      </c>
      <c r="AD867" s="8">
        <f t="shared" si="92"/>
        <v>962500.00000000047</v>
      </c>
      <c r="AE867" s="8">
        <f t="shared" si="93"/>
        <v>45833.333333333299</v>
      </c>
      <c r="AF867" s="106">
        <f t="shared" si="94"/>
        <v>21.000000000000025</v>
      </c>
      <c r="AG867" s="8">
        <f t="shared" si="95"/>
        <v>45833.333333333299</v>
      </c>
      <c r="AH867" s="8">
        <f>IF($O867="Aktif",MAX(0,MIN($AE867,$AD867-SUM($AG867:AG867))),0)</f>
        <v>45833.333333333299</v>
      </c>
      <c r="AI867" s="8">
        <f>IF($O867="Aktif",MAX(0,MIN($AE867,$AD867-SUM($AG867:AH867))),0)</f>
        <v>45833.333333333299</v>
      </c>
      <c r="AJ867" s="8">
        <f>IF($O867="Aktif",MAX(0,MIN($AE867,$AD867-SUM($AG867:AI867))),0)</f>
        <v>45833.333333333299</v>
      </c>
      <c r="AK867" s="8">
        <f>IF($O867="Aktif",MAX(0,MIN($AE867,$AD867-SUM($AG867:AJ867))),0)</f>
        <v>45833.333333333299</v>
      </c>
      <c r="AL867" s="8">
        <f>IF($O867="Aktif",MAX(0,MIN($AE867,$AD867-SUM($AG867:AK867))),0)</f>
        <v>45833.333333333299</v>
      </c>
      <c r="AM867" s="8">
        <f>IF($O867="Aktif",MAX(0,MIN($AE867,$AD867-SUM($AG867:AL867))),0)</f>
        <v>45833.333333333299</v>
      </c>
      <c r="AN867" s="8">
        <f>IF($O867="Aktif",MAX(0,MIN($AE867,$AD867-SUM($AG867:AM867))),0)</f>
        <v>45833.333333333299</v>
      </c>
      <c r="AO867" s="8">
        <f>IF($O867="Aktif",MAX(0,MIN($AE867,$AD867-SUM($AG867:AN867))),0)</f>
        <v>45833.333333333299</v>
      </c>
      <c r="AP867" s="8">
        <f>IF($O867="Aktif",MAX(0,MIN($AE867,$AD867-SUM($AG867:AO867))),0)</f>
        <v>45833.333333333299</v>
      </c>
      <c r="AQ867" s="8">
        <f>IF($O867="Aktif",MAX(0,MIN($AE867,$AD867-SUM($AG867:AP867))),0)</f>
        <v>45833.333333333299</v>
      </c>
      <c r="AR867" s="8">
        <f>IF($O867="Aktif",MAX(0,MIN($AE867,$AD867-SUM($AG867:AQ867))),0)</f>
        <v>45833.333333333299</v>
      </c>
      <c r="AS867" s="8">
        <f>IF($O867="Aktif",MAX(0,MIN($AE867,$AD867-SUM($AG867:AR867))),0)</f>
        <v>45833.333333333299</v>
      </c>
      <c r="AT867" s="8">
        <f>IF($O867="Aktif",MAX(0,MIN($AE867,$AD867-SUM($AG867:AS867))),0)</f>
        <v>45833.333333333299</v>
      </c>
      <c r="AU867" s="8">
        <f>IF($O867="Aktif",MAX(0,MIN($AE867,$AD867-SUM($AG867:AT867))),0)</f>
        <v>45833.333333333299</v>
      </c>
      <c r="AV867" s="8">
        <f>IF($O867="Aktif",MAX(0,MIN($AE867,$AD867-SUM($AG867:AU867))),0)</f>
        <v>45833.333333333299</v>
      </c>
      <c r="AW867" s="8">
        <f t="shared" si="96"/>
        <v>733333.33333333267</v>
      </c>
      <c r="AX867" s="8">
        <f t="shared" si="97"/>
        <v>229166.66666666779</v>
      </c>
    </row>
    <row r="868" spans="1:50" ht="15" customHeight="1" x14ac:dyDescent="0.35">
      <c r="A868" s="102">
        <v>862</v>
      </c>
      <c r="B868" s="102" t="s">
        <v>1326</v>
      </c>
      <c r="C868" s="103">
        <v>496</v>
      </c>
      <c r="D868" s="102" t="s">
        <v>185</v>
      </c>
      <c r="E868" s="102" t="s">
        <v>479</v>
      </c>
      <c r="F868" s="102" t="s">
        <v>2332</v>
      </c>
      <c r="G868" s="102" t="s">
        <v>2333</v>
      </c>
      <c r="H868" s="102" t="s">
        <v>2334</v>
      </c>
      <c r="I868" s="102" t="s">
        <v>63</v>
      </c>
      <c r="J868" s="102"/>
      <c r="K868" s="102" t="s">
        <v>2668</v>
      </c>
      <c r="L868" s="102" t="s">
        <v>1121</v>
      </c>
      <c r="M868" s="102" t="s">
        <v>2669</v>
      </c>
      <c r="N868" s="102"/>
      <c r="O868" s="102" t="s">
        <v>383</v>
      </c>
      <c r="P868" s="103">
        <v>1</v>
      </c>
      <c r="Q868" s="105">
        <v>2200000</v>
      </c>
      <c r="R868" s="103">
        <v>48</v>
      </c>
      <c r="S868" s="105">
        <v>45833.333333333299</v>
      </c>
      <c r="T868" s="105">
        <v>870833.33333333302</v>
      </c>
      <c r="U868" s="105">
        <v>45833.333333333299</v>
      </c>
      <c r="V868" s="105">
        <v>45833.333333333299</v>
      </c>
      <c r="W868" s="105">
        <v>45833.333333333299</v>
      </c>
      <c r="X868" s="105">
        <v>45833.333333333299</v>
      </c>
      <c r="Y868" s="105">
        <v>45833.333333333299</v>
      </c>
      <c r="Z868" s="105">
        <v>45833.333333333299</v>
      </c>
      <c r="AA868" s="105">
        <v>45833.333333333299</v>
      </c>
      <c r="AB868" s="105">
        <v>45833.333333333299</v>
      </c>
      <c r="AC868" s="8">
        <f t="shared" si="91"/>
        <v>1237499.9999999995</v>
      </c>
      <c r="AD868" s="8">
        <f t="shared" si="92"/>
        <v>962500.00000000047</v>
      </c>
      <c r="AE868" s="8">
        <f t="shared" si="93"/>
        <v>45833.333333333299</v>
      </c>
      <c r="AF868" s="106">
        <f t="shared" si="94"/>
        <v>21.000000000000025</v>
      </c>
      <c r="AG868" s="8">
        <f t="shared" si="95"/>
        <v>45833.333333333299</v>
      </c>
      <c r="AH868" s="8">
        <f>IF($O868="Aktif",MAX(0,MIN($AE868,$AD868-SUM($AG868:AG868))),0)</f>
        <v>45833.333333333299</v>
      </c>
      <c r="AI868" s="8">
        <f>IF($O868="Aktif",MAX(0,MIN($AE868,$AD868-SUM($AG868:AH868))),0)</f>
        <v>45833.333333333299</v>
      </c>
      <c r="AJ868" s="8">
        <f>IF($O868="Aktif",MAX(0,MIN($AE868,$AD868-SUM($AG868:AI868))),0)</f>
        <v>45833.333333333299</v>
      </c>
      <c r="AK868" s="8">
        <f>IF($O868="Aktif",MAX(0,MIN($AE868,$AD868-SUM($AG868:AJ868))),0)</f>
        <v>45833.333333333299</v>
      </c>
      <c r="AL868" s="8">
        <f>IF($O868="Aktif",MAX(0,MIN($AE868,$AD868-SUM($AG868:AK868))),0)</f>
        <v>45833.333333333299</v>
      </c>
      <c r="AM868" s="8">
        <f>IF($O868="Aktif",MAX(0,MIN($AE868,$AD868-SUM($AG868:AL868))),0)</f>
        <v>45833.333333333299</v>
      </c>
      <c r="AN868" s="8">
        <f>IF($O868="Aktif",MAX(0,MIN($AE868,$AD868-SUM($AG868:AM868))),0)</f>
        <v>45833.333333333299</v>
      </c>
      <c r="AO868" s="8">
        <f>IF($O868="Aktif",MAX(0,MIN($AE868,$AD868-SUM($AG868:AN868))),0)</f>
        <v>45833.333333333299</v>
      </c>
      <c r="AP868" s="8">
        <f>IF($O868="Aktif",MAX(0,MIN($AE868,$AD868-SUM($AG868:AO868))),0)</f>
        <v>45833.333333333299</v>
      </c>
      <c r="AQ868" s="8">
        <f>IF($O868="Aktif",MAX(0,MIN($AE868,$AD868-SUM($AG868:AP868))),0)</f>
        <v>45833.333333333299</v>
      </c>
      <c r="AR868" s="8">
        <f>IF($O868="Aktif",MAX(0,MIN($AE868,$AD868-SUM($AG868:AQ868))),0)</f>
        <v>45833.333333333299</v>
      </c>
      <c r="AS868" s="8">
        <f>IF($O868="Aktif",MAX(0,MIN($AE868,$AD868-SUM($AG868:AR868))),0)</f>
        <v>45833.333333333299</v>
      </c>
      <c r="AT868" s="8">
        <f>IF($O868="Aktif",MAX(0,MIN($AE868,$AD868-SUM($AG868:AS868))),0)</f>
        <v>45833.333333333299</v>
      </c>
      <c r="AU868" s="8">
        <f>IF($O868="Aktif",MAX(0,MIN($AE868,$AD868-SUM($AG868:AT868))),0)</f>
        <v>45833.333333333299</v>
      </c>
      <c r="AV868" s="8">
        <f>IF($O868="Aktif",MAX(0,MIN($AE868,$AD868-SUM($AG868:AU868))),0)</f>
        <v>45833.333333333299</v>
      </c>
      <c r="AW868" s="8">
        <f t="shared" si="96"/>
        <v>733333.33333333267</v>
      </c>
      <c r="AX868" s="8">
        <f t="shared" si="97"/>
        <v>229166.66666666779</v>
      </c>
    </row>
    <row r="869" spans="1:50" ht="15" customHeight="1" x14ac:dyDescent="0.35">
      <c r="A869" s="102">
        <v>863</v>
      </c>
      <c r="B869" s="102" t="s">
        <v>1326</v>
      </c>
      <c r="C869" s="103">
        <v>497</v>
      </c>
      <c r="D869" s="102" t="s">
        <v>185</v>
      </c>
      <c r="E869" s="102" t="s">
        <v>479</v>
      </c>
      <c r="F869" s="102" t="s">
        <v>2332</v>
      </c>
      <c r="G869" s="102" t="s">
        <v>2333</v>
      </c>
      <c r="H869" s="102" t="s">
        <v>2334</v>
      </c>
      <c r="I869" s="102" t="s">
        <v>63</v>
      </c>
      <c r="J869" s="102"/>
      <c r="K869" s="102" t="s">
        <v>2670</v>
      </c>
      <c r="L869" s="102" t="s">
        <v>1121</v>
      </c>
      <c r="M869" s="102" t="s">
        <v>2671</v>
      </c>
      <c r="N869" s="102"/>
      <c r="O869" s="102" t="s">
        <v>383</v>
      </c>
      <c r="P869" s="103">
        <v>1</v>
      </c>
      <c r="Q869" s="105">
        <v>2200000</v>
      </c>
      <c r="R869" s="103">
        <v>48</v>
      </c>
      <c r="S869" s="105">
        <v>45833.333333333299</v>
      </c>
      <c r="T869" s="105">
        <v>870833.33333333302</v>
      </c>
      <c r="U869" s="105">
        <v>45833.333333333299</v>
      </c>
      <c r="V869" s="105">
        <v>45833.333333333299</v>
      </c>
      <c r="W869" s="105">
        <v>45833.333333333299</v>
      </c>
      <c r="X869" s="105">
        <v>45833.333333333299</v>
      </c>
      <c r="Y869" s="105">
        <v>45833.333333333299</v>
      </c>
      <c r="Z869" s="105">
        <v>45833.333333333299</v>
      </c>
      <c r="AA869" s="105">
        <v>45833.333333333299</v>
      </c>
      <c r="AB869" s="105">
        <v>45833.333333333299</v>
      </c>
      <c r="AC869" s="8">
        <f t="shared" si="91"/>
        <v>1237499.9999999995</v>
      </c>
      <c r="AD869" s="8">
        <f t="shared" si="92"/>
        <v>962500.00000000047</v>
      </c>
      <c r="AE869" s="8">
        <f t="shared" si="93"/>
        <v>45833.333333333299</v>
      </c>
      <c r="AF869" s="106">
        <f t="shared" si="94"/>
        <v>21.000000000000025</v>
      </c>
      <c r="AG869" s="8">
        <f t="shared" si="95"/>
        <v>45833.333333333299</v>
      </c>
      <c r="AH869" s="8">
        <f>IF($O869="Aktif",MAX(0,MIN($AE869,$AD869-SUM($AG869:AG869))),0)</f>
        <v>45833.333333333299</v>
      </c>
      <c r="AI869" s="8">
        <f>IF($O869="Aktif",MAX(0,MIN($AE869,$AD869-SUM($AG869:AH869))),0)</f>
        <v>45833.333333333299</v>
      </c>
      <c r="AJ869" s="8">
        <f>IF($O869="Aktif",MAX(0,MIN($AE869,$AD869-SUM($AG869:AI869))),0)</f>
        <v>45833.333333333299</v>
      </c>
      <c r="AK869" s="8">
        <f>IF($O869="Aktif",MAX(0,MIN($AE869,$AD869-SUM($AG869:AJ869))),0)</f>
        <v>45833.333333333299</v>
      </c>
      <c r="AL869" s="8">
        <f>IF($O869="Aktif",MAX(0,MIN($AE869,$AD869-SUM($AG869:AK869))),0)</f>
        <v>45833.333333333299</v>
      </c>
      <c r="AM869" s="8">
        <f>IF($O869="Aktif",MAX(0,MIN($AE869,$AD869-SUM($AG869:AL869))),0)</f>
        <v>45833.333333333299</v>
      </c>
      <c r="AN869" s="8">
        <f>IF($O869="Aktif",MAX(0,MIN($AE869,$AD869-SUM($AG869:AM869))),0)</f>
        <v>45833.333333333299</v>
      </c>
      <c r="AO869" s="8">
        <f>IF($O869="Aktif",MAX(0,MIN($AE869,$AD869-SUM($AG869:AN869))),0)</f>
        <v>45833.333333333299</v>
      </c>
      <c r="AP869" s="8">
        <f>IF($O869="Aktif",MAX(0,MIN($AE869,$AD869-SUM($AG869:AO869))),0)</f>
        <v>45833.333333333299</v>
      </c>
      <c r="AQ869" s="8">
        <f>IF($O869="Aktif",MAX(0,MIN($AE869,$AD869-SUM($AG869:AP869))),0)</f>
        <v>45833.333333333299</v>
      </c>
      <c r="AR869" s="8">
        <f>IF($O869="Aktif",MAX(0,MIN($AE869,$AD869-SUM($AG869:AQ869))),0)</f>
        <v>45833.333333333299</v>
      </c>
      <c r="AS869" s="8">
        <f>IF($O869="Aktif",MAX(0,MIN($AE869,$AD869-SUM($AG869:AR869))),0)</f>
        <v>45833.333333333299</v>
      </c>
      <c r="AT869" s="8">
        <f>IF($O869="Aktif",MAX(0,MIN($AE869,$AD869-SUM($AG869:AS869))),0)</f>
        <v>45833.333333333299</v>
      </c>
      <c r="AU869" s="8">
        <f>IF($O869="Aktif",MAX(0,MIN($AE869,$AD869-SUM($AG869:AT869))),0)</f>
        <v>45833.333333333299</v>
      </c>
      <c r="AV869" s="8">
        <f>IF($O869="Aktif",MAX(0,MIN($AE869,$AD869-SUM($AG869:AU869))),0)</f>
        <v>45833.333333333299</v>
      </c>
      <c r="AW869" s="8">
        <f t="shared" si="96"/>
        <v>733333.33333333267</v>
      </c>
      <c r="AX869" s="8">
        <f t="shared" si="97"/>
        <v>229166.66666666779</v>
      </c>
    </row>
    <row r="870" spans="1:50" ht="15" customHeight="1" x14ac:dyDescent="0.35">
      <c r="A870" s="102">
        <v>864</v>
      </c>
      <c r="B870" s="102" t="s">
        <v>1326</v>
      </c>
      <c r="C870" s="103">
        <v>498</v>
      </c>
      <c r="D870" s="102" t="s">
        <v>185</v>
      </c>
      <c r="E870" s="102" t="s">
        <v>479</v>
      </c>
      <c r="F870" s="102" t="s">
        <v>2332</v>
      </c>
      <c r="G870" s="102" t="s">
        <v>2333</v>
      </c>
      <c r="H870" s="102" t="s">
        <v>2334</v>
      </c>
      <c r="I870" s="102" t="s">
        <v>63</v>
      </c>
      <c r="J870" s="102"/>
      <c r="K870" s="102" t="s">
        <v>2672</v>
      </c>
      <c r="L870" s="102" t="s">
        <v>1121</v>
      </c>
      <c r="M870" s="102" t="s">
        <v>2673</v>
      </c>
      <c r="N870" s="102"/>
      <c r="O870" s="102" t="s">
        <v>383</v>
      </c>
      <c r="P870" s="103">
        <v>1</v>
      </c>
      <c r="Q870" s="105">
        <v>2200000</v>
      </c>
      <c r="R870" s="103">
        <v>48</v>
      </c>
      <c r="S870" s="105">
        <v>45833.333333333299</v>
      </c>
      <c r="T870" s="105">
        <v>870833.33333333302</v>
      </c>
      <c r="U870" s="105">
        <v>45833.333333333299</v>
      </c>
      <c r="V870" s="105">
        <v>45833.333333333299</v>
      </c>
      <c r="W870" s="105">
        <v>45833.333333333299</v>
      </c>
      <c r="X870" s="105">
        <v>45833.333333333299</v>
      </c>
      <c r="Y870" s="105">
        <v>45833.333333333299</v>
      </c>
      <c r="Z870" s="105">
        <v>45833.333333333299</v>
      </c>
      <c r="AA870" s="105">
        <v>45833.333333333299</v>
      </c>
      <c r="AB870" s="105">
        <v>45833.333333333299</v>
      </c>
      <c r="AC870" s="8">
        <f t="shared" si="91"/>
        <v>1237499.9999999995</v>
      </c>
      <c r="AD870" s="8">
        <f t="shared" si="92"/>
        <v>962500.00000000047</v>
      </c>
      <c r="AE870" s="8">
        <f t="shared" si="93"/>
        <v>45833.333333333299</v>
      </c>
      <c r="AF870" s="106">
        <f t="shared" si="94"/>
        <v>21.000000000000025</v>
      </c>
      <c r="AG870" s="8">
        <f t="shared" si="95"/>
        <v>45833.333333333299</v>
      </c>
      <c r="AH870" s="8">
        <f>IF($O870="Aktif",MAX(0,MIN($AE870,$AD870-SUM($AG870:AG870))),0)</f>
        <v>45833.333333333299</v>
      </c>
      <c r="AI870" s="8">
        <f>IF($O870="Aktif",MAX(0,MIN($AE870,$AD870-SUM($AG870:AH870))),0)</f>
        <v>45833.333333333299</v>
      </c>
      <c r="AJ870" s="8">
        <f>IF($O870="Aktif",MAX(0,MIN($AE870,$AD870-SUM($AG870:AI870))),0)</f>
        <v>45833.333333333299</v>
      </c>
      <c r="AK870" s="8">
        <f>IF($O870="Aktif",MAX(0,MIN($AE870,$AD870-SUM($AG870:AJ870))),0)</f>
        <v>45833.333333333299</v>
      </c>
      <c r="AL870" s="8">
        <f>IF($O870="Aktif",MAX(0,MIN($AE870,$AD870-SUM($AG870:AK870))),0)</f>
        <v>45833.333333333299</v>
      </c>
      <c r="AM870" s="8">
        <f>IF($O870="Aktif",MAX(0,MIN($AE870,$AD870-SUM($AG870:AL870))),0)</f>
        <v>45833.333333333299</v>
      </c>
      <c r="AN870" s="8">
        <f>IF($O870="Aktif",MAX(0,MIN($AE870,$AD870-SUM($AG870:AM870))),0)</f>
        <v>45833.333333333299</v>
      </c>
      <c r="AO870" s="8">
        <f>IF($O870="Aktif",MAX(0,MIN($AE870,$AD870-SUM($AG870:AN870))),0)</f>
        <v>45833.333333333299</v>
      </c>
      <c r="AP870" s="8">
        <f>IF($O870="Aktif",MAX(0,MIN($AE870,$AD870-SUM($AG870:AO870))),0)</f>
        <v>45833.333333333299</v>
      </c>
      <c r="AQ870" s="8">
        <f>IF($O870="Aktif",MAX(0,MIN($AE870,$AD870-SUM($AG870:AP870))),0)</f>
        <v>45833.333333333299</v>
      </c>
      <c r="AR870" s="8">
        <f>IF($O870="Aktif",MAX(0,MIN($AE870,$AD870-SUM($AG870:AQ870))),0)</f>
        <v>45833.333333333299</v>
      </c>
      <c r="AS870" s="8">
        <f>IF($O870="Aktif",MAX(0,MIN($AE870,$AD870-SUM($AG870:AR870))),0)</f>
        <v>45833.333333333299</v>
      </c>
      <c r="AT870" s="8">
        <f>IF($O870="Aktif",MAX(0,MIN($AE870,$AD870-SUM($AG870:AS870))),0)</f>
        <v>45833.333333333299</v>
      </c>
      <c r="AU870" s="8">
        <f>IF($O870="Aktif",MAX(0,MIN($AE870,$AD870-SUM($AG870:AT870))),0)</f>
        <v>45833.333333333299</v>
      </c>
      <c r="AV870" s="8">
        <f>IF($O870="Aktif",MAX(0,MIN($AE870,$AD870-SUM($AG870:AU870))),0)</f>
        <v>45833.333333333299</v>
      </c>
      <c r="AW870" s="8">
        <f t="shared" si="96"/>
        <v>733333.33333333267</v>
      </c>
      <c r="AX870" s="8">
        <f t="shared" si="97"/>
        <v>229166.66666666779</v>
      </c>
    </row>
    <row r="871" spans="1:50" ht="15" customHeight="1" x14ac:dyDescent="0.35">
      <c r="A871" s="102">
        <v>865</v>
      </c>
      <c r="B871" s="102" t="s">
        <v>1326</v>
      </c>
      <c r="C871" s="103">
        <v>499</v>
      </c>
      <c r="D871" s="102" t="s">
        <v>185</v>
      </c>
      <c r="E871" s="102" t="s">
        <v>479</v>
      </c>
      <c r="F871" s="102" t="s">
        <v>2332</v>
      </c>
      <c r="G871" s="102" t="s">
        <v>2333</v>
      </c>
      <c r="H871" s="102" t="s">
        <v>2334</v>
      </c>
      <c r="I871" s="102" t="s">
        <v>63</v>
      </c>
      <c r="J871" s="102"/>
      <c r="K871" s="102" t="s">
        <v>2674</v>
      </c>
      <c r="L871" s="102" t="s">
        <v>1121</v>
      </c>
      <c r="M871" s="102" t="s">
        <v>2675</v>
      </c>
      <c r="N871" s="102"/>
      <c r="O871" s="102" t="s">
        <v>383</v>
      </c>
      <c r="P871" s="103">
        <v>1</v>
      </c>
      <c r="Q871" s="105">
        <v>2200000</v>
      </c>
      <c r="R871" s="103">
        <v>48</v>
      </c>
      <c r="S871" s="105">
        <v>45833.333333333299</v>
      </c>
      <c r="T871" s="105">
        <v>870833.33333333302</v>
      </c>
      <c r="U871" s="105">
        <v>45833.333333333299</v>
      </c>
      <c r="V871" s="105">
        <v>45833.333333333299</v>
      </c>
      <c r="W871" s="105">
        <v>45833.333333333299</v>
      </c>
      <c r="X871" s="105">
        <v>45833.333333333299</v>
      </c>
      <c r="Y871" s="105">
        <v>45833.333333333299</v>
      </c>
      <c r="Z871" s="105">
        <v>45833.333333333299</v>
      </c>
      <c r="AA871" s="105">
        <v>45833.333333333299</v>
      </c>
      <c r="AB871" s="105">
        <v>45833.333333333299</v>
      </c>
      <c r="AC871" s="8">
        <f t="shared" si="91"/>
        <v>1237499.9999999995</v>
      </c>
      <c r="AD871" s="8">
        <f t="shared" si="92"/>
        <v>962500.00000000047</v>
      </c>
      <c r="AE871" s="8">
        <f t="shared" si="93"/>
        <v>45833.333333333299</v>
      </c>
      <c r="AF871" s="106">
        <f t="shared" si="94"/>
        <v>21.000000000000025</v>
      </c>
      <c r="AG871" s="8">
        <f t="shared" si="95"/>
        <v>45833.333333333299</v>
      </c>
      <c r="AH871" s="8">
        <f>IF($O871="Aktif",MAX(0,MIN($AE871,$AD871-SUM($AG871:AG871))),0)</f>
        <v>45833.333333333299</v>
      </c>
      <c r="AI871" s="8">
        <f>IF($O871="Aktif",MAX(0,MIN($AE871,$AD871-SUM($AG871:AH871))),0)</f>
        <v>45833.333333333299</v>
      </c>
      <c r="AJ871" s="8">
        <f>IF($O871="Aktif",MAX(0,MIN($AE871,$AD871-SUM($AG871:AI871))),0)</f>
        <v>45833.333333333299</v>
      </c>
      <c r="AK871" s="8">
        <f>IF($O871="Aktif",MAX(0,MIN($AE871,$AD871-SUM($AG871:AJ871))),0)</f>
        <v>45833.333333333299</v>
      </c>
      <c r="AL871" s="8">
        <f>IF($O871="Aktif",MAX(0,MIN($AE871,$AD871-SUM($AG871:AK871))),0)</f>
        <v>45833.333333333299</v>
      </c>
      <c r="AM871" s="8">
        <f>IF($O871="Aktif",MAX(0,MIN($AE871,$AD871-SUM($AG871:AL871))),0)</f>
        <v>45833.333333333299</v>
      </c>
      <c r="AN871" s="8">
        <f>IF($O871="Aktif",MAX(0,MIN($AE871,$AD871-SUM($AG871:AM871))),0)</f>
        <v>45833.333333333299</v>
      </c>
      <c r="AO871" s="8">
        <f>IF($O871="Aktif",MAX(0,MIN($AE871,$AD871-SUM($AG871:AN871))),0)</f>
        <v>45833.333333333299</v>
      </c>
      <c r="AP871" s="8">
        <f>IF($O871="Aktif",MAX(0,MIN($AE871,$AD871-SUM($AG871:AO871))),0)</f>
        <v>45833.333333333299</v>
      </c>
      <c r="AQ871" s="8">
        <f>IF($O871="Aktif",MAX(0,MIN($AE871,$AD871-SUM($AG871:AP871))),0)</f>
        <v>45833.333333333299</v>
      </c>
      <c r="AR871" s="8">
        <f>IF($O871="Aktif",MAX(0,MIN($AE871,$AD871-SUM($AG871:AQ871))),0)</f>
        <v>45833.333333333299</v>
      </c>
      <c r="AS871" s="8">
        <f>IF($O871="Aktif",MAX(0,MIN($AE871,$AD871-SUM($AG871:AR871))),0)</f>
        <v>45833.333333333299</v>
      </c>
      <c r="AT871" s="8">
        <f>IF($O871="Aktif",MAX(0,MIN($AE871,$AD871-SUM($AG871:AS871))),0)</f>
        <v>45833.333333333299</v>
      </c>
      <c r="AU871" s="8">
        <f>IF($O871="Aktif",MAX(0,MIN($AE871,$AD871-SUM($AG871:AT871))),0)</f>
        <v>45833.333333333299</v>
      </c>
      <c r="AV871" s="8">
        <f>IF($O871="Aktif",MAX(0,MIN($AE871,$AD871-SUM($AG871:AU871))),0)</f>
        <v>45833.333333333299</v>
      </c>
      <c r="AW871" s="8">
        <f t="shared" si="96"/>
        <v>733333.33333333267</v>
      </c>
      <c r="AX871" s="8">
        <f t="shared" si="97"/>
        <v>229166.66666666779</v>
      </c>
    </row>
    <row r="872" spans="1:50" ht="15" customHeight="1" x14ac:dyDescent="0.35">
      <c r="A872" s="102">
        <v>866</v>
      </c>
      <c r="B872" s="102" t="s">
        <v>1326</v>
      </c>
      <c r="C872" s="103">
        <v>500</v>
      </c>
      <c r="D872" s="102" t="s">
        <v>185</v>
      </c>
      <c r="E872" s="102" t="s">
        <v>479</v>
      </c>
      <c r="F872" s="102" t="s">
        <v>2332</v>
      </c>
      <c r="G872" s="102" t="s">
        <v>2333</v>
      </c>
      <c r="H872" s="102" t="s">
        <v>2334</v>
      </c>
      <c r="I872" s="102" t="s">
        <v>63</v>
      </c>
      <c r="J872" s="102"/>
      <c r="K872" s="102" t="s">
        <v>2676</v>
      </c>
      <c r="L872" s="102" t="s">
        <v>1121</v>
      </c>
      <c r="M872" s="102" t="s">
        <v>2677</v>
      </c>
      <c r="N872" s="102"/>
      <c r="O872" s="102" t="s">
        <v>383</v>
      </c>
      <c r="P872" s="103">
        <v>1</v>
      </c>
      <c r="Q872" s="105">
        <v>2200000</v>
      </c>
      <c r="R872" s="103">
        <v>48</v>
      </c>
      <c r="S872" s="105">
        <v>45833.333333333299</v>
      </c>
      <c r="T872" s="105">
        <v>870833.33333333302</v>
      </c>
      <c r="U872" s="105">
        <v>45833.333333333299</v>
      </c>
      <c r="V872" s="105">
        <v>45833.333333333299</v>
      </c>
      <c r="W872" s="105">
        <v>45833.333333333299</v>
      </c>
      <c r="X872" s="105">
        <v>45833.333333333299</v>
      </c>
      <c r="Y872" s="105">
        <v>45833.333333333299</v>
      </c>
      <c r="Z872" s="105">
        <v>45833.333333333299</v>
      </c>
      <c r="AA872" s="105">
        <v>45833.333333333299</v>
      </c>
      <c r="AB872" s="105">
        <v>45833.333333333299</v>
      </c>
      <c r="AC872" s="8">
        <f t="shared" si="91"/>
        <v>1237499.9999999995</v>
      </c>
      <c r="AD872" s="8">
        <f t="shared" si="92"/>
        <v>962500.00000000047</v>
      </c>
      <c r="AE872" s="8">
        <f t="shared" si="93"/>
        <v>45833.333333333299</v>
      </c>
      <c r="AF872" s="106">
        <f t="shared" si="94"/>
        <v>21.000000000000025</v>
      </c>
      <c r="AG872" s="8">
        <f t="shared" si="95"/>
        <v>45833.333333333299</v>
      </c>
      <c r="AH872" s="8">
        <f>IF($O872="Aktif",MAX(0,MIN($AE872,$AD872-SUM($AG872:AG872))),0)</f>
        <v>45833.333333333299</v>
      </c>
      <c r="AI872" s="8">
        <f>IF($O872="Aktif",MAX(0,MIN($AE872,$AD872-SUM($AG872:AH872))),0)</f>
        <v>45833.333333333299</v>
      </c>
      <c r="AJ872" s="8">
        <f>IF($O872="Aktif",MAX(0,MIN($AE872,$AD872-SUM($AG872:AI872))),0)</f>
        <v>45833.333333333299</v>
      </c>
      <c r="AK872" s="8">
        <f>IF($O872="Aktif",MAX(0,MIN($AE872,$AD872-SUM($AG872:AJ872))),0)</f>
        <v>45833.333333333299</v>
      </c>
      <c r="AL872" s="8">
        <f>IF($O872="Aktif",MAX(0,MIN($AE872,$AD872-SUM($AG872:AK872))),0)</f>
        <v>45833.333333333299</v>
      </c>
      <c r="AM872" s="8">
        <f>IF($O872="Aktif",MAX(0,MIN($AE872,$AD872-SUM($AG872:AL872))),0)</f>
        <v>45833.333333333299</v>
      </c>
      <c r="AN872" s="8">
        <f>IF($O872="Aktif",MAX(0,MIN($AE872,$AD872-SUM($AG872:AM872))),0)</f>
        <v>45833.333333333299</v>
      </c>
      <c r="AO872" s="8">
        <f>IF($O872="Aktif",MAX(0,MIN($AE872,$AD872-SUM($AG872:AN872))),0)</f>
        <v>45833.333333333299</v>
      </c>
      <c r="AP872" s="8">
        <f>IF($O872="Aktif",MAX(0,MIN($AE872,$AD872-SUM($AG872:AO872))),0)</f>
        <v>45833.333333333299</v>
      </c>
      <c r="AQ872" s="8">
        <f>IF($O872="Aktif",MAX(0,MIN($AE872,$AD872-SUM($AG872:AP872))),0)</f>
        <v>45833.333333333299</v>
      </c>
      <c r="AR872" s="8">
        <f>IF($O872="Aktif",MAX(0,MIN($AE872,$AD872-SUM($AG872:AQ872))),0)</f>
        <v>45833.333333333299</v>
      </c>
      <c r="AS872" s="8">
        <f>IF($O872="Aktif",MAX(0,MIN($AE872,$AD872-SUM($AG872:AR872))),0)</f>
        <v>45833.333333333299</v>
      </c>
      <c r="AT872" s="8">
        <f>IF($O872="Aktif",MAX(0,MIN($AE872,$AD872-SUM($AG872:AS872))),0)</f>
        <v>45833.333333333299</v>
      </c>
      <c r="AU872" s="8">
        <f>IF($O872="Aktif",MAX(0,MIN($AE872,$AD872-SUM($AG872:AT872))),0)</f>
        <v>45833.333333333299</v>
      </c>
      <c r="AV872" s="8">
        <f>IF($O872="Aktif",MAX(0,MIN($AE872,$AD872-SUM($AG872:AU872))),0)</f>
        <v>45833.333333333299</v>
      </c>
      <c r="AW872" s="8">
        <f t="shared" si="96"/>
        <v>733333.33333333267</v>
      </c>
      <c r="AX872" s="8">
        <f t="shared" si="97"/>
        <v>229166.66666666779</v>
      </c>
    </row>
    <row r="873" spans="1:50" ht="15" customHeight="1" x14ac:dyDescent="0.35">
      <c r="A873" s="102">
        <v>867</v>
      </c>
      <c r="B873" s="102" t="s">
        <v>1326</v>
      </c>
      <c r="C873" s="103">
        <v>501</v>
      </c>
      <c r="D873" s="102" t="s">
        <v>185</v>
      </c>
      <c r="E873" s="102" t="s">
        <v>479</v>
      </c>
      <c r="F873" s="102" t="s">
        <v>2332</v>
      </c>
      <c r="G873" s="102" t="s">
        <v>2333</v>
      </c>
      <c r="H873" s="102" t="s">
        <v>2334</v>
      </c>
      <c r="I873" s="102" t="s">
        <v>63</v>
      </c>
      <c r="J873" s="102"/>
      <c r="K873" s="102" t="s">
        <v>2678</v>
      </c>
      <c r="L873" s="102" t="s">
        <v>1121</v>
      </c>
      <c r="M873" s="102" t="s">
        <v>2679</v>
      </c>
      <c r="N873" s="102"/>
      <c r="O873" s="102" t="s">
        <v>383</v>
      </c>
      <c r="P873" s="103">
        <v>1</v>
      </c>
      <c r="Q873" s="105">
        <v>2200000</v>
      </c>
      <c r="R873" s="103">
        <v>48</v>
      </c>
      <c r="S873" s="105">
        <v>45833.333333333299</v>
      </c>
      <c r="T873" s="105">
        <v>870833.33333333302</v>
      </c>
      <c r="U873" s="105">
        <v>45833.333333333299</v>
      </c>
      <c r="V873" s="105">
        <v>45833.333333333299</v>
      </c>
      <c r="W873" s="105">
        <v>45833.333333333299</v>
      </c>
      <c r="X873" s="105">
        <v>45833.333333333299</v>
      </c>
      <c r="Y873" s="105">
        <v>45833.333333333299</v>
      </c>
      <c r="Z873" s="105">
        <v>45833.333333333299</v>
      </c>
      <c r="AA873" s="105">
        <v>45833.333333333299</v>
      </c>
      <c r="AB873" s="105">
        <v>45833.333333333299</v>
      </c>
      <c r="AC873" s="8">
        <f t="shared" si="91"/>
        <v>1237499.9999999995</v>
      </c>
      <c r="AD873" s="8">
        <f t="shared" si="92"/>
        <v>962500.00000000047</v>
      </c>
      <c r="AE873" s="8">
        <f t="shared" si="93"/>
        <v>45833.333333333299</v>
      </c>
      <c r="AF873" s="106">
        <f t="shared" si="94"/>
        <v>21.000000000000025</v>
      </c>
      <c r="AG873" s="8">
        <f t="shared" si="95"/>
        <v>45833.333333333299</v>
      </c>
      <c r="AH873" s="8">
        <f>IF($O873="Aktif",MAX(0,MIN($AE873,$AD873-SUM($AG873:AG873))),0)</f>
        <v>45833.333333333299</v>
      </c>
      <c r="AI873" s="8">
        <f>IF($O873="Aktif",MAX(0,MIN($AE873,$AD873-SUM($AG873:AH873))),0)</f>
        <v>45833.333333333299</v>
      </c>
      <c r="AJ873" s="8">
        <f>IF($O873="Aktif",MAX(0,MIN($AE873,$AD873-SUM($AG873:AI873))),0)</f>
        <v>45833.333333333299</v>
      </c>
      <c r="AK873" s="8">
        <f>IF($O873="Aktif",MAX(0,MIN($AE873,$AD873-SUM($AG873:AJ873))),0)</f>
        <v>45833.333333333299</v>
      </c>
      <c r="AL873" s="8">
        <f>IF($O873="Aktif",MAX(0,MIN($AE873,$AD873-SUM($AG873:AK873))),0)</f>
        <v>45833.333333333299</v>
      </c>
      <c r="AM873" s="8">
        <f>IF($O873="Aktif",MAX(0,MIN($AE873,$AD873-SUM($AG873:AL873))),0)</f>
        <v>45833.333333333299</v>
      </c>
      <c r="AN873" s="8">
        <f>IF($O873="Aktif",MAX(0,MIN($AE873,$AD873-SUM($AG873:AM873))),0)</f>
        <v>45833.333333333299</v>
      </c>
      <c r="AO873" s="8">
        <f>IF($O873="Aktif",MAX(0,MIN($AE873,$AD873-SUM($AG873:AN873))),0)</f>
        <v>45833.333333333299</v>
      </c>
      <c r="AP873" s="8">
        <f>IF($O873="Aktif",MAX(0,MIN($AE873,$AD873-SUM($AG873:AO873))),0)</f>
        <v>45833.333333333299</v>
      </c>
      <c r="AQ873" s="8">
        <f>IF($O873="Aktif",MAX(0,MIN($AE873,$AD873-SUM($AG873:AP873))),0)</f>
        <v>45833.333333333299</v>
      </c>
      <c r="AR873" s="8">
        <f>IF($O873="Aktif",MAX(0,MIN($AE873,$AD873-SUM($AG873:AQ873))),0)</f>
        <v>45833.333333333299</v>
      </c>
      <c r="AS873" s="8">
        <f>IF($O873="Aktif",MAX(0,MIN($AE873,$AD873-SUM($AG873:AR873))),0)</f>
        <v>45833.333333333299</v>
      </c>
      <c r="AT873" s="8">
        <f>IF($O873="Aktif",MAX(0,MIN($AE873,$AD873-SUM($AG873:AS873))),0)</f>
        <v>45833.333333333299</v>
      </c>
      <c r="AU873" s="8">
        <f>IF($O873="Aktif",MAX(0,MIN($AE873,$AD873-SUM($AG873:AT873))),0)</f>
        <v>45833.333333333299</v>
      </c>
      <c r="AV873" s="8">
        <f>IF($O873="Aktif",MAX(0,MIN($AE873,$AD873-SUM($AG873:AU873))),0)</f>
        <v>45833.333333333299</v>
      </c>
      <c r="AW873" s="8">
        <f t="shared" si="96"/>
        <v>733333.33333333267</v>
      </c>
      <c r="AX873" s="8">
        <f t="shared" si="97"/>
        <v>229166.66666666779</v>
      </c>
    </row>
    <row r="874" spans="1:50" ht="15" customHeight="1" x14ac:dyDescent="0.35">
      <c r="A874" s="102">
        <v>868</v>
      </c>
      <c r="B874" s="102" t="s">
        <v>1326</v>
      </c>
      <c r="C874" s="103">
        <v>502</v>
      </c>
      <c r="D874" s="102" t="s">
        <v>185</v>
      </c>
      <c r="E874" s="102" t="s">
        <v>479</v>
      </c>
      <c r="F874" s="102" t="s">
        <v>2332</v>
      </c>
      <c r="G874" s="102" t="s">
        <v>2333</v>
      </c>
      <c r="H874" s="102" t="s">
        <v>2334</v>
      </c>
      <c r="I874" s="102" t="s">
        <v>63</v>
      </c>
      <c r="J874" s="102"/>
      <c r="K874" s="102" t="s">
        <v>2680</v>
      </c>
      <c r="L874" s="102" t="s">
        <v>1121</v>
      </c>
      <c r="M874" s="102" t="s">
        <v>2681</v>
      </c>
      <c r="N874" s="102"/>
      <c r="O874" s="102" t="s">
        <v>383</v>
      </c>
      <c r="P874" s="103">
        <v>1</v>
      </c>
      <c r="Q874" s="105">
        <v>2200000</v>
      </c>
      <c r="R874" s="103">
        <v>48</v>
      </c>
      <c r="S874" s="105">
        <v>45833.333333333299</v>
      </c>
      <c r="T874" s="105">
        <v>870833.33333333302</v>
      </c>
      <c r="U874" s="105">
        <v>45833.333333333299</v>
      </c>
      <c r="V874" s="105">
        <v>45833.333333333299</v>
      </c>
      <c r="W874" s="105">
        <v>45833.333333333299</v>
      </c>
      <c r="X874" s="105">
        <v>45833.333333333299</v>
      </c>
      <c r="Y874" s="105">
        <v>45833.333333333299</v>
      </c>
      <c r="Z874" s="105">
        <v>45833.333333333299</v>
      </c>
      <c r="AA874" s="105">
        <v>45833.333333333299</v>
      </c>
      <c r="AB874" s="105">
        <v>45833.333333333299</v>
      </c>
      <c r="AC874" s="8">
        <f t="shared" si="91"/>
        <v>1237499.9999999995</v>
      </c>
      <c r="AD874" s="8">
        <f t="shared" si="92"/>
        <v>962500.00000000047</v>
      </c>
      <c r="AE874" s="8">
        <f t="shared" si="93"/>
        <v>45833.333333333299</v>
      </c>
      <c r="AF874" s="106">
        <f t="shared" si="94"/>
        <v>21.000000000000025</v>
      </c>
      <c r="AG874" s="8">
        <f t="shared" si="95"/>
        <v>45833.333333333299</v>
      </c>
      <c r="AH874" s="8">
        <f>IF($O874="Aktif",MAX(0,MIN($AE874,$AD874-SUM($AG874:AG874))),0)</f>
        <v>45833.333333333299</v>
      </c>
      <c r="AI874" s="8">
        <f>IF($O874="Aktif",MAX(0,MIN($AE874,$AD874-SUM($AG874:AH874))),0)</f>
        <v>45833.333333333299</v>
      </c>
      <c r="AJ874" s="8">
        <f>IF($O874="Aktif",MAX(0,MIN($AE874,$AD874-SUM($AG874:AI874))),0)</f>
        <v>45833.333333333299</v>
      </c>
      <c r="AK874" s="8">
        <f>IF($O874="Aktif",MAX(0,MIN($AE874,$AD874-SUM($AG874:AJ874))),0)</f>
        <v>45833.333333333299</v>
      </c>
      <c r="AL874" s="8">
        <f>IF($O874="Aktif",MAX(0,MIN($AE874,$AD874-SUM($AG874:AK874))),0)</f>
        <v>45833.333333333299</v>
      </c>
      <c r="AM874" s="8">
        <f>IF($O874="Aktif",MAX(0,MIN($AE874,$AD874-SUM($AG874:AL874))),0)</f>
        <v>45833.333333333299</v>
      </c>
      <c r="AN874" s="8">
        <f>IF($O874="Aktif",MAX(0,MIN($AE874,$AD874-SUM($AG874:AM874))),0)</f>
        <v>45833.333333333299</v>
      </c>
      <c r="AO874" s="8">
        <f>IF($O874="Aktif",MAX(0,MIN($AE874,$AD874-SUM($AG874:AN874))),0)</f>
        <v>45833.333333333299</v>
      </c>
      <c r="AP874" s="8">
        <f>IF($O874="Aktif",MAX(0,MIN($AE874,$AD874-SUM($AG874:AO874))),0)</f>
        <v>45833.333333333299</v>
      </c>
      <c r="AQ874" s="8">
        <f>IF($O874="Aktif",MAX(0,MIN($AE874,$AD874-SUM($AG874:AP874))),0)</f>
        <v>45833.333333333299</v>
      </c>
      <c r="AR874" s="8">
        <f>IF($O874="Aktif",MAX(0,MIN($AE874,$AD874-SUM($AG874:AQ874))),0)</f>
        <v>45833.333333333299</v>
      </c>
      <c r="AS874" s="8">
        <f>IF($O874="Aktif",MAX(0,MIN($AE874,$AD874-SUM($AG874:AR874))),0)</f>
        <v>45833.333333333299</v>
      </c>
      <c r="AT874" s="8">
        <f>IF($O874="Aktif",MAX(0,MIN($AE874,$AD874-SUM($AG874:AS874))),0)</f>
        <v>45833.333333333299</v>
      </c>
      <c r="AU874" s="8">
        <f>IF($O874="Aktif",MAX(0,MIN($AE874,$AD874-SUM($AG874:AT874))),0)</f>
        <v>45833.333333333299</v>
      </c>
      <c r="AV874" s="8">
        <f>IF($O874="Aktif",MAX(0,MIN($AE874,$AD874-SUM($AG874:AU874))),0)</f>
        <v>45833.333333333299</v>
      </c>
      <c r="AW874" s="8">
        <f t="shared" si="96"/>
        <v>733333.33333333267</v>
      </c>
      <c r="AX874" s="8">
        <f t="shared" si="97"/>
        <v>229166.66666666779</v>
      </c>
    </row>
    <row r="875" spans="1:50" ht="15" customHeight="1" x14ac:dyDescent="0.35">
      <c r="A875" s="102">
        <v>869</v>
      </c>
      <c r="B875" s="102" t="s">
        <v>1326</v>
      </c>
      <c r="C875" s="103">
        <v>503</v>
      </c>
      <c r="D875" s="102" t="s">
        <v>185</v>
      </c>
      <c r="E875" s="102" t="s">
        <v>479</v>
      </c>
      <c r="F875" s="102" t="s">
        <v>2332</v>
      </c>
      <c r="G875" s="102" t="s">
        <v>2333</v>
      </c>
      <c r="H875" s="102" t="s">
        <v>2334</v>
      </c>
      <c r="I875" s="102" t="s">
        <v>63</v>
      </c>
      <c r="J875" s="102"/>
      <c r="K875" s="102" t="s">
        <v>2682</v>
      </c>
      <c r="L875" s="102" t="s">
        <v>1121</v>
      </c>
      <c r="M875" s="102" t="s">
        <v>2683</v>
      </c>
      <c r="N875" s="102"/>
      <c r="O875" s="102" t="s">
        <v>383</v>
      </c>
      <c r="P875" s="103">
        <v>1</v>
      </c>
      <c r="Q875" s="105">
        <v>2200000</v>
      </c>
      <c r="R875" s="103">
        <v>48</v>
      </c>
      <c r="S875" s="105">
        <v>45833.333333333299</v>
      </c>
      <c r="T875" s="105">
        <v>870833.33333333302</v>
      </c>
      <c r="U875" s="105">
        <v>45833.333333333299</v>
      </c>
      <c r="V875" s="105">
        <v>45833.333333333299</v>
      </c>
      <c r="W875" s="105">
        <v>45833.333333333299</v>
      </c>
      <c r="X875" s="105">
        <v>45833.333333333299</v>
      </c>
      <c r="Y875" s="105">
        <v>45833.333333333299</v>
      </c>
      <c r="Z875" s="105">
        <v>45833.333333333299</v>
      </c>
      <c r="AA875" s="105">
        <v>45833.333333333299</v>
      </c>
      <c r="AB875" s="105">
        <v>45833.333333333299</v>
      </c>
      <c r="AC875" s="8">
        <f t="shared" si="91"/>
        <v>1237499.9999999995</v>
      </c>
      <c r="AD875" s="8">
        <f t="shared" si="92"/>
        <v>962500.00000000047</v>
      </c>
      <c r="AE875" s="8">
        <f t="shared" si="93"/>
        <v>45833.333333333299</v>
      </c>
      <c r="AF875" s="106">
        <f t="shared" si="94"/>
        <v>21.000000000000025</v>
      </c>
      <c r="AG875" s="8">
        <f t="shared" si="95"/>
        <v>45833.333333333299</v>
      </c>
      <c r="AH875" s="8">
        <f>IF($O875="Aktif",MAX(0,MIN($AE875,$AD875-SUM($AG875:AG875))),0)</f>
        <v>45833.333333333299</v>
      </c>
      <c r="AI875" s="8">
        <f>IF($O875="Aktif",MAX(0,MIN($AE875,$AD875-SUM($AG875:AH875))),0)</f>
        <v>45833.333333333299</v>
      </c>
      <c r="AJ875" s="8">
        <f>IF($O875="Aktif",MAX(0,MIN($AE875,$AD875-SUM($AG875:AI875))),0)</f>
        <v>45833.333333333299</v>
      </c>
      <c r="AK875" s="8">
        <f>IF($O875="Aktif",MAX(0,MIN($AE875,$AD875-SUM($AG875:AJ875))),0)</f>
        <v>45833.333333333299</v>
      </c>
      <c r="AL875" s="8">
        <f>IF($O875="Aktif",MAX(0,MIN($AE875,$AD875-SUM($AG875:AK875))),0)</f>
        <v>45833.333333333299</v>
      </c>
      <c r="AM875" s="8">
        <f>IF($O875="Aktif",MAX(0,MIN($AE875,$AD875-SUM($AG875:AL875))),0)</f>
        <v>45833.333333333299</v>
      </c>
      <c r="AN875" s="8">
        <f>IF($O875="Aktif",MAX(0,MIN($AE875,$AD875-SUM($AG875:AM875))),0)</f>
        <v>45833.333333333299</v>
      </c>
      <c r="AO875" s="8">
        <f>IF($O875="Aktif",MAX(0,MIN($AE875,$AD875-SUM($AG875:AN875))),0)</f>
        <v>45833.333333333299</v>
      </c>
      <c r="AP875" s="8">
        <f>IF($O875="Aktif",MAX(0,MIN($AE875,$AD875-SUM($AG875:AO875))),0)</f>
        <v>45833.333333333299</v>
      </c>
      <c r="AQ875" s="8">
        <f>IF($O875="Aktif",MAX(0,MIN($AE875,$AD875-SUM($AG875:AP875))),0)</f>
        <v>45833.333333333299</v>
      </c>
      <c r="AR875" s="8">
        <f>IF($O875="Aktif",MAX(0,MIN($AE875,$AD875-SUM($AG875:AQ875))),0)</f>
        <v>45833.333333333299</v>
      </c>
      <c r="AS875" s="8">
        <f>IF($O875="Aktif",MAX(0,MIN($AE875,$AD875-SUM($AG875:AR875))),0)</f>
        <v>45833.333333333299</v>
      </c>
      <c r="AT875" s="8">
        <f>IF($O875="Aktif",MAX(0,MIN($AE875,$AD875-SUM($AG875:AS875))),0)</f>
        <v>45833.333333333299</v>
      </c>
      <c r="AU875" s="8">
        <f>IF($O875="Aktif",MAX(0,MIN($AE875,$AD875-SUM($AG875:AT875))),0)</f>
        <v>45833.333333333299</v>
      </c>
      <c r="AV875" s="8">
        <f>IF($O875="Aktif",MAX(0,MIN($AE875,$AD875-SUM($AG875:AU875))),0)</f>
        <v>45833.333333333299</v>
      </c>
      <c r="AW875" s="8">
        <f t="shared" si="96"/>
        <v>733333.33333333267</v>
      </c>
      <c r="AX875" s="8">
        <f t="shared" si="97"/>
        <v>229166.66666666779</v>
      </c>
    </row>
    <row r="876" spans="1:50" ht="15" customHeight="1" x14ac:dyDescent="0.35">
      <c r="A876" s="102">
        <v>870</v>
      </c>
      <c r="B876" s="102" t="s">
        <v>1326</v>
      </c>
      <c r="C876" s="103">
        <v>504</v>
      </c>
      <c r="D876" s="102" t="s">
        <v>185</v>
      </c>
      <c r="E876" s="102" t="s">
        <v>479</v>
      </c>
      <c r="F876" s="102" t="s">
        <v>2332</v>
      </c>
      <c r="G876" s="102" t="s">
        <v>2333</v>
      </c>
      <c r="H876" s="102" t="s">
        <v>2334</v>
      </c>
      <c r="I876" s="102" t="s">
        <v>63</v>
      </c>
      <c r="J876" s="102"/>
      <c r="K876" s="102" t="s">
        <v>2684</v>
      </c>
      <c r="L876" s="102" t="s">
        <v>1121</v>
      </c>
      <c r="M876" s="102" t="s">
        <v>2685</v>
      </c>
      <c r="N876" s="102"/>
      <c r="O876" s="102" t="s">
        <v>383</v>
      </c>
      <c r="P876" s="103">
        <v>1</v>
      </c>
      <c r="Q876" s="105">
        <v>2200000</v>
      </c>
      <c r="R876" s="103">
        <v>48</v>
      </c>
      <c r="S876" s="105">
        <v>45833.333333333299</v>
      </c>
      <c r="T876" s="105">
        <v>870833.33333333302</v>
      </c>
      <c r="U876" s="105">
        <v>45833.333333333299</v>
      </c>
      <c r="V876" s="105">
        <v>45833.333333333299</v>
      </c>
      <c r="W876" s="105">
        <v>45833.333333333299</v>
      </c>
      <c r="X876" s="105">
        <v>45833.333333333299</v>
      </c>
      <c r="Y876" s="105">
        <v>45833.333333333299</v>
      </c>
      <c r="Z876" s="105">
        <v>45833.333333333299</v>
      </c>
      <c r="AA876" s="105">
        <v>45833.333333333299</v>
      </c>
      <c r="AB876" s="105">
        <v>45833.333333333299</v>
      </c>
      <c r="AC876" s="8">
        <f t="shared" si="91"/>
        <v>1237499.9999999995</v>
      </c>
      <c r="AD876" s="8">
        <f t="shared" si="92"/>
        <v>962500.00000000047</v>
      </c>
      <c r="AE876" s="8">
        <f t="shared" si="93"/>
        <v>45833.333333333299</v>
      </c>
      <c r="AF876" s="106">
        <f t="shared" si="94"/>
        <v>21.000000000000025</v>
      </c>
      <c r="AG876" s="8">
        <f t="shared" si="95"/>
        <v>45833.333333333299</v>
      </c>
      <c r="AH876" s="8">
        <f>IF($O876="Aktif",MAX(0,MIN($AE876,$AD876-SUM($AG876:AG876))),0)</f>
        <v>45833.333333333299</v>
      </c>
      <c r="AI876" s="8">
        <f>IF($O876="Aktif",MAX(0,MIN($AE876,$AD876-SUM($AG876:AH876))),0)</f>
        <v>45833.333333333299</v>
      </c>
      <c r="AJ876" s="8">
        <f>IF($O876="Aktif",MAX(0,MIN($AE876,$AD876-SUM($AG876:AI876))),0)</f>
        <v>45833.333333333299</v>
      </c>
      <c r="AK876" s="8">
        <f>IF($O876="Aktif",MAX(0,MIN($AE876,$AD876-SUM($AG876:AJ876))),0)</f>
        <v>45833.333333333299</v>
      </c>
      <c r="AL876" s="8">
        <f>IF($O876="Aktif",MAX(0,MIN($AE876,$AD876-SUM($AG876:AK876))),0)</f>
        <v>45833.333333333299</v>
      </c>
      <c r="AM876" s="8">
        <f>IF($O876="Aktif",MAX(0,MIN($AE876,$AD876-SUM($AG876:AL876))),0)</f>
        <v>45833.333333333299</v>
      </c>
      <c r="AN876" s="8">
        <f>IF($O876="Aktif",MAX(0,MIN($AE876,$AD876-SUM($AG876:AM876))),0)</f>
        <v>45833.333333333299</v>
      </c>
      <c r="AO876" s="8">
        <f>IF($O876="Aktif",MAX(0,MIN($AE876,$AD876-SUM($AG876:AN876))),0)</f>
        <v>45833.333333333299</v>
      </c>
      <c r="AP876" s="8">
        <f>IF($O876="Aktif",MAX(0,MIN($AE876,$AD876-SUM($AG876:AO876))),0)</f>
        <v>45833.333333333299</v>
      </c>
      <c r="AQ876" s="8">
        <f>IF($O876="Aktif",MAX(0,MIN($AE876,$AD876-SUM($AG876:AP876))),0)</f>
        <v>45833.333333333299</v>
      </c>
      <c r="AR876" s="8">
        <f>IF($O876="Aktif",MAX(0,MIN($AE876,$AD876-SUM($AG876:AQ876))),0)</f>
        <v>45833.333333333299</v>
      </c>
      <c r="AS876" s="8">
        <f>IF($O876="Aktif",MAX(0,MIN($AE876,$AD876-SUM($AG876:AR876))),0)</f>
        <v>45833.333333333299</v>
      </c>
      <c r="AT876" s="8">
        <f>IF($O876="Aktif",MAX(0,MIN($AE876,$AD876-SUM($AG876:AS876))),0)</f>
        <v>45833.333333333299</v>
      </c>
      <c r="AU876" s="8">
        <f>IF($O876="Aktif",MAX(0,MIN($AE876,$AD876-SUM($AG876:AT876))),0)</f>
        <v>45833.333333333299</v>
      </c>
      <c r="AV876" s="8">
        <f>IF($O876="Aktif",MAX(0,MIN($AE876,$AD876-SUM($AG876:AU876))),0)</f>
        <v>45833.333333333299</v>
      </c>
      <c r="AW876" s="8">
        <f t="shared" si="96"/>
        <v>733333.33333333267</v>
      </c>
      <c r="AX876" s="8">
        <f t="shared" si="97"/>
        <v>229166.66666666779</v>
      </c>
    </row>
    <row r="877" spans="1:50" ht="15" customHeight="1" x14ac:dyDescent="0.35">
      <c r="A877" s="102">
        <v>871</v>
      </c>
      <c r="B877" s="102" t="s">
        <v>1326</v>
      </c>
      <c r="C877" s="103">
        <v>505</v>
      </c>
      <c r="D877" s="102" t="s">
        <v>185</v>
      </c>
      <c r="E877" s="102" t="s">
        <v>479</v>
      </c>
      <c r="F877" s="102" t="s">
        <v>2332</v>
      </c>
      <c r="G877" s="102" t="s">
        <v>2333</v>
      </c>
      <c r="H877" s="102" t="s">
        <v>2334</v>
      </c>
      <c r="I877" s="102" t="s">
        <v>63</v>
      </c>
      <c r="J877" s="102"/>
      <c r="K877" s="102" t="s">
        <v>2686</v>
      </c>
      <c r="L877" s="102" t="s">
        <v>1121</v>
      </c>
      <c r="M877" s="102" t="s">
        <v>2687</v>
      </c>
      <c r="N877" s="102"/>
      <c r="O877" s="102" t="s">
        <v>383</v>
      </c>
      <c r="P877" s="103">
        <v>1</v>
      </c>
      <c r="Q877" s="105">
        <v>2200000</v>
      </c>
      <c r="R877" s="103">
        <v>48</v>
      </c>
      <c r="S877" s="105">
        <v>45833.333333333299</v>
      </c>
      <c r="T877" s="105">
        <v>870833.33333333302</v>
      </c>
      <c r="U877" s="105">
        <v>45833.333333333299</v>
      </c>
      <c r="V877" s="105">
        <v>45833.333333333299</v>
      </c>
      <c r="W877" s="105">
        <v>45833.333333333299</v>
      </c>
      <c r="X877" s="105">
        <v>45833.333333333299</v>
      </c>
      <c r="Y877" s="105">
        <v>45833.333333333299</v>
      </c>
      <c r="Z877" s="105">
        <v>45833.333333333299</v>
      </c>
      <c r="AA877" s="105">
        <v>45833.333333333299</v>
      </c>
      <c r="AB877" s="105">
        <v>45833.333333333299</v>
      </c>
      <c r="AC877" s="8">
        <f t="shared" si="91"/>
        <v>1237499.9999999995</v>
      </c>
      <c r="AD877" s="8">
        <f t="shared" si="92"/>
        <v>962500.00000000047</v>
      </c>
      <c r="AE877" s="8">
        <f t="shared" si="93"/>
        <v>45833.333333333299</v>
      </c>
      <c r="AF877" s="106">
        <f t="shared" si="94"/>
        <v>21.000000000000025</v>
      </c>
      <c r="AG877" s="8">
        <f t="shared" si="95"/>
        <v>45833.333333333299</v>
      </c>
      <c r="AH877" s="8">
        <f>IF($O877="Aktif",MAX(0,MIN($AE877,$AD877-SUM($AG877:AG877))),0)</f>
        <v>45833.333333333299</v>
      </c>
      <c r="AI877" s="8">
        <f>IF($O877="Aktif",MAX(0,MIN($AE877,$AD877-SUM($AG877:AH877))),0)</f>
        <v>45833.333333333299</v>
      </c>
      <c r="AJ877" s="8">
        <f>IF($O877="Aktif",MAX(0,MIN($AE877,$AD877-SUM($AG877:AI877))),0)</f>
        <v>45833.333333333299</v>
      </c>
      <c r="AK877" s="8">
        <f>IF($O877="Aktif",MAX(0,MIN($AE877,$AD877-SUM($AG877:AJ877))),0)</f>
        <v>45833.333333333299</v>
      </c>
      <c r="AL877" s="8">
        <f>IF($O877="Aktif",MAX(0,MIN($AE877,$AD877-SUM($AG877:AK877))),0)</f>
        <v>45833.333333333299</v>
      </c>
      <c r="AM877" s="8">
        <f>IF($O877="Aktif",MAX(0,MIN($AE877,$AD877-SUM($AG877:AL877))),0)</f>
        <v>45833.333333333299</v>
      </c>
      <c r="AN877" s="8">
        <f>IF($O877="Aktif",MAX(0,MIN($AE877,$AD877-SUM($AG877:AM877))),0)</f>
        <v>45833.333333333299</v>
      </c>
      <c r="AO877" s="8">
        <f>IF($O877="Aktif",MAX(0,MIN($AE877,$AD877-SUM($AG877:AN877))),0)</f>
        <v>45833.333333333299</v>
      </c>
      <c r="AP877" s="8">
        <f>IF($O877="Aktif",MAX(0,MIN($AE877,$AD877-SUM($AG877:AO877))),0)</f>
        <v>45833.333333333299</v>
      </c>
      <c r="AQ877" s="8">
        <f>IF($O877="Aktif",MAX(0,MIN($AE877,$AD877-SUM($AG877:AP877))),0)</f>
        <v>45833.333333333299</v>
      </c>
      <c r="AR877" s="8">
        <f>IF($O877="Aktif",MAX(0,MIN($AE877,$AD877-SUM($AG877:AQ877))),0)</f>
        <v>45833.333333333299</v>
      </c>
      <c r="AS877" s="8">
        <f>IF($O877="Aktif",MAX(0,MIN($AE877,$AD877-SUM($AG877:AR877))),0)</f>
        <v>45833.333333333299</v>
      </c>
      <c r="AT877" s="8">
        <f>IF($O877="Aktif",MAX(0,MIN($AE877,$AD877-SUM($AG877:AS877))),0)</f>
        <v>45833.333333333299</v>
      </c>
      <c r="AU877" s="8">
        <f>IF($O877="Aktif",MAX(0,MIN($AE877,$AD877-SUM($AG877:AT877))),0)</f>
        <v>45833.333333333299</v>
      </c>
      <c r="AV877" s="8">
        <f>IF($O877="Aktif",MAX(0,MIN($AE877,$AD877-SUM($AG877:AU877))),0)</f>
        <v>45833.333333333299</v>
      </c>
      <c r="AW877" s="8">
        <f t="shared" si="96"/>
        <v>733333.33333333267</v>
      </c>
      <c r="AX877" s="8">
        <f t="shared" si="97"/>
        <v>229166.66666666779</v>
      </c>
    </row>
    <row r="878" spans="1:50" ht="15" customHeight="1" x14ac:dyDescent="0.35">
      <c r="A878" s="102">
        <v>872</v>
      </c>
      <c r="B878" s="102" t="s">
        <v>1326</v>
      </c>
      <c r="C878" s="103">
        <v>506</v>
      </c>
      <c r="D878" s="102" t="s">
        <v>185</v>
      </c>
      <c r="E878" s="102" t="s">
        <v>479</v>
      </c>
      <c r="F878" s="102" t="s">
        <v>2332</v>
      </c>
      <c r="G878" s="102" t="s">
        <v>2333</v>
      </c>
      <c r="H878" s="102" t="s">
        <v>2334</v>
      </c>
      <c r="I878" s="102" t="s">
        <v>63</v>
      </c>
      <c r="J878" s="102"/>
      <c r="K878" s="102" t="s">
        <v>2688</v>
      </c>
      <c r="L878" s="102" t="s">
        <v>1121</v>
      </c>
      <c r="M878" s="102" t="s">
        <v>2689</v>
      </c>
      <c r="N878" s="102"/>
      <c r="O878" s="102" t="s">
        <v>383</v>
      </c>
      <c r="P878" s="103">
        <v>1</v>
      </c>
      <c r="Q878" s="105">
        <v>2200000</v>
      </c>
      <c r="R878" s="103">
        <v>48</v>
      </c>
      <c r="S878" s="105">
        <v>45833.333333333299</v>
      </c>
      <c r="T878" s="105">
        <v>870833.33333333302</v>
      </c>
      <c r="U878" s="105">
        <v>45833.333333333299</v>
      </c>
      <c r="V878" s="105">
        <v>45833.333333333299</v>
      </c>
      <c r="W878" s="105">
        <v>45833.333333333299</v>
      </c>
      <c r="X878" s="105">
        <v>45833.333333333299</v>
      </c>
      <c r="Y878" s="105">
        <v>45833.333333333299</v>
      </c>
      <c r="Z878" s="105">
        <v>45833.333333333299</v>
      </c>
      <c r="AA878" s="105">
        <v>45833.333333333299</v>
      </c>
      <c r="AB878" s="105">
        <v>45833.333333333299</v>
      </c>
      <c r="AC878" s="8">
        <f t="shared" si="91"/>
        <v>1237499.9999999995</v>
      </c>
      <c r="AD878" s="8">
        <f t="shared" si="92"/>
        <v>962500.00000000047</v>
      </c>
      <c r="AE878" s="8">
        <f t="shared" si="93"/>
        <v>45833.333333333299</v>
      </c>
      <c r="AF878" s="106">
        <f t="shared" si="94"/>
        <v>21.000000000000025</v>
      </c>
      <c r="AG878" s="8">
        <f t="shared" si="95"/>
        <v>45833.333333333299</v>
      </c>
      <c r="AH878" s="8">
        <f>IF($O878="Aktif",MAX(0,MIN($AE878,$AD878-SUM($AG878:AG878))),0)</f>
        <v>45833.333333333299</v>
      </c>
      <c r="AI878" s="8">
        <f>IF($O878="Aktif",MAX(0,MIN($AE878,$AD878-SUM($AG878:AH878))),0)</f>
        <v>45833.333333333299</v>
      </c>
      <c r="AJ878" s="8">
        <f>IF($O878="Aktif",MAX(0,MIN($AE878,$AD878-SUM($AG878:AI878))),0)</f>
        <v>45833.333333333299</v>
      </c>
      <c r="AK878" s="8">
        <f>IF($O878="Aktif",MAX(0,MIN($AE878,$AD878-SUM($AG878:AJ878))),0)</f>
        <v>45833.333333333299</v>
      </c>
      <c r="AL878" s="8">
        <f>IF($O878="Aktif",MAX(0,MIN($AE878,$AD878-SUM($AG878:AK878))),0)</f>
        <v>45833.333333333299</v>
      </c>
      <c r="AM878" s="8">
        <f>IF($O878="Aktif",MAX(0,MIN($AE878,$AD878-SUM($AG878:AL878))),0)</f>
        <v>45833.333333333299</v>
      </c>
      <c r="AN878" s="8">
        <f>IF($O878="Aktif",MAX(0,MIN($AE878,$AD878-SUM($AG878:AM878))),0)</f>
        <v>45833.333333333299</v>
      </c>
      <c r="AO878" s="8">
        <f>IF($O878="Aktif",MAX(0,MIN($AE878,$AD878-SUM($AG878:AN878))),0)</f>
        <v>45833.333333333299</v>
      </c>
      <c r="AP878" s="8">
        <f>IF($O878="Aktif",MAX(0,MIN($AE878,$AD878-SUM($AG878:AO878))),0)</f>
        <v>45833.333333333299</v>
      </c>
      <c r="AQ878" s="8">
        <f>IF($O878="Aktif",MAX(0,MIN($AE878,$AD878-SUM($AG878:AP878))),0)</f>
        <v>45833.333333333299</v>
      </c>
      <c r="AR878" s="8">
        <f>IF($O878="Aktif",MAX(0,MIN($AE878,$AD878-SUM($AG878:AQ878))),0)</f>
        <v>45833.333333333299</v>
      </c>
      <c r="AS878" s="8">
        <f>IF($O878="Aktif",MAX(0,MIN($AE878,$AD878-SUM($AG878:AR878))),0)</f>
        <v>45833.333333333299</v>
      </c>
      <c r="AT878" s="8">
        <f>IF($O878="Aktif",MAX(0,MIN($AE878,$AD878-SUM($AG878:AS878))),0)</f>
        <v>45833.333333333299</v>
      </c>
      <c r="AU878" s="8">
        <f>IF($O878="Aktif",MAX(0,MIN($AE878,$AD878-SUM($AG878:AT878))),0)</f>
        <v>45833.333333333299</v>
      </c>
      <c r="AV878" s="8">
        <f>IF($O878="Aktif",MAX(0,MIN($AE878,$AD878-SUM($AG878:AU878))),0)</f>
        <v>45833.333333333299</v>
      </c>
      <c r="AW878" s="8">
        <f t="shared" si="96"/>
        <v>733333.33333333267</v>
      </c>
      <c r="AX878" s="8">
        <f t="shared" si="97"/>
        <v>229166.66666666779</v>
      </c>
    </row>
    <row r="879" spans="1:50" ht="15" customHeight="1" x14ac:dyDescent="0.35">
      <c r="A879" s="102">
        <v>873</v>
      </c>
      <c r="B879" s="102" t="s">
        <v>1326</v>
      </c>
      <c r="C879" s="103">
        <v>507</v>
      </c>
      <c r="D879" s="102" t="s">
        <v>185</v>
      </c>
      <c r="E879" s="102" t="s">
        <v>479</v>
      </c>
      <c r="F879" s="102" t="s">
        <v>2332</v>
      </c>
      <c r="G879" s="102" t="s">
        <v>2333</v>
      </c>
      <c r="H879" s="102" t="s">
        <v>2334</v>
      </c>
      <c r="I879" s="102" t="s">
        <v>63</v>
      </c>
      <c r="J879" s="102"/>
      <c r="K879" s="102" t="s">
        <v>2690</v>
      </c>
      <c r="L879" s="102" t="s">
        <v>1121</v>
      </c>
      <c r="M879" s="102" t="s">
        <v>2691</v>
      </c>
      <c r="N879" s="102"/>
      <c r="O879" s="102" t="s">
        <v>383</v>
      </c>
      <c r="P879" s="103">
        <v>1</v>
      </c>
      <c r="Q879" s="105">
        <v>2200000</v>
      </c>
      <c r="R879" s="103">
        <v>48</v>
      </c>
      <c r="S879" s="105">
        <v>45833.333333333299</v>
      </c>
      <c r="T879" s="105">
        <v>870833.33333333302</v>
      </c>
      <c r="U879" s="105">
        <v>45833.333333333299</v>
      </c>
      <c r="V879" s="105">
        <v>45833.333333333299</v>
      </c>
      <c r="W879" s="105">
        <v>45833.333333333299</v>
      </c>
      <c r="X879" s="105">
        <v>45833.333333333299</v>
      </c>
      <c r="Y879" s="105">
        <v>45833.333333333299</v>
      </c>
      <c r="Z879" s="105">
        <v>45833.333333333299</v>
      </c>
      <c r="AA879" s="105">
        <v>45833.333333333299</v>
      </c>
      <c r="AB879" s="105">
        <v>45833.333333333299</v>
      </c>
      <c r="AC879" s="8">
        <f t="shared" si="91"/>
        <v>1237499.9999999995</v>
      </c>
      <c r="AD879" s="8">
        <f t="shared" si="92"/>
        <v>962500.00000000047</v>
      </c>
      <c r="AE879" s="8">
        <f t="shared" si="93"/>
        <v>45833.333333333299</v>
      </c>
      <c r="AF879" s="106">
        <f t="shared" si="94"/>
        <v>21.000000000000025</v>
      </c>
      <c r="AG879" s="8">
        <f t="shared" si="95"/>
        <v>45833.333333333299</v>
      </c>
      <c r="AH879" s="8">
        <f>IF($O879="Aktif",MAX(0,MIN($AE879,$AD879-SUM($AG879:AG879))),0)</f>
        <v>45833.333333333299</v>
      </c>
      <c r="AI879" s="8">
        <f>IF($O879="Aktif",MAX(0,MIN($AE879,$AD879-SUM($AG879:AH879))),0)</f>
        <v>45833.333333333299</v>
      </c>
      <c r="AJ879" s="8">
        <f>IF($O879="Aktif",MAX(0,MIN($AE879,$AD879-SUM($AG879:AI879))),0)</f>
        <v>45833.333333333299</v>
      </c>
      <c r="AK879" s="8">
        <f>IF($O879="Aktif",MAX(0,MIN($AE879,$AD879-SUM($AG879:AJ879))),0)</f>
        <v>45833.333333333299</v>
      </c>
      <c r="AL879" s="8">
        <f>IF($O879="Aktif",MAX(0,MIN($AE879,$AD879-SUM($AG879:AK879))),0)</f>
        <v>45833.333333333299</v>
      </c>
      <c r="AM879" s="8">
        <f>IF($O879="Aktif",MAX(0,MIN($AE879,$AD879-SUM($AG879:AL879))),0)</f>
        <v>45833.333333333299</v>
      </c>
      <c r="AN879" s="8">
        <f>IF($O879="Aktif",MAX(0,MIN($AE879,$AD879-SUM($AG879:AM879))),0)</f>
        <v>45833.333333333299</v>
      </c>
      <c r="AO879" s="8">
        <f>IF($O879="Aktif",MAX(0,MIN($AE879,$AD879-SUM($AG879:AN879))),0)</f>
        <v>45833.333333333299</v>
      </c>
      <c r="AP879" s="8">
        <f>IF($O879="Aktif",MAX(0,MIN($AE879,$AD879-SUM($AG879:AO879))),0)</f>
        <v>45833.333333333299</v>
      </c>
      <c r="AQ879" s="8">
        <f>IF($O879="Aktif",MAX(0,MIN($AE879,$AD879-SUM($AG879:AP879))),0)</f>
        <v>45833.333333333299</v>
      </c>
      <c r="AR879" s="8">
        <f>IF($O879="Aktif",MAX(0,MIN($AE879,$AD879-SUM($AG879:AQ879))),0)</f>
        <v>45833.333333333299</v>
      </c>
      <c r="AS879" s="8">
        <f>IF($O879="Aktif",MAX(0,MIN($AE879,$AD879-SUM($AG879:AR879))),0)</f>
        <v>45833.333333333299</v>
      </c>
      <c r="AT879" s="8">
        <f>IF($O879="Aktif",MAX(0,MIN($AE879,$AD879-SUM($AG879:AS879))),0)</f>
        <v>45833.333333333299</v>
      </c>
      <c r="AU879" s="8">
        <f>IF($O879="Aktif",MAX(0,MIN($AE879,$AD879-SUM($AG879:AT879))),0)</f>
        <v>45833.333333333299</v>
      </c>
      <c r="AV879" s="8">
        <f>IF($O879="Aktif",MAX(0,MIN($AE879,$AD879-SUM($AG879:AU879))),0)</f>
        <v>45833.333333333299</v>
      </c>
      <c r="AW879" s="8">
        <f t="shared" si="96"/>
        <v>733333.33333333267</v>
      </c>
      <c r="AX879" s="8">
        <f t="shared" si="97"/>
        <v>229166.66666666779</v>
      </c>
    </row>
    <row r="880" spans="1:50" ht="15" customHeight="1" x14ac:dyDescent="0.35">
      <c r="A880" s="102">
        <v>874</v>
      </c>
      <c r="B880" s="102" t="s">
        <v>1326</v>
      </c>
      <c r="C880" s="103">
        <v>508</v>
      </c>
      <c r="D880" s="102" t="s">
        <v>185</v>
      </c>
      <c r="E880" s="102" t="s">
        <v>479</v>
      </c>
      <c r="F880" s="102" t="s">
        <v>2332</v>
      </c>
      <c r="G880" s="102" t="s">
        <v>2333</v>
      </c>
      <c r="H880" s="102" t="s">
        <v>2334</v>
      </c>
      <c r="I880" s="102" t="s">
        <v>63</v>
      </c>
      <c r="J880" s="102"/>
      <c r="K880" s="102" t="s">
        <v>2692</v>
      </c>
      <c r="L880" s="102" t="s">
        <v>2621</v>
      </c>
      <c r="M880" s="102" t="s">
        <v>2693</v>
      </c>
      <c r="N880" s="102"/>
      <c r="O880" s="102" t="s">
        <v>383</v>
      </c>
      <c r="P880" s="103">
        <v>1</v>
      </c>
      <c r="Q880" s="105">
        <v>1125000</v>
      </c>
      <c r="R880" s="103">
        <v>48</v>
      </c>
      <c r="S880" s="105">
        <v>23437.5</v>
      </c>
      <c r="T880" s="105">
        <v>445312.5</v>
      </c>
      <c r="U880" s="105">
        <v>23437.5</v>
      </c>
      <c r="V880" s="105">
        <v>23437.5</v>
      </c>
      <c r="W880" s="105">
        <v>23437.5</v>
      </c>
      <c r="X880" s="105">
        <v>23437.5</v>
      </c>
      <c r="Y880" s="105">
        <v>23437.5</v>
      </c>
      <c r="Z880" s="105">
        <v>23437.5</v>
      </c>
      <c r="AA880" s="105">
        <v>23437.5</v>
      </c>
      <c r="AB880" s="105">
        <v>23437.5</v>
      </c>
      <c r="AC880" s="8">
        <f t="shared" si="91"/>
        <v>632812.5</v>
      </c>
      <c r="AD880" s="8">
        <f t="shared" si="92"/>
        <v>492187.5</v>
      </c>
      <c r="AE880" s="8">
        <f t="shared" si="93"/>
        <v>23437.5</v>
      </c>
      <c r="AF880" s="106">
        <f t="shared" si="94"/>
        <v>21</v>
      </c>
      <c r="AG880" s="8">
        <f t="shared" si="95"/>
        <v>23437.5</v>
      </c>
      <c r="AH880" s="8">
        <f>IF($O880="Aktif",MAX(0,MIN($AE880,$AD880-SUM($AG880:AG880))),0)</f>
        <v>23437.5</v>
      </c>
      <c r="AI880" s="8">
        <f>IF($O880="Aktif",MAX(0,MIN($AE880,$AD880-SUM($AG880:AH880))),0)</f>
        <v>23437.5</v>
      </c>
      <c r="AJ880" s="8">
        <f>IF($O880="Aktif",MAX(0,MIN($AE880,$AD880-SUM($AG880:AI880))),0)</f>
        <v>23437.5</v>
      </c>
      <c r="AK880" s="8">
        <f>IF($O880="Aktif",MAX(0,MIN($AE880,$AD880-SUM($AG880:AJ880))),0)</f>
        <v>23437.5</v>
      </c>
      <c r="AL880" s="8">
        <f>IF($O880="Aktif",MAX(0,MIN($AE880,$AD880-SUM($AG880:AK880))),0)</f>
        <v>23437.5</v>
      </c>
      <c r="AM880" s="8">
        <f>IF($O880="Aktif",MAX(0,MIN($AE880,$AD880-SUM($AG880:AL880))),0)</f>
        <v>23437.5</v>
      </c>
      <c r="AN880" s="8">
        <f>IF($O880="Aktif",MAX(0,MIN($AE880,$AD880-SUM($AG880:AM880))),0)</f>
        <v>23437.5</v>
      </c>
      <c r="AO880" s="8">
        <f>IF($O880="Aktif",MAX(0,MIN($AE880,$AD880-SUM($AG880:AN880))),0)</f>
        <v>23437.5</v>
      </c>
      <c r="AP880" s="8">
        <f>IF($O880="Aktif",MAX(0,MIN($AE880,$AD880-SUM($AG880:AO880))),0)</f>
        <v>23437.5</v>
      </c>
      <c r="AQ880" s="8">
        <f>IF($O880="Aktif",MAX(0,MIN($AE880,$AD880-SUM($AG880:AP880))),0)</f>
        <v>23437.5</v>
      </c>
      <c r="AR880" s="8">
        <f>IF($O880="Aktif",MAX(0,MIN($AE880,$AD880-SUM($AG880:AQ880))),0)</f>
        <v>23437.5</v>
      </c>
      <c r="AS880" s="8">
        <f>IF($O880="Aktif",MAX(0,MIN($AE880,$AD880-SUM($AG880:AR880))),0)</f>
        <v>23437.5</v>
      </c>
      <c r="AT880" s="8">
        <f>IF($O880="Aktif",MAX(0,MIN($AE880,$AD880-SUM($AG880:AS880))),0)</f>
        <v>23437.5</v>
      </c>
      <c r="AU880" s="8">
        <f>IF($O880="Aktif",MAX(0,MIN($AE880,$AD880-SUM($AG880:AT880))),0)</f>
        <v>23437.5</v>
      </c>
      <c r="AV880" s="8">
        <f>IF($O880="Aktif",MAX(0,MIN($AE880,$AD880-SUM($AG880:AU880))),0)</f>
        <v>23437.5</v>
      </c>
      <c r="AW880" s="8">
        <f t="shared" si="96"/>
        <v>375000</v>
      </c>
      <c r="AX880" s="8">
        <f t="shared" si="97"/>
        <v>117187.5</v>
      </c>
    </row>
    <row r="881" spans="1:50" ht="15" customHeight="1" x14ac:dyDescent="0.35">
      <c r="A881" s="102">
        <v>875</v>
      </c>
      <c r="B881" s="102" t="s">
        <v>1326</v>
      </c>
      <c r="C881" s="103">
        <v>509</v>
      </c>
      <c r="D881" s="102" t="s">
        <v>185</v>
      </c>
      <c r="E881" s="102" t="s">
        <v>479</v>
      </c>
      <c r="F881" s="102" t="s">
        <v>2332</v>
      </c>
      <c r="G881" s="102" t="s">
        <v>2333</v>
      </c>
      <c r="H881" s="102" t="s">
        <v>2334</v>
      </c>
      <c r="I881" s="102" t="s">
        <v>63</v>
      </c>
      <c r="J881" s="102"/>
      <c r="K881" s="102" t="s">
        <v>2694</v>
      </c>
      <c r="L881" s="104">
        <v>45488</v>
      </c>
      <c r="M881" s="102" t="s">
        <v>2695</v>
      </c>
      <c r="N881" s="102" t="s">
        <v>2695</v>
      </c>
      <c r="O881" s="102" t="s">
        <v>383</v>
      </c>
      <c r="P881" s="103">
        <v>1</v>
      </c>
      <c r="Q881" s="105">
        <v>6500000</v>
      </c>
      <c r="R881" s="103">
        <v>48</v>
      </c>
      <c r="S881" s="105">
        <v>135416.66666666701</v>
      </c>
      <c r="T881" s="105">
        <v>2437500</v>
      </c>
      <c r="U881" s="105">
        <v>135416.66666666701</v>
      </c>
      <c r="V881" s="105">
        <v>135416.66666666701</v>
      </c>
      <c r="W881" s="105">
        <v>135416.66666666701</v>
      </c>
      <c r="X881" s="105">
        <v>135416.66666666701</v>
      </c>
      <c r="Y881" s="105">
        <v>135416.66666666701</v>
      </c>
      <c r="Z881" s="105">
        <v>135416.66666666701</v>
      </c>
      <c r="AA881" s="105">
        <v>135416.66666666701</v>
      </c>
      <c r="AB881" s="105">
        <v>135416.66666666701</v>
      </c>
      <c r="AC881" s="8">
        <f t="shared" si="91"/>
        <v>3520833.3333333358</v>
      </c>
      <c r="AD881" s="8">
        <f t="shared" si="92"/>
        <v>2979166.6666666642</v>
      </c>
      <c r="AE881" s="8">
        <f t="shared" si="93"/>
        <v>135416.66666666701</v>
      </c>
      <c r="AF881" s="106">
        <f t="shared" si="94"/>
        <v>21.999999999999925</v>
      </c>
      <c r="AG881" s="8">
        <f t="shared" si="95"/>
        <v>135416.66666666701</v>
      </c>
      <c r="AH881" s="8">
        <f>IF($O881="Aktif",MAX(0,MIN($AE881,$AD881-SUM($AG881:AG881))),0)</f>
        <v>135416.66666666701</v>
      </c>
      <c r="AI881" s="8">
        <f>IF($O881="Aktif",MAX(0,MIN($AE881,$AD881-SUM($AG881:AH881))),0)</f>
        <v>135416.66666666701</v>
      </c>
      <c r="AJ881" s="8">
        <f>IF($O881="Aktif",MAX(0,MIN($AE881,$AD881-SUM($AG881:AI881))),0)</f>
        <v>135416.66666666701</v>
      </c>
      <c r="AK881" s="8">
        <f>IF($O881="Aktif",MAX(0,MIN($AE881,$AD881-SUM($AG881:AJ881))),0)</f>
        <v>135416.66666666701</v>
      </c>
      <c r="AL881" s="8">
        <f>IF($O881="Aktif",MAX(0,MIN($AE881,$AD881-SUM($AG881:AK881))),0)</f>
        <v>135416.66666666701</v>
      </c>
      <c r="AM881" s="8">
        <f>IF($O881="Aktif",MAX(0,MIN($AE881,$AD881-SUM($AG881:AL881))),0)</f>
        <v>135416.66666666701</v>
      </c>
      <c r="AN881" s="8">
        <f>IF($O881="Aktif",MAX(0,MIN($AE881,$AD881-SUM($AG881:AM881))),0)</f>
        <v>135416.66666666701</v>
      </c>
      <c r="AO881" s="8">
        <f>IF($O881="Aktif",MAX(0,MIN($AE881,$AD881-SUM($AG881:AN881))),0)</f>
        <v>135416.66666666701</v>
      </c>
      <c r="AP881" s="8">
        <f>IF($O881="Aktif",MAX(0,MIN($AE881,$AD881-SUM($AG881:AO881))),0)</f>
        <v>135416.66666666701</v>
      </c>
      <c r="AQ881" s="8">
        <f>IF($O881="Aktif",MAX(0,MIN($AE881,$AD881-SUM($AG881:AP881))),0)</f>
        <v>135416.66666666701</v>
      </c>
      <c r="AR881" s="8">
        <f>IF($O881="Aktif",MAX(0,MIN($AE881,$AD881-SUM($AG881:AQ881))),0)</f>
        <v>135416.66666666701</v>
      </c>
      <c r="AS881" s="8">
        <f>IF($O881="Aktif",MAX(0,MIN($AE881,$AD881-SUM($AG881:AR881))),0)</f>
        <v>135416.66666666701</v>
      </c>
      <c r="AT881" s="8">
        <f>IF($O881="Aktif",MAX(0,MIN($AE881,$AD881-SUM($AG881:AS881))),0)</f>
        <v>135416.66666666701</v>
      </c>
      <c r="AU881" s="8">
        <f>IF($O881="Aktif",MAX(0,MIN($AE881,$AD881-SUM($AG881:AT881))),0)</f>
        <v>135416.66666666701</v>
      </c>
      <c r="AV881" s="8">
        <f>IF($O881="Aktif",MAX(0,MIN($AE881,$AD881-SUM($AG881:AU881))),0)</f>
        <v>135416.66666666701</v>
      </c>
      <c r="AW881" s="8">
        <f t="shared" si="96"/>
        <v>2166666.6666666721</v>
      </c>
      <c r="AX881" s="8">
        <f t="shared" si="97"/>
        <v>812499.99999999208</v>
      </c>
    </row>
    <row r="882" spans="1:50" ht="15" customHeight="1" x14ac:dyDescent="0.35">
      <c r="A882" s="102">
        <v>876</v>
      </c>
      <c r="B882" s="102" t="s">
        <v>1326</v>
      </c>
      <c r="C882" s="103">
        <v>510</v>
      </c>
      <c r="D882" s="102" t="s">
        <v>185</v>
      </c>
      <c r="E882" s="102" t="s">
        <v>479</v>
      </c>
      <c r="F882" s="102" t="s">
        <v>2332</v>
      </c>
      <c r="G882" s="102" t="s">
        <v>2333</v>
      </c>
      <c r="H882" s="102" t="s">
        <v>2334</v>
      </c>
      <c r="I882" s="102" t="s">
        <v>63</v>
      </c>
      <c r="J882" s="102"/>
      <c r="K882" s="102" t="s">
        <v>2696</v>
      </c>
      <c r="L882" s="104">
        <v>45488</v>
      </c>
      <c r="M882" s="102" t="s">
        <v>2697</v>
      </c>
      <c r="N882" s="102" t="s">
        <v>2697</v>
      </c>
      <c r="O882" s="102" t="s">
        <v>383</v>
      </c>
      <c r="P882" s="103">
        <v>1</v>
      </c>
      <c r="Q882" s="105">
        <v>1400000</v>
      </c>
      <c r="R882" s="103">
        <v>48</v>
      </c>
      <c r="S882" s="105">
        <v>29166.666666666701</v>
      </c>
      <c r="T882" s="105">
        <v>525000</v>
      </c>
      <c r="U882" s="105">
        <v>29166.666666666701</v>
      </c>
      <c r="V882" s="105">
        <v>29166.666666666701</v>
      </c>
      <c r="W882" s="105">
        <v>29166.666666666701</v>
      </c>
      <c r="X882" s="105">
        <v>29166.666666666701</v>
      </c>
      <c r="Y882" s="105">
        <v>29166.666666666701</v>
      </c>
      <c r="Z882" s="105">
        <v>29166.666666666701</v>
      </c>
      <c r="AA882" s="105">
        <v>29166.666666666701</v>
      </c>
      <c r="AB882" s="105">
        <v>29166.666666666701</v>
      </c>
      <c r="AC882" s="8">
        <f t="shared" si="91"/>
        <v>758333.33333333349</v>
      </c>
      <c r="AD882" s="8">
        <f t="shared" si="92"/>
        <v>641666.66666666651</v>
      </c>
      <c r="AE882" s="8">
        <f t="shared" si="93"/>
        <v>29166.666666666701</v>
      </c>
      <c r="AF882" s="106">
        <f t="shared" si="94"/>
        <v>21.999999999999968</v>
      </c>
      <c r="AG882" s="8">
        <f t="shared" si="95"/>
        <v>29166.666666666701</v>
      </c>
      <c r="AH882" s="8">
        <f>IF($O882="Aktif",MAX(0,MIN($AE882,$AD882-SUM($AG882:AG882))),0)</f>
        <v>29166.666666666701</v>
      </c>
      <c r="AI882" s="8">
        <f>IF($O882="Aktif",MAX(0,MIN($AE882,$AD882-SUM($AG882:AH882))),0)</f>
        <v>29166.666666666701</v>
      </c>
      <c r="AJ882" s="8">
        <f>IF($O882="Aktif",MAX(0,MIN($AE882,$AD882-SUM($AG882:AI882))),0)</f>
        <v>29166.666666666701</v>
      </c>
      <c r="AK882" s="8">
        <f>IF($O882="Aktif",MAX(0,MIN($AE882,$AD882-SUM($AG882:AJ882))),0)</f>
        <v>29166.666666666701</v>
      </c>
      <c r="AL882" s="8">
        <f>IF($O882="Aktif",MAX(0,MIN($AE882,$AD882-SUM($AG882:AK882))),0)</f>
        <v>29166.666666666701</v>
      </c>
      <c r="AM882" s="8">
        <f>IF($O882="Aktif",MAX(0,MIN($AE882,$AD882-SUM($AG882:AL882))),0)</f>
        <v>29166.666666666701</v>
      </c>
      <c r="AN882" s="8">
        <f>IF($O882="Aktif",MAX(0,MIN($AE882,$AD882-SUM($AG882:AM882))),0)</f>
        <v>29166.666666666701</v>
      </c>
      <c r="AO882" s="8">
        <f>IF($O882="Aktif",MAX(0,MIN($AE882,$AD882-SUM($AG882:AN882))),0)</f>
        <v>29166.666666666701</v>
      </c>
      <c r="AP882" s="8">
        <f>IF($O882="Aktif",MAX(0,MIN($AE882,$AD882-SUM($AG882:AO882))),0)</f>
        <v>29166.666666666701</v>
      </c>
      <c r="AQ882" s="8">
        <f>IF($O882="Aktif",MAX(0,MIN($AE882,$AD882-SUM($AG882:AP882))),0)</f>
        <v>29166.666666666701</v>
      </c>
      <c r="AR882" s="8">
        <f>IF($O882="Aktif",MAX(0,MIN($AE882,$AD882-SUM($AG882:AQ882))),0)</f>
        <v>29166.666666666701</v>
      </c>
      <c r="AS882" s="8">
        <f>IF($O882="Aktif",MAX(0,MIN($AE882,$AD882-SUM($AG882:AR882))),0)</f>
        <v>29166.666666666701</v>
      </c>
      <c r="AT882" s="8">
        <f>IF($O882="Aktif",MAX(0,MIN($AE882,$AD882-SUM($AG882:AS882))),0)</f>
        <v>29166.666666666701</v>
      </c>
      <c r="AU882" s="8">
        <f>IF($O882="Aktif",MAX(0,MIN($AE882,$AD882-SUM($AG882:AT882))),0)</f>
        <v>29166.666666666701</v>
      </c>
      <c r="AV882" s="8">
        <f>IF($O882="Aktif",MAX(0,MIN($AE882,$AD882-SUM($AG882:AU882))),0)</f>
        <v>29166.666666666701</v>
      </c>
      <c r="AW882" s="8">
        <f t="shared" si="96"/>
        <v>466666.66666666704</v>
      </c>
      <c r="AX882" s="8">
        <f t="shared" si="97"/>
        <v>174999.99999999948</v>
      </c>
    </row>
    <row r="883" spans="1:50" ht="15" customHeight="1" x14ac:dyDescent="0.35">
      <c r="A883" s="102">
        <v>877</v>
      </c>
      <c r="B883" s="102" t="s">
        <v>1326</v>
      </c>
      <c r="C883" s="103">
        <v>511</v>
      </c>
      <c r="D883" s="102" t="s">
        <v>185</v>
      </c>
      <c r="E883" s="102" t="s">
        <v>479</v>
      </c>
      <c r="F883" s="102" t="s">
        <v>2332</v>
      </c>
      <c r="G883" s="102" t="s">
        <v>2333</v>
      </c>
      <c r="H883" s="102" t="s">
        <v>2334</v>
      </c>
      <c r="I883" s="102" t="s">
        <v>63</v>
      </c>
      <c r="J883" s="102"/>
      <c r="K883" s="102" t="s">
        <v>2698</v>
      </c>
      <c r="L883" s="104">
        <v>45488</v>
      </c>
      <c r="M883" s="102" t="s">
        <v>2699</v>
      </c>
      <c r="N883" s="102" t="s">
        <v>2699</v>
      </c>
      <c r="O883" s="102" t="s">
        <v>383</v>
      </c>
      <c r="P883" s="103">
        <v>1</v>
      </c>
      <c r="Q883" s="105">
        <v>1400000</v>
      </c>
      <c r="R883" s="103">
        <v>48</v>
      </c>
      <c r="S883" s="105">
        <v>29166.666666666701</v>
      </c>
      <c r="T883" s="105">
        <v>525000</v>
      </c>
      <c r="U883" s="105">
        <v>29166.666666666701</v>
      </c>
      <c r="V883" s="105">
        <v>29166.666666666701</v>
      </c>
      <c r="W883" s="105">
        <v>29166.666666666701</v>
      </c>
      <c r="X883" s="105">
        <v>29166.666666666701</v>
      </c>
      <c r="Y883" s="105">
        <v>29166.666666666701</v>
      </c>
      <c r="Z883" s="105">
        <v>29166.666666666701</v>
      </c>
      <c r="AA883" s="105">
        <v>29166.666666666701</v>
      </c>
      <c r="AB883" s="105">
        <v>29166.666666666701</v>
      </c>
      <c r="AC883" s="8">
        <f t="shared" si="91"/>
        <v>758333.33333333349</v>
      </c>
      <c r="AD883" s="8">
        <f t="shared" si="92"/>
        <v>641666.66666666651</v>
      </c>
      <c r="AE883" s="8">
        <f t="shared" si="93"/>
        <v>29166.666666666701</v>
      </c>
      <c r="AF883" s="106">
        <f t="shared" si="94"/>
        <v>21.999999999999968</v>
      </c>
      <c r="AG883" s="8">
        <f t="shared" si="95"/>
        <v>29166.666666666701</v>
      </c>
      <c r="AH883" s="8">
        <f>IF($O883="Aktif",MAX(0,MIN($AE883,$AD883-SUM($AG883:AG883))),0)</f>
        <v>29166.666666666701</v>
      </c>
      <c r="AI883" s="8">
        <f>IF($O883="Aktif",MAX(0,MIN($AE883,$AD883-SUM($AG883:AH883))),0)</f>
        <v>29166.666666666701</v>
      </c>
      <c r="AJ883" s="8">
        <f>IF($O883="Aktif",MAX(0,MIN($AE883,$AD883-SUM($AG883:AI883))),0)</f>
        <v>29166.666666666701</v>
      </c>
      <c r="AK883" s="8">
        <f>IF($O883="Aktif",MAX(0,MIN($AE883,$AD883-SUM($AG883:AJ883))),0)</f>
        <v>29166.666666666701</v>
      </c>
      <c r="AL883" s="8">
        <f>IF($O883="Aktif",MAX(0,MIN($AE883,$AD883-SUM($AG883:AK883))),0)</f>
        <v>29166.666666666701</v>
      </c>
      <c r="AM883" s="8">
        <f>IF($O883="Aktif",MAX(0,MIN($AE883,$AD883-SUM($AG883:AL883))),0)</f>
        <v>29166.666666666701</v>
      </c>
      <c r="AN883" s="8">
        <f>IF($O883="Aktif",MAX(0,MIN($AE883,$AD883-SUM($AG883:AM883))),0)</f>
        <v>29166.666666666701</v>
      </c>
      <c r="AO883" s="8">
        <f>IF($O883="Aktif",MAX(0,MIN($AE883,$AD883-SUM($AG883:AN883))),0)</f>
        <v>29166.666666666701</v>
      </c>
      <c r="AP883" s="8">
        <f>IF($O883="Aktif",MAX(0,MIN($AE883,$AD883-SUM($AG883:AO883))),0)</f>
        <v>29166.666666666701</v>
      </c>
      <c r="AQ883" s="8">
        <f>IF($O883="Aktif",MAX(0,MIN($AE883,$AD883-SUM($AG883:AP883))),0)</f>
        <v>29166.666666666701</v>
      </c>
      <c r="AR883" s="8">
        <f>IF($O883="Aktif",MAX(0,MIN($AE883,$AD883-SUM($AG883:AQ883))),0)</f>
        <v>29166.666666666701</v>
      </c>
      <c r="AS883" s="8">
        <f>IF($O883="Aktif",MAX(0,MIN($AE883,$AD883-SUM($AG883:AR883))),0)</f>
        <v>29166.666666666701</v>
      </c>
      <c r="AT883" s="8">
        <f>IF($O883="Aktif",MAX(0,MIN($AE883,$AD883-SUM($AG883:AS883))),0)</f>
        <v>29166.666666666701</v>
      </c>
      <c r="AU883" s="8">
        <f>IF($O883="Aktif",MAX(0,MIN($AE883,$AD883-SUM($AG883:AT883))),0)</f>
        <v>29166.666666666701</v>
      </c>
      <c r="AV883" s="8">
        <f>IF($O883="Aktif",MAX(0,MIN($AE883,$AD883-SUM($AG883:AU883))),0)</f>
        <v>29166.666666666701</v>
      </c>
      <c r="AW883" s="8">
        <f t="shared" si="96"/>
        <v>466666.66666666704</v>
      </c>
      <c r="AX883" s="8">
        <f t="shared" si="97"/>
        <v>174999.99999999948</v>
      </c>
    </row>
    <row r="884" spans="1:50" ht="15" customHeight="1" x14ac:dyDescent="0.35">
      <c r="A884" s="102">
        <v>878</v>
      </c>
      <c r="B884" s="102" t="s">
        <v>1326</v>
      </c>
      <c r="C884" s="103">
        <v>512</v>
      </c>
      <c r="D884" s="102" t="s">
        <v>185</v>
      </c>
      <c r="E884" s="102" t="s">
        <v>479</v>
      </c>
      <c r="F884" s="102" t="s">
        <v>2332</v>
      </c>
      <c r="G884" s="102" t="s">
        <v>2333</v>
      </c>
      <c r="H884" s="102" t="s">
        <v>2334</v>
      </c>
      <c r="I884" s="102" t="s">
        <v>63</v>
      </c>
      <c r="J884" s="102"/>
      <c r="K884" s="102" t="s">
        <v>2700</v>
      </c>
      <c r="L884" s="104">
        <v>45488</v>
      </c>
      <c r="M884" s="102" t="s">
        <v>2701</v>
      </c>
      <c r="N884" s="102" t="s">
        <v>2701</v>
      </c>
      <c r="O884" s="102" t="s">
        <v>383</v>
      </c>
      <c r="P884" s="103">
        <v>1</v>
      </c>
      <c r="Q884" s="105">
        <v>1400000</v>
      </c>
      <c r="R884" s="103">
        <v>48</v>
      </c>
      <c r="S884" s="105">
        <v>29166.666666666701</v>
      </c>
      <c r="T884" s="105">
        <v>525000</v>
      </c>
      <c r="U884" s="105">
        <v>29166.666666666701</v>
      </c>
      <c r="V884" s="105">
        <v>29166.666666666701</v>
      </c>
      <c r="W884" s="105">
        <v>29166.666666666701</v>
      </c>
      <c r="X884" s="105">
        <v>29166.666666666701</v>
      </c>
      <c r="Y884" s="105">
        <v>29166.666666666701</v>
      </c>
      <c r="Z884" s="105">
        <v>29166.666666666701</v>
      </c>
      <c r="AA884" s="105">
        <v>29166.666666666701</v>
      </c>
      <c r="AB884" s="105">
        <v>29166.666666666701</v>
      </c>
      <c r="AC884" s="8">
        <f t="shared" si="91"/>
        <v>758333.33333333349</v>
      </c>
      <c r="AD884" s="8">
        <f t="shared" si="92"/>
        <v>641666.66666666651</v>
      </c>
      <c r="AE884" s="8">
        <f t="shared" si="93"/>
        <v>29166.666666666701</v>
      </c>
      <c r="AF884" s="106">
        <f t="shared" si="94"/>
        <v>21.999999999999968</v>
      </c>
      <c r="AG884" s="8">
        <f t="shared" si="95"/>
        <v>29166.666666666701</v>
      </c>
      <c r="AH884" s="8">
        <f>IF($O884="Aktif",MAX(0,MIN($AE884,$AD884-SUM($AG884:AG884))),0)</f>
        <v>29166.666666666701</v>
      </c>
      <c r="AI884" s="8">
        <f>IF($O884="Aktif",MAX(0,MIN($AE884,$AD884-SUM($AG884:AH884))),0)</f>
        <v>29166.666666666701</v>
      </c>
      <c r="AJ884" s="8">
        <f>IF($O884="Aktif",MAX(0,MIN($AE884,$AD884-SUM($AG884:AI884))),0)</f>
        <v>29166.666666666701</v>
      </c>
      <c r="AK884" s="8">
        <f>IF($O884="Aktif",MAX(0,MIN($AE884,$AD884-SUM($AG884:AJ884))),0)</f>
        <v>29166.666666666701</v>
      </c>
      <c r="AL884" s="8">
        <f>IF($O884="Aktif",MAX(0,MIN($AE884,$AD884-SUM($AG884:AK884))),0)</f>
        <v>29166.666666666701</v>
      </c>
      <c r="AM884" s="8">
        <f>IF($O884="Aktif",MAX(0,MIN($AE884,$AD884-SUM($AG884:AL884))),0)</f>
        <v>29166.666666666701</v>
      </c>
      <c r="AN884" s="8">
        <f>IF($O884="Aktif",MAX(0,MIN($AE884,$AD884-SUM($AG884:AM884))),0)</f>
        <v>29166.666666666701</v>
      </c>
      <c r="AO884" s="8">
        <f>IF($O884="Aktif",MAX(0,MIN($AE884,$AD884-SUM($AG884:AN884))),0)</f>
        <v>29166.666666666701</v>
      </c>
      <c r="AP884" s="8">
        <f>IF($O884="Aktif",MAX(0,MIN($AE884,$AD884-SUM($AG884:AO884))),0)</f>
        <v>29166.666666666701</v>
      </c>
      <c r="AQ884" s="8">
        <f>IF($O884="Aktif",MAX(0,MIN($AE884,$AD884-SUM($AG884:AP884))),0)</f>
        <v>29166.666666666701</v>
      </c>
      <c r="AR884" s="8">
        <f>IF($O884="Aktif",MAX(0,MIN($AE884,$AD884-SUM($AG884:AQ884))),0)</f>
        <v>29166.666666666701</v>
      </c>
      <c r="AS884" s="8">
        <f>IF($O884="Aktif",MAX(0,MIN($AE884,$AD884-SUM($AG884:AR884))),0)</f>
        <v>29166.666666666701</v>
      </c>
      <c r="AT884" s="8">
        <f>IF($O884="Aktif",MAX(0,MIN($AE884,$AD884-SUM($AG884:AS884))),0)</f>
        <v>29166.666666666701</v>
      </c>
      <c r="AU884" s="8">
        <f>IF($O884="Aktif",MAX(0,MIN($AE884,$AD884-SUM($AG884:AT884))),0)</f>
        <v>29166.666666666701</v>
      </c>
      <c r="AV884" s="8">
        <f>IF($O884="Aktif",MAX(0,MIN($AE884,$AD884-SUM($AG884:AU884))),0)</f>
        <v>29166.666666666701</v>
      </c>
      <c r="AW884" s="8">
        <f t="shared" si="96"/>
        <v>466666.66666666704</v>
      </c>
      <c r="AX884" s="8">
        <f t="shared" si="97"/>
        <v>174999.99999999948</v>
      </c>
    </row>
    <row r="885" spans="1:50" ht="15" customHeight="1" x14ac:dyDescent="0.35">
      <c r="A885" s="102">
        <v>879</v>
      </c>
      <c r="B885" s="102" t="s">
        <v>1326</v>
      </c>
      <c r="C885" s="103">
        <v>513</v>
      </c>
      <c r="D885" s="102" t="s">
        <v>185</v>
      </c>
      <c r="E885" s="102" t="s">
        <v>479</v>
      </c>
      <c r="F885" s="102" t="s">
        <v>2332</v>
      </c>
      <c r="G885" s="102" t="s">
        <v>2333</v>
      </c>
      <c r="H885" s="102" t="s">
        <v>2334</v>
      </c>
      <c r="I885" s="102" t="s">
        <v>63</v>
      </c>
      <c r="J885" s="102"/>
      <c r="K885" s="102" t="s">
        <v>2702</v>
      </c>
      <c r="L885" s="104">
        <v>45488</v>
      </c>
      <c r="M885" s="102" t="s">
        <v>2703</v>
      </c>
      <c r="N885" s="102" t="s">
        <v>2703</v>
      </c>
      <c r="O885" s="102" t="s">
        <v>383</v>
      </c>
      <c r="P885" s="103">
        <v>1</v>
      </c>
      <c r="Q885" s="105">
        <v>1850000</v>
      </c>
      <c r="R885" s="103">
        <v>48</v>
      </c>
      <c r="S885" s="105">
        <v>38541.666666666701</v>
      </c>
      <c r="T885" s="105">
        <v>693750</v>
      </c>
      <c r="U885" s="105">
        <v>38541.666666666701</v>
      </c>
      <c r="V885" s="105">
        <v>38541.666666666701</v>
      </c>
      <c r="W885" s="105">
        <v>38541.666666666701</v>
      </c>
      <c r="X885" s="105">
        <v>38541.666666666701</v>
      </c>
      <c r="Y885" s="105">
        <v>38541.666666666701</v>
      </c>
      <c r="Z885" s="105">
        <v>38541.666666666701</v>
      </c>
      <c r="AA885" s="105">
        <v>38541.666666666701</v>
      </c>
      <c r="AB885" s="105">
        <v>38541.666666666701</v>
      </c>
      <c r="AC885" s="8">
        <f t="shared" si="91"/>
        <v>1002083.3333333335</v>
      </c>
      <c r="AD885" s="8">
        <f t="shared" si="92"/>
        <v>847916.66666666651</v>
      </c>
      <c r="AE885" s="8">
        <f t="shared" si="93"/>
        <v>38541.666666666701</v>
      </c>
      <c r="AF885" s="106">
        <f t="shared" si="94"/>
        <v>21.999999999999975</v>
      </c>
      <c r="AG885" s="8">
        <f t="shared" si="95"/>
        <v>38541.666666666701</v>
      </c>
      <c r="AH885" s="8">
        <f>IF($O885="Aktif",MAX(0,MIN($AE885,$AD885-SUM($AG885:AG885))),0)</f>
        <v>38541.666666666701</v>
      </c>
      <c r="AI885" s="8">
        <f>IF($O885="Aktif",MAX(0,MIN($AE885,$AD885-SUM($AG885:AH885))),0)</f>
        <v>38541.666666666701</v>
      </c>
      <c r="AJ885" s="8">
        <f>IF($O885="Aktif",MAX(0,MIN($AE885,$AD885-SUM($AG885:AI885))),0)</f>
        <v>38541.666666666701</v>
      </c>
      <c r="AK885" s="8">
        <f>IF($O885="Aktif",MAX(0,MIN($AE885,$AD885-SUM($AG885:AJ885))),0)</f>
        <v>38541.666666666701</v>
      </c>
      <c r="AL885" s="8">
        <f>IF($O885="Aktif",MAX(0,MIN($AE885,$AD885-SUM($AG885:AK885))),0)</f>
        <v>38541.666666666701</v>
      </c>
      <c r="AM885" s="8">
        <f>IF($O885="Aktif",MAX(0,MIN($AE885,$AD885-SUM($AG885:AL885))),0)</f>
        <v>38541.666666666701</v>
      </c>
      <c r="AN885" s="8">
        <f>IF($O885="Aktif",MAX(0,MIN($AE885,$AD885-SUM($AG885:AM885))),0)</f>
        <v>38541.666666666701</v>
      </c>
      <c r="AO885" s="8">
        <f>IF($O885="Aktif",MAX(0,MIN($AE885,$AD885-SUM($AG885:AN885))),0)</f>
        <v>38541.666666666701</v>
      </c>
      <c r="AP885" s="8">
        <f>IF($O885="Aktif",MAX(0,MIN($AE885,$AD885-SUM($AG885:AO885))),0)</f>
        <v>38541.666666666701</v>
      </c>
      <c r="AQ885" s="8">
        <f>IF($O885="Aktif",MAX(0,MIN($AE885,$AD885-SUM($AG885:AP885))),0)</f>
        <v>38541.666666666701</v>
      </c>
      <c r="AR885" s="8">
        <f>IF($O885="Aktif",MAX(0,MIN($AE885,$AD885-SUM($AG885:AQ885))),0)</f>
        <v>38541.666666666701</v>
      </c>
      <c r="AS885" s="8">
        <f>IF($O885="Aktif",MAX(0,MIN($AE885,$AD885-SUM($AG885:AR885))),0)</f>
        <v>38541.666666666701</v>
      </c>
      <c r="AT885" s="8">
        <f>IF($O885="Aktif",MAX(0,MIN($AE885,$AD885-SUM($AG885:AS885))),0)</f>
        <v>38541.666666666701</v>
      </c>
      <c r="AU885" s="8">
        <f>IF($O885="Aktif",MAX(0,MIN($AE885,$AD885-SUM($AG885:AT885))),0)</f>
        <v>38541.666666666701</v>
      </c>
      <c r="AV885" s="8">
        <f>IF($O885="Aktif",MAX(0,MIN($AE885,$AD885-SUM($AG885:AU885))),0)</f>
        <v>38541.666666666701</v>
      </c>
      <c r="AW885" s="8">
        <f t="shared" si="96"/>
        <v>616666.66666666721</v>
      </c>
      <c r="AX885" s="8">
        <f t="shared" si="97"/>
        <v>231249.9999999993</v>
      </c>
    </row>
    <row r="886" spans="1:50" ht="15" customHeight="1" x14ac:dyDescent="0.35">
      <c r="A886" s="102">
        <v>880</v>
      </c>
      <c r="B886" s="102" t="s">
        <v>1326</v>
      </c>
      <c r="C886" s="103">
        <v>514</v>
      </c>
      <c r="D886" s="102" t="s">
        <v>185</v>
      </c>
      <c r="E886" s="102" t="s">
        <v>479</v>
      </c>
      <c r="F886" s="102" t="s">
        <v>2332</v>
      </c>
      <c r="G886" s="102" t="s">
        <v>2333</v>
      </c>
      <c r="H886" s="102" t="s">
        <v>2334</v>
      </c>
      <c r="I886" s="102" t="s">
        <v>63</v>
      </c>
      <c r="J886" s="102"/>
      <c r="K886" s="102" t="s">
        <v>2704</v>
      </c>
      <c r="L886" s="104">
        <v>45488</v>
      </c>
      <c r="M886" s="102" t="s">
        <v>2705</v>
      </c>
      <c r="N886" s="102" t="s">
        <v>2705</v>
      </c>
      <c r="O886" s="102" t="s">
        <v>383</v>
      </c>
      <c r="P886" s="103">
        <v>1</v>
      </c>
      <c r="Q886" s="105">
        <v>1850000</v>
      </c>
      <c r="R886" s="103">
        <v>48</v>
      </c>
      <c r="S886" s="105">
        <v>38541.666666666701</v>
      </c>
      <c r="T886" s="105">
        <v>693750</v>
      </c>
      <c r="U886" s="105">
        <v>38541.666666666701</v>
      </c>
      <c r="V886" s="105">
        <v>38541.666666666701</v>
      </c>
      <c r="W886" s="105">
        <v>38541.666666666701</v>
      </c>
      <c r="X886" s="105">
        <v>38541.666666666701</v>
      </c>
      <c r="Y886" s="105">
        <v>38541.666666666701</v>
      </c>
      <c r="Z886" s="105">
        <v>38541.666666666701</v>
      </c>
      <c r="AA886" s="105">
        <v>38541.666666666701</v>
      </c>
      <c r="AB886" s="105">
        <v>38541.666666666701</v>
      </c>
      <c r="AC886" s="8">
        <f t="shared" si="91"/>
        <v>1002083.3333333335</v>
      </c>
      <c r="AD886" s="8">
        <f t="shared" si="92"/>
        <v>847916.66666666651</v>
      </c>
      <c r="AE886" s="8">
        <f t="shared" si="93"/>
        <v>38541.666666666701</v>
      </c>
      <c r="AF886" s="106">
        <f t="shared" si="94"/>
        <v>21.999999999999975</v>
      </c>
      <c r="AG886" s="8">
        <f t="shared" si="95"/>
        <v>38541.666666666701</v>
      </c>
      <c r="AH886" s="8">
        <f>IF($O886="Aktif",MAX(0,MIN($AE886,$AD886-SUM($AG886:AG886))),0)</f>
        <v>38541.666666666701</v>
      </c>
      <c r="AI886" s="8">
        <f>IF($O886="Aktif",MAX(0,MIN($AE886,$AD886-SUM($AG886:AH886))),0)</f>
        <v>38541.666666666701</v>
      </c>
      <c r="AJ886" s="8">
        <f>IF($O886="Aktif",MAX(0,MIN($AE886,$AD886-SUM($AG886:AI886))),0)</f>
        <v>38541.666666666701</v>
      </c>
      <c r="AK886" s="8">
        <f>IF($O886="Aktif",MAX(0,MIN($AE886,$AD886-SUM($AG886:AJ886))),0)</f>
        <v>38541.666666666701</v>
      </c>
      <c r="AL886" s="8">
        <f>IF($O886="Aktif",MAX(0,MIN($AE886,$AD886-SUM($AG886:AK886))),0)</f>
        <v>38541.666666666701</v>
      </c>
      <c r="AM886" s="8">
        <f>IF($O886="Aktif",MAX(0,MIN($AE886,$AD886-SUM($AG886:AL886))),0)</f>
        <v>38541.666666666701</v>
      </c>
      <c r="AN886" s="8">
        <f>IF($O886="Aktif",MAX(0,MIN($AE886,$AD886-SUM($AG886:AM886))),0)</f>
        <v>38541.666666666701</v>
      </c>
      <c r="AO886" s="8">
        <f>IF($O886="Aktif",MAX(0,MIN($AE886,$AD886-SUM($AG886:AN886))),0)</f>
        <v>38541.666666666701</v>
      </c>
      <c r="AP886" s="8">
        <f>IF($O886="Aktif",MAX(0,MIN($AE886,$AD886-SUM($AG886:AO886))),0)</f>
        <v>38541.666666666701</v>
      </c>
      <c r="AQ886" s="8">
        <f>IF($O886="Aktif",MAX(0,MIN($AE886,$AD886-SUM($AG886:AP886))),0)</f>
        <v>38541.666666666701</v>
      </c>
      <c r="AR886" s="8">
        <f>IF($O886="Aktif",MAX(0,MIN($AE886,$AD886-SUM($AG886:AQ886))),0)</f>
        <v>38541.666666666701</v>
      </c>
      <c r="AS886" s="8">
        <f>IF($O886="Aktif",MAX(0,MIN($AE886,$AD886-SUM($AG886:AR886))),0)</f>
        <v>38541.666666666701</v>
      </c>
      <c r="AT886" s="8">
        <f>IF($O886="Aktif",MAX(0,MIN($AE886,$AD886-SUM($AG886:AS886))),0)</f>
        <v>38541.666666666701</v>
      </c>
      <c r="AU886" s="8">
        <f>IF($O886="Aktif",MAX(0,MIN($AE886,$AD886-SUM($AG886:AT886))),0)</f>
        <v>38541.666666666701</v>
      </c>
      <c r="AV886" s="8">
        <f>IF($O886="Aktif",MAX(0,MIN($AE886,$AD886-SUM($AG886:AU886))),0)</f>
        <v>38541.666666666701</v>
      </c>
      <c r="AW886" s="8">
        <f t="shared" si="96"/>
        <v>616666.66666666721</v>
      </c>
      <c r="AX886" s="8">
        <f t="shared" si="97"/>
        <v>231249.9999999993</v>
      </c>
    </row>
    <row r="887" spans="1:50" ht="15" customHeight="1" x14ac:dyDescent="0.35">
      <c r="A887" s="102">
        <v>881</v>
      </c>
      <c r="B887" s="102" t="s">
        <v>1326</v>
      </c>
      <c r="C887" s="103">
        <v>515</v>
      </c>
      <c r="D887" s="102" t="s">
        <v>185</v>
      </c>
      <c r="E887" s="102" t="s">
        <v>479</v>
      </c>
      <c r="F887" s="102" t="s">
        <v>2332</v>
      </c>
      <c r="G887" s="102" t="s">
        <v>2333</v>
      </c>
      <c r="H887" s="102" t="s">
        <v>2334</v>
      </c>
      <c r="I887" s="102" t="s">
        <v>63</v>
      </c>
      <c r="J887" s="102"/>
      <c r="K887" s="102" t="s">
        <v>2706</v>
      </c>
      <c r="L887" s="104">
        <v>45488</v>
      </c>
      <c r="M887" s="102" t="s">
        <v>2707</v>
      </c>
      <c r="N887" s="102" t="s">
        <v>2707</v>
      </c>
      <c r="O887" s="102" t="s">
        <v>383</v>
      </c>
      <c r="P887" s="103">
        <v>1</v>
      </c>
      <c r="Q887" s="105">
        <v>6592000</v>
      </c>
      <c r="R887" s="103">
        <v>48</v>
      </c>
      <c r="S887" s="105">
        <v>137333.33333333299</v>
      </c>
      <c r="T887" s="105">
        <v>2472000</v>
      </c>
      <c r="U887" s="105">
        <v>137333.33333333299</v>
      </c>
      <c r="V887" s="105">
        <v>137333.33333333299</v>
      </c>
      <c r="W887" s="105">
        <v>137333.33333333299</v>
      </c>
      <c r="X887" s="105">
        <v>137333.33333333299</v>
      </c>
      <c r="Y887" s="105">
        <v>137333.33333333299</v>
      </c>
      <c r="Z887" s="105">
        <v>137333.33333333299</v>
      </c>
      <c r="AA887" s="105">
        <v>137333.33333333299</v>
      </c>
      <c r="AB887" s="105">
        <v>137333.33333333299</v>
      </c>
      <c r="AC887" s="8">
        <f t="shared" si="91"/>
        <v>3570666.6666666642</v>
      </c>
      <c r="AD887" s="8">
        <f t="shared" si="92"/>
        <v>3021333.3333333358</v>
      </c>
      <c r="AE887" s="8">
        <f t="shared" si="93"/>
        <v>137333.33333333299</v>
      </c>
      <c r="AF887" s="106">
        <f t="shared" si="94"/>
        <v>22.000000000000071</v>
      </c>
      <c r="AG887" s="8">
        <f t="shared" si="95"/>
        <v>137333.33333333299</v>
      </c>
      <c r="AH887" s="8">
        <f>IF($O887="Aktif",MAX(0,MIN($AE887,$AD887-SUM($AG887:AG887))),0)</f>
        <v>137333.33333333299</v>
      </c>
      <c r="AI887" s="8">
        <f>IF($O887="Aktif",MAX(0,MIN($AE887,$AD887-SUM($AG887:AH887))),0)</f>
        <v>137333.33333333299</v>
      </c>
      <c r="AJ887" s="8">
        <f>IF($O887="Aktif",MAX(0,MIN($AE887,$AD887-SUM($AG887:AI887))),0)</f>
        <v>137333.33333333299</v>
      </c>
      <c r="AK887" s="8">
        <f>IF($O887="Aktif",MAX(0,MIN($AE887,$AD887-SUM($AG887:AJ887))),0)</f>
        <v>137333.33333333299</v>
      </c>
      <c r="AL887" s="8">
        <f>IF($O887="Aktif",MAX(0,MIN($AE887,$AD887-SUM($AG887:AK887))),0)</f>
        <v>137333.33333333299</v>
      </c>
      <c r="AM887" s="8">
        <f>IF($O887="Aktif",MAX(0,MIN($AE887,$AD887-SUM($AG887:AL887))),0)</f>
        <v>137333.33333333299</v>
      </c>
      <c r="AN887" s="8">
        <f>IF($O887="Aktif",MAX(0,MIN($AE887,$AD887-SUM($AG887:AM887))),0)</f>
        <v>137333.33333333299</v>
      </c>
      <c r="AO887" s="8">
        <f>IF($O887="Aktif",MAX(0,MIN($AE887,$AD887-SUM($AG887:AN887))),0)</f>
        <v>137333.33333333299</v>
      </c>
      <c r="AP887" s="8">
        <f>IF($O887="Aktif",MAX(0,MIN($AE887,$AD887-SUM($AG887:AO887))),0)</f>
        <v>137333.33333333299</v>
      </c>
      <c r="AQ887" s="8">
        <f>IF($O887="Aktif",MAX(0,MIN($AE887,$AD887-SUM($AG887:AP887))),0)</f>
        <v>137333.33333333299</v>
      </c>
      <c r="AR887" s="8">
        <f>IF($O887="Aktif",MAX(0,MIN($AE887,$AD887-SUM($AG887:AQ887))),0)</f>
        <v>137333.33333333299</v>
      </c>
      <c r="AS887" s="8">
        <f>IF($O887="Aktif",MAX(0,MIN($AE887,$AD887-SUM($AG887:AR887))),0)</f>
        <v>137333.33333333299</v>
      </c>
      <c r="AT887" s="8">
        <f>IF($O887="Aktif",MAX(0,MIN($AE887,$AD887-SUM($AG887:AS887))),0)</f>
        <v>137333.33333333299</v>
      </c>
      <c r="AU887" s="8">
        <f>IF($O887="Aktif",MAX(0,MIN($AE887,$AD887-SUM($AG887:AT887))),0)</f>
        <v>137333.33333333299</v>
      </c>
      <c r="AV887" s="8">
        <f>IF($O887="Aktif",MAX(0,MIN($AE887,$AD887-SUM($AG887:AU887))),0)</f>
        <v>137333.33333333299</v>
      </c>
      <c r="AW887" s="8">
        <f t="shared" si="96"/>
        <v>2197333.3333333279</v>
      </c>
      <c r="AX887" s="8">
        <f t="shared" si="97"/>
        <v>824000.00000000792</v>
      </c>
    </row>
    <row r="888" spans="1:50" ht="15" customHeight="1" x14ac:dyDescent="0.35">
      <c r="A888" s="102">
        <v>882</v>
      </c>
      <c r="B888" s="102" t="s">
        <v>1326</v>
      </c>
      <c r="C888" s="103">
        <v>516</v>
      </c>
      <c r="D888" s="102" t="s">
        <v>185</v>
      </c>
      <c r="E888" s="102" t="s">
        <v>479</v>
      </c>
      <c r="F888" s="102" t="s">
        <v>2332</v>
      </c>
      <c r="G888" s="102" t="s">
        <v>2333</v>
      </c>
      <c r="H888" s="102" t="s">
        <v>2334</v>
      </c>
      <c r="I888" s="102" t="s">
        <v>63</v>
      </c>
      <c r="J888" s="102"/>
      <c r="K888" s="102" t="s">
        <v>2708</v>
      </c>
      <c r="L888" s="104">
        <v>45488</v>
      </c>
      <c r="M888" s="102" t="s">
        <v>2709</v>
      </c>
      <c r="N888" s="102" t="s">
        <v>2709</v>
      </c>
      <c r="O888" s="102" t="s">
        <v>383</v>
      </c>
      <c r="P888" s="103">
        <v>1</v>
      </c>
      <c r="Q888" s="105">
        <v>4887387</v>
      </c>
      <c r="R888" s="103">
        <v>48</v>
      </c>
      <c r="S888" s="105">
        <v>101820.5625</v>
      </c>
      <c r="T888" s="105">
        <v>1832770.125</v>
      </c>
      <c r="U888" s="105">
        <v>101820.5625</v>
      </c>
      <c r="V888" s="105">
        <v>101820.5625</v>
      </c>
      <c r="W888" s="105">
        <v>101820.5625</v>
      </c>
      <c r="X888" s="105">
        <v>101820.5625</v>
      </c>
      <c r="Y888" s="105">
        <v>101820.5625</v>
      </c>
      <c r="Z888" s="105">
        <v>101820.5625</v>
      </c>
      <c r="AA888" s="105">
        <v>101820.5625</v>
      </c>
      <c r="AB888" s="105">
        <v>101820.5625</v>
      </c>
      <c r="AC888" s="8">
        <f t="shared" si="91"/>
        <v>2647334.625</v>
      </c>
      <c r="AD888" s="8">
        <f t="shared" si="92"/>
        <v>2240052.375</v>
      </c>
      <c r="AE888" s="8">
        <f t="shared" si="93"/>
        <v>101820.5625</v>
      </c>
      <c r="AF888" s="106">
        <f t="shared" si="94"/>
        <v>22</v>
      </c>
      <c r="AG888" s="8">
        <f t="shared" si="95"/>
        <v>101820.5625</v>
      </c>
      <c r="AH888" s="8">
        <f>IF($O888="Aktif",MAX(0,MIN($AE888,$AD888-SUM($AG888:AG888))),0)</f>
        <v>101820.5625</v>
      </c>
      <c r="AI888" s="8">
        <f>IF($O888="Aktif",MAX(0,MIN($AE888,$AD888-SUM($AG888:AH888))),0)</f>
        <v>101820.5625</v>
      </c>
      <c r="AJ888" s="8">
        <f>IF($O888="Aktif",MAX(0,MIN($AE888,$AD888-SUM($AG888:AI888))),0)</f>
        <v>101820.5625</v>
      </c>
      <c r="AK888" s="8">
        <f>IF($O888="Aktif",MAX(0,MIN($AE888,$AD888-SUM($AG888:AJ888))),0)</f>
        <v>101820.5625</v>
      </c>
      <c r="AL888" s="8">
        <f>IF($O888="Aktif",MAX(0,MIN($AE888,$AD888-SUM($AG888:AK888))),0)</f>
        <v>101820.5625</v>
      </c>
      <c r="AM888" s="8">
        <f>IF($O888="Aktif",MAX(0,MIN($AE888,$AD888-SUM($AG888:AL888))),0)</f>
        <v>101820.5625</v>
      </c>
      <c r="AN888" s="8">
        <f>IF($O888="Aktif",MAX(0,MIN($AE888,$AD888-SUM($AG888:AM888))),0)</f>
        <v>101820.5625</v>
      </c>
      <c r="AO888" s="8">
        <f>IF($O888="Aktif",MAX(0,MIN($AE888,$AD888-SUM($AG888:AN888))),0)</f>
        <v>101820.5625</v>
      </c>
      <c r="AP888" s="8">
        <f>IF($O888="Aktif",MAX(0,MIN($AE888,$AD888-SUM($AG888:AO888))),0)</f>
        <v>101820.5625</v>
      </c>
      <c r="AQ888" s="8">
        <f>IF($O888="Aktif",MAX(0,MIN($AE888,$AD888-SUM($AG888:AP888))),0)</f>
        <v>101820.5625</v>
      </c>
      <c r="AR888" s="8">
        <f>IF($O888="Aktif",MAX(0,MIN($AE888,$AD888-SUM($AG888:AQ888))),0)</f>
        <v>101820.5625</v>
      </c>
      <c r="AS888" s="8">
        <f>IF($O888="Aktif",MAX(0,MIN($AE888,$AD888-SUM($AG888:AR888))),0)</f>
        <v>101820.5625</v>
      </c>
      <c r="AT888" s="8">
        <f>IF($O888="Aktif",MAX(0,MIN($AE888,$AD888-SUM($AG888:AS888))),0)</f>
        <v>101820.5625</v>
      </c>
      <c r="AU888" s="8">
        <f>IF($O888="Aktif",MAX(0,MIN($AE888,$AD888-SUM($AG888:AT888))),0)</f>
        <v>101820.5625</v>
      </c>
      <c r="AV888" s="8">
        <f>IF($O888="Aktif",MAX(0,MIN($AE888,$AD888-SUM($AG888:AU888))),0)</f>
        <v>101820.5625</v>
      </c>
      <c r="AW888" s="8">
        <f t="shared" si="96"/>
        <v>1629129</v>
      </c>
      <c r="AX888" s="8">
        <f t="shared" si="97"/>
        <v>610923.375</v>
      </c>
    </row>
    <row r="889" spans="1:50" ht="15" customHeight="1" x14ac:dyDescent="0.35">
      <c r="A889" s="102">
        <v>883</v>
      </c>
      <c r="B889" s="102" t="s">
        <v>1326</v>
      </c>
      <c r="C889" s="103">
        <v>517</v>
      </c>
      <c r="D889" s="102" t="s">
        <v>185</v>
      </c>
      <c r="E889" s="102" t="s">
        <v>479</v>
      </c>
      <c r="F889" s="102" t="s">
        <v>2332</v>
      </c>
      <c r="G889" s="102" t="s">
        <v>2333</v>
      </c>
      <c r="H889" s="102" t="s">
        <v>2334</v>
      </c>
      <c r="I889" s="102" t="s">
        <v>63</v>
      </c>
      <c r="J889" s="102"/>
      <c r="K889" s="102" t="s">
        <v>2710</v>
      </c>
      <c r="L889" s="104">
        <v>45488</v>
      </c>
      <c r="M889" s="102" t="s">
        <v>2711</v>
      </c>
      <c r="N889" s="102" t="s">
        <v>2711</v>
      </c>
      <c r="O889" s="102" t="s">
        <v>383</v>
      </c>
      <c r="P889" s="103">
        <v>1</v>
      </c>
      <c r="Q889" s="105">
        <v>31972800</v>
      </c>
      <c r="R889" s="103">
        <v>48</v>
      </c>
      <c r="S889" s="105">
        <v>666100</v>
      </c>
      <c r="T889" s="105">
        <v>11989800</v>
      </c>
      <c r="U889" s="105">
        <v>666100</v>
      </c>
      <c r="V889" s="105">
        <v>666100</v>
      </c>
      <c r="W889" s="105">
        <v>666100</v>
      </c>
      <c r="X889" s="105">
        <v>666100</v>
      </c>
      <c r="Y889" s="105">
        <v>666100</v>
      </c>
      <c r="Z889" s="105">
        <v>666100</v>
      </c>
      <c r="AA889" s="105">
        <v>666100</v>
      </c>
      <c r="AB889" s="105">
        <v>666100</v>
      </c>
      <c r="AC889" s="8">
        <f t="shared" si="91"/>
        <v>17318600</v>
      </c>
      <c r="AD889" s="8">
        <f t="shared" si="92"/>
        <v>14654200</v>
      </c>
      <c r="AE889" s="8">
        <f t="shared" si="93"/>
        <v>666100</v>
      </c>
      <c r="AF889" s="106">
        <f t="shared" si="94"/>
        <v>22</v>
      </c>
      <c r="AG889" s="8">
        <f t="shared" si="95"/>
        <v>666100</v>
      </c>
      <c r="AH889" s="8">
        <f>IF($O889="Aktif",MAX(0,MIN($AE889,$AD889-SUM($AG889:AG889))),0)</f>
        <v>666100</v>
      </c>
      <c r="AI889" s="8">
        <f>IF($O889="Aktif",MAX(0,MIN($AE889,$AD889-SUM($AG889:AH889))),0)</f>
        <v>666100</v>
      </c>
      <c r="AJ889" s="8">
        <f>IF($O889="Aktif",MAX(0,MIN($AE889,$AD889-SUM($AG889:AI889))),0)</f>
        <v>666100</v>
      </c>
      <c r="AK889" s="8">
        <f>IF($O889="Aktif",MAX(0,MIN($AE889,$AD889-SUM($AG889:AJ889))),0)</f>
        <v>666100</v>
      </c>
      <c r="AL889" s="8">
        <f>IF($O889="Aktif",MAX(0,MIN($AE889,$AD889-SUM($AG889:AK889))),0)</f>
        <v>666100</v>
      </c>
      <c r="AM889" s="8">
        <f>IF($O889="Aktif",MAX(0,MIN($AE889,$AD889-SUM($AG889:AL889))),0)</f>
        <v>666100</v>
      </c>
      <c r="AN889" s="8">
        <f>IF($O889="Aktif",MAX(0,MIN($AE889,$AD889-SUM($AG889:AM889))),0)</f>
        <v>666100</v>
      </c>
      <c r="AO889" s="8">
        <f>IF($O889="Aktif",MAX(0,MIN($AE889,$AD889-SUM($AG889:AN889))),0)</f>
        <v>666100</v>
      </c>
      <c r="AP889" s="8">
        <f>IF($O889="Aktif",MAX(0,MIN($AE889,$AD889-SUM($AG889:AO889))),0)</f>
        <v>666100</v>
      </c>
      <c r="AQ889" s="8">
        <f>IF($O889="Aktif",MAX(0,MIN($AE889,$AD889-SUM($AG889:AP889))),0)</f>
        <v>666100</v>
      </c>
      <c r="AR889" s="8">
        <f>IF($O889="Aktif",MAX(0,MIN($AE889,$AD889-SUM($AG889:AQ889))),0)</f>
        <v>666100</v>
      </c>
      <c r="AS889" s="8">
        <f>IF($O889="Aktif",MAX(0,MIN($AE889,$AD889-SUM($AG889:AR889))),0)</f>
        <v>666100</v>
      </c>
      <c r="AT889" s="8">
        <f>IF($O889="Aktif",MAX(0,MIN($AE889,$AD889-SUM($AG889:AS889))),0)</f>
        <v>666100</v>
      </c>
      <c r="AU889" s="8">
        <f>IF($O889="Aktif",MAX(0,MIN($AE889,$AD889-SUM($AG889:AT889))),0)</f>
        <v>666100</v>
      </c>
      <c r="AV889" s="8">
        <f>IF($O889="Aktif",MAX(0,MIN($AE889,$AD889-SUM($AG889:AU889))),0)</f>
        <v>666100</v>
      </c>
      <c r="AW889" s="8">
        <f t="shared" si="96"/>
        <v>10657600</v>
      </c>
      <c r="AX889" s="8">
        <f t="shared" si="97"/>
        <v>3996600</v>
      </c>
    </row>
    <row r="890" spans="1:50" ht="15" customHeight="1" x14ac:dyDescent="0.35">
      <c r="A890" s="102">
        <v>884</v>
      </c>
      <c r="B890" s="102" t="s">
        <v>1326</v>
      </c>
      <c r="C890" s="103">
        <v>518</v>
      </c>
      <c r="D890" s="102" t="s">
        <v>185</v>
      </c>
      <c r="E890" s="102" t="s">
        <v>479</v>
      </c>
      <c r="F890" s="102" t="s">
        <v>2332</v>
      </c>
      <c r="G890" s="102" t="s">
        <v>2333</v>
      </c>
      <c r="H890" s="102" t="s">
        <v>2334</v>
      </c>
      <c r="I890" s="102" t="s">
        <v>63</v>
      </c>
      <c r="J890" s="102"/>
      <c r="K890" s="102" t="s">
        <v>2712</v>
      </c>
      <c r="L890" s="104">
        <v>45488</v>
      </c>
      <c r="M890" s="102" t="s">
        <v>2713</v>
      </c>
      <c r="N890" s="102" t="s">
        <v>2713</v>
      </c>
      <c r="O890" s="102" t="s">
        <v>383</v>
      </c>
      <c r="P890" s="103">
        <v>1</v>
      </c>
      <c r="Q890" s="105">
        <v>45000000</v>
      </c>
      <c r="R890" s="103">
        <v>48</v>
      </c>
      <c r="S890" s="105">
        <v>937500</v>
      </c>
      <c r="T890" s="105">
        <v>16875000</v>
      </c>
      <c r="U890" s="105">
        <v>937500</v>
      </c>
      <c r="V890" s="105">
        <v>937500</v>
      </c>
      <c r="W890" s="105">
        <v>937500</v>
      </c>
      <c r="X890" s="105">
        <v>937500</v>
      </c>
      <c r="Y890" s="105">
        <v>937500</v>
      </c>
      <c r="Z890" s="105">
        <v>937500</v>
      </c>
      <c r="AA890" s="105">
        <v>937500</v>
      </c>
      <c r="AB890" s="105">
        <v>937500</v>
      </c>
      <c r="AC890" s="8">
        <f t="shared" si="91"/>
        <v>24375000</v>
      </c>
      <c r="AD890" s="8">
        <f t="shared" si="92"/>
        <v>20625000</v>
      </c>
      <c r="AE890" s="8">
        <f t="shared" si="93"/>
        <v>937500</v>
      </c>
      <c r="AF890" s="106">
        <f t="shared" si="94"/>
        <v>22</v>
      </c>
      <c r="AG890" s="8">
        <f t="shared" si="95"/>
        <v>937500</v>
      </c>
      <c r="AH890" s="8">
        <f>IF($O890="Aktif",MAX(0,MIN($AE890,$AD890-SUM($AG890:AG890))),0)</f>
        <v>937500</v>
      </c>
      <c r="AI890" s="8">
        <f>IF($O890="Aktif",MAX(0,MIN($AE890,$AD890-SUM($AG890:AH890))),0)</f>
        <v>937500</v>
      </c>
      <c r="AJ890" s="8">
        <f>IF($O890="Aktif",MAX(0,MIN($AE890,$AD890-SUM($AG890:AI890))),0)</f>
        <v>937500</v>
      </c>
      <c r="AK890" s="8">
        <f>IF($O890="Aktif",MAX(0,MIN($AE890,$AD890-SUM($AG890:AJ890))),0)</f>
        <v>937500</v>
      </c>
      <c r="AL890" s="8">
        <f>IF($O890="Aktif",MAX(0,MIN($AE890,$AD890-SUM($AG890:AK890))),0)</f>
        <v>937500</v>
      </c>
      <c r="AM890" s="8">
        <f>IF($O890="Aktif",MAX(0,MIN($AE890,$AD890-SUM($AG890:AL890))),0)</f>
        <v>937500</v>
      </c>
      <c r="AN890" s="8">
        <f>IF($O890="Aktif",MAX(0,MIN($AE890,$AD890-SUM($AG890:AM890))),0)</f>
        <v>937500</v>
      </c>
      <c r="AO890" s="8">
        <f>IF($O890="Aktif",MAX(0,MIN($AE890,$AD890-SUM($AG890:AN890))),0)</f>
        <v>937500</v>
      </c>
      <c r="AP890" s="8">
        <f>IF($O890="Aktif",MAX(0,MIN($AE890,$AD890-SUM($AG890:AO890))),0)</f>
        <v>937500</v>
      </c>
      <c r="AQ890" s="8">
        <f>IF($O890="Aktif",MAX(0,MIN($AE890,$AD890-SUM($AG890:AP890))),0)</f>
        <v>937500</v>
      </c>
      <c r="AR890" s="8">
        <f>IF($O890="Aktif",MAX(0,MIN($AE890,$AD890-SUM($AG890:AQ890))),0)</f>
        <v>937500</v>
      </c>
      <c r="AS890" s="8">
        <f>IF($O890="Aktif",MAX(0,MIN($AE890,$AD890-SUM($AG890:AR890))),0)</f>
        <v>937500</v>
      </c>
      <c r="AT890" s="8">
        <f>IF($O890="Aktif",MAX(0,MIN($AE890,$AD890-SUM($AG890:AS890))),0)</f>
        <v>937500</v>
      </c>
      <c r="AU890" s="8">
        <f>IF($O890="Aktif",MAX(0,MIN($AE890,$AD890-SUM($AG890:AT890))),0)</f>
        <v>937500</v>
      </c>
      <c r="AV890" s="8">
        <f>IF($O890="Aktif",MAX(0,MIN($AE890,$AD890-SUM($AG890:AU890))),0)</f>
        <v>937500</v>
      </c>
      <c r="AW890" s="8">
        <f t="shared" si="96"/>
        <v>15000000</v>
      </c>
      <c r="AX890" s="8">
        <f t="shared" si="97"/>
        <v>5625000</v>
      </c>
    </row>
    <row r="891" spans="1:50" ht="15" customHeight="1" x14ac:dyDescent="0.35">
      <c r="A891" s="102">
        <v>885</v>
      </c>
      <c r="B891" s="102" t="s">
        <v>1326</v>
      </c>
      <c r="C891" s="103">
        <v>519</v>
      </c>
      <c r="D891" s="102" t="s">
        <v>185</v>
      </c>
      <c r="E891" s="102" t="s">
        <v>479</v>
      </c>
      <c r="F891" s="102" t="s">
        <v>2332</v>
      </c>
      <c r="G891" s="102" t="s">
        <v>2333</v>
      </c>
      <c r="H891" s="102" t="s">
        <v>2334</v>
      </c>
      <c r="I891" s="102" t="s">
        <v>63</v>
      </c>
      <c r="J891" s="102"/>
      <c r="K891" s="102" t="s">
        <v>2714</v>
      </c>
      <c r="L891" s="104">
        <v>45488</v>
      </c>
      <c r="M891" s="102" t="s">
        <v>2715</v>
      </c>
      <c r="N891" s="102" t="s">
        <v>2715</v>
      </c>
      <c r="O891" s="102" t="s">
        <v>383</v>
      </c>
      <c r="P891" s="103">
        <v>1</v>
      </c>
      <c r="Q891" s="105">
        <v>7210400</v>
      </c>
      <c r="R891" s="103">
        <v>48</v>
      </c>
      <c r="S891" s="105">
        <v>150216.66666666701</v>
      </c>
      <c r="T891" s="105">
        <v>2703900</v>
      </c>
      <c r="U891" s="105">
        <v>150216.66666666701</v>
      </c>
      <c r="V891" s="105">
        <v>150216.66666666701</v>
      </c>
      <c r="W891" s="105">
        <v>150216.66666666701</v>
      </c>
      <c r="X891" s="105">
        <v>150216.66666666701</v>
      </c>
      <c r="Y891" s="105">
        <v>150216.66666666701</v>
      </c>
      <c r="Z891" s="105">
        <v>150216.66666666701</v>
      </c>
      <c r="AA891" s="105">
        <v>150216.66666666701</v>
      </c>
      <c r="AB891" s="105">
        <v>150216.66666666701</v>
      </c>
      <c r="AC891" s="8">
        <f t="shared" si="91"/>
        <v>3905633.3333333358</v>
      </c>
      <c r="AD891" s="8">
        <f t="shared" si="92"/>
        <v>3304766.6666666642</v>
      </c>
      <c r="AE891" s="8">
        <f t="shared" si="93"/>
        <v>150216.66666666701</v>
      </c>
      <c r="AF891" s="106">
        <f t="shared" si="94"/>
        <v>21.999999999999932</v>
      </c>
      <c r="AG891" s="8">
        <f t="shared" si="95"/>
        <v>150216.66666666701</v>
      </c>
      <c r="AH891" s="8">
        <f>IF($O891="Aktif",MAX(0,MIN($AE891,$AD891-SUM($AG891:AG891))),0)</f>
        <v>150216.66666666701</v>
      </c>
      <c r="AI891" s="8">
        <f>IF($O891="Aktif",MAX(0,MIN($AE891,$AD891-SUM($AG891:AH891))),0)</f>
        <v>150216.66666666701</v>
      </c>
      <c r="AJ891" s="8">
        <f>IF($O891="Aktif",MAX(0,MIN($AE891,$AD891-SUM($AG891:AI891))),0)</f>
        <v>150216.66666666701</v>
      </c>
      <c r="AK891" s="8">
        <f>IF($O891="Aktif",MAX(0,MIN($AE891,$AD891-SUM($AG891:AJ891))),0)</f>
        <v>150216.66666666701</v>
      </c>
      <c r="AL891" s="8">
        <f>IF($O891="Aktif",MAX(0,MIN($AE891,$AD891-SUM($AG891:AK891))),0)</f>
        <v>150216.66666666701</v>
      </c>
      <c r="AM891" s="8">
        <f>IF($O891="Aktif",MAX(0,MIN($AE891,$AD891-SUM($AG891:AL891))),0)</f>
        <v>150216.66666666701</v>
      </c>
      <c r="AN891" s="8">
        <f>IF($O891="Aktif",MAX(0,MIN($AE891,$AD891-SUM($AG891:AM891))),0)</f>
        <v>150216.66666666701</v>
      </c>
      <c r="AO891" s="8">
        <f>IF($O891="Aktif",MAX(0,MIN($AE891,$AD891-SUM($AG891:AN891))),0)</f>
        <v>150216.66666666701</v>
      </c>
      <c r="AP891" s="8">
        <f>IF($O891="Aktif",MAX(0,MIN($AE891,$AD891-SUM($AG891:AO891))),0)</f>
        <v>150216.66666666701</v>
      </c>
      <c r="AQ891" s="8">
        <f>IF($O891="Aktif",MAX(0,MIN($AE891,$AD891-SUM($AG891:AP891))),0)</f>
        <v>150216.66666666701</v>
      </c>
      <c r="AR891" s="8">
        <f>IF($O891="Aktif",MAX(0,MIN($AE891,$AD891-SUM($AG891:AQ891))),0)</f>
        <v>150216.66666666701</v>
      </c>
      <c r="AS891" s="8">
        <f>IF($O891="Aktif",MAX(0,MIN($AE891,$AD891-SUM($AG891:AR891))),0)</f>
        <v>150216.66666666701</v>
      </c>
      <c r="AT891" s="8">
        <f>IF($O891="Aktif",MAX(0,MIN($AE891,$AD891-SUM($AG891:AS891))),0)</f>
        <v>150216.66666666701</v>
      </c>
      <c r="AU891" s="8">
        <f>IF($O891="Aktif",MAX(0,MIN($AE891,$AD891-SUM($AG891:AT891))),0)</f>
        <v>150216.66666666701</v>
      </c>
      <c r="AV891" s="8">
        <f>IF($O891="Aktif",MAX(0,MIN($AE891,$AD891-SUM($AG891:AU891))),0)</f>
        <v>150216.66666666701</v>
      </c>
      <c r="AW891" s="8">
        <f t="shared" si="96"/>
        <v>2403466.6666666721</v>
      </c>
      <c r="AX891" s="8">
        <f t="shared" si="97"/>
        <v>901299.99999999208</v>
      </c>
    </row>
    <row r="892" spans="1:50" ht="15" customHeight="1" x14ac:dyDescent="0.35">
      <c r="A892" s="102">
        <v>886</v>
      </c>
      <c r="B892" s="102" t="s">
        <v>1326</v>
      </c>
      <c r="C892" s="103">
        <v>520</v>
      </c>
      <c r="D892" s="102" t="s">
        <v>185</v>
      </c>
      <c r="E892" s="102" t="s">
        <v>479</v>
      </c>
      <c r="F892" s="102" t="s">
        <v>2332</v>
      </c>
      <c r="G892" s="102" t="s">
        <v>2333</v>
      </c>
      <c r="H892" s="102" t="s">
        <v>2334</v>
      </c>
      <c r="I892" s="102" t="s">
        <v>63</v>
      </c>
      <c r="J892" s="102"/>
      <c r="K892" s="102" t="s">
        <v>2716</v>
      </c>
      <c r="L892" s="104">
        <v>45519</v>
      </c>
      <c r="M892" s="102" t="s">
        <v>2717</v>
      </c>
      <c r="N892" s="102" t="s">
        <v>2717</v>
      </c>
      <c r="O892" s="102" t="s">
        <v>383</v>
      </c>
      <c r="P892" s="103">
        <v>1</v>
      </c>
      <c r="Q892" s="105">
        <v>2935150</v>
      </c>
      <c r="R892" s="103">
        <v>48</v>
      </c>
      <c r="S892" s="105">
        <v>61148.958333333299</v>
      </c>
      <c r="T892" s="105">
        <v>1039532.29166667</v>
      </c>
      <c r="U892" s="105">
        <v>61148.958333333299</v>
      </c>
      <c r="V892" s="105">
        <v>61148.958333333299</v>
      </c>
      <c r="W892" s="105">
        <v>61148.958333333299</v>
      </c>
      <c r="X892" s="105">
        <v>61148.958333333299</v>
      </c>
      <c r="Y892" s="105">
        <v>61148.958333333299</v>
      </c>
      <c r="Z892" s="105">
        <v>61148.958333333299</v>
      </c>
      <c r="AA892" s="105">
        <v>61148.958333333299</v>
      </c>
      <c r="AB892" s="105">
        <v>61148.958333333299</v>
      </c>
      <c r="AC892" s="8">
        <f t="shared" si="91"/>
        <v>1528723.9583333365</v>
      </c>
      <c r="AD892" s="8">
        <f t="shared" si="92"/>
        <v>1406426.0416666635</v>
      </c>
      <c r="AE892" s="8">
        <f t="shared" si="93"/>
        <v>61148.958333333299</v>
      </c>
      <c r="AF892" s="106">
        <f t="shared" si="94"/>
        <v>22.999999999999961</v>
      </c>
      <c r="AG892" s="8">
        <f t="shared" si="95"/>
        <v>61148.958333333299</v>
      </c>
      <c r="AH892" s="8">
        <f>IF($O892="Aktif",MAX(0,MIN($AE892,$AD892-SUM($AG892:AG892))),0)</f>
        <v>61148.958333333299</v>
      </c>
      <c r="AI892" s="8">
        <f>IF($O892="Aktif",MAX(0,MIN($AE892,$AD892-SUM($AG892:AH892))),0)</f>
        <v>61148.958333333299</v>
      </c>
      <c r="AJ892" s="8">
        <f>IF($O892="Aktif",MAX(0,MIN($AE892,$AD892-SUM($AG892:AI892))),0)</f>
        <v>61148.958333333299</v>
      </c>
      <c r="AK892" s="8">
        <f>IF($O892="Aktif",MAX(0,MIN($AE892,$AD892-SUM($AG892:AJ892))),0)</f>
        <v>61148.958333333299</v>
      </c>
      <c r="AL892" s="8">
        <f>IF($O892="Aktif",MAX(0,MIN($AE892,$AD892-SUM($AG892:AK892))),0)</f>
        <v>61148.958333333299</v>
      </c>
      <c r="AM892" s="8">
        <f>IF($O892="Aktif",MAX(0,MIN($AE892,$AD892-SUM($AG892:AL892))),0)</f>
        <v>61148.958333333299</v>
      </c>
      <c r="AN892" s="8">
        <f>IF($O892="Aktif",MAX(0,MIN($AE892,$AD892-SUM($AG892:AM892))),0)</f>
        <v>61148.958333333299</v>
      </c>
      <c r="AO892" s="8">
        <f>IF($O892="Aktif",MAX(0,MIN($AE892,$AD892-SUM($AG892:AN892))),0)</f>
        <v>61148.958333333299</v>
      </c>
      <c r="AP892" s="8">
        <f>IF($O892="Aktif",MAX(0,MIN($AE892,$AD892-SUM($AG892:AO892))),0)</f>
        <v>61148.958333333299</v>
      </c>
      <c r="AQ892" s="8">
        <f>IF($O892="Aktif",MAX(0,MIN($AE892,$AD892-SUM($AG892:AP892))),0)</f>
        <v>61148.958333333299</v>
      </c>
      <c r="AR892" s="8">
        <f>IF($O892="Aktif",MAX(0,MIN($AE892,$AD892-SUM($AG892:AQ892))),0)</f>
        <v>61148.958333333299</v>
      </c>
      <c r="AS892" s="8">
        <f>IF($O892="Aktif",MAX(0,MIN($AE892,$AD892-SUM($AG892:AR892))),0)</f>
        <v>61148.958333333299</v>
      </c>
      <c r="AT892" s="8">
        <f>IF($O892="Aktif",MAX(0,MIN($AE892,$AD892-SUM($AG892:AS892))),0)</f>
        <v>61148.958333333299</v>
      </c>
      <c r="AU892" s="8">
        <f>IF($O892="Aktif",MAX(0,MIN($AE892,$AD892-SUM($AG892:AT892))),0)</f>
        <v>61148.958333333299</v>
      </c>
      <c r="AV892" s="8">
        <f>IF($O892="Aktif",MAX(0,MIN($AE892,$AD892-SUM($AG892:AU892))),0)</f>
        <v>61148.958333333299</v>
      </c>
      <c r="AW892" s="8">
        <f t="shared" si="96"/>
        <v>978383.33333333256</v>
      </c>
      <c r="AX892" s="8">
        <f t="shared" si="97"/>
        <v>428042.70833333093</v>
      </c>
    </row>
    <row r="893" spans="1:50" ht="15" customHeight="1" x14ac:dyDescent="0.35">
      <c r="A893" s="102">
        <v>887</v>
      </c>
      <c r="B893" s="102" t="s">
        <v>1326</v>
      </c>
      <c r="C893" s="103">
        <v>521</v>
      </c>
      <c r="D893" s="102" t="s">
        <v>185</v>
      </c>
      <c r="E893" s="102" t="s">
        <v>479</v>
      </c>
      <c r="F893" s="102" t="s">
        <v>2332</v>
      </c>
      <c r="G893" s="102" t="s">
        <v>2333</v>
      </c>
      <c r="H893" s="102" t="s">
        <v>2334</v>
      </c>
      <c r="I893" s="102" t="s">
        <v>63</v>
      </c>
      <c r="J893" s="102"/>
      <c r="K893" s="102" t="s">
        <v>2718</v>
      </c>
      <c r="L893" s="104">
        <v>45519</v>
      </c>
      <c r="M893" s="102" t="s">
        <v>2719</v>
      </c>
      <c r="N893" s="102" t="s">
        <v>2719</v>
      </c>
      <c r="O893" s="102" t="s">
        <v>383</v>
      </c>
      <c r="P893" s="103">
        <v>1</v>
      </c>
      <c r="Q893" s="105">
        <v>140000000</v>
      </c>
      <c r="R893" s="103">
        <v>48</v>
      </c>
      <c r="S893" s="105">
        <v>2916666.6666666698</v>
      </c>
      <c r="T893" s="105">
        <v>49583333.333333299</v>
      </c>
      <c r="U893" s="105">
        <v>2916666.6666666698</v>
      </c>
      <c r="V893" s="105">
        <v>2916666.6666666698</v>
      </c>
      <c r="W893" s="105">
        <v>2916666.6666666698</v>
      </c>
      <c r="X893" s="105">
        <v>2916666.6666666698</v>
      </c>
      <c r="Y893" s="105">
        <v>2916666.6666666698</v>
      </c>
      <c r="Z893" s="105">
        <v>2916666.6666666698</v>
      </c>
      <c r="AA893" s="105">
        <v>2916666.6666666698</v>
      </c>
      <c r="AB893" s="105">
        <v>2916666.6666666698</v>
      </c>
      <c r="AC893" s="8">
        <f t="shared" si="91"/>
        <v>72916666.666666657</v>
      </c>
      <c r="AD893" s="8">
        <f t="shared" si="92"/>
        <v>67083333.333333343</v>
      </c>
      <c r="AE893" s="8">
        <f t="shared" si="93"/>
        <v>2916666.6666666698</v>
      </c>
      <c r="AF893" s="106">
        <f t="shared" si="94"/>
        <v>22.999999999999979</v>
      </c>
      <c r="AG893" s="8">
        <f t="shared" si="95"/>
        <v>2916666.6666666698</v>
      </c>
      <c r="AH893" s="8">
        <f>IF($O893="Aktif",MAX(0,MIN($AE893,$AD893-SUM($AG893:AG893))),0)</f>
        <v>2916666.6666666698</v>
      </c>
      <c r="AI893" s="8">
        <f>IF($O893="Aktif",MAX(0,MIN($AE893,$AD893-SUM($AG893:AH893))),0)</f>
        <v>2916666.6666666698</v>
      </c>
      <c r="AJ893" s="8">
        <f>IF($O893="Aktif",MAX(0,MIN($AE893,$AD893-SUM($AG893:AI893))),0)</f>
        <v>2916666.6666666698</v>
      </c>
      <c r="AK893" s="8">
        <f>IF($O893="Aktif",MAX(0,MIN($AE893,$AD893-SUM($AG893:AJ893))),0)</f>
        <v>2916666.6666666698</v>
      </c>
      <c r="AL893" s="8">
        <f>IF($O893="Aktif",MAX(0,MIN($AE893,$AD893-SUM($AG893:AK893))),0)</f>
        <v>2916666.6666666698</v>
      </c>
      <c r="AM893" s="8">
        <f>IF($O893="Aktif",MAX(0,MIN($AE893,$AD893-SUM($AG893:AL893))),0)</f>
        <v>2916666.6666666698</v>
      </c>
      <c r="AN893" s="8">
        <f>IF($O893="Aktif",MAX(0,MIN($AE893,$AD893-SUM($AG893:AM893))),0)</f>
        <v>2916666.6666666698</v>
      </c>
      <c r="AO893" s="8">
        <f>IF($O893="Aktif",MAX(0,MIN($AE893,$AD893-SUM($AG893:AN893))),0)</f>
        <v>2916666.6666666698</v>
      </c>
      <c r="AP893" s="8">
        <f>IF($O893="Aktif",MAX(0,MIN($AE893,$AD893-SUM($AG893:AO893))),0)</f>
        <v>2916666.6666666698</v>
      </c>
      <c r="AQ893" s="8">
        <f>IF($O893="Aktif",MAX(0,MIN($AE893,$AD893-SUM($AG893:AP893))),0)</f>
        <v>2916666.6666666698</v>
      </c>
      <c r="AR893" s="8">
        <f>IF($O893="Aktif",MAX(0,MIN($AE893,$AD893-SUM($AG893:AQ893))),0)</f>
        <v>2916666.6666666698</v>
      </c>
      <c r="AS893" s="8">
        <f>IF($O893="Aktif",MAX(0,MIN($AE893,$AD893-SUM($AG893:AR893))),0)</f>
        <v>2916666.6666666698</v>
      </c>
      <c r="AT893" s="8">
        <f>IF($O893="Aktif",MAX(0,MIN($AE893,$AD893-SUM($AG893:AS893))),0)</f>
        <v>2916666.6666666698</v>
      </c>
      <c r="AU893" s="8">
        <f>IF($O893="Aktif",MAX(0,MIN($AE893,$AD893-SUM($AG893:AT893))),0)</f>
        <v>2916666.6666666698</v>
      </c>
      <c r="AV893" s="8">
        <f>IF($O893="Aktif",MAX(0,MIN($AE893,$AD893-SUM($AG893:AU893))),0)</f>
        <v>2916666.6666666698</v>
      </c>
      <c r="AW893" s="8">
        <f t="shared" si="96"/>
        <v>46666666.666666731</v>
      </c>
      <c r="AX893" s="8">
        <f t="shared" si="97"/>
        <v>20416666.666666612</v>
      </c>
    </row>
    <row r="894" spans="1:50" ht="15" customHeight="1" x14ac:dyDescent="0.35">
      <c r="A894" s="102">
        <v>888</v>
      </c>
      <c r="B894" s="102" t="s">
        <v>1326</v>
      </c>
      <c r="C894" s="103">
        <v>522</v>
      </c>
      <c r="D894" s="102" t="s">
        <v>185</v>
      </c>
      <c r="E894" s="102" t="s">
        <v>540</v>
      </c>
      <c r="F894" s="102" t="s">
        <v>2283</v>
      </c>
      <c r="G894" s="102" t="s">
        <v>2284</v>
      </c>
      <c r="H894" s="102" t="s">
        <v>2285</v>
      </c>
      <c r="I894" s="102" t="s">
        <v>63</v>
      </c>
      <c r="J894" s="102"/>
      <c r="K894" s="102" t="s">
        <v>2720</v>
      </c>
      <c r="L894" s="104">
        <v>45506</v>
      </c>
      <c r="M894" s="102" t="s">
        <v>2721</v>
      </c>
      <c r="N894" s="102" t="s">
        <v>2721</v>
      </c>
      <c r="O894" s="102" t="s">
        <v>383</v>
      </c>
      <c r="P894" s="103">
        <v>1</v>
      </c>
      <c r="Q894" s="105">
        <v>9000000</v>
      </c>
      <c r="R894" s="103">
        <v>96</v>
      </c>
      <c r="S894" s="105">
        <v>93750</v>
      </c>
      <c r="T894" s="105">
        <v>1593750</v>
      </c>
      <c r="U894" s="105">
        <v>93750</v>
      </c>
      <c r="V894" s="105">
        <v>93750</v>
      </c>
      <c r="W894" s="105">
        <v>93750</v>
      </c>
      <c r="X894" s="105">
        <v>93750</v>
      </c>
      <c r="Y894" s="105">
        <v>93750</v>
      </c>
      <c r="Z894" s="105">
        <v>93750</v>
      </c>
      <c r="AA894" s="105">
        <v>93750</v>
      </c>
      <c r="AB894" s="105">
        <v>93750</v>
      </c>
      <c r="AC894" s="8">
        <f t="shared" si="91"/>
        <v>2343750</v>
      </c>
      <c r="AD894" s="8">
        <f t="shared" si="92"/>
        <v>6656250</v>
      </c>
      <c r="AE894" s="8">
        <f t="shared" si="93"/>
        <v>93750</v>
      </c>
      <c r="AF894" s="106">
        <f t="shared" si="94"/>
        <v>71</v>
      </c>
      <c r="AG894" s="8">
        <f t="shared" si="95"/>
        <v>93750</v>
      </c>
      <c r="AH894" s="8">
        <f>IF($O894="Aktif",MAX(0,MIN($AE894,$AD894-SUM($AG894:AG894))),0)</f>
        <v>93750</v>
      </c>
      <c r="AI894" s="8">
        <f>IF($O894="Aktif",MAX(0,MIN($AE894,$AD894-SUM($AG894:AH894))),0)</f>
        <v>93750</v>
      </c>
      <c r="AJ894" s="8">
        <f>IF($O894="Aktif",MAX(0,MIN($AE894,$AD894-SUM($AG894:AI894))),0)</f>
        <v>93750</v>
      </c>
      <c r="AK894" s="8">
        <f>IF($O894="Aktif",MAX(0,MIN($AE894,$AD894-SUM($AG894:AJ894))),0)</f>
        <v>93750</v>
      </c>
      <c r="AL894" s="8">
        <f>IF($O894="Aktif",MAX(0,MIN($AE894,$AD894-SUM($AG894:AK894))),0)</f>
        <v>93750</v>
      </c>
      <c r="AM894" s="8">
        <f>IF($O894="Aktif",MAX(0,MIN($AE894,$AD894-SUM($AG894:AL894))),0)</f>
        <v>93750</v>
      </c>
      <c r="AN894" s="8">
        <f>IF($O894="Aktif",MAX(0,MIN($AE894,$AD894-SUM($AG894:AM894))),0)</f>
        <v>93750</v>
      </c>
      <c r="AO894" s="8">
        <f>IF($O894="Aktif",MAX(0,MIN($AE894,$AD894-SUM($AG894:AN894))),0)</f>
        <v>93750</v>
      </c>
      <c r="AP894" s="8">
        <f>IF($O894="Aktif",MAX(0,MIN($AE894,$AD894-SUM($AG894:AO894))),0)</f>
        <v>93750</v>
      </c>
      <c r="AQ894" s="8">
        <f>IF($O894="Aktif",MAX(0,MIN($AE894,$AD894-SUM($AG894:AP894))),0)</f>
        <v>93750</v>
      </c>
      <c r="AR894" s="8">
        <f>IF($O894="Aktif",MAX(0,MIN($AE894,$AD894-SUM($AG894:AQ894))),0)</f>
        <v>93750</v>
      </c>
      <c r="AS894" s="8">
        <f>IF($O894="Aktif",MAX(0,MIN($AE894,$AD894-SUM($AG894:AR894))),0)</f>
        <v>93750</v>
      </c>
      <c r="AT894" s="8">
        <f>IF($O894="Aktif",MAX(0,MIN($AE894,$AD894-SUM($AG894:AS894))),0)</f>
        <v>93750</v>
      </c>
      <c r="AU894" s="8">
        <f>IF($O894="Aktif",MAX(0,MIN($AE894,$AD894-SUM($AG894:AT894))),0)</f>
        <v>93750</v>
      </c>
      <c r="AV894" s="8">
        <f>IF($O894="Aktif",MAX(0,MIN($AE894,$AD894-SUM($AG894:AU894))),0)</f>
        <v>93750</v>
      </c>
      <c r="AW894" s="8">
        <f t="shared" si="96"/>
        <v>1500000</v>
      </c>
      <c r="AX894" s="8">
        <f t="shared" si="97"/>
        <v>5156250</v>
      </c>
    </row>
    <row r="895" spans="1:50" ht="15" customHeight="1" x14ac:dyDescent="0.35">
      <c r="A895" s="102">
        <v>889</v>
      </c>
      <c r="B895" s="102" t="s">
        <v>1326</v>
      </c>
      <c r="C895" s="103">
        <v>523</v>
      </c>
      <c r="D895" s="102" t="s">
        <v>185</v>
      </c>
      <c r="E895" s="102" t="s">
        <v>479</v>
      </c>
      <c r="F895" s="102" t="s">
        <v>2332</v>
      </c>
      <c r="G895" s="102" t="s">
        <v>2333</v>
      </c>
      <c r="H895" s="102" t="s">
        <v>2334</v>
      </c>
      <c r="I895" s="102" t="s">
        <v>63</v>
      </c>
      <c r="J895" s="102"/>
      <c r="K895" s="102"/>
      <c r="L895" s="104">
        <v>45550</v>
      </c>
      <c r="M895" s="102" t="s">
        <v>2722</v>
      </c>
      <c r="N895" s="102" t="s">
        <v>2722</v>
      </c>
      <c r="O895" s="102" t="s">
        <v>383</v>
      </c>
      <c r="P895" s="103">
        <v>1</v>
      </c>
      <c r="Q895" s="105">
        <v>39667770</v>
      </c>
      <c r="R895" s="103">
        <v>48</v>
      </c>
      <c r="S895" s="105">
        <v>826411.875</v>
      </c>
      <c r="T895" s="105">
        <v>13222590</v>
      </c>
      <c r="U895" s="105">
        <v>826411.875</v>
      </c>
      <c r="V895" s="105">
        <v>826411.875</v>
      </c>
      <c r="W895" s="105">
        <v>826411.875</v>
      </c>
      <c r="X895" s="105">
        <v>826411.875</v>
      </c>
      <c r="Y895" s="105">
        <v>826411.875</v>
      </c>
      <c r="Z895" s="105">
        <v>826411.875</v>
      </c>
      <c r="AA895" s="105">
        <v>826411.875</v>
      </c>
      <c r="AB895" s="105">
        <v>826411.875</v>
      </c>
      <c r="AC895" s="8">
        <f t="shared" si="91"/>
        <v>19833885</v>
      </c>
      <c r="AD895" s="8">
        <f t="shared" si="92"/>
        <v>19833885</v>
      </c>
      <c r="AE895" s="8">
        <f t="shared" si="93"/>
        <v>826411.875</v>
      </c>
      <c r="AF895" s="106">
        <f t="shared" si="94"/>
        <v>24</v>
      </c>
      <c r="AG895" s="8">
        <f t="shared" si="95"/>
        <v>826411.875</v>
      </c>
      <c r="AH895" s="8">
        <f>IF($O895="Aktif",MAX(0,MIN($AE895,$AD895-SUM($AG895:AG895))),0)</f>
        <v>826411.875</v>
      </c>
      <c r="AI895" s="8">
        <f>IF($O895="Aktif",MAX(0,MIN($AE895,$AD895-SUM($AG895:AH895))),0)</f>
        <v>826411.875</v>
      </c>
      <c r="AJ895" s="8">
        <f>IF($O895="Aktif",MAX(0,MIN($AE895,$AD895-SUM($AG895:AI895))),0)</f>
        <v>826411.875</v>
      </c>
      <c r="AK895" s="8">
        <f>IF($O895="Aktif",MAX(0,MIN($AE895,$AD895-SUM($AG895:AJ895))),0)</f>
        <v>826411.875</v>
      </c>
      <c r="AL895" s="8">
        <f>IF($O895="Aktif",MAX(0,MIN($AE895,$AD895-SUM($AG895:AK895))),0)</f>
        <v>826411.875</v>
      </c>
      <c r="AM895" s="8">
        <f>IF($O895="Aktif",MAX(0,MIN($AE895,$AD895-SUM($AG895:AL895))),0)</f>
        <v>826411.875</v>
      </c>
      <c r="AN895" s="8">
        <f>IF($O895="Aktif",MAX(0,MIN($AE895,$AD895-SUM($AG895:AM895))),0)</f>
        <v>826411.875</v>
      </c>
      <c r="AO895" s="8">
        <f>IF($O895="Aktif",MAX(0,MIN($AE895,$AD895-SUM($AG895:AN895))),0)</f>
        <v>826411.875</v>
      </c>
      <c r="AP895" s="8">
        <f>IF($O895="Aktif",MAX(0,MIN($AE895,$AD895-SUM($AG895:AO895))),0)</f>
        <v>826411.875</v>
      </c>
      <c r="AQ895" s="8">
        <f>IF($O895="Aktif",MAX(0,MIN($AE895,$AD895-SUM($AG895:AP895))),0)</f>
        <v>826411.875</v>
      </c>
      <c r="AR895" s="8">
        <f>IF($O895="Aktif",MAX(0,MIN($AE895,$AD895-SUM($AG895:AQ895))),0)</f>
        <v>826411.875</v>
      </c>
      <c r="AS895" s="8">
        <f>IF($O895="Aktif",MAX(0,MIN($AE895,$AD895-SUM($AG895:AR895))),0)</f>
        <v>826411.875</v>
      </c>
      <c r="AT895" s="8">
        <f>IF($O895="Aktif",MAX(0,MIN($AE895,$AD895-SUM($AG895:AS895))),0)</f>
        <v>826411.875</v>
      </c>
      <c r="AU895" s="8">
        <f>IF($O895="Aktif",MAX(0,MIN($AE895,$AD895-SUM($AG895:AT895))),0)</f>
        <v>826411.875</v>
      </c>
      <c r="AV895" s="8">
        <f>IF($O895="Aktif",MAX(0,MIN($AE895,$AD895-SUM($AG895:AU895))),0)</f>
        <v>826411.875</v>
      </c>
      <c r="AW895" s="8">
        <f t="shared" si="96"/>
        <v>13222590</v>
      </c>
      <c r="AX895" s="8">
        <f t="shared" si="97"/>
        <v>6611295</v>
      </c>
    </row>
    <row r="896" spans="1:50" ht="15" customHeight="1" x14ac:dyDescent="0.35">
      <c r="A896" s="102">
        <v>890</v>
      </c>
      <c r="B896" s="102" t="s">
        <v>1326</v>
      </c>
      <c r="C896" s="103">
        <v>524</v>
      </c>
      <c r="D896" s="102" t="s">
        <v>185</v>
      </c>
      <c r="E896" s="102" t="s">
        <v>479</v>
      </c>
      <c r="F896" s="102" t="s">
        <v>2332</v>
      </c>
      <c r="G896" s="102" t="s">
        <v>2333</v>
      </c>
      <c r="H896" s="102" t="s">
        <v>2334</v>
      </c>
      <c r="I896" s="102" t="s">
        <v>63</v>
      </c>
      <c r="J896" s="102"/>
      <c r="K896" s="102"/>
      <c r="L896" s="104">
        <v>45550</v>
      </c>
      <c r="M896" s="102" t="s">
        <v>2723</v>
      </c>
      <c r="N896" s="102" t="s">
        <v>2723</v>
      </c>
      <c r="O896" s="102" t="s">
        <v>383</v>
      </c>
      <c r="P896" s="103">
        <v>1</v>
      </c>
      <c r="Q896" s="105">
        <v>40332230</v>
      </c>
      <c r="R896" s="103">
        <v>48</v>
      </c>
      <c r="S896" s="105">
        <v>840254.79166666698</v>
      </c>
      <c r="T896" s="105">
        <v>13444076.6666667</v>
      </c>
      <c r="U896" s="105">
        <v>840254.79166666698</v>
      </c>
      <c r="V896" s="105">
        <v>840254.79166666698</v>
      </c>
      <c r="W896" s="105">
        <v>840254.79166666698</v>
      </c>
      <c r="X896" s="105">
        <v>840254.79166666698</v>
      </c>
      <c r="Y896" s="105">
        <v>840254.79166666698</v>
      </c>
      <c r="Z896" s="105">
        <v>840254.79166666698</v>
      </c>
      <c r="AA896" s="105">
        <v>840254.79166666698</v>
      </c>
      <c r="AB896" s="105">
        <v>840254.79166666698</v>
      </c>
      <c r="AC896" s="8">
        <f t="shared" si="91"/>
        <v>20166115.000000037</v>
      </c>
      <c r="AD896" s="8">
        <f t="shared" si="92"/>
        <v>20166114.999999963</v>
      </c>
      <c r="AE896" s="8">
        <f t="shared" si="93"/>
        <v>840254.79166666698</v>
      </c>
      <c r="AF896" s="106">
        <f t="shared" si="94"/>
        <v>23.999999999999947</v>
      </c>
      <c r="AG896" s="8">
        <f t="shared" si="95"/>
        <v>840254.79166666698</v>
      </c>
      <c r="AH896" s="8">
        <f>IF($O896="Aktif",MAX(0,MIN($AE896,$AD896-SUM($AG896:AG896))),0)</f>
        <v>840254.79166666698</v>
      </c>
      <c r="AI896" s="8">
        <f>IF($O896="Aktif",MAX(0,MIN($AE896,$AD896-SUM($AG896:AH896))),0)</f>
        <v>840254.79166666698</v>
      </c>
      <c r="AJ896" s="8">
        <f>IF($O896="Aktif",MAX(0,MIN($AE896,$AD896-SUM($AG896:AI896))),0)</f>
        <v>840254.79166666698</v>
      </c>
      <c r="AK896" s="8">
        <f>IF($O896="Aktif",MAX(0,MIN($AE896,$AD896-SUM($AG896:AJ896))),0)</f>
        <v>840254.79166666698</v>
      </c>
      <c r="AL896" s="8">
        <f>IF($O896="Aktif",MAX(0,MIN($AE896,$AD896-SUM($AG896:AK896))),0)</f>
        <v>840254.79166666698</v>
      </c>
      <c r="AM896" s="8">
        <f>IF($O896="Aktif",MAX(0,MIN($AE896,$AD896-SUM($AG896:AL896))),0)</f>
        <v>840254.79166666698</v>
      </c>
      <c r="AN896" s="8">
        <f>IF($O896="Aktif",MAX(0,MIN($AE896,$AD896-SUM($AG896:AM896))),0)</f>
        <v>840254.79166666698</v>
      </c>
      <c r="AO896" s="8">
        <f>IF($O896="Aktif",MAX(0,MIN($AE896,$AD896-SUM($AG896:AN896))),0)</f>
        <v>840254.79166666698</v>
      </c>
      <c r="AP896" s="8">
        <f>IF($O896="Aktif",MAX(0,MIN($AE896,$AD896-SUM($AG896:AO896))),0)</f>
        <v>840254.79166666698</v>
      </c>
      <c r="AQ896" s="8">
        <f>IF($O896="Aktif",MAX(0,MIN($AE896,$AD896-SUM($AG896:AP896))),0)</f>
        <v>840254.79166666698</v>
      </c>
      <c r="AR896" s="8">
        <f>IF($O896="Aktif",MAX(0,MIN($AE896,$AD896-SUM($AG896:AQ896))),0)</f>
        <v>840254.79166666698</v>
      </c>
      <c r="AS896" s="8">
        <f>IF($O896="Aktif",MAX(0,MIN($AE896,$AD896-SUM($AG896:AR896))),0)</f>
        <v>840254.79166666698</v>
      </c>
      <c r="AT896" s="8">
        <f>IF($O896="Aktif",MAX(0,MIN($AE896,$AD896-SUM($AG896:AS896))),0)</f>
        <v>840254.79166666698</v>
      </c>
      <c r="AU896" s="8">
        <f>IF($O896="Aktif",MAX(0,MIN($AE896,$AD896-SUM($AG896:AT896))),0)</f>
        <v>840254.79166666698</v>
      </c>
      <c r="AV896" s="8">
        <f>IF($O896="Aktif",MAX(0,MIN($AE896,$AD896-SUM($AG896:AU896))),0)</f>
        <v>840254.79166666698</v>
      </c>
      <c r="AW896" s="8">
        <f t="shared" si="96"/>
        <v>13444076.666666675</v>
      </c>
      <c r="AX896" s="8">
        <f t="shared" si="97"/>
        <v>6722038.3333332874</v>
      </c>
    </row>
    <row r="897" spans="1:50" ht="15" customHeight="1" x14ac:dyDescent="0.35">
      <c r="A897" s="102">
        <v>891</v>
      </c>
      <c r="B897" s="102" t="s">
        <v>1326</v>
      </c>
      <c r="C897" s="103">
        <v>525</v>
      </c>
      <c r="D897" s="102" t="s">
        <v>185</v>
      </c>
      <c r="E897" s="102" t="s">
        <v>479</v>
      </c>
      <c r="F897" s="102" t="s">
        <v>2332</v>
      </c>
      <c r="G897" s="102" t="s">
        <v>2333</v>
      </c>
      <c r="H897" s="102" t="s">
        <v>2334</v>
      </c>
      <c r="I897" s="102" t="s">
        <v>63</v>
      </c>
      <c r="J897" s="102"/>
      <c r="K897" s="102"/>
      <c r="L897" s="104">
        <v>45538</v>
      </c>
      <c r="M897" s="102" t="s">
        <v>2724</v>
      </c>
      <c r="N897" s="102" t="s">
        <v>2724</v>
      </c>
      <c r="O897" s="102" t="s">
        <v>383</v>
      </c>
      <c r="P897" s="103">
        <v>1</v>
      </c>
      <c r="Q897" s="105">
        <v>8435000</v>
      </c>
      <c r="R897" s="103">
        <v>48</v>
      </c>
      <c r="S897" s="105">
        <v>175729.16666666701</v>
      </c>
      <c r="T897" s="105">
        <v>2811666.6666666698</v>
      </c>
      <c r="U897" s="105">
        <v>175729.16666666701</v>
      </c>
      <c r="V897" s="105">
        <v>175729.16666666701</v>
      </c>
      <c r="W897" s="105">
        <v>175729.16666666701</v>
      </c>
      <c r="X897" s="105">
        <v>175729.16666666701</v>
      </c>
      <c r="Y897" s="105">
        <v>175729.16666666701</v>
      </c>
      <c r="Z897" s="105">
        <v>175729.16666666701</v>
      </c>
      <c r="AA897" s="105">
        <v>175729.16666666701</v>
      </c>
      <c r="AB897" s="105">
        <v>175729.16666666701</v>
      </c>
      <c r="AC897" s="8">
        <f t="shared" si="91"/>
        <v>4217500.0000000056</v>
      </c>
      <c r="AD897" s="8">
        <f t="shared" si="92"/>
        <v>4217499.9999999944</v>
      </c>
      <c r="AE897" s="8">
        <f t="shared" si="93"/>
        <v>175729.16666666701</v>
      </c>
      <c r="AF897" s="106">
        <f t="shared" si="94"/>
        <v>23.999999999999922</v>
      </c>
      <c r="AG897" s="8">
        <f t="shared" si="95"/>
        <v>175729.16666666701</v>
      </c>
      <c r="AH897" s="8">
        <f>IF($O897="Aktif",MAX(0,MIN($AE897,$AD897-SUM($AG897:AG897))),0)</f>
        <v>175729.16666666701</v>
      </c>
      <c r="AI897" s="8">
        <f>IF($O897="Aktif",MAX(0,MIN($AE897,$AD897-SUM($AG897:AH897))),0)</f>
        <v>175729.16666666701</v>
      </c>
      <c r="AJ897" s="8">
        <f>IF($O897="Aktif",MAX(0,MIN($AE897,$AD897-SUM($AG897:AI897))),0)</f>
        <v>175729.16666666701</v>
      </c>
      <c r="AK897" s="8">
        <f>IF($O897="Aktif",MAX(0,MIN($AE897,$AD897-SUM($AG897:AJ897))),0)</f>
        <v>175729.16666666701</v>
      </c>
      <c r="AL897" s="8">
        <f>IF($O897="Aktif",MAX(0,MIN($AE897,$AD897-SUM($AG897:AK897))),0)</f>
        <v>175729.16666666701</v>
      </c>
      <c r="AM897" s="8">
        <f>IF($O897="Aktif",MAX(0,MIN($AE897,$AD897-SUM($AG897:AL897))),0)</f>
        <v>175729.16666666701</v>
      </c>
      <c r="AN897" s="8">
        <f>IF($O897="Aktif",MAX(0,MIN($AE897,$AD897-SUM($AG897:AM897))),0)</f>
        <v>175729.16666666701</v>
      </c>
      <c r="AO897" s="8">
        <f>IF($O897="Aktif",MAX(0,MIN($AE897,$AD897-SUM($AG897:AN897))),0)</f>
        <v>175729.16666666701</v>
      </c>
      <c r="AP897" s="8">
        <f>IF($O897="Aktif",MAX(0,MIN($AE897,$AD897-SUM($AG897:AO897))),0)</f>
        <v>175729.16666666701</v>
      </c>
      <c r="AQ897" s="8">
        <f>IF($O897="Aktif",MAX(0,MIN($AE897,$AD897-SUM($AG897:AP897))),0)</f>
        <v>175729.16666666701</v>
      </c>
      <c r="AR897" s="8">
        <f>IF($O897="Aktif",MAX(0,MIN($AE897,$AD897-SUM($AG897:AQ897))),0)</f>
        <v>175729.16666666701</v>
      </c>
      <c r="AS897" s="8">
        <f>IF($O897="Aktif",MAX(0,MIN($AE897,$AD897-SUM($AG897:AR897))),0)</f>
        <v>175729.16666666701</v>
      </c>
      <c r="AT897" s="8">
        <f>IF($O897="Aktif",MAX(0,MIN($AE897,$AD897-SUM($AG897:AS897))),0)</f>
        <v>175729.16666666701</v>
      </c>
      <c r="AU897" s="8">
        <f>IF($O897="Aktif",MAX(0,MIN($AE897,$AD897-SUM($AG897:AT897))),0)</f>
        <v>175729.16666666701</v>
      </c>
      <c r="AV897" s="8">
        <f>IF($O897="Aktif",MAX(0,MIN($AE897,$AD897-SUM($AG897:AU897))),0)</f>
        <v>175729.16666666701</v>
      </c>
      <c r="AW897" s="8">
        <f t="shared" si="96"/>
        <v>2811666.6666666721</v>
      </c>
      <c r="AX897" s="8">
        <f t="shared" si="97"/>
        <v>1405833.3333333223</v>
      </c>
    </row>
    <row r="898" spans="1:50" ht="15" customHeight="1" x14ac:dyDescent="0.35">
      <c r="A898" s="102">
        <v>892</v>
      </c>
      <c r="B898" s="102" t="s">
        <v>1326</v>
      </c>
      <c r="C898" s="103">
        <v>526</v>
      </c>
      <c r="D898" s="102" t="s">
        <v>185</v>
      </c>
      <c r="E898" s="102" t="s">
        <v>479</v>
      </c>
      <c r="F898" s="102" t="s">
        <v>2332</v>
      </c>
      <c r="G898" s="102" t="s">
        <v>2333</v>
      </c>
      <c r="H898" s="102" t="s">
        <v>2334</v>
      </c>
      <c r="I898" s="102" t="s">
        <v>63</v>
      </c>
      <c r="J898" s="102"/>
      <c r="K898" s="102"/>
      <c r="L898" s="104">
        <v>45566</v>
      </c>
      <c r="M898" s="102" t="s">
        <v>2725</v>
      </c>
      <c r="N898" s="102" t="s">
        <v>2725</v>
      </c>
      <c r="O898" s="102" t="s">
        <v>383</v>
      </c>
      <c r="P898" s="103">
        <v>1</v>
      </c>
      <c r="Q898" s="105">
        <v>3400000</v>
      </c>
      <c r="R898" s="103">
        <v>48</v>
      </c>
      <c r="S898" s="105">
        <v>70833.333333333299</v>
      </c>
      <c r="T898" s="105">
        <v>1062500</v>
      </c>
      <c r="U898" s="105">
        <v>70833.333333333299</v>
      </c>
      <c r="V898" s="105">
        <v>70833.333333333299</v>
      </c>
      <c r="W898" s="105">
        <v>70833.333333333299</v>
      </c>
      <c r="X898" s="105">
        <v>70833.333333333299</v>
      </c>
      <c r="Y898" s="105">
        <v>70833.333333333299</v>
      </c>
      <c r="Z898" s="105">
        <v>70833.333333333299</v>
      </c>
      <c r="AA898" s="105">
        <v>70833.333333333299</v>
      </c>
      <c r="AB898" s="105">
        <v>70833.333333333299</v>
      </c>
      <c r="AC898" s="8">
        <f t="shared" si="91"/>
        <v>1629166.6666666665</v>
      </c>
      <c r="AD898" s="8">
        <f t="shared" si="92"/>
        <v>1770833.3333333335</v>
      </c>
      <c r="AE898" s="8">
        <f t="shared" si="93"/>
        <v>70833.333333333299</v>
      </c>
      <c r="AF898" s="106">
        <f t="shared" si="94"/>
        <v>25.000000000000014</v>
      </c>
      <c r="AG898" s="8">
        <f t="shared" si="95"/>
        <v>70833.333333333299</v>
      </c>
      <c r="AH898" s="8">
        <f>IF($O898="Aktif",MAX(0,MIN($AE898,$AD898-SUM($AG898:AG898))),0)</f>
        <v>70833.333333333299</v>
      </c>
      <c r="AI898" s="8">
        <f>IF($O898="Aktif",MAX(0,MIN($AE898,$AD898-SUM($AG898:AH898))),0)</f>
        <v>70833.333333333299</v>
      </c>
      <c r="AJ898" s="8">
        <f>IF($O898="Aktif",MAX(0,MIN($AE898,$AD898-SUM($AG898:AI898))),0)</f>
        <v>70833.333333333299</v>
      </c>
      <c r="AK898" s="8">
        <f>IF($O898="Aktif",MAX(0,MIN($AE898,$AD898-SUM($AG898:AJ898))),0)</f>
        <v>70833.333333333299</v>
      </c>
      <c r="AL898" s="8">
        <f>IF($O898="Aktif",MAX(0,MIN($AE898,$AD898-SUM($AG898:AK898))),0)</f>
        <v>70833.333333333299</v>
      </c>
      <c r="AM898" s="8">
        <f>IF($O898="Aktif",MAX(0,MIN($AE898,$AD898-SUM($AG898:AL898))),0)</f>
        <v>70833.333333333299</v>
      </c>
      <c r="AN898" s="8">
        <f>IF($O898="Aktif",MAX(0,MIN($AE898,$AD898-SUM($AG898:AM898))),0)</f>
        <v>70833.333333333299</v>
      </c>
      <c r="AO898" s="8">
        <f>IF($O898="Aktif",MAX(0,MIN($AE898,$AD898-SUM($AG898:AN898))),0)</f>
        <v>70833.333333333299</v>
      </c>
      <c r="AP898" s="8">
        <f>IF($O898="Aktif",MAX(0,MIN($AE898,$AD898-SUM($AG898:AO898))),0)</f>
        <v>70833.333333333299</v>
      </c>
      <c r="AQ898" s="8">
        <f>IF($O898="Aktif",MAX(0,MIN($AE898,$AD898-SUM($AG898:AP898))),0)</f>
        <v>70833.333333333299</v>
      </c>
      <c r="AR898" s="8">
        <f>IF($O898="Aktif",MAX(0,MIN($AE898,$AD898-SUM($AG898:AQ898))),0)</f>
        <v>70833.333333333299</v>
      </c>
      <c r="AS898" s="8">
        <f>IF($O898="Aktif",MAX(0,MIN($AE898,$AD898-SUM($AG898:AR898))),0)</f>
        <v>70833.333333333299</v>
      </c>
      <c r="AT898" s="8">
        <f>IF($O898="Aktif",MAX(0,MIN($AE898,$AD898-SUM($AG898:AS898))),0)</f>
        <v>70833.333333333299</v>
      </c>
      <c r="AU898" s="8">
        <f>IF($O898="Aktif",MAX(0,MIN($AE898,$AD898-SUM($AG898:AT898))),0)</f>
        <v>70833.333333333299</v>
      </c>
      <c r="AV898" s="8">
        <f>IF($O898="Aktif",MAX(0,MIN($AE898,$AD898-SUM($AG898:AU898))),0)</f>
        <v>70833.333333333299</v>
      </c>
      <c r="AW898" s="8">
        <f t="shared" si="96"/>
        <v>1133333.3333333326</v>
      </c>
      <c r="AX898" s="8">
        <f t="shared" si="97"/>
        <v>637500.00000000093</v>
      </c>
    </row>
    <row r="899" spans="1:50" ht="15" customHeight="1" x14ac:dyDescent="0.35">
      <c r="A899" s="102">
        <v>893</v>
      </c>
      <c r="B899" s="102" t="s">
        <v>1326</v>
      </c>
      <c r="C899" s="103">
        <v>527</v>
      </c>
      <c r="D899" s="102" t="s">
        <v>185</v>
      </c>
      <c r="E899" s="102" t="s">
        <v>479</v>
      </c>
      <c r="F899" s="102" t="s">
        <v>2332</v>
      </c>
      <c r="G899" s="102" t="s">
        <v>2333</v>
      </c>
      <c r="H899" s="102" t="s">
        <v>2334</v>
      </c>
      <c r="I899" s="102" t="s">
        <v>63</v>
      </c>
      <c r="J899" s="102"/>
      <c r="K899" s="102"/>
      <c r="L899" s="104">
        <v>45566</v>
      </c>
      <c r="M899" s="102" t="s">
        <v>2726</v>
      </c>
      <c r="N899" s="102" t="s">
        <v>2726</v>
      </c>
      <c r="O899" s="102" t="s">
        <v>383</v>
      </c>
      <c r="P899" s="103">
        <v>1</v>
      </c>
      <c r="Q899" s="105">
        <v>3400000</v>
      </c>
      <c r="R899" s="103">
        <v>48</v>
      </c>
      <c r="S899" s="105">
        <v>70833.333333333299</v>
      </c>
      <c r="T899" s="105">
        <v>1062500</v>
      </c>
      <c r="U899" s="105">
        <v>70833.333333333299</v>
      </c>
      <c r="V899" s="105">
        <v>70833.333333333299</v>
      </c>
      <c r="W899" s="105">
        <v>70833.333333333299</v>
      </c>
      <c r="X899" s="105">
        <v>70833.333333333299</v>
      </c>
      <c r="Y899" s="105">
        <v>70833.333333333299</v>
      </c>
      <c r="Z899" s="105">
        <v>70833.333333333299</v>
      </c>
      <c r="AA899" s="105">
        <v>70833.333333333299</v>
      </c>
      <c r="AB899" s="105">
        <v>70833.333333333299</v>
      </c>
      <c r="AC899" s="8">
        <f t="shared" si="91"/>
        <v>1629166.6666666665</v>
      </c>
      <c r="AD899" s="8">
        <f t="shared" si="92"/>
        <v>1770833.3333333335</v>
      </c>
      <c r="AE899" s="8">
        <f t="shared" si="93"/>
        <v>70833.333333333299</v>
      </c>
      <c r="AF899" s="106">
        <f t="shared" si="94"/>
        <v>25.000000000000014</v>
      </c>
      <c r="AG899" s="8">
        <f t="shared" si="95"/>
        <v>70833.333333333299</v>
      </c>
      <c r="AH899" s="8">
        <f>IF($O899="Aktif",MAX(0,MIN($AE899,$AD899-SUM($AG899:AG899))),0)</f>
        <v>70833.333333333299</v>
      </c>
      <c r="AI899" s="8">
        <f>IF($O899="Aktif",MAX(0,MIN($AE899,$AD899-SUM($AG899:AH899))),0)</f>
        <v>70833.333333333299</v>
      </c>
      <c r="AJ899" s="8">
        <f>IF($O899="Aktif",MAX(0,MIN($AE899,$AD899-SUM($AG899:AI899))),0)</f>
        <v>70833.333333333299</v>
      </c>
      <c r="AK899" s="8">
        <f>IF($O899="Aktif",MAX(0,MIN($AE899,$AD899-SUM($AG899:AJ899))),0)</f>
        <v>70833.333333333299</v>
      </c>
      <c r="AL899" s="8">
        <f>IF($O899="Aktif",MAX(0,MIN($AE899,$AD899-SUM($AG899:AK899))),0)</f>
        <v>70833.333333333299</v>
      </c>
      <c r="AM899" s="8">
        <f>IF($O899="Aktif",MAX(0,MIN($AE899,$AD899-SUM($AG899:AL899))),0)</f>
        <v>70833.333333333299</v>
      </c>
      <c r="AN899" s="8">
        <f>IF($O899="Aktif",MAX(0,MIN($AE899,$AD899-SUM($AG899:AM899))),0)</f>
        <v>70833.333333333299</v>
      </c>
      <c r="AO899" s="8">
        <f>IF($O899="Aktif",MAX(0,MIN($AE899,$AD899-SUM($AG899:AN899))),0)</f>
        <v>70833.333333333299</v>
      </c>
      <c r="AP899" s="8">
        <f>IF($O899="Aktif",MAX(0,MIN($AE899,$AD899-SUM($AG899:AO899))),0)</f>
        <v>70833.333333333299</v>
      </c>
      <c r="AQ899" s="8">
        <f>IF($O899="Aktif",MAX(0,MIN($AE899,$AD899-SUM($AG899:AP899))),0)</f>
        <v>70833.333333333299</v>
      </c>
      <c r="AR899" s="8">
        <f>IF($O899="Aktif",MAX(0,MIN($AE899,$AD899-SUM($AG899:AQ899))),0)</f>
        <v>70833.333333333299</v>
      </c>
      <c r="AS899" s="8">
        <f>IF($O899="Aktif",MAX(0,MIN($AE899,$AD899-SUM($AG899:AR899))),0)</f>
        <v>70833.333333333299</v>
      </c>
      <c r="AT899" s="8">
        <f>IF($O899="Aktif",MAX(0,MIN($AE899,$AD899-SUM($AG899:AS899))),0)</f>
        <v>70833.333333333299</v>
      </c>
      <c r="AU899" s="8">
        <f>IF($O899="Aktif",MAX(0,MIN($AE899,$AD899-SUM($AG899:AT899))),0)</f>
        <v>70833.333333333299</v>
      </c>
      <c r="AV899" s="8">
        <f>IF($O899="Aktif",MAX(0,MIN($AE899,$AD899-SUM($AG899:AU899))),0)</f>
        <v>70833.333333333299</v>
      </c>
      <c r="AW899" s="8">
        <f t="shared" si="96"/>
        <v>1133333.3333333326</v>
      </c>
      <c r="AX899" s="8">
        <f t="shared" si="97"/>
        <v>637500.00000000093</v>
      </c>
    </row>
    <row r="900" spans="1:50" ht="15" customHeight="1" x14ac:dyDescent="0.35">
      <c r="A900" s="102">
        <v>894</v>
      </c>
      <c r="B900" s="102" t="s">
        <v>1326</v>
      </c>
      <c r="C900" s="103">
        <v>528</v>
      </c>
      <c r="D900" s="102" t="s">
        <v>185</v>
      </c>
      <c r="E900" s="102" t="s">
        <v>479</v>
      </c>
      <c r="F900" s="102" t="s">
        <v>2332</v>
      </c>
      <c r="G900" s="102" t="s">
        <v>2333</v>
      </c>
      <c r="H900" s="102" t="s">
        <v>2334</v>
      </c>
      <c r="I900" s="102" t="s">
        <v>63</v>
      </c>
      <c r="J900" s="102"/>
      <c r="K900" s="102"/>
      <c r="L900" s="104">
        <v>45580</v>
      </c>
      <c r="M900" s="102" t="s">
        <v>2727</v>
      </c>
      <c r="N900" s="102" t="s">
        <v>2727</v>
      </c>
      <c r="O900" s="102" t="s">
        <v>383</v>
      </c>
      <c r="P900" s="103">
        <v>1</v>
      </c>
      <c r="Q900" s="105">
        <v>32265784</v>
      </c>
      <c r="R900" s="103">
        <v>48</v>
      </c>
      <c r="S900" s="105">
        <v>672203.83333333302</v>
      </c>
      <c r="T900" s="105">
        <v>10083057.5</v>
      </c>
      <c r="U900" s="105">
        <v>672203.83333333302</v>
      </c>
      <c r="V900" s="105">
        <v>672203.83333333302</v>
      </c>
      <c r="W900" s="105">
        <v>672203.83333333302</v>
      </c>
      <c r="X900" s="105">
        <v>672203.83333333302</v>
      </c>
      <c r="Y900" s="105">
        <v>672203.83333333302</v>
      </c>
      <c r="Z900" s="105">
        <v>672203.83333333302</v>
      </c>
      <c r="AA900" s="105">
        <v>672203.83333333302</v>
      </c>
      <c r="AB900" s="105">
        <v>672203.83333333302</v>
      </c>
      <c r="AC900" s="8">
        <f t="shared" si="91"/>
        <v>15460688.166666664</v>
      </c>
      <c r="AD900" s="8">
        <f t="shared" si="92"/>
        <v>16805095.833333336</v>
      </c>
      <c r="AE900" s="8">
        <f t="shared" si="93"/>
        <v>672203.83333333302</v>
      </c>
      <c r="AF900" s="106">
        <f t="shared" si="94"/>
        <v>25.000000000000014</v>
      </c>
      <c r="AG900" s="8">
        <f t="shared" si="95"/>
        <v>672203.83333333302</v>
      </c>
      <c r="AH900" s="8">
        <f>IF($O900="Aktif",MAX(0,MIN($AE900,$AD900-SUM($AG900:AG900))),0)</f>
        <v>672203.83333333302</v>
      </c>
      <c r="AI900" s="8">
        <f>IF($O900="Aktif",MAX(0,MIN($AE900,$AD900-SUM($AG900:AH900))),0)</f>
        <v>672203.83333333302</v>
      </c>
      <c r="AJ900" s="8">
        <f>IF($O900="Aktif",MAX(0,MIN($AE900,$AD900-SUM($AG900:AI900))),0)</f>
        <v>672203.83333333302</v>
      </c>
      <c r="AK900" s="8">
        <f>IF($O900="Aktif",MAX(0,MIN($AE900,$AD900-SUM($AG900:AJ900))),0)</f>
        <v>672203.83333333302</v>
      </c>
      <c r="AL900" s="8">
        <f>IF($O900="Aktif",MAX(0,MIN($AE900,$AD900-SUM($AG900:AK900))),0)</f>
        <v>672203.83333333302</v>
      </c>
      <c r="AM900" s="8">
        <f>IF($O900="Aktif",MAX(0,MIN($AE900,$AD900-SUM($AG900:AL900))),0)</f>
        <v>672203.83333333302</v>
      </c>
      <c r="AN900" s="8">
        <f>IF($O900="Aktif",MAX(0,MIN($AE900,$AD900-SUM($AG900:AM900))),0)</f>
        <v>672203.83333333302</v>
      </c>
      <c r="AO900" s="8">
        <f>IF($O900="Aktif",MAX(0,MIN($AE900,$AD900-SUM($AG900:AN900))),0)</f>
        <v>672203.83333333302</v>
      </c>
      <c r="AP900" s="8">
        <f>IF($O900="Aktif",MAX(0,MIN($AE900,$AD900-SUM($AG900:AO900))),0)</f>
        <v>672203.83333333302</v>
      </c>
      <c r="AQ900" s="8">
        <f>IF($O900="Aktif",MAX(0,MIN($AE900,$AD900-SUM($AG900:AP900))),0)</f>
        <v>672203.83333333302</v>
      </c>
      <c r="AR900" s="8">
        <f>IF($O900="Aktif",MAX(0,MIN($AE900,$AD900-SUM($AG900:AQ900))),0)</f>
        <v>672203.83333333302</v>
      </c>
      <c r="AS900" s="8">
        <f>IF($O900="Aktif",MAX(0,MIN($AE900,$AD900-SUM($AG900:AR900))),0)</f>
        <v>672203.83333333302</v>
      </c>
      <c r="AT900" s="8">
        <f>IF($O900="Aktif",MAX(0,MIN($AE900,$AD900-SUM($AG900:AS900))),0)</f>
        <v>672203.83333333302</v>
      </c>
      <c r="AU900" s="8">
        <f>IF($O900="Aktif",MAX(0,MIN($AE900,$AD900-SUM($AG900:AT900))),0)</f>
        <v>672203.83333333302</v>
      </c>
      <c r="AV900" s="8">
        <f>IF($O900="Aktif",MAX(0,MIN($AE900,$AD900-SUM($AG900:AU900))),0)</f>
        <v>672203.83333333302</v>
      </c>
      <c r="AW900" s="8">
        <f t="shared" si="96"/>
        <v>10755261.333333325</v>
      </c>
      <c r="AX900" s="8">
        <f t="shared" si="97"/>
        <v>6049834.5000000112</v>
      </c>
    </row>
    <row r="901" spans="1:50" ht="15" customHeight="1" x14ac:dyDescent="0.35">
      <c r="A901" s="102">
        <v>895</v>
      </c>
      <c r="B901" s="102" t="s">
        <v>1326</v>
      </c>
      <c r="C901" s="103">
        <v>529</v>
      </c>
      <c r="D901" s="102" t="s">
        <v>185</v>
      </c>
      <c r="E901" s="102" t="s">
        <v>479</v>
      </c>
      <c r="F901" s="102" t="s">
        <v>2332</v>
      </c>
      <c r="G901" s="102" t="s">
        <v>2333</v>
      </c>
      <c r="H901" s="102" t="s">
        <v>2334</v>
      </c>
      <c r="I901" s="102" t="s">
        <v>63</v>
      </c>
      <c r="J901" s="102"/>
      <c r="K901" s="102"/>
      <c r="L901" s="104">
        <v>45580</v>
      </c>
      <c r="M901" s="102" t="s">
        <v>2728</v>
      </c>
      <c r="N901" s="102" t="s">
        <v>2728</v>
      </c>
      <c r="O901" s="102" t="s">
        <v>383</v>
      </c>
      <c r="P901" s="103">
        <v>1</v>
      </c>
      <c r="Q901" s="105">
        <v>31734216</v>
      </c>
      <c r="R901" s="103">
        <v>48</v>
      </c>
      <c r="S901" s="105">
        <v>661129.5</v>
      </c>
      <c r="T901" s="105">
        <v>9916942.5</v>
      </c>
      <c r="U901" s="105">
        <v>661129.5</v>
      </c>
      <c r="V901" s="105">
        <v>661129.5</v>
      </c>
      <c r="W901" s="105">
        <v>661129.5</v>
      </c>
      <c r="X901" s="105">
        <v>661129.5</v>
      </c>
      <c r="Y901" s="105">
        <v>661129.5</v>
      </c>
      <c r="Z901" s="105">
        <v>661129.5</v>
      </c>
      <c r="AA901" s="105">
        <v>661129.5</v>
      </c>
      <c r="AB901" s="105">
        <v>661129.5</v>
      </c>
      <c r="AC901" s="8">
        <f t="shared" si="91"/>
        <v>15205978.5</v>
      </c>
      <c r="AD901" s="8">
        <f t="shared" si="92"/>
        <v>16528237.5</v>
      </c>
      <c r="AE901" s="8">
        <f t="shared" si="93"/>
        <v>661129.5</v>
      </c>
      <c r="AF901" s="106">
        <f t="shared" si="94"/>
        <v>25</v>
      </c>
      <c r="AG901" s="8">
        <f t="shared" si="95"/>
        <v>661129.5</v>
      </c>
      <c r="AH901" s="8">
        <f>IF($O901="Aktif",MAX(0,MIN($AE901,$AD901-SUM($AG901:AG901))),0)</f>
        <v>661129.5</v>
      </c>
      <c r="AI901" s="8">
        <f>IF($O901="Aktif",MAX(0,MIN($AE901,$AD901-SUM($AG901:AH901))),0)</f>
        <v>661129.5</v>
      </c>
      <c r="AJ901" s="8">
        <f>IF($O901="Aktif",MAX(0,MIN($AE901,$AD901-SUM($AG901:AI901))),0)</f>
        <v>661129.5</v>
      </c>
      <c r="AK901" s="8">
        <f>IF($O901="Aktif",MAX(0,MIN($AE901,$AD901-SUM($AG901:AJ901))),0)</f>
        <v>661129.5</v>
      </c>
      <c r="AL901" s="8">
        <f>IF($O901="Aktif",MAX(0,MIN($AE901,$AD901-SUM($AG901:AK901))),0)</f>
        <v>661129.5</v>
      </c>
      <c r="AM901" s="8">
        <f>IF($O901="Aktif",MAX(0,MIN($AE901,$AD901-SUM($AG901:AL901))),0)</f>
        <v>661129.5</v>
      </c>
      <c r="AN901" s="8">
        <f>IF($O901="Aktif",MAX(0,MIN($AE901,$AD901-SUM($AG901:AM901))),0)</f>
        <v>661129.5</v>
      </c>
      <c r="AO901" s="8">
        <f>IF($O901="Aktif",MAX(0,MIN($AE901,$AD901-SUM($AG901:AN901))),0)</f>
        <v>661129.5</v>
      </c>
      <c r="AP901" s="8">
        <f>IF($O901="Aktif",MAX(0,MIN($AE901,$AD901-SUM($AG901:AO901))),0)</f>
        <v>661129.5</v>
      </c>
      <c r="AQ901" s="8">
        <f>IF($O901="Aktif",MAX(0,MIN($AE901,$AD901-SUM($AG901:AP901))),0)</f>
        <v>661129.5</v>
      </c>
      <c r="AR901" s="8">
        <f>IF($O901="Aktif",MAX(0,MIN($AE901,$AD901-SUM($AG901:AQ901))),0)</f>
        <v>661129.5</v>
      </c>
      <c r="AS901" s="8">
        <f>IF($O901="Aktif",MAX(0,MIN($AE901,$AD901-SUM($AG901:AR901))),0)</f>
        <v>661129.5</v>
      </c>
      <c r="AT901" s="8">
        <f>IF($O901="Aktif",MAX(0,MIN($AE901,$AD901-SUM($AG901:AS901))),0)</f>
        <v>661129.5</v>
      </c>
      <c r="AU901" s="8">
        <f>IF($O901="Aktif",MAX(0,MIN($AE901,$AD901-SUM($AG901:AT901))),0)</f>
        <v>661129.5</v>
      </c>
      <c r="AV901" s="8">
        <f>IF($O901="Aktif",MAX(0,MIN($AE901,$AD901-SUM($AG901:AU901))),0)</f>
        <v>661129.5</v>
      </c>
      <c r="AW901" s="8">
        <f t="shared" si="96"/>
        <v>10578072</v>
      </c>
      <c r="AX901" s="8">
        <f t="shared" si="97"/>
        <v>5950165.5</v>
      </c>
    </row>
    <row r="902" spans="1:50" ht="15" customHeight="1" x14ac:dyDescent="0.35">
      <c r="A902" s="102">
        <v>896</v>
      </c>
      <c r="B902" s="102" t="s">
        <v>1326</v>
      </c>
      <c r="C902" s="103">
        <v>530</v>
      </c>
      <c r="D902" s="102" t="s">
        <v>185</v>
      </c>
      <c r="E902" s="102" t="s">
        <v>479</v>
      </c>
      <c r="F902" s="102" t="s">
        <v>2332</v>
      </c>
      <c r="G902" s="102" t="s">
        <v>2333</v>
      </c>
      <c r="H902" s="102" t="s">
        <v>2334</v>
      </c>
      <c r="I902" s="102" t="s">
        <v>63</v>
      </c>
      <c r="J902" s="102"/>
      <c r="K902" s="102"/>
      <c r="L902" s="104">
        <v>45580</v>
      </c>
      <c r="M902" s="102" t="s">
        <v>2729</v>
      </c>
      <c r="N902" s="102" t="s">
        <v>2729</v>
      </c>
      <c r="O902" s="102" t="s">
        <v>383</v>
      </c>
      <c r="P902" s="103">
        <v>1</v>
      </c>
      <c r="Q902" s="105">
        <v>4346847</v>
      </c>
      <c r="R902" s="103">
        <v>48</v>
      </c>
      <c r="S902" s="105">
        <v>90559.3125</v>
      </c>
      <c r="T902" s="105">
        <v>1358389.6875</v>
      </c>
      <c r="U902" s="105">
        <v>90559.3125</v>
      </c>
      <c r="V902" s="105">
        <v>90559.3125</v>
      </c>
      <c r="W902" s="105">
        <v>90559.3125</v>
      </c>
      <c r="X902" s="105">
        <v>90559.3125</v>
      </c>
      <c r="Y902" s="105">
        <v>90559.3125</v>
      </c>
      <c r="Z902" s="105">
        <v>90559.3125</v>
      </c>
      <c r="AA902" s="105">
        <v>90559.3125</v>
      </c>
      <c r="AB902" s="105">
        <v>90559.3125</v>
      </c>
      <c r="AC902" s="8">
        <f t="shared" si="91"/>
        <v>2082864.1875</v>
      </c>
      <c r="AD902" s="8">
        <f t="shared" si="92"/>
        <v>2263982.8125</v>
      </c>
      <c r="AE902" s="8">
        <f t="shared" si="93"/>
        <v>90559.3125</v>
      </c>
      <c r="AF902" s="106">
        <f t="shared" si="94"/>
        <v>25</v>
      </c>
      <c r="AG902" s="8">
        <f t="shared" si="95"/>
        <v>90559.3125</v>
      </c>
      <c r="AH902" s="8">
        <f>IF($O902="Aktif",MAX(0,MIN($AE902,$AD902-SUM($AG902:AG902))),0)</f>
        <v>90559.3125</v>
      </c>
      <c r="AI902" s="8">
        <f>IF($O902="Aktif",MAX(0,MIN($AE902,$AD902-SUM($AG902:AH902))),0)</f>
        <v>90559.3125</v>
      </c>
      <c r="AJ902" s="8">
        <f>IF($O902="Aktif",MAX(0,MIN($AE902,$AD902-SUM($AG902:AI902))),0)</f>
        <v>90559.3125</v>
      </c>
      <c r="AK902" s="8">
        <f>IF($O902="Aktif",MAX(0,MIN($AE902,$AD902-SUM($AG902:AJ902))),0)</f>
        <v>90559.3125</v>
      </c>
      <c r="AL902" s="8">
        <f>IF($O902="Aktif",MAX(0,MIN($AE902,$AD902-SUM($AG902:AK902))),0)</f>
        <v>90559.3125</v>
      </c>
      <c r="AM902" s="8">
        <f>IF($O902="Aktif",MAX(0,MIN($AE902,$AD902-SUM($AG902:AL902))),0)</f>
        <v>90559.3125</v>
      </c>
      <c r="AN902" s="8">
        <f>IF($O902="Aktif",MAX(0,MIN($AE902,$AD902-SUM($AG902:AM902))),0)</f>
        <v>90559.3125</v>
      </c>
      <c r="AO902" s="8">
        <f>IF($O902="Aktif",MAX(0,MIN($AE902,$AD902-SUM($AG902:AN902))),0)</f>
        <v>90559.3125</v>
      </c>
      <c r="AP902" s="8">
        <f>IF($O902="Aktif",MAX(0,MIN($AE902,$AD902-SUM($AG902:AO902))),0)</f>
        <v>90559.3125</v>
      </c>
      <c r="AQ902" s="8">
        <f>IF($O902="Aktif",MAX(0,MIN($AE902,$AD902-SUM($AG902:AP902))),0)</f>
        <v>90559.3125</v>
      </c>
      <c r="AR902" s="8">
        <f>IF($O902="Aktif",MAX(0,MIN($AE902,$AD902-SUM($AG902:AQ902))),0)</f>
        <v>90559.3125</v>
      </c>
      <c r="AS902" s="8">
        <f>IF($O902="Aktif",MAX(0,MIN($AE902,$AD902-SUM($AG902:AR902))),0)</f>
        <v>90559.3125</v>
      </c>
      <c r="AT902" s="8">
        <f>IF($O902="Aktif",MAX(0,MIN($AE902,$AD902-SUM($AG902:AS902))),0)</f>
        <v>90559.3125</v>
      </c>
      <c r="AU902" s="8">
        <f>IF($O902="Aktif",MAX(0,MIN($AE902,$AD902-SUM($AG902:AT902))),0)</f>
        <v>90559.3125</v>
      </c>
      <c r="AV902" s="8">
        <f>IF($O902="Aktif",MAX(0,MIN($AE902,$AD902-SUM($AG902:AU902))),0)</f>
        <v>90559.3125</v>
      </c>
      <c r="AW902" s="8">
        <f t="shared" si="96"/>
        <v>1448949</v>
      </c>
      <c r="AX902" s="8">
        <f t="shared" si="97"/>
        <v>815033.8125</v>
      </c>
    </row>
    <row r="903" spans="1:50" ht="15" customHeight="1" x14ac:dyDescent="0.35">
      <c r="A903" s="102">
        <v>897</v>
      </c>
      <c r="B903" s="102" t="s">
        <v>1326</v>
      </c>
      <c r="C903" s="103">
        <v>531</v>
      </c>
      <c r="D903" s="102" t="s">
        <v>185</v>
      </c>
      <c r="E903" s="102" t="s">
        <v>540</v>
      </c>
      <c r="F903" s="102" t="s">
        <v>2283</v>
      </c>
      <c r="G903" s="102" t="s">
        <v>2284</v>
      </c>
      <c r="H903" s="102" t="s">
        <v>2285</v>
      </c>
      <c r="I903" s="102" t="s">
        <v>63</v>
      </c>
      <c r="J903" s="102"/>
      <c r="K903" s="102"/>
      <c r="L903" s="104">
        <v>45580</v>
      </c>
      <c r="M903" s="102" t="s">
        <v>2730</v>
      </c>
      <c r="N903" s="102" t="s">
        <v>2730</v>
      </c>
      <c r="O903" s="102" t="s">
        <v>383</v>
      </c>
      <c r="P903" s="103">
        <v>1</v>
      </c>
      <c r="Q903" s="105">
        <v>12000000</v>
      </c>
      <c r="R903" s="103">
        <v>96</v>
      </c>
      <c r="S903" s="105">
        <v>125000</v>
      </c>
      <c r="T903" s="105">
        <v>1875000</v>
      </c>
      <c r="U903" s="105">
        <v>125000</v>
      </c>
      <c r="V903" s="105">
        <v>125000</v>
      </c>
      <c r="W903" s="105">
        <v>125000</v>
      </c>
      <c r="X903" s="105">
        <v>125000</v>
      </c>
      <c r="Y903" s="105">
        <v>125000</v>
      </c>
      <c r="Z903" s="105">
        <v>125000</v>
      </c>
      <c r="AA903" s="105">
        <v>125000</v>
      </c>
      <c r="AB903" s="105">
        <v>125000</v>
      </c>
      <c r="AC903" s="8">
        <f t="shared" ref="AC903:AC966" si="98">T903+SUM(U903:AB903)</f>
        <v>2875000</v>
      </c>
      <c r="AD903" s="8">
        <f t="shared" ref="AD903:AD966" si="99">Q903-AC903</f>
        <v>9125000</v>
      </c>
      <c r="AE903" s="8">
        <f t="shared" ref="AE903:AE966" si="100">IF(O903="Aktif",AB903,0)</f>
        <v>125000</v>
      </c>
      <c r="AF903" s="106">
        <f t="shared" ref="AF903:AF966" si="101">IF(AE903&gt;0,MAX(0,AD903)/AE903,0)</f>
        <v>73</v>
      </c>
      <c r="AG903" s="8">
        <f t="shared" ref="AG903:AG966" si="102">IF($O903="Aktif",MAX(0,MIN($AE903,$AD903-0)),0)</f>
        <v>125000</v>
      </c>
      <c r="AH903" s="8">
        <f>IF($O903="Aktif",MAX(0,MIN($AE903,$AD903-SUM($AG903:AG903))),0)</f>
        <v>125000</v>
      </c>
      <c r="AI903" s="8">
        <f>IF($O903="Aktif",MAX(0,MIN($AE903,$AD903-SUM($AG903:AH903))),0)</f>
        <v>125000</v>
      </c>
      <c r="AJ903" s="8">
        <f>IF($O903="Aktif",MAX(0,MIN($AE903,$AD903-SUM($AG903:AI903))),0)</f>
        <v>125000</v>
      </c>
      <c r="AK903" s="8">
        <f>IF($O903="Aktif",MAX(0,MIN($AE903,$AD903-SUM($AG903:AJ903))),0)</f>
        <v>125000</v>
      </c>
      <c r="AL903" s="8">
        <f>IF($O903="Aktif",MAX(0,MIN($AE903,$AD903-SUM($AG903:AK903))),0)</f>
        <v>125000</v>
      </c>
      <c r="AM903" s="8">
        <f>IF($O903="Aktif",MAX(0,MIN($AE903,$AD903-SUM($AG903:AL903))),0)</f>
        <v>125000</v>
      </c>
      <c r="AN903" s="8">
        <f>IF($O903="Aktif",MAX(0,MIN($AE903,$AD903-SUM($AG903:AM903))),0)</f>
        <v>125000</v>
      </c>
      <c r="AO903" s="8">
        <f>IF($O903="Aktif",MAX(0,MIN($AE903,$AD903-SUM($AG903:AN903))),0)</f>
        <v>125000</v>
      </c>
      <c r="AP903" s="8">
        <f>IF($O903="Aktif",MAX(0,MIN($AE903,$AD903-SUM($AG903:AO903))),0)</f>
        <v>125000</v>
      </c>
      <c r="AQ903" s="8">
        <f>IF($O903="Aktif",MAX(0,MIN($AE903,$AD903-SUM($AG903:AP903))),0)</f>
        <v>125000</v>
      </c>
      <c r="AR903" s="8">
        <f>IF($O903="Aktif",MAX(0,MIN($AE903,$AD903-SUM($AG903:AQ903))),0)</f>
        <v>125000</v>
      </c>
      <c r="AS903" s="8">
        <f>IF($O903="Aktif",MAX(0,MIN($AE903,$AD903-SUM($AG903:AR903))),0)</f>
        <v>125000</v>
      </c>
      <c r="AT903" s="8">
        <f>IF($O903="Aktif",MAX(0,MIN($AE903,$AD903-SUM($AG903:AS903))),0)</f>
        <v>125000</v>
      </c>
      <c r="AU903" s="8">
        <f>IF($O903="Aktif",MAX(0,MIN($AE903,$AD903-SUM($AG903:AT903))),0)</f>
        <v>125000</v>
      </c>
      <c r="AV903" s="8">
        <f>IF($O903="Aktif",MAX(0,MIN($AE903,$AD903-SUM($AG903:AU903))),0)</f>
        <v>125000</v>
      </c>
      <c r="AW903" s="8">
        <f t="shared" ref="AW903:AW966" si="103">SUM(AG903:AV903)</f>
        <v>2000000</v>
      </c>
      <c r="AX903" s="8">
        <f t="shared" ref="AX903:AX966" si="104">AD903-AW903</f>
        <v>7125000</v>
      </c>
    </row>
    <row r="904" spans="1:50" ht="15" customHeight="1" x14ac:dyDescent="0.35">
      <c r="A904" s="102">
        <v>898</v>
      </c>
      <c r="B904" s="102" t="s">
        <v>1326</v>
      </c>
      <c r="C904" s="103">
        <v>532</v>
      </c>
      <c r="D904" s="102" t="s">
        <v>185</v>
      </c>
      <c r="E904" s="102" t="s">
        <v>479</v>
      </c>
      <c r="F904" s="102" t="s">
        <v>2332</v>
      </c>
      <c r="G904" s="102" t="s">
        <v>2333</v>
      </c>
      <c r="H904" s="102" t="s">
        <v>2334</v>
      </c>
      <c r="I904" s="102" t="s">
        <v>63</v>
      </c>
      <c r="J904" s="102"/>
      <c r="K904" s="102"/>
      <c r="L904" s="104">
        <v>45607</v>
      </c>
      <c r="M904" s="102" t="s">
        <v>2731</v>
      </c>
      <c r="N904" s="102" t="s">
        <v>2731</v>
      </c>
      <c r="O904" s="102" t="s">
        <v>383</v>
      </c>
      <c r="P904" s="103">
        <v>1</v>
      </c>
      <c r="Q904" s="105">
        <v>7933554</v>
      </c>
      <c r="R904" s="103">
        <v>48</v>
      </c>
      <c r="S904" s="105">
        <v>165282.375</v>
      </c>
      <c r="T904" s="105">
        <v>2313953.25</v>
      </c>
      <c r="U904" s="105">
        <v>165282.375</v>
      </c>
      <c r="V904" s="105">
        <v>165282.375</v>
      </c>
      <c r="W904" s="105">
        <v>165282.375</v>
      </c>
      <c r="X904" s="105">
        <v>165282.375</v>
      </c>
      <c r="Y904" s="105">
        <v>165282.375</v>
      </c>
      <c r="Z904" s="105">
        <v>165282.375</v>
      </c>
      <c r="AA904" s="105">
        <v>165282.375</v>
      </c>
      <c r="AB904" s="105">
        <v>165282.375</v>
      </c>
      <c r="AC904" s="8">
        <f t="shared" si="98"/>
        <v>3636212.25</v>
      </c>
      <c r="AD904" s="8">
        <f t="shared" si="99"/>
        <v>4297341.75</v>
      </c>
      <c r="AE904" s="8">
        <f t="shared" si="100"/>
        <v>165282.375</v>
      </c>
      <c r="AF904" s="106">
        <f t="shared" si="101"/>
        <v>26</v>
      </c>
      <c r="AG904" s="8">
        <f t="shared" si="102"/>
        <v>165282.375</v>
      </c>
      <c r="AH904" s="8">
        <f>IF($O904="Aktif",MAX(0,MIN($AE904,$AD904-SUM($AG904:AG904))),0)</f>
        <v>165282.375</v>
      </c>
      <c r="AI904" s="8">
        <f>IF($O904="Aktif",MAX(0,MIN($AE904,$AD904-SUM($AG904:AH904))),0)</f>
        <v>165282.375</v>
      </c>
      <c r="AJ904" s="8">
        <f>IF($O904="Aktif",MAX(0,MIN($AE904,$AD904-SUM($AG904:AI904))),0)</f>
        <v>165282.375</v>
      </c>
      <c r="AK904" s="8">
        <f>IF($O904="Aktif",MAX(0,MIN($AE904,$AD904-SUM($AG904:AJ904))),0)</f>
        <v>165282.375</v>
      </c>
      <c r="AL904" s="8">
        <f>IF($O904="Aktif",MAX(0,MIN($AE904,$AD904-SUM($AG904:AK904))),0)</f>
        <v>165282.375</v>
      </c>
      <c r="AM904" s="8">
        <f>IF($O904="Aktif",MAX(0,MIN($AE904,$AD904-SUM($AG904:AL904))),0)</f>
        <v>165282.375</v>
      </c>
      <c r="AN904" s="8">
        <f>IF($O904="Aktif",MAX(0,MIN($AE904,$AD904-SUM($AG904:AM904))),0)</f>
        <v>165282.375</v>
      </c>
      <c r="AO904" s="8">
        <f>IF($O904="Aktif",MAX(0,MIN($AE904,$AD904-SUM($AG904:AN904))),0)</f>
        <v>165282.375</v>
      </c>
      <c r="AP904" s="8">
        <f>IF($O904="Aktif",MAX(0,MIN($AE904,$AD904-SUM($AG904:AO904))),0)</f>
        <v>165282.375</v>
      </c>
      <c r="AQ904" s="8">
        <f>IF($O904="Aktif",MAX(0,MIN($AE904,$AD904-SUM($AG904:AP904))),0)</f>
        <v>165282.375</v>
      </c>
      <c r="AR904" s="8">
        <f>IF($O904="Aktif",MAX(0,MIN($AE904,$AD904-SUM($AG904:AQ904))),0)</f>
        <v>165282.375</v>
      </c>
      <c r="AS904" s="8">
        <f>IF($O904="Aktif",MAX(0,MIN($AE904,$AD904-SUM($AG904:AR904))),0)</f>
        <v>165282.375</v>
      </c>
      <c r="AT904" s="8">
        <f>IF($O904="Aktif",MAX(0,MIN($AE904,$AD904-SUM($AG904:AS904))),0)</f>
        <v>165282.375</v>
      </c>
      <c r="AU904" s="8">
        <f>IF($O904="Aktif",MAX(0,MIN($AE904,$AD904-SUM($AG904:AT904))),0)</f>
        <v>165282.375</v>
      </c>
      <c r="AV904" s="8">
        <f>IF($O904="Aktif",MAX(0,MIN($AE904,$AD904-SUM($AG904:AU904))),0)</f>
        <v>165282.375</v>
      </c>
      <c r="AW904" s="8">
        <f t="shared" si="103"/>
        <v>2644518</v>
      </c>
      <c r="AX904" s="8">
        <f t="shared" si="104"/>
        <v>1652823.75</v>
      </c>
    </row>
    <row r="905" spans="1:50" ht="15" customHeight="1" x14ac:dyDescent="0.35">
      <c r="A905" s="102">
        <v>899</v>
      </c>
      <c r="B905" s="102" t="s">
        <v>1326</v>
      </c>
      <c r="C905" s="103">
        <v>533</v>
      </c>
      <c r="D905" s="102" t="s">
        <v>185</v>
      </c>
      <c r="E905" s="102" t="s">
        <v>479</v>
      </c>
      <c r="F905" s="102" t="s">
        <v>2332</v>
      </c>
      <c r="G905" s="102" t="s">
        <v>2333</v>
      </c>
      <c r="H905" s="102" t="s">
        <v>2334</v>
      </c>
      <c r="I905" s="102" t="s">
        <v>63</v>
      </c>
      <c r="J905" s="102"/>
      <c r="K905" s="102"/>
      <c r="L905" s="104">
        <v>45607</v>
      </c>
      <c r="M905" s="102" t="s">
        <v>2732</v>
      </c>
      <c r="N905" s="102" t="s">
        <v>2732</v>
      </c>
      <c r="O905" s="102" t="s">
        <v>383</v>
      </c>
      <c r="P905" s="103">
        <v>1</v>
      </c>
      <c r="Q905" s="105">
        <v>8066446</v>
      </c>
      <c r="R905" s="103">
        <v>48</v>
      </c>
      <c r="S905" s="105">
        <v>168050.95833333299</v>
      </c>
      <c r="T905" s="105">
        <v>2352713.4166666698</v>
      </c>
      <c r="U905" s="105">
        <v>168050.95833333299</v>
      </c>
      <c r="V905" s="105">
        <v>168050.95833333299</v>
      </c>
      <c r="W905" s="105">
        <v>168050.95833333299</v>
      </c>
      <c r="X905" s="105">
        <v>168050.95833333299</v>
      </c>
      <c r="Y905" s="105">
        <v>168050.95833333299</v>
      </c>
      <c r="Z905" s="105">
        <v>168050.95833333299</v>
      </c>
      <c r="AA905" s="105">
        <v>168050.95833333299</v>
      </c>
      <c r="AB905" s="105">
        <v>168050.95833333299</v>
      </c>
      <c r="AC905" s="8">
        <f t="shared" si="98"/>
        <v>3697121.083333334</v>
      </c>
      <c r="AD905" s="8">
        <f t="shared" si="99"/>
        <v>4369324.916666666</v>
      </c>
      <c r="AE905" s="8">
        <f t="shared" si="100"/>
        <v>168050.95833333299</v>
      </c>
      <c r="AF905" s="106">
        <f t="shared" si="101"/>
        <v>26.00000000000005</v>
      </c>
      <c r="AG905" s="8">
        <f t="shared" si="102"/>
        <v>168050.95833333299</v>
      </c>
      <c r="AH905" s="8">
        <f>IF($O905="Aktif",MAX(0,MIN($AE905,$AD905-SUM($AG905:AG905))),0)</f>
        <v>168050.95833333299</v>
      </c>
      <c r="AI905" s="8">
        <f>IF($O905="Aktif",MAX(0,MIN($AE905,$AD905-SUM($AG905:AH905))),0)</f>
        <v>168050.95833333299</v>
      </c>
      <c r="AJ905" s="8">
        <f>IF($O905="Aktif",MAX(0,MIN($AE905,$AD905-SUM($AG905:AI905))),0)</f>
        <v>168050.95833333299</v>
      </c>
      <c r="AK905" s="8">
        <f>IF($O905="Aktif",MAX(0,MIN($AE905,$AD905-SUM($AG905:AJ905))),0)</f>
        <v>168050.95833333299</v>
      </c>
      <c r="AL905" s="8">
        <f>IF($O905="Aktif",MAX(0,MIN($AE905,$AD905-SUM($AG905:AK905))),0)</f>
        <v>168050.95833333299</v>
      </c>
      <c r="AM905" s="8">
        <f>IF($O905="Aktif",MAX(0,MIN($AE905,$AD905-SUM($AG905:AL905))),0)</f>
        <v>168050.95833333299</v>
      </c>
      <c r="AN905" s="8">
        <f>IF($O905="Aktif",MAX(0,MIN($AE905,$AD905-SUM($AG905:AM905))),0)</f>
        <v>168050.95833333299</v>
      </c>
      <c r="AO905" s="8">
        <f>IF($O905="Aktif",MAX(0,MIN($AE905,$AD905-SUM($AG905:AN905))),0)</f>
        <v>168050.95833333299</v>
      </c>
      <c r="AP905" s="8">
        <f>IF($O905="Aktif",MAX(0,MIN($AE905,$AD905-SUM($AG905:AO905))),0)</f>
        <v>168050.95833333299</v>
      </c>
      <c r="AQ905" s="8">
        <f>IF($O905="Aktif",MAX(0,MIN($AE905,$AD905-SUM($AG905:AP905))),0)</f>
        <v>168050.95833333299</v>
      </c>
      <c r="AR905" s="8">
        <f>IF($O905="Aktif",MAX(0,MIN($AE905,$AD905-SUM($AG905:AQ905))),0)</f>
        <v>168050.95833333299</v>
      </c>
      <c r="AS905" s="8">
        <f>IF($O905="Aktif",MAX(0,MIN($AE905,$AD905-SUM($AG905:AR905))),0)</f>
        <v>168050.95833333299</v>
      </c>
      <c r="AT905" s="8">
        <f>IF($O905="Aktif",MAX(0,MIN($AE905,$AD905-SUM($AG905:AS905))),0)</f>
        <v>168050.95833333299</v>
      </c>
      <c r="AU905" s="8">
        <f>IF($O905="Aktif",MAX(0,MIN($AE905,$AD905-SUM($AG905:AT905))),0)</f>
        <v>168050.95833333299</v>
      </c>
      <c r="AV905" s="8">
        <f>IF($O905="Aktif",MAX(0,MIN($AE905,$AD905-SUM($AG905:AU905))),0)</f>
        <v>168050.95833333299</v>
      </c>
      <c r="AW905" s="8">
        <f t="shared" si="103"/>
        <v>2688815.3333333279</v>
      </c>
      <c r="AX905" s="8">
        <f t="shared" si="104"/>
        <v>1680509.5833333381</v>
      </c>
    </row>
    <row r="906" spans="1:50" ht="15" customHeight="1" x14ac:dyDescent="0.35">
      <c r="A906" s="102">
        <v>900</v>
      </c>
      <c r="B906" s="102" t="s">
        <v>1326</v>
      </c>
      <c r="C906" s="103">
        <v>534</v>
      </c>
      <c r="D906" s="102" t="s">
        <v>185</v>
      </c>
      <c r="E906" s="102" t="s">
        <v>479</v>
      </c>
      <c r="F906" s="102" t="s">
        <v>2332</v>
      </c>
      <c r="G906" s="102" t="s">
        <v>2333</v>
      </c>
      <c r="H906" s="102" t="s">
        <v>2334</v>
      </c>
      <c r="I906" s="102" t="s">
        <v>63</v>
      </c>
      <c r="J906" s="102"/>
      <c r="K906" s="102"/>
      <c r="L906" s="104">
        <v>45611</v>
      </c>
      <c r="M906" s="102" t="s">
        <v>2733</v>
      </c>
      <c r="N906" s="102" t="s">
        <v>2733</v>
      </c>
      <c r="O906" s="102" t="s">
        <v>383</v>
      </c>
      <c r="P906" s="103">
        <v>1</v>
      </c>
      <c r="Q906" s="105">
        <v>2200000</v>
      </c>
      <c r="R906" s="103">
        <v>48</v>
      </c>
      <c r="S906" s="105">
        <v>45833.333333333299</v>
      </c>
      <c r="T906" s="105">
        <v>641666.66666666698</v>
      </c>
      <c r="U906" s="105">
        <v>45833.333333333299</v>
      </c>
      <c r="V906" s="105">
        <v>45833.333333333299</v>
      </c>
      <c r="W906" s="105">
        <v>45833.333333333299</v>
      </c>
      <c r="X906" s="105">
        <v>45833.333333333299</v>
      </c>
      <c r="Y906" s="105">
        <v>45833.333333333299</v>
      </c>
      <c r="Z906" s="105">
        <v>45833.333333333299</v>
      </c>
      <c r="AA906" s="105">
        <v>45833.333333333299</v>
      </c>
      <c r="AB906" s="105">
        <v>45833.333333333299</v>
      </c>
      <c r="AC906" s="8">
        <f t="shared" si="98"/>
        <v>1008333.3333333335</v>
      </c>
      <c r="AD906" s="8">
        <f t="shared" si="99"/>
        <v>1191666.6666666665</v>
      </c>
      <c r="AE906" s="8">
        <f t="shared" si="100"/>
        <v>45833.333333333299</v>
      </c>
      <c r="AF906" s="106">
        <f t="shared" si="101"/>
        <v>26.000000000000014</v>
      </c>
      <c r="AG906" s="8">
        <f t="shared" si="102"/>
        <v>45833.333333333299</v>
      </c>
      <c r="AH906" s="8">
        <f>IF($O906="Aktif",MAX(0,MIN($AE906,$AD906-SUM($AG906:AG906))),0)</f>
        <v>45833.333333333299</v>
      </c>
      <c r="AI906" s="8">
        <f>IF($O906="Aktif",MAX(0,MIN($AE906,$AD906-SUM($AG906:AH906))),0)</f>
        <v>45833.333333333299</v>
      </c>
      <c r="AJ906" s="8">
        <f>IF($O906="Aktif",MAX(0,MIN($AE906,$AD906-SUM($AG906:AI906))),0)</f>
        <v>45833.333333333299</v>
      </c>
      <c r="AK906" s="8">
        <f>IF($O906="Aktif",MAX(0,MIN($AE906,$AD906-SUM($AG906:AJ906))),0)</f>
        <v>45833.333333333299</v>
      </c>
      <c r="AL906" s="8">
        <f>IF($O906="Aktif",MAX(0,MIN($AE906,$AD906-SUM($AG906:AK906))),0)</f>
        <v>45833.333333333299</v>
      </c>
      <c r="AM906" s="8">
        <f>IF($O906="Aktif",MAX(0,MIN($AE906,$AD906-SUM($AG906:AL906))),0)</f>
        <v>45833.333333333299</v>
      </c>
      <c r="AN906" s="8">
        <f>IF($O906="Aktif",MAX(0,MIN($AE906,$AD906-SUM($AG906:AM906))),0)</f>
        <v>45833.333333333299</v>
      </c>
      <c r="AO906" s="8">
        <f>IF($O906="Aktif",MAX(0,MIN($AE906,$AD906-SUM($AG906:AN906))),0)</f>
        <v>45833.333333333299</v>
      </c>
      <c r="AP906" s="8">
        <f>IF($O906="Aktif",MAX(0,MIN($AE906,$AD906-SUM($AG906:AO906))),0)</f>
        <v>45833.333333333299</v>
      </c>
      <c r="AQ906" s="8">
        <f>IF($O906="Aktif",MAX(0,MIN($AE906,$AD906-SUM($AG906:AP906))),0)</f>
        <v>45833.333333333299</v>
      </c>
      <c r="AR906" s="8">
        <f>IF($O906="Aktif",MAX(0,MIN($AE906,$AD906-SUM($AG906:AQ906))),0)</f>
        <v>45833.333333333299</v>
      </c>
      <c r="AS906" s="8">
        <f>IF($O906="Aktif",MAX(0,MIN($AE906,$AD906-SUM($AG906:AR906))),0)</f>
        <v>45833.333333333299</v>
      </c>
      <c r="AT906" s="8">
        <f>IF($O906="Aktif",MAX(0,MIN($AE906,$AD906-SUM($AG906:AS906))),0)</f>
        <v>45833.333333333299</v>
      </c>
      <c r="AU906" s="8">
        <f>IF($O906="Aktif",MAX(0,MIN($AE906,$AD906-SUM($AG906:AT906))),0)</f>
        <v>45833.333333333299</v>
      </c>
      <c r="AV906" s="8">
        <f>IF($O906="Aktif",MAX(0,MIN($AE906,$AD906-SUM($AG906:AU906))),0)</f>
        <v>45833.333333333299</v>
      </c>
      <c r="AW906" s="8">
        <f t="shared" si="103"/>
        <v>733333.33333333267</v>
      </c>
      <c r="AX906" s="8">
        <f t="shared" si="104"/>
        <v>458333.33333333384</v>
      </c>
    </row>
    <row r="907" spans="1:50" ht="15" customHeight="1" x14ac:dyDescent="0.35">
      <c r="A907" s="102">
        <v>901</v>
      </c>
      <c r="B907" s="102" t="s">
        <v>1326</v>
      </c>
      <c r="C907" s="103">
        <v>535</v>
      </c>
      <c r="D907" s="102" t="s">
        <v>185</v>
      </c>
      <c r="E907" s="102" t="s">
        <v>479</v>
      </c>
      <c r="F907" s="102" t="s">
        <v>2332</v>
      </c>
      <c r="G907" s="102" t="s">
        <v>2333</v>
      </c>
      <c r="H907" s="102" t="s">
        <v>2334</v>
      </c>
      <c r="I907" s="102" t="s">
        <v>63</v>
      </c>
      <c r="J907" s="102"/>
      <c r="K907" s="102"/>
      <c r="L907" s="104">
        <v>45611</v>
      </c>
      <c r="M907" s="102" t="s">
        <v>2734</v>
      </c>
      <c r="N907" s="102" t="s">
        <v>2734</v>
      </c>
      <c r="O907" s="102" t="s">
        <v>383</v>
      </c>
      <c r="P907" s="103">
        <v>1</v>
      </c>
      <c r="Q907" s="105">
        <v>2200000</v>
      </c>
      <c r="R907" s="103">
        <v>48</v>
      </c>
      <c r="S907" s="105">
        <v>45833.333333333299</v>
      </c>
      <c r="T907" s="105">
        <v>641666.66666666698</v>
      </c>
      <c r="U907" s="105">
        <v>45833.333333333299</v>
      </c>
      <c r="V907" s="105">
        <v>45833.333333333299</v>
      </c>
      <c r="W907" s="105">
        <v>45833.333333333299</v>
      </c>
      <c r="X907" s="105">
        <v>45833.333333333299</v>
      </c>
      <c r="Y907" s="105">
        <v>45833.333333333299</v>
      </c>
      <c r="Z907" s="105">
        <v>45833.333333333299</v>
      </c>
      <c r="AA907" s="105">
        <v>45833.333333333299</v>
      </c>
      <c r="AB907" s="105">
        <v>45833.333333333299</v>
      </c>
      <c r="AC907" s="8">
        <f t="shared" si="98"/>
        <v>1008333.3333333335</v>
      </c>
      <c r="AD907" s="8">
        <f t="shared" si="99"/>
        <v>1191666.6666666665</v>
      </c>
      <c r="AE907" s="8">
        <f t="shared" si="100"/>
        <v>45833.333333333299</v>
      </c>
      <c r="AF907" s="106">
        <f t="shared" si="101"/>
        <v>26.000000000000014</v>
      </c>
      <c r="AG907" s="8">
        <f t="shared" si="102"/>
        <v>45833.333333333299</v>
      </c>
      <c r="AH907" s="8">
        <f>IF($O907="Aktif",MAX(0,MIN($AE907,$AD907-SUM($AG907:AG907))),0)</f>
        <v>45833.333333333299</v>
      </c>
      <c r="AI907" s="8">
        <f>IF($O907="Aktif",MAX(0,MIN($AE907,$AD907-SUM($AG907:AH907))),0)</f>
        <v>45833.333333333299</v>
      </c>
      <c r="AJ907" s="8">
        <f>IF($O907="Aktif",MAX(0,MIN($AE907,$AD907-SUM($AG907:AI907))),0)</f>
        <v>45833.333333333299</v>
      </c>
      <c r="AK907" s="8">
        <f>IF($O907="Aktif",MAX(0,MIN($AE907,$AD907-SUM($AG907:AJ907))),0)</f>
        <v>45833.333333333299</v>
      </c>
      <c r="AL907" s="8">
        <f>IF($O907="Aktif",MAX(0,MIN($AE907,$AD907-SUM($AG907:AK907))),0)</f>
        <v>45833.333333333299</v>
      </c>
      <c r="AM907" s="8">
        <f>IF($O907="Aktif",MAX(0,MIN($AE907,$AD907-SUM($AG907:AL907))),0)</f>
        <v>45833.333333333299</v>
      </c>
      <c r="AN907" s="8">
        <f>IF($O907="Aktif",MAX(0,MIN($AE907,$AD907-SUM($AG907:AM907))),0)</f>
        <v>45833.333333333299</v>
      </c>
      <c r="AO907" s="8">
        <f>IF($O907="Aktif",MAX(0,MIN($AE907,$AD907-SUM($AG907:AN907))),0)</f>
        <v>45833.333333333299</v>
      </c>
      <c r="AP907" s="8">
        <f>IF($O907="Aktif",MAX(0,MIN($AE907,$AD907-SUM($AG907:AO907))),0)</f>
        <v>45833.333333333299</v>
      </c>
      <c r="AQ907" s="8">
        <f>IF($O907="Aktif",MAX(0,MIN($AE907,$AD907-SUM($AG907:AP907))),0)</f>
        <v>45833.333333333299</v>
      </c>
      <c r="AR907" s="8">
        <f>IF($O907="Aktif",MAX(0,MIN($AE907,$AD907-SUM($AG907:AQ907))),0)</f>
        <v>45833.333333333299</v>
      </c>
      <c r="AS907" s="8">
        <f>IF($O907="Aktif",MAX(0,MIN($AE907,$AD907-SUM($AG907:AR907))),0)</f>
        <v>45833.333333333299</v>
      </c>
      <c r="AT907" s="8">
        <f>IF($O907="Aktif",MAX(0,MIN($AE907,$AD907-SUM($AG907:AS907))),0)</f>
        <v>45833.333333333299</v>
      </c>
      <c r="AU907" s="8">
        <f>IF($O907="Aktif",MAX(0,MIN($AE907,$AD907-SUM($AG907:AT907))),0)</f>
        <v>45833.333333333299</v>
      </c>
      <c r="AV907" s="8">
        <f>IF($O907="Aktif",MAX(0,MIN($AE907,$AD907-SUM($AG907:AU907))),0)</f>
        <v>45833.333333333299</v>
      </c>
      <c r="AW907" s="8">
        <f t="shared" si="103"/>
        <v>733333.33333333267</v>
      </c>
      <c r="AX907" s="8">
        <f t="shared" si="104"/>
        <v>458333.33333333384</v>
      </c>
    </row>
    <row r="908" spans="1:50" ht="15" customHeight="1" x14ac:dyDescent="0.35">
      <c r="A908" s="102">
        <v>902</v>
      </c>
      <c r="B908" s="102" t="s">
        <v>1326</v>
      </c>
      <c r="C908" s="103">
        <v>536</v>
      </c>
      <c r="D908" s="102" t="s">
        <v>185</v>
      </c>
      <c r="E908" s="102" t="s">
        <v>479</v>
      </c>
      <c r="F908" s="102" t="s">
        <v>2332</v>
      </c>
      <c r="G908" s="102" t="s">
        <v>2333</v>
      </c>
      <c r="H908" s="102" t="s">
        <v>2334</v>
      </c>
      <c r="I908" s="102" t="s">
        <v>63</v>
      </c>
      <c r="J908" s="102"/>
      <c r="K908" s="102"/>
      <c r="L908" s="104">
        <v>45611</v>
      </c>
      <c r="M908" s="102" t="s">
        <v>2735</v>
      </c>
      <c r="N908" s="102" t="s">
        <v>2735</v>
      </c>
      <c r="O908" s="102" t="s">
        <v>383</v>
      </c>
      <c r="P908" s="103">
        <v>1</v>
      </c>
      <c r="Q908" s="105">
        <v>2200000</v>
      </c>
      <c r="R908" s="103">
        <v>48</v>
      </c>
      <c r="S908" s="105">
        <v>45833.333333333299</v>
      </c>
      <c r="T908" s="105">
        <v>641666.66666666698</v>
      </c>
      <c r="U908" s="105">
        <v>45833.333333333299</v>
      </c>
      <c r="V908" s="105">
        <v>45833.333333333299</v>
      </c>
      <c r="W908" s="105">
        <v>45833.333333333299</v>
      </c>
      <c r="X908" s="105">
        <v>45833.333333333299</v>
      </c>
      <c r="Y908" s="105">
        <v>45833.333333333299</v>
      </c>
      <c r="Z908" s="105">
        <v>45833.333333333299</v>
      </c>
      <c r="AA908" s="105">
        <v>45833.333333333299</v>
      </c>
      <c r="AB908" s="105">
        <v>45833.333333333299</v>
      </c>
      <c r="AC908" s="8">
        <f t="shared" si="98"/>
        <v>1008333.3333333335</v>
      </c>
      <c r="AD908" s="8">
        <f t="shared" si="99"/>
        <v>1191666.6666666665</v>
      </c>
      <c r="AE908" s="8">
        <f t="shared" si="100"/>
        <v>45833.333333333299</v>
      </c>
      <c r="AF908" s="106">
        <f t="shared" si="101"/>
        <v>26.000000000000014</v>
      </c>
      <c r="AG908" s="8">
        <f t="shared" si="102"/>
        <v>45833.333333333299</v>
      </c>
      <c r="AH908" s="8">
        <f>IF($O908="Aktif",MAX(0,MIN($AE908,$AD908-SUM($AG908:AG908))),0)</f>
        <v>45833.333333333299</v>
      </c>
      <c r="AI908" s="8">
        <f>IF($O908="Aktif",MAX(0,MIN($AE908,$AD908-SUM($AG908:AH908))),0)</f>
        <v>45833.333333333299</v>
      </c>
      <c r="AJ908" s="8">
        <f>IF($O908="Aktif",MAX(0,MIN($AE908,$AD908-SUM($AG908:AI908))),0)</f>
        <v>45833.333333333299</v>
      </c>
      <c r="AK908" s="8">
        <f>IF($O908="Aktif",MAX(0,MIN($AE908,$AD908-SUM($AG908:AJ908))),0)</f>
        <v>45833.333333333299</v>
      </c>
      <c r="AL908" s="8">
        <f>IF($O908="Aktif",MAX(0,MIN($AE908,$AD908-SUM($AG908:AK908))),0)</f>
        <v>45833.333333333299</v>
      </c>
      <c r="AM908" s="8">
        <f>IF($O908="Aktif",MAX(0,MIN($AE908,$AD908-SUM($AG908:AL908))),0)</f>
        <v>45833.333333333299</v>
      </c>
      <c r="AN908" s="8">
        <f>IF($O908="Aktif",MAX(0,MIN($AE908,$AD908-SUM($AG908:AM908))),0)</f>
        <v>45833.333333333299</v>
      </c>
      <c r="AO908" s="8">
        <f>IF($O908="Aktif",MAX(0,MIN($AE908,$AD908-SUM($AG908:AN908))),0)</f>
        <v>45833.333333333299</v>
      </c>
      <c r="AP908" s="8">
        <f>IF($O908="Aktif",MAX(0,MIN($AE908,$AD908-SUM($AG908:AO908))),0)</f>
        <v>45833.333333333299</v>
      </c>
      <c r="AQ908" s="8">
        <f>IF($O908="Aktif",MAX(0,MIN($AE908,$AD908-SUM($AG908:AP908))),0)</f>
        <v>45833.333333333299</v>
      </c>
      <c r="AR908" s="8">
        <f>IF($O908="Aktif",MAX(0,MIN($AE908,$AD908-SUM($AG908:AQ908))),0)</f>
        <v>45833.333333333299</v>
      </c>
      <c r="AS908" s="8">
        <f>IF($O908="Aktif",MAX(0,MIN($AE908,$AD908-SUM($AG908:AR908))),0)</f>
        <v>45833.333333333299</v>
      </c>
      <c r="AT908" s="8">
        <f>IF($O908="Aktif",MAX(0,MIN($AE908,$AD908-SUM($AG908:AS908))),0)</f>
        <v>45833.333333333299</v>
      </c>
      <c r="AU908" s="8">
        <f>IF($O908="Aktif",MAX(0,MIN($AE908,$AD908-SUM($AG908:AT908))),0)</f>
        <v>45833.333333333299</v>
      </c>
      <c r="AV908" s="8">
        <f>IF($O908="Aktif",MAX(0,MIN($AE908,$AD908-SUM($AG908:AU908))),0)</f>
        <v>45833.333333333299</v>
      </c>
      <c r="AW908" s="8">
        <f t="shared" si="103"/>
        <v>733333.33333333267</v>
      </c>
      <c r="AX908" s="8">
        <f t="shared" si="104"/>
        <v>458333.33333333384</v>
      </c>
    </row>
    <row r="909" spans="1:50" ht="15" customHeight="1" x14ac:dyDescent="0.35">
      <c r="A909" s="102">
        <v>903</v>
      </c>
      <c r="B909" s="102" t="s">
        <v>1326</v>
      </c>
      <c r="C909" s="103">
        <v>537</v>
      </c>
      <c r="D909" s="102" t="s">
        <v>185</v>
      </c>
      <c r="E909" s="102" t="s">
        <v>479</v>
      </c>
      <c r="F909" s="102" t="s">
        <v>2332</v>
      </c>
      <c r="G909" s="102" t="s">
        <v>2333</v>
      </c>
      <c r="H909" s="102" t="s">
        <v>2334</v>
      </c>
      <c r="I909" s="102" t="s">
        <v>63</v>
      </c>
      <c r="J909" s="102"/>
      <c r="K909" s="102"/>
      <c r="L909" s="104">
        <v>45603</v>
      </c>
      <c r="M909" s="102" t="s">
        <v>2736</v>
      </c>
      <c r="N909" s="102" t="s">
        <v>2736</v>
      </c>
      <c r="O909" s="102" t="s">
        <v>383</v>
      </c>
      <c r="P909" s="103">
        <v>1</v>
      </c>
      <c r="Q909" s="105">
        <v>2788289</v>
      </c>
      <c r="R909" s="103">
        <v>48</v>
      </c>
      <c r="S909" s="105">
        <v>58089.354166666701</v>
      </c>
      <c r="T909" s="105">
        <v>813250.95833333302</v>
      </c>
      <c r="U909" s="105">
        <v>58089.354166666701</v>
      </c>
      <c r="V909" s="105">
        <v>58089.354166666701</v>
      </c>
      <c r="W909" s="105">
        <v>58089.354166666701</v>
      </c>
      <c r="X909" s="105">
        <v>58089.354166666701</v>
      </c>
      <c r="Y909" s="105">
        <v>58089.354166666701</v>
      </c>
      <c r="Z909" s="105">
        <v>58089.354166666701</v>
      </c>
      <c r="AA909" s="105">
        <v>58089.354166666701</v>
      </c>
      <c r="AB909" s="105">
        <v>58089.354166666701</v>
      </c>
      <c r="AC909" s="8">
        <f t="shared" si="98"/>
        <v>1277965.7916666665</v>
      </c>
      <c r="AD909" s="8">
        <f t="shared" si="99"/>
        <v>1510323.2083333335</v>
      </c>
      <c r="AE909" s="8">
        <f t="shared" si="100"/>
        <v>58089.354166666701</v>
      </c>
      <c r="AF909" s="106">
        <f t="shared" si="101"/>
        <v>25.999999999999986</v>
      </c>
      <c r="AG909" s="8">
        <f t="shared" si="102"/>
        <v>58089.354166666701</v>
      </c>
      <c r="AH909" s="8">
        <f>IF($O909="Aktif",MAX(0,MIN($AE909,$AD909-SUM($AG909:AG909))),0)</f>
        <v>58089.354166666701</v>
      </c>
      <c r="AI909" s="8">
        <f>IF($O909="Aktif",MAX(0,MIN($AE909,$AD909-SUM($AG909:AH909))),0)</f>
        <v>58089.354166666701</v>
      </c>
      <c r="AJ909" s="8">
        <f>IF($O909="Aktif",MAX(0,MIN($AE909,$AD909-SUM($AG909:AI909))),0)</f>
        <v>58089.354166666701</v>
      </c>
      <c r="AK909" s="8">
        <f>IF($O909="Aktif",MAX(0,MIN($AE909,$AD909-SUM($AG909:AJ909))),0)</f>
        <v>58089.354166666701</v>
      </c>
      <c r="AL909" s="8">
        <f>IF($O909="Aktif",MAX(0,MIN($AE909,$AD909-SUM($AG909:AK909))),0)</f>
        <v>58089.354166666701</v>
      </c>
      <c r="AM909" s="8">
        <f>IF($O909="Aktif",MAX(0,MIN($AE909,$AD909-SUM($AG909:AL909))),0)</f>
        <v>58089.354166666701</v>
      </c>
      <c r="AN909" s="8">
        <f>IF($O909="Aktif",MAX(0,MIN($AE909,$AD909-SUM($AG909:AM909))),0)</f>
        <v>58089.354166666701</v>
      </c>
      <c r="AO909" s="8">
        <f>IF($O909="Aktif",MAX(0,MIN($AE909,$AD909-SUM($AG909:AN909))),0)</f>
        <v>58089.354166666701</v>
      </c>
      <c r="AP909" s="8">
        <f>IF($O909="Aktif",MAX(0,MIN($AE909,$AD909-SUM($AG909:AO909))),0)</f>
        <v>58089.354166666701</v>
      </c>
      <c r="AQ909" s="8">
        <f>IF($O909="Aktif",MAX(0,MIN($AE909,$AD909-SUM($AG909:AP909))),0)</f>
        <v>58089.354166666701</v>
      </c>
      <c r="AR909" s="8">
        <f>IF($O909="Aktif",MAX(0,MIN($AE909,$AD909-SUM($AG909:AQ909))),0)</f>
        <v>58089.354166666701</v>
      </c>
      <c r="AS909" s="8">
        <f>IF($O909="Aktif",MAX(0,MIN($AE909,$AD909-SUM($AG909:AR909))),0)</f>
        <v>58089.354166666701</v>
      </c>
      <c r="AT909" s="8">
        <f>IF($O909="Aktif",MAX(0,MIN($AE909,$AD909-SUM($AG909:AS909))),0)</f>
        <v>58089.354166666701</v>
      </c>
      <c r="AU909" s="8">
        <f>IF($O909="Aktif",MAX(0,MIN($AE909,$AD909-SUM($AG909:AT909))),0)</f>
        <v>58089.354166666701</v>
      </c>
      <c r="AV909" s="8">
        <f>IF($O909="Aktif",MAX(0,MIN($AE909,$AD909-SUM($AG909:AU909))),0)</f>
        <v>58089.354166666701</v>
      </c>
      <c r="AW909" s="8">
        <f t="shared" si="103"/>
        <v>929429.66666666744</v>
      </c>
      <c r="AX909" s="8">
        <f t="shared" si="104"/>
        <v>580893.54166666605</v>
      </c>
    </row>
    <row r="910" spans="1:50" ht="15" customHeight="1" x14ac:dyDescent="0.35">
      <c r="A910" s="102">
        <v>904</v>
      </c>
      <c r="B910" s="102" t="s">
        <v>1326</v>
      </c>
      <c r="C910" s="103">
        <v>538</v>
      </c>
      <c r="D910" s="102" t="s">
        <v>185</v>
      </c>
      <c r="E910" s="102" t="s">
        <v>479</v>
      </c>
      <c r="F910" s="102" t="s">
        <v>2332</v>
      </c>
      <c r="G910" s="102" t="s">
        <v>2333</v>
      </c>
      <c r="H910" s="102" t="s">
        <v>2334</v>
      </c>
      <c r="I910" s="102" t="s">
        <v>63</v>
      </c>
      <c r="J910" s="102"/>
      <c r="K910" s="102"/>
      <c r="L910" s="104">
        <v>45637</v>
      </c>
      <c r="M910" s="102" t="s">
        <v>2737</v>
      </c>
      <c r="N910" s="102" t="s">
        <v>2737</v>
      </c>
      <c r="O910" s="102" t="s">
        <v>383</v>
      </c>
      <c r="P910" s="103">
        <v>1</v>
      </c>
      <c r="Q910" s="105">
        <v>2800000</v>
      </c>
      <c r="R910" s="103">
        <v>48</v>
      </c>
      <c r="S910" s="105">
        <v>58333.333333333299</v>
      </c>
      <c r="T910" s="105">
        <v>758333.33333333395</v>
      </c>
      <c r="U910" s="105">
        <v>58333.333333333299</v>
      </c>
      <c r="V910" s="105">
        <v>58333.333333333299</v>
      </c>
      <c r="W910" s="105">
        <v>58333.333333333299</v>
      </c>
      <c r="X910" s="105">
        <v>58333.333333333299</v>
      </c>
      <c r="Y910" s="105">
        <v>58333.333333333299</v>
      </c>
      <c r="Z910" s="105">
        <v>58333.333333333299</v>
      </c>
      <c r="AA910" s="105">
        <v>58333.333333333299</v>
      </c>
      <c r="AB910" s="105">
        <v>58333.333333333299</v>
      </c>
      <c r="AC910" s="8">
        <f t="shared" si="98"/>
        <v>1225000.0000000005</v>
      </c>
      <c r="AD910" s="8">
        <f t="shared" si="99"/>
        <v>1574999.9999999995</v>
      </c>
      <c r="AE910" s="8">
        <f t="shared" si="100"/>
        <v>58333.333333333299</v>
      </c>
      <c r="AF910" s="106">
        <f t="shared" si="101"/>
        <v>27.000000000000007</v>
      </c>
      <c r="AG910" s="8">
        <f t="shared" si="102"/>
        <v>58333.333333333299</v>
      </c>
      <c r="AH910" s="8">
        <f>IF($O910="Aktif",MAX(0,MIN($AE910,$AD910-SUM($AG910:AG910))),0)</f>
        <v>58333.333333333299</v>
      </c>
      <c r="AI910" s="8">
        <f>IF($O910="Aktif",MAX(0,MIN($AE910,$AD910-SUM($AG910:AH910))),0)</f>
        <v>58333.333333333299</v>
      </c>
      <c r="AJ910" s="8">
        <f>IF($O910="Aktif",MAX(0,MIN($AE910,$AD910-SUM($AG910:AI910))),0)</f>
        <v>58333.333333333299</v>
      </c>
      <c r="AK910" s="8">
        <f>IF($O910="Aktif",MAX(0,MIN($AE910,$AD910-SUM($AG910:AJ910))),0)</f>
        <v>58333.333333333299</v>
      </c>
      <c r="AL910" s="8">
        <f>IF($O910="Aktif",MAX(0,MIN($AE910,$AD910-SUM($AG910:AK910))),0)</f>
        <v>58333.333333333299</v>
      </c>
      <c r="AM910" s="8">
        <f>IF($O910="Aktif",MAX(0,MIN($AE910,$AD910-SUM($AG910:AL910))),0)</f>
        <v>58333.333333333299</v>
      </c>
      <c r="AN910" s="8">
        <f>IF($O910="Aktif",MAX(0,MIN($AE910,$AD910-SUM($AG910:AM910))),0)</f>
        <v>58333.333333333299</v>
      </c>
      <c r="AO910" s="8">
        <f>IF($O910="Aktif",MAX(0,MIN($AE910,$AD910-SUM($AG910:AN910))),0)</f>
        <v>58333.333333333299</v>
      </c>
      <c r="AP910" s="8">
        <f>IF($O910="Aktif",MAX(0,MIN($AE910,$AD910-SUM($AG910:AO910))),0)</f>
        <v>58333.333333333299</v>
      </c>
      <c r="AQ910" s="8">
        <f>IF($O910="Aktif",MAX(0,MIN($AE910,$AD910-SUM($AG910:AP910))),0)</f>
        <v>58333.333333333299</v>
      </c>
      <c r="AR910" s="8">
        <f>IF($O910="Aktif",MAX(0,MIN($AE910,$AD910-SUM($AG910:AQ910))),0)</f>
        <v>58333.333333333299</v>
      </c>
      <c r="AS910" s="8">
        <f>IF($O910="Aktif",MAX(0,MIN($AE910,$AD910-SUM($AG910:AR910))),0)</f>
        <v>58333.333333333299</v>
      </c>
      <c r="AT910" s="8">
        <f>IF($O910="Aktif",MAX(0,MIN($AE910,$AD910-SUM($AG910:AS910))),0)</f>
        <v>58333.333333333299</v>
      </c>
      <c r="AU910" s="8">
        <f>IF($O910="Aktif",MAX(0,MIN($AE910,$AD910-SUM($AG910:AT910))),0)</f>
        <v>58333.333333333299</v>
      </c>
      <c r="AV910" s="8">
        <f>IF($O910="Aktif",MAX(0,MIN($AE910,$AD910-SUM($AG910:AU910))),0)</f>
        <v>58333.333333333299</v>
      </c>
      <c r="AW910" s="8">
        <f t="shared" si="103"/>
        <v>933333.33333333256</v>
      </c>
      <c r="AX910" s="8">
        <f t="shared" si="104"/>
        <v>641666.66666666698</v>
      </c>
    </row>
    <row r="911" spans="1:50" ht="15" customHeight="1" x14ac:dyDescent="0.35">
      <c r="A911" s="102">
        <v>905</v>
      </c>
      <c r="B911" s="102" t="s">
        <v>1326</v>
      </c>
      <c r="C911" s="103">
        <v>539</v>
      </c>
      <c r="D911" s="102" t="s">
        <v>185</v>
      </c>
      <c r="E911" s="102" t="s">
        <v>479</v>
      </c>
      <c r="F911" s="102" t="s">
        <v>2332</v>
      </c>
      <c r="G911" s="102" t="s">
        <v>2333</v>
      </c>
      <c r="H911" s="102" t="s">
        <v>2334</v>
      </c>
      <c r="I911" s="102" t="s">
        <v>63</v>
      </c>
      <c r="J911" s="102"/>
      <c r="K911" s="102"/>
      <c r="L911" s="104">
        <v>45639</v>
      </c>
      <c r="M911" s="102" t="s">
        <v>2733</v>
      </c>
      <c r="N911" s="102" t="s">
        <v>2733</v>
      </c>
      <c r="O911" s="102" t="s">
        <v>383</v>
      </c>
      <c r="P911" s="103">
        <v>1</v>
      </c>
      <c r="Q911" s="105">
        <v>2200000</v>
      </c>
      <c r="R911" s="103">
        <v>48</v>
      </c>
      <c r="S911" s="105">
        <v>45833.333333333299</v>
      </c>
      <c r="T911" s="105">
        <v>595833.33333333302</v>
      </c>
      <c r="U911" s="105">
        <v>45833.333333333299</v>
      </c>
      <c r="V911" s="105">
        <v>45833.333333333299</v>
      </c>
      <c r="W911" s="105">
        <v>45833.333333333299</v>
      </c>
      <c r="X911" s="105">
        <v>45833.333333333299</v>
      </c>
      <c r="Y911" s="105">
        <v>45833.333333333299</v>
      </c>
      <c r="Z911" s="105">
        <v>45833.333333333299</v>
      </c>
      <c r="AA911" s="105">
        <v>45833.333333333299</v>
      </c>
      <c r="AB911" s="105">
        <v>45833.333333333299</v>
      </c>
      <c r="AC911" s="8">
        <f t="shared" si="98"/>
        <v>962499.99999999953</v>
      </c>
      <c r="AD911" s="8">
        <f t="shared" si="99"/>
        <v>1237500.0000000005</v>
      </c>
      <c r="AE911" s="8">
        <f t="shared" si="100"/>
        <v>45833.333333333299</v>
      </c>
      <c r="AF911" s="106">
        <f t="shared" si="101"/>
        <v>27.000000000000028</v>
      </c>
      <c r="AG911" s="8">
        <f t="shared" si="102"/>
        <v>45833.333333333299</v>
      </c>
      <c r="AH911" s="8">
        <f>IF($O911="Aktif",MAX(0,MIN($AE911,$AD911-SUM($AG911:AG911))),0)</f>
        <v>45833.333333333299</v>
      </c>
      <c r="AI911" s="8">
        <f>IF($O911="Aktif",MAX(0,MIN($AE911,$AD911-SUM($AG911:AH911))),0)</f>
        <v>45833.333333333299</v>
      </c>
      <c r="AJ911" s="8">
        <f>IF($O911="Aktif",MAX(0,MIN($AE911,$AD911-SUM($AG911:AI911))),0)</f>
        <v>45833.333333333299</v>
      </c>
      <c r="AK911" s="8">
        <f>IF($O911="Aktif",MAX(0,MIN($AE911,$AD911-SUM($AG911:AJ911))),0)</f>
        <v>45833.333333333299</v>
      </c>
      <c r="AL911" s="8">
        <f>IF($O911="Aktif",MAX(0,MIN($AE911,$AD911-SUM($AG911:AK911))),0)</f>
        <v>45833.333333333299</v>
      </c>
      <c r="AM911" s="8">
        <f>IF($O911="Aktif",MAX(0,MIN($AE911,$AD911-SUM($AG911:AL911))),0)</f>
        <v>45833.333333333299</v>
      </c>
      <c r="AN911" s="8">
        <f>IF($O911="Aktif",MAX(0,MIN($AE911,$AD911-SUM($AG911:AM911))),0)</f>
        <v>45833.333333333299</v>
      </c>
      <c r="AO911" s="8">
        <f>IF($O911="Aktif",MAX(0,MIN($AE911,$AD911-SUM($AG911:AN911))),0)</f>
        <v>45833.333333333299</v>
      </c>
      <c r="AP911" s="8">
        <f>IF($O911="Aktif",MAX(0,MIN($AE911,$AD911-SUM($AG911:AO911))),0)</f>
        <v>45833.333333333299</v>
      </c>
      <c r="AQ911" s="8">
        <f>IF($O911="Aktif",MAX(0,MIN($AE911,$AD911-SUM($AG911:AP911))),0)</f>
        <v>45833.333333333299</v>
      </c>
      <c r="AR911" s="8">
        <f>IF($O911="Aktif",MAX(0,MIN($AE911,$AD911-SUM($AG911:AQ911))),0)</f>
        <v>45833.333333333299</v>
      </c>
      <c r="AS911" s="8">
        <f>IF($O911="Aktif",MAX(0,MIN($AE911,$AD911-SUM($AG911:AR911))),0)</f>
        <v>45833.333333333299</v>
      </c>
      <c r="AT911" s="8">
        <f>IF($O911="Aktif",MAX(0,MIN($AE911,$AD911-SUM($AG911:AS911))),0)</f>
        <v>45833.333333333299</v>
      </c>
      <c r="AU911" s="8">
        <f>IF($O911="Aktif",MAX(0,MIN($AE911,$AD911-SUM($AG911:AT911))),0)</f>
        <v>45833.333333333299</v>
      </c>
      <c r="AV911" s="8">
        <f>IF($O911="Aktif",MAX(0,MIN($AE911,$AD911-SUM($AG911:AU911))),0)</f>
        <v>45833.333333333299</v>
      </c>
      <c r="AW911" s="8">
        <f t="shared" si="103"/>
        <v>733333.33333333267</v>
      </c>
      <c r="AX911" s="8">
        <f t="shared" si="104"/>
        <v>504166.66666666779</v>
      </c>
    </row>
    <row r="912" spans="1:50" ht="15" customHeight="1" x14ac:dyDescent="0.35">
      <c r="A912" s="102">
        <v>906</v>
      </c>
      <c r="B912" s="102" t="s">
        <v>1326</v>
      </c>
      <c r="C912" s="103">
        <v>540</v>
      </c>
      <c r="D912" s="102" t="s">
        <v>185</v>
      </c>
      <c r="E912" s="102" t="s">
        <v>479</v>
      </c>
      <c r="F912" s="102" t="s">
        <v>2332</v>
      </c>
      <c r="G912" s="102" t="s">
        <v>2333</v>
      </c>
      <c r="H912" s="102" t="s">
        <v>2334</v>
      </c>
      <c r="I912" s="102" t="s">
        <v>63</v>
      </c>
      <c r="J912" s="102"/>
      <c r="K912" s="102"/>
      <c r="L912" s="104">
        <v>45639</v>
      </c>
      <c r="M912" s="102" t="s">
        <v>2734</v>
      </c>
      <c r="N912" s="102" t="s">
        <v>2734</v>
      </c>
      <c r="O912" s="102" t="s">
        <v>383</v>
      </c>
      <c r="P912" s="103">
        <v>1</v>
      </c>
      <c r="Q912" s="105">
        <v>2200000</v>
      </c>
      <c r="R912" s="103">
        <v>48</v>
      </c>
      <c r="S912" s="105">
        <v>45833.333333333299</v>
      </c>
      <c r="T912" s="105">
        <v>595833.33333333302</v>
      </c>
      <c r="U912" s="105">
        <v>45833.333333333299</v>
      </c>
      <c r="V912" s="105">
        <v>45833.333333333299</v>
      </c>
      <c r="W912" s="105">
        <v>45833.333333333299</v>
      </c>
      <c r="X912" s="105">
        <v>45833.333333333299</v>
      </c>
      <c r="Y912" s="105">
        <v>45833.333333333299</v>
      </c>
      <c r="Z912" s="105">
        <v>45833.333333333299</v>
      </c>
      <c r="AA912" s="105">
        <v>45833.333333333299</v>
      </c>
      <c r="AB912" s="105">
        <v>45833.333333333299</v>
      </c>
      <c r="AC912" s="8">
        <f t="shared" si="98"/>
        <v>962499.99999999953</v>
      </c>
      <c r="AD912" s="8">
        <f t="shared" si="99"/>
        <v>1237500.0000000005</v>
      </c>
      <c r="AE912" s="8">
        <f t="shared" si="100"/>
        <v>45833.333333333299</v>
      </c>
      <c r="AF912" s="106">
        <f t="shared" si="101"/>
        <v>27.000000000000028</v>
      </c>
      <c r="AG912" s="8">
        <f t="shared" si="102"/>
        <v>45833.333333333299</v>
      </c>
      <c r="AH912" s="8">
        <f>IF($O912="Aktif",MAX(0,MIN($AE912,$AD912-SUM($AG912:AG912))),0)</f>
        <v>45833.333333333299</v>
      </c>
      <c r="AI912" s="8">
        <f>IF($O912="Aktif",MAX(0,MIN($AE912,$AD912-SUM($AG912:AH912))),0)</f>
        <v>45833.333333333299</v>
      </c>
      <c r="AJ912" s="8">
        <f>IF($O912="Aktif",MAX(0,MIN($AE912,$AD912-SUM($AG912:AI912))),0)</f>
        <v>45833.333333333299</v>
      </c>
      <c r="AK912" s="8">
        <f>IF($O912="Aktif",MAX(0,MIN($AE912,$AD912-SUM($AG912:AJ912))),0)</f>
        <v>45833.333333333299</v>
      </c>
      <c r="AL912" s="8">
        <f>IF($O912="Aktif",MAX(0,MIN($AE912,$AD912-SUM($AG912:AK912))),0)</f>
        <v>45833.333333333299</v>
      </c>
      <c r="AM912" s="8">
        <f>IF($O912="Aktif",MAX(0,MIN($AE912,$AD912-SUM($AG912:AL912))),0)</f>
        <v>45833.333333333299</v>
      </c>
      <c r="AN912" s="8">
        <f>IF($O912="Aktif",MAX(0,MIN($AE912,$AD912-SUM($AG912:AM912))),0)</f>
        <v>45833.333333333299</v>
      </c>
      <c r="AO912" s="8">
        <f>IF($O912="Aktif",MAX(0,MIN($AE912,$AD912-SUM($AG912:AN912))),0)</f>
        <v>45833.333333333299</v>
      </c>
      <c r="AP912" s="8">
        <f>IF($O912="Aktif",MAX(0,MIN($AE912,$AD912-SUM($AG912:AO912))),0)</f>
        <v>45833.333333333299</v>
      </c>
      <c r="AQ912" s="8">
        <f>IF($O912="Aktif",MAX(0,MIN($AE912,$AD912-SUM($AG912:AP912))),0)</f>
        <v>45833.333333333299</v>
      </c>
      <c r="AR912" s="8">
        <f>IF($O912="Aktif",MAX(0,MIN($AE912,$AD912-SUM($AG912:AQ912))),0)</f>
        <v>45833.333333333299</v>
      </c>
      <c r="AS912" s="8">
        <f>IF($O912="Aktif",MAX(0,MIN($AE912,$AD912-SUM($AG912:AR912))),0)</f>
        <v>45833.333333333299</v>
      </c>
      <c r="AT912" s="8">
        <f>IF($O912="Aktif",MAX(0,MIN($AE912,$AD912-SUM($AG912:AS912))),0)</f>
        <v>45833.333333333299</v>
      </c>
      <c r="AU912" s="8">
        <f>IF($O912="Aktif",MAX(0,MIN($AE912,$AD912-SUM($AG912:AT912))),0)</f>
        <v>45833.333333333299</v>
      </c>
      <c r="AV912" s="8">
        <f>IF($O912="Aktif",MAX(0,MIN($AE912,$AD912-SUM($AG912:AU912))),0)</f>
        <v>45833.333333333299</v>
      </c>
      <c r="AW912" s="8">
        <f t="shared" si="103"/>
        <v>733333.33333333267</v>
      </c>
      <c r="AX912" s="8">
        <f t="shared" si="104"/>
        <v>504166.66666666779</v>
      </c>
    </row>
    <row r="913" spans="1:50" ht="15" customHeight="1" x14ac:dyDescent="0.35">
      <c r="A913" s="102">
        <v>907</v>
      </c>
      <c r="B913" s="102" t="s">
        <v>1326</v>
      </c>
      <c r="C913" s="103">
        <v>541</v>
      </c>
      <c r="D913" s="102" t="s">
        <v>185</v>
      </c>
      <c r="E913" s="102" t="s">
        <v>479</v>
      </c>
      <c r="F913" s="102" t="s">
        <v>2332</v>
      </c>
      <c r="G913" s="102" t="s">
        <v>2333</v>
      </c>
      <c r="H913" s="102" t="s">
        <v>2334</v>
      </c>
      <c r="I913" s="102" t="s">
        <v>63</v>
      </c>
      <c r="J913" s="102"/>
      <c r="K913" s="102"/>
      <c r="L913" s="104">
        <v>45639</v>
      </c>
      <c r="M913" s="102" t="s">
        <v>2735</v>
      </c>
      <c r="N913" s="102" t="s">
        <v>2735</v>
      </c>
      <c r="O913" s="102" t="s">
        <v>383</v>
      </c>
      <c r="P913" s="103">
        <v>1</v>
      </c>
      <c r="Q913" s="105">
        <v>2200000</v>
      </c>
      <c r="R913" s="103">
        <v>48</v>
      </c>
      <c r="S913" s="105">
        <v>45833.333333333299</v>
      </c>
      <c r="T913" s="105">
        <v>595833.33333333302</v>
      </c>
      <c r="U913" s="105">
        <v>45833.333333333299</v>
      </c>
      <c r="V913" s="105">
        <v>45833.333333333299</v>
      </c>
      <c r="W913" s="105">
        <v>45833.333333333299</v>
      </c>
      <c r="X913" s="105">
        <v>45833.333333333299</v>
      </c>
      <c r="Y913" s="105">
        <v>45833.333333333299</v>
      </c>
      <c r="Z913" s="105">
        <v>45833.333333333299</v>
      </c>
      <c r="AA913" s="105">
        <v>45833.333333333299</v>
      </c>
      <c r="AB913" s="105">
        <v>45833.333333333299</v>
      </c>
      <c r="AC913" s="8">
        <f t="shared" si="98"/>
        <v>962499.99999999953</v>
      </c>
      <c r="AD913" s="8">
        <f t="shared" si="99"/>
        <v>1237500.0000000005</v>
      </c>
      <c r="AE913" s="8">
        <f t="shared" si="100"/>
        <v>45833.333333333299</v>
      </c>
      <c r="AF913" s="106">
        <f t="shared" si="101"/>
        <v>27.000000000000028</v>
      </c>
      <c r="AG913" s="8">
        <f t="shared" si="102"/>
        <v>45833.333333333299</v>
      </c>
      <c r="AH913" s="8">
        <f>IF($O913="Aktif",MAX(0,MIN($AE913,$AD913-SUM($AG913:AG913))),0)</f>
        <v>45833.333333333299</v>
      </c>
      <c r="AI913" s="8">
        <f>IF($O913="Aktif",MAX(0,MIN($AE913,$AD913-SUM($AG913:AH913))),0)</f>
        <v>45833.333333333299</v>
      </c>
      <c r="AJ913" s="8">
        <f>IF($O913="Aktif",MAX(0,MIN($AE913,$AD913-SUM($AG913:AI913))),0)</f>
        <v>45833.333333333299</v>
      </c>
      <c r="AK913" s="8">
        <f>IF($O913="Aktif",MAX(0,MIN($AE913,$AD913-SUM($AG913:AJ913))),0)</f>
        <v>45833.333333333299</v>
      </c>
      <c r="AL913" s="8">
        <f>IF($O913="Aktif",MAX(0,MIN($AE913,$AD913-SUM($AG913:AK913))),0)</f>
        <v>45833.333333333299</v>
      </c>
      <c r="AM913" s="8">
        <f>IF($O913="Aktif",MAX(0,MIN($AE913,$AD913-SUM($AG913:AL913))),0)</f>
        <v>45833.333333333299</v>
      </c>
      <c r="AN913" s="8">
        <f>IF($O913="Aktif",MAX(0,MIN($AE913,$AD913-SUM($AG913:AM913))),0)</f>
        <v>45833.333333333299</v>
      </c>
      <c r="AO913" s="8">
        <f>IF($O913="Aktif",MAX(0,MIN($AE913,$AD913-SUM($AG913:AN913))),0)</f>
        <v>45833.333333333299</v>
      </c>
      <c r="AP913" s="8">
        <f>IF($O913="Aktif",MAX(0,MIN($AE913,$AD913-SUM($AG913:AO913))),0)</f>
        <v>45833.333333333299</v>
      </c>
      <c r="AQ913" s="8">
        <f>IF($O913="Aktif",MAX(0,MIN($AE913,$AD913-SUM($AG913:AP913))),0)</f>
        <v>45833.333333333299</v>
      </c>
      <c r="AR913" s="8">
        <f>IF($O913="Aktif",MAX(0,MIN($AE913,$AD913-SUM($AG913:AQ913))),0)</f>
        <v>45833.333333333299</v>
      </c>
      <c r="AS913" s="8">
        <f>IF($O913="Aktif",MAX(0,MIN($AE913,$AD913-SUM($AG913:AR913))),0)</f>
        <v>45833.333333333299</v>
      </c>
      <c r="AT913" s="8">
        <f>IF($O913="Aktif",MAX(0,MIN($AE913,$AD913-SUM($AG913:AS913))),0)</f>
        <v>45833.333333333299</v>
      </c>
      <c r="AU913" s="8">
        <f>IF($O913="Aktif",MAX(0,MIN($AE913,$AD913-SUM($AG913:AT913))),0)</f>
        <v>45833.333333333299</v>
      </c>
      <c r="AV913" s="8">
        <f>IF($O913="Aktif",MAX(0,MIN($AE913,$AD913-SUM($AG913:AU913))),0)</f>
        <v>45833.333333333299</v>
      </c>
      <c r="AW913" s="8">
        <f t="shared" si="103"/>
        <v>733333.33333333267</v>
      </c>
      <c r="AX913" s="8">
        <f t="shared" si="104"/>
        <v>504166.66666666779</v>
      </c>
    </row>
    <row r="914" spans="1:50" ht="15" customHeight="1" x14ac:dyDescent="0.35">
      <c r="A914" s="102">
        <v>908</v>
      </c>
      <c r="B914" s="102" t="s">
        <v>1326</v>
      </c>
      <c r="C914" s="103">
        <v>542</v>
      </c>
      <c r="D914" s="102" t="s">
        <v>185</v>
      </c>
      <c r="E914" s="102" t="s">
        <v>479</v>
      </c>
      <c r="F914" s="102" t="s">
        <v>2332</v>
      </c>
      <c r="G914" s="102" t="s">
        <v>2333</v>
      </c>
      <c r="H914" s="102" t="s">
        <v>2334</v>
      </c>
      <c r="I914" s="102" t="s">
        <v>63</v>
      </c>
      <c r="J914" s="102"/>
      <c r="K914" s="102"/>
      <c r="L914" s="104">
        <v>45639</v>
      </c>
      <c r="M914" s="102" t="s">
        <v>2738</v>
      </c>
      <c r="N914" s="102" t="s">
        <v>2738</v>
      </c>
      <c r="O914" s="102" t="s">
        <v>383</v>
      </c>
      <c r="P914" s="103">
        <v>1</v>
      </c>
      <c r="Q914" s="105">
        <v>2200000</v>
      </c>
      <c r="R914" s="103">
        <v>48</v>
      </c>
      <c r="S914" s="105">
        <v>45833.333333333299</v>
      </c>
      <c r="T914" s="105">
        <v>595833.33333333302</v>
      </c>
      <c r="U914" s="105">
        <v>45833.333333333299</v>
      </c>
      <c r="V914" s="105">
        <v>45833.333333333299</v>
      </c>
      <c r="W914" s="105">
        <v>45833.333333333299</v>
      </c>
      <c r="X914" s="105">
        <v>45833.333333333299</v>
      </c>
      <c r="Y914" s="105">
        <v>45833.333333333299</v>
      </c>
      <c r="Z914" s="105">
        <v>45833.333333333299</v>
      </c>
      <c r="AA914" s="105">
        <v>45833.333333333299</v>
      </c>
      <c r="AB914" s="105">
        <v>45833.333333333299</v>
      </c>
      <c r="AC914" s="8">
        <f t="shared" si="98"/>
        <v>962499.99999999953</v>
      </c>
      <c r="AD914" s="8">
        <f t="shared" si="99"/>
        <v>1237500.0000000005</v>
      </c>
      <c r="AE914" s="8">
        <f t="shared" si="100"/>
        <v>45833.333333333299</v>
      </c>
      <c r="AF914" s="106">
        <f t="shared" si="101"/>
        <v>27.000000000000028</v>
      </c>
      <c r="AG914" s="8">
        <f t="shared" si="102"/>
        <v>45833.333333333299</v>
      </c>
      <c r="AH914" s="8">
        <f>IF($O914="Aktif",MAX(0,MIN($AE914,$AD914-SUM($AG914:AG914))),0)</f>
        <v>45833.333333333299</v>
      </c>
      <c r="AI914" s="8">
        <f>IF($O914="Aktif",MAX(0,MIN($AE914,$AD914-SUM($AG914:AH914))),0)</f>
        <v>45833.333333333299</v>
      </c>
      <c r="AJ914" s="8">
        <f>IF($O914="Aktif",MAX(0,MIN($AE914,$AD914-SUM($AG914:AI914))),0)</f>
        <v>45833.333333333299</v>
      </c>
      <c r="AK914" s="8">
        <f>IF($O914="Aktif",MAX(0,MIN($AE914,$AD914-SUM($AG914:AJ914))),0)</f>
        <v>45833.333333333299</v>
      </c>
      <c r="AL914" s="8">
        <f>IF($O914="Aktif",MAX(0,MIN($AE914,$AD914-SUM($AG914:AK914))),0)</f>
        <v>45833.333333333299</v>
      </c>
      <c r="AM914" s="8">
        <f>IF($O914="Aktif",MAX(0,MIN($AE914,$AD914-SUM($AG914:AL914))),0)</f>
        <v>45833.333333333299</v>
      </c>
      <c r="AN914" s="8">
        <f>IF($O914="Aktif",MAX(0,MIN($AE914,$AD914-SUM($AG914:AM914))),0)</f>
        <v>45833.333333333299</v>
      </c>
      <c r="AO914" s="8">
        <f>IF($O914="Aktif",MAX(0,MIN($AE914,$AD914-SUM($AG914:AN914))),0)</f>
        <v>45833.333333333299</v>
      </c>
      <c r="AP914" s="8">
        <f>IF($O914="Aktif",MAX(0,MIN($AE914,$AD914-SUM($AG914:AO914))),0)</f>
        <v>45833.333333333299</v>
      </c>
      <c r="AQ914" s="8">
        <f>IF($O914="Aktif",MAX(0,MIN($AE914,$AD914-SUM($AG914:AP914))),0)</f>
        <v>45833.333333333299</v>
      </c>
      <c r="AR914" s="8">
        <f>IF($O914="Aktif",MAX(0,MIN($AE914,$AD914-SUM($AG914:AQ914))),0)</f>
        <v>45833.333333333299</v>
      </c>
      <c r="AS914" s="8">
        <f>IF($O914="Aktif",MAX(0,MIN($AE914,$AD914-SUM($AG914:AR914))),0)</f>
        <v>45833.333333333299</v>
      </c>
      <c r="AT914" s="8">
        <f>IF($O914="Aktif",MAX(0,MIN($AE914,$AD914-SUM($AG914:AS914))),0)</f>
        <v>45833.333333333299</v>
      </c>
      <c r="AU914" s="8">
        <f>IF($O914="Aktif",MAX(0,MIN($AE914,$AD914-SUM($AG914:AT914))),0)</f>
        <v>45833.333333333299</v>
      </c>
      <c r="AV914" s="8">
        <f>IF($O914="Aktif",MAX(0,MIN($AE914,$AD914-SUM($AG914:AU914))),0)</f>
        <v>45833.333333333299</v>
      </c>
      <c r="AW914" s="8">
        <f t="shared" si="103"/>
        <v>733333.33333333267</v>
      </c>
      <c r="AX914" s="8">
        <f t="shared" si="104"/>
        <v>504166.66666666779</v>
      </c>
    </row>
    <row r="915" spans="1:50" ht="15" customHeight="1" x14ac:dyDescent="0.35">
      <c r="A915" s="102">
        <v>909</v>
      </c>
      <c r="B915" s="102" t="s">
        <v>1326</v>
      </c>
      <c r="C915" s="103">
        <v>543</v>
      </c>
      <c r="D915" s="102" t="s">
        <v>185</v>
      </c>
      <c r="E915" s="102" t="s">
        <v>479</v>
      </c>
      <c r="F915" s="102" t="s">
        <v>2332</v>
      </c>
      <c r="G915" s="102" t="s">
        <v>2333</v>
      </c>
      <c r="H915" s="102" t="s">
        <v>2334</v>
      </c>
      <c r="I915" s="102" t="s">
        <v>63</v>
      </c>
      <c r="J915" s="102"/>
      <c r="K915" s="102"/>
      <c r="L915" s="104">
        <v>45639</v>
      </c>
      <c r="M915" s="102" t="s">
        <v>2739</v>
      </c>
      <c r="N915" s="102" t="s">
        <v>2739</v>
      </c>
      <c r="O915" s="102" t="s">
        <v>383</v>
      </c>
      <c r="P915" s="103">
        <v>1</v>
      </c>
      <c r="Q915" s="105">
        <v>2200000</v>
      </c>
      <c r="R915" s="103">
        <v>48</v>
      </c>
      <c r="S915" s="105">
        <v>45833.333333333299</v>
      </c>
      <c r="T915" s="105">
        <v>595833.33333333302</v>
      </c>
      <c r="U915" s="105">
        <v>45833.333333333299</v>
      </c>
      <c r="V915" s="105">
        <v>45833.333333333299</v>
      </c>
      <c r="W915" s="105">
        <v>45833.333333333299</v>
      </c>
      <c r="X915" s="105">
        <v>45833.333333333299</v>
      </c>
      <c r="Y915" s="105">
        <v>45833.333333333299</v>
      </c>
      <c r="Z915" s="105">
        <v>45833.333333333299</v>
      </c>
      <c r="AA915" s="105">
        <v>45833.333333333299</v>
      </c>
      <c r="AB915" s="105">
        <v>45833.333333333299</v>
      </c>
      <c r="AC915" s="8">
        <f t="shared" si="98"/>
        <v>962499.99999999953</v>
      </c>
      <c r="AD915" s="8">
        <f t="shared" si="99"/>
        <v>1237500.0000000005</v>
      </c>
      <c r="AE915" s="8">
        <f t="shared" si="100"/>
        <v>45833.333333333299</v>
      </c>
      <c r="AF915" s="106">
        <f t="shared" si="101"/>
        <v>27.000000000000028</v>
      </c>
      <c r="AG915" s="8">
        <f t="shared" si="102"/>
        <v>45833.333333333299</v>
      </c>
      <c r="AH915" s="8">
        <f>IF($O915="Aktif",MAX(0,MIN($AE915,$AD915-SUM($AG915:AG915))),0)</f>
        <v>45833.333333333299</v>
      </c>
      <c r="AI915" s="8">
        <f>IF($O915="Aktif",MAX(0,MIN($AE915,$AD915-SUM($AG915:AH915))),0)</f>
        <v>45833.333333333299</v>
      </c>
      <c r="AJ915" s="8">
        <f>IF($O915="Aktif",MAX(0,MIN($AE915,$AD915-SUM($AG915:AI915))),0)</f>
        <v>45833.333333333299</v>
      </c>
      <c r="AK915" s="8">
        <f>IF($O915="Aktif",MAX(0,MIN($AE915,$AD915-SUM($AG915:AJ915))),0)</f>
        <v>45833.333333333299</v>
      </c>
      <c r="AL915" s="8">
        <f>IF($O915="Aktif",MAX(0,MIN($AE915,$AD915-SUM($AG915:AK915))),0)</f>
        <v>45833.333333333299</v>
      </c>
      <c r="AM915" s="8">
        <f>IF($O915="Aktif",MAX(0,MIN($AE915,$AD915-SUM($AG915:AL915))),0)</f>
        <v>45833.333333333299</v>
      </c>
      <c r="AN915" s="8">
        <f>IF($O915="Aktif",MAX(0,MIN($AE915,$AD915-SUM($AG915:AM915))),0)</f>
        <v>45833.333333333299</v>
      </c>
      <c r="AO915" s="8">
        <f>IF($O915="Aktif",MAX(0,MIN($AE915,$AD915-SUM($AG915:AN915))),0)</f>
        <v>45833.333333333299</v>
      </c>
      <c r="AP915" s="8">
        <f>IF($O915="Aktif",MAX(0,MIN($AE915,$AD915-SUM($AG915:AO915))),0)</f>
        <v>45833.333333333299</v>
      </c>
      <c r="AQ915" s="8">
        <f>IF($O915="Aktif",MAX(0,MIN($AE915,$AD915-SUM($AG915:AP915))),0)</f>
        <v>45833.333333333299</v>
      </c>
      <c r="AR915" s="8">
        <f>IF($O915="Aktif",MAX(0,MIN($AE915,$AD915-SUM($AG915:AQ915))),0)</f>
        <v>45833.333333333299</v>
      </c>
      <c r="AS915" s="8">
        <f>IF($O915="Aktif",MAX(0,MIN($AE915,$AD915-SUM($AG915:AR915))),0)</f>
        <v>45833.333333333299</v>
      </c>
      <c r="AT915" s="8">
        <f>IF($O915="Aktif",MAX(0,MIN($AE915,$AD915-SUM($AG915:AS915))),0)</f>
        <v>45833.333333333299</v>
      </c>
      <c r="AU915" s="8">
        <f>IF($O915="Aktif",MAX(0,MIN($AE915,$AD915-SUM($AG915:AT915))),0)</f>
        <v>45833.333333333299</v>
      </c>
      <c r="AV915" s="8">
        <f>IF($O915="Aktif",MAX(0,MIN($AE915,$AD915-SUM($AG915:AU915))),0)</f>
        <v>45833.333333333299</v>
      </c>
      <c r="AW915" s="8">
        <f t="shared" si="103"/>
        <v>733333.33333333267</v>
      </c>
      <c r="AX915" s="8">
        <f t="shared" si="104"/>
        <v>504166.66666666779</v>
      </c>
    </row>
    <row r="916" spans="1:50" ht="15" customHeight="1" x14ac:dyDescent="0.35">
      <c r="A916" s="102">
        <v>910</v>
      </c>
      <c r="B916" s="102" t="s">
        <v>1326</v>
      </c>
      <c r="C916" s="103">
        <v>544</v>
      </c>
      <c r="D916" s="102" t="s">
        <v>185</v>
      </c>
      <c r="E916" s="102" t="s">
        <v>479</v>
      </c>
      <c r="F916" s="102" t="s">
        <v>2332</v>
      </c>
      <c r="G916" s="102" t="s">
        <v>2333</v>
      </c>
      <c r="H916" s="102" t="s">
        <v>2334</v>
      </c>
      <c r="I916" s="102" t="s">
        <v>63</v>
      </c>
      <c r="J916" s="102"/>
      <c r="K916" s="102"/>
      <c r="L916" s="104">
        <v>45641</v>
      </c>
      <c r="M916" s="102" t="s">
        <v>2740</v>
      </c>
      <c r="N916" s="102" t="s">
        <v>2740</v>
      </c>
      <c r="O916" s="102" t="s">
        <v>383</v>
      </c>
      <c r="P916" s="103">
        <v>1</v>
      </c>
      <c r="Q916" s="105">
        <v>6000000</v>
      </c>
      <c r="R916" s="103">
        <v>48</v>
      </c>
      <c r="S916" s="105">
        <v>125000</v>
      </c>
      <c r="T916" s="105">
        <v>1625000</v>
      </c>
      <c r="U916" s="105">
        <v>125000</v>
      </c>
      <c r="V916" s="105">
        <v>125000</v>
      </c>
      <c r="W916" s="105">
        <v>125000</v>
      </c>
      <c r="X916" s="105">
        <v>125000</v>
      </c>
      <c r="Y916" s="105">
        <v>125000</v>
      </c>
      <c r="Z916" s="105">
        <v>125000</v>
      </c>
      <c r="AA916" s="105">
        <v>125000</v>
      </c>
      <c r="AB916" s="105">
        <v>125000</v>
      </c>
      <c r="AC916" s="8">
        <f t="shared" si="98"/>
        <v>2625000</v>
      </c>
      <c r="AD916" s="8">
        <f t="shared" si="99"/>
        <v>3375000</v>
      </c>
      <c r="AE916" s="8">
        <f t="shared" si="100"/>
        <v>125000</v>
      </c>
      <c r="AF916" s="106">
        <f t="shared" si="101"/>
        <v>27</v>
      </c>
      <c r="AG916" s="8">
        <f t="shared" si="102"/>
        <v>125000</v>
      </c>
      <c r="AH916" s="8">
        <f>IF($O916="Aktif",MAX(0,MIN($AE916,$AD916-SUM($AG916:AG916))),0)</f>
        <v>125000</v>
      </c>
      <c r="AI916" s="8">
        <f>IF($O916="Aktif",MAX(0,MIN($AE916,$AD916-SUM($AG916:AH916))),0)</f>
        <v>125000</v>
      </c>
      <c r="AJ916" s="8">
        <f>IF($O916="Aktif",MAX(0,MIN($AE916,$AD916-SUM($AG916:AI916))),0)</f>
        <v>125000</v>
      </c>
      <c r="AK916" s="8">
        <f>IF($O916="Aktif",MAX(0,MIN($AE916,$AD916-SUM($AG916:AJ916))),0)</f>
        <v>125000</v>
      </c>
      <c r="AL916" s="8">
        <f>IF($O916="Aktif",MAX(0,MIN($AE916,$AD916-SUM($AG916:AK916))),0)</f>
        <v>125000</v>
      </c>
      <c r="AM916" s="8">
        <f>IF($O916="Aktif",MAX(0,MIN($AE916,$AD916-SUM($AG916:AL916))),0)</f>
        <v>125000</v>
      </c>
      <c r="AN916" s="8">
        <f>IF($O916="Aktif",MAX(0,MIN($AE916,$AD916-SUM($AG916:AM916))),0)</f>
        <v>125000</v>
      </c>
      <c r="AO916" s="8">
        <f>IF($O916="Aktif",MAX(0,MIN($AE916,$AD916-SUM($AG916:AN916))),0)</f>
        <v>125000</v>
      </c>
      <c r="AP916" s="8">
        <f>IF($O916="Aktif",MAX(0,MIN($AE916,$AD916-SUM($AG916:AO916))),0)</f>
        <v>125000</v>
      </c>
      <c r="AQ916" s="8">
        <f>IF($O916="Aktif",MAX(0,MIN($AE916,$AD916-SUM($AG916:AP916))),0)</f>
        <v>125000</v>
      </c>
      <c r="AR916" s="8">
        <f>IF($O916="Aktif",MAX(0,MIN($AE916,$AD916-SUM($AG916:AQ916))),0)</f>
        <v>125000</v>
      </c>
      <c r="AS916" s="8">
        <f>IF($O916="Aktif",MAX(0,MIN($AE916,$AD916-SUM($AG916:AR916))),0)</f>
        <v>125000</v>
      </c>
      <c r="AT916" s="8">
        <f>IF($O916="Aktif",MAX(0,MIN($AE916,$AD916-SUM($AG916:AS916))),0)</f>
        <v>125000</v>
      </c>
      <c r="AU916" s="8">
        <f>IF($O916="Aktif",MAX(0,MIN($AE916,$AD916-SUM($AG916:AT916))),0)</f>
        <v>125000</v>
      </c>
      <c r="AV916" s="8">
        <f>IF($O916="Aktif",MAX(0,MIN($AE916,$AD916-SUM($AG916:AU916))),0)</f>
        <v>125000</v>
      </c>
      <c r="AW916" s="8">
        <f t="shared" si="103"/>
        <v>2000000</v>
      </c>
      <c r="AX916" s="8">
        <f t="shared" si="104"/>
        <v>1375000</v>
      </c>
    </row>
    <row r="917" spans="1:50" ht="15" customHeight="1" x14ac:dyDescent="0.35">
      <c r="A917" s="102">
        <v>911</v>
      </c>
      <c r="B917" s="102" t="s">
        <v>1326</v>
      </c>
      <c r="C917" s="103">
        <v>545</v>
      </c>
      <c r="D917" s="102" t="s">
        <v>185</v>
      </c>
      <c r="E917" s="102" t="s">
        <v>479</v>
      </c>
      <c r="F917" s="102" t="s">
        <v>2332</v>
      </c>
      <c r="G917" s="102" t="s">
        <v>2333</v>
      </c>
      <c r="H917" s="102" t="s">
        <v>2334</v>
      </c>
      <c r="I917" s="102" t="s">
        <v>63</v>
      </c>
      <c r="J917" s="102"/>
      <c r="K917" s="102"/>
      <c r="L917" s="104">
        <v>45641</v>
      </c>
      <c r="M917" s="102" t="s">
        <v>2741</v>
      </c>
      <c r="N917" s="102" t="s">
        <v>2741</v>
      </c>
      <c r="O917" s="102" t="s">
        <v>383</v>
      </c>
      <c r="P917" s="103">
        <v>1</v>
      </c>
      <c r="Q917" s="105">
        <v>6000000</v>
      </c>
      <c r="R917" s="103">
        <v>48</v>
      </c>
      <c r="S917" s="105">
        <v>125000</v>
      </c>
      <c r="T917" s="105">
        <v>1625000</v>
      </c>
      <c r="U917" s="105">
        <v>125000</v>
      </c>
      <c r="V917" s="105">
        <v>125000</v>
      </c>
      <c r="W917" s="105">
        <v>125000</v>
      </c>
      <c r="X917" s="105">
        <v>125000</v>
      </c>
      <c r="Y917" s="105">
        <v>125000</v>
      </c>
      <c r="Z917" s="105">
        <v>125000</v>
      </c>
      <c r="AA917" s="105">
        <v>125000</v>
      </c>
      <c r="AB917" s="105">
        <v>125000</v>
      </c>
      <c r="AC917" s="8">
        <f t="shared" si="98"/>
        <v>2625000</v>
      </c>
      <c r="AD917" s="8">
        <f t="shared" si="99"/>
        <v>3375000</v>
      </c>
      <c r="AE917" s="8">
        <f t="shared" si="100"/>
        <v>125000</v>
      </c>
      <c r="AF917" s="106">
        <f t="shared" si="101"/>
        <v>27</v>
      </c>
      <c r="AG917" s="8">
        <f t="shared" si="102"/>
        <v>125000</v>
      </c>
      <c r="AH917" s="8">
        <f>IF($O917="Aktif",MAX(0,MIN($AE917,$AD917-SUM($AG917:AG917))),0)</f>
        <v>125000</v>
      </c>
      <c r="AI917" s="8">
        <f>IF($O917="Aktif",MAX(0,MIN($AE917,$AD917-SUM($AG917:AH917))),0)</f>
        <v>125000</v>
      </c>
      <c r="AJ917" s="8">
        <f>IF($O917="Aktif",MAX(0,MIN($AE917,$AD917-SUM($AG917:AI917))),0)</f>
        <v>125000</v>
      </c>
      <c r="AK917" s="8">
        <f>IF($O917="Aktif",MAX(0,MIN($AE917,$AD917-SUM($AG917:AJ917))),0)</f>
        <v>125000</v>
      </c>
      <c r="AL917" s="8">
        <f>IF($O917="Aktif",MAX(0,MIN($AE917,$AD917-SUM($AG917:AK917))),0)</f>
        <v>125000</v>
      </c>
      <c r="AM917" s="8">
        <f>IF($O917="Aktif",MAX(0,MIN($AE917,$AD917-SUM($AG917:AL917))),0)</f>
        <v>125000</v>
      </c>
      <c r="AN917" s="8">
        <f>IF($O917="Aktif",MAX(0,MIN($AE917,$AD917-SUM($AG917:AM917))),0)</f>
        <v>125000</v>
      </c>
      <c r="AO917" s="8">
        <f>IF($O917="Aktif",MAX(0,MIN($AE917,$AD917-SUM($AG917:AN917))),0)</f>
        <v>125000</v>
      </c>
      <c r="AP917" s="8">
        <f>IF($O917="Aktif",MAX(0,MIN($AE917,$AD917-SUM($AG917:AO917))),0)</f>
        <v>125000</v>
      </c>
      <c r="AQ917" s="8">
        <f>IF($O917="Aktif",MAX(0,MIN($AE917,$AD917-SUM($AG917:AP917))),0)</f>
        <v>125000</v>
      </c>
      <c r="AR917" s="8">
        <f>IF($O917="Aktif",MAX(0,MIN($AE917,$AD917-SUM($AG917:AQ917))),0)</f>
        <v>125000</v>
      </c>
      <c r="AS917" s="8">
        <f>IF($O917="Aktif",MAX(0,MIN($AE917,$AD917-SUM($AG917:AR917))),0)</f>
        <v>125000</v>
      </c>
      <c r="AT917" s="8">
        <f>IF($O917="Aktif",MAX(0,MIN($AE917,$AD917-SUM($AG917:AS917))),0)</f>
        <v>125000</v>
      </c>
      <c r="AU917" s="8">
        <f>IF($O917="Aktif",MAX(0,MIN($AE917,$AD917-SUM($AG917:AT917))),0)</f>
        <v>125000</v>
      </c>
      <c r="AV917" s="8">
        <f>IF($O917="Aktif",MAX(0,MIN($AE917,$AD917-SUM($AG917:AU917))),0)</f>
        <v>125000</v>
      </c>
      <c r="AW917" s="8">
        <f t="shared" si="103"/>
        <v>2000000</v>
      </c>
      <c r="AX917" s="8">
        <f t="shared" si="104"/>
        <v>1375000</v>
      </c>
    </row>
    <row r="918" spans="1:50" ht="15" customHeight="1" x14ac:dyDescent="0.35">
      <c r="A918" s="102">
        <v>912</v>
      </c>
      <c r="B918" s="102" t="s">
        <v>1326</v>
      </c>
      <c r="C918" s="103">
        <v>546</v>
      </c>
      <c r="D918" s="102" t="s">
        <v>185</v>
      </c>
      <c r="E918" s="102" t="s">
        <v>479</v>
      </c>
      <c r="F918" s="102" t="s">
        <v>2332</v>
      </c>
      <c r="G918" s="102" t="s">
        <v>2333</v>
      </c>
      <c r="H918" s="102" t="s">
        <v>2334</v>
      </c>
      <c r="I918" s="102" t="s">
        <v>63</v>
      </c>
      <c r="J918" s="102"/>
      <c r="K918" s="102"/>
      <c r="L918" s="104">
        <v>45641</v>
      </c>
      <c r="M918" s="102" t="s">
        <v>2742</v>
      </c>
      <c r="N918" s="102" t="s">
        <v>2742</v>
      </c>
      <c r="O918" s="102" t="s">
        <v>383</v>
      </c>
      <c r="P918" s="103">
        <v>1</v>
      </c>
      <c r="Q918" s="105">
        <v>6000000</v>
      </c>
      <c r="R918" s="103">
        <v>48</v>
      </c>
      <c r="S918" s="105">
        <v>125000</v>
      </c>
      <c r="T918" s="105">
        <v>1625000</v>
      </c>
      <c r="U918" s="105">
        <v>125000</v>
      </c>
      <c r="V918" s="105">
        <v>125000</v>
      </c>
      <c r="W918" s="105">
        <v>125000</v>
      </c>
      <c r="X918" s="105">
        <v>125000</v>
      </c>
      <c r="Y918" s="105">
        <v>125000</v>
      </c>
      <c r="Z918" s="105">
        <v>125000</v>
      </c>
      <c r="AA918" s="105">
        <v>125000</v>
      </c>
      <c r="AB918" s="105">
        <v>125000</v>
      </c>
      <c r="AC918" s="8">
        <f t="shared" si="98"/>
        <v>2625000</v>
      </c>
      <c r="AD918" s="8">
        <f t="shared" si="99"/>
        <v>3375000</v>
      </c>
      <c r="AE918" s="8">
        <f t="shared" si="100"/>
        <v>125000</v>
      </c>
      <c r="AF918" s="106">
        <f t="shared" si="101"/>
        <v>27</v>
      </c>
      <c r="AG918" s="8">
        <f t="shared" si="102"/>
        <v>125000</v>
      </c>
      <c r="AH918" s="8">
        <f>IF($O918="Aktif",MAX(0,MIN($AE918,$AD918-SUM($AG918:AG918))),0)</f>
        <v>125000</v>
      </c>
      <c r="AI918" s="8">
        <f>IF($O918="Aktif",MAX(0,MIN($AE918,$AD918-SUM($AG918:AH918))),0)</f>
        <v>125000</v>
      </c>
      <c r="AJ918" s="8">
        <f>IF($O918="Aktif",MAX(0,MIN($AE918,$AD918-SUM($AG918:AI918))),0)</f>
        <v>125000</v>
      </c>
      <c r="AK918" s="8">
        <f>IF($O918="Aktif",MAX(0,MIN($AE918,$AD918-SUM($AG918:AJ918))),0)</f>
        <v>125000</v>
      </c>
      <c r="AL918" s="8">
        <f>IF($O918="Aktif",MAX(0,MIN($AE918,$AD918-SUM($AG918:AK918))),0)</f>
        <v>125000</v>
      </c>
      <c r="AM918" s="8">
        <f>IF($O918="Aktif",MAX(0,MIN($AE918,$AD918-SUM($AG918:AL918))),0)</f>
        <v>125000</v>
      </c>
      <c r="AN918" s="8">
        <f>IF($O918="Aktif",MAX(0,MIN($AE918,$AD918-SUM($AG918:AM918))),0)</f>
        <v>125000</v>
      </c>
      <c r="AO918" s="8">
        <f>IF($O918="Aktif",MAX(0,MIN($AE918,$AD918-SUM($AG918:AN918))),0)</f>
        <v>125000</v>
      </c>
      <c r="AP918" s="8">
        <f>IF($O918="Aktif",MAX(0,MIN($AE918,$AD918-SUM($AG918:AO918))),0)</f>
        <v>125000</v>
      </c>
      <c r="AQ918" s="8">
        <f>IF($O918="Aktif",MAX(0,MIN($AE918,$AD918-SUM($AG918:AP918))),0)</f>
        <v>125000</v>
      </c>
      <c r="AR918" s="8">
        <f>IF($O918="Aktif",MAX(0,MIN($AE918,$AD918-SUM($AG918:AQ918))),0)</f>
        <v>125000</v>
      </c>
      <c r="AS918" s="8">
        <f>IF($O918="Aktif",MAX(0,MIN($AE918,$AD918-SUM($AG918:AR918))),0)</f>
        <v>125000</v>
      </c>
      <c r="AT918" s="8">
        <f>IF($O918="Aktif",MAX(0,MIN($AE918,$AD918-SUM($AG918:AS918))),0)</f>
        <v>125000</v>
      </c>
      <c r="AU918" s="8">
        <f>IF($O918="Aktif",MAX(0,MIN($AE918,$AD918-SUM($AG918:AT918))),0)</f>
        <v>125000</v>
      </c>
      <c r="AV918" s="8">
        <f>IF($O918="Aktif",MAX(0,MIN($AE918,$AD918-SUM($AG918:AU918))),0)</f>
        <v>125000</v>
      </c>
      <c r="AW918" s="8">
        <f t="shared" si="103"/>
        <v>2000000</v>
      </c>
      <c r="AX918" s="8">
        <f t="shared" si="104"/>
        <v>1375000</v>
      </c>
    </row>
    <row r="919" spans="1:50" ht="15" customHeight="1" x14ac:dyDescent="0.35">
      <c r="A919" s="102">
        <v>913</v>
      </c>
      <c r="B919" s="102" t="s">
        <v>1326</v>
      </c>
      <c r="C919" s="103">
        <v>547</v>
      </c>
      <c r="D919" s="102" t="s">
        <v>185</v>
      </c>
      <c r="E919" s="102" t="s">
        <v>479</v>
      </c>
      <c r="F919" s="102" t="s">
        <v>2332</v>
      </c>
      <c r="G919" s="102" t="s">
        <v>2333</v>
      </c>
      <c r="H919" s="102" t="s">
        <v>2334</v>
      </c>
      <c r="I919" s="102" t="s">
        <v>63</v>
      </c>
      <c r="J919" s="102"/>
      <c r="K919" s="102"/>
      <c r="L919" s="104">
        <v>45641</v>
      </c>
      <c r="M919" s="102" t="s">
        <v>2743</v>
      </c>
      <c r="N919" s="102" t="s">
        <v>2743</v>
      </c>
      <c r="O919" s="102" t="s">
        <v>383</v>
      </c>
      <c r="P919" s="103">
        <v>1</v>
      </c>
      <c r="Q919" s="105">
        <v>52000000</v>
      </c>
      <c r="R919" s="103">
        <v>48</v>
      </c>
      <c r="S919" s="105">
        <v>1083333.33333333</v>
      </c>
      <c r="T919" s="105">
        <v>14083333.3333333</v>
      </c>
      <c r="U919" s="105">
        <v>1083333.33333333</v>
      </c>
      <c r="V919" s="105">
        <v>1083333.33333333</v>
      </c>
      <c r="W919" s="105">
        <v>1083333.33333333</v>
      </c>
      <c r="X919" s="105">
        <v>1083333.33333333</v>
      </c>
      <c r="Y919" s="105">
        <v>1083333.33333333</v>
      </c>
      <c r="Z919" s="105">
        <v>1083333.33333333</v>
      </c>
      <c r="AA919" s="105">
        <v>1083333.33333333</v>
      </c>
      <c r="AB919" s="105">
        <v>1083333.33333333</v>
      </c>
      <c r="AC919" s="8">
        <f t="shared" si="98"/>
        <v>22749999.99999994</v>
      </c>
      <c r="AD919" s="8">
        <f t="shared" si="99"/>
        <v>29250000.00000006</v>
      </c>
      <c r="AE919" s="8">
        <f t="shared" si="100"/>
        <v>1083333.33333333</v>
      </c>
      <c r="AF919" s="106">
        <f t="shared" si="101"/>
        <v>27.000000000000139</v>
      </c>
      <c r="AG919" s="8">
        <f t="shared" si="102"/>
        <v>1083333.33333333</v>
      </c>
      <c r="AH919" s="8">
        <f>IF($O919="Aktif",MAX(0,MIN($AE919,$AD919-SUM($AG919:AG919))),0)</f>
        <v>1083333.33333333</v>
      </c>
      <c r="AI919" s="8">
        <f>IF($O919="Aktif",MAX(0,MIN($AE919,$AD919-SUM($AG919:AH919))),0)</f>
        <v>1083333.33333333</v>
      </c>
      <c r="AJ919" s="8">
        <f>IF($O919="Aktif",MAX(0,MIN($AE919,$AD919-SUM($AG919:AI919))),0)</f>
        <v>1083333.33333333</v>
      </c>
      <c r="AK919" s="8">
        <f>IF($O919="Aktif",MAX(0,MIN($AE919,$AD919-SUM($AG919:AJ919))),0)</f>
        <v>1083333.33333333</v>
      </c>
      <c r="AL919" s="8">
        <f>IF($O919="Aktif",MAX(0,MIN($AE919,$AD919-SUM($AG919:AK919))),0)</f>
        <v>1083333.33333333</v>
      </c>
      <c r="AM919" s="8">
        <f>IF($O919="Aktif",MAX(0,MIN($AE919,$AD919-SUM($AG919:AL919))),0)</f>
        <v>1083333.33333333</v>
      </c>
      <c r="AN919" s="8">
        <f>IF($O919="Aktif",MAX(0,MIN($AE919,$AD919-SUM($AG919:AM919))),0)</f>
        <v>1083333.33333333</v>
      </c>
      <c r="AO919" s="8">
        <f>IF($O919="Aktif",MAX(0,MIN($AE919,$AD919-SUM($AG919:AN919))),0)</f>
        <v>1083333.33333333</v>
      </c>
      <c r="AP919" s="8">
        <f>IF($O919="Aktif",MAX(0,MIN($AE919,$AD919-SUM($AG919:AO919))),0)</f>
        <v>1083333.33333333</v>
      </c>
      <c r="AQ919" s="8">
        <f>IF($O919="Aktif",MAX(0,MIN($AE919,$AD919-SUM($AG919:AP919))),0)</f>
        <v>1083333.33333333</v>
      </c>
      <c r="AR919" s="8">
        <f>IF($O919="Aktif",MAX(0,MIN($AE919,$AD919-SUM($AG919:AQ919))),0)</f>
        <v>1083333.33333333</v>
      </c>
      <c r="AS919" s="8">
        <f>IF($O919="Aktif",MAX(0,MIN($AE919,$AD919-SUM($AG919:AR919))),0)</f>
        <v>1083333.33333333</v>
      </c>
      <c r="AT919" s="8">
        <f>IF($O919="Aktif",MAX(0,MIN($AE919,$AD919-SUM($AG919:AS919))),0)</f>
        <v>1083333.33333333</v>
      </c>
      <c r="AU919" s="8">
        <f>IF($O919="Aktif",MAX(0,MIN($AE919,$AD919-SUM($AG919:AT919))),0)</f>
        <v>1083333.33333333</v>
      </c>
      <c r="AV919" s="8">
        <f>IF($O919="Aktif",MAX(0,MIN($AE919,$AD919-SUM($AG919:AU919))),0)</f>
        <v>1083333.33333333</v>
      </c>
      <c r="AW919" s="8">
        <f t="shared" si="103"/>
        <v>17333333.33333328</v>
      </c>
      <c r="AX919" s="8">
        <f t="shared" si="104"/>
        <v>11916666.66666678</v>
      </c>
    </row>
    <row r="920" spans="1:50" ht="15" customHeight="1" x14ac:dyDescent="0.35">
      <c r="A920" s="102">
        <v>914</v>
      </c>
      <c r="B920" s="102" t="s">
        <v>1326</v>
      </c>
      <c r="C920" s="103">
        <v>548</v>
      </c>
      <c r="D920" s="102" t="s">
        <v>185</v>
      </c>
      <c r="E920" s="102" t="s">
        <v>479</v>
      </c>
      <c r="F920" s="102" t="s">
        <v>2332</v>
      </c>
      <c r="G920" s="102" t="s">
        <v>2333</v>
      </c>
      <c r="H920" s="102" t="s">
        <v>2334</v>
      </c>
      <c r="I920" s="102" t="s">
        <v>63</v>
      </c>
      <c r="J920" s="102"/>
      <c r="K920" s="102"/>
      <c r="L920" s="104">
        <v>45641</v>
      </c>
      <c r="M920" s="102" t="s">
        <v>2744</v>
      </c>
      <c r="N920" s="102" t="s">
        <v>2744</v>
      </c>
      <c r="O920" s="102" t="s">
        <v>383</v>
      </c>
      <c r="P920" s="103">
        <v>1</v>
      </c>
      <c r="Q920" s="105">
        <v>30000000</v>
      </c>
      <c r="R920" s="103">
        <v>48</v>
      </c>
      <c r="S920" s="105">
        <v>625000</v>
      </c>
      <c r="T920" s="105">
        <v>8125000</v>
      </c>
      <c r="U920" s="105">
        <v>625000</v>
      </c>
      <c r="V920" s="105">
        <v>625000</v>
      </c>
      <c r="W920" s="105">
        <v>625000</v>
      </c>
      <c r="X920" s="105">
        <v>625000</v>
      </c>
      <c r="Y920" s="105">
        <v>625000</v>
      </c>
      <c r="Z920" s="105">
        <v>625000</v>
      </c>
      <c r="AA920" s="105">
        <v>625000</v>
      </c>
      <c r="AB920" s="105">
        <v>625000</v>
      </c>
      <c r="AC920" s="8">
        <f t="shared" si="98"/>
        <v>13125000</v>
      </c>
      <c r="AD920" s="8">
        <f t="shared" si="99"/>
        <v>16875000</v>
      </c>
      <c r="AE920" s="8">
        <f t="shared" si="100"/>
        <v>625000</v>
      </c>
      <c r="AF920" s="106">
        <f t="shared" si="101"/>
        <v>27</v>
      </c>
      <c r="AG920" s="8">
        <f t="shared" si="102"/>
        <v>625000</v>
      </c>
      <c r="AH920" s="8">
        <f>IF($O920="Aktif",MAX(0,MIN($AE920,$AD920-SUM($AG920:AG920))),0)</f>
        <v>625000</v>
      </c>
      <c r="AI920" s="8">
        <f>IF($O920="Aktif",MAX(0,MIN($AE920,$AD920-SUM($AG920:AH920))),0)</f>
        <v>625000</v>
      </c>
      <c r="AJ920" s="8">
        <f>IF($O920="Aktif",MAX(0,MIN($AE920,$AD920-SUM($AG920:AI920))),0)</f>
        <v>625000</v>
      </c>
      <c r="AK920" s="8">
        <f>IF($O920="Aktif",MAX(0,MIN($AE920,$AD920-SUM($AG920:AJ920))),0)</f>
        <v>625000</v>
      </c>
      <c r="AL920" s="8">
        <f>IF($O920="Aktif",MAX(0,MIN($AE920,$AD920-SUM($AG920:AK920))),0)</f>
        <v>625000</v>
      </c>
      <c r="AM920" s="8">
        <f>IF($O920="Aktif",MAX(0,MIN($AE920,$AD920-SUM($AG920:AL920))),0)</f>
        <v>625000</v>
      </c>
      <c r="AN920" s="8">
        <f>IF($O920="Aktif",MAX(0,MIN($AE920,$AD920-SUM($AG920:AM920))),0)</f>
        <v>625000</v>
      </c>
      <c r="AO920" s="8">
        <f>IF($O920="Aktif",MAX(0,MIN($AE920,$AD920-SUM($AG920:AN920))),0)</f>
        <v>625000</v>
      </c>
      <c r="AP920" s="8">
        <f>IF($O920="Aktif",MAX(0,MIN($AE920,$AD920-SUM($AG920:AO920))),0)</f>
        <v>625000</v>
      </c>
      <c r="AQ920" s="8">
        <f>IF($O920="Aktif",MAX(0,MIN($AE920,$AD920-SUM($AG920:AP920))),0)</f>
        <v>625000</v>
      </c>
      <c r="AR920" s="8">
        <f>IF($O920="Aktif",MAX(0,MIN($AE920,$AD920-SUM($AG920:AQ920))),0)</f>
        <v>625000</v>
      </c>
      <c r="AS920" s="8">
        <f>IF($O920="Aktif",MAX(0,MIN($AE920,$AD920-SUM($AG920:AR920))),0)</f>
        <v>625000</v>
      </c>
      <c r="AT920" s="8">
        <f>IF($O920="Aktif",MAX(0,MIN($AE920,$AD920-SUM($AG920:AS920))),0)</f>
        <v>625000</v>
      </c>
      <c r="AU920" s="8">
        <f>IF($O920="Aktif",MAX(0,MIN($AE920,$AD920-SUM($AG920:AT920))),0)</f>
        <v>625000</v>
      </c>
      <c r="AV920" s="8">
        <f>IF($O920="Aktif",MAX(0,MIN($AE920,$AD920-SUM($AG920:AU920))),0)</f>
        <v>625000</v>
      </c>
      <c r="AW920" s="8">
        <f t="shared" si="103"/>
        <v>10000000</v>
      </c>
      <c r="AX920" s="8">
        <f t="shared" si="104"/>
        <v>6875000</v>
      </c>
    </row>
    <row r="921" spans="1:50" ht="15" customHeight="1" x14ac:dyDescent="0.35">
      <c r="A921" s="102">
        <v>915</v>
      </c>
      <c r="B921" s="102" t="s">
        <v>1326</v>
      </c>
      <c r="C921" s="103">
        <v>549</v>
      </c>
      <c r="D921" s="102" t="s">
        <v>185</v>
      </c>
      <c r="E921" s="102" t="s">
        <v>540</v>
      </c>
      <c r="F921" s="102" t="s">
        <v>2283</v>
      </c>
      <c r="G921" s="102" t="s">
        <v>2284</v>
      </c>
      <c r="H921" s="102" t="s">
        <v>2285</v>
      </c>
      <c r="I921" s="102" t="s">
        <v>63</v>
      </c>
      <c r="J921" s="102"/>
      <c r="K921" s="102"/>
      <c r="L921" s="104">
        <v>45641</v>
      </c>
      <c r="M921" s="102" t="s">
        <v>2745</v>
      </c>
      <c r="N921" s="102" t="s">
        <v>2745</v>
      </c>
      <c r="O921" s="102" t="s">
        <v>383</v>
      </c>
      <c r="P921" s="103">
        <v>1</v>
      </c>
      <c r="Q921" s="105">
        <v>162000000</v>
      </c>
      <c r="R921" s="103">
        <v>96</v>
      </c>
      <c r="S921" s="105">
        <v>1687500</v>
      </c>
      <c r="T921" s="105">
        <v>21937500</v>
      </c>
      <c r="U921" s="105">
        <v>1687500</v>
      </c>
      <c r="V921" s="105">
        <v>1687500</v>
      </c>
      <c r="W921" s="105">
        <v>1687500</v>
      </c>
      <c r="X921" s="105">
        <v>1687500</v>
      </c>
      <c r="Y921" s="105">
        <v>1687500</v>
      </c>
      <c r="Z921" s="105">
        <v>1687500</v>
      </c>
      <c r="AA921" s="105">
        <v>1687500</v>
      </c>
      <c r="AB921" s="105">
        <v>1687500</v>
      </c>
      <c r="AC921" s="8">
        <f t="shared" si="98"/>
        <v>35437500</v>
      </c>
      <c r="AD921" s="8">
        <f t="shared" si="99"/>
        <v>126562500</v>
      </c>
      <c r="AE921" s="8">
        <f t="shared" si="100"/>
        <v>1687500</v>
      </c>
      <c r="AF921" s="106">
        <f t="shared" si="101"/>
        <v>75</v>
      </c>
      <c r="AG921" s="8">
        <f t="shared" si="102"/>
        <v>1687500</v>
      </c>
      <c r="AH921" s="8">
        <f>IF($O921="Aktif",MAX(0,MIN($AE921,$AD921-SUM($AG921:AG921))),0)</f>
        <v>1687500</v>
      </c>
      <c r="AI921" s="8">
        <f>IF($O921="Aktif",MAX(0,MIN($AE921,$AD921-SUM($AG921:AH921))),0)</f>
        <v>1687500</v>
      </c>
      <c r="AJ921" s="8">
        <f>IF($O921="Aktif",MAX(0,MIN($AE921,$AD921-SUM($AG921:AI921))),0)</f>
        <v>1687500</v>
      </c>
      <c r="AK921" s="8">
        <f>IF($O921="Aktif",MAX(0,MIN($AE921,$AD921-SUM($AG921:AJ921))),0)</f>
        <v>1687500</v>
      </c>
      <c r="AL921" s="8">
        <f>IF($O921="Aktif",MAX(0,MIN($AE921,$AD921-SUM($AG921:AK921))),0)</f>
        <v>1687500</v>
      </c>
      <c r="AM921" s="8">
        <f>IF($O921="Aktif",MAX(0,MIN($AE921,$AD921-SUM($AG921:AL921))),0)</f>
        <v>1687500</v>
      </c>
      <c r="AN921" s="8">
        <f>IF($O921="Aktif",MAX(0,MIN($AE921,$AD921-SUM($AG921:AM921))),0)</f>
        <v>1687500</v>
      </c>
      <c r="AO921" s="8">
        <f>IF($O921="Aktif",MAX(0,MIN($AE921,$AD921-SUM($AG921:AN921))),0)</f>
        <v>1687500</v>
      </c>
      <c r="AP921" s="8">
        <f>IF($O921="Aktif",MAX(0,MIN($AE921,$AD921-SUM($AG921:AO921))),0)</f>
        <v>1687500</v>
      </c>
      <c r="AQ921" s="8">
        <f>IF($O921="Aktif",MAX(0,MIN($AE921,$AD921-SUM($AG921:AP921))),0)</f>
        <v>1687500</v>
      </c>
      <c r="AR921" s="8">
        <f>IF($O921="Aktif",MAX(0,MIN($AE921,$AD921-SUM($AG921:AQ921))),0)</f>
        <v>1687500</v>
      </c>
      <c r="AS921" s="8">
        <f>IF($O921="Aktif",MAX(0,MIN($AE921,$AD921-SUM($AG921:AR921))),0)</f>
        <v>1687500</v>
      </c>
      <c r="AT921" s="8">
        <f>IF($O921="Aktif",MAX(0,MIN($AE921,$AD921-SUM($AG921:AS921))),0)</f>
        <v>1687500</v>
      </c>
      <c r="AU921" s="8">
        <f>IF($O921="Aktif",MAX(0,MIN($AE921,$AD921-SUM($AG921:AT921))),0)</f>
        <v>1687500</v>
      </c>
      <c r="AV921" s="8">
        <f>IF($O921="Aktif",MAX(0,MIN($AE921,$AD921-SUM($AG921:AU921))),0)</f>
        <v>1687500</v>
      </c>
      <c r="AW921" s="8">
        <f t="shared" si="103"/>
        <v>27000000</v>
      </c>
      <c r="AX921" s="8">
        <f t="shared" si="104"/>
        <v>99562500</v>
      </c>
    </row>
    <row r="922" spans="1:50" ht="15" customHeight="1" x14ac:dyDescent="0.35">
      <c r="A922" s="102">
        <v>916</v>
      </c>
      <c r="B922" s="102" t="s">
        <v>1326</v>
      </c>
      <c r="C922" s="103">
        <v>550</v>
      </c>
      <c r="D922" s="102" t="s">
        <v>185</v>
      </c>
      <c r="E922" s="102" t="s">
        <v>479</v>
      </c>
      <c r="F922" s="102" t="s">
        <v>2332</v>
      </c>
      <c r="G922" s="102" t="s">
        <v>2333</v>
      </c>
      <c r="H922" s="102" t="s">
        <v>2334</v>
      </c>
      <c r="I922" s="102" t="s">
        <v>63</v>
      </c>
      <c r="J922" s="102"/>
      <c r="K922" s="102"/>
      <c r="L922" s="104">
        <v>45672</v>
      </c>
      <c r="M922" s="102" t="s">
        <v>2746</v>
      </c>
      <c r="N922" s="102" t="s">
        <v>2746</v>
      </c>
      <c r="O922" s="102" t="s">
        <v>383</v>
      </c>
      <c r="P922" s="103">
        <v>1</v>
      </c>
      <c r="Q922" s="105">
        <v>26750000</v>
      </c>
      <c r="R922" s="103">
        <v>48</v>
      </c>
      <c r="S922" s="105">
        <v>557291.66666666698</v>
      </c>
      <c r="T922" s="105">
        <v>6687500</v>
      </c>
      <c r="U922" s="105">
        <v>557291.66666666698</v>
      </c>
      <c r="V922" s="105">
        <v>557291.66666666698</v>
      </c>
      <c r="W922" s="105">
        <v>557291.66666666698</v>
      </c>
      <c r="X922" s="105">
        <v>557291.66666666698</v>
      </c>
      <c r="Y922" s="105">
        <v>557291.66666666698</v>
      </c>
      <c r="Z922" s="105">
        <v>557291.66666666698</v>
      </c>
      <c r="AA922" s="105">
        <v>557291.66666666698</v>
      </c>
      <c r="AB922" s="105">
        <v>557291.66666666698</v>
      </c>
      <c r="AC922" s="8">
        <f t="shared" si="98"/>
        <v>11145833.333333336</v>
      </c>
      <c r="AD922" s="8">
        <f t="shared" si="99"/>
        <v>15604166.666666664</v>
      </c>
      <c r="AE922" s="8">
        <f t="shared" si="100"/>
        <v>557291.66666666698</v>
      </c>
      <c r="AF922" s="106">
        <f t="shared" si="101"/>
        <v>27.999999999999979</v>
      </c>
      <c r="AG922" s="8">
        <f t="shared" si="102"/>
        <v>557291.66666666698</v>
      </c>
      <c r="AH922" s="8">
        <f>IF($O922="Aktif",MAX(0,MIN($AE922,$AD922-SUM($AG922:AG922))),0)</f>
        <v>557291.66666666698</v>
      </c>
      <c r="AI922" s="8">
        <f>IF($O922="Aktif",MAX(0,MIN($AE922,$AD922-SUM($AG922:AH922))),0)</f>
        <v>557291.66666666698</v>
      </c>
      <c r="AJ922" s="8">
        <f>IF($O922="Aktif",MAX(0,MIN($AE922,$AD922-SUM($AG922:AI922))),0)</f>
        <v>557291.66666666698</v>
      </c>
      <c r="AK922" s="8">
        <f>IF($O922="Aktif",MAX(0,MIN($AE922,$AD922-SUM($AG922:AJ922))),0)</f>
        <v>557291.66666666698</v>
      </c>
      <c r="AL922" s="8">
        <f>IF($O922="Aktif",MAX(0,MIN($AE922,$AD922-SUM($AG922:AK922))),0)</f>
        <v>557291.66666666698</v>
      </c>
      <c r="AM922" s="8">
        <f>IF($O922="Aktif",MAX(0,MIN($AE922,$AD922-SUM($AG922:AL922))),0)</f>
        <v>557291.66666666698</v>
      </c>
      <c r="AN922" s="8">
        <f>IF($O922="Aktif",MAX(0,MIN($AE922,$AD922-SUM($AG922:AM922))),0)</f>
        <v>557291.66666666698</v>
      </c>
      <c r="AO922" s="8">
        <f>IF($O922="Aktif",MAX(0,MIN($AE922,$AD922-SUM($AG922:AN922))),0)</f>
        <v>557291.66666666698</v>
      </c>
      <c r="AP922" s="8">
        <f>IF($O922="Aktif",MAX(0,MIN($AE922,$AD922-SUM($AG922:AO922))),0)</f>
        <v>557291.66666666698</v>
      </c>
      <c r="AQ922" s="8">
        <f>IF($O922="Aktif",MAX(0,MIN($AE922,$AD922-SUM($AG922:AP922))),0)</f>
        <v>557291.66666666698</v>
      </c>
      <c r="AR922" s="8">
        <f>IF($O922="Aktif",MAX(0,MIN($AE922,$AD922-SUM($AG922:AQ922))),0)</f>
        <v>557291.66666666698</v>
      </c>
      <c r="AS922" s="8">
        <f>IF($O922="Aktif",MAX(0,MIN($AE922,$AD922-SUM($AG922:AR922))),0)</f>
        <v>557291.66666666698</v>
      </c>
      <c r="AT922" s="8">
        <f>IF($O922="Aktif",MAX(0,MIN($AE922,$AD922-SUM($AG922:AS922))),0)</f>
        <v>557291.66666666698</v>
      </c>
      <c r="AU922" s="8">
        <f>IF($O922="Aktif",MAX(0,MIN($AE922,$AD922-SUM($AG922:AT922))),0)</f>
        <v>557291.66666666698</v>
      </c>
      <c r="AV922" s="8">
        <f>IF($O922="Aktif",MAX(0,MIN($AE922,$AD922-SUM($AG922:AU922))),0)</f>
        <v>557291.66666666698</v>
      </c>
      <c r="AW922" s="8">
        <f t="shared" si="103"/>
        <v>8916666.6666666716</v>
      </c>
      <c r="AX922" s="8">
        <f t="shared" si="104"/>
        <v>6687499.9999999925</v>
      </c>
    </row>
    <row r="923" spans="1:50" ht="15" customHeight="1" x14ac:dyDescent="0.35">
      <c r="A923" s="102">
        <v>917</v>
      </c>
      <c r="B923" s="102" t="s">
        <v>1326</v>
      </c>
      <c r="C923" s="103">
        <v>551</v>
      </c>
      <c r="D923" s="102" t="s">
        <v>185</v>
      </c>
      <c r="E923" s="102" t="s">
        <v>479</v>
      </c>
      <c r="F923" s="102" t="s">
        <v>2332</v>
      </c>
      <c r="G923" s="102" t="s">
        <v>2333</v>
      </c>
      <c r="H923" s="102" t="s">
        <v>2334</v>
      </c>
      <c r="I923" s="102" t="s">
        <v>63</v>
      </c>
      <c r="J923" s="102"/>
      <c r="K923" s="102"/>
      <c r="L923" s="104">
        <v>45672</v>
      </c>
      <c r="M923" s="102" t="s">
        <v>2747</v>
      </c>
      <c r="N923" s="102" t="s">
        <v>2747</v>
      </c>
      <c r="O923" s="102" t="s">
        <v>383</v>
      </c>
      <c r="P923" s="103">
        <v>1</v>
      </c>
      <c r="Q923" s="105">
        <v>1318018</v>
      </c>
      <c r="R923" s="103">
        <v>48</v>
      </c>
      <c r="S923" s="105">
        <v>27458.708333333299</v>
      </c>
      <c r="T923" s="105">
        <v>329504.5</v>
      </c>
      <c r="U923" s="105">
        <v>27458.708333333299</v>
      </c>
      <c r="V923" s="105">
        <v>27458.708333333299</v>
      </c>
      <c r="W923" s="105">
        <v>27458.708333333299</v>
      </c>
      <c r="X923" s="105">
        <v>27458.708333333299</v>
      </c>
      <c r="Y923" s="105">
        <v>27458.708333333299</v>
      </c>
      <c r="Z923" s="105">
        <v>27458.708333333299</v>
      </c>
      <c r="AA923" s="105">
        <v>27458.708333333299</v>
      </c>
      <c r="AB923" s="105">
        <v>27458.708333333299</v>
      </c>
      <c r="AC923" s="8">
        <f t="shared" si="98"/>
        <v>549174.16666666651</v>
      </c>
      <c r="AD923" s="8">
        <f t="shared" si="99"/>
        <v>768843.83333333349</v>
      </c>
      <c r="AE923" s="8">
        <f t="shared" si="100"/>
        <v>27458.708333333299</v>
      </c>
      <c r="AF923" s="106">
        <f t="shared" si="101"/>
        <v>28.000000000000039</v>
      </c>
      <c r="AG923" s="8">
        <f t="shared" si="102"/>
        <v>27458.708333333299</v>
      </c>
      <c r="AH923" s="8">
        <f>IF($O923="Aktif",MAX(0,MIN($AE923,$AD923-SUM($AG923:AG923))),0)</f>
        <v>27458.708333333299</v>
      </c>
      <c r="AI923" s="8">
        <f>IF($O923="Aktif",MAX(0,MIN($AE923,$AD923-SUM($AG923:AH923))),0)</f>
        <v>27458.708333333299</v>
      </c>
      <c r="AJ923" s="8">
        <f>IF($O923="Aktif",MAX(0,MIN($AE923,$AD923-SUM($AG923:AI923))),0)</f>
        <v>27458.708333333299</v>
      </c>
      <c r="AK923" s="8">
        <f>IF($O923="Aktif",MAX(0,MIN($AE923,$AD923-SUM($AG923:AJ923))),0)</f>
        <v>27458.708333333299</v>
      </c>
      <c r="AL923" s="8">
        <f>IF($O923="Aktif",MAX(0,MIN($AE923,$AD923-SUM($AG923:AK923))),0)</f>
        <v>27458.708333333299</v>
      </c>
      <c r="AM923" s="8">
        <f>IF($O923="Aktif",MAX(0,MIN($AE923,$AD923-SUM($AG923:AL923))),0)</f>
        <v>27458.708333333299</v>
      </c>
      <c r="AN923" s="8">
        <f>IF($O923="Aktif",MAX(0,MIN($AE923,$AD923-SUM($AG923:AM923))),0)</f>
        <v>27458.708333333299</v>
      </c>
      <c r="AO923" s="8">
        <f>IF($O923="Aktif",MAX(0,MIN($AE923,$AD923-SUM($AG923:AN923))),0)</f>
        <v>27458.708333333299</v>
      </c>
      <c r="AP923" s="8">
        <f>IF($O923="Aktif",MAX(0,MIN($AE923,$AD923-SUM($AG923:AO923))),0)</f>
        <v>27458.708333333299</v>
      </c>
      <c r="AQ923" s="8">
        <f>IF($O923="Aktif",MAX(0,MIN($AE923,$AD923-SUM($AG923:AP923))),0)</f>
        <v>27458.708333333299</v>
      </c>
      <c r="AR923" s="8">
        <f>IF($O923="Aktif",MAX(0,MIN($AE923,$AD923-SUM($AG923:AQ923))),0)</f>
        <v>27458.708333333299</v>
      </c>
      <c r="AS923" s="8">
        <f>IF($O923="Aktif",MAX(0,MIN($AE923,$AD923-SUM($AG923:AR923))),0)</f>
        <v>27458.708333333299</v>
      </c>
      <c r="AT923" s="8">
        <f>IF($O923="Aktif",MAX(0,MIN($AE923,$AD923-SUM($AG923:AS923))),0)</f>
        <v>27458.708333333299</v>
      </c>
      <c r="AU923" s="8">
        <f>IF($O923="Aktif",MAX(0,MIN($AE923,$AD923-SUM($AG923:AT923))),0)</f>
        <v>27458.708333333299</v>
      </c>
      <c r="AV923" s="8">
        <f>IF($O923="Aktif",MAX(0,MIN($AE923,$AD923-SUM($AG923:AU923))),0)</f>
        <v>27458.708333333299</v>
      </c>
      <c r="AW923" s="8">
        <f t="shared" si="103"/>
        <v>439339.33333333296</v>
      </c>
      <c r="AX923" s="8">
        <f t="shared" si="104"/>
        <v>329504.50000000052</v>
      </c>
    </row>
    <row r="924" spans="1:50" ht="15" customHeight="1" x14ac:dyDescent="0.35">
      <c r="A924" s="102">
        <v>918</v>
      </c>
      <c r="B924" s="102" t="s">
        <v>1326</v>
      </c>
      <c r="C924" s="103">
        <v>552</v>
      </c>
      <c r="D924" s="102" t="s">
        <v>185</v>
      </c>
      <c r="E924" s="102" t="s">
        <v>540</v>
      </c>
      <c r="F924" s="102" t="s">
        <v>2283</v>
      </c>
      <c r="G924" s="102" t="s">
        <v>2284</v>
      </c>
      <c r="H924" s="102" t="s">
        <v>2285</v>
      </c>
      <c r="I924" s="102" t="s">
        <v>63</v>
      </c>
      <c r="J924" s="102"/>
      <c r="K924" s="102"/>
      <c r="L924" s="104">
        <v>45667</v>
      </c>
      <c r="M924" s="102" t="s">
        <v>2748</v>
      </c>
      <c r="N924" s="102" t="s">
        <v>2748</v>
      </c>
      <c r="O924" s="102" t="s">
        <v>383</v>
      </c>
      <c r="P924" s="103">
        <v>1</v>
      </c>
      <c r="Q924" s="105">
        <v>2000000</v>
      </c>
      <c r="R924" s="103">
        <v>96</v>
      </c>
      <c r="S924" s="105">
        <v>20833.333333333299</v>
      </c>
      <c r="T924" s="105">
        <v>250000</v>
      </c>
      <c r="U924" s="105">
        <v>20833.333333333299</v>
      </c>
      <c r="V924" s="105">
        <v>20833.333333333299</v>
      </c>
      <c r="W924" s="105">
        <v>20833.333333333299</v>
      </c>
      <c r="X924" s="105">
        <v>20833.333333333299</v>
      </c>
      <c r="Y924" s="105">
        <v>20833.333333333299</v>
      </c>
      <c r="Z924" s="105">
        <v>20833.333333333299</v>
      </c>
      <c r="AA924" s="105">
        <v>20833.333333333299</v>
      </c>
      <c r="AB924" s="105">
        <v>20833.333333333299</v>
      </c>
      <c r="AC924" s="8">
        <f t="shared" si="98"/>
        <v>416666.6666666664</v>
      </c>
      <c r="AD924" s="8">
        <f t="shared" si="99"/>
        <v>1583333.3333333335</v>
      </c>
      <c r="AE924" s="8">
        <f t="shared" si="100"/>
        <v>20833.333333333299</v>
      </c>
      <c r="AF924" s="106">
        <f t="shared" si="101"/>
        <v>76.000000000000128</v>
      </c>
      <c r="AG924" s="8">
        <f t="shared" si="102"/>
        <v>20833.333333333299</v>
      </c>
      <c r="AH924" s="8">
        <f>IF($O924="Aktif",MAX(0,MIN($AE924,$AD924-SUM($AG924:AG924))),0)</f>
        <v>20833.333333333299</v>
      </c>
      <c r="AI924" s="8">
        <f>IF($O924="Aktif",MAX(0,MIN($AE924,$AD924-SUM($AG924:AH924))),0)</f>
        <v>20833.333333333299</v>
      </c>
      <c r="AJ924" s="8">
        <f>IF($O924="Aktif",MAX(0,MIN($AE924,$AD924-SUM($AG924:AI924))),0)</f>
        <v>20833.333333333299</v>
      </c>
      <c r="AK924" s="8">
        <f>IF($O924="Aktif",MAX(0,MIN($AE924,$AD924-SUM($AG924:AJ924))),0)</f>
        <v>20833.333333333299</v>
      </c>
      <c r="AL924" s="8">
        <f>IF($O924="Aktif",MAX(0,MIN($AE924,$AD924-SUM($AG924:AK924))),0)</f>
        <v>20833.333333333299</v>
      </c>
      <c r="AM924" s="8">
        <f>IF($O924="Aktif",MAX(0,MIN($AE924,$AD924-SUM($AG924:AL924))),0)</f>
        <v>20833.333333333299</v>
      </c>
      <c r="AN924" s="8">
        <f>IF($O924="Aktif",MAX(0,MIN($AE924,$AD924-SUM($AG924:AM924))),0)</f>
        <v>20833.333333333299</v>
      </c>
      <c r="AO924" s="8">
        <f>IF($O924="Aktif",MAX(0,MIN($AE924,$AD924-SUM($AG924:AN924))),0)</f>
        <v>20833.333333333299</v>
      </c>
      <c r="AP924" s="8">
        <f>IF($O924="Aktif",MAX(0,MIN($AE924,$AD924-SUM($AG924:AO924))),0)</f>
        <v>20833.333333333299</v>
      </c>
      <c r="AQ924" s="8">
        <f>IF($O924="Aktif",MAX(0,MIN($AE924,$AD924-SUM($AG924:AP924))),0)</f>
        <v>20833.333333333299</v>
      </c>
      <c r="AR924" s="8">
        <f>IF($O924="Aktif",MAX(0,MIN($AE924,$AD924-SUM($AG924:AQ924))),0)</f>
        <v>20833.333333333299</v>
      </c>
      <c r="AS924" s="8">
        <f>IF($O924="Aktif",MAX(0,MIN($AE924,$AD924-SUM($AG924:AR924))),0)</f>
        <v>20833.333333333299</v>
      </c>
      <c r="AT924" s="8">
        <f>IF($O924="Aktif",MAX(0,MIN($AE924,$AD924-SUM($AG924:AS924))),0)</f>
        <v>20833.333333333299</v>
      </c>
      <c r="AU924" s="8">
        <f>IF($O924="Aktif",MAX(0,MIN($AE924,$AD924-SUM($AG924:AT924))),0)</f>
        <v>20833.333333333299</v>
      </c>
      <c r="AV924" s="8">
        <f>IF($O924="Aktif",MAX(0,MIN($AE924,$AD924-SUM($AG924:AU924))),0)</f>
        <v>20833.333333333299</v>
      </c>
      <c r="AW924" s="8">
        <f t="shared" si="103"/>
        <v>333333.33333333291</v>
      </c>
      <c r="AX924" s="8">
        <f t="shared" si="104"/>
        <v>1250000.0000000005</v>
      </c>
    </row>
    <row r="925" spans="1:50" ht="15" customHeight="1" x14ac:dyDescent="0.35">
      <c r="A925" s="102">
        <v>919</v>
      </c>
      <c r="B925" s="102" t="s">
        <v>1326</v>
      </c>
      <c r="C925" s="103">
        <v>553</v>
      </c>
      <c r="D925" s="102" t="s">
        <v>185</v>
      </c>
      <c r="E925" s="102" t="s">
        <v>479</v>
      </c>
      <c r="F925" s="102" t="s">
        <v>2332</v>
      </c>
      <c r="G925" s="102" t="s">
        <v>2333</v>
      </c>
      <c r="H925" s="102" t="s">
        <v>2334</v>
      </c>
      <c r="I925" s="102" t="s">
        <v>63</v>
      </c>
      <c r="J925" s="102"/>
      <c r="K925" s="102"/>
      <c r="L925" s="104">
        <v>45691</v>
      </c>
      <c r="M925" s="102" t="s">
        <v>2749</v>
      </c>
      <c r="N925" s="102" t="s">
        <v>2749</v>
      </c>
      <c r="O925" s="102" t="s">
        <v>383</v>
      </c>
      <c r="P925" s="103">
        <v>1</v>
      </c>
      <c r="Q925" s="105">
        <v>3000000</v>
      </c>
      <c r="R925" s="103">
        <v>48</v>
      </c>
      <c r="S925" s="105">
        <v>62500</v>
      </c>
      <c r="T925" s="105">
        <v>687500</v>
      </c>
      <c r="U925" s="105">
        <v>62500</v>
      </c>
      <c r="V925" s="105">
        <v>62500</v>
      </c>
      <c r="W925" s="105">
        <v>62500</v>
      </c>
      <c r="X925" s="105">
        <v>62500</v>
      </c>
      <c r="Y925" s="105">
        <v>62500</v>
      </c>
      <c r="Z925" s="105">
        <v>62500</v>
      </c>
      <c r="AA925" s="105">
        <v>62500</v>
      </c>
      <c r="AB925" s="105">
        <v>62500</v>
      </c>
      <c r="AC925" s="8">
        <f t="shared" si="98"/>
        <v>1187500</v>
      </c>
      <c r="AD925" s="8">
        <f t="shared" si="99"/>
        <v>1812500</v>
      </c>
      <c r="AE925" s="8">
        <f t="shared" si="100"/>
        <v>62500</v>
      </c>
      <c r="AF925" s="106">
        <f t="shared" si="101"/>
        <v>29</v>
      </c>
      <c r="AG925" s="8">
        <f t="shared" si="102"/>
        <v>62500</v>
      </c>
      <c r="AH925" s="8">
        <f>IF($O925="Aktif",MAX(0,MIN($AE925,$AD925-SUM($AG925:AG925))),0)</f>
        <v>62500</v>
      </c>
      <c r="AI925" s="8">
        <f>IF($O925="Aktif",MAX(0,MIN($AE925,$AD925-SUM($AG925:AH925))),0)</f>
        <v>62500</v>
      </c>
      <c r="AJ925" s="8">
        <f>IF($O925="Aktif",MAX(0,MIN($AE925,$AD925-SUM($AG925:AI925))),0)</f>
        <v>62500</v>
      </c>
      <c r="AK925" s="8">
        <f>IF($O925="Aktif",MAX(0,MIN($AE925,$AD925-SUM($AG925:AJ925))),0)</f>
        <v>62500</v>
      </c>
      <c r="AL925" s="8">
        <f>IF($O925="Aktif",MAX(0,MIN($AE925,$AD925-SUM($AG925:AK925))),0)</f>
        <v>62500</v>
      </c>
      <c r="AM925" s="8">
        <f>IF($O925="Aktif",MAX(0,MIN($AE925,$AD925-SUM($AG925:AL925))),0)</f>
        <v>62500</v>
      </c>
      <c r="AN925" s="8">
        <f>IF($O925="Aktif",MAX(0,MIN($AE925,$AD925-SUM($AG925:AM925))),0)</f>
        <v>62500</v>
      </c>
      <c r="AO925" s="8">
        <f>IF($O925="Aktif",MAX(0,MIN($AE925,$AD925-SUM($AG925:AN925))),0)</f>
        <v>62500</v>
      </c>
      <c r="AP925" s="8">
        <f>IF($O925="Aktif",MAX(0,MIN($AE925,$AD925-SUM($AG925:AO925))),0)</f>
        <v>62500</v>
      </c>
      <c r="AQ925" s="8">
        <f>IF($O925="Aktif",MAX(0,MIN($AE925,$AD925-SUM($AG925:AP925))),0)</f>
        <v>62500</v>
      </c>
      <c r="AR925" s="8">
        <f>IF($O925="Aktif",MAX(0,MIN($AE925,$AD925-SUM($AG925:AQ925))),0)</f>
        <v>62500</v>
      </c>
      <c r="AS925" s="8">
        <f>IF($O925="Aktif",MAX(0,MIN($AE925,$AD925-SUM($AG925:AR925))),0)</f>
        <v>62500</v>
      </c>
      <c r="AT925" s="8">
        <f>IF($O925="Aktif",MAX(0,MIN($AE925,$AD925-SUM($AG925:AS925))),0)</f>
        <v>62500</v>
      </c>
      <c r="AU925" s="8">
        <f>IF($O925="Aktif",MAX(0,MIN($AE925,$AD925-SUM($AG925:AT925))),0)</f>
        <v>62500</v>
      </c>
      <c r="AV925" s="8">
        <f>IF($O925="Aktif",MAX(0,MIN($AE925,$AD925-SUM($AG925:AU925))),0)</f>
        <v>62500</v>
      </c>
      <c r="AW925" s="8">
        <f t="shared" si="103"/>
        <v>1000000</v>
      </c>
      <c r="AX925" s="8">
        <f t="shared" si="104"/>
        <v>812500</v>
      </c>
    </row>
    <row r="926" spans="1:50" ht="15" customHeight="1" x14ac:dyDescent="0.35">
      <c r="A926" s="102">
        <v>920</v>
      </c>
      <c r="B926" s="102" t="s">
        <v>1326</v>
      </c>
      <c r="C926" s="103">
        <v>554</v>
      </c>
      <c r="D926" s="102" t="s">
        <v>185</v>
      </c>
      <c r="E926" s="102" t="s">
        <v>479</v>
      </c>
      <c r="F926" s="102" t="s">
        <v>2332</v>
      </c>
      <c r="G926" s="102" t="s">
        <v>2333</v>
      </c>
      <c r="H926" s="102" t="s">
        <v>2334</v>
      </c>
      <c r="I926" s="102" t="s">
        <v>63</v>
      </c>
      <c r="J926" s="102"/>
      <c r="K926" s="102"/>
      <c r="L926" s="104">
        <v>45691</v>
      </c>
      <c r="M926" s="102" t="s">
        <v>2750</v>
      </c>
      <c r="N926" s="102" t="s">
        <v>2750</v>
      </c>
      <c r="O926" s="102" t="s">
        <v>383</v>
      </c>
      <c r="P926" s="103">
        <v>1</v>
      </c>
      <c r="Q926" s="105">
        <v>3000000</v>
      </c>
      <c r="R926" s="103">
        <v>48</v>
      </c>
      <c r="S926" s="105">
        <v>62500</v>
      </c>
      <c r="T926" s="105">
        <v>687500</v>
      </c>
      <c r="U926" s="105">
        <v>62500</v>
      </c>
      <c r="V926" s="105">
        <v>62500</v>
      </c>
      <c r="W926" s="105">
        <v>62500</v>
      </c>
      <c r="X926" s="105">
        <v>62500</v>
      </c>
      <c r="Y926" s="105">
        <v>62500</v>
      </c>
      <c r="Z926" s="105">
        <v>62500</v>
      </c>
      <c r="AA926" s="105">
        <v>62500</v>
      </c>
      <c r="AB926" s="105">
        <v>62500</v>
      </c>
      <c r="AC926" s="8">
        <f t="shared" si="98"/>
        <v>1187500</v>
      </c>
      <c r="AD926" s="8">
        <f t="shared" si="99"/>
        <v>1812500</v>
      </c>
      <c r="AE926" s="8">
        <f t="shared" si="100"/>
        <v>62500</v>
      </c>
      <c r="AF926" s="106">
        <f t="shared" si="101"/>
        <v>29</v>
      </c>
      <c r="AG926" s="8">
        <f t="shared" si="102"/>
        <v>62500</v>
      </c>
      <c r="AH926" s="8">
        <f>IF($O926="Aktif",MAX(0,MIN($AE926,$AD926-SUM($AG926:AG926))),0)</f>
        <v>62500</v>
      </c>
      <c r="AI926" s="8">
        <f>IF($O926="Aktif",MAX(0,MIN($AE926,$AD926-SUM($AG926:AH926))),0)</f>
        <v>62500</v>
      </c>
      <c r="AJ926" s="8">
        <f>IF($O926="Aktif",MAX(0,MIN($AE926,$AD926-SUM($AG926:AI926))),0)</f>
        <v>62500</v>
      </c>
      <c r="AK926" s="8">
        <f>IF($O926="Aktif",MAX(0,MIN($AE926,$AD926-SUM($AG926:AJ926))),0)</f>
        <v>62500</v>
      </c>
      <c r="AL926" s="8">
        <f>IF($O926="Aktif",MAX(0,MIN($AE926,$AD926-SUM($AG926:AK926))),0)</f>
        <v>62500</v>
      </c>
      <c r="AM926" s="8">
        <f>IF($O926="Aktif",MAX(0,MIN($AE926,$AD926-SUM($AG926:AL926))),0)</f>
        <v>62500</v>
      </c>
      <c r="AN926" s="8">
        <f>IF($O926="Aktif",MAX(0,MIN($AE926,$AD926-SUM($AG926:AM926))),0)</f>
        <v>62500</v>
      </c>
      <c r="AO926" s="8">
        <f>IF($O926="Aktif",MAX(0,MIN($AE926,$AD926-SUM($AG926:AN926))),0)</f>
        <v>62500</v>
      </c>
      <c r="AP926" s="8">
        <f>IF($O926="Aktif",MAX(0,MIN($AE926,$AD926-SUM($AG926:AO926))),0)</f>
        <v>62500</v>
      </c>
      <c r="AQ926" s="8">
        <f>IF($O926="Aktif",MAX(0,MIN($AE926,$AD926-SUM($AG926:AP926))),0)</f>
        <v>62500</v>
      </c>
      <c r="AR926" s="8">
        <f>IF($O926="Aktif",MAX(0,MIN($AE926,$AD926-SUM($AG926:AQ926))),0)</f>
        <v>62500</v>
      </c>
      <c r="AS926" s="8">
        <f>IF($O926="Aktif",MAX(0,MIN($AE926,$AD926-SUM($AG926:AR926))),0)</f>
        <v>62500</v>
      </c>
      <c r="AT926" s="8">
        <f>IF($O926="Aktif",MAX(0,MIN($AE926,$AD926-SUM($AG926:AS926))),0)</f>
        <v>62500</v>
      </c>
      <c r="AU926" s="8">
        <f>IF($O926="Aktif",MAX(0,MIN($AE926,$AD926-SUM($AG926:AT926))),0)</f>
        <v>62500</v>
      </c>
      <c r="AV926" s="8">
        <f>IF($O926="Aktif",MAX(0,MIN($AE926,$AD926-SUM($AG926:AU926))),0)</f>
        <v>62500</v>
      </c>
      <c r="AW926" s="8">
        <f t="shared" si="103"/>
        <v>1000000</v>
      </c>
      <c r="AX926" s="8">
        <f t="shared" si="104"/>
        <v>812500</v>
      </c>
    </row>
    <row r="927" spans="1:50" ht="15" customHeight="1" x14ac:dyDescent="0.35">
      <c r="A927" s="102">
        <v>921</v>
      </c>
      <c r="B927" s="102" t="s">
        <v>1326</v>
      </c>
      <c r="C927" s="103">
        <v>555</v>
      </c>
      <c r="D927" s="102" t="s">
        <v>185</v>
      </c>
      <c r="E927" s="102" t="s">
        <v>479</v>
      </c>
      <c r="F927" s="102" t="s">
        <v>2332</v>
      </c>
      <c r="G927" s="102" t="s">
        <v>2333</v>
      </c>
      <c r="H927" s="102" t="s">
        <v>2334</v>
      </c>
      <c r="I927" s="102" t="s">
        <v>63</v>
      </c>
      <c r="J927" s="102"/>
      <c r="K927" s="102"/>
      <c r="L927" s="104">
        <v>45719</v>
      </c>
      <c r="M927" s="102" t="s">
        <v>2751</v>
      </c>
      <c r="N927" s="102" t="s">
        <v>2751</v>
      </c>
      <c r="O927" s="102" t="s">
        <v>383</v>
      </c>
      <c r="P927" s="103">
        <v>1</v>
      </c>
      <c r="Q927" s="105">
        <v>1350000</v>
      </c>
      <c r="R927" s="103">
        <v>48</v>
      </c>
      <c r="S927" s="105">
        <v>28125</v>
      </c>
      <c r="T927" s="105">
        <v>281250</v>
      </c>
      <c r="U927" s="105">
        <v>28125</v>
      </c>
      <c r="V927" s="105">
        <v>28125</v>
      </c>
      <c r="W927" s="105">
        <v>28125</v>
      </c>
      <c r="X927" s="105">
        <v>28125</v>
      </c>
      <c r="Y927" s="105">
        <v>28125</v>
      </c>
      <c r="Z927" s="105">
        <v>28125</v>
      </c>
      <c r="AA927" s="105">
        <v>28125</v>
      </c>
      <c r="AB927" s="105">
        <v>28125</v>
      </c>
      <c r="AC927" s="8">
        <f t="shared" si="98"/>
        <v>506250</v>
      </c>
      <c r="AD927" s="8">
        <f t="shared" si="99"/>
        <v>843750</v>
      </c>
      <c r="AE927" s="8">
        <f t="shared" si="100"/>
        <v>28125</v>
      </c>
      <c r="AF927" s="106">
        <f t="shared" si="101"/>
        <v>30</v>
      </c>
      <c r="AG927" s="8">
        <f t="shared" si="102"/>
        <v>28125</v>
      </c>
      <c r="AH927" s="8">
        <f>IF($O927="Aktif",MAX(0,MIN($AE927,$AD927-SUM($AG927:AG927))),0)</f>
        <v>28125</v>
      </c>
      <c r="AI927" s="8">
        <f>IF($O927="Aktif",MAX(0,MIN($AE927,$AD927-SUM($AG927:AH927))),0)</f>
        <v>28125</v>
      </c>
      <c r="AJ927" s="8">
        <f>IF($O927="Aktif",MAX(0,MIN($AE927,$AD927-SUM($AG927:AI927))),0)</f>
        <v>28125</v>
      </c>
      <c r="AK927" s="8">
        <f>IF($O927="Aktif",MAX(0,MIN($AE927,$AD927-SUM($AG927:AJ927))),0)</f>
        <v>28125</v>
      </c>
      <c r="AL927" s="8">
        <f>IF($O927="Aktif",MAX(0,MIN($AE927,$AD927-SUM($AG927:AK927))),0)</f>
        <v>28125</v>
      </c>
      <c r="AM927" s="8">
        <f>IF($O927="Aktif",MAX(0,MIN($AE927,$AD927-SUM($AG927:AL927))),0)</f>
        <v>28125</v>
      </c>
      <c r="AN927" s="8">
        <f>IF($O927="Aktif",MAX(0,MIN($AE927,$AD927-SUM($AG927:AM927))),0)</f>
        <v>28125</v>
      </c>
      <c r="AO927" s="8">
        <f>IF($O927="Aktif",MAX(0,MIN($AE927,$AD927-SUM($AG927:AN927))),0)</f>
        <v>28125</v>
      </c>
      <c r="AP927" s="8">
        <f>IF($O927="Aktif",MAX(0,MIN($AE927,$AD927-SUM($AG927:AO927))),0)</f>
        <v>28125</v>
      </c>
      <c r="AQ927" s="8">
        <f>IF($O927="Aktif",MAX(0,MIN($AE927,$AD927-SUM($AG927:AP927))),0)</f>
        <v>28125</v>
      </c>
      <c r="AR927" s="8">
        <f>IF($O927="Aktif",MAX(0,MIN($AE927,$AD927-SUM($AG927:AQ927))),0)</f>
        <v>28125</v>
      </c>
      <c r="AS927" s="8">
        <f>IF($O927="Aktif",MAX(0,MIN($AE927,$AD927-SUM($AG927:AR927))),0)</f>
        <v>28125</v>
      </c>
      <c r="AT927" s="8">
        <f>IF($O927="Aktif",MAX(0,MIN($AE927,$AD927-SUM($AG927:AS927))),0)</f>
        <v>28125</v>
      </c>
      <c r="AU927" s="8">
        <f>IF($O927="Aktif",MAX(0,MIN($AE927,$AD927-SUM($AG927:AT927))),0)</f>
        <v>28125</v>
      </c>
      <c r="AV927" s="8">
        <f>IF($O927="Aktif",MAX(0,MIN($AE927,$AD927-SUM($AG927:AU927))),0)</f>
        <v>28125</v>
      </c>
      <c r="AW927" s="8">
        <f t="shared" si="103"/>
        <v>450000</v>
      </c>
      <c r="AX927" s="8">
        <f t="shared" si="104"/>
        <v>393750</v>
      </c>
    </row>
    <row r="928" spans="1:50" ht="15" customHeight="1" x14ac:dyDescent="0.35">
      <c r="A928" s="102">
        <v>922</v>
      </c>
      <c r="B928" s="102" t="s">
        <v>1326</v>
      </c>
      <c r="C928" s="103">
        <v>556</v>
      </c>
      <c r="D928" s="102" t="s">
        <v>185</v>
      </c>
      <c r="E928" s="102" t="s">
        <v>479</v>
      </c>
      <c r="F928" s="102" t="s">
        <v>2332</v>
      </c>
      <c r="G928" s="102" t="s">
        <v>2333</v>
      </c>
      <c r="H928" s="102" t="s">
        <v>2334</v>
      </c>
      <c r="I928" s="102" t="s">
        <v>63</v>
      </c>
      <c r="J928" s="102"/>
      <c r="K928" s="102"/>
      <c r="L928" s="104">
        <v>45719</v>
      </c>
      <c r="M928" s="102" t="s">
        <v>2752</v>
      </c>
      <c r="N928" s="102" t="s">
        <v>2752</v>
      </c>
      <c r="O928" s="102" t="s">
        <v>383</v>
      </c>
      <c r="P928" s="103">
        <v>1</v>
      </c>
      <c r="Q928" s="105">
        <v>1350000</v>
      </c>
      <c r="R928" s="103">
        <v>48</v>
      </c>
      <c r="S928" s="105">
        <v>28125</v>
      </c>
      <c r="T928" s="105">
        <v>281250</v>
      </c>
      <c r="U928" s="105">
        <v>28125</v>
      </c>
      <c r="V928" s="105">
        <v>28125</v>
      </c>
      <c r="W928" s="105">
        <v>28125</v>
      </c>
      <c r="X928" s="105">
        <v>28125</v>
      </c>
      <c r="Y928" s="105">
        <v>28125</v>
      </c>
      <c r="Z928" s="105">
        <v>28125</v>
      </c>
      <c r="AA928" s="105">
        <v>28125</v>
      </c>
      <c r="AB928" s="105">
        <v>28125</v>
      </c>
      <c r="AC928" s="8">
        <f t="shared" si="98"/>
        <v>506250</v>
      </c>
      <c r="AD928" s="8">
        <f t="shared" si="99"/>
        <v>843750</v>
      </c>
      <c r="AE928" s="8">
        <f t="shared" si="100"/>
        <v>28125</v>
      </c>
      <c r="AF928" s="106">
        <f t="shared" si="101"/>
        <v>30</v>
      </c>
      <c r="AG928" s="8">
        <f t="shared" si="102"/>
        <v>28125</v>
      </c>
      <c r="AH928" s="8">
        <f>IF($O928="Aktif",MAX(0,MIN($AE928,$AD928-SUM($AG928:AG928))),0)</f>
        <v>28125</v>
      </c>
      <c r="AI928" s="8">
        <f>IF($O928="Aktif",MAX(0,MIN($AE928,$AD928-SUM($AG928:AH928))),0)</f>
        <v>28125</v>
      </c>
      <c r="AJ928" s="8">
        <f>IF($O928="Aktif",MAX(0,MIN($AE928,$AD928-SUM($AG928:AI928))),0)</f>
        <v>28125</v>
      </c>
      <c r="AK928" s="8">
        <f>IF($O928="Aktif",MAX(0,MIN($AE928,$AD928-SUM($AG928:AJ928))),0)</f>
        <v>28125</v>
      </c>
      <c r="AL928" s="8">
        <f>IF($O928="Aktif",MAX(0,MIN($AE928,$AD928-SUM($AG928:AK928))),0)</f>
        <v>28125</v>
      </c>
      <c r="AM928" s="8">
        <f>IF($O928="Aktif",MAX(0,MIN($AE928,$AD928-SUM($AG928:AL928))),0)</f>
        <v>28125</v>
      </c>
      <c r="AN928" s="8">
        <f>IF($O928="Aktif",MAX(0,MIN($AE928,$AD928-SUM($AG928:AM928))),0)</f>
        <v>28125</v>
      </c>
      <c r="AO928" s="8">
        <f>IF($O928="Aktif",MAX(0,MIN($AE928,$AD928-SUM($AG928:AN928))),0)</f>
        <v>28125</v>
      </c>
      <c r="AP928" s="8">
        <f>IF($O928="Aktif",MAX(0,MIN($AE928,$AD928-SUM($AG928:AO928))),0)</f>
        <v>28125</v>
      </c>
      <c r="AQ928" s="8">
        <f>IF($O928="Aktif",MAX(0,MIN($AE928,$AD928-SUM($AG928:AP928))),0)</f>
        <v>28125</v>
      </c>
      <c r="AR928" s="8">
        <f>IF($O928="Aktif",MAX(0,MIN($AE928,$AD928-SUM($AG928:AQ928))),0)</f>
        <v>28125</v>
      </c>
      <c r="AS928" s="8">
        <f>IF($O928="Aktif",MAX(0,MIN($AE928,$AD928-SUM($AG928:AR928))),0)</f>
        <v>28125</v>
      </c>
      <c r="AT928" s="8">
        <f>IF($O928="Aktif",MAX(0,MIN($AE928,$AD928-SUM($AG928:AS928))),0)</f>
        <v>28125</v>
      </c>
      <c r="AU928" s="8">
        <f>IF($O928="Aktif",MAX(0,MIN($AE928,$AD928-SUM($AG928:AT928))),0)</f>
        <v>28125</v>
      </c>
      <c r="AV928" s="8">
        <f>IF($O928="Aktif",MAX(0,MIN($AE928,$AD928-SUM($AG928:AU928))),0)</f>
        <v>28125</v>
      </c>
      <c r="AW928" s="8">
        <f t="shared" si="103"/>
        <v>450000</v>
      </c>
      <c r="AX928" s="8">
        <f t="shared" si="104"/>
        <v>393750</v>
      </c>
    </row>
    <row r="929" spans="1:50" ht="15" customHeight="1" x14ac:dyDescent="0.35">
      <c r="A929" s="102">
        <v>923</v>
      </c>
      <c r="B929" s="102" t="s">
        <v>1326</v>
      </c>
      <c r="C929" s="103">
        <v>557</v>
      </c>
      <c r="D929" s="102" t="s">
        <v>185</v>
      </c>
      <c r="E929" s="102" t="s">
        <v>479</v>
      </c>
      <c r="F929" s="102" t="s">
        <v>2332</v>
      </c>
      <c r="G929" s="102" t="s">
        <v>2333</v>
      </c>
      <c r="H929" s="102" t="s">
        <v>2334</v>
      </c>
      <c r="I929" s="102" t="s">
        <v>63</v>
      </c>
      <c r="J929" s="102"/>
      <c r="K929" s="102"/>
      <c r="L929" s="104">
        <v>45722</v>
      </c>
      <c r="M929" s="102" t="s">
        <v>1262</v>
      </c>
      <c r="N929" s="102" t="s">
        <v>1262</v>
      </c>
      <c r="O929" s="102" t="s">
        <v>383</v>
      </c>
      <c r="P929" s="103">
        <v>1</v>
      </c>
      <c r="Q929" s="105">
        <v>1498116.6</v>
      </c>
      <c r="R929" s="103">
        <v>48</v>
      </c>
      <c r="S929" s="105">
        <v>31210.762500000001</v>
      </c>
      <c r="T929" s="105">
        <v>312107.625</v>
      </c>
      <c r="U929" s="105">
        <v>31210.762500000001</v>
      </c>
      <c r="V929" s="105">
        <v>31210.762500000001</v>
      </c>
      <c r="W929" s="105">
        <v>31210.762500000001</v>
      </c>
      <c r="X929" s="105">
        <v>31210.762500000001</v>
      </c>
      <c r="Y929" s="105">
        <v>31210.762500000001</v>
      </c>
      <c r="Z929" s="105">
        <v>31210.762500000001</v>
      </c>
      <c r="AA929" s="105">
        <v>31210.762500000001</v>
      </c>
      <c r="AB929" s="105">
        <v>31210.762500000001</v>
      </c>
      <c r="AC929" s="8">
        <f t="shared" si="98"/>
        <v>561793.72500000009</v>
      </c>
      <c r="AD929" s="8">
        <f t="shared" si="99"/>
        <v>936322.875</v>
      </c>
      <c r="AE929" s="8">
        <f t="shared" si="100"/>
        <v>31210.762500000001</v>
      </c>
      <c r="AF929" s="106">
        <f t="shared" si="101"/>
        <v>30</v>
      </c>
      <c r="AG929" s="8">
        <f t="shared" si="102"/>
        <v>31210.762500000001</v>
      </c>
      <c r="AH929" s="8">
        <f>IF($O929="Aktif",MAX(0,MIN($AE929,$AD929-SUM($AG929:AG929))),0)</f>
        <v>31210.762500000001</v>
      </c>
      <c r="AI929" s="8">
        <f>IF($O929="Aktif",MAX(0,MIN($AE929,$AD929-SUM($AG929:AH929))),0)</f>
        <v>31210.762500000001</v>
      </c>
      <c r="AJ929" s="8">
        <f>IF($O929="Aktif",MAX(0,MIN($AE929,$AD929-SUM($AG929:AI929))),0)</f>
        <v>31210.762500000001</v>
      </c>
      <c r="AK929" s="8">
        <f>IF($O929="Aktif",MAX(0,MIN($AE929,$AD929-SUM($AG929:AJ929))),0)</f>
        <v>31210.762500000001</v>
      </c>
      <c r="AL929" s="8">
        <f>IF($O929="Aktif",MAX(0,MIN($AE929,$AD929-SUM($AG929:AK929))),0)</f>
        <v>31210.762500000001</v>
      </c>
      <c r="AM929" s="8">
        <f>IF($O929="Aktif",MAX(0,MIN($AE929,$AD929-SUM($AG929:AL929))),0)</f>
        <v>31210.762500000001</v>
      </c>
      <c r="AN929" s="8">
        <f>IF($O929="Aktif",MAX(0,MIN($AE929,$AD929-SUM($AG929:AM929))),0)</f>
        <v>31210.762500000001</v>
      </c>
      <c r="AO929" s="8">
        <f>IF($O929="Aktif",MAX(0,MIN($AE929,$AD929-SUM($AG929:AN929))),0)</f>
        <v>31210.762500000001</v>
      </c>
      <c r="AP929" s="8">
        <f>IF($O929="Aktif",MAX(0,MIN($AE929,$AD929-SUM($AG929:AO929))),0)</f>
        <v>31210.762500000001</v>
      </c>
      <c r="AQ929" s="8">
        <f>IF($O929="Aktif",MAX(0,MIN($AE929,$AD929-SUM($AG929:AP929))),0)</f>
        <v>31210.762500000001</v>
      </c>
      <c r="AR929" s="8">
        <f>IF($O929="Aktif",MAX(0,MIN($AE929,$AD929-SUM($AG929:AQ929))),0)</f>
        <v>31210.762500000001</v>
      </c>
      <c r="AS929" s="8">
        <f>IF($O929="Aktif",MAX(0,MIN($AE929,$AD929-SUM($AG929:AR929))),0)</f>
        <v>31210.762500000001</v>
      </c>
      <c r="AT929" s="8">
        <f>IF($O929="Aktif",MAX(0,MIN($AE929,$AD929-SUM($AG929:AS929))),0)</f>
        <v>31210.762500000001</v>
      </c>
      <c r="AU929" s="8">
        <f>IF($O929="Aktif",MAX(0,MIN($AE929,$AD929-SUM($AG929:AT929))),0)</f>
        <v>31210.762500000001</v>
      </c>
      <c r="AV929" s="8">
        <f>IF($O929="Aktif",MAX(0,MIN($AE929,$AD929-SUM($AG929:AU929))),0)</f>
        <v>31210.762500000001</v>
      </c>
      <c r="AW929" s="8">
        <f t="shared" si="103"/>
        <v>499372.20000000013</v>
      </c>
      <c r="AX929" s="8">
        <f t="shared" si="104"/>
        <v>436950.67499999987</v>
      </c>
    </row>
    <row r="930" spans="1:50" ht="15" customHeight="1" x14ac:dyDescent="0.35">
      <c r="A930" s="102">
        <v>924</v>
      </c>
      <c r="B930" s="102" t="s">
        <v>1326</v>
      </c>
      <c r="C930" s="103">
        <v>558</v>
      </c>
      <c r="D930" s="102" t="s">
        <v>185</v>
      </c>
      <c r="E930" s="102" t="s">
        <v>479</v>
      </c>
      <c r="F930" s="102" t="s">
        <v>2332</v>
      </c>
      <c r="G930" s="102" t="s">
        <v>2333</v>
      </c>
      <c r="H930" s="102" t="s">
        <v>2334</v>
      </c>
      <c r="I930" s="102" t="s">
        <v>63</v>
      </c>
      <c r="J930" s="102"/>
      <c r="K930" s="102"/>
      <c r="L930" s="104">
        <v>45722</v>
      </c>
      <c r="M930" s="102" t="s">
        <v>1264</v>
      </c>
      <c r="N930" s="102" t="s">
        <v>1264</v>
      </c>
      <c r="O930" s="102" t="s">
        <v>383</v>
      </c>
      <c r="P930" s="103">
        <v>1</v>
      </c>
      <c r="Q930" s="105">
        <v>1498116.6</v>
      </c>
      <c r="R930" s="103">
        <v>48</v>
      </c>
      <c r="S930" s="105">
        <v>31210.762500000001</v>
      </c>
      <c r="T930" s="105">
        <v>312107.625</v>
      </c>
      <c r="U930" s="105">
        <v>31210.762500000001</v>
      </c>
      <c r="V930" s="105">
        <v>31210.762500000001</v>
      </c>
      <c r="W930" s="105">
        <v>31210.762500000001</v>
      </c>
      <c r="X930" s="105">
        <v>31210.762500000001</v>
      </c>
      <c r="Y930" s="105">
        <v>31210.762500000001</v>
      </c>
      <c r="Z930" s="105">
        <v>31210.762500000001</v>
      </c>
      <c r="AA930" s="105">
        <v>31210.762500000001</v>
      </c>
      <c r="AB930" s="105">
        <v>31210.762500000001</v>
      </c>
      <c r="AC930" s="8">
        <f t="shared" si="98"/>
        <v>561793.72500000009</v>
      </c>
      <c r="AD930" s="8">
        <f t="shared" si="99"/>
        <v>936322.875</v>
      </c>
      <c r="AE930" s="8">
        <f t="shared" si="100"/>
        <v>31210.762500000001</v>
      </c>
      <c r="AF930" s="106">
        <f t="shared" si="101"/>
        <v>30</v>
      </c>
      <c r="AG930" s="8">
        <f t="shared" si="102"/>
        <v>31210.762500000001</v>
      </c>
      <c r="AH930" s="8">
        <f>IF($O930="Aktif",MAX(0,MIN($AE930,$AD930-SUM($AG930:AG930))),0)</f>
        <v>31210.762500000001</v>
      </c>
      <c r="AI930" s="8">
        <f>IF($O930="Aktif",MAX(0,MIN($AE930,$AD930-SUM($AG930:AH930))),0)</f>
        <v>31210.762500000001</v>
      </c>
      <c r="AJ930" s="8">
        <f>IF($O930="Aktif",MAX(0,MIN($AE930,$AD930-SUM($AG930:AI930))),0)</f>
        <v>31210.762500000001</v>
      </c>
      <c r="AK930" s="8">
        <f>IF($O930="Aktif",MAX(0,MIN($AE930,$AD930-SUM($AG930:AJ930))),0)</f>
        <v>31210.762500000001</v>
      </c>
      <c r="AL930" s="8">
        <f>IF($O930="Aktif",MAX(0,MIN($AE930,$AD930-SUM($AG930:AK930))),0)</f>
        <v>31210.762500000001</v>
      </c>
      <c r="AM930" s="8">
        <f>IF($O930="Aktif",MAX(0,MIN($AE930,$AD930-SUM($AG930:AL930))),0)</f>
        <v>31210.762500000001</v>
      </c>
      <c r="AN930" s="8">
        <f>IF($O930="Aktif",MAX(0,MIN($AE930,$AD930-SUM($AG930:AM930))),0)</f>
        <v>31210.762500000001</v>
      </c>
      <c r="AO930" s="8">
        <f>IF($O930="Aktif",MAX(0,MIN($AE930,$AD930-SUM($AG930:AN930))),0)</f>
        <v>31210.762500000001</v>
      </c>
      <c r="AP930" s="8">
        <f>IF($O930="Aktif",MAX(0,MIN($AE930,$AD930-SUM($AG930:AO930))),0)</f>
        <v>31210.762500000001</v>
      </c>
      <c r="AQ930" s="8">
        <f>IF($O930="Aktif",MAX(0,MIN($AE930,$AD930-SUM($AG930:AP930))),0)</f>
        <v>31210.762500000001</v>
      </c>
      <c r="AR930" s="8">
        <f>IF($O930="Aktif",MAX(0,MIN($AE930,$AD930-SUM($AG930:AQ930))),0)</f>
        <v>31210.762500000001</v>
      </c>
      <c r="AS930" s="8">
        <f>IF($O930="Aktif",MAX(0,MIN($AE930,$AD930-SUM($AG930:AR930))),0)</f>
        <v>31210.762500000001</v>
      </c>
      <c r="AT930" s="8">
        <f>IF($O930="Aktif",MAX(0,MIN($AE930,$AD930-SUM($AG930:AS930))),0)</f>
        <v>31210.762500000001</v>
      </c>
      <c r="AU930" s="8">
        <f>IF($O930="Aktif",MAX(0,MIN($AE930,$AD930-SUM($AG930:AT930))),0)</f>
        <v>31210.762500000001</v>
      </c>
      <c r="AV930" s="8">
        <f>IF($O930="Aktif",MAX(0,MIN($AE930,$AD930-SUM($AG930:AU930))),0)</f>
        <v>31210.762500000001</v>
      </c>
      <c r="AW930" s="8">
        <f t="shared" si="103"/>
        <v>499372.20000000013</v>
      </c>
      <c r="AX930" s="8">
        <f t="shared" si="104"/>
        <v>436950.67499999987</v>
      </c>
    </row>
    <row r="931" spans="1:50" ht="15" customHeight="1" x14ac:dyDescent="0.35">
      <c r="A931" s="102">
        <v>925</v>
      </c>
      <c r="B931" s="102" t="s">
        <v>1326</v>
      </c>
      <c r="C931" s="103">
        <v>559</v>
      </c>
      <c r="D931" s="102" t="s">
        <v>185</v>
      </c>
      <c r="E931" s="102" t="s">
        <v>479</v>
      </c>
      <c r="F931" s="102" t="s">
        <v>2332</v>
      </c>
      <c r="G931" s="102" t="s">
        <v>2333</v>
      </c>
      <c r="H931" s="102" t="s">
        <v>2334</v>
      </c>
      <c r="I931" s="102" t="s">
        <v>63</v>
      </c>
      <c r="J931" s="102"/>
      <c r="K931" s="102"/>
      <c r="L931" s="104">
        <v>45722</v>
      </c>
      <c r="M931" s="102" t="s">
        <v>2753</v>
      </c>
      <c r="N931" s="102" t="s">
        <v>2753</v>
      </c>
      <c r="O931" s="102" t="s">
        <v>383</v>
      </c>
      <c r="P931" s="103">
        <v>1</v>
      </c>
      <c r="Q931" s="105">
        <v>1498116.6</v>
      </c>
      <c r="R931" s="103">
        <v>48</v>
      </c>
      <c r="S931" s="105">
        <v>31210.762500000001</v>
      </c>
      <c r="T931" s="105">
        <v>312107.625</v>
      </c>
      <c r="U931" s="105">
        <v>31210.762500000001</v>
      </c>
      <c r="V931" s="105">
        <v>31210.762500000001</v>
      </c>
      <c r="W931" s="105">
        <v>31210.762500000001</v>
      </c>
      <c r="X931" s="105">
        <v>31210.762500000001</v>
      </c>
      <c r="Y931" s="105">
        <v>31210.762500000001</v>
      </c>
      <c r="Z931" s="105">
        <v>31210.762500000001</v>
      </c>
      <c r="AA931" s="105">
        <v>31210.762500000001</v>
      </c>
      <c r="AB931" s="105">
        <v>31210.762500000001</v>
      </c>
      <c r="AC931" s="8">
        <f t="shared" si="98"/>
        <v>561793.72500000009</v>
      </c>
      <c r="AD931" s="8">
        <f t="shared" si="99"/>
        <v>936322.875</v>
      </c>
      <c r="AE931" s="8">
        <f t="shared" si="100"/>
        <v>31210.762500000001</v>
      </c>
      <c r="AF931" s="106">
        <f t="shared" si="101"/>
        <v>30</v>
      </c>
      <c r="AG931" s="8">
        <f t="shared" si="102"/>
        <v>31210.762500000001</v>
      </c>
      <c r="AH931" s="8">
        <f>IF($O931="Aktif",MAX(0,MIN($AE931,$AD931-SUM($AG931:AG931))),0)</f>
        <v>31210.762500000001</v>
      </c>
      <c r="AI931" s="8">
        <f>IF($O931="Aktif",MAX(0,MIN($AE931,$AD931-SUM($AG931:AH931))),0)</f>
        <v>31210.762500000001</v>
      </c>
      <c r="AJ931" s="8">
        <f>IF($O931="Aktif",MAX(0,MIN($AE931,$AD931-SUM($AG931:AI931))),0)</f>
        <v>31210.762500000001</v>
      </c>
      <c r="AK931" s="8">
        <f>IF($O931="Aktif",MAX(0,MIN($AE931,$AD931-SUM($AG931:AJ931))),0)</f>
        <v>31210.762500000001</v>
      </c>
      <c r="AL931" s="8">
        <f>IF($O931="Aktif",MAX(0,MIN($AE931,$AD931-SUM($AG931:AK931))),0)</f>
        <v>31210.762500000001</v>
      </c>
      <c r="AM931" s="8">
        <f>IF($O931="Aktif",MAX(0,MIN($AE931,$AD931-SUM($AG931:AL931))),0)</f>
        <v>31210.762500000001</v>
      </c>
      <c r="AN931" s="8">
        <f>IF($O931="Aktif",MAX(0,MIN($AE931,$AD931-SUM($AG931:AM931))),0)</f>
        <v>31210.762500000001</v>
      </c>
      <c r="AO931" s="8">
        <f>IF($O931="Aktif",MAX(0,MIN($AE931,$AD931-SUM($AG931:AN931))),0)</f>
        <v>31210.762500000001</v>
      </c>
      <c r="AP931" s="8">
        <f>IF($O931="Aktif",MAX(0,MIN($AE931,$AD931-SUM($AG931:AO931))),0)</f>
        <v>31210.762500000001</v>
      </c>
      <c r="AQ931" s="8">
        <f>IF($O931="Aktif",MAX(0,MIN($AE931,$AD931-SUM($AG931:AP931))),0)</f>
        <v>31210.762500000001</v>
      </c>
      <c r="AR931" s="8">
        <f>IF($O931="Aktif",MAX(0,MIN($AE931,$AD931-SUM($AG931:AQ931))),0)</f>
        <v>31210.762500000001</v>
      </c>
      <c r="AS931" s="8">
        <f>IF($O931="Aktif",MAX(0,MIN($AE931,$AD931-SUM($AG931:AR931))),0)</f>
        <v>31210.762500000001</v>
      </c>
      <c r="AT931" s="8">
        <f>IF($O931="Aktif",MAX(0,MIN($AE931,$AD931-SUM($AG931:AS931))),0)</f>
        <v>31210.762500000001</v>
      </c>
      <c r="AU931" s="8">
        <f>IF($O931="Aktif",MAX(0,MIN($AE931,$AD931-SUM($AG931:AT931))),0)</f>
        <v>31210.762500000001</v>
      </c>
      <c r="AV931" s="8">
        <f>IF($O931="Aktif",MAX(0,MIN($AE931,$AD931-SUM($AG931:AU931))),0)</f>
        <v>31210.762500000001</v>
      </c>
      <c r="AW931" s="8">
        <f t="shared" si="103"/>
        <v>499372.20000000013</v>
      </c>
      <c r="AX931" s="8">
        <f t="shared" si="104"/>
        <v>436950.67499999987</v>
      </c>
    </row>
    <row r="932" spans="1:50" ht="15" customHeight="1" x14ac:dyDescent="0.35">
      <c r="A932" s="102">
        <v>926</v>
      </c>
      <c r="B932" s="102" t="s">
        <v>1326</v>
      </c>
      <c r="C932" s="103">
        <v>560</v>
      </c>
      <c r="D932" s="102" t="s">
        <v>185</v>
      </c>
      <c r="E932" s="102" t="s">
        <v>479</v>
      </c>
      <c r="F932" s="102" t="s">
        <v>2332</v>
      </c>
      <c r="G932" s="102" t="s">
        <v>2333</v>
      </c>
      <c r="H932" s="102" t="s">
        <v>2334</v>
      </c>
      <c r="I932" s="102" t="s">
        <v>63</v>
      </c>
      <c r="J932" s="102"/>
      <c r="K932" s="102"/>
      <c r="L932" s="104">
        <v>45722</v>
      </c>
      <c r="M932" s="102" t="s">
        <v>2754</v>
      </c>
      <c r="N932" s="102" t="s">
        <v>2754</v>
      </c>
      <c r="O932" s="102" t="s">
        <v>383</v>
      </c>
      <c r="P932" s="103">
        <v>1</v>
      </c>
      <c r="Q932" s="105">
        <v>1498116.6</v>
      </c>
      <c r="R932" s="103">
        <v>48</v>
      </c>
      <c r="S932" s="105">
        <v>31210.762500000001</v>
      </c>
      <c r="T932" s="105">
        <v>312107.625</v>
      </c>
      <c r="U932" s="105">
        <v>31210.762500000001</v>
      </c>
      <c r="V932" s="105">
        <v>31210.762500000001</v>
      </c>
      <c r="W932" s="105">
        <v>31210.762500000001</v>
      </c>
      <c r="X932" s="105">
        <v>31210.762500000001</v>
      </c>
      <c r="Y932" s="105">
        <v>31210.762500000001</v>
      </c>
      <c r="Z932" s="105">
        <v>31210.762500000001</v>
      </c>
      <c r="AA932" s="105">
        <v>31210.762500000001</v>
      </c>
      <c r="AB932" s="105">
        <v>31210.762500000001</v>
      </c>
      <c r="AC932" s="8">
        <f t="shared" si="98"/>
        <v>561793.72500000009</v>
      </c>
      <c r="AD932" s="8">
        <f t="shared" si="99"/>
        <v>936322.875</v>
      </c>
      <c r="AE932" s="8">
        <f t="shared" si="100"/>
        <v>31210.762500000001</v>
      </c>
      <c r="AF932" s="106">
        <f t="shared" si="101"/>
        <v>30</v>
      </c>
      <c r="AG932" s="8">
        <f t="shared" si="102"/>
        <v>31210.762500000001</v>
      </c>
      <c r="AH932" s="8">
        <f>IF($O932="Aktif",MAX(0,MIN($AE932,$AD932-SUM($AG932:AG932))),0)</f>
        <v>31210.762500000001</v>
      </c>
      <c r="AI932" s="8">
        <f>IF($O932="Aktif",MAX(0,MIN($AE932,$AD932-SUM($AG932:AH932))),0)</f>
        <v>31210.762500000001</v>
      </c>
      <c r="AJ932" s="8">
        <f>IF($O932="Aktif",MAX(0,MIN($AE932,$AD932-SUM($AG932:AI932))),0)</f>
        <v>31210.762500000001</v>
      </c>
      <c r="AK932" s="8">
        <f>IF($O932="Aktif",MAX(0,MIN($AE932,$AD932-SUM($AG932:AJ932))),0)</f>
        <v>31210.762500000001</v>
      </c>
      <c r="AL932" s="8">
        <f>IF($O932="Aktif",MAX(0,MIN($AE932,$AD932-SUM($AG932:AK932))),0)</f>
        <v>31210.762500000001</v>
      </c>
      <c r="AM932" s="8">
        <f>IF($O932="Aktif",MAX(0,MIN($AE932,$AD932-SUM($AG932:AL932))),0)</f>
        <v>31210.762500000001</v>
      </c>
      <c r="AN932" s="8">
        <f>IF($O932="Aktif",MAX(0,MIN($AE932,$AD932-SUM($AG932:AM932))),0)</f>
        <v>31210.762500000001</v>
      </c>
      <c r="AO932" s="8">
        <f>IF($O932="Aktif",MAX(0,MIN($AE932,$AD932-SUM($AG932:AN932))),0)</f>
        <v>31210.762500000001</v>
      </c>
      <c r="AP932" s="8">
        <f>IF($O932="Aktif",MAX(0,MIN($AE932,$AD932-SUM($AG932:AO932))),0)</f>
        <v>31210.762500000001</v>
      </c>
      <c r="AQ932" s="8">
        <f>IF($O932="Aktif",MAX(0,MIN($AE932,$AD932-SUM($AG932:AP932))),0)</f>
        <v>31210.762500000001</v>
      </c>
      <c r="AR932" s="8">
        <f>IF($O932="Aktif",MAX(0,MIN($AE932,$AD932-SUM($AG932:AQ932))),0)</f>
        <v>31210.762500000001</v>
      </c>
      <c r="AS932" s="8">
        <f>IF($O932="Aktif",MAX(0,MIN($AE932,$AD932-SUM($AG932:AR932))),0)</f>
        <v>31210.762500000001</v>
      </c>
      <c r="AT932" s="8">
        <f>IF($O932="Aktif",MAX(0,MIN($AE932,$AD932-SUM($AG932:AS932))),0)</f>
        <v>31210.762500000001</v>
      </c>
      <c r="AU932" s="8">
        <f>IF($O932="Aktif",MAX(0,MIN($AE932,$AD932-SUM($AG932:AT932))),0)</f>
        <v>31210.762500000001</v>
      </c>
      <c r="AV932" s="8">
        <f>IF($O932="Aktif",MAX(0,MIN($AE932,$AD932-SUM($AG932:AU932))),0)</f>
        <v>31210.762500000001</v>
      </c>
      <c r="AW932" s="8">
        <f t="shared" si="103"/>
        <v>499372.20000000013</v>
      </c>
      <c r="AX932" s="8">
        <f t="shared" si="104"/>
        <v>436950.67499999987</v>
      </c>
    </row>
    <row r="933" spans="1:50" ht="15" customHeight="1" x14ac:dyDescent="0.35">
      <c r="A933" s="102">
        <v>927</v>
      </c>
      <c r="B933" s="102" t="s">
        <v>1326</v>
      </c>
      <c r="C933" s="103">
        <v>561</v>
      </c>
      <c r="D933" s="102" t="s">
        <v>185</v>
      </c>
      <c r="E933" s="102" t="s">
        <v>479</v>
      </c>
      <c r="F933" s="102" t="s">
        <v>2332</v>
      </c>
      <c r="G933" s="102" t="s">
        <v>2333</v>
      </c>
      <c r="H933" s="102" t="s">
        <v>2334</v>
      </c>
      <c r="I933" s="102" t="s">
        <v>63</v>
      </c>
      <c r="J933" s="102"/>
      <c r="K933" s="102"/>
      <c r="L933" s="104">
        <v>45722</v>
      </c>
      <c r="M933" s="102" t="s">
        <v>2755</v>
      </c>
      <c r="N933" s="102" t="s">
        <v>2755</v>
      </c>
      <c r="O933" s="102" t="s">
        <v>383</v>
      </c>
      <c r="P933" s="103">
        <v>1</v>
      </c>
      <c r="Q933" s="105">
        <v>1498116.6</v>
      </c>
      <c r="R933" s="103">
        <v>48</v>
      </c>
      <c r="S933" s="105">
        <v>31210.762500000001</v>
      </c>
      <c r="T933" s="105">
        <v>312107.625</v>
      </c>
      <c r="U933" s="105">
        <v>31210.762500000001</v>
      </c>
      <c r="V933" s="105">
        <v>31210.762500000001</v>
      </c>
      <c r="W933" s="105">
        <v>31210.762500000001</v>
      </c>
      <c r="X933" s="105">
        <v>31210.762500000001</v>
      </c>
      <c r="Y933" s="105">
        <v>31210.762500000001</v>
      </c>
      <c r="Z933" s="105">
        <v>31210.762500000001</v>
      </c>
      <c r="AA933" s="105">
        <v>31210.762500000001</v>
      </c>
      <c r="AB933" s="105">
        <v>31210.762500000001</v>
      </c>
      <c r="AC933" s="8">
        <f t="shared" si="98"/>
        <v>561793.72500000009</v>
      </c>
      <c r="AD933" s="8">
        <f t="shared" si="99"/>
        <v>936322.875</v>
      </c>
      <c r="AE933" s="8">
        <f t="shared" si="100"/>
        <v>31210.762500000001</v>
      </c>
      <c r="AF933" s="106">
        <f t="shared" si="101"/>
        <v>30</v>
      </c>
      <c r="AG933" s="8">
        <f t="shared" si="102"/>
        <v>31210.762500000001</v>
      </c>
      <c r="AH933" s="8">
        <f>IF($O933="Aktif",MAX(0,MIN($AE933,$AD933-SUM($AG933:AG933))),0)</f>
        <v>31210.762500000001</v>
      </c>
      <c r="AI933" s="8">
        <f>IF($O933="Aktif",MAX(0,MIN($AE933,$AD933-SUM($AG933:AH933))),0)</f>
        <v>31210.762500000001</v>
      </c>
      <c r="AJ933" s="8">
        <f>IF($O933="Aktif",MAX(0,MIN($AE933,$AD933-SUM($AG933:AI933))),0)</f>
        <v>31210.762500000001</v>
      </c>
      <c r="AK933" s="8">
        <f>IF($O933="Aktif",MAX(0,MIN($AE933,$AD933-SUM($AG933:AJ933))),0)</f>
        <v>31210.762500000001</v>
      </c>
      <c r="AL933" s="8">
        <f>IF($O933="Aktif",MAX(0,MIN($AE933,$AD933-SUM($AG933:AK933))),0)</f>
        <v>31210.762500000001</v>
      </c>
      <c r="AM933" s="8">
        <f>IF($O933="Aktif",MAX(0,MIN($AE933,$AD933-SUM($AG933:AL933))),0)</f>
        <v>31210.762500000001</v>
      </c>
      <c r="AN933" s="8">
        <f>IF($O933="Aktif",MAX(0,MIN($AE933,$AD933-SUM($AG933:AM933))),0)</f>
        <v>31210.762500000001</v>
      </c>
      <c r="AO933" s="8">
        <f>IF($O933="Aktif",MAX(0,MIN($AE933,$AD933-SUM($AG933:AN933))),0)</f>
        <v>31210.762500000001</v>
      </c>
      <c r="AP933" s="8">
        <f>IF($O933="Aktif",MAX(0,MIN($AE933,$AD933-SUM($AG933:AO933))),0)</f>
        <v>31210.762500000001</v>
      </c>
      <c r="AQ933" s="8">
        <f>IF($O933="Aktif",MAX(0,MIN($AE933,$AD933-SUM($AG933:AP933))),0)</f>
        <v>31210.762500000001</v>
      </c>
      <c r="AR933" s="8">
        <f>IF($O933="Aktif",MAX(0,MIN($AE933,$AD933-SUM($AG933:AQ933))),0)</f>
        <v>31210.762500000001</v>
      </c>
      <c r="AS933" s="8">
        <f>IF($O933="Aktif",MAX(0,MIN($AE933,$AD933-SUM($AG933:AR933))),0)</f>
        <v>31210.762500000001</v>
      </c>
      <c r="AT933" s="8">
        <f>IF($O933="Aktif",MAX(0,MIN($AE933,$AD933-SUM($AG933:AS933))),0)</f>
        <v>31210.762500000001</v>
      </c>
      <c r="AU933" s="8">
        <f>IF($O933="Aktif",MAX(0,MIN($AE933,$AD933-SUM($AG933:AT933))),0)</f>
        <v>31210.762500000001</v>
      </c>
      <c r="AV933" s="8">
        <f>IF($O933="Aktif",MAX(0,MIN($AE933,$AD933-SUM($AG933:AU933))),0)</f>
        <v>31210.762500000001</v>
      </c>
      <c r="AW933" s="8">
        <f t="shared" si="103"/>
        <v>499372.20000000013</v>
      </c>
      <c r="AX933" s="8">
        <f t="shared" si="104"/>
        <v>436950.67499999987</v>
      </c>
    </row>
    <row r="934" spans="1:50" ht="15" customHeight="1" x14ac:dyDescent="0.35">
      <c r="A934" s="102">
        <v>928</v>
      </c>
      <c r="B934" s="102" t="s">
        <v>1326</v>
      </c>
      <c r="C934" s="103">
        <v>562</v>
      </c>
      <c r="D934" s="102" t="s">
        <v>185</v>
      </c>
      <c r="E934" s="102" t="s">
        <v>479</v>
      </c>
      <c r="F934" s="102" t="s">
        <v>2332</v>
      </c>
      <c r="G934" s="102" t="s">
        <v>2333</v>
      </c>
      <c r="H934" s="102" t="s">
        <v>2334</v>
      </c>
      <c r="I934" s="102" t="s">
        <v>63</v>
      </c>
      <c r="J934" s="102"/>
      <c r="K934" s="102"/>
      <c r="L934" s="104">
        <v>45731</v>
      </c>
      <c r="M934" s="102" t="s">
        <v>2756</v>
      </c>
      <c r="N934" s="102" t="s">
        <v>2756</v>
      </c>
      <c r="O934" s="102" t="s">
        <v>383</v>
      </c>
      <c r="P934" s="103">
        <v>1</v>
      </c>
      <c r="Q934" s="105">
        <v>1785000</v>
      </c>
      <c r="R934" s="103">
        <v>48</v>
      </c>
      <c r="S934" s="105">
        <v>37187.5</v>
      </c>
      <c r="T934" s="105">
        <v>371875</v>
      </c>
      <c r="U934" s="105">
        <v>37187.5</v>
      </c>
      <c r="V934" s="105">
        <v>37187.5</v>
      </c>
      <c r="W934" s="105">
        <v>37187.5</v>
      </c>
      <c r="X934" s="105">
        <v>37187.5</v>
      </c>
      <c r="Y934" s="105">
        <v>37187.5</v>
      </c>
      <c r="Z934" s="105">
        <v>37187.5</v>
      </c>
      <c r="AA934" s="105">
        <v>37187.5</v>
      </c>
      <c r="AB934" s="105">
        <v>37187.5</v>
      </c>
      <c r="AC934" s="8">
        <f t="shared" si="98"/>
        <v>669375</v>
      </c>
      <c r="AD934" s="8">
        <f t="shared" si="99"/>
        <v>1115625</v>
      </c>
      <c r="AE934" s="8">
        <f t="shared" si="100"/>
        <v>37187.5</v>
      </c>
      <c r="AF934" s="106">
        <f t="shared" si="101"/>
        <v>30</v>
      </c>
      <c r="AG934" s="8">
        <f t="shared" si="102"/>
        <v>37187.5</v>
      </c>
      <c r="AH934" s="8">
        <f>IF($O934="Aktif",MAX(0,MIN($AE934,$AD934-SUM($AG934:AG934))),0)</f>
        <v>37187.5</v>
      </c>
      <c r="AI934" s="8">
        <f>IF($O934="Aktif",MAX(0,MIN($AE934,$AD934-SUM($AG934:AH934))),0)</f>
        <v>37187.5</v>
      </c>
      <c r="AJ934" s="8">
        <f>IF($O934="Aktif",MAX(0,MIN($AE934,$AD934-SUM($AG934:AI934))),0)</f>
        <v>37187.5</v>
      </c>
      <c r="AK934" s="8">
        <f>IF($O934="Aktif",MAX(0,MIN($AE934,$AD934-SUM($AG934:AJ934))),0)</f>
        <v>37187.5</v>
      </c>
      <c r="AL934" s="8">
        <f>IF($O934="Aktif",MAX(0,MIN($AE934,$AD934-SUM($AG934:AK934))),0)</f>
        <v>37187.5</v>
      </c>
      <c r="AM934" s="8">
        <f>IF($O934="Aktif",MAX(0,MIN($AE934,$AD934-SUM($AG934:AL934))),0)</f>
        <v>37187.5</v>
      </c>
      <c r="AN934" s="8">
        <f>IF($O934="Aktif",MAX(0,MIN($AE934,$AD934-SUM($AG934:AM934))),0)</f>
        <v>37187.5</v>
      </c>
      <c r="AO934" s="8">
        <f>IF($O934="Aktif",MAX(0,MIN($AE934,$AD934-SUM($AG934:AN934))),0)</f>
        <v>37187.5</v>
      </c>
      <c r="AP934" s="8">
        <f>IF($O934="Aktif",MAX(0,MIN($AE934,$AD934-SUM($AG934:AO934))),0)</f>
        <v>37187.5</v>
      </c>
      <c r="AQ934" s="8">
        <f>IF($O934="Aktif",MAX(0,MIN($AE934,$AD934-SUM($AG934:AP934))),0)</f>
        <v>37187.5</v>
      </c>
      <c r="AR934" s="8">
        <f>IF($O934="Aktif",MAX(0,MIN($AE934,$AD934-SUM($AG934:AQ934))),0)</f>
        <v>37187.5</v>
      </c>
      <c r="AS934" s="8">
        <f>IF($O934="Aktif",MAX(0,MIN($AE934,$AD934-SUM($AG934:AR934))),0)</f>
        <v>37187.5</v>
      </c>
      <c r="AT934" s="8">
        <f>IF($O934="Aktif",MAX(0,MIN($AE934,$AD934-SUM($AG934:AS934))),0)</f>
        <v>37187.5</v>
      </c>
      <c r="AU934" s="8">
        <f>IF($O934="Aktif",MAX(0,MIN($AE934,$AD934-SUM($AG934:AT934))),0)</f>
        <v>37187.5</v>
      </c>
      <c r="AV934" s="8">
        <f>IF($O934="Aktif",MAX(0,MIN($AE934,$AD934-SUM($AG934:AU934))),0)</f>
        <v>37187.5</v>
      </c>
      <c r="AW934" s="8">
        <f t="shared" si="103"/>
        <v>595000</v>
      </c>
      <c r="AX934" s="8">
        <f t="shared" si="104"/>
        <v>520625</v>
      </c>
    </row>
    <row r="935" spans="1:50" ht="15" customHeight="1" x14ac:dyDescent="0.35">
      <c r="A935" s="102">
        <v>929</v>
      </c>
      <c r="B935" s="102" t="s">
        <v>1326</v>
      </c>
      <c r="C935" s="103">
        <v>563</v>
      </c>
      <c r="D935" s="102" t="s">
        <v>185</v>
      </c>
      <c r="E935" s="102" t="s">
        <v>479</v>
      </c>
      <c r="F935" s="102" t="s">
        <v>2332</v>
      </c>
      <c r="G935" s="102" t="s">
        <v>2333</v>
      </c>
      <c r="H935" s="102" t="s">
        <v>2334</v>
      </c>
      <c r="I935" s="102" t="s">
        <v>63</v>
      </c>
      <c r="J935" s="102"/>
      <c r="K935" s="102"/>
      <c r="L935" s="104">
        <v>45731</v>
      </c>
      <c r="M935" s="102" t="s">
        <v>2757</v>
      </c>
      <c r="N935" s="102" t="s">
        <v>2757</v>
      </c>
      <c r="O935" s="102" t="s">
        <v>383</v>
      </c>
      <c r="P935" s="103">
        <v>1</v>
      </c>
      <c r="Q935" s="105">
        <v>1785000</v>
      </c>
      <c r="R935" s="103">
        <v>48</v>
      </c>
      <c r="S935" s="105">
        <v>37187.5</v>
      </c>
      <c r="T935" s="105">
        <v>371875</v>
      </c>
      <c r="U935" s="105">
        <v>37187.5</v>
      </c>
      <c r="V935" s="105">
        <v>37187.5</v>
      </c>
      <c r="W935" s="105">
        <v>37187.5</v>
      </c>
      <c r="X935" s="105">
        <v>37187.5</v>
      </c>
      <c r="Y935" s="105">
        <v>37187.5</v>
      </c>
      <c r="Z935" s="105">
        <v>37187.5</v>
      </c>
      <c r="AA935" s="105">
        <v>37187.5</v>
      </c>
      <c r="AB935" s="105">
        <v>37187.5</v>
      </c>
      <c r="AC935" s="8">
        <f t="shared" si="98"/>
        <v>669375</v>
      </c>
      <c r="AD935" s="8">
        <f t="shared" si="99"/>
        <v>1115625</v>
      </c>
      <c r="AE935" s="8">
        <f t="shared" si="100"/>
        <v>37187.5</v>
      </c>
      <c r="AF935" s="106">
        <f t="shared" si="101"/>
        <v>30</v>
      </c>
      <c r="AG935" s="8">
        <f t="shared" si="102"/>
        <v>37187.5</v>
      </c>
      <c r="AH935" s="8">
        <f>IF($O935="Aktif",MAX(0,MIN($AE935,$AD935-SUM($AG935:AG935))),0)</f>
        <v>37187.5</v>
      </c>
      <c r="AI935" s="8">
        <f>IF($O935="Aktif",MAX(0,MIN($AE935,$AD935-SUM($AG935:AH935))),0)</f>
        <v>37187.5</v>
      </c>
      <c r="AJ935" s="8">
        <f>IF($O935="Aktif",MAX(0,MIN($AE935,$AD935-SUM($AG935:AI935))),0)</f>
        <v>37187.5</v>
      </c>
      <c r="AK935" s="8">
        <f>IF($O935="Aktif",MAX(0,MIN($AE935,$AD935-SUM($AG935:AJ935))),0)</f>
        <v>37187.5</v>
      </c>
      <c r="AL935" s="8">
        <f>IF($O935="Aktif",MAX(0,MIN($AE935,$AD935-SUM($AG935:AK935))),0)</f>
        <v>37187.5</v>
      </c>
      <c r="AM935" s="8">
        <f>IF($O935="Aktif",MAX(0,MIN($AE935,$AD935-SUM($AG935:AL935))),0)</f>
        <v>37187.5</v>
      </c>
      <c r="AN935" s="8">
        <f>IF($O935="Aktif",MAX(0,MIN($AE935,$AD935-SUM($AG935:AM935))),0)</f>
        <v>37187.5</v>
      </c>
      <c r="AO935" s="8">
        <f>IF($O935="Aktif",MAX(0,MIN($AE935,$AD935-SUM($AG935:AN935))),0)</f>
        <v>37187.5</v>
      </c>
      <c r="AP935" s="8">
        <f>IF($O935="Aktif",MAX(0,MIN($AE935,$AD935-SUM($AG935:AO935))),0)</f>
        <v>37187.5</v>
      </c>
      <c r="AQ935" s="8">
        <f>IF($O935="Aktif",MAX(0,MIN($AE935,$AD935-SUM($AG935:AP935))),0)</f>
        <v>37187.5</v>
      </c>
      <c r="AR935" s="8">
        <f>IF($O935="Aktif",MAX(0,MIN($AE935,$AD935-SUM($AG935:AQ935))),0)</f>
        <v>37187.5</v>
      </c>
      <c r="AS935" s="8">
        <f>IF($O935="Aktif",MAX(0,MIN($AE935,$AD935-SUM($AG935:AR935))),0)</f>
        <v>37187.5</v>
      </c>
      <c r="AT935" s="8">
        <f>IF($O935="Aktif",MAX(0,MIN($AE935,$AD935-SUM($AG935:AS935))),0)</f>
        <v>37187.5</v>
      </c>
      <c r="AU935" s="8">
        <f>IF($O935="Aktif",MAX(0,MIN($AE935,$AD935-SUM($AG935:AT935))),0)</f>
        <v>37187.5</v>
      </c>
      <c r="AV935" s="8">
        <f>IF($O935="Aktif",MAX(0,MIN($AE935,$AD935-SUM($AG935:AU935))),0)</f>
        <v>37187.5</v>
      </c>
      <c r="AW935" s="8">
        <f t="shared" si="103"/>
        <v>595000</v>
      </c>
      <c r="AX935" s="8">
        <f t="shared" si="104"/>
        <v>520625</v>
      </c>
    </row>
    <row r="936" spans="1:50" ht="15" customHeight="1" x14ac:dyDescent="0.35">
      <c r="A936" s="102">
        <v>930</v>
      </c>
      <c r="B936" s="102" t="s">
        <v>1326</v>
      </c>
      <c r="C936" s="103">
        <v>564</v>
      </c>
      <c r="D936" s="102" t="s">
        <v>185</v>
      </c>
      <c r="E936" s="102" t="s">
        <v>540</v>
      </c>
      <c r="F936" s="102" t="s">
        <v>2283</v>
      </c>
      <c r="G936" s="102" t="s">
        <v>2284</v>
      </c>
      <c r="H936" s="102" t="s">
        <v>2285</v>
      </c>
      <c r="I936" s="102" t="s">
        <v>63</v>
      </c>
      <c r="J936" s="102"/>
      <c r="K936" s="102"/>
      <c r="L936" s="104">
        <v>45762</v>
      </c>
      <c r="M936" s="102" t="s">
        <v>2758</v>
      </c>
      <c r="N936" s="102" t="s">
        <v>2758</v>
      </c>
      <c r="O936" s="102" t="s">
        <v>383</v>
      </c>
      <c r="P936" s="103">
        <v>1</v>
      </c>
      <c r="Q936" s="105">
        <v>6500000</v>
      </c>
      <c r="R936" s="103">
        <v>96</v>
      </c>
      <c r="S936" s="105">
        <v>67708.333333333299</v>
      </c>
      <c r="T936" s="105">
        <v>609375</v>
      </c>
      <c r="U936" s="105">
        <v>67708.333333333299</v>
      </c>
      <c r="V936" s="105">
        <v>67708.333333333299</v>
      </c>
      <c r="W936" s="105">
        <v>67708.333333333299</v>
      </c>
      <c r="X936" s="105">
        <v>67708.333333333299</v>
      </c>
      <c r="Y936" s="105">
        <v>67708.333333333299</v>
      </c>
      <c r="Z936" s="105">
        <v>67708.333333333299</v>
      </c>
      <c r="AA936" s="105">
        <v>67708.333333333299</v>
      </c>
      <c r="AB936" s="105">
        <v>67708.333333333299</v>
      </c>
      <c r="AC936" s="8">
        <f t="shared" si="98"/>
        <v>1151041.6666666665</v>
      </c>
      <c r="AD936" s="8">
        <f t="shared" si="99"/>
        <v>5348958.333333334</v>
      </c>
      <c r="AE936" s="8">
        <f t="shared" si="100"/>
        <v>67708.333333333299</v>
      </c>
      <c r="AF936" s="106">
        <f t="shared" si="101"/>
        <v>79.000000000000043</v>
      </c>
      <c r="AG936" s="8">
        <f t="shared" si="102"/>
        <v>67708.333333333299</v>
      </c>
      <c r="AH936" s="8">
        <f>IF($O936="Aktif",MAX(0,MIN($AE936,$AD936-SUM($AG936:AG936))),0)</f>
        <v>67708.333333333299</v>
      </c>
      <c r="AI936" s="8">
        <f>IF($O936="Aktif",MAX(0,MIN($AE936,$AD936-SUM($AG936:AH936))),0)</f>
        <v>67708.333333333299</v>
      </c>
      <c r="AJ936" s="8">
        <f>IF($O936="Aktif",MAX(0,MIN($AE936,$AD936-SUM($AG936:AI936))),0)</f>
        <v>67708.333333333299</v>
      </c>
      <c r="AK936" s="8">
        <f>IF($O936="Aktif",MAX(0,MIN($AE936,$AD936-SUM($AG936:AJ936))),0)</f>
        <v>67708.333333333299</v>
      </c>
      <c r="AL936" s="8">
        <f>IF($O936="Aktif",MAX(0,MIN($AE936,$AD936-SUM($AG936:AK936))),0)</f>
        <v>67708.333333333299</v>
      </c>
      <c r="AM936" s="8">
        <f>IF($O936="Aktif",MAX(0,MIN($AE936,$AD936-SUM($AG936:AL936))),0)</f>
        <v>67708.333333333299</v>
      </c>
      <c r="AN936" s="8">
        <f>IF($O936="Aktif",MAX(0,MIN($AE936,$AD936-SUM($AG936:AM936))),0)</f>
        <v>67708.333333333299</v>
      </c>
      <c r="AO936" s="8">
        <f>IF($O936="Aktif",MAX(0,MIN($AE936,$AD936-SUM($AG936:AN936))),0)</f>
        <v>67708.333333333299</v>
      </c>
      <c r="AP936" s="8">
        <f>IF($O936="Aktif",MAX(0,MIN($AE936,$AD936-SUM($AG936:AO936))),0)</f>
        <v>67708.333333333299</v>
      </c>
      <c r="AQ936" s="8">
        <f>IF($O936="Aktif",MAX(0,MIN($AE936,$AD936-SUM($AG936:AP936))),0)</f>
        <v>67708.333333333299</v>
      </c>
      <c r="AR936" s="8">
        <f>IF($O936="Aktif",MAX(0,MIN($AE936,$AD936-SUM($AG936:AQ936))),0)</f>
        <v>67708.333333333299</v>
      </c>
      <c r="AS936" s="8">
        <f>IF($O936="Aktif",MAX(0,MIN($AE936,$AD936-SUM($AG936:AR936))),0)</f>
        <v>67708.333333333299</v>
      </c>
      <c r="AT936" s="8">
        <f>IF($O936="Aktif",MAX(0,MIN($AE936,$AD936-SUM($AG936:AS936))),0)</f>
        <v>67708.333333333299</v>
      </c>
      <c r="AU936" s="8">
        <f>IF($O936="Aktif",MAX(0,MIN($AE936,$AD936-SUM($AG936:AT936))),0)</f>
        <v>67708.333333333299</v>
      </c>
      <c r="AV936" s="8">
        <f>IF($O936="Aktif",MAX(0,MIN($AE936,$AD936-SUM($AG936:AU936))),0)</f>
        <v>67708.333333333299</v>
      </c>
      <c r="AW936" s="8">
        <f t="shared" si="103"/>
        <v>1083333.3333333326</v>
      </c>
      <c r="AX936" s="8">
        <f t="shared" si="104"/>
        <v>4265625.0000000019</v>
      </c>
    </row>
    <row r="937" spans="1:50" ht="15" customHeight="1" x14ac:dyDescent="0.35">
      <c r="A937" s="102">
        <v>931</v>
      </c>
      <c r="B937" s="102" t="s">
        <v>1326</v>
      </c>
      <c r="C937" s="103">
        <v>565</v>
      </c>
      <c r="D937" s="102" t="s">
        <v>185</v>
      </c>
      <c r="E937" s="102" t="s">
        <v>479</v>
      </c>
      <c r="F937" s="102" t="s">
        <v>2332</v>
      </c>
      <c r="G937" s="102" t="s">
        <v>2333</v>
      </c>
      <c r="H937" s="102" t="s">
        <v>2334</v>
      </c>
      <c r="I937" s="102" t="s">
        <v>63</v>
      </c>
      <c r="J937" s="102"/>
      <c r="K937" s="102"/>
      <c r="L937" s="104">
        <v>45785</v>
      </c>
      <c r="M937" s="102" t="s">
        <v>2759</v>
      </c>
      <c r="N937" s="102" t="s">
        <v>2759</v>
      </c>
      <c r="O937" s="102" t="s">
        <v>383</v>
      </c>
      <c r="P937" s="103">
        <v>1</v>
      </c>
      <c r="Q937" s="105">
        <v>9000000</v>
      </c>
      <c r="R937" s="103">
        <v>48</v>
      </c>
      <c r="S937" s="105">
        <v>187500</v>
      </c>
      <c r="T937" s="105">
        <v>1500000</v>
      </c>
      <c r="U937" s="105">
        <v>187500</v>
      </c>
      <c r="V937" s="105">
        <v>187500</v>
      </c>
      <c r="W937" s="105">
        <v>187500</v>
      </c>
      <c r="X937" s="105">
        <v>187500</v>
      </c>
      <c r="Y937" s="105">
        <v>187500</v>
      </c>
      <c r="Z937" s="105">
        <v>187500</v>
      </c>
      <c r="AA937" s="105">
        <v>187500</v>
      </c>
      <c r="AB937" s="105">
        <v>187500</v>
      </c>
      <c r="AC937" s="8">
        <f t="shared" si="98"/>
        <v>3000000</v>
      </c>
      <c r="AD937" s="8">
        <f t="shared" si="99"/>
        <v>6000000</v>
      </c>
      <c r="AE937" s="8">
        <f t="shared" si="100"/>
        <v>187500</v>
      </c>
      <c r="AF937" s="106">
        <f t="shared" si="101"/>
        <v>32</v>
      </c>
      <c r="AG937" s="8">
        <f t="shared" si="102"/>
        <v>187500</v>
      </c>
      <c r="AH937" s="8">
        <f>IF($O937="Aktif",MAX(0,MIN($AE937,$AD937-SUM($AG937:AG937))),0)</f>
        <v>187500</v>
      </c>
      <c r="AI937" s="8">
        <f>IF($O937="Aktif",MAX(0,MIN($AE937,$AD937-SUM($AG937:AH937))),0)</f>
        <v>187500</v>
      </c>
      <c r="AJ937" s="8">
        <f>IF($O937="Aktif",MAX(0,MIN($AE937,$AD937-SUM($AG937:AI937))),0)</f>
        <v>187500</v>
      </c>
      <c r="AK937" s="8">
        <f>IF($O937="Aktif",MAX(0,MIN($AE937,$AD937-SUM($AG937:AJ937))),0)</f>
        <v>187500</v>
      </c>
      <c r="AL937" s="8">
        <f>IF($O937="Aktif",MAX(0,MIN($AE937,$AD937-SUM($AG937:AK937))),0)</f>
        <v>187500</v>
      </c>
      <c r="AM937" s="8">
        <f>IF($O937="Aktif",MAX(0,MIN($AE937,$AD937-SUM($AG937:AL937))),0)</f>
        <v>187500</v>
      </c>
      <c r="AN937" s="8">
        <f>IF($O937="Aktif",MAX(0,MIN($AE937,$AD937-SUM($AG937:AM937))),0)</f>
        <v>187500</v>
      </c>
      <c r="AO937" s="8">
        <f>IF($O937="Aktif",MAX(0,MIN($AE937,$AD937-SUM($AG937:AN937))),0)</f>
        <v>187500</v>
      </c>
      <c r="AP937" s="8">
        <f>IF($O937="Aktif",MAX(0,MIN($AE937,$AD937-SUM($AG937:AO937))),0)</f>
        <v>187500</v>
      </c>
      <c r="AQ937" s="8">
        <f>IF($O937="Aktif",MAX(0,MIN($AE937,$AD937-SUM($AG937:AP937))),0)</f>
        <v>187500</v>
      </c>
      <c r="AR937" s="8">
        <f>IF($O937="Aktif",MAX(0,MIN($AE937,$AD937-SUM($AG937:AQ937))),0)</f>
        <v>187500</v>
      </c>
      <c r="AS937" s="8">
        <f>IF($O937="Aktif",MAX(0,MIN($AE937,$AD937-SUM($AG937:AR937))),0)</f>
        <v>187500</v>
      </c>
      <c r="AT937" s="8">
        <f>IF($O937="Aktif",MAX(0,MIN($AE937,$AD937-SUM($AG937:AS937))),0)</f>
        <v>187500</v>
      </c>
      <c r="AU937" s="8">
        <f>IF($O937="Aktif",MAX(0,MIN($AE937,$AD937-SUM($AG937:AT937))),0)</f>
        <v>187500</v>
      </c>
      <c r="AV937" s="8">
        <f>IF($O937="Aktif",MAX(0,MIN($AE937,$AD937-SUM($AG937:AU937))),0)</f>
        <v>187500</v>
      </c>
      <c r="AW937" s="8">
        <f t="shared" si="103"/>
        <v>3000000</v>
      </c>
      <c r="AX937" s="8">
        <f t="shared" si="104"/>
        <v>3000000</v>
      </c>
    </row>
    <row r="938" spans="1:50" ht="15" customHeight="1" x14ac:dyDescent="0.35">
      <c r="A938" s="102">
        <v>932</v>
      </c>
      <c r="B938" s="102" t="s">
        <v>1326</v>
      </c>
      <c r="C938" s="103">
        <v>566</v>
      </c>
      <c r="D938" s="102" t="s">
        <v>185</v>
      </c>
      <c r="E938" s="102" t="s">
        <v>479</v>
      </c>
      <c r="F938" s="102" t="s">
        <v>2332</v>
      </c>
      <c r="G938" s="102" t="s">
        <v>2333</v>
      </c>
      <c r="H938" s="102" t="s">
        <v>2334</v>
      </c>
      <c r="I938" s="102" t="s">
        <v>63</v>
      </c>
      <c r="J938" s="102"/>
      <c r="K938" s="102"/>
      <c r="L938" s="104">
        <v>45792</v>
      </c>
      <c r="M938" s="102" t="s">
        <v>2760</v>
      </c>
      <c r="N938" s="102" t="s">
        <v>2760</v>
      </c>
      <c r="O938" s="102" t="s">
        <v>383</v>
      </c>
      <c r="P938" s="103">
        <v>1</v>
      </c>
      <c r="Q938" s="105">
        <v>2200000</v>
      </c>
      <c r="R938" s="103">
        <v>48</v>
      </c>
      <c r="S938" s="105">
        <v>45833.333333333299</v>
      </c>
      <c r="T938" s="105">
        <v>366666.66666666698</v>
      </c>
      <c r="U938" s="105">
        <v>45833.333333333299</v>
      </c>
      <c r="V938" s="105">
        <v>45833.333333333299</v>
      </c>
      <c r="W938" s="105">
        <v>45833.333333333299</v>
      </c>
      <c r="X938" s="105">
        <v>45833.333333333299</v>
      </c>
      <c r="Y938" s="105">
        <v>45833.333333333299</v>
      </c>
      <c r="Z938" s="105">
        <v>45833.333333333299</v>
      </c>
      <c r="AA938" s="105">
        <v>45833.333333333299</v>
      </c>
      <c r="AB938" s="105">
        <v>45833.333333333299</v>
      </c>
      <c r="AC938" s="8">
        <f t="shared" si="98"/>
        <v>733333.33333333349</v>
      </c>
      <c r="AD938" s="8">
        <f t="shared" si="99"/>
        <v>1466666.6666666665</v>
      </c>
      <c r="AE938" s="8">
        <f t="shared" si="100"/>
        <v>45833.333333333299</v>
      </c>
      <c r="AF938" s="106">
        <f t="shared" si="101"/>
        <v>32.000000000000021</v>
      </c>
      <c r="AG938" s="8">
        <f t="shared" si="102"/>
        <v>45833.333333333299</v>
      </c>
      <c r="AH938" s="8">
        <f>IF($O938="Aktif",MAX(0,MIN($AE938,$AD938-SUM($AG938:AG938))),0)</f>
        <v>45833.333333333299</v>
      </c>
      <c r="AI938" s="8">
        <f>IF($O938="Aktif",MAX(0,MIN($AE938,$AD938-SUM($AG938:AH938))),0)</f>
        <v>45833.333333333299</v>
      </c>
      <c r="AJ938" s="8">
        <f>IF($O938="Aktif",MAX(0,MIN($AE938,$AD938-SUM($AG938:AI938))),0)</f>
        <v>45833.333333333299</v>
      </c>
      <c r="AK938" s="8">
        <f>IF($O938="Aktif",MAX(0,MIN($AE938,$AD938-SUM($AG938:AJ938))),0)</f>
        <v>45833.333333333299</v>
      </c>
      <c r="AL938" s="8">
        <f>IF($O938="Aktif",MAX(0,MIN($AE938,$AD938-SUM($AG938:AK938))),0)</f>
        <v>45833.333333333299</v>
      </c>
      <c r="AM938" s="8">
        <f>IF($O938="Aktif",MAX(0,MIN($AE938,$AD938-SUM($AG938:AL938))),0)</f>
        <v>45833.333333333299</v>
      </c>
      <c r="AN938" s="8">
        <f>IF($O938="Aktif",MAX(0,MIN($AE938,$AD938-SUM($AG938:AM938))),0)</f>
        <v>45833.333333333299</v>
      </c>
      <c r="AO938" s="8">
        <f>IF($O938="Aktif",MAX(0,MIN($AE938,$AD938-SUM($AG938:AN938))),0)</f>
        <v>45833.333333333299</v>
      </c>
      <c r="AP938" s="8">
        <f>IF($O938="Aktif",MAX(0,MIN($AE938,$AD938-SUM($AG938:AO938))),0)</f>
        <v>45833.333333333299</v>
      </c>
      <c r="AQ938" s="8">
        <f>IF($O938="Aktif",MAX(0,MIN($AE938,$AD938-SUM($AG938:AP938))),0)</f>
        <v>45833.333333333299</v>
      </c>
      <c r="AR938" s="8">
        <f>IF($O938="Aktif",MAX(0,MIN($AE938,$AD938-SUM($AG938:AQ938))),0)</f>
        <v>45833.333333333299</v>
      </c>
      <c r="AS938" s="8">
        <f>IF($O938="Aktif",MAX(0,MIN($AE938,$AD938-SUM($AG938:AR938))),0)</f>
        <v>45833.333333333299</v>
      </c>
      <c r="AT938" s="8">
        <f>IF($O938="Aktif",MAX(0,MIN($AE938,$AD938-SUM($AG938:AS938))),0)</f>
        <v>45833.333333333299</v>
      </c>
      <c r="AU938" s="8">
        <f>IF($O938="Aktif",MAX(0,MIN($AE938,$AD938-SUM($AG938:AT938))),0)</f>
        <v>45833.333333333299</v>
      </c>
      <c r="AV938" s="8">
        <f>IF($O938="Aktif",MAX(0,MIN($AE938,$AD938-SUM($AG938:AU938))),0)</f>
        <v>45833.333333333299</v>
      </c>
      <c r="AW938" s="8">
        <f t="shared" si="103"/>
        <v>733333.33333333267</v>
      </c>
      <c r="AX938" s="8">
        <f t="shared" si="104"/>
        <v>733333.33333333384</v>
      </c>
    </row>
    <row r="939" spans="1:50" ht="15" customHeight="1" x14ac:dyDescent="0.35">
      <c r="A939" s="102">
        <v>933</v>
      </c>
      <c r="B939" s="102" t="s">
        <v>1326</v>
      </c>
      <c r="C939" s="103">
        <v>567</v>
      </c>
      <c r="D939" s="102" t="s">
        <v>185</v>
      </c>
      <c r="E939" s="102" t="s">
        <v>479</v>
      </c>
      <c r="F939" s="102" t="s">
        <v>2332</v>
      </c>
      <c r="G939" s="102" t="s">
        <v>2333</v>
      </c>
      <c r="H939" s="102" t="s">
        <v>2334</v>
      </c>
      <c r="I939" s="102" t="s">
        <v>63</v>
      </c>
      <c r="J939" s="102"/>
      <c r="K939" s="102"/>
      <c r="L939" s="104">
        <v>45792</v>
      </c>
      <c r="M939" s="102" t="s">
        <v>2761</v>
      </c>
      <c r="N939" s="102" t="s">
        <v>2761</v>
      </c>
      <c r="O939" s="102" t="s">
        <v>383</v>
      </c>
      <c r="P939" s="103">
        <v>1</v>
      </c>
      <c r="Q939" s="105">
        <v>2200000</v>
      </c>
      <c r="R939" s="103">
        <v>48</v>
      </c>
      <c r="S939" s="105">
        <v>45833.333333333299</v>
      </c>
      <c r="T939" s="105">
        <v>366666.66666666698</v>
      </c>
      <c r="U939" s="105">
        <v>45833.333333333299</v>
      </c>
      <c r="V939" s="105">
        <v>45833.333333333299</v>
      </c>
      <c r="W939" s="105">
        <v>45833.333333333299</v>
      </c>
      <c r="X939" s="105">
        <v>45833.333333333299</v>
      </c>
      <c r="Y939" s="105">
        <v>45833.333333333299</v>
      </c>
      <c r="Z939" s="105">
        <v>45833.333333333299</v>
      </c>
      <c r="AA939" s="105">
        <v>45833.333333333299</v>
      </c>
      <c r="AB939" s="105">
        <v>45833.333333333299</v>
      </c>
      <c r="AC939" s="8">
        <f t="shared" si="98"/>
        <v>733333.33333333349</v>
      </c>
      <c r="AD939" s="8">
        <f t="shared" si="99"/>
        <v>1466666.6666666665</v>
      </c>
      <c r="AE939" s="8">
        <f t="shared" si="100"/>
        <v>45833.333333333299</v>
      </c>
      <c r="AF939" s="106">
        <f t="shared" si="101"/>
        <v>32.000000000000021</v>
      </c>
      <c r="AG939" s="8">
        <f t="shared" si="102"/>
        <v>45833.333333333299</v>
      </c>
      <c r="AH939" s="8">
        <f>IF($O939="Aktif",MAX(0,MIN($AE939,$AD939-SUM($AG939:AG939))),0)</f>
        <v>45833.333333333299</v>
      </c>
      <c r="AI939" s="8">
        <f>IF($O939="Aktif",MAX(0,MIN($AE939,$AD939-SUM($AG939:AH939))),0)</f>
        <v>45833.333333333299</v>
      </c>
      <c r="AJ939" s="8">
        <f>IF($O939="Aktif",MAX(0,MIN($AE939,$AD939-SUM($AG939:AI939))),0)</f>
        <v>45833.333333333299</v>
      </c>
      <c r="AK939" s="8">
        <f>IF($O939="Aktif",MAX(0,MIN($AE939,$AD939-SUM($AG939:AJ939))),0)</f>
        <v>45833.333333333299</v>
      </c>
      <c r="AL939" s="8">
        <f>IF($O939="Aktif",MAX(0,MIN($AE939,$AD939-SUM($AG939:AK939))),0)</f>
        <v>45833.333333333299</v>
      </c>
      <c r="AM939" s="8">
        <f>IF($O939="Aktif",MAX(0,MIN($AE939,$AD939-SUM($AG939:AL939))),0)</f>
        <v>45833.333333333299</v>
      </c>
      <c r="AN939" s="8">
        <f>IF($O939="Aktif",MAX(0,MIN($AE939,$AD939-SUM($AG939:AM939))),0)</f>
        <v>45833.333333333299</v>
      </c>
      <c r="AO939" s="8">
        <f>IF($O939="Aktif",MAX(0,MIN($AE939,$AD939-SUM($AG939:AN939))),0)</f>
        <v>45833.333333333299</v>
      </c>
      <c r="AP939" s="8">
        <f>IF($O939="Aktif",MAX(0,MIN($AE939,$AD939-SUM($AG939:AO939))),0)</f>
        <v>45833.333333333299</v>
      </c>
      <c r="AQ939" s="8">
        <f>IF($O939="Aktif",MAX(0,MIN($AE939,$AD939-SUM($AG939:AP939))),0)</f>
        <v>45833.333333333299</v>
      </c>
      <c r="AR939" s="8">
        <f>IF($O939="Aktif",MAX(0,MIN($AE939,$AD939-SUM($AG939:AQ939))),0)</f>
        <v>45833.333333333299</v>
      </c>
      <c r="AS939" s="8">
        <f>IF($O939="Aktif",MAX(0,MIN($AE939,$AD939-SUM($AG939:AR939))),0)</f>
        <v>45833.333333333299</v>
      </c>
      <c r="AT939" s="8">
        <f>IF($O939="Aktif",MAX(0,MIN($AE939,$AD939-SUM($AG939:AS939))),0)</f>
        <v>45833.333333333299</v>
      </c>
      <c r="AU939" s="8">
        <f>IF($O939="Aktif",MAX(0,MIN($AE939,$AD939-SUM($AG939:AT939))),0)</f>
        <v>45833.333333333299</v>
      </c>
      <c r="AV939" s="8">
        <f>IF($O939="Aktif",MAX(0,MIN($AE939,$AD939-SUM($AG939:AU939))),0)</f>
        <v>45833.333333333299</v>
      </c>
      <c r="AW939" s="8">
        <f t="shared" si="103"/>
        <v>733333.33333333267</v>
      </c>
      <c r="AX939" s="8">
        <f t="shared" si="104"/>
        <v>733333.33333333384</v>
      </c>
    </row>
    <row r="940" spans="1:50" ht="15" customHeight="1" x14ac:dyDescent="0.35">
      <c r="A940" s="102">
        <v>934</v>
      </c>
      <c r="B940" s="102" t="s">
        <v>1326</v>
      </c>
      <c r="C940" s="103">
        <v>568</v>
      </c>
      <c r="D940" s="102" t="s">
        <v>185</v>
      </c>
      <c r="E940" s="102" t="s">
        <v>479</v>
      </c>
      <c r="F940" s="102" t="s">
        <v>2332</v>
      </c>
      <c r="G940" s="102" t="s">
        <v>2333</v>
      </c>
      <c r="H940" s="102" t="s">
        <v>2334</v>
      </c>
      <c r="I940" s="102" t="s">
        <v>63</v>
      </c>
      <c r="J940" s="102"/>
      <c r="K940" s="102"/>
      <c r="L940" s="104">
        <v>45792</v>
      </c>
      <c r="M940" s="102" t="s">
        <v>2762</v>
      </c>
      <c r="N940" s="102" t="s">
        <v>2762</v>
      </c>
      <c r="O940" s="102" t="s">
        <v>383</v>
      </c>
      <c r="P940" s="103">
        <v>1</v>
      </c>
      <c r="Q940" s="105">
        <v>2200000</v>
      </c>
      <c r="R940" s="103">
        <v>48</v>
      </c>
      <c r="S940" s="105">
        <v>45833.333333333299</v>
      </c>
      <c r="T940" s="105">
        <v>366666.66666666698</v>
      </c>
      <c r="U940" s="105">
        <v>45833.333333333299</v>
      </c>
      <c r="V940" s="105">
        <v>45833.333333333299</v>
      </c>
      <c r="W940" s="105">
        <v>45833.333333333299</v>
      </c>
      <c r="X940" s="105">
        <v>45833.333333333299</v>
      </c>
      <c r="Y940" s="105">
        <v>45833.333333333299</v>
      </c>
      <c r="Z940" s="105">
        <v>45833.333333333299</v>
      </c>
      <c r="AA940" s="105">
        <v>45833.333333333299</v>
      </c>
      <c r="AB940" s="105">
        <v>45833.333333333299</v>
      </c>
      <c r="AC940" s="8">
        <f t="shared" si="98"/>
        <v>733333.33333333349</v>
      </c>
      <c r="AD940" s="8">
        <f t="shared" si="99"/>
        <v>1466666.6666666665</v>
      </c>
      <c r="AE940" s="8">
        <f t="shared" si="100"/>
        <v>45833.333333333299</v>
      </c>
      <c r="AF940" s="106">
        <f t="shared" si="101"/>
        <v>32.000000000000021</v>
      </c>
      <c r="AG940" s="8">
        <f t="shared" si="102"/>
        <v>45833.333333333299</v>
      </c>
      <c r="AH940" s="8">
        <f>IF($O940="Aktif",MAX(0,MIN($AE940,$AD940-SUM($AG940:AG940))),0)</f>
        <v>45833.333333333299</v>
      </c>
      <c r="AI940" s="8">
        <f>IF($O940="Aktif",MAX(0,MIN($AE940,$AD940-SUM($AG940:AH940))),0)</f>
        <v>45833.333333333299</v>
      </c>
      <c r="AJ940" s="8">
        <f>IF($O940="Aktif",MAX(0,MIN($AE940,$AD940-SUM($AG940:AI940))),0)</f>
        <v>45833.333333333299</v>
      </c>
      <c r="AK940" s="8">
        <f>IF($O940="Aktif",MAX(0,MIN($AE940,$AD940-SUM($AG940:AJ940))),0)</f>
        <v>45833.333333333299</v>
      </c>
      <c r="AL940" s="8">
        <f>IF($O940="Aktif",MAX(0,MIN($AE940,$AD940-SUM($AG940:AK940))),0)</f>
        <v>45833.333333333299</v>
      </c>
      <c r="AM940" s="8">
        <f>IF($O940="Aktif",MAX(0,MIN($AE940,$AD940-SUM($AG940:AL940))),0)</f>
        <v>45833.333333333299</v>
      </c>
      <c r="AN940" s="8">
        <f>IF($O940="Aktif",MAX(0,MIN($AE940,$AD940-SUM($AG940:AM940))),0)</f>
        <v>45833.333333333299</v>
      </c>
      <c r="AO940" s="8">
        <f>IF($O940="Aktif",MAX(0,MIN($AE940,$AD940-SUM($AG940:AN940))),0)</f>
        <v>45833.333333333299</v>
      </c>
      <c r="AP940" s="8">
        <f>IF($O940="Aktif",MAX(0,MIN($AE940,$AD940-SUM($AG940:AO940))),0)</f>
        <v>45833.333333333299</v>
      </c>
      <c r="AQ940" s="8">
        <f>IF($O940="Aktif",MAX(0,MIN($AE940,$AD940-SUM($AG940:AP940))),0)</f>
        <v>45833.333333333299</v>
      </c>
      <c r="AR940" s="8">
        <f>IF($O940="Aktif",MAX(0,MIN($AE940,$AD940-SUM($AG940:AQ940))),0)</f>
        <v>45833.333333333299</v>
      </c>
      <c r="AS940" s="8">
        <f>IF($O940="Aktif",MAX(0,MIN($AE940,$AD940-SUM($AG940:AR940))),0)</f>
        <v>45833.333333333299</v>
      </c>
      <c r="AT940" s="8">
        <f>IF($O940="Aktif",MAX(0,MIN($AE940,$AD940-SUM($AG940:AS940))),0)</f>
        <v>45833.333333333299</v>
      </c>
      <c r="AU940" s="8">
        <f>IF($O940="Aktif",MAX(0,MIN($AE940,$AD940-SUM($AG940:AT940))),0)</f>
        <v>45833.333333333299</v>
      </c>
      <c r="AV940" s="8">
        <f>IF($O940="Aktif",MAX(0,MIN($AE940,$AD940-SUM($AG940:AU940))),0)</f>
        <v>45833.333333333299</v>
      </c>
      <c r="AW940" s="8">
        <f t="shared" si="103"/>
        <v>733333.33333333267</v>
      </c>
      <c r="AX940" s="8">
        <f t="shared" si="104"/>
        <v>733333.33333333384</v>
      </c>
    </row>
    <row r="941" spans="1:50" ht="15" customHeight="1" x14ac:dyDescent="0.35">
      <c r="A941" s="102">
        <v>935</v>
      </c>
      <c r="B941" s="102" t="s">
        <v>1326</v>
      </c>
      <c r="C941" s="103">
        <v>569</v>
      </c>
      <c r="D941" s="102" t="s">
        <v>185</v>
      </c>
      <c r="E941" s="102" t="s">
        <v>479</v>
      </c>
      <c r="F941" s="102" t="s">
        <v>2332</v>
      </c>
      <c r="G941" s="102" t="s">
        <v>2333</v>
      </c>
      <c r="H941" s="102" t="s">
        <v>2334</v>
      </c>
      <c r="I941" s="102" t="s">
        <v>63</v>
      </c>
      <c r="J941" s="102"/>
      <c r="K941" s="102"/>
      <c r="L941" s="104">
        <v>45821</v>
      </c>
      <c r="M941" s="102" t="s">
        <v>2763</v>
      </c>
      <c r="N941" s="102" t="s">
        <v>2763</v>
      </c>
      <c r="O941" s="102" t="s">
        <v>383</v>
      </c>
      <c r="P941" s="103">
        <v>1</v>
      </c>
      <c r="Q941" s="105">
        <v>4684685</v>
      </c>
      <c r="R941" s="103">
        <v>48</v>
      </c>
      <c r="S941" s="105">
        <v>97597.604166666701</v>
      </c>
      <c r="T941" s="105">
        <v>683183.22916666698</v>
      </c>
      <c r="U941" s="105">
        <v>97597.604166666701</v>
      </c>
      <c r="V941" s="105">
        <v>97597.604166666701</v>
      </c>
      <c r="W941" s="105">
        <v>97597.604166666701</v>
      </c>
      <c r="X941" s="105">
        <v>97597.604166666701</v>
      </c>
      <c r="Y941" s="105">
        <v>97597.604166666701</v>
      </c>
      <c r="Z941" s="105">
        <v>97597.604166666701</v>
      </c>
      <c r="AA941" s="105">
        <v>97597.604166666701</v>
      </c>
      <c r="AB941" s="105">
        <v>97597.604166666701</v>
      </c>
      <c r="AC941" s="8">
        <f t="shared" si="98"/>
        <v>1463964.0625000007</v>
      </c>
      <c r="AD941" s="8">
        <f t="shared" si="99"/>
        <v>3220720.9374999991</v>
      </c>
      <c r="AE941" s="8">
        <f t="shared" si="100"/>
        <v>97597.604166666701</v>
      </c>
      <c r="AF941" s="106">
        <f t="shared" si="101"/>
        <v>32.999999999999979</v>
      </c>
      <c r="AG941" s="8">
        <f t="shared" si="102"/>
        <v>97597.604166666701</v>
      </c>
      <c r="AH941" s="8">
        <f>IF($O941="Aktif",MAX(0,MIN($AE941,$AD941-SUM($AG941:AG941))),0)</f>
        <v>97597.604166666701</v>
      </c>
      <c r="AI941" s="8">
        <f>IF($O941="Aktif",MAX(0,MIN($AE941,$AD941-SUM($AG941:AH941))),0)</f>
        <v>97597.604166666701</v>
      </c>
      <c r="AJ941" s="8">
        <f>IF($O941="Aktif",MAX(0,MIN($AE941,$AD941-SUM($AG941:AI941))),0)</f>
        <v>97597.604166666701</v>
      </c>
      <c r="AK941" s="8">
        <f>IF($O941="Aktif",MAX(0,MIN($AE941,$AD941-SUM($AG941:AJ941))),0)</f>
        <v>97597.604166666701</v>
      </c>
      <c r="AL941" s="8">
        <f>IF($O941="Aktif",MAX(0,MIN($AE941,$AD941-SUM($AG941:AK941))),0)</f>
        <v>97597.604166666701</v>
      </c>
      <c r="AM941" s="8">
        <f>IF($O941="Aktif",MAX(0,MIN($AE941,$AD941-SUM($AG941:AL941))),0)</f>
        <v>97597.604166666701</v>
      </c>
      <c r="AN941" s="8">
        <f>IF($O941="Aktif",MAX(0,MIN($AE941,$AD941-SUM($AG941:AM941))),0)</f>
        <v>97597.604166666701</v>
      </c>
      <c r="AO941" s="8">
        <f>IF($O941="Aktif",MAX(0,MIN($AE941,$AD941-SUM($AG941:AN941))),0)</f>
        <v>97597.604166666701</v>
      </c>
      <c r="AP941" s="8">
        <f>IF($O941="Aktif",MAX(0,MIN($AE941,$AD941-SUM($AG941:AO941))),0)</f>
        <v>97597.604166666701</v>
      </c>
      <c r="AQ941" s="8">
        <f>IF($O941="Aktif",MAX(0,MIN($AE941,$AD941-SUM($AG941:AP941))),0)</f>
        <v>97597.604166666701</v>
      </c>
      <c r="AR941" s="8">
        <f>IF($O941="Aktif",MAX(0,MIN($AE941,$AD941-SUM($AG941:AQ941))),0)</f>
        <v>97597.604166666701</v>
      </c>
      <c r="AS941" s="8">
        <f>IF($O941="Aktif",MAX(0,MIN($AE941,$AD941-SUM($AG941:AR941))),0)</f>
        <v>97597.604166666701</v>
      </c>
      <c r="AT941" s="8">
        <f>IF($O941="Aktif",MAX(0,MIN($AE941,$AD941-SUM($AG941:AS941))),0)</f>
        <v>97597.604166666701</v>
      </c>
      <c r="AU941" s="8">
        <f>IF($O941="Aktif",MAX(0,MIN($AE941,$AD941-SUM($AG941:AT941))),0)</f>
        <v>97597.604166666701</v>
      </c>
      <c r="AV941" s="8">
        <f>IF($O941="Aktif",MAX(0,MIN($AE941,$AD941-SUM($AG941:AU941))),0)</f>
        <v>97597.604166666701</v>
      </c>
      <c r="AW941" s="8">
        <f t="shared" si="103"/>
        <v>1561561.6666666677</v>
      </c>
      <c r="AX941" s="8">
        <f t="shared" si="104"/>
        <v>1659159.2708333314</v>
      </c>
    </row>
    <row r="942" spans="1:50" ht="15" customHeight="1" x14ac:dyDescent="0.35">
      <c r="A942" s="102">
        <v>936</v>
      </c>
      <c r="B942" s="102" t="s">
        <v>1326</v>
      </c>
      <c r="C942" s="103">
        <v>570</v>
      </c>
      <c r="D942" s="102" t="s">
        <v>185</v>
      </c>
      <c r="E942" s="102" t="s">
        <v>479</v>
      </c>
      <c r="F942" s="102" t="s">
        <v>2332</v>
      </c>
      <c r="G942" s="102" t="s">
        <v>2333</v>
      </c>
      <c r="H942" s="102" t="s">
        <v>2334</v>
      </c>
      <c r="I942" s="102" t="s">
        <v>63</v>
      </c>
      <c r="J942" s="102"/>
      <c r="K942" s="102"/>
      <c r="L942" s="104">
        <v>45812</v>
      </c>
      <c r="M942" s="102" t="s">
        <v>2764</v>
      </c>
      <c r="N942" s="102" t="s">
        <v>2764</v>
      </c>
      <c r="O942" s="102" t="s">
        <v>383</v>
      </c>
      <c r="P942" s="103">
        <v>1</v>
      </c>
      <c r="Q942" s="105">
        <v>19606183.5</v>
      </c>
      <c r="R942" s="103">
        <v>48</v>
      </c>
      <c r="S942" s="105">
        <v>408462.15625</v>
      </c>
      <c r="T942" s="105">
        <v>2859235.09375</v>
      </c>
      <c r="U942" s="105">
        <v>408462.15625</v>
      </c>
      <c r="V942" s="105">
        <v>408462.15625</v>
      </c>
      <c r="W942" s="105">
        <v>408462.15625</v>
      </c>
      <c r="X942" s="105">
        <v>408462.15625</v>
      </c>
      <c r="Y942" s="105">
        <v>408462.15625</v>
      </c>
      <c r="Z942" s="105">
        <v>408462.15625</v>
      </c>
      <c r="AA942" s="105">
        <v>408462.15625</v>
      </c>
      <c r="AB942" s="105">
        <v>408462.15625</v>
      </c>
      <c r="AC942" s="8">
        <f t="shared" si="98"/>
        <v>6126932.34375</v>
      </c>
      <c r="AD942" s="8">
        <f t="shared" si="99"/>
        <v>13479251.15625</v>
      </c>
      <c r="AE942" s="8">
        <f t="shared" si="100"/>
        <v>408462.15625</v>
      </c>
      <c r="AF942" s="106">
        <f t="shared" si="101"/>
        <v>33</v>
      </c>
      <c r="AG942" s="8">
        <f t="shared" si="102"/>
        <v>408462.15625</v>
      </c>
      <c r="AH942" s="8">
        <f>IF($O942="Aktif",MAX(0,MIN($AE942,$AD942-SUM($AG942:AG942))),0)</f>
        <v>408462.15625</v>
      </c>
      <c r="AI942" s="8">
        <f>IF($O942="Aktif",MAX(0,MIN($AE942,$AD942-SUM($AG942:AH942))),0)</f>
        <v>408462.15625</v>
      </c>
      <c r="AJ942" s="8">
        <f>IF($O942="Aktif",MAX(0,MIN($AE942,$AD942-SUM($AG942:AI942))),0)</f>
        <v>408462.15625</v>
      </c>
      <c r="AK942" s="8">
        <f>IF($O942="Aktif",MAX(0,MIN($AE942,$AD942-SUM($AG942:AJ942))),0)</f>
        <v>408462.15625</v>
      </c>
      <c r="AL942" s="8">
        <f>IF($O942="Aktif",MAX(0,MIN($AE942,$AD942-SUM($AG942:AK942))),0)</f>
        <v>408462.15625</v>
      </c>
      <c r="AM942" s="8">
        <f>IF($O942="Aktif",MAX(0,MIN($AE942,$AD942-SUM($AG942:AL942))),0)</f>
        <v>408462.15625</v>
      </c>
      <c r="AN942" s="8">
        <f>IF($O942="Aktif",MAX(0,MIN($AE942,$AD942-SUM($AG942:AM942))),0)</f>
        <v>408462.15625</v>
      </c>
      <c r="AO942" s="8">
        <f>IF($O942="Aktif",MAX(0,MIN($AE942,$AD942-SUM($AG942:AN942))),0)</f>
        <v>408462.15625</v>
      </c>
      <c r="AP942" s="8">
        <f>IF($O942="Aktif",MAX(0,MIN($AE942,$AD942-SUM($AG942:AO942))),0)</f>
        <v>408462.15625</v>
      </c>
      <c r="AQ942" s="8">
        <f>IF($O942="Aktif",MAX(0,MIN($AE942,$AD942-SUM($AG942:AP942))),0)</f>
        <v>408462.15625</v>
      </c>
      <c r="AR942" s="8">
        <f>IF($O942="Aktif",MAX(0,MIN($AE942,$AD942-SUM($AG942:AQ942))),0)</f>
        <v>408462.15625</v>
      </c>
      <c r="AS942" s="8">
        <f>IF($O942="Aktif",MAX(0,MIN($AE942,$AD942-SUM($AG942:AR942))),0)</f>
        <v>408462.15625</v>
      </c>
      <c r="AT942" s="8">
        <f>IF($O942="Aktif",MAX(0,MIN($AE942,$AD942-SUM($AG942:AS942))),0)</f>
        <v>408462.15625</v>
      </c>
      <c r="AU942" s="8">
        <f>IF($O942="Aktif",MAX(0,MIN($AE942,$AD942-SUM($AG942:AT942))),0)</f>
        <v>408462.15625</v>
      </c>
      <c r="AV942" s="8">
        <f>IF($O942="Aktif",MAX(0,MIN($AE942,$AD942-SUM($AG942:AU942))),0)</f>
        <v>408462.15625</v>
      </c>
      <c r="AW942" s="8">
        <f t="shared" si="103"/>
        <v>6535394.5</v>
      </c>
      <c r="AX942" s="8">
        <f t="shared" si="104"/>
        <v>6943856.65625</v>
      </c>
    </row>
    <row r="943" spans="1:50" ht="15" customHeight="1" x14ac:dyDescent="0.35">
      <c r="A943" s="102">
        <v>937</v>
      </c>
      <c r="B943" s="102" t="s">
        <v>1326</v>
      </c>
      <c r="C943" s="103">
        <v>571</v>
      </c>
      <c r="D943" s="102" t="s">
        <v>185</v>
      </c>
      <c r="E943" s="102" t="s">
        <v>479</v>
      </c>
      <c r="F943" s="102" t="s">
        <v>2332</v>
      </c>
      <c r="G943" s="102" t="s">
        <v>2333</v>
      </c>
      <c r="H943" s="102" t="s">
        <v>2334</v>
      </c>
      <c r="I943" s="102" t="s">
        <v>63</v>
      </c>
      <c r="J943" s="102"/>
      <c r="K943" s="102"/>
      <c r="L943" s="104">
        <v>45812</v>
      </c>
      <c r="M943" s="102" t="s">
        <v>2765</v>
      </c>
      <c r="N943" s="102" t="s">
        <v>2765</v>
      </c>
      <c r="O943" s="102" t="s">
        <v>383</v>
      </c>
      <c r="P943" s="103">
        <v>1</v>
      </c>
      <c r="Q943" s="105">
        <v>19606183.5</v>
      </c>
      <c r="R943" s="103">
        <v>48</v>
      </c>
      <c r="S943" s="105">
        <v>408462.15625</v>
      </c>
      <c r="T943" s="105">
        <v>2859235.09375</v>
      </c>
      <c r="U943" s="105">
        <v>408462.15625</v>
      </c>
      <c r="V943" s="105">
        <v>408462.15625</v>
      </c>
      <c r="W943" s="105">
        <v>408462.15625</v>
      </c>
      <c r="X943" s="105">
        <v>408462.15625</v>
      </c>
      <c r="Y943" s="105">
        <v>408462.15625</v>
      </c>
      <c r="Z943" s="105">
        <v>408462.15625</v>
      </c>
      <c r="AA943" s="105">
        <v>408462.15625</v>
      </c>
      <c r="AB943" s="105">
        <v>408462.15625</v>
      </c>
      <c r="AC943" s="8">
        <f t="shared" si="98"/>
        <v>6126932.34375</v>
      </c>
      <c r="AD943" s="8">
        <f t="shared" si="99"/>
        <v>13479251.15625</v>
      </c>
      <c r="AE943" s="8">
        <f t="shared" si="100"/>
        <v>408462.15625</v>
      </c>
      <c r="AF943" s="106">
        <f t="shared" si="101"/>
        <v>33</v>
      </c>
      <c r="AG943" s="8">
        <f t="shared" si="102"/>
        <v>408462.15625</v>
      </c>
      <c r="AH943" s="8">
        <f>IF($O943="Aktif",MAX(0,MIN($AE943,$AD943-SUM($AG943:AG943))),0)</f>
        <v>408462.15625</v>
      </c>
      <c r="AI943" s="8">
        <f>IF($O943="Aktif",MAX(0,MIN($AE943,$AD943-SUM($AG943:AH943))),0)</f>
        <v>408462.15625</v>
      </c>
      <c r="AJ943" s="8">
        <f>IF($O943="Aktif",MAX(0,MIN($AE943,$AD943-SUM($AG943:AI943))),0)</f>
        <v>408462.15625</v>
      </c>
      <c r="AK943" s="8">
        <f>IF($O943="Aktif",MAX(0,MIN($AE943,$AD943-SUM($AG943:AJ943))),0)</f>
        <v>408462.15625</v>
      </c>
      <c r="AL943" s="8">
        <f>IF($O943="Aktif",MAX(0,MIN($AE943,$AD943-SUM($AG943:AK943))),0)</f>
        <v>408462.15625</v>
      </c>
      <c r="AM943" s="8">
        <f>IF($O943="Aktif",MAX(0,MIN($AE943,$AD943-SUM($AG943:AL943))),0)</f>
        <v>408462.15625</v>
      </c>
      <c r="AN943" s="8">
        <f>IF($O943="Aktif",MAX(0,MIN($AE943,$AD943-SUM($AG943:AM943))),0)</f>
        <v>408462.15625</v>
      </c>
      <c r="AO943" s="8">
        <f>IF($O943="Aktif",MAX(0,MIN($AE943,$AD943-SUM($AG943:AN943))),0)</f>
        <v>408462.15625</v>
      </c>
      <c r="AP943" s="8">
        <f>IF($O943="Aktif",MAX(0,MIN($AE943,$AD943-SUM($AG943:AO943))),0)</f>
        <v>408462.15625</v>
      </c>
      <c r="AQ943" s="8">
        <f>IF($O943="Aktif",MAX(0,MIN($AE943,$AD943-SUM($AG943:AP943))),0)</f>
        <v>408462.15625</v>
      </c>
      <c r="AR943" s="8">
        <f>IF($O943="Aktif",MAX(0,MIN($AE943,$AD943-SUM($AG943:AQ943))),0)</f>
        <v>408462.15625</v>
      </c>
      <c r="AS943" s="8">
        <f>IF($O943="Aktif",MAX(0,MIN($AE943,$AD943-SUM($AG943:AR943))),0)</f>
        <v>408462.15625</v>
      </c>
      <c r="AT943" s="8">
        <f>IF($O943="Aktif",MAX(0,MIN($AE943,$AD943-SUM($AG943:AS943))),0)</f>
        <v>408462.15625</v>
      </c>
      <c r="AU943" s="8">
        <f>IF($O943="Aktif",MAX(0,MIN($AE943,$AD943-SUM($AG943:AT943))),0)</f>
        <v>408462.15625</v>
      </c>
      <c r="AV943" s="8">
        <f>IF($O943="Aktif",MAX(0,MIN($AE943,$AD943-SUM($AG943:AU943))),0)</f>
        <v>408462.15625</v>
      </c>
      <c r="AW943" s="8">
        <f t="shared" si="103"/>
        <v>6535394.5</v>
      </c>
      <c r="AX943" s="8">
        <f t="shared" si="104"/>
        <v>6943856.65625</v>
      </c>
    </row>
    <row r="944" spans="1:50" ht="15" customHeight="1" x14ac:dyDescent="0.35">
      <c r="A944" s="102">
        <v>938</v>
      </c>
      <c r="B944" s="102" t="s">
        <v>1326</v>
      </c>
      <c r="C944" s="103">
        <v>572</v>
      </c>
      <c r="D944" s="102" t="s">
        <v>185</v>
      </c>
      <c r="E944" s="102" t="s">
        <v>479</v>
      </c>
      <c r="F944" s="102" t="s">
        <v>2332</v>
      </c>
      <c r="G944" s="102" t="s">
        <v>2333</v>
      </c>
      <c r="H944" s="102" t="s">
        <v>2334</v>
      </c>
      <c r="I944" s="102" t="s">
        <v>63</v>
      </c>
      <c r="J944" s="102"/>
      <c r="K944" s="102"/>
      <c r="L944" s="104">
        <v>45812</v>
      </c>
      <c r="M944" s="102" t="s">
        <v>2766</v>
      </c>
      <c r="N944" s="102" t="s">
        <v>2766</v>
      </c>
      <c r="O944" s="102" t="s">
        <v>383</v>
      </c>
      <c r="P944" s="103">
        <v>1</v>
      </c>
      <c r="Q944" s="105">
        <v>19606183.5</v>
      </c>
      <c r="R944" s="103">
        <v>48</v>
      </c>
      <c r="S944" s="105">
        <v>408462.15625</v>
      </c>
      <c r="T944" s="105">
        <v>2859235.09375</v>
      </c>
      <c r="U944" s="105">
        <v>408462.15625</v>
      </c>
      <c r="V944" s="105">
        <v>408462.15625</v>
      </c>
      <c r="W944" s="105">
        <v>408462.15625</v>
      </c>
      <c r="X944" s="105">
        <v>408462.15625</v>
      </c>
      <c r="Y944" s="105">
        <v>408462.15625</v>
      </c>
      <c r="Z944" s="105">
        <v>408462.15625</v>
      </c>
      <c r="AA944" s="105">
        <v>408462.15625</v>
      </c>
      <c r="AB944" s="105">
        <v>408462.15625</v>
      </c>
      <c r="AC944" s="8">
        <f t="shared" si="98"/>
        <v>6126932.34375</v>
      </c>
      <c r="AD944" s="8">
        <f t="shared" si="99"/>
        <v>13479251.15625</v>
      </c>
      <c r="AE944" s="8">
        <f t="shared" si="100"/>
        <v>408462.15625</v>
      </c>
      <c r="AF944" s="106">
        <f t="shared" si="101"/>
        <v>33</v>
      </c>
      <c r="AG944" s="8">
        <f t="shared" si="102"/>
        <v>408462.15625</v>
      </c>
      <c r="AH944" s="8">
        <f>IF($O944="Aktif",MAX(0,MIN($AE944,$AD944-SUM($AG944:AG944))),0)</f>
        <v>408462.15625</v>
      </c>
      <c r="AI944" s="8">
        <f>IF($O944="Aktif",MAX(0,MIN($AE944,$AD944-SUM($AG944:AH944))),0)</f>
        <v>408462.15625</v>
      </c>
      <c r="AJ944" s="8">
        <f>IF($O944="Aktif",MAX(0,MIN($AE944,$AD944-SUM($AG944:AI944))),0)</f>
        <v>408462.15625</v>
      </c>
      <c r="AK944" s="8">
        <f>IF($O944="Aktif",MAX(0,MIN($AE944,$AD944-SUM($AG944:AJ944))),0)</f>
        <v>408462.15625</v>
      </c>
      <c r="AL944" s="8">
        <f>IF($O944="Aktif",MAX(0,MIN($AE944,$AD944-SUM($AG944:AK944))),0)</f>
        <v>408462.15625</v>
      </c>
      <c r="AM944" s="8">
        <f>IF($O944="Aktif",MAX(0,MIN($AE944,$AD944-SUM($AG944:AL944))),0)</f>
        <v>408462.15625</v>
      </c>
      <c r="AN944" s="8">
        <f>IF($O944="Aktif",MAX(0,MIN($AE944,$AD944-SUM($AG944:AM944))),0)</f>
        <v>408462.15625</v>
      </c>
      <c r="AO944" s="8">
        <f>IF($O944="Aktif",MAX(0,MIN($AE944,$AD944-SUM($AG944:AN944))),0)</f>
        <v>408462.15625</v>
      </c>
      <c r="AP944" s="8">
        <f>IF($O944="Aktif",MAX(0,MIN($AE944,$AD944-SUM($AG944:AO944))),0)</f>
        <v>408462.15625</v>
      </c>
      <c r="AQ944" s="8">
        <f>IF($O944="Aktif",MAX(0,MIN($AE944,$AD944-SUM($AG944:AP944))),0)</f>
        <v>408462.15625</v>
      </c>
      <c r="AR944" s="8">
        <f>IF($O944="Aktif",MAX(0,MIN($AE944,$AD944-SUM($AG944:AQ944))),0)</f>
        <v>408462.15625</v>
      </c>
      <c r="AS944" s="8">
        <f>IF($O944="Aktif",MAX(0,MIN($AE944,$AD944-SUM($AG944:AR944))),0)</f>
        <v>408462.15625</v>
      </c>
      <c r="AT944" s="8">
        <f>IF($O944="Aktif",MAX(0,MIN($AE944,$AD944-SUM($AG944:AS944))),0)</f>
        <v>408462.15625</v>
      </c>
      <c r="AU944" s="8">
        <f>IF($O944="Aktif",MAX(0,MIN($AE944,$AD944-SUM($AG944:AT944))),0)</f>
        <v>408462.15625</v>
      </c>
      <c r="AV944" s="8">
        <f>IF($O944="Aktif",MAX(0,MIN($AE944,$AD944-SUM($AG944:AU944))),0)</f>
        <v>408462.15625</v>
      </c>
      <c r="AW944" s="8">
        <f t="shared" si="103"/>
        <v>6535394.5</v>
      </c>
      <c r="AX944" s="8">
        <f t="shared" si="104"/>
        <v>6943856.65625</v>
      </c>
    </row>
    <row r="945" spans="1:50" ht="15" customHeight="1" x14ac:dyDescent="0.35">
      <c r="A945" s="102">
        <v>939</v>
      </c>
      <c r="B945" s="102" t="s">
        <v>1326</v>
      </c>
      <c r="C945" s="103">
        <v>573</v>
      </c>
      <c r="D945" s="102" t="s">
        <v>185</v>
      </c>
      <c r="E945" s="102" t="s">
        <v>479</v>
      </c>
      <c r="F945" s="102" t="s">
        <v>2332</v>
      </c>
      <c r="G945" s="102" t="s">
        <v>2333</v>
      </c>
      <c r="H945" s="102" t="s">
        <v>2334</v>
      </c>
      <c r="I945" s="102" t="s">
        <v>63</v>
      </c>
      <c r="J945" s="102"/>
      <c r="K945" s="102"/>
      <c r="L945" s="104">
        <v>45812</v>
      </c>
      <c r="M945" s="102" t="s">
        <v>2767</v>
      </c>
      <c r="N945" s="102" t="s">
        <v>2767</v>
      </c>
      <c r="O945" s="102" t="s">
        <v>383</v>
      </c>
      <c r="P945" s="103">
        <v>1</v>
      </c>
      <c r="Q945" s="105">
        <v>19606183.5</v>
      </c>
      <c r="R945" s="103">
        <v>48</v>
      </c>
      <c r="S945" s="105">
        <v>408462.15625</v>
      </c>
      <c r="T945" s="105">
        <v>2859235.09375</v>
      </c>
      <c r="U945" s="105">
        <v>408462.15625</v>
      </c>
      <c r="V945" s="105">
        <v>408462.15625</v>
      </c>
      <c r="W945" s="105">
        <v>408462.15625</v>
      </c>
      <c r="X945" s="105">
        <v>408462.15625</v>
      </c>
      <c r="Y945" s="105">
        <v>408462.15625</v>
      </c>
      <c r="Z945" s="105">
        <v>408462.15625</v>
      </c>
      <c r="AA945" s="105">
        <v>408462.15625</v>
      </c>
      <c r="AB945" s="105">
        <v>408462.15625</v>
      </c>
      <c r="AC945" s="8">
        <f t="shared" si="98"/>
        <v>6126932.34375</v>
      </c>
      <c r="AD945" s="8">
        <f t="shared" si="99"/>
        <v>13479251.15625</v>
      </c>
      <c r="AE945" s="8">
        <f t="shared" si="100"/>
        <v>408462.15625</v>
      </c>
      <c r="AF945" s="106">
        <f t="shared" si="101"/>
        <v>33</v>
      </c>
      <c r="AG945" s="8">
        <f t="shared" si="102"/>
        <v>408462.15625</v>
      </c>
      <c r="AH945" s="8">
        <f>IF($O945="Aktif",MAX(0,MIN($AE945,$AD945-SUM($AG945:AG945))),0)</f>
        <v>408462.15625</v>
      </c>
      <c r="AI945" s="8">
        <f>IF($O945="Aktif",MAX(0,MIN($AE945,$AD945-SUM($AG945:AH945))),0)</f>
        <v>408462.15625</v>
      </c>
      <c r="AJ945" s="8">
        <f>IF($O945="Aktif",MAX(0,MIN($AE945,$AD945-SUM($AG945:AI945))),0)</f>
        <v>408462.15625</v>
      </c>
      <c r="AK945" s="8">
        <f>IF($O945="Aktif",MAX(0,MIN($AE945,$AD945-SUM($AG945:AJ945))),0)</f>
        <v>408462.15625</v>
      </c>
      <c r="AL945" s="8">
        <f>IF($O945="Aktif",MAX(0,MIN($AE945,$AD945-SUM($AG945:AK945))),0)</f>
        <v>408462.15625</v>
      </c>
      <c r="AM945" s="8">
        <f>IF($O945="Aktif",MAX(0,MIN($AE945,$AD945-SUM($AG945:AL945))),0)</f>
        <v>408462.15625</v>
      </c>
      <c r="AN945" s="8">
        <f>IF($O945="Aktif",MAX(0,MIN($AE945,$AD945-SUM($AG945:AM945))),0)</f>
        <v>408462.15625</v>
      </c>
      <c r="AO945" s="8">
        <f>IF($O945="Aktif",MAX(0,MIN($AE945,$AD945-SUM($AG945:AN945))),0)</f>
        <v>408462.15625</v>
      </c>
      <c r="AP945" s="8">
        <f>IF($O945="Aktif",MAX(0,MIN($AE945,$AD945-SUM($AG945:AO945))),0)</f>
        <v>408462.15625</v>
      </c>
      <c r="AQ945" s="8">
        <f>IF($O945="Aktif",MAX(0,MIN($AE945,$AD945-SUM($AG945:AP945))),0)</f>
        <v>408462.15625</v>
      </c>
      <c r="AR945" s="8">
        <f>IF($O945="Aktif",MAX(0,MIN($AE945,$AD945-SUM($AG945:AQ945))),0)</f>
        <v>408462.15625</v>
      </c>
      <c r="AS945" s="8">
        <f>IF($O945="Aktif",MAX(0,MIN($AE945,$AD945-SUM($AG945:AR945))),0)</f>
        <v>408462.15625</v>
      </c>
      <c r="AT945" s="8">
        <f>IF($O945="Aktif",MAX(0,MIN($AE945,$AD945-SUM($AG945:AS945))),0)</f>
        <v>408462.15625</v>
      </c>
      <c r="AU945" s="8">
        <f>IF($O945="Aktif",MAX(0,MIN($AE945,$AD945-SUM($AG945:AT945))),0)</f>
        <v>408462.15625</v>
      </c>
      <c r="AV945" s="8">
        <f>IF($O945="Aktif",MAX(0,MIN($AE945,$AD945-SUM($AG945:AU945))),0)</f>
        <v>408462.15625</v>
      </c>
      <c r="AW945" s="8">
        <f t="shared" si="103"/>
        <v>6535394.5</v>
      </c>
      <c r="AX945" s="8">
        <f t="shared" si="104"/>
        <v>6943856.65625</v>
      </c>
    </row>
    <row r="946" spans="1:50" ht="15" customHeight="1" x14ac:dyDescent="0.35">
      <c r="A946" s="102">
        <v>940</v>
      </c>
      <c r="B946" s="102" t="s">
        <v>1326</v>
      </c>
      <c r="C946" s="103">
        <v>574</v>
      </c>
      <c r="D946" s="102" t="s">
        <v>185</v>
      </c>
      <c r="E946" s="102" t="s">
        <v>479</v>
      </c>
      <c r="F946" s="102" t="s">
        <v>2332</v>
      </c>
      <c r="G946" s="102" t="s">
        <v>2333</v>
      </c>
      <c r="H946" s="102" t="s">
        <v>2334</v>
      </c>
      <c r="I946" s="102" t="s">
        <v>63</v>
      </c>
      <c r="J946" s="102"/>
      <c r="K946" s="102"/>
      <c r="L946" s="104">
        <v>45812</v>
      </c>
      <c r="M946" s="102" t="s">
        <v>2768</v>
      </c>
      <c r="N946" s="102" t="s">
        <v>2768</v>
      </c>
      <c r="O946" s="102" t="s">
        <v>383</v>
      </c>
      <c r="P946" s="103">
        <v>1</v>
      </c>
      <c r="Q946" s="105">
        <v>19606183.5</v>
      </c>
      <c r="R946" s="103">
        <v>48</v>
      </c>
      <c r="S946" s="105">
        <v>408462.15625</v>
      </c>
      <c r="T946" s="105">
        <v>2859235.09375</v>
      </c>
      <c r="U946" s="105">
        <v>408462.15625</v>
      </c>
      <c r="V946" s="105">
        <v>408462.15625</v>
      </c>
      <c r="W946" s="105">
        <v>408462.15625</v>
      </c>
      <c r="X946" s="105">
        <v>408462.15625</v>
      </c>
      <c r="Y946" s="105">
        <v>408462.15625</v>
      </c>
      <c r="Z946" s="105">
        <v>408462.15625</v>
      </c>
      <c r="AA946" s="105">
        <v>408462.15625</v>
      </c>
      <c r="AB946" s="105">
        <v>408462.15625</v>
      </c>
      <c r="AC946" s="8">
        <f t="shared" si="98"/>
        <v>6126932.34375</v>
      </c>
      <c r="AD946" s="8">
        <f t="shared" si="99"/>
        <v>13479251.15625</v>
      </c>
      <c r="AE946" s="8">
        <f t="shared" si="100"/>
        <v>408462.15625</v>
      </c>
      <c r="AF946" s="106">
        <f t="shared" si="101"/>
        <v>33</v>
      </c>
      <c r="AG946" s="8">
        <f t="shared" si="102"/>
        <v>408462.15625</v>
      </c>
      <c r="AH946" s="8">
        <f>IF($O946="Aktif",MAX(0,MIN($AE946,$AD946-SUM($AG946:AG946))),0)</f>
        <v>408462.15625</v>
      </c>
      <c r="AI946" s="8">
        <f>IF($O946="Aktif",MAX(0,MIN($AE946,$AD946-SUM($AG946:AH946))),0)</f>
        <v>408462.15625</v>
      </c>
      <c r="AJ946" s="8">
        <f>IF($O946="Aktif",MAX(0,MIN($AE946,$AD946-SUM($AG946:AI946))),0)</f>
        <v>408462.15625</v>
      </c>
      <c r="AK946" s="8">
        <f>IF($O946="Aktif",MAX(0,MIN($AE946,$AD946-SUM($AG946:AJ946))),0)</f>
        <v>408462.15625</v>
      </c>
      <c r="AL946" s="8">
        <f>IF($O946="Aktif",MAX(0,MIN($AE946,$AD946-SUM($AG946:AK946))),0)</f>
        <v>408462.15625</v>
      </c>
      <c r="AM946" s="8">
        <f>IF($O946="Aktif",MAX(0,MIN($AE946,$AD946-SUM($AG946:AL946))),0)</f>
        <v>408462.15625</v>
      </c>
      <c r="AN946" s="8">
        <f>IF($O946="Aktif",MAX(0,MIN($AE946,$AD946-SUM($AG946:AM946))),0)</f>
        <v>408462.15625</v>
      </c>
      <c r="AO946" s="8">
        <f>IF($O946="Aktif",MAX(0,MIN($AE946,$AD946-SUM($AG946:AN946))),0)</f>
        <v>408462.15625</v>
      </c>
      <c r="AP946" s="8">
        <f>IF($O946="Aktif",MAX(0,MIN($AE946,$AD946-SUM($AG946:AO946))),0)</f>
        <v>408462.15625</v>
      </c>
      <c r="AQ946" s="8">
        <f>IF($O946="Aktif",MAX(0,MIN($AE946,$AD946-SUM($AG946:AP946))),0)</f>
        <v>408462.15625</v>
      </c>
      <c r="AR946" s="8">
        <f>IF($O946="Aktif",MAX(0,MIN($AE946,$AD946-SUM($AG946:AQ946))),0)</f>
        <v>408462.15625</v>
      </c>
      <c r="AS946" s="8">
        <f>IF($O946="Aktif",MAX(0,MIN($AE946,$AD946-SUM($AG946:AR946))),0)</f>
        <v>408462.15625</v>
      </c>
      <c r="AT946" s="8">
        <f>IF($O946="Aktif",MAX(0,MIN($AE946,$AD946-SUM($AG946:AS946))),0)</f>
        <v>408462.15625</v>
      </c>
      <c r="AU946" s="8">
        <f>IF($O946="Aktif",MAX(0,MIN($AE946,$AD946-SUM($AG946:AT946))),0)</f>
        <v>408462.15625</v>
      </c>
      <c r="AV946" s="8">
        <f>IF($O946="Aktif",MAX(0,MIN($AE946,$AD946-SUM($AG946:AU946))),0)</f>
        <v>408462.15625</v>
      </c>
      <c r="AW946" s="8">
        <f t="shared" si="103"/>
        <v>6535394.5</v>
      </c>
      <c r="AX946" s="8">
        <f t="shared" si="104"/>
        <v>6943856.65625</v>
      </c>
    </row>
    <row r="947" spans="1:50" ht="15" customHeight="1" x14ac:dyDescent="0.35">
      <c r="A947" s="102">
        <v>941</v>
      </c>
      <c r="B947" s="102" t="s">
        <v>1326</v>
      </c>
      <c r="C947" s="103">
        <v>575</v>
      </c>
      <c r="D947" s="102" t="s">
        <v>185</v>
      </c>
      <c r="E947" s="102" t="s">
        <v>540</v>
      </c>
      <c r="F947" s="102" t="s">
        <v>2283</v>
      </c>
      <c r="G947" s="102" t="s">
        <v>2284</v>
      </c>
      <c r="H947" s="102" t="s">
        <v>2285</v>
      </c>
      <c r="I947" s="102" t="s">
        <v>63</v>
      </c>
      <c r="J947" s="102"/>
      <c r="K947" s="102"/>
      <c r="L947" s="104">
        <v>45822</v>
      </c>
      <c r="M947" s="102" t="s">
        <v>2769</v>
      </c>
      <c r="N947" s="102" t="s">
        <v>2769</v>
      </c>
      <c r="O947" s="102" t="s">
        <v>383</v>
      </c>
      <c r="P947" s="103">
        <v>1</v>
      </c>
      <c r="Q947" s="105">
        <v>47500000</v>
      </c>
      <c r="R947" s="103">
        <v>96</v>
      </c>
      <c r="S947" s="105">
        <v>494791.66666666698</v>
      </c>
      <c r="T947" s="105">
        <v>3463541.6666666698</v>
      </c>
      <c r="U947" s="105">
        <v>494791.66666666698</v>
      </c>
      <c r="V947" s="105">
        <v>494791.66666666698</v>
      </c>
      <c r="W947" s="105">
        <v>494791.66666666698</v>
      </c>
      <c r="X947" s="105">
        <v>494791.66666666698</v>
      </c>
      <c r="Y947" s="105">
        <v>494791.66666666698</v>
      </c>
      <c r="Z947" s="105">
        <v>494791.66666666698</v>
      </c>
      <c r="AA947" s="105">
        <v>494791.66666666698</v>
      </c>
      <c r="AB947" s="105">
        <v>494791.66666666698</v>
      </c>
      <c r="AC947" s="8">
        <f t="shared" si="98"/>
        <v>7421875.0000000056</v>
      </c>
      <c r="AD947" s="8">
        <f t="shared" si="99"/>
        <v>40078124.999999993</v>
      </c>
      <c r="AE947" s="8">
        <f t="shared" si="100"/>
        <v>494791.66666666698</v>
      </c>
      <c r="AF947" s="106">
        <f t="shared" si="101"/>
        <v>80.999999999999929</v>
      </c>
      <c r="AG947" s="8">
        <f t="shared" si="102"/>
        <v>494791.66666666698</v>
      </c>
      <c r="AH947" s="8">
        <f>IF($O947="Aktif",MAX(0,MIN($AE947,$AD947-SUM($AG947:AG947))),0)</f>
        <v>494791.66666666698</v>
      </c>
      <c r="AI947" s="8">
        <f>IF($O947="Aktif",MAX(0,MIN($AE947,$AD947-SUM($AG947:AH947))),0)</f>
        <v>494791.66666666698</v>
      </c>
      <c r="AJ947" s="8">
        <f>IF($O947="Aktif",MAX(0,MIN($AE947,$AD947-SUM($AG947:AI947))),0)</f>
        <v>494791.66666666698</v>
      </c>
      <c r="AK947" s="8">
        <f>IF($O947="Aktif",MAX(0,MIN($AE947,$AD947-SUM($AG947:AJ947))),0)</f>
        <v>494791.66666666698</v>
      </c>
      <c r="AL947" s="8">
        <f>IF($O947="Aktif",MAX(0,MIN($AE947,$AD947-SUM($AG947:AK947))),0)</f>
        <v>494791.66666666698</v>
      </c>
      <c r="AM947" s="8">
        <f>IF($O947="Aktif",MAX(0,MIN($AE947,$AD947-SUM($AG947:AL947))),0)</f>
        <v>494791.66666666698</v>
      </c>
      <c r="AN947" s="8">
        <f>IF($O947="Aktif",MAX(0,MIN($AE947,$AD947-SUM($AG947:AM947))),0)</f>
        <v>494791.66666666698</v>
      </c>
      <c r="AO947" s="8">
        <f>IF($O947="Aktif",MAX(0,MIN($AE947,$AD947-SUM($AG947:AN947))),0)</f>
        <v>494791.66666666698</v>
      </c>
      <c r="AP947" s="8">
        <f>IF($O947="Aktif",MAX(0,MIN($AE947,$AD947-SUM($AG947:AO947))),0)</f>
        <v>494791.66666666698</v>
      </c>
      <c r="AQ947" s="8">
        <f>IF($O947="Aktif",MAX(0,MIN($AE947,$AD947-SUM($AG947:AP947))),0)</f>
        <v>494791.66666666698</v>
      </c>
      <c r="AR947" s="8">
        <f>IF($O947="Aktif",MAX(0,MIN($AE947,$AD947-SUM($AG947:AQ947))),0)</f>
        <v>494791.66666666698</v>
      </c>
      <c r="AS947" s="8">
        <f>IF($O947="Aktif",MAX(0,MIN($AE947,$AD947-SUM($AG947:AR947))),0)</f>
        <v>494791.66666666698</v>
      </c>
      <c r="AT947" s="8">
        <f>IF($O947="Aktif",MAX(0,MIN($AE947,$AD947-SUM($AG947:AS947))),0)</f>
        <v>494791.66666666698</v>
      </c>
      <c r="AU947" s="8">
        <f>IF($O947="Aktif",MAX(0,MIN($AE947,$AD947-SUM($AG947:AT947))),0)</f>
        <v>494791.66666666698</v>
      </c>
      <c r="AV947" s="8">
        <f>IF($O947="Aktif",MAX(0,MIN($AE947,$AD947-SUM($AG947:AU947))),0)</f>
        <v>494791.66666666698</v>
      </c>
      <c r="AW947" s="8">
        <f t="shared" si="103"/>
        <v>7916666.6666666716</v>
      </c>
      <c r="AX947" s="8">
        <f t="shared" si="104"/>
        <v>32161458.333333321</v>
      </c>
    </row>
    <row r="948" spans="1:50" ht="15" customHeight="1" x14ac:dyDescent="0.35">
      <c r="A948" s="102">
        <v>942</v>
      </c>
      <c r="B948" s="102" t="s">
        <v>1326</v>
      </c>
      <c r="C948" s="103">
        <v>576</v>
      </c>
      <c r="D948" s="102" t="s">
        <v>185</v>
      </c>
      <c r="E948" s="102" t="s">
        <v>540</v>
      </c>
      <c r="F948" s="102" t="s">
        <v>2283</v>
      </c>
      <c r="G948" s="102" t="s">
        <v>2284</v>
      </c>
      <c r="H948" s="102" t="s">
        <v>2285</v>
      </c>
      <c r="I948" s="102" t="s">
        <v>63</v>
      </c>
      <c r="J948" s="102"/>
      <c r="K948" s="102"/>
      <c r="L948" s="104">
        <v>45822</v>
      </c>
      <c r="M948" s="102" t="s">
        <v>2770</v>
      </c>
      <c r="N948" s="102" t="s">
        <v>2770</v>
      </c>
      <c r="O948" s="102" t="s">
        <v>383</v>
      </c>
      <c r="P948" s="103">
        <v>1</v>
      </c>
      <c r="Q948" s="105">
        <v>47500000</v>
      </c>
      <c r="R948" s="103">
        <v>96</v>
      </c>
      <c r="S948" s="105">
        <v>494791.66666666698</v>
      </c>
      <c r="T948" s="105">
        <v>3463541.6666666698</v>
      </c>
      <c r="U948" s="105">
        <v>494791.66666666698</v>
      </c>
      <c r="V948" s="105">
        <v>494791.66666666698</v>
      </c>
      <c r="W948" s="105">
        <v>494791.66666666698</v>
      </c>
      <c r="X948" s="105">
        <v>494791.66666666698</v>
      </c>
      <c r="Y948" s="105">
        <v>494791.66666666698</v>
      </c>
      <c r="Z948" s="105">
        <v>494791.66666666698</v>
      </c>
      <c r="AA948" s="105">
        <v>494791.66666666698</v>
      </c>
      <c r="AB948" s="105">
        <v>494791.66666666698</v>
      </c>
      <c r="AC948" s="8">
        <f t="shared" si="98"/>
        <v>7421875.0000000056</v>
      </c>
      <c r="AD948" s="8">
        <f t="shared" si="99"/>
        <v>40078124.999999993</v>
      </c>
      <c r="AE948" s="8">
        <f t="shared" si="100"/>
        <v>494791.66666666698</v>
      </c>
      <c r="AF948" s="106">
        <f t="shared" si="101"/>
        <v>80.999999999999929</v>
      </c>
      <c r="AG948" s="8">
        <f t="shared" si="102"/>
        <v>494791.66666666698</v>
      </c>
      <c r="AH948" s="8">
        <f>IF($O948="Aktif",MAX(0,MIN($AE948,$AD948-SUM($AG948:AG948))),0)</f>
        <v>494791.66666666698</v>
      </c>
      <c r="AI948" s="8">
        <f>IF($O948="Aktif",MAX(0,MIN($AE948,$AD948-SUM($AG948:AH948))),0)</f>
        <v>494791.66666666698</v>
      </c>
      <c r="AJ948" s="8">
        <f>IF($O948="Aktif",MAX(0,MIN($AE948,$AD948-SUM($AG948:AI948))),0)</f>
        <v>494791.66666666698</v>
      </c>
      <c r="AK948" s="8">
        <f>IF($O948="Aktif",MAX(0,MIN($AE948,$AD948-SUM($AG948:AJ948))),0)</f>
        <v>494791.66666666698</v>
      </c>
      <c r="AL948" s="8">
        <f>IF($O948="Aktif",MAX(0,MIN($AE948,$AD948-SUM($AG948:AK948))),0)</f>
        <v>494791.66666666698</v>
      </c>
      <c r="AM948" s="8">
        <f>IF($O948="Aktif",MAX(0,MIN($AE948,$AD948-SUM($AG948:AL948))),0)</f>
        <v>494791.66666666698</v>
      </c>
      <c r="AN948" s="8">
        <f>IF($O948="Aktif",MAX(0,MIN($AE948,$AD948-SUM($AG948:AM948))),0)</f>
        <v>494791.66666666698</v>
      </c>
      <c r="AO948" s="8">
        <f>IF($O948="Aktif",MAX(0,MIN($AE948,$AD948-SUM($AG948:AN948))),0)</f>
        <v>494791.66666666698</v>
      </c>
      <c r="AP948" s="8">
        <f>IF($O948="Aktif",MAX(0,MIN($AE948,$AD948-SUM($AG948:AO948))),0)</f>
        <v>494791.66666666698</v>
      </c>
      <c r="AQ948" s="8">
        <f>IF($O948="Aktif",MAX(0,MIN($AE948,$AD948-SUM($AG948:AP948))),0)</f>
        <v>494791.66666666698</v>
      </c>
      <c r="AR948" s="8">
        <f>IF($O948="Aktif",MAX(0,MIN($AE948,$AD948-SUM($AG948:AQ948))),0)</f>
        <v>494791.66666666698</v>
      </c>
      <c r="AS948" s="8">
        <f>IF($O948="Aktif",MAX(0,MIN($AE948,$AD948-SUM($AG948:AR948))),0)</f>
        <v>494791.66666666698</v>
      </c>
      <c r="AT948" s="8">
        <f>IF($O948="Aktif",MAX(0,MIN($AE948,$AD948-SUM($AG948:AS948))),0)</f>
        <v>494791.66666666698</v>
      </c>
      <c r="AU948" s="8">
        <f>IF($O948="Aktif",MAX(0,MIN($AE948,$AD948-SUM($AG948:AT948))),0)</f>
        <v>494791.66666666698</v>
      </c>
      <c r="AV948" s="8">
        <f>IF($O948="Aktif",MAX(0,MIN($AE948,$AD948-SUM($AG948:AU948))),0)</f>
        <v>494791.66666666698</v>
      </c>
      <c r="AW948" s="8">
        <f t="shared" si="103"/>
        <v>7916666.6666666716</v>
      </c>
      <c r="AX948" s="8">
        <f t="shared" si="104"/>
        <v>32161458.333333321</v>
      </c>
    </row>
    <row r="949" spans="1:50" ht="15" customHeight="1" x14ac:dyDescent="0.35">
      <c r="A949" s="102">
        <v>943</v>
      </c>
      <c r="B949" s="102" t="s">
        <v>1326</v>
      </c>
      <c r="C949" s="103">
        <v>577</v>
      </c>
      <c r="D949" s="102" t="s">
        <v>185</v>
      </c>
      <c r="E949" s="102" t="s">
        <v>540</v>
      </c>
      <c r="F949" s="102" t="s">
        <v>2283</v>
      </c>
      <c r="G949" s="102" t="s">
        <v>2284</v>
      </c>
      <c r="H949" s="102" t="s">
        <v>2285</v>
      </c>
      <c r="I949" s="102" t="s">
        <v>63</v>
      </c>
      <c r="J949" s="102"/>
      <c r="K949" s="102"/>
      <c r="L949" s="104">
        <v>45846</v>
      </c>
      <c r="M949" s="102" t="s">
        <v>2771</v>
      </c>
      <c r="N949" s="102" t="s">
        <v>2771</v>
      </c>
      <c r="O949" s="102" t="s">
        <v>383</v>
      </c>
      <c r="P949" s="103">
        <v>1</v>
      </c>
      <c r="Q949" s="105">
        <v>47500000</v>
      </c>
      <c r="R949" s="103">
        <v>96</v>
      </c>
      <c r="S949" s="105">
        <v>494791.66666666698</v>
      </c>
      <c r="T949" s="105">
        <v>2968750</v>
      </c>
      <c r="U949" s="105">
        <v>494791.66666666698</v>
      </c>
      <c r="V949" s="105">
        <v>494791.66666666698</v>
      </c>
      <c r="W949" s="105">
        <v>494791.66666666698</v>
      </c>
      <c r="X949" s="105">
        <v>494791.66666666698</v>
      </c>
      <c r="Y949" s="105">
        <v>494791.66666666698</v>
      </c>
      <c r="Z949" s="105">
        <v>494791.66666666698</v>
      </c>
      <c r="AA949" s="105">
        <v>494791.66666666698</v>
      </c>
      <c r="AB949" s="105">
        <v>494791.66666666698</v>
      </c>
      <c r="AC949" s="8">
        <f t="shared" si="98"/>
        <v>6927083.3333333358</v>
      </c>
      <c r="AD949" s="8">
        <f t="shared" si="99"/>
        <v>40572916.666666664</v>
      </c>
      <c r="AE949" s="8">
        <f t="shared" si="100"/>
        <v>494791.66666666698</v>
      </c>
      <c r="AF949" s="106">
        <f t="shared" si="101"/>
        <v>81.999999999999943</v>
      </c>
      <c r="AG949" s="8">
        <f t="shared" si="102"/>
        <v>494791.66666666698</v>
      </c>
      <c r="AH949" s="8">
        <f>IF($O949="Aktif",MAX(0,MIN($AE949,$AD949-SUM($AG949:AG949))),0)</f>
        <v>494791.66666666698</v>
      </c>
      <c r="AI949" s="8">
        <f>IF($O949="Aktif",MAX(0,MIN($AE949,$AD949-SUM($AG949:AH949))),0)</f>
        <v>494791.66666666698</v>
      </c>
      <c r="AJ949" s="8">
        <f>IF($O949="Aktif",MAX(0,MIN($AE949,$AD949-SUM($AG949:AI949))),0)</f>
        <v>494791.66666666698</v>
      </c>
      <c r="AK949" s="8">
        <f>IF($O949="Aktif",MAX(0,MIN($AE949,$AD949-SUM($AG949:AJ949))),0)</f>
        <v>494791.66666666698</v>
      </c>
      <c r="AL949" s="8">
        <f>IF($O949="Aktif",MAX(0,MIN($AE949,$AD949-SUM($AG949:AK949))),0)</f>
        <v>494791.66666666698</v>
      </c>
      <c r="AM949" s="8">
        <f>IF($O949="Aktif",MAX(0,MIN($AE949,$AD949-SUM($AG949:AL949))),0)</f>
        <v>494791.66666666698</v>
      </c>
      <c r="AN949" s="8">
        <f>IF($O949="Aktif",MAX(0,MIN($AE949,$AD949-SUM($AG949:AM949))),0)</f>
        <v>494791.66666666698</v>
      </c>
      <c r="AO949" s="8">
        <f>IF($O949="Aktif",MAX(0,MIN($AE949,$AD949-SUM($AG949:AN949))),0)</f>
        <v>494791.66666666698</v>
      </c>
      <c r="AP949" s="8">
        <f>IF($O949="Aktif",MAX(0,MIN($AE949,$AD949-SUM($AG949:AO949))),0)</f>
        <v>494791.66666666698</v>
      </c>
      <c r="AQ949" s="8">
        <f>IF($O949="Aktif",MAX(0,MIN($AE949,$AD949-SUM($AG949:AP949))),0)</f>
        <v>494791.66666666698</v>
      </c>
      <c r="AR949" s="8">
        <f>IF($O949="Aktif",MAX(0,MIN($AE949,$AD949-SUM($AG949:AQ949))),0)</f>
        <v>494791.66666666698</v>
      </c>
      <c r="AS949" s="8">
        <f>IF($O949="Aktif",MAX(0,MIN($AE949,$AD949-SUM($AG949:AR949))),0)</f>
        <v>494791.66666666698</v>
      </c>
      <c r="AT949" s="8">
        <f>IF($O949="Aktif",MAX(0,MIN($AE949,$AD949-SUM($AG949:AS949))),0)</f>
        <v>494791.66666666698</v>
      </c>
      <c r="AU949" s="8">
        <f>IF($O949="Aktif",MAX(0,MIN($AE949,$AD949-SUM($AG949:AT949))),0)</f>
        <v>494791.66666666698</v>
      </c>
      <c r="AV949" s="8">
        <f>IF($O949="Aktif",MAX(0,MIN($AE949,$AD949-SUM($AG949:AU949))),0)</f>
        <v>494791.66666666698</v>
      </c>
      <c r="AW949" s="8">
        <f t="shared" si="103"/>
        <v>7916666.6666666716</v>
      </c>
      <c r="AX949" s="8">
        <f t="shared" si="104"/>
        <v>32656249.999999993</v>
      </c>
    </row>
    <row r="950" spans="1:50" ht="15" customHeight="1" x14ac:dyDescent="0.35">
      <c r="A950" s="102">
        <v>944</v>
      </c>
      <c r="B950" s="102" t="s">
        <v>1326</v>
      </c>
      <c r="C950" s="103">
        <v>578</v>
      </c>
      <c r="D950" s="102" t="s">
        <v>185</v>
      </c>
      <c r="E950" s="102" t="s">
        <v>540</v>
      </c>
      <c r="F950" s="102" t="s">
        <v>2283</v>
      </c>
      <c r="G950" s="102" t="s">
        <v>2284</v>
      </c>
      <c r="H950" s="102" t="s">
        <v>2285</v>
      </c>
      <c r="I950" s="102" t="s">
        <v>63</v>
      </c>
      <c r="J950" s="102"/>
      <c r="K950" s="102"/>
      <c r="L950" s="104">
        <v>45841</v>
      </c>
      <c r="M950" s="102" t="s">
        <v>2772</v>
      </c>
      <c r="N950" s="102" t="s">
        <v>2772</v>
      </c>
      <c r="O950" s="102" t="s">
        <v>383</v>
      </c>
      <c r="P950" s="103">
        <v>1</v>
      </c>
      <c r="Q950" s="105">
        <v>6750000</v>
      </c>
      <c r="R950" s="103">
        <v>96</v>
      </c>
      <c r="S950" s="105">
        <v>70312.5</v>
      </c>
      <c r="T950" s="105">
        <v>421875</v>
      </c>
      <c r="U950" s="105">
        <v>70312.5</v>
      </c>
      <c r="V950" s="105">
        <v>70312.5</v>
      </c>
      <c r="W950" s="105">
        <v>70312.5</v>
      </c>
      <c r="X950" s="105">
        <v>70312.5</v>
      </c>
      <c r="Y950" s="105">
        <v>70312.5</v>
      </c>
      <c r="Z950" s="105">
        <v>70312.5</v>
      </c>
      <c r="AA950" s="105">
        <v>70312.5</v>
      </c>
      <c r="AB950" s="105">
        <v>70312.5</v>
      </c>
      <c r="AC950" s="8">
        <f t="shared" si="98"/>
        <v>984375</v>
      </c>
      <c r="AD950" s="8">
        <f t="shared" si="99"/>
        <v>5765625</v>
      </c>
      <c r="AE950" s="8">
        <f t="shared" si="100"/>
        <v>70312.5</v>
      </c>
      <c r="AF950" s="106">
        <f t="shared" si="101"/>
        <v>82</v>
      </c>
      <c r="AG950" s="8">
        <f t="shared" si="102"/>
        <v>70312.5</v>
      </c>
      <c r="AH950" s="8">
        <f>IF($O950="Aktif",MAX(0,MIN($AE950,$AD950-SUM($AG950:AG950))),0)</f>
        <v>70312.5</v>
      </c>
      <c r="AI950" s="8">
        <f>IF($O950="Aktif",MAX(0,MIN($AE950,$AD950-SUM($AG950:AH950))),0)</f>
        <v>70312.5</v>
      </c>
      <c r="AJ950" s="8">
        <f>IF($O950="Aktif",MAX(0,MIN($AE950,$AD950-SUM($AG950:AI950))),0)</f>
        <v>70312.5</v>
      </c>
      <c r="AK950" s="8">
        <f>IF($O950="Aktif",MAX(0,MIN($AE950,$AD950-SUM($AG950:AJ950))),0)</f>
        <v>70312.5</v>
      </c>
      <c r="AL950" s="8">
        <f>IF($O950="Aktif",MAX(0,MIN($AE950,$AD950-SUM($AG950:AK950))),0)</f>
        <v>70312.5</v>
      </c>
      <c r="AM950" s="8">
        <f>IF($O950="Aktif",MAX(0,MIN($AE950,$AD950-SUM($AG950:AL950))),0)</f>
        <v>70312.5</v>
      </c>
      <c r="AN950" s="8">
        <f>IF($O950="Aktif",MAX(0,MIN($AE950,$AD950-SUM($AG950:AM950))),0)</f>
        <v>70312.5</v>
      </c>
      <c r="AO950" s="8">
        <f>IF($O950="Aktif",MAX(0,MIN($AE950,$AD950-SUM($AG950:AN950))),0)</f>
        <v>70312.5</v>
      </c>
      <c r="AP950" s="8">
        <f>IF($O950="Aktif",MAX(0,MIN($AE950,$AD950-SUM($AG950:AO950))),0)</f>
        <v>70312.5</v>
      </c>
      <c r="AQ950" s="8">
        <f>IF($O950="Aktif",MAX(0,MIN($AE950,$AD950-SUM($AG950:AP950))),0)</f>
        <v>70312.5</v>
      </c>
      <c r="AR950" s="8">
        <f>IF($O950="Aktif",MAX(0,MIN($AE950,$AD950-SUM($AG950:AQ950))),0)</f>
        <v>70312.5</v>
      </c>
      <c r="AS950" s="8">
        <f>IF($O950="Aktif",MAX(0,MIN($AE950,$AD950-SUM($AG950:AR950))),0)</f>
        <v>70312.5</v>
      </c>
      <c r="AT950" s="8">
        <f>IF($O950="Aktif",MAX(0,MIN($AE950,$AD950-SUM($AG950:AS950))),0)</f>
        <v>70312.5</v>
      </c>
      <c r="AU950" s="8">
        <f>IF($O950="Aktif",MAX(0,MIN($AE950,$AD950-SUM($AG950:AT950))),0)</f>
        <v>70312.5</v>
      </c>
      <c r="AV950" s="8">
        <f>IF($O950="Aktif",MAX(0,MIN($AE950,$AD950-SUM($AG950:AU950))),0)</f>
        <v>70312.5</v>
      </c>
      <c r="AW950" s="8">
        <f t="shared" si="103"/>
        <v>1125000</v>
      </c>
      <c r="AX950" s="8">
        <f t="shared" si="104"/>
        <v>4640625</v>
      </c>
    </row>
    <row r="951" spans="1:50" ht="15" customHeight="1" x14ac:dyDescent="0.35">
      <c r="A951" s="102">
        <v>945</v>
      </c>
      <c r="B951" s="102" t="s">
        <v>1326</v>
      </c>
      <c r="C951" s="103">
        <v>579</v>
      </c>
      <c r="D951" s="102" t="s">
        <v>185</v>
      </c>
      <c r="E951" s="102" t="s">
        <v>540</v>
      </c>
      <c r="F951" s="102" t="s">
        <v>2283</v>
      </c>
      <c r="G951" s="102" t="s">
        <v>2284</v>
      </c>
      <c r="H951" s="102" t="s">
        <v>2285</v>
      </c>
      <c r="I951" s="102" t="s">
        <v>63</v>
      </c>
      <c r="J951" s="102"/>
      <c r="K951" s="102"/>
      <c r="L951" s="104">
        <v>45841</v>
      </c>
      <c r="M951" s="102" t="s">
        <v>2773</v>
      </c>
      <c r="N951" s="102" t="s">
        <v>2773</v>
      </c>
      <c r="O951" s="102" t="s">
        <v>383</v>
      </c>
      <c r="P951" s="103">
        <v>1</v>
      </c>
      <c r="Q951" s="105">
        <v>6750000</v>
      </c>
      <c r="R951" s="103">
        <v>96</v>
      </c>
      <c r="S951" s="105">
        <v>70312.5</v>
      </c>
      <c r="T951" s="105">
        <v>421875</v>
      </c>
      <c r="U951" s="105">
        <v>70312.5</v>
      </c>
      <c r="V951" s="105">
        <v>70312.5</v>
      </c>
      <c r="W951" s="105">
        <v>70312.5</v>
      </c>
      <c r="X951" s="105">
        <v>70312.5</v>
      </c>
      <c r="Y951" s="105">
        <v>70312.5</v>
      </c>
      <c r="Z951" s="105">
        <v>70312.5</v>
      </c>
      <c r="AA951" s="105">
        <v>70312.5</v>
      </c>
      <c r="AB951" s="105">
        <v>70312.5</v>
      </c>
      <c r="AC951" s="8">
        <f t="shared" si="98"/>
        <v>984375</v>
      </c>
      <c r="AD951" s="8">
        <f t="shared" si="99"/>
        <v>5765625</v>
      </c>
      <c r="AE951" s="8">
        <f t="shared" si="100"/>
        <v>70312.5</v>
      </c>
      <c r="AF951" s="106">
        <f t="shared" si="101"/>
        <v>82</v>
      </c>
      <c r="AG951" s="8">
        <f t="shared" si="102"/>
        <v>70312.5</v>
      </c>
      <c r="AH951" s="8">
        <f>IF($O951="Aktif",MAX(0,MIN($AE951,$AD951-SUM($AG951:AG951))),0)</f>
        <v>70312.5</v>
      </c>
      <c r="AI951" s="8">
        <f>IF($O951="Aktif",MAX(0,MIN($AE951,$AD951-SUM($AG951:AH951))),0)</f>
        <v>70312.5</v>
      </c>
      <c r="AJ951" s="8">
        <f>IF($O951="Aktif",MAX(0,MIN($AE951,$AD951-SUM($AG951:AI951))),0)</f>
        <v>70312.5</v>
      </c>
      <c r="AK951" s="8">
        <f>IF($O951="Aktif",MAX(0,MIN($AE951,$AD951-SUM($AG951:AJ951))),0)</f>
        <v>70312.5</v>
      </c>
      <c r="AL951" s="8">
        <f>IF($O951="Aktif",MAX(0,MIN($AE951,$AD951-SUM($AG951:AK951))),0)</f>
        <v>70312.5</v>
      </c>
      <c r="AM951" s="8">
        <f>IF($O951="Aktif",MAX(0,MIN($AE951,$AD951-SUM($AG951:AL951))),0)</f>
        <v>70312.5</v>
      </c>
      <c r="AN951" s="8">
        <f>IF($O951="Aktif",MAX(0,MIN($AE951,$AD951-SUM($AG951:AM951))),0)</f>
        <v>70312.5</v>
      </c>
      <c r="AO951" s="8">
        <f>IF($O951="Aktif",MAX(0,MIN($AE951,$AD951-SUM($AG951:AN951))),0)</f>
        <v>70312.5</v>
      </c>
      <c r="AP951" s="8">
        <f>IF($O951="Aktif",MAX(0,MIN($AE951,$AD951-SUM($AG951:AO951))),0)</f>
        <v>70312.5</v>
      </c>
      <c r="AQ951" s="8">
        <f>IF($O951="Aktif",MAX(0,MIN($AE951,$AD951-SUM($AG951:AP951))),0)</f>
        <v>70312.5</v>
      </c>
      <c r="AR951" s="8">
        <f>IF($O951="Aktif",MAX(0,MIN($AE951,$AD951-SUM($AG951:AQ951))),0)</f>
        <v>70312.5</v>
      </c>
      <c r="AS951" s="8">
        <f>IF($O951="Aktif",MAX(0,MIN($AE951,$AD951-SUM($AG951:AR951))),0)</f>
        <v>70312.5</v>
      </c>
      <c r="AT951" s="8">
        <f>IF($O951="Aktif",MAX(0,MIN($AE951,$AD951-SUM($AG951:AS951))),0)</f>
        <v>70312.5</v>
      </c>
      <c r="AU951" s="8">
        <f>IF($O951="Aktif",MAX(0,MIN($AE951,$AD951-SUM($AG951:AT951))),0)</f>
        <v>70312.5</v>
      </c>
      <c r="AV951" s="8">
        <f>IF($O951="Aktif",MAX(0,MIN($AE951,$AD951-SUM($AG951:AU951))),0)</f>
        <v>70312.5</v>
      </c>
      <c r="AW951" s="8">
        <f t="shared" si="103"/>
        <v>1125000</v>
      </c>
      <c r="AX951" s="8">
        <f t="shared" si="104"/>
        <v>4640625</v>
      </c>
    </row>
    <row r="952" spans="1:50" ht="15" customHeight="1" x14ac:dyDescent="0.35">
      <c r="A952" s="102">
        <v>946</v>
      </c>
      <c r="B952" s="102" t="s">
        <v>1326</v>
      </c>
      <c r="C952" s="103">
        <v>580</v>
      </c>
      <c r="D952" s="102" t="s">
        <v>185</v>
      </c>
      <c r="E952" s="102" t="s">
        <v>540</v>
      </c>
      <c r="F952" s="102" t="s">
        <v>2283</v>
      </c>
      <c r="G952" s="102" t="s">
        <v>2284</v>
      </c>
      <c r="H952" s="102" t="s">
        <v>2285</v>
      </c>
      <c r="I952" s="102" t="s">
        <v>63</v>
      </c>
      <c r="J952" s="102"/>
      <c r="K952" s="102"/>
      <c r="L952" s="104">
        <v>45841</v>
      </c>
      <c r="M952" s="102" t="s">
        <v>2774</v>
      </c>
      <c r="N952" s="102" t="s">
        <v>2774</v>
      </c>
      <c r="O952" s="102" t="s">
        <v>383</v>
      </c>
      <c r="P952" s="103">
        <v>1</v>
      </c>
      <c r="Q952" s="105">
        <v>6750000</v>
      </c>
      <c r="R952" s="103">
        <v>96</v>
      </c>
      <c r="S952" s="105">
        <v>70312.5</v>
      </c>
      <c r="T952" s="105">
        <v>421875</v>
      </c>
      <c r="U952" s="105">
        <v>70312.5</v>
      </c>
      <c r="V952" s="105">
        <v>70312.5</v>
      </c>
      <c r="W952" s="105">
        <v>70312.5</v>
      </c>
      <c r="X952" s="105">
        <v>70312.5</v>
      </c>
      <c r="Y952" s="105">
        <v>70312.5</v>
      </c>
      <c r="Z952" s="105">
        <v>70312.5</v>
      </c>
      <c r="AA952" s="105">
        <v>70312.5</v>
      </c>
      <c r="AB952" s="105">
        <v>70312.5</v>
      </c>
      <c r="AC952" s="8">
        <f t="shared" si="98"/>
        <v>984375</v>
      </c>
      <c r="AD952" s="8">
        <f t="shared" si="99"/>
        <v>5765625</v>
      </c>
      <c r="AE952" s="8">
        <f t="shared" si="100"/>
        <v>70312.5</v>
      </c>
      <c r="AF952" s="106">
        <f t="shared" si="101"/>
        <v>82</v>
      </c>
      <c r="AG952" s="8">
        <f t="shared" si="102"/>
        <v>70312.5</v>
      </c>
      <c r="AH952" s="8">
        <f>IF($O952="Aktif",MAX(0,MIN($AE952,$AD952-SUM($AG952:AG952))),0)</f>
        <v>70312.5</v>
      </c>
      <c r="AI952" s="8">
        <f>IF($O952="Aktif",MAX(0,MIN($AE952,$AD952-SUM($AG952:AH952))),0)</f>
        <v>70312.5</v>
      </c>
      <c r="AJ952" s="8">
        <f>IF($O952="Aktif",MAX(0,MIN($AE952,$AD952-SUM($AG952:AI952))),0)</f>
        <v>70312.5</v>
      </c>
      <c r="AK952" s="8">
        <f>IF($O952="Aktif",MAX(0,MIN($AE952,$AD952-SUM($AG952:AJ952))),0)</f>
        <v>70312.5</v>
      </c>
      <c r="AL952" s="8">
        <f>IF($O952="Aktif",MAX(0,MIN($AE952,$AD952-SUM($AG952:AK952))),0)</f>
        <v>70312.5</v>
      </c>
      <c r="AM952" s="8">
        <f>IF($O952="Aktif",MAX(0,MIN($AE952,$AD952-SUM($AG952:AL952))),0)</f>
        <v>70312.5</v>
      </c>
      <c r="AN952" s="8">
        <f>IF($O952="Aktif",MAX(0,MIN($AE952,$AD952-SUM($AG952:AM952))),0)</f>
        <v>70312.5</v>
      </c>
      <c r="AO952" s="8">
        <f>IF($O952="Aktif",MAX(0,MIN($AE952,$AD952-SUM($AG952:AN952))),0)</f>
        <v>70312.5</v>
      </c>
      <c r="AP952" s="8">
        <f>IF($O952="Aktif",MAX(0,MIN($AE952,$AD952-SUM($AG952:AO952))),0)</f>
        <v>70312.5</v>
      </c>
      <c r="AQ952" s="8">
        <f>IF($O952="Aktif",MAX(0,MIN($AE952,$AD952-SUM($AG952:AP952))),0)</f>
        <v>70312.5</v>
      </c>
      <c r="AR952" s="8">
        <f>IF($O952="Aktif",MAX(0,MIN($AE952,$AD952-SUM($AG952:AQ952))),0)</f>
        <v>70312.5</v>
      </c>
      <c r="AS952" s="8">
        <f>IF($O952="Aktif",MAX(0,MIN($AE952,$AD952-SUM($AG952:AR952))),0)</f>
        <v>70312.5</v>
      </c>
      <c r="AT952" s="8">
        <f>IF($O952="Aktif",MAX(0,MIN($AE952,$AD952-SUM($AG952:AS952))),0)</f>
        <v>70312.5</v>
      </c>
      <c r="AU952" s="8">
        <f>IF($O952="Aktif",MAX(0,MIN($AE952,$AD952-SUM($AG952:AT952))),0)</f>
        <v>70312.5</v>
      </c>
      <c r="AV952" s="8">
        <f>IF($O952="Aktif",MAX(0,MIN($AE952,$AD952-SUM($AG952:AU952))),0)</f>
        <v>70312.5</v>
      </c>
      <c r="AW952" s="8">
        <f t="shared" si="103"/>
        <v>1125000</v>
      </c>
      <c r="AX952" s="8">
        <f t="shared" si="104"/>
        <v>4640625</v>
      </c>
    </row>
    <row r="953" spans="1:50" ht="15" customHeight="1" x14ac:dyDescent="0.35">
      <c r="A953" s="102">
        <v>947</v>
      </c>
      <c r="B953" s="102" t="s">
        <v>1326</v>
      </c>
      <c r="C953" s="103">
        <v>581</v>
      </c>
      <c r="D953" s="102" t="s">
        <v>185</v>
      </c>
      <c r="E953" s="102" t="s">
        <v>540</v>
      </c>
      <c r="F953" s="102" t="s">
        <v>2283</v>
      </c>
      <c r="G953" s="102" t="s">
        <v>2284</v>
      </c>
      <c r="H953" s="102" t="s">
        <v>2285</v>
      </c>
      <c r="I953" s="102" t="s">
        <v>63</v>
      </c>
      <c r="J953" s="102"/>
      <c r="K953" s="102"/>
      <c r="L953" s="104">
        <v>45853</v>
      </c>
      <c r="M953" s="102" t="s">
        <v>2775</v>
      </c>
      <c r="N953" s="102" t="s">
        <v>2775</v>
      </c>
      <c r="O953" s="102" t="s">
        <v>383</v>
      </c>
      <c r="P953" s="103">
        <v>1</v>
      </c>
      <c r="Q953" s="105">
        <v>6025000</v>
      </c>
      <c r="R953" s="103">
        <v>96</v>
      </c>
      <c r="S953" s="105">
        <v>62760.416666666701</v>
      </c>
      <c r="T953" s="105">
        <v>376562.5</v>
      </c>
      <c r="U953" s="105">
        <v>62760.416666666701</v>
      </c>
      <c r="V953" s="105">
        <v>62760.416666666701</v>
      </c>
      <c r="W953" s="105">
        <v>62760.416666666701</v>
      </c>
      <c r="X953" s="105">
        <v>62760.416666666701</v>
      </c>
      <c r="Y953" s="105">
        <v>62760.416666666701</v>
      </c>
      <c r="Z953" s="105">
        <v>62760.416666666701</v>
      </c>
      <c r="AA953" s="105">
        <v>62760.416666666701</v>
      </c>
      <c r="AB953" s="105">
        <v>62760.416666666701</v>
      </c>
      <c r="AC953" s="8">
        <f t="shared" si="98"/>
        <v>878645.83333333349</v>
      </c>
      <c r="AD953" s="8">
        <f t="shared" si="99"/>
        <v>5146354.166666666</v>
      </c>
      <c r="AE953" s="8">
        <f t="shared" si="100"/>
        <v>62760.416666666701</v>
      </c>
      <c r="AF953" s="106">
        <f t="shared" si="101"/>
        <v>81.999999999999943</v>
      </c>
      <c r="AG953" s="8">
        <f t="shared" si="102"/>
        <v>62760.416666666701</v>
      </c>
      <c r="AH953" s="8">
        <f>IF($O953="Aktif",MAX(0,MIN($AE953,$AD953-SUM($AG953:AG953))),0)</f>
        <v>62760.416666666701</v>
      </c>
      <c r="AI953" s="8">
        <f>IF($O953="Aktif",MAX(0,MIN($AE953,$AD953-SUM($AG953:AH953))),0)</f>
        <v>62760.416666666701</v>
      </c>
      <c r="AJ953" s="8">
        <f>IF($O953="Aktif",MAX(0,MIN($AE953,$AD953-SUM($AG953:AI953))),0)</f>
        <v>62760.416666666701</v>
      </c>
      <c r="AK953" s="8">
        <f>IF($O953="Aktif",MAX(0,MIN($AE953,$AD953-SUM($AG953:AJ953))),0)</f>
        <v>62760.416666666701</v>
      </c>
      <c r="AL953" s="8">
        <f>IF($O953="Aktif",MAX(0,MIN($AE953,$AD953-SUM($AG953:AK953))),0)</f>
        <v>62760.416666666701</v>
      </c>
      <c r="AM953" s="8">
        <f>IF($O953="Aktif",MAX(0,MIN($AE953,$AD953-SUM($AG953:AL953))),0)</f>
        <v>62760.416666666701</v>
      </c>
      <c r="AN953" s="8">
        <f>IF($O953="Aktif",MAX(0,MIN($AE953,$AD953-SUM($AG953:AM953))),0)</f>
        <v>62760.416666666701</v>
      </c>
      <c r="AO953" s="8">
        <f>IF($O953="Aktif",MAX(0,MIN($AE953,$AD953-SUM($AG953:AN953))),0)</f>
        <v>62760.416666666701</v>
      </c>
      <c r="AP953" s="8">
        <f>IF($O953="Aktif",MAX(0,MIN($AE953,$AD953-SUM($AG953:AO953))),0)</f>
        <v>62760.416666666701</v>
      </c>
      <c r="AQ953" s="8">
        <f>IF($O953="Aktif",MAX(0,MIN($AE953,$AD953-SUM($AG953:AP953))),0)</f>
        <v>62760.416666666701</v>
      </c>
      <c r="AR953" s="8">
        <f>IF($O953="Aktif",MAX(0,MIN($AE953,$AD953-SUM($AG953:AQ953))),0)</f>
        <v>62760.416666666701</v>
      </c>
      <c r="AS953" s="8">
        <f>IF($O953="Aktif",MAX(0,MIN($AE953,$AD953-SUM($AG953:AR953))),0)</f>
        <v>62760.416666666701</v>
      </c>
      <c r="AT953" s="8">
        <f>IF($O953="Aktif",MAX(0,MIN($AE953,$AD953-SUM($AG953:AS953))),0)</f>
        <v>62760.416666666701</v>
      </c>
      <c r="AU953" s="8">
        <f>IF($O953="Aktif",MAX(0,MIN($AE953,$AD953-SUM($AG953:AT953))),0)</f>
        <v>62760.416666666701</v>
      </c>
      <c r="AV953" s="8">
        <f>IF($O953="Aktif",MAX(0,MIN($AE953,$AD953-SUM($AG953:AU953))),0)</f>
        <v>62760.416666666701</v>
      </c>
      <c r="AW953" s="8">
        <f t="shared" si="103"/>
        <v>1004166.6666666674</v>
      </c>
      <c r="AX953" s="8">
        <f t="shared" si="104"/>
        <v>4142187.4999999986</v>
      </c>
    </row>
    <row r="954" spans="1:50" ht="15" customHeight="1" x14ac:dyDescent="0.35">
      <c r="A954" s="102">
        <v>948</v>
      </c>
      <c r="B954" s="102" t="s">
        <v>1326</v>
      </c>
      <c r="C954" s="103">
        <v>582</v>
      </c>
      <c r="D954" s="102" t="s">
        <v>185</v>
      </c>
      <c r="E954" s="102" t="s">
        <v>540</v>
      </c>
      <c r="F954" s="102" t="s">
        <v>2283</v>
      </c>
      <c r="G954" s="102" t="s">
        <v>2284</v>
      </c>
      <c r="H954" s="102" t="s">
        <v>2285</v>
      </c>
      <c r="I954" s="102" t="s">
        <v>63</v>
      </c>
      <c r="J954" s="102"/>
      <c r="K954" s="102"/>
      <c r="L954" s="104">
        <v>45853</v>
      </c>
      <c r="M954" s="102" t="s">
        <v>2776</v>
      </c>
      <c r="N954" s="102" t="s">
        <v>2776</v>
      </c>
      <c r="O954" s="102" t="s">
        <v>383</v>
      </c>
      <c r="P954" s="103">
        <v>1</v>
      </c>
      <c r="Q954" s="105">
        <v>8750000</v>
      </c>
      <c r="R954" s="103">
        <v>96</v>
      </c>
      <c r="S954" s="105">
        <v>91145.833333333299</v>
      </c>
      <c r="T954" s="105">
        <v>546875</v>
      </c>
      <c r="U954" s="105">
        <v>91145.833333333299</v>
      </c>
      <c r="V954" s="105">
        <v>91145.833333333299</v>
      </c>
      <c r="W954" s="105">
        <v>91145.833333333299</v>
      </c>
      <c r="X954" s="105">
        <v>91145.833333333299</v>
      </c>
      <c r="Y954" s="105">
        <v>91145.833333333299</v>
      </c>
      <c r="Z954" s="105">
        <v>91145.833333333299</v>
      </c>
      <c r="AA954" s="105">
        <v>91145.833333333299</v>
      </c>
      <c r="AB954" s="105">
        <v>91145.833333333299</v>
      </c>
      <c r="AC954" s="8">
        <f t="shared" si="98"/>
        <v>1276041.6666666663</v>
      </c>
      <c r="AD954" s="8">
        <f t="shared" si="99"/>
        <v>7473958.333333334</v>
      </c>
      <c r="AE954" s="8">
        <f t="shared" si="100"/>
        <v>91145.833333333299</v>
      </c>
      <c r="AF954" s="106">
        <f t="shared" si="101"/>
        <v>82.000000000000043</v>
      </c>
      <c r="AG954" s="8">
        <f t="shared" si="102"/>
        <v>91145.833333333299</v>
      </c>
      <c r="AH954" s="8">
        <f>IF($O954="Aktif",MAX(0,MIN($AE954,$AD954-SUM($AG954:AG954))),0)</f>
        <v>91145.833333333299</v>
      </c>
      <c r="AI954" s="8">
        <f>IF($O954="Aktif",MAX(0,MIN($AE954,$AD954-SUM($AG954:AH954))),0)</f>
        <v>91145.833333333299</v>
      </c>
      <c r="AJ954" s="8">
        <f>IF($O954="Aktif",MAX(0,MIN($AE954,$AD954-SUM($AG954:AI954))),0)</f>
        <v>91145.833333333299</v>
      </c>
      <c r="AK954" s="8">
        <f>IF($O954="Aktif",MAX(0,MIN($AE954,$AD954-SUM($AG954:AJ954))),0)</f>
        <v>91145.833333333299</v>
      </c>
      <c r="AL954" s="8">
        <f>IF($O954="Aktif",MAX(0,MIN($AE954,$AD954-SUM($AG954:AK954))),0)</f>
        <v>91145.833333333299</v>
      </c>
      <c r="AM954" s="8">
        <f>IF($O954="Aktif",MAX(0,MIN($AE954,$AD954-SUM($AG954:AL954))),0)</f>
        <v>91145.833333333299</v>
      </c>
      <c r="AN954" s="8">
        <f>IF($O954="Aktif",MAX(0,MIN($AE954,$AD954-SUM($AG954:AM954))),0)</f>
        <v>91145.833333333299</v>
      </c>
      <c r="AO954" s="8">
        <f>IF($O954="Aktif",MAX(0,MIN($AE954,$AD954-SUM($AG954:AN954))),0)</f>
        <v>91145.833333333299</v>
      </c>
      <c r="AP954" s="8">
        <f>IF($O954="Aktif",MAX(0,MIN($AE954,$AD954-SUM($AG954:AO954))),0)</f>
        <v>91145.833333333299</v>
      </c>
      <c r="AQ954" s="8">
        <f>IF($O954="Aktif",MAX(0,MIN($AE954,$AD954-SUM($AG954:AP954))),0)</f>
        <v>91145.833333333299</v>
      </c>
      <c r="AR954" s="8">
        <f>IF($O954="Aktif",MAX(0,MIN($AE954,$AD954-SUM($AG954:AQ954))),0)</f>
        <v>91145.833333333299</v>
      </c>
      <c r="AS954" s="8">
        <f>IF($O954="Aktif",MAX(0,MIN($AE954,$AD954-SUM($AG954:AR954))),0)</f>
        <v>91145.833333333299</v>
      </c>
      <c r="AT954" s="8">
        <f>IF($O954="Aktif",MAX(0,MIN($AE954,$AD954-SUM($AG954:AS954))),0)</f>
        <v>91145.833333333299</v>
      </c>
      <c r="AU954" s="8">
        <f>IF($O954="Aktif",MAX(0,MIN($AE954,$AD954-SUM($AG954:AT954))),0)</f>
        <v>91145.833333333299</v>
      </c>
      <c r="AV954" s="8">
        <f>IF($O954="Aktif",MAX(0,MIN($AE954,$AD954-SUM($AG954:AU954))),0)</f>
        <v>91145.833333333299</v>
      </c>
      <c r="AW954" s="8">
        <f t="shared" si="103"/>
        <v>1458333.3333333323</v>
      </c>
      <c r="AX954" s="8">
        <f t="shared" si="104"/>
        <v>6015625.0000000019</v>
      </c>
    </row>
    <row r="955" spans="1:50" ht="15" customHeight="1" x14ac:dyDescent="0.35">
      <c r="A955" s="102">
        <v>949</v>
      </c>
      <c r="B955" s="102" t="s">
        <v>1326</v>
      </c>
      <c r="C955" s="103">
        <v>583</v>
      </c>
      <c r="D955" s="102" t="s">
        <v>185</v>
      </c>
      <c r="E955" s="102" t="s">
        <v>479</v>
      </c>
      <c r="F955" s="102" t="s">
        <v>2332</v>
      </c>
      <c r="G955" s="102" t="s">
        <v>2333</v>
      </c>
      <c r="H955" s="102" t="s">
        <v>2334</v>
      </c>
      <c r="I955" s="102" t="s">
        <v>63</v>
      </c>
      <c r="J955" s="102"/>
      <c r="K955" s="102"/>
      <c r="L955" s="104">
        <v>45880</v>
      </c>
      <c r="M955" s="102" t="s">
        <v>2777</v>
      </c>
      <c r="N955" s="102" t="s">
        <v>2777</v>
      </c>
      <c r="O955" s="102" t="s">
        <v>383</v>
      </c>
      <c r="P955" s="103">
        <v>1</v>
      </c>
      <c r="Q955" s="105">
        <v>1200000</v>
      </c>
      <c r="R955" s="103">
        <v>48</v>
      </c>
      <c r="S955" s="105">
        <v>25000</v>
      </c>
      <c r="T955" s="105">
        <v>125000</v>
      </c>
      <c r="U955" s="105">
        <v>25000</v>
      </c>
      <c r="V955" s="105">
        <v>25000</v>
      </c>
      <c r="W955" s="105">
        <v>25000</v>
      </c>
      <c r="X955" s="105">
        <v>25000</v>
      </c>
      <c r="Y955" s="105">
        <v>25000</v>
      </c>
      <c r="Z955" s="105">
        <v>25000</v>
      </c>
      <c r="AA955" s="105">
        <v>25000</v>
      </c>
      <c r="AB955" s="105">
        <v>25000</v>
      </c>
      <c r="AC955" s="8">
        <f t="shared" si="98"/>
        <v>325000</v>
      </c>
      <c r="AD955" s="8">
        <f t="shared" si="99"/>
        <v>875000</v>
      </c>
      <c r="AE955" s="8">
        <f t="shared" si="100"/>
        <v>25000</v>
      </c>
      <c r="AF955" s="106">
        <f t="shared" si="101"/>
        <v>35</v>
      </c>
      <c r="AG955" s="8">
        <f t="shared" si="102"/>
        <v>25000</v>
      </c>
      <c r="AH955" s="8">
        <f>IF($O955="Aktif",MAX(0,MIN($AE955,$AD955-SUM($AG955:AG955))),0)</f>
        <v>25000</v>
      </c>
      <c r="AI955" s="8">
        <f>IF($O955="Aktif",MAX(0,MIN($AE955,$AD955-SUM($AG955:AH955))),0)</f>
        <v>25000</v>
      </c>
      <c r="AJ955" s="8">
        <f>IF($O955="Aktif",MAX(0,MIN($AE955,$AD955-SUM($AG955:AI955))),0)</f>
        <v>25000</v>
      </c>
      <c r="AK955" s="8">
        <f>IF($O955="Aktif",MAX(0,MIN($AE955,$AD955-SUM($AG955:AJ955))),0)</f>
        <v>25000</v>
      </c>
      <c r="AL955" s="8">
        <f>IF($O955="Aktif",MAX(0,MIN($AE955,$AD955-SUM($AG955:AK955))),0)</f>
        <v>25000</v>
      </c>
      <c r="AM955" s="8">
        <f>IF($O955="Aktif",MAX(0,MIN($AE955,$AD955-SUM($AG955:AL955))),0)</f>
        <v>25000</v>
      </c>
      <c r="AN955" s="8">
        <f>IF($O955="Aktif",MAX(0,MIN($AE955,$AD955-SUM($AG955:AM955))),0)</f>
        <v>25000</v>
      </c>
      <c r="AO955" s="8">
        <f>IF($O955="Aktif",MAX(0,MIN($AE955,$AD955-SUM($AG955:AN955))),0)</f>
        <v>25000</v>
      </c>
      <c r="AP955" s="8">
        <f>IF($O955="Aktif",MAX(0,MIN($AE955,$AD955-SUM($AG955:AO955))),0)</f>
        <v>25000</v>
      </c>
      <c r="AQ955" s="8">
        <f>IF($O955="Aktif",MAX(0,MIN($AE955,$AD955-SUM($AG955:AP955))),0)</f>
        <v>25000</v>
      </c>
      <c r="AR955" s="8">
        <f>IF($O955="Aktif",MAX(0,MIN($AE955,$AD955-SUM($AG955:AQ955))),0)</f>
        <v>25000</v>
      </c>
      <c r="AS955" s="8">
        <f>IF($O955="Aktif",MAX(0,MIN($AE955,$AD955-SUM($AG955:AR955))),0)</f>
        <v>25000</v>
      </c>
      <c r="AT955" s="8">
        <f>IF($O955="Aktif",MAX(0,MIN($AE955,$AD955-SUM($AG955:AS955))),0)</f>
        <v>25000</v>
      </c>
      <c r="AU955" s="8">
        <f>IF($O955="Aktif",MAX(0,MIN($AE955,$AD955-SUM($AG955:AT955))),0)</f>
        <v>25000</v>
      </c>
      <c r="AV955" s="8">
        <f>IF($O955="Aktif",MAX(0,MIN($AE955,$AD955-SUM($AG955:AU955))),0)</f>
        <v>25000</v>
      </c>
      <c r="AW955" s="8">
        <f t="shared" si="103"/>
        <v>400000</v>
      </c>
      <c r="AX955" s="8">
        <f t="shared" si="104"/>
        <v>475000</v>
      </c>
    </row>
    <row r="956" spans="1:50" ht="15" customHeight="1" x14ac:dyDescent="0.35">
      <c r="A956" s="102">
        <v>950</v>
      </c>
      <c r="B956" s="102" t="s">
        <v>1326</v>
      </c>
      <c r="C956" s="103">
        <v>584</v>
      </c>
      <c r="D956" s="102" t="s">
        <v>185</v>
      </c>
      <c r="E956" s="102" t="s">
        <v>479</v>
      </c>
      <c r="F956" s="102" t="s">
        <v>2332</v>
      </c>
      <c r="G956" s="102" t="s">
        <v>2333</v>
      </c>
      <c r="H956" s="102" t="s">
        <v>2334</v>
      </c>
      <c r="I956" s="102" t="s">
        <v>63</v>
      </c>
      <c r="J956" s="102"/>
      <c r="K956" s="102"/>
      <c r="L956" s="104">
        <v>45915</v>
      </c>
      <c r="M956" s="102" t="s">
        <v>2778</v>
      </c>
      <c r="N956" s="102" t="s">
        <v>2778</v>
      </c>
      <c r="O956" s="102" t="s">
        <v>383</v>
      </c>
      <c r="P956" s="103">
        <v>1</v>
      </c>
      <c r="Q956" s="105">
        <v>85000000</v>
      </c>
      <c r="R956" s="103">
        <v>48</v>
      </c>
      <c r="S956" s="105">
        <v>1770833.33333333</v>
      </c>
      <c r="T956" s="105">
        <v>7083333.3333333302</v>
      </c>
      <c r="U956" s="105">
        <v>1770833.33333333</v>
      </c>
      <c r="V956" s="105">
        <v>1770833.33333333</v>
      </c>
      <c r="W956" s="105">
        <v>1770833.33333333</v>
      </c>
      <c r="X956" s="105">
        <v>1770833.33333333</v>
      </c>
      <c r="Y956" s="105">
        <v>1770833.33333333</v>
      </c>
      <c r="Z956" s="105">
        <v>1770833.33333333</v>
      </c>
      <c r="AA956" s="105">
        <v>1770833.33333333</v>
      </c>
      <c r="AB956" s="105">
        <v>1770833.33333333</v>
      </c>
      <c r="AC956" s="8">
        <f t="shared" si="98"/>
        <v>21249999.99999997</v>
      </c>
      <c r="AD956" s="8">
        <f t="shared" si="99"/>
        <v>63750000.00000003</v>
      </c>
      <c r="AE956" s="8">
        <f t="shared" si="100"/>
        <v>1770833.33333333</v>
      </c>
      <c r="AF956" s="106">
        <f t="shared" si="101"/>
        <v>36.000000000000085</v>
      </c>
      <c r="AG956" s="8">
        <f t="shared" si="102"/>
        <v>1770833.33333333</v>
      </c>
      <c r="AH956" s="8">
        <f>IF($O956="Aktif",MAX(0,MIN($AE956,$AD956-SUM($AG956:AG956))),0)</f>
        <v>1770833.33333333</v>
      </c>
      <c r="AI956" s="8">
        <f>IF($O956="Aktif",MAX(0,MIN($AE956,$AD956-SUM($AG956:AH956))),0)</f>
        <v>1770833.33333333</v>
      </c>
      <c r="AJ956" s="8">
        <f>IF($O956="Aktif",MAX(0,MIN($AE956,$AD956-SUM($AG956:AI956))),0)</f>
        <v>1770833.33333333</v>
      </c>
      <c r="AK956" s="8">
        <f>IF($O956="Aktif",MAX(0,MIN($AE956,$AD956-SUM($AG956:AJ956))),0)</f>
        <v>1770833.33333333</v>
      </c>
      <c r="AL956" s="8">
        <f>IF($O956="Aktif",MAX(0,MIN($AE956,$AD956-SUM($AG956:AK956))),0)</f>
        <v>1770833.33333333</v>
      </c>
      <c r="AM956" s="8">
        <f>IF($O956="Aktif",MAX(0,MIN($AE956,$AD956-SUM($AG956:AL956))),0)</f>
        <v>1770833.33333333</v>
      </c>
      <c r="AN956" s="8">
        <f>IF($O956="Aktif",MAX(0,MIN($AE956,$AD956-SUM($AG956:AM956))),0)</f>
        <v>1770833.33333333</v>
      </c>
      <c r="AO956" s="8">
        <f>IF($O956="Aktif",MAX(0,MIN($AE956,$AD956-SUM($AG956:AN956))),0)</f>
        <v>1770833.33333333</v>
      </c>
      <c r="AP956" s="8">
        <f>IF($O956="Aktif",MAX(0,MIN($AE956,$AD956-SUM($AG956:AO956))),0)</f>
        <v>1770833.33333333</v>
      </c>
      <c r="AQ956" s="8">
        <f>IF($O956="Aktif",MAX(0,MIN($AE956,$AD956-SUM($AG956:AP956))),0)</f>
        <v>1770833.33333333</v>
      </c>
      <c r="AR956" s="8">
        <f>IF($O956="Aktif",MAX(0,MIN($AE956,$AD956-SUM($AG956:AQ956))),0)</f>
        <v>1770833.33333333</v>
      </c>
      <c r="AS956" s="8">
        <f>IF($O956="Aktif",MAX(0,MIN($AE956,$AD956-SUM($AG956:AR956))),0)</f>
        <v>1770833.33333333</v>
      </c>
      <c r="AT956" s="8">
        <f>IF($O956="Aktif",MAX(0,MIN($AE956,$AD956-SUM($AG956:AS956))),0)</f>
        <v>1770833.33333333</v>
      </c>
      <c r="AU956" s="8">
        <f>IF($O956="Aktif",MAX(0,MIN($AE956,$AD956-SUM($AG956:AT956))),0)</f>
        <v>1770833.33333333</v>
      </c>
      <c r="AV956" s="8">
        <f>IF($O956="Aktif",MAX(0,MIN($AE956,$AD956-SUM($AG956:AU956))),0)</f>
        <v>1770833.33333333</v>
      </c>
      <c r="AW956" s="8">
        <f t="shared" si="103"/>
        <v>28333333.333333269</v>
      </c>
      <c r="AX956" s="8">
        <f t="shared" si="104"/>
        <v>35416666.666666761</v>
      </c>
    </row>
    <row r="957" spans="1:50" ht="15" customHeight="1" x14ac:dyDescent="0.35">
      <c r="A957" s="102">
        <v>951</v>
      </c>
      <c r="B957" s="102" t="s">
        <v>1326</v>
      </c>
      <c r="C957" s="103">
        <v>585</v>
      </c>
      <c r="D957" s="102" t="s">
        <v>185</v>
      </c>
      <c r="E957" s="102" t="s">
        <v>479</v>
      </c>
      <c r="F957" s="102" t="s">
        <v>2332</v>
      </c>
      <c r="G957" s="102" t="s">
        <v>2333</v>
      </c>
      <c r="H957" s="102" t="s">
        <v>2334</v>
      </c>
      <c r="I957" s="102" t="s">
        <v>63</v>
      </c>
      <c r="J957" s="102"/>
      <c r="K957" s="102"/>
      <c r="L957" s="104">
        <v>45945</v>
      </c>
      <c r="M957" s="102" t="s">
        <v>2779</v>
      </c>
      <c r="N957" s="102" t="s">
        <v>2779</v>
      </c>
      <c r="O957" s="102" t="s">
        <v>383</v>
      </c>
      <c r="P957" s="103">
        <v>1</v>
      </c>
      <c r="Q957" s="105">
        <v>4504505</v>
      </c>
      <c r="R957" s="103">
        <v>48</v>
      </c>
      <c r="S957" s="105">
        <v>93843.854166666701</v>
      </c>
      <c r="T957" s="105">
        <v>281531.5625</v>
      </c>
      <c r="U957" s="105">
        <v>93843.854166666701</v>
      </c>
      <c r="V957" s="105">
        <v>93843.854166666701</v>
      </c>
      <c r="W957" s="105">
        <v>93843.854166666701</v>
      </c>
      <c r="X957" s="105">
        <v>93843.854166666701</v>
      </c>
      <c r="Y957" s="105">
        <v>93843.854166666701</v>
      </c>
      <c r="Z957" s="105">
        <v>93843.854166666701</v>
      </c>
      <c r="AA957" s="105">
        <v>93843.854166666701</v>
      </c>
      <c r="AB957" s="105">
        <v>93843.854166666701</v>
      </c>
      <c r="AC957" s="8">
        <f t="shared" si="98"/>
        <v>1032282.3958333337</v>
      </c>
      <c r="AD957" s="8">
        <f t="shared" si="99"/>
        <v>3472222.604166666</v>
      </c>
      <c r="AE957" s="8">
        <f t="shared" si="100"/>
        <v>93843.854166666701</v>
      </c>
      <c r="AF957" s="106">
        <f t="shared" si="101"/>
        <v>36.999999999999979</v>
      </c>
      <c r="AG957" s="8">
        <f t="shared" si="102"/>
        <v>93843.854166666701</v>
      </c>
      <c r="AH957" s="8">
        <f>IF($O957="Aktif",MAX(0,MIN($AE957,$AD957-SUM($AG957:AG957))),0)</f>
        <v>93843.854166666701</v>
      </c>
      <c r="AI957" s="8">
        <f>IF($O957="Aktif",MAX(0,MIN($AE957,$AD957-SUM($AG957:AH957))),0)</f>
        <v>93843.854166666701</v>
      </c>
      <c r="AJ957" s="8">
        <f>IF($O957="Aktif",MAX(0,MIN($AE957,$AD957-SUM($AG957:AI957))),0)</f>
        <v>93843.854166666701</v>
      </c>
      <c r="AK957" s="8">
        <f>IF($O957="Aktif",MAX(0,MIN($AE957,$AD957-SUM($AG957:AJ957))),0)</f>
        <v>93843.854166666701</v>
      </c>
      <c r="AL957" s="8">
        <f>IF($O957="Aktif",MAX(0,MIN($AE957,$AD957-SUM($AG957:AK957))),0)</f>
        <v>93843.854166666701</v>
      </c>
      <c r="AM957" s="8">
        <f>IF($O957="Aktif",MAX(0,MIN($AE957,$AD957-SUM($AG957:AL957))),0)</f>
        <v>93843.854166666701</v>
      </c>
      <c r="AN957" s="8">
        <f>IF($O957="Aktif",MAX(0,MIN($AE957,$AD957-SUM($AG957:AM957))),0)</f>
        <v>93843.854166666701</v>
      </c>
      <c r="AO957" s="8">
        <f>IF($O957="Aktif",MAX(0,MIN($AE957,$AD957-SUM($AG957:AN957))),0)</f>
        <v>93843.854166666701</v>
      </c>
      <c r="AP957" s="8">
        <f>IF($O957="Aktif",MAX(0,MIN($AE957,$AD957-SUM($AG957:AO957))),0)</f>
        <v>93843.854166666701</v>
      </c>
      <c r="AQ957" s="8">
        <f>IF($O957="Aktif",MAX(0,MIN($AE957,$AD957-SUM($AG957:AP957))),0)</f>
        <v>93843.854166666701</v>
      </c>
      <c r="AR957" s="8">
        <f>IF($O957="Aktif",MAX(0,MIN($AE957,$AD957-SUM($AG957:AQ957))),0)</f>
        <v>93843.854166666701</v>
      </c>
      <c r="AS957" s="8">
        <f>IF($O957="Aktif",MAX(0,MIN($AE957,$AD957-SUM($AG957:AR957))),0)</f>
        <v>93843.854166666701</v>
      </c>
      <c r="AT957" s="8">
        <f>IF($O957="Aktif",MAX(0,MIN($AE957,$AD957-SUM($AG957:AS957))),0)</f>
        <v>93843.854166666701</v>
      </c>
      <c r="AU957" s="8">
        <f>IF($O957="Aktif",MAX(0,MIN($AE957,$AD957-SUM($AG957:AT957))),0)</f>
        <v>93843.854166666701</v>
      </c>
      <c r="AV957" s="8">
        <f>IF($O957="Aktif",MAX(0,MIN($AE957,$AD957-SUM($AG957:AU957))),0)</f>
        <v>93843.854166666701</v>
      </c>
      <c r="AW957" s="8">
        <f t="shared" si="103"/>
        <v>1501501.6666666677</v>
      </c>
      <c r="AX957" s="8">
        <f t="shared" si="104"/>
        <v>1970720.9374999984</v>
      </c>
    </row>
    <row r="958" spans="1:50" ht="15" customHeight="1" x14ac:dyDescent="0.35">
      <c r="A958" s="102">
        <v>952</v>
      </c>
      <c r="B958" s="102" t="s">
        <v>1326</v>
      </c>
      <c r="C958" s="103">
        <v>586</v>
      </c>
      <c r="D958" s="102" t="s">
        <v>185</v>
      </c>
      <c r="E958" s="102" t="s">
        <v>540</v>
      </c>
      <c r="F958" s="102" t="s">
        <v>2283</v>
      </c>
      <c r="G958" s="102" t="s">
        <v>2284</v>
      </c>
      <c r="H958" s="102" t="s">
        <v>2285</v>
      </c>
      <c r="I958" s="102" t="s">
        <v>63</v>
      </c>
      <c r="J958" s="102"/>
      <c r="K958" s="102"/>
      <c r="L958" s="104">
        <v>45945</v>
      </c>
      <c r="M958" s="102" t="s">
        <v>2780</v>
      </c>
      <c r="N958" s="102" t="s">
        <v>2780</v>
      </c>
      <c r="O958" s="102" t="s">
        <v>383</v>
      </c>
      <c r="P958" s="103">
        <v>1</v>
      </c>
      <c r="Q958" s="105">
        <v>27500000</v>
      </c>
      <c r="R958" s="103">
        <v>96</v>
      </c>
      <c r="S958" s="105">
        <v>286458.33333333302</v>
      </c>
      <c r="T958" s="105">
        <v>859375</v>
      </c>
      <c r="U958" s="105">
        <v>286458.33333333302</v>
      </c>
      <c r="V958" s="105">
        <v>286458.33333333302</v>
      </c>
      <c r="W958" s="105">
        <v>286458.33333333302</v>
      </c>
      <c r="X958" s="105">
        <v>286458.33333333302</v>
      </c>
      <c r="Y958" s="105">
        <v>286458.33333333302</v>
      </c>
      <c r="Z958" s="105">
        <v>286458.33333333302</v>
      </c>
      <c r="AA958" s="105">
        <v>286458.33333333302</v>
      </c>
      <c r="AB958" s="105">
        <v>286458.33333333302</v>
      </c>
      <c r="AC958" s="8">
        <f t="shared" si="98"/>
        <v>3151041.6666666642</v>
      </c>
      <c r="AD958" s="8">
        <f t="shared" si="99"/>
        <v>24348958.333333336</v>
      </c>
      <c r="AE958" s="8">
        <f t="shared" si="100"/>
        <v>286458.33333333302</v>
      </c>
      <c r="AF958" s="106">
        <f t="shared" si="101"/>
        <v>85.000000000000099</v>
      </c>
      <c r="AG958" s="8">
        <f t="shared" si="102"/>
        <v>286458.33333333302</v>
      </c>
      <c r="AH958" s="8">
        <f>IF($O958="Aktif",MAX(0,MIN($AE958,$AD958-SUM($AG958:AG958))),0)</f>
        <v>286458.33333333302</v>
      </c>
      <c r="AI958" s="8">
        <f>IF($O958="Aktif",MAX(0,MIN($AE958,$AD958-SUM($AG958:AH958))),0)</f>
        <v>286458.33333333302</v>
      </c>
      <c r="AJ958" s="8">
        <f>IF($O958="Aktif",MAX(0,MIN($AE958,$AD958-SUM($AG958:AI958))),0)</f>
        <v>286458.33333333302</v>
      </c>
      <c r="AK958" s="8">
        <f>IF($O958="Aktif",MAX(0,MIN($AE958,$AD958-SUM($AG958:AJ958))),0)</f>
        <v>286458.33333333302</v>
      </c>
      <c r="AL958" s="8">
        <f>IF($O958="Aktif",MAX(0,MIN($AE958,$AD958-SUM($AG958:AK958))),0)</f>
        <v>286458.33333333302</v>
      </c>
      <c r="AM958" s="8">
        <f>IF($O958="Aktif",MAX(0,MIN($AE958,$AD958-SUM($AG958:AL958))),0)</f>
        <v>286458.33333333302</v>
      </c>
      <c r="AN958" s="8">
        <f>IF($O958="Aktif",MAX(0,MIN($AE958,$AD958-SUM($AG958:AM958))),0)</f>
        <v>286458.33333333302</v>
      </c>
      <c r="AO958" s="8">
        <f>IF($O958="Aktif",MAX(0,MIN($AE958,$AD958-SUM($AG958:AN958))),0)</f>
        <v>286458.33333333302</v>
      </c>
      <c r="AP958" s="8">
        <f>IF($O958="Aktif",MAX(0,MIN($AE958,$AD958-SUM($AG958:AO958))),0)</f>
        <v>286458.33333333302</v>
      </c>
      <c r="AQ958" s="8">
        <f>IF($O958="Aktif",MAX(0,MIN($AE958,$AD958-SUM($AG958:AP958))),0)</f>
        <v>286458.33333333302</v>
      </c>
      <c r="AR958" s="8">
        <f>IF($O958="Aktif",MAX(0,MIN($AE958,$AD958-SUM($AG958:AQ958))),0)</f>
        <v>286458.33333333302</v>
      </c>
      <c r="AS958" s="8">
        <f>IF($O958="Aktif",MAX(0,MIN($AE958,$AD958-SUM($AG958:AR958))),0)</f>
        <v>286458.33333333302</v>
      </c>
      <c r="AT958" s="8">
        <f>IF($O958="Aktif",MAX(0,MIN($AE958,$AD958-SUM($AG958:AS958))),0)</f>
        <v>286458.33333333302</v>
      </c>
      <c r="AU958" s="8">
        <f>IF($O958="Aktif",MAX(0,MIN($AE958,$AD958-SUM($AG958:AT958))),0)</f>
        <v>286458.33333333302</v>
      </c>
      <c r="AV958" s="8">
        <f>IF($O958="Aktif",MAX(0,MIN($AE958,$AD958-SUM($AG958:AU958))),0)</f>
        <v>286458.33333333302</v>
      </c>
      <c r="AW958" s="8">
        <f t="shared" si="103"/>
        <v>4583333.3333333284</v>
      </c>
      <c r="AX958" s="8">
        <f t="shared" si="104"/>
        <v>19765625.000000007</v>
      </c>
    </row>
    <row r="959" spans="1:50" ht="15" customHeight="1" x14ac:dyDescent="0.35">
      <c r="A959" s="102">
        <v>953</v>
      </c>
      <c r="B959" s="102" t="s">
        <v>1326</v>
      </c>
      <c r="C959" s="103">
        <v>587</v>
      </c>
      <c r="D959" s="102" t="s">
        <v>185</v>
      </c>
      <c r="E959" s="102" t="s">
        <v>479</v>
      </c>
      <c r="F959" s="102" t="s">
        <v>2332</v>
      </c>
      <c r="G959" s="102" t="s">
        <v>2333</v>
      </c>
      <c r="H959" s="102" t="s">
        <v>2334</v>
      </c>
      <c r="I959" s="102" t="s">
        <v>63</v>
      </c>
      <c r="J959" s="102"/>
      <c r="K959" s="102"/>
      <c r="L959" s="104">
        <v>45971</v>
      </c>
      <c r="M959" s="102" t="s">
        <v>2781</v>
      </c>
      <c r="N959" s="102" t="s">
        <v>2781</v>
      </c>
      <c r="O959" s="102" t="s">
        <v>383</v>
      </c>
      <c r="P959" s="103">
        <v>1</v>
      </c>
      <c r="Q959" s="105">
        <v>1498116</v>
      </c>
      <c r="R959" s="103">
        <v>48</v>
      </c>
      <c r="S959" s="105">
        <v>31210.75</v>
      </c>
      <c r="T959" s="105">
        <v>62421.5</v>
      </c>
      <c r="U959" s="105">
        <v>31210.75</v>
      </c>
      <c r="V959" s="105">
        <v>31210.75</v>
      </c>
      <c r="W959" s="105">
        <v>31210.75</v>
      </c>
      <c r="X959" s="105">
        <v>31210.75</v>
      </c>
      <c r="Y959" s="105">
        <v>31210.75</v>
      </c>
      <c r="Z959" s="105">
        <v>31210.75</v>
      </c>
      <c r="AA959" s="105">
        <v>31210.75</v>
      </c>
      <c r="AB959" s="105">
        <v>31210.75</v>
      </c>
      <c r="AC959" s="8">
        <f t="shared" si="98"/>
        <v>312107.5</v>
      </c>
      <c r="AD959" s="8">
        <f t="shared" si="99"/>
        <v>1186008.5</v>
      </c>
      <c r="AE959" s="8">
        <f t="shared" si="100"/>
        <v>31210.75</v>
      </c>
      <c r="AF959" s="106">
        <f t="shared" si="101"/>
        <v>38</v>
      </c>
      <c r="AG959" s="8">
        <f t="shared" si="102"/>
        <v>31210.75</v>
      </c>
      <c r="AH959" s="8">
        <f>IF($O959="Aktif",MAX(0,MIN($AE959,$AD959-SUM($AG959:AG959))),0)</f>
        <v>31210.75</v>
      </c>
      <c r="AI959" s="8">
        <f>IF($O959="Aktif",MAX(0,MIN($AE959,$AD959-SUM($AG959:AH959))),0)</f>
        <v>31210.75</v>
      </c>
      <c r="AJ959" s="8">
        <f>IF($O959="Aktif",MAX(0,MIN($AE959,$AD959-SUM($AG959:AI959))),0)</f>
        <v>31210.75</v>
      </c>
      <c r="AK959" s="8">
        <f>IF($O959="Aktif",MAX(0,MIN($AE959,$AD959-SUM($AG959:AJ959))),0)</f>
        <v>31210.75</v>
      </c>
      <c r="AL959" s="8">
        <f>IF($O959="Aktif",MAX(0,MIN($AE959,$AD959-SUM($AG959:AK959))),0)</f>
        <v>31210.75</v>
      </c>
      <c r="AM959" s="8">
        <f>IF($O959="Aktif",MAX(0,MIN($AE959,$AD959-SUM($AG959:AL959))),0)</f>
        <v>31210.75</v>
      </c>
      <c r="AN959" s="8">
        <f>IF($O959="Aktif",MAX(0,MIN($AE959,$AD959-SUM($AG959:AM959))),0)</f>
        <v>31210.75</v>
      </c>
      <c r="AO959" s="8">
        <f>IF($O959="Aktif",MAX(0,MIN($AE959,$AD959-SUM($AG959:AN959))),0)</f>
        <v>31210.75</v>
      </c>
      <c r="AP959" s="8">
        <f>IF($O959="Aktif",MAX(0,MIN($AE959,$AD959-SUM($AG959:AO959))),0)</f>
        <v>31210.75</v>
      </c>
      <c r="AQ959" s="8">
        <f>IF($O959="Aktif",MAX(0,MIN($AE959,$AD959-SUM($AG959:AP959))),0)</f>
        <v>31210.75</v>
      </c>
      <c r="AR959" s="8">
        <f>IF($O959="Aktif",MAX(0,MIN($AE959,$AD959-SUM($AG959:AQ959))),0)</f>
        <v>31210.75</v>
      </c>
      <c r="AS959" s="8">
        <f>IF($O959="Aktif",MAX(0,MIN($AE959,$AD959-SUM($AG959:AR959))),0)</f>
        <v>31210.75</v>
      </c>
      <c r="AT959" s="8">
        <f>IF($O959="Aktif",MAX(0,MIN($AE959,$AD959-SUM($AG959:AS959))),0)</f>
        <v>31210.75</v>
      </c>
      <c r="AU959" s="8">
        <f>IF($O959="Aktif",MAX(0,MIN($AE959,$AD959-SUM($AG959:AT959))),0)</f>
        <v>31210.75</v>
      </c>
      <c r="AV959" s="8">
        <f>IF($O959="Aktif",MAX(0,MIN($AE959,$AD959-SUM($AG959:AU959))),0)</f>
        <v>31210.75</v>
      </c>
      <c r="AW959" s="8">
        <f t="shared" si="103"/>
        <v>499372</v>
      </c>
      <c r="AX959" s="8">
        <f t="shared" si="104"/>
        <v>686636.5</v>
      </c>
    </row>
    <row r="960" spans="1:50" ht="15" customHeight="1" x14ac:dyDescent="0.35">
      <c r="A960" s="102">
        <v>954</v>
      </c>
      <c r="B960" s="102" t="s">
        <v>1326</v>
      </c>
      <c r="C960" s="103">
        <v>588</v>
      </c>
      <c r="D960" s="102" t="s">
        <v>185</v>
      </c>
      <c r="E960" s="102" t="s">
        <v>479</v>
      </c>
      <c r="F960" s="102" t="s">
        <v>2332</v>
      </c>
      <c r="G960" s="102" t="s">
        <v>2333</v>
      </c>
      <c r="H960" s="102" t="s">
        <v>2334</v>
      </c>
      <c r="I960" s="102" t="s">
        <v>63</v>
      </c>
      <c r="J960" s="102"/>
      <c r="K960" s="102"/>
      <c r="L960" s="104">
        <v>45976</v>
      </c>
      <c r="M960" s="102" t="s">
        <v>2782</v>
      </c>
      <c r="N960" s="102" t="s">
        <v>2782</v>
      </c>
      <c r="O960" s="102" t="s">
        <v>383</v>
      </c>
      <c r="P960" s="103">
        <v>1</v>
      </c>
      <c r="Q960" s="105">
        <v>14322500</v>
      </c>
      <c r="R960" s="103">
        <v>48</v>
      </c>
      <c r="S960" s="105">
        <v>298385.41666666698</v>
      </c>
      <c r="T960" s="105">
        <v>596770.83333333302</v>
      </c>
      <c r="U960" s="105">
        <v>298385.41666666698</v>
      </c>
      <c r="V960" s="105">
        <v>298385.41666666698</v>
      </c>
      <c r="W960" s="105">
        <v>298385.41666666698</v>
      </c>
      <c r="X960" s="105">
        <v>298385.41666666698</v>
      </c>
      <c r="Y960" s="105">
        <v>298385.41666666698</v>
      </c>
      <c r="Z960" s="105">
        <v>298385.41666666698</v>
      </c>
      <c r="AA960" s="105">
        <v>298385.41666666698</v>
      </c>
      <c r="AB960" s="105">
        <v>298385.41666666698</v>
      </c>
      <c r="AC960" s="8">
        <f t="shared" si="98"/>
        <v>2983854.1666666688</v>
      </c>
      <c r="AD960" s="8">
        <f t="shared" si="99"/>
        <v>11338645.833333332</v>
      </c>
      <c r="AE960" s="8">
        <f t="shared" si="100"/>
        <v>298385.41666666698</v>
      </c>
      <c r="AF960" s="106">
        <f t="shared" si="101"/>
        <v>37.999999999999957</v>
      </c>
      <c r="AG960" s="8">
        <f t="shared" si="102"/>
        <v>298385.41666666698</v>
      </c>
      <c r="AH960" s="8">
        <f>IF($O960="Aktif",MAX(0,MIN($AE960,$AD960-SUM($AG960:AG960))),0)</f>
        <v>298385.41666666698</v>
      </c>
      <c r="AI960" s="8">
        <f>IF($O960="Aktif",MAX(0,MIN($AE960,$AD960-SUM($AG960:AH960))),0)</f>
        <v>298385.41666666698</v>
      </c>
      <c r="AJ960" s="8">
        <f>IF($O960="Aktif",MAX(0,MIN($AE960,$AD960-SUM($AG960:AI960))),0)</f>
        <v>298385.41666666698</v>
      </c>
      <c r="AK960" s="8">
        <f>IF($O960="Aktif",MAX(0,MIN($AE960,$AD960-SUM($AG960:AJ960))),0)</f>
        <v>298385.41666666698</v>
      </c>
      <c r="AL960" s="8">
        <f>IF($O960="Aktif",MAX(0,MIN($AE960,$AD960-SUM($AG960:AK960))),0)</f>
        <v>298385.41666666698</v>
      </c>
      <c r="AM960" s="8">
        <f>IF($O960="Aktif",MAX(0,MIN($AE960,$AD960-SUM($AG960:AL960))),0)</f>
        <v>298385.41666666698</v>
      </c>
      <c r="AN960" s="8">
        <f>IF($O960="Aktif",MAX(0,MIN($AE960,$AD960-SUM($AG960:AM960))),0)</f>
        <v>298385.41666666698</v>
      </c>
      <c r="AO960" s="8">
        <f>IF($O960="Aktif",MAX(0,MIN($AE960,$AD960-SUM($AG960:AN960))),0)</f>
        <v>298385.41666666698</v>
      </c>
      <c r="AP960" s="8">
        <f>IF($O960="Aktif",MAX(0,MIN($AE960,$AD960-SUM($AG960:AO960))),0)</f>
        <v>298385.41666666698</v>
      </c>
      <c r="AQ960" s="8">
        <f>IF($O960="Aktif",MAX(0,MIN($AE960,$AD960-SUM($AG960:AP960))),0)</f>
        <v>298385.41666666698</v>
      </c>
      <c r="AR960" s="8">
        <f>IF($O960="Aktif",MAX(0,MIN($AE960,$AD960-SUM($AG960:AQ960))),0)</f>
        <v>298385.41666666698</v>
      </c>
      <c r="AS960" s="8">
        <f>IF($O960="Aktif",MAX(0,MIN($AE960,$AD960-SUM($AG960:AR960))),0)</f>
        <v>298385.41666666698</v>
      </c>
      <c r="AT960" s="8">
        <f>IF($O960="Aktif",MAX(0,MIN($AE960,$AD960-SUM($AG960:AS960))),0)</f>
        <v>298385.41666666698</v>
      </c>
      <c r="AU960" s="8">
        <f>IF($O960="Aktif",MAX(0,MIN($AE960,$AD960-SUM($AG960:AT960))),0)</f>
        <v>298385.41666666698</v>
      </c>
      <c r="AV960" s="8">
        <f>IF($O960="Aktif",MAX(0,MIN($AE960,$AD960-SUM($AG960:AU960))),0)</f>
        <v>298385.41666666698</v>
      </c>
      <c r="AW960" s="8">
        <f t="shared" si="103"/>
        <v>4774166.6666666716</v>
      </c>
      <c r="AX960" s="8">
        <f t="shared" si="104"/>
        <v>6564479.1666666605</v>
      </c>
    </row>
    <row r="961" spans="1:50" ht="15" customHeight="1" x14ac:dyDescent="0.35">
      <c r="A961" s="102">
        <v>955</v>
      </c>
      <c r="B961" s="102" t="s">
        <v>1326</v>
      </c>
      <c r="C961" s="103">
        <v>589</v>
      </c>
      <c r="D961" s="102" t="s">
        <v>185</v>
      </c>
      <c r="E961" s="102" t="s">
        <v>479</v>
      </c>
      <c r="F961" s="102" t="s">
        <v>2332</v>
      </c>
      <c r="G961" s="102" t="s">
        <v>2333</v>
      </c>
      <c r="H961" s="102" t="s">
        <v>2334</v>
      </c>
      <c r="I961" s="102" t="s">
        <v>63</v>
      </c>
      <c r="J961" s="102"/>
      <c r="K961" s="102"/>
      <c r="L961" s="104">
        <v>45976</v>
      </c>
      <c r="M961" s="102" t="s">
        <v>2783</v>
      </c>
      <c r="N961" s="102" t="s">
        <v>2783</v>
      </c>
      <c r="O961" s="102" t="s">
        <v>383</v>
      </c>
      <c r="P961" s="103">
        <v>1</v>
      </c>
      <c r="Q961" s="105">
        <v>8075000</v>
      </c>
      <c r="R961" s="103">
        <v>48</v>
      </c>
      <c r="S961" s="105">
        <v>168229.16666666701</v>
      </c>
      <c r="T961" s="105">
        <v>336458.33333333302</v>
      </c>
      <c r="U961" s="105">
        <v>168229.16666666701</v>
      </c>
      <c r="V961" s="105">
        <v>168229.16666666701</v>
      </c>
      <c r="W961" s="105">
        <v>168229.16666666701</v>
      </c>
      <c r="X961" s="105">
        <v>168229.16666666701</v>
      </c>
      <c r="Y961" s="105">
        <v>168229.16666666701</v>
      </c>
      <c r="Z961" s="105">
        <v>168229.16666666701</v>
      </c>
      <c r="AA961" s="105">
        <v>168229.16666666701</v>
      </c>
      <c r="AB961" s="105">
        <v>168229.16666666701</v>
      </c>
      <c r="AC961" s="8">
        <f t="shared" si="98"/>
        <v>1682291.6666666691</v>
      </c>
      <c r="AD961" s="8">
        <f t="shared" si="99"/>
        <v>6392708.3333333312</v>
      </c>
      <c r="AE961" s="8">
        <f t="shared" si="100"/>
        <v>168229.16666666701</v>
      </c>
      <c r="AF961" s="106">
        <f t="shared" si="101"/>
        <v>37.999999999999908</v>
      </c>
      <c r="AG961" s="8">
        <f t="shared" si="102"/>
        <v>168229.16666666701</v>
      </c>
      <c r="AH961" s="8">
        <f>IF($O961="Aktif",MAX(0,MIN($AE961,$AD961-SUM($AG961:AG961))),0)</f>
        <v>168229.16666666701</v>
      </c>
      <c r="AI961" s="8">
        <f>IF($O961="Aktif",MAX(0,MIN($AE961,$AD961-SUM($AG961:AH961))),0)</f>
        <v>168229.16666666701</v>
      </c>
      <c r="AJ961" s="8">
        <f>IF($O961="Aktif",MAX(0,MIN($AE961,$AD961-SUM($AG961:AI961))),0)</f>
        <v>168229.16666666701</v>
      </c>
      <c r="AK961" s="8">
        <f>IF($O961="Aktif",MAX(0,MIN($AE961,$AD961-SUM($AG961:AJ961))),0)</f>
        <v>168229.16666666701</v>
      </c>
      <c r="AL961" s="8">
        <f>IF($O961="Aktif",MAX(0,MIN($AE961,$AD961-SUM($AG961:AK961))),0)</f>
        <v>168229.16666666701</v>
      </c>
      <c r="AM961" s="8">
        <f>IF($O961="Aktif",MAX(0,MIN($AE961,$AD961-SUM($AG961:AL961))),0)</f>
        <v>168229.16666666701</v>
      </c>
      <c r="AN961" s="8">
        <f>IF($O961="Aktif",MAX(0,MIN($AE961,$AD961-SUM($AG961:AM961))),0)</f>
        <v>168229.16666666701</v>
      </c>
      <c r="AO961" s="8">
        <f>IF($O961="Aktif",MAX(0,MIN($AE961,$AD961-SUM($AG961:AN961))),0)</f>
        <v>168229.16666666701</v>
      </c>
      <c r="AP961" s="8">
        <f>IF($O961="Aktif",MAX(0,MIN($AE961,$AD961-SUM($AG961:AO961))),0)</f>
        <v>168229.16666666701</v>
      </c>
      <c r="AQ961" s="8">
        <f>IF($O961="Aktif",MAX(0,MIN($AE961,$AD961-SUM($AG961:AP961))),0)</f>
        <v>168229.16666666701</v>
      </c>
      <c r="AR961" s="8">
        <f>IF($O961="Aktif",MAX(0,MIN($AE961,$AD961-SUM($AG961:AQ961))),0)</f>
        <v>168229.16666666701</v>
      </c>
      <c r="AS961" s="8">
        <f>IF($O961="Aktif",MAX(0,MIN($AE961,$AD961-SUM($AG961:AR961))),0)</f>
        <v>168229.16666666701</v>
      </c>
      <c r="AT961" s="8">
        <f>IF($O961="Aktif",MAX(0,MIN($AE961,$AD961-SUM($AG961:AS961))),0)</f>
        <v>168229.16666666701</v>
      </c>
      <c r="AU961" s="8">
        <f>IF($O961="Aktif",MAX(0,MIN($AE961,$AD961-SUM($AG961:AT961))),0)</f>
        <v>168229.16666666701</v>
      </c>
      <c r="AV961" s="8">
        <f>IF($O961="Aktif",MAX(0,MIN($AE961,$AD961-SUM($AG961:AU961))),0)</f>
        <v>168229.16666666701</v>
      </c>
      <c r="AW961" s="8">
        <f t="shared" si="103"/>
        <v>2691666.6666666721</v>
      </c>
      <c r="AX961" s="8">
        <f t="shared" si="104"/>
        <v>3701041.6666666591</v>
      </c>
    </row>
    <row r="962" spans="1:50" ht="15" customHeight="1" x14ac:dyDescent="0.35">
      <c r="A962" s="102">
        <v>956</v>
      </c>
      <c r="B962" s="102" t="s">
        <v>1326</v>
      </c>
      <c r="C962" s="103">
        <v>590</v>
      </c>
      <c r="D962" s="102" t="s">
        <v>185</v>
      </c>
      <c r="E962" s="102" t="s">
        <v>540</v>
      </c>
      <c r="F962" s="102" t="s">
        <v>2283</v>
      </c>
      <c r="G962" s="102" t="s">
        <v>2284</v>
      </c>
      <c r="H962" s="102" t="s">
        <v>2285</v>
      </c>
      <c r="I962" s="102" t="s">
        <v>63</v>
      </c>
      <c r="J962" s="102"/>
      <c r="K962" s="102"/>
      <c r="L962" s="104">
        <v>45973</v>
      </c>
      <c r="M962" s="102" t="s">
        <v>2784</v>
      </c>
      <c r="N962" s="102" t="s">
        <v>2784</v>
      </c>
      <c r="O962" s="102" t="s">
        <v>383</v>
      </c>
      <c r="P962" s="103">
        <v>1</v>
      </c>
      <c r="Q962" s="105">
        <v>18000000</v>
      </c>
      <c r="R962" s="103">
        <v>96</v>
      </c>
      <c r="S962" s="105">
        <v>187500</v>
      </c>
      <c r="T962" s="105">
        <v>375000</v>
      </c>
      <c r="U962" s="105">
        <v>187500</v>
      </c>
      <c r="V962" s="105">
        <v>187500</v>
      </c>
      <c r="W962" s="105">
        <v>187500</v>
      </c>
      <c r="X962" s="105">
        <v>187500</v>
      </c>
      <c r="Y962" s="105">
        <v>187500</v>
      </c>
      <c r="Z962" s="105">
        <v>187500</v>
      </c>
      <c r="AA962" s="105">
        <v>187500</v>
      </c>
      <c r="AB962" s="105">
        <v>187500</v>
      </c>
      <c r="AC962" s="8">
        <f t="shared" si="98"/>
        <v>1875000</v>
      </c>
      <c r="AD962" s="8">
        <f t="shared" si="99"/>
        <v>16125000</v>
      </c>
      <c r="AE962" s="8">
        <f t="shared" si="100"/>
        <v>187500</v>
      </c>
      <c r="AF962" s="106">
        <f t="shared" si="101"/>
        <v>86</v>
      </c>
      <c r="AG962" s="8">
        <f t="shared" si="102"/>
        <v>187500</v>
      </c>
      <c r="AH962" s="8">
        <f>IF($O962="Aktif",MAX(0,MIN($AE962,$AD962-SUM($AG962:AG962))),0)</f>
        <v>187500</v>
      </c>
      <c r="AI962" s="8">
        <f>IF($O962="Aktif",MAX(0,MIN($AE962,$AD962-SUM($AG962:AH962))),0)</f>
        <v>187500</v>
      </c>
      <c r="AJ962" s="8">
        <f>IF($O962="Aktif",MAX(0,MIN($AE962,$AD962-SUM($AG962:AI962))),0)</f>
        <v>187500</v>
      </c>
      <c r="AK962" s="8">
        <f>IF($O962="Aktif",MAX(0,MIN($AE962,$AD962-SUM($AG962:AJ962))),0)</f>
        <v>187500</v>
      </c>
      <c r="AL962" s="8">
        <f>IF($O962="Aktif",MAX(0,MIN($AE962,$AD962-SUM($AG962:AK962))),0)</f>
        <v>187500</v>
      </c>
      <c r="AM962" s="8">
        <f>IF($O962="Aktif",MAX(0,MIN($AE962,$AD962-SUM($AG962:AL962))),0)</f>
        <v>187500</v>
      </c>
      <c r="AN962" s="8">
        <f>IF($O962="Aktif",MAX(0,MIN($AE962,$AD962-SUM($AG962:AM962))),0)</f>
        <v>187500</v>
      </c>
      <c r="AO962" s="8">
        <f>IF($O962="Aktif",MAX(0,MIN($AE962,$AD962-SUM($AG962:AN962))),0)</f>
        <v>187500</v>
      </c>
      <c r="AP962" s="8">
        <f>IF($O962="Aktif",MAX(0,MIN($AE962,$AD962-SUM($AG962:AO962))),0)</f>
        <v>187500</v>
      </c>
      <c r="AQ962" s="8">
        <f>IF($O962="Aktif",MAX(0,MIN($AE962,$AD962-SUM($AG962:AP962))),0)</f>
        <v>187500</v>
      </c>
      <c r="AR962" s="8">
        <f>IF($O962="Aktif",MAX(0,MIN($AE962,$AD962-SUM($AG962:AQ962))),0)</f>
        <v>187500</v>
      </c>
      <c r="AS962" s="8">
        <f>IF($O962="Aktif",MAX(0,MIN($AE962,$AD962-SUM($AG962:AR962))),0)</f>
        <v>187500</v>
      </c>
      <c r="AT962" s="8">
        <f>IF($O962="Aktif",MAX(0,MIN($AE962,$AD962-SUM($AG962:AS962))),0)</f>
        <v>187500</v>
      </c>
      <c r="AU962" s="8">
        <f>IF($O962="Aktif",MAX(0,MIN($AE962,$AD962-SUM($AG962:AT962))),0)</f>
        <v>187500</v>
      </c>
      <c r="AV962" s="8">
        <f>IF($O962="Aktif",MAX(0,MIN($AE962,$AD962-SUM($AG962:AU962))),0)</f>
        <v>187500</v>
      </c>
      <c r="AW962" s="8">
        <f t="shared" si="103"/>
        <v>3000000</v>
      </c>
      <c r="AX962" s="8">
        <f t="shared" si="104"/>
        <v>13125000</v>
      </c>
    </row>
    <row r="963" spans="1:50" ht="15" customHeight="1" x14ac:dyDescent="0.35">
      <c r="A963" s="102">
        <v>957</v>
      </c>
      <c r="B963" s="102" t="s">
        <v>1326</v>
      </c>
      <c r="C963" s="103">
        <v>591</v>
      </c>
      <c r="D963" s="102" t="s">
        <v>185</v>
      </c>
      <c r="E963" s="102" t="s">
        <v>479</v>
      </c>
      <c r="F963" s="102" t="s">
        <v>2332</v>
      </c>
      <c r="G963" s="102" t="s">
        <v>2333</v>
      </c>
      <c r="H963" s="102" t="s">
        <v>2334</v>
      </c>
      <c r="I963" s="102" t="s">
        <v>63</v>
      </c>
      <c r="J963" s="102"/>
      <c r="K963" s="102"/>
      <c r="L963" s="104">
        <v>45995</v>
      </c>
      <c r="M963" s="102" t="s">
        <v>2785</v>
      </c>
      <c r="N963" s="102" t="s">
        <v>2785</v>
      </c>
      <c r="O963" s="102" t="s">
        <v>383</v>
      </c>
      <c r="P963" s="103">
        <v>1</v>
      </c>
      <c r="Q963" s="105">
        <v>7500000</v>
      </c>
      <c r="R963" s="103">
        <v>48</v>
      </c>
      <c r="S963" s="105">
        <v>156250</v>
      </c>
      <c r="T963" s="105">
        <v>156250</v>
      </c>
      <c r="U963" s="105">
        <v>156250</v>
      </c>
      <c r="V963" s="105">
        <v>156250</v>
      </c>
      <c r="W963" s="105">
        <v>156250</v>
      </c>
      <c r="X963" s="105">
        <v>156250</v>
      </c>
      <c r="Y963" s="105">
        <v>156250</v>
      </c>
      <c r="Z963" s="105">
        <v>156250</v>
      </c>
      <c r="AA963" s="105">
        <v>156250</v>
      </c>
      <c r="AB963" s="105">
        <v>156250</v>
      </c>
      <c r="AC963" s="8">
        <f t="shared" si="98"/>
        <v>1406250</v>
      </c>
      <c r="AD963" s="8">
        <f t="shared" si="99"/>
        <v>6093750</v>
      </c>
      <c r="AE963" s="8">
        <f t="shared" si="100"/>
        <v>156250</v>
      </c>
      <c r="AF963" s="106">
        <f t="shared" si="101"/>
        <v>39</v>
      </c>
      <c r="AG963" s="8">
        <f t="shared" si="102"/>
        <v>156250</v>
      </c>
      <c r="AH963" s="8">
        <f>IF($O963="Aktif",MAX(0,MIN($AE963,$AD963-SUM($AG963:AG963))),0)</f>
        <v>156250</v>
      </c>
      <c r="AI963" s="8">
        <f>IF($O963="Aktif",MAX(0,MIN($AE963,$AD963-SUM($AG963:AH963))),0)</f>
        <v>156250</v>
      </c>
      <c r="AJ963" s="8">
        <f>IF($O963="Aktif",MAX(0,MIN($AE963,$AD963-SUM($AG963:AI963))),0)</f>
        <v>156250</v>
      </c>
      <c r="AK963" s="8">
        <f>IF($O963="Aktif",MAX(0,MIN($AE963,$AD963-SUM($AG963:AJ963))),0)</f>
        <v>156250</v>
      </c>
      <c r="AL963" s="8">
        <f>IF($O963="Aktif",MAX(0,MIN($AE963,$AD963-SUM($AG963:AK963))),0)</f>
        <v>156250</v>
      </c>
      <c r="AM963" s="8">
        <f>IF($O963="Aktif",MAX(0,MIN($AE963,$AD963-SUM($AG963:AL963))),0)</f>
        <v>156250</v>
      </c>
      <c r="AN963" s="8">
        <f>IF($O963="Aktif",MAX(0,MIN($AE963,$AD963-SUM($AG963:AM963))),0)</f>
        <v>156250</v>
      </c>
      <c r="AO963" s="8">
        <f>IF($O963="Aktif",MAX(0,MIN($AE963,$AD963-SUM($AG963:AN963))),0)</f>
        <v>156250</v>
      </c>
      <c r="AP963" s="8">
        <f>IF($O963="Aktif",MAX(0,MIN($AE963,$AD963-SUM($AG963:AO963))),0)</f>
        <v>156250</v>
      </c>
      <c r="AQ963" s="8">
        <f>IF($O963="Aktif",MAX(0,MIN($AE963,$AD963-SUM($AG963:AP963))),0)</f>
        <v>156250</v>
      </c>
      <c r="AR963" s="8">
        <f>IF($O963="Aktif",MAX(0,MIN($AE963,$AD963-SUM($AG963:AQ963))),0)</f>
        <v>156250</v>
      </c>
      <c r="AS963" s="8">
        <f>IF($O963="Aktif",MAX(0,MIN($AE963,$AD963-SUM($AG963:AR963))),0)</f>
        <v>156250</v>
      </c>
      <c r="AT963" s="8">
        <f>IF($O963="Aktif",MAX(0,MIN($AE963,$AD963-SUM($AG963:AS963))),0)</f>
        <v>156250</v>
      </c>
      <c r="AU963" s="8">
        <f>IF($O963="Aktif",MAX(0,MIN($AE963,$AD963-SUM($AG963:AT963))),0)</f>
        <v>156250</v>
      </c>
      <c r="AV963" s="8">
        <f>IF($O963="Aktif",MAX(0,MIN($AE963,$AD963-SUM($AG963:AU963))),0)</f>
        <v>156250</v>
      </c>
      <c r="AW963" s="8">
        <f t="shared" si="103"/>
        <v>2500000</v>
      </c>
      <c r="AX963" s="8">
        <f t="shared" si="104"/>
        <v>3593750</v>
      </c>
    </row>
    <row r="964" spans="1:50" ht="15" customHeight="1" x14ac:dyDescent="0.35">
      <c r="A964" s="102">
        <v>958</v>
      </c>
      <c r="B964" s="102" t="s">
        <v>1326</v>
      </c>
      <c r="C964" s="103">
        <v>592</v>
      </c>
      <c r="D964" s="102" t="s">
        <v>185</v>
      </c>
      <c r="E964" s="102" t="s">
        <v>479</v>
      </c>
      <c r="F964" s="102" t="s">
        <v>2332</v>
      </c>
      <c r="G964" s="102" t="s">
        <v>2333</v>
      </c>
      <c r="H964" s="102" t="s">
        <v>2334</v>
      </c>
      <c r="I964" s="102" t="s">
        <v>63</v>
      </c>
      <c r="J964" s="102"/>
      <c r="K964" s="102"/>
      <c r="L964" s="104">
        <v>45995</v>
      </c>
      <c r="M964" s="102" t="s">
        <v>2786</v>
      </c>
      <c r="N964" s="102" t="s">
        <v>2786</v>
      </c>
      <c r="O964" s="102" t="s">
        <v>383</v>
      </c>
      <c r="P964" s="103">
        <v>1</v>
      </c>
      <c r="Q964" s="105">
        <v>7500000</v>
      </c>
      <c r="R964" s="103">
        <v>48</v>
      </c>
      <c r="S964" s="105">
        <v>156250</v>
      </c>
      <c r="T964" s="105">
        <v>156250</v>
      </c>
      <c r="U964" s="105">
        <v>156250</v>
      </c>
      <c r="V964" s="105">
        <v>156250</v>
      </c>
      <c r="W964" s="105">
        <v>156250</v>
      </c>
      <c r="X964" s="105">
        <v>156250</v>
      </c>
      <c r="Y964" s="105">
        <v>156250</v>
      </c>
      <c r="Z964" s="105">
        <v>156250</v>
      </c>
      <c r="AA964" s="105">
        <v>156250</v>
      </c>
      <c r="AB964" s="105">
        <v>156250</v>
      </c>
      <c r="AC964" s="8">
        <f t="shared" si="98"/>
        <v>1406250</v>
      </c>
      <c r="AD964" s="8">
        <f t="shared" si="99"/>
        <v>6093750</v>
      </c>
      <c r="AE964" s="8">
        <f t="shared" si="100"/>
        <v>156250</v>
      </c>
      <c r="AF964" s="106">
        <f t="shared" si="101"/>
        <v>39</v>
      </c>
      <c r="AG964" s="8">
        <f t="shared" si="102"/>
        <v>156250</v>
      </c>
      <c r="AH964" s="8">
        <f>IF($O964="Aktif",MAX(0,MIN($AE964,$AD964-SUM($AG964:AG964))),0)</f>
        <v>156250</v>
      </c>
      <c r="AI964" s="8">
        <f>IF($O964="Aktif",MAX(0,MIN($AE964,$AD964-SUM($AG964:AH964))),0)</f>
        <v>156250</v>
      </c>
      <c r="AJ964" s="8">
        <f>IF($O964="Aktif",MAX(0,MIN($AE964,$AD964-SUM($AG964:AI964))),0)</f>
        <v>156250</v>
      </c>
      <c r="AK964" s="8">
        <f>IF($O964="Aktif",MAX(0,MIN($AE964,$AD964-SUM($AG964:AJ964))),0)</f>
        <v>156250</v>
      </c>
      <c r="AL964" s="8">
        <f>IF($O964="Aktif",MAX(0,MIN($AE964,$AD964-SUM($AG964:AK964))),0)</f>
        <v>156250</v>
      </c>
      <c r="AM964" s="8">
        <f>IF($O964="Aktif",MAX(0,MIN($AE964,$AD964-SUM($AG964:AL964))),0)</f>
        <v>156250</v>
      </c>
      <c r="AN964" s="8">
        <f>IF($O964="Aktif",MAX(0,MIN($AE964,$AD964-SUM($AG964:AM964))),0)</f>
        <v>156250</v>
      </c>
      <c r="AO964" s="8">
        <f>IF($O964="Aktif",MAX(0,MIN($AE964,$AD964-SUM($AG964:AN964))),0)</f>
        <v>156250</v>
      </c>
      <c r="AP964" s="8">
        <f>IF($O964="Aktif",MAX(0,MIN($AE964,$AD964-SUM($AG964:AO964))),0)</f>
        <v>156250</v>
      </c>
      <c r="AQ964" s="8">
        <f>IF($O964="Aktif",MAX(0,MIN($AE964,$AD964-SUM($AG964:AP964))),0)</f>
        <v>156250</v>
      </c>
      <c r="AR964" s="8">
        <f>IF($O964="Aktif",MAX(0,MIN($AE964,$AD964-SUM($AG964:AQ964))),0)</f>
        <v>156250</v>
      </c>
      <c r="AS964" s="8">
        <f>IF($O964="Aktif",MAX(0,MIN($AE964,$AD964-SUM($AG964:AR964))),0)</f>
        <v>156250</v>
      </c>
      <c r="AT964" s="8">
        <f>IF($O964="Aktif",MAX(0,MIN($AE964,$AD964-SUM($AG964:AS964))),0)</f>
        <v>156250</v>
      </c>
      <c r="AU964" s="8">
        <f>IF($O964="Aktif",MAX(0,MIN($AE964,$AD964-SUM($AG964:AT964))),0)</f>
        <v>156250</v>
      </c>
      <c r="AV964" s="8">
        <f>IF($O964="Aktif",MAX(0,MIN($AE964,$AD964-SUM($AG964:AU964))),0)</f>
        <v>156250</v>
      </c>
      <c r="AW964" s="8">
        <f t="shared" si="103"/>
        <v>2500000</v>
      </c>
      <c r="AX964" s="8">
        <f t="shared" si="104"/>
        <v>3593750</v>
      </c>
    </row>
    <row r="965" spans="1:50" ht="15" customHeight="1" x14ac:dyDescent="0.35">
      <c r="A965" s="102">
        <v>959</v>
      </c>
      <c r="B965" s="102" t="s">
        <v>1326</v>
      </c>
      <c r="C965" s="103">
        <v>593</v>
      </c>
      <c r="D965" s="102" t="s">
        <v>185</v>
      </c>
      <c r="E965" s="102" t="s">
        <v>479</v>
      </c>
      <c r="F965" s="102" t="s">
        <v>2332</v>
      </c>
      <c r="G965" s="102" t="s">
        <v>2333</v>
      </c>
      <c r="H965" s="102" t="s">
        <v>2334</v>
      </c>
      <c r="I965" s="102" t="s">
        <v>63</v>
      </c>
      <c r="J965" s="102"/>
      <c r="K965" s="102"/>
      <c r="L965" s="104">
        <v>45994</v>
      </c>
      <c r="M965" s="102" t="s">
        <v>2787</v>
      </c>
      <c r="N965" s="102" t="s">
        <v>2787</v>
      </c>
      <c r="O965" s="102" t="s">
        <v>383</v>
      </c>
      <c r="P965" s="103">
        <v>1</v>
      </c>
      <c r="Q965" s="105">
        <v>23700000</v>
      </c>
      <c r="R965" s="103">
        <v>48</v>
      </c>
      <c r="S965" s="105">
        <v>493750</v>
      </c>
      <c r="T965" s="105">
        <v>493750</v>
      </c>
      <c r="U965" s="105">
        <v>493750</v>
      </c>
      <c r="V965" s="105">
        <v>493750</v>
      </c>
      <c r="W965" s="105">
        <v>493750</v>
      </c>
      <c r="X965" s="105">
        <v>493750</v>
      </c>
      <c r="Y965" s="105">
        <v>493750</v>
      </c>
      <c r="Z965" s="105">
        <v>493750</v>
      </c>
      <c r="AA965" s="105">
        <v>493750</v>
      </c>
      <c r="AB965" s="105">
        <v>493750</v>
      </c>
      <c r="AC965" s="8">
        <f t="shared" si="98"/>
        <v>4443750</v>
      </c>
      <c r="AD965" s="8">
        <f t="shared" si="99"/>
        <v>19256250</v>
      </c>
      <c r="AE965" s="8">
        <f t="shared" si="100"/>
        <v>493750</v>
      </c>
      <c r="AF965" s="106">
        <f t="shared" si="101"/>
        <v>39</v>
      </c>
      <c r="AG965" s="8">
        <f t="shared" si="102"/>
        <v>493750</v>
      </c>
      <c r="AH965" s="8">
        <f>IF($O965="Aktif",MAX(0,MIN($AE965,$AD965-SUM($AG965:AG965))),0)</f>
        <v>493750</v>
      </c>
      <c r="AI965" s="8">
        <f>IF($O965="Aktif",MAX(0,MIN($AE965,$AD965-SUM($AG965:AH965))),0)</f>
        <v>493750</v>
      </c>
      <c r="AJ965" s="8">
        <f>IF($O965="Aktif",MAX(0,MIN($AE965,$AD965-SUM($AG965:AI965))),0)</f>
        <v>493750</v>
      </c>
      <c r="AK965" s="8">
        <f>IF($O965="Aktif",MAX(0,MIN($AE965,$AD965-SUM($AG965:AJ965))),0)</f>
        <v>493750</v>
      </c>
      <c r="AL965" s="8">
        <f>IF($O965="Aktif",MAX(0,MIN($AE965,$AD965-SUM($AG965:AK965))),0)</f>
        <v>493750</v>
      </c>
      <c r="AM965" s="8">
        <f>IF($O965="Aktif",MAX(0,MIN($AE965,$AD965-SUM($AG965:AL965))),0)</f>
        <v>493750</v>
      </c>
      <c r="AN965" s="8">
        <f>IF($O965="Aktif",MAX(0,MIN($AE965,$AD965-SUM($AG965:AM965))),0)</f>
        <v>493750</v>
      </c>
      <c r="AO965" s="8">
        <f>IF($O965="Aktif",MAX(0,MIN($AE965,$AD965-SUM($AG965:AN965))),0)</f>
        <v>493750</v>
      </c>
      <c r="AP965" s="8">
        <f>IF($O965="Aktif",MAX(0,MIN($AE965,$AD965-SUM($AG965:AO965))),0)</f>
        <v>493750</v>
      </c>
      <c r="AQ965" s="8">
        <f>IF($O965="Aktif",MAX(0,MIN($AE965,$AD965-SUM($AG965:AP965))),0)</f>
        <v>493750</v>
      </c>
      <c r="AR965" s="8">
        <f>IF($O965="Aktif",MAX(0,MIN($AE965,$AD965-SUM($AG965:AQ965))),0)</f>
        <v>493750</v>
      </c>
      <c r="AS965" s="8">
        <f>IF($O965="Aktif",MAX(0,MIN($AE965,$AD965-SUM($AG965:AR965))),0)</f>
        <v>493750</v>
      </c>
      <c r="AT965" s="8">
        <f>IF($O965="Aktif",MAX(0,MIN($AE965,$AD965-SUM($AG965:AS965))),0)</f>
        <v>493750</v>
      </c>
      <c r="AU965" s="8">
        <f>IF($O965="Aktif",MAX(0,MIN($AE965,$AD965-SUM($AG965:AT965))),0)</f>
        <v>493750</v>
      </c>
      <c r="AV965" s="8">
        <f>IF($O965="Aktif",MAX(0,MIN($AE965,$AD965-SUM($AG965:AU965))),0)</f>
        <v>493750</v>
      </c>
      <c r="AW965" s="8">
        <f t="shared" si="103"/>
        <v>7900000</v>
      </c>
      <c r="AX965" s="8">
        <f t="shared" si="104"/>
        <v>11356250</v>
      </c>
    </row>
    <row r="966" spans="1:50" ht="15" customHeight="1" x14ac:dyDescent="0.35">
      <c r="A966" s="102">
        <v>960</v>
      </c>
      <c r="B966" s="102" t="s">
        <v>1326</v>
      </c>
      <c r="C966" s="103">
        <v>594</v>
      </c>
      <c r="D966" s="102" t="s">
        <v>185</v>
      </c>
      <c r="E966" s="102" t="s">
        <v>479</v>
      </c>
      <c r="F966" s="102" t="s">
        <v>2332</v>
      </c>
      <c r="G966" s="102" t="s">
        <v>2333</v>
      </c>
      <c r="H966" s="102" t="s">
        <v>2334</v>
      </c>
      <c r="I966" s="102" t="s">
        <v>63</v>
      </c>
      <c r="J966" s="102"/>
      <c r="K966" s="102"/>
      <c r="L966" s="104">
        <v>45994</v>
      </c>
      <c r="M966" s="102" t="s">
        <v>2788</v>
      </c>
      <c r="N966" s="102" t="s">
        <v>2788</v>
      </c>
      <c r="O966" s="102" t="s">
        <v>383</v>
      </c>
      <c r="P966" s="103">
        <v>1</v>
      </c>
      <c r="Q966" s="105">
        <v>2354031.6</v>
      </c>
      <c r="R966" s="103">
        <v>48</v>
      </c>
      <c r="S966" s="105">
        <v>49042.324999999997</v>
      </c>
      <c r="T966" s="105">
        <v>49042.324999999997</v>
      </c>
      <c r="U966" s="105">
        <v>49042.324999999997</v>
      </c>
      <c r="V966" s="105">
        <v>49042.324999999997</v>
      </c>
      <c r="W966" s="105">
        <v>49042.324999999997</v>
      </c>
      <c r="X966" s="105">
        <v>49042.324999999997</v>
      </c>
      <c r="Y966" s="105">
        <v>49042.324999999997</v>
      </c>
      <c r="Z966" s="105">
        <v>49042.324999999997</v>
      </c>
      <c r="AA966" s="105">
        <v>49042.324999999997</v>
      </c>
      <c r="AB966" s="105">
        <v>49042.324999999997</v>
      </c>
      <c r="AC966" s="8">
        <f t="shared" si="98"/>
        <v>441380.92500000005</v>
      </c>
      <c r="AD966" s="8">
        <f t="shared" si="99"/>
        <v>1912650.675</v>
      </c>
      <c r="AE966" s="8">
        <f t="shared" si="100"/>
        <v>49042.324999999997</v>
      </c>
      <c r="AF966" s="106">
        <f t="shared" si="101"/>
        <v>39</v>
      </c>
      <c r="AG966" s="8">
        <f t="shared" si="102"/>
        <v>49042.324999999997</v>
      </c>
      <c r="AH966" s="8">
        <f>IF($O966="Aktif",MAX(0,MIN($AE966,$AD966-SUM($AG966:AG966))),0)</f>
        <v>49042.324999999997</v>
      </c>
      <c r="AI966" s="8">
        <f>IF($O966="Aktif",MAX(0,MIN($AE966,$AD966-SUM($AG966:AH966))),0)</f>
        <v>49042.324999999997</v>
      </c>
      <c r="AJ966" s="8">
        <f>IF($O966="Aktif",MAX(0,MIN($AE966,$AD966-SUM($AG966:AI966))),0)</f>
        <v>49042.324999999997</v>
      </c>
      <c r="AK966" s="8">
        <f>IF($O966="Aktif",MAX(0,MIN($AE966,$AD966-SUM($AG966:AJ966))),0)</f>
        <v>49042.324999999997</v>
      </c>
      <c r="AL966" s="8">
        <f>IF($O966="Aktif",MAX(0,MIN($AE966,$AD966-SUM($AG966:AK966))),0)</f>
        <v>49042.324999999997</v>
      </c>
      <c r="AM966" s="8">
        <f>IF($O966="Aktif",MAX(0,MIN($AE966,$AD966-SUM($AG966:AL966))),0)</f>
        <v>49042.324999999997</v>
      </c>
      <c r="AN966" s="8">
        <f>IF($O966="Aktif",MAX(0,MIN($AE966,$AD966-SUM($AG966:AM966))),0)</f>
        <v>49042.324999999997</v>
      </c>
      <c r="AO966" s="8">
        <f>IF($O966="Aktif",MAX(0,MIN($AE966,$AD966-SUM($AG966:AN966))),0)</f>
        <v>49042.324999999997</v>
      </c>
      <c r="AP966" s="8">
        <f>IF($O966="Aktif",MAX(0,MIN($AE966,$AD966-SUM($AG966:AO966))),0)</f>
        <v>49042.324999999997</v>
      </c>
      <c r="AQ966" s="8">
        <f>IF($O966="Aktif",MAX(0,MIN($AE966,$AD966-SUM($AG966:AP966))),0)</f>
        <v>49042.324999999997</v>
      </c>
      <c r="AR966" s="8">
        <f>IF($O966="Aktif",MAX(0,MIN($AE966,$AD966-SUM($AG966:AQ966))),0)</f>
        <v>49042.324999999997</v>
      </c>
      <c r="AS966" s="8">
        <f>IF($O966="Aktif",MAX(0,MIN($AE966,$AD966-SUM($AG966:AR966))),0)</f>
        <v>49042.324999999997</v>
      </c>
      <c r="AT966" s="8">
        <f>IF($O966="Aktif",MAX(0,MIN($AE966,$AD966-SUM($AG966:AS966))),0)</f>
        <v>49042.324999999997</v>
      </c>
      <c r="AU966" s="8">
        <f>IF($O966="Aktif",MAX(0,MIN($AE966,$AD966-SUM($AG966:AT966))),0)</f>
        <v>49042.324999999997</v>
      </c>
      <c r="AV966" s="8">
        <f>IF($O966="Aktif",MAX(0,MIN($AE966,$AD966-SUM($AG966:AU966))),0)</f>
        <v>49042.324999999997</v>
      </c>
      <c r="AW966" s="8">
        <f t="shared" si="103"/>
        <v>784677.19999999984</v>
      </c>
      <c r="AX966" s="8">
        <f t="shared" si="104"/>
        <v>1127973.4750000001</v>
      </c>
    </row>
    <row r="967" spans="1:50" ht="15" customHeight="1" x14ac:dyDescent="0.35">
      <c r="A967" s="102">
        <v>961</v>
      </c>
      <c r="B967" s="102" t="s">
        <v>1326</v>
      </c>
      <c r="C967" s="103">
        <v>595</v>
      </c>
      <c r="D967" s="102" t="s">
        <v>185</v>
      </c>
      <c r="E967" s="102" t="s">
        <v>479</v>
      </c>
      <c r="F967" s="102" t="s">
        <v>2332</v>
      </c>
      <c r="G967" s="102" t="s">
        <v>2333</v>
      </c>
      <c r="H967" s="102" t="s">
        <v>2334</v>
      </c>
      <c r="I967" s="102" t="s">
        <v>63</v>
      </c>
      <c r="J967" s="102"/>
      <c r="K967" s="102"/>
      <c r="L967" s="104">
        <v>45999</v>
      </c>
      <c r="M967" s="102" t="s">
        <v>2772</v>
      </c>
      <c r="N967" s="102" t="s">
        <v>2772</v>
      </c>
      <c r="O967" s="102" t="s">
        <v>383</v>
      </c>
      <c r="P967" s="103">
        <v>1</v>
      </c>
      <c r="Q967" s="105">
        <v>6750000</v>
      </c>
      <c r="R967" s="103">
        <v>48</v>
      </c>
      <c r="S967" s="105">
        <v>140625</v>
      </c>
      <c r="T967" s="105">
        <v>140625</v>
      </c>
      <c r="U967" s="105">
        <v>140625</v>
      </c>
      <c r="V967" s="105">
        <v>140625</v>
      </c>
      <c r="W967" s="105">
        <v>140625</v>
      </c>
      <c r="X967" s="105">
        <v>140625</v>
      </c>
      <c r="Y967" s="105">
        <v>140625</v>
      </c>
      <c r="Z967" s="105">
        <v>140625</v>
      </c>
      <c r="AA967" s="105">
        <v>140625</v>
      </c>
      <c r="AB967" s="105">
        <v>140625</v>
      </c>
      <c r="AC967" s="8">
        <f t="shared" ref="AC967:AC1030" si="105">T967+SUM(U967:AB967)</f>
        <v>1265625</v>
      </c>
      <c r="AD967" s="8">
        <f t="shared" ref="AD967:AD1030" si="106">Q967-AC967</f>
        <v>5484375</v>
      </c>
      <c r="AE967" s="8">
        <f t="shared" ref="AE967:AE1030" si="107">IF(O967="Aktif",AB967,0)</f>
        <v>140625</v>
      </c>
      <c r="AF967" s="106">
        <f t="shared" ref="AF967:AF1030" si="108">IF(AE967&gt;0,MAX(0,AD967)/AE967,0)</f>
        <v>39</v>
      </c>
      <c r="AG967" s="8">
        <f t="shared" ref="AG967:AG1030" si="109">IF($O967="Aktif",MAX(0,MIN($AE967,$AD967-0)),0)</f>
        <v>140625</v>
      </c>
      <c r="AH967" s="8">
        <f>IF($O967="Aktif",MAX(0,MIN($AE967,$AD967-SUM($AG967:AG967))),0)</f>
        <v>140625</v>
      </c>
      <c r="AI967" s="8">
        <f>IF($O967="Aktif",MAX(0,MIN($AE967,$AD967-SUM($AG967:AH967))),0)</f>
        <v>140625</v>
      </c>
      <c r="AJ967" s="8">
        <f>IF($O967="Aktif",MAX(0,MIN($AE967,$AD967-SUM($AG967:AI967))),0)</f>
        <v>140625</v>
      </c>
      <c r="AK967" s="8">
        <f>IF($O967="Aktif",MAX(0,MIN($AE967,$AD967-SUM($AG967:AJ967))),0)</f>
        <v>140625</v>
      </c>
      <c r="AL967" s="8">
        <f>IF($O967="Aktif",MAX(0,MIN($AE967,$AD967-SUM($AG967:AK967))),0)</f>
        <v>140625</v>
      </c>
      <c r="AM967" s="8">
        <f>IF($O967="Aktif",MAX(0,MIN($AE967,$AD967-SUM($AG967:AL967))),0)</f>
        <v>140625</v>
      </c>
      <c r="AN967" s="8">
        <f>IF($O967="Aktif",MAX(0,MIN($AE967,$AD967-SUM($AG967:AM967))),0)</f>
        <v>140625</v>
      </c>
      <c r="AO967" s="8">
        <f>IF($O967="Aktif",MAX(0,MIN($AE967,$AD967-SUM($AG967:AN967))),0)</f>
        <v>140625</v>
      </c>
      <c r="AP967" s="8">
        <f>IF($O967="Aktif",MAX(0,MIN($AE967,$AD967-SUM($AG967:AO967))),0)</f>
        <v>140625</v>
      </c>
      <c r="AQ967" s="8">
        <f>IF($O967="Aktif",MAX(0,MIN($AE967,$AD967-SUM($AG967:AP967))),0)</f>
        <v>140625</v>
      </c>
      <c r="AR967" s="8">
        <f>IF($O967="Aktif",MAX(0,MIN($AE967,$AD967-SUM($AG967:AQ967))),0)</f>
        <v>140625</v>
      </c>
      <c r="AS967" s="8">
        <f>IF($O967="Aktif",MAX(0,MIN($AE967,$AD967-SUM($AG967:AR967))),0)</f>
        <v>140625</v>
      </c>
      <c r="AT967" s="8">
        <f>IF($O967="Aktif",MAX(0,MIN($AE967,$AD967-SUM($AG967:AS967))),0)</f>
        <v>140625</v>
      </c>
      <c r="AU967" s="8">
        <f>IF($O967="Aktif",MAX(0,MIN($AE967,$AD967-SUM($AG967:AT967))),0)</f>
        <v>140625</v>
      </c>
      <c r="AV967" s="8">
        <f>IF($O967="Aktif",MAX(0,MIN($AE967,$AD967-SUM($AG967:AU967))),0)</f>
        <v>140625</v>
      </c>
      <c r="AW967" s="8">
        <f t="shared" ref="AW967:AW1030" si="110">SUM(AG967:AV967)</f>
        <v>2250000</v>
      </c>
      <c r="AX967" s="8">
        <f t="shared" ref="AX967:AX1030" si="111">AD967-AW967</f>
        <v>3234375</v>
      </c>
    </row>
    <row r="968" spans="1:50" ht="15" customHeight="1" x14ac:dyDescent="0.35">
      <c r="A968" s="102">
        <v>962</v>
      </c>
      <c r="B968" s="102" t="s">
        <v>1326</v>
      </c>
      <c r="C968" s="103">
        <v>596</v>
      </c>
      <c r="D968" s="102" t="s">
        <v>185</v>
      </c>
      <c r="E968" s="102" t="s">
        <v>479</v>
      </c>
      <c r="F968" s="102" t="s">
        <v>2332</v>
      </c>
      <c r="G968" s="102" t="s">
        <v>2333</v>
      </c>
      <c r="H968" s="102" t="s">
        <v>2334</v>
      </c>
      <c r="I968" s="102" t="s">
        <v>63</v>
      </c>
      <c r="J968" s="102"/>
      <c r="K968" s="102"/>
      <c r="L968" s="104">
        <v>45999</v>
      </c>
      <c r="M968" s="102" t="s">
        <v>2773</v>
      </c>
      <c r="N968" s="102" t="s">
        <v>2773</v>
      </c>
      <c r="O968" s="102" t="s">
        <v>383</v>
      </c>
      <c r="P968" s="103">
        <v>1</v>
      </c>
      <c r="Q968" s="105">
        <v>6750000</v>
      </c>
      <c r="R968" s="103">
        <v>48</v>
      </c>
      <c r="S968" s="105">
        <v>140625</v>
      </c>
      <c r="T968" s="105">
        <v>140625</v>
      </c>
      <c r="U968" s="105">
        <v>140625</v>
      </c>
      <c r="V968" s="105">
        <v>140625</v>
      </c>
      <c r="W968" s="105">
        <v>140625</v>
      </c>
      <c r="X968" s="105">
        <v>140625</v>
      </c>
      <c r="Y968" s="105">
        <v>140625</v>
      </c>
      <c r="Z968" s="105">
        <v>140625</v>
      </c>
      <c r="AA968" s="105">
        <v>140625</v>
      </c>
      <c r="AB968" s="105">
        <v>140625</v>
      </c>
      <c r="AC968" s="8">
        <f t="shared" si="105"/>
        <v>1265625</v>
      </c>
      <c r="AD968" s="8">
        <f t="shared" si="106"/>
        <v>5484375</v>
      </c>
      <c r="AE968" s="8">
        <f t="shared" si="107"/>
        <v>140625</v>
      </c>
      <c r="AF968" s="106">
        <f t="shared" si="108"/>
        <v>39</v>
      </c>
      <c r="AG968" s="8">
        <f t="shared" si="109"/>
        <v>140625</v>
      </c>
      <c r="AH968" s="8">
        <f>IF($O968="Aktif",MAX(0,MIN($AE968,$AD968-SUM($AG968:AG968))),0)</f>
        <v>140625</v>
      </c>
      <c r="AI968" s="8">
        <f>IF($O968="Aktif",MAX(0,MIN($AE968,$AD968-SUM($AG968:AH968))),0)</f>
        <v>140625</v>
      </c>
      <c r="AJ968" s="8">
        <f>IF($O968="Aktif",MAX(0,MIN($AE968,$AD968-SUM($AG968:AI968))),0)</f>
        <v>140625</v>
      </c>
      <c r="AK968" s="8">
        <f>IF($O968="Aktif",MAX(0,MIN($AE968,$AD968-SUM($AG968:AJ968))),0)</f>
        <v>140625</v>
      </c>
      <c r="AL968" s="8">
        <f>IF($O968="Aktif",MAX(0,MIN($AE968,$AD968-SUM($AG968:AK968))),0)</f>
        <v>140625</v>
      </c>
      <c r="AM968" s="8">
        <f>IF($O968="Aktif",MAX(0,MIN($AE968,$AD968-SUM($AG968:AL968))),0)</f>
        <v>140625</v>
      </c>
      <c r="AN968" s="8">
        <f>IF($O968="Aktif",MAX(0,MIN($AE968,$AD968-SUM($AG968:AM968))),0)</f>
        <v>140625</v>
      </c>
      <c r="AO968" s="8">
        <f>IF($O968="Aktif",MAX(0,MIN($AE968,$AD968-SUM($AG968:AN968))),0)</f>
        <v>140625</v>
      </c>
      <c r="AP968" s="8">
        <f>IF($O968="Aktif",MAX(0,MIN($AE968,$AD968-SUM($AG968:AO968))),0)</f>
        <v>140625</v>
      </c>
      <c r="AQ968" s="8">
        <f>IF($O968="Aktif",MAX(0,MIN($AE968,$AD968-SUM($AG968:AP968))),0)</f>
        <v>140625</v>
      </c>
      <c r="AR968" s="8">
        <f>IF($O968="Aktif",MAX(0,MIN($AE968,$AD968-SUM($AG968:AQ968))),0)</f>
        <v>140625</v>
      </c>
      <c r="AS968" s="8">
        <f>IF($O968="Aktif",MAX(0,MIN($AE968,$AD968-SUM($AG968:AR968))),0)</f>
        <v>140625</v>
      </c>
      <c r="AT968" s="8">
        <f>IF($O968="Aktif",MAX(0,MIN($AE968,$AD968-SUM($AG968:AS968))),0)</f>
        <v>140625</v>
      </c>
      <c r="AU968" s="8">
        <f>IF($O968="Aktif",MAX(0,MIN($AE968,$AD968-SUM($AG968:AT968))),0)</f>
        <v>140625</v>
      </c>
      <c r="AV968" s="8">
        <f>IF($O968="Aktif",MAX(0,MIN($AE968,$AD968-SUM($AG968:AU968))),0)</f>
        <v>140625</v>
      </c>
      <c r="AW968" s="8">
        <f t="shared" si="110"/>
        <v>2250000</v>
      </c>
      <c r="AX968" s="8">
        <f t="shared" si="111"/>
        <v>3234375</v>
      </c>
    </row>
    <row r="969" spans="1:50" ht="15" customHeight="1" x14ac:dyDescent="0.35">
      <c r="A969" s="102">
        <v>963</v>
      </c>
      <c r="B969" s="102" t="s">
        <v>1326</v>
      </c>
      <c r="C969" s="103">
        <v>597</v>
      </c>
      <c r="D969" s="102" t="s">
        <v>185</v>
      </c>
      <c r="E969" s="102" t="s">
        <v>479</v>
      </c>
      <c r="F969" s="102" t="s">
        <v>2332</v>
      </c>
      <c r="G969" s="102" t="s">
        <v>2333</v>
      </c>
      <c r="H969" s="102" t="s">
        <v>2334</v>
      </c>
      <c r="I969" s="102" t="s">
        <v>63</v>
      </c>
      <c r="J969" s="102"/>
      <c r="K969" s="102"/>
      <c r="L969" s="104">
        <v>45999</v>
      </c>
      <c r="M969" s="102" t="s">
        <v>2774</v>
      </c>
      <c r="N969" s="102" t="s">
        <v>2774</v>
      </c>
      <c r="O969" s="102" t="s">
        <v>383</v>
      </c>
      <c r="P969" s="103">
        <v>1</v>
      </c>
      <c r="Q969" s="105">
        <v>6750000</v>
      </c>
      <c r="R969" s="103">
        <v>48</v>
      </c>
      <c r="S969" s="105">
        <v>140625</v>
      </c>
      <c r="T969" s="105">
        <v>140625</v>
      </c>
      <c r="U969" s="105">
        <v>140625</v>
      </c>
      <c r="V969" s="105">
        <v>140625</v>
      </c>
      <c r="W969" s="105">
        <v>140625</v>
      </c>
      <c r="X969" s="105">
        <v>140625</v>
      </c>
      <c r="Y969" s="105">
        <v>140625</v>
      </c>
      <c r="Z969" s="105">
        <v>140625</v>
      </c>
      <c r="AA969" s="105">
        <v>140625</v>
      </c>
      <c r="AB969" s="105">
        <v>140625</v>
      </c>
      <c r="AC969" s="8">
        <f t="shared" si="105"/>
        <v>1265625</v>
      </c>
      <c r="AD969" s="8">
        <f t="shared" si="106"/>
        <v>5484375</v>
      </c>
      <c r="AE969" s="8">
        <f t="shared" si="107"/>
        <v>140625</v>
      </c>
      <c r="AF969" s="106">
        <f t="shared" si="108"/>
        <v>39</v>
      </c>
      <c r="AG969" s="8">
        <f t="shared" si="109"/>
        <v>140625</v>
      </c>
      <c r="AH969" s="8">
        <f>IF($O969="Aktif",MAX(0,MIN($AE969,$AD969-SUM($AG969:AG969))),0)</f>
        <v>140625</v>
      </c>
      <c r="AI969" s="8">
        <f>IF($O969="Aktif",MAX(0,MIN($AE969,$AD969-SUM($AG969:AH969))),0)</f>
        <v>140625</v>
      </c>
      <c r="AJ969" s="8">
        <f>IF($O969="Aktif",MAX(0,MIN($AE969,$AD969-SUM($AG969:AI969))),0)</f>
        <v>140625</v>
      </c>
      <c r="AK969" s="8">
        <f>IF($O969="Aktif",MAX(0,MIN($AE969,$AD969-SUM($AG969:AJ969))),0)</f>
        <v>140625</v>
      </c>
      <c r="AL969" s="8">
        <f>IF($O969="Aktif",MAX(0,MIN($AE969,$AD969-SUM($AG969:AK969))),0)</f>
        <v>140625</v>
      </c>
      <c r="AM969" s="8">
        <f>IF($O969="Aktif",MAX(0,MIN($AE969,$AD969-SUM($AG969:AL969))),0)</f>
        <v>140625</v>
      </c>
      <c r="AN969" s="8">
        <f>IF($O969="Aktif",MAX(0,MIN($AE969,$AD969-SUM($AG969:AM969))),0)</f>
        <v>140625</v>
      </c>
      <c r="AO969" s="8">
        <f>IF($O969="Aktif",MAX(0,MIN($AE969,$AD969-SUM($AG969:AN969))),0)</f>
        <v>140625</v>
      </c>
      <c r="AP969" s="8">
        <f>IF($O969="Aktif",MAX(0,MIN($AE969,$AD969-SUM($AG969:AO969))),0)</f>
        <v>140625</v>
      </c>
      <c r="AQ969" s="8">
        <f>IF($O969="Aktif",MAX(0,MIN($AE969,$AD969-SUM($AG969:AP969))),0)</f>
        <v>140625</v>
      </c>
      <c r="AR969" s="8">
        <f>IF($O969="Aktif",MAX(0,MIN($AE969,$AD969-SUM($AG969:AQ969))),0)</f>
        <v>140625</v>
      </c>
      <c r="AS969" s="8">
        <f>IF($O969="Aktif",MAX(0,MIN($AE969,$AD969-SUM($AG969:AR969))),0)</f>
        <v>140625</v>
      </c>
      <c r="AT969" s="8">
        <f>IF($O969="Aktif",MAX(0,MIN($AE969,$AD969-SUM($AG969:AS969))),0)</f>
        <v>140625</v>
      </c>
      <c r="AU969" s="8">
        <f>IF($O969="Aktif",MAX(0,MIN($AE969,$AD969-SUM($AG969:AT969))),0)</f>
        <v>140625</v>
      </c>
      <c r="AV969" s="8">
        <f>IF($O969="Aktif",MAX(0,MIN($AE969,$AD969-SUM($AG969:AU969))),0)</f>
        <v>140625</v>
      </c>
      <c r="AW969" s="8">
        <f t="shared" si="110"/>
        <v>2250000</v>
      </c>
      <c r="AX969" s="8">
        <f t="shared" si="111"/>
        <v>3234375</v>
      </c>
    </row>
    <row r="970" spans="1:50" ht="15" customHeight="1" x14ac:dyDescent="0.35">
      <c r="A970" s="102">
        <v>964</v>
      </c>
      <c r="B970" s="102" t="s">
        <v>1326</v>
      </c>
      <c r="C970" s="103">
        <v>598</v>
      </c>
      <c r="D970" s="102" t="s">
        <v>185</v>
      </c>
      <c r="E970" s="102" t="s">
        <v>479</v>
      </c>
      <c r="F970" s="102" t="s">
        <v>2332</v>
      </c>
      <c r="G970" s="102" t="s">
        <v>2333</v>
      </c>
      <c r="H970" s="102" t="s">
        <v>2334</v>
      </c>
      <c r="I970" s="102" t="s">
        <v>63</v>
      </c>
      <c r="J970" s="102"/>
      <c r="K970" s="102"/>
      <c r="L970" s="104">
        <v>45999</v>
      </c>
      <c r="M970" s="102" t="s">
        <v>2789</v>
      </c>
      <c r="N970" s="102" t="s">
        <v>2789</v>
      </c>
      <c r="O970" s="102" t="s">
        <v>383</v>
      </c>
      <c r="P970" s="103">
        <v>1</v>
      </c>
      <c r="Q970" s="105">
        <v>6750000</v>
      </c>
      <c r="R970" s="103">
        <v>48</v>
      </c>
      <c r="S970" s="105">
        <v>140625</v>
      </c>
      <c r="T970" s="105">
        <v>140625</v>
      </c>
      <c r="U970" s="105">
        <v>140625</v>
      </c>
      <c r="V970" s="105">
        <v>140625</v>
      </c>
      <c r="W970" s="105">
        <v>140625</v>
      </c>
      <c r="X970" s="105">
        <v>140625</v>
      </c>
      <c r="Y970" s="105">
        <v>140625</v>
      </c>
      <c r="Z970" s="105">
        <v>140625</v>
      </c>
      <c r="AA970" s="105">
        <v>140625</v>
      </c>
      <c r="AB970" s="105">
        <v>140625</v>
      </c>
      <c r="AC970" s="8">
        <f t="shared" si="105"/>
        <v>1265625</v>
      </c>
      <c r="AD970" s="8">
        <f t="shared" si="106"/>
        <v>5484375</v>
      </c>
      <c r="AE970" s="8">
        <f t="shared" si="107"/>
        <v>140625</v>
      </c>
      <c r="AF970" s="106">
        <f t="shared" si="108"/>
        <v>39</v>
      </c>
      <c r="AG970" s="8">
        <f t="shared" si="109"/>
        <v>140625</v>
      </c>
      <c r="AH970" s="8">
        <f>IF($O970="Aktif",MAX(0,MIN($AE970,$AD970-SUM($AG970:AG970))),0)</f>
        <v>140625</v>
      </c>
      <c r="AI970" s="8">
        <f>IF($O970="Aktif",MAX(0,MIN($AE970,$AD970-SUM($AG970:AH970))),0)</f>
        <v>140625</v>
      </c>
      <c r="AJ970" s="8">
        <f>IF($O970="Aktif",MAX(0,MIN($AE970,$AD970-SUM($AG970:AI970))),0)</f>
        <v>140625</v>
      </c>
      <c r="AK970" s="8">
        <f>IF($O970="Aktif",MAX(0,MIN($AE970,$AD970-SUM($AG970:AJ970))),0)</f>
        <v>140625</v>
      </c>
      <c r="AL970" s="8">
        <f>IF($O970="Aktif",MAX(0,MIN($AE970,$AD970-SUM($AG970:AK970))),0)</f>
        <v>140625</v>
      </c>
      <c r="AM970" s="8">
        <f>IF($O970="Aktif",MAX(0,MIN($AE970,$AD970-SUM($AG970:AL970))),0)</f>
        <v>140625</v>
      </c>
      <c r="AN970" s="8">
        <f>IF($O970="Aktif",MAX(0,MIN($AE970,$AD970-SUM($AG970:AM970))),0)</f>
        <v>140625</v>
      </c>
      <c r="AO970" s="8">
        <f>IF($O970="Aktif",MAX(0,MIN($AE970,$AD970-SUM($AG970:AN970))),0)</f>
        <v>140625</v>
      </c>
      <c r="AP970" s="8">
        <f>IF($O970="Aktif",MAX(0,MIN($AE970,$AD970-SUM($AG970:AO970))),0)</f>
        <v>140625</v>
      </c>
      <c r="AQ970" s="8">
        <f>IF($O970="Aktif",MAX(0,MIN($AE970,$AD970-SUM($AG970:AP970))),0)</f>
        <v>140625</v>
      </c>
      <c r="AR970" s="8">
        <f>IF($O970="Aktif",MAX(0,MIN($AE970,$AD970-SUM($AG970:AQ970))),0)</f>
        <v>140625</v>
      </c>
      <c r="AS970" s="8">
        <f>IF($O970="Aktif",MAX(0,MIN($AE970,$AD970-SUM($AG970:AR970))),0)</f>
        <v>140625</v>
      </c>
      <c r="AT970" s="8">
        <f>IF($O970="Aktif",MAX(0,MIN($AE970,$AD970-SUM($AG970:AS970))),0)</f>
        <v>140625</v>
      </c>
      <c r="AU970" s="8">
        <f>IF($O970="Aktif",MAX(0,MIN($AE970,$AD970-SUM($AG970:AT970))),0)</f>
        <v>140625</v>
      </c>
      <c r="AV970" s="8">
        <f>IF($O970="Aktif",MAX(0,MIN($AE970,$AD970-SUM($AG970:AU970))),0)</f>
        <v>140625</v>
      </c>
      <c r="AW970" s="8">
        <f t="shared" si="110"/>
        <v>2250000</v>
      </c>
      <c r="AX970" s="8">
        <f t="shared" si="111"/>
        <v>3234375</v>
      </c>
    </row>
    <row r="971" spans="1:50" ht="15" customHeight="1" x14ac:dyDescent="0.35">
      <c r="A971" s="102">
        <v>965</v>
      </c>
      <c r="B971" s="102" t="s">
        <v>1326</v>
      </c>
      <c r="C971" s="103">
        <v>599</v>
      </c>
      <c r="D971" s="102" t="s">
        <v>185</v>
      </c>
      <c r="E971" s="102" t="s">
        <v>479</v>
      </c>
      <c r="F971" s="102" t="s">
        <v>2332</v>
      </c>
      <c r="G971" s="102" t="s">
        <v>2333</v>
      </c>
      <c r="H971" s="102" t="s">
        <v>2334</v>
      </c>
      <c r="I971" s="102" t="s">
        <v>63</v>
      </c>
      <c r="J971" s="102"/>
      <c r="K971" s="102"/>
      <c r="L971" s="104">
        <v>46006</v>
      </c>
      <c r="M971" s="102" t="s">
        <v>2790</v>
      </c>
      <c r="N971" s="102" t="s">
        <v>2790</v>
      </c>
      <c r="O971" s="102" t="s">
        <v>383</v>
      </c>
      <c r="P971" s="103">
        <v>1</v>
      </c>
      <c r="Q971" s="105">
        <v>1530631</v>
      </c>
      <c r="R971" s="103">
        <v>48</v>
      </c>
      <c r="S971" s="105">
        <v>31888.145833333299</v>
      </c>
      <c r="T971" s="105">
        <v>31888.145833333299</v>
      </c>
      <c r="U971" s="105">
        <v>31888.145833333299</v>
      </c>
      <c r="V971" s="105">
        <v>31888.145833333299</v>
      </c>
      <c r="W971" s="105">
        <v>31888.145833333299</v>
      </c>
      <c r="X971" s="105">
        <v>31888.145833333299</v>
      </c>
      <c r="Y971" s="105">
        <v>31888.145833333299</v>
      </c>
      <c r="Z971" s="105">
        <v>31888.145833333299</v>
      </c>
      <c r="AA971" s="105">
        <v>31888.145833333299</v>
      </c>
      <c r="AB971" s="105">
        <v>31888.145833333299</v>
      </c>
      <c r="AC971" s="8">
        <f t="shared" si="105"/>
        <v>286993.31249999977</v>
      </c>
      <c r="AD971" s="8">
        <f t="shared" si="106"/>
        <v>1243637.6875000002</v>
      </c>
      <c r="AE971" s="8">
        <f t="shared" si="107"/>
        <v>31888.145833333299</v>
      </c>
      <c r="AF971" s="106">
        <f t="shared" si="108"/>
        <v>39.00000000000005</v>
      </c>
      <c r="AG971" s="8">
        <f t="shared" si="109"/>
        <v>31888.145833333299</v>
      </c>
      <c r="AH971" s="8">
        <f>IF($O971="Aktif",MAX(0,MIN($AE971,$AD971-SUM($AG971:AG971))),0)</f>
        <v>31888.145833333299</v>
      </c>
      <c r="AI971" s="8">
        <f>IF($O971="Aktif",MAX(0,MIN($AE971,$AD971-SUM($AG971:AH971))),0)</f>
        <v>31888.145833333299</v>
      </c>
      <c r="AJ971" s="8">
        <f>IF($O971="Aktif",MAX(0,MIN($AE971,$AD971-SUM($AG971:AI971))),0)</f>
        <v>31888.145833333299</v>
      </c>
      <c r="AK971" s="8">
        <f>IF($O971="Aktif",MAX(0,MIN($AE971,$AD971-SUM($AG971:AJ971))),0)</f>
        <v>31888.145833333299</v>
      </c>
      <c r="AL971" s="8">
        <f>IF($O971="Aktif",MAX(0,MIN($AE971,$AD971-SUM($AG971:AK971))),0)</f>
        <v>31888.145833333299</v>
      </c>
      <c r="AM971" s="8">
        <f>IF($O971="Aktif",MAX(0,MIN($AE971,$AD971-SUM($AG971:AL971))),0)</f>
        <v>31888.145833333299</v>
      </c>
      <c r="AN971" s="8">
        <f>IF($O971="Aktif",MAX(0,MIN($AE971,$AD971-SUM($AG971:AM971))),0)</f>
        <v>31888.145833333299</v>
      </c>
      <c r="AO971" s="8">
        <f>IF($O971="Aktif",MAX(0,MIN($AE971,$AD971-SUM($AG971:AN971))),0)</f>
        <v>31888.145833333299</v>
      </c>
      <c r="AP971" s="8">
        <f>IF($O971="Aktif",MAX(0,MIN($AE971,$AD971-SUM($AG971:AO971))),0)</f>
        <v>31888.145833333299</v>
      </c>
      <c r="AQ971" s="8">
        <f>IF($O971="Aktif",MAX(0,MIN($AE971,$AD971-SUM($AG971:AP971))),0)</f>
        <v>31888.145833333299</v>
      </c>
      <c r="AR971" s="8">
        <f>IF($O971="Aktif",MAX(0,MIN($AE971,$AD971-SUM($AG971:AQ971))),0)</f>
        <v>31888.145833333299</v>
      </c>
      <c r="AS971" s="8">
        <f>IF($O971="Aktif",MAX(0,MIN($AE971,$AD971-SUM($AG971:AR971))),0)</f>
        <v>31888.145833333299</v>
      </c>
      <c r="AT971" s="8">
        <f>IF($O971="Aktif",MAX(0,MIN($AE971,$AD971-SUM($AG971:AS971))),0)</f>
        <v>31888.145833333299</v>
      </c>
      <c r="AU971" s="8">
        <f>IF($O971="Aktif",MAX(0,MIN($AE971,$AD971-SUM($AG971:AT971))),0)</f>
        <v>31888.145833333299</v>
      </c>
      <c r="AV971" s="8">
        <f>IF($O971="Aktif",MAX(0,MIN($AE971,$AD971-SUM($AG971:AU971))),0)</f>
        <v>31888.145833333299</v>
      </c>
      <c r="AW971" s="8">
        <f t="shared" si="110"/>
        <v>510210.33333333296</v>
      </c>
      <c r="AX971" s="8">
        <f t="shared" si="111"/>
        <v>733427.35416666721</v>
      </c>
    </row>
    <row r="972" spans="1:50" ht="15" customHeight="1" x14ac:dyDescent="0.35">
      <c r="A972" s="102">
        <v>966</v>
      </c>
      <c r="B972" s="102" t="s">
        <v>1326</v>
      </c>
      <c r="C972" s="103">
        <v>600</v>
      </c>
      <c r="D972" s="102" t="s">
        <v>185</v>
      </c>
      <c r="E972" s="102" t="s">
        <v>479</v>
      </c>
      <c r="F972" s="102" t="s">
        <v>2332</v>
      </c>
      <c r="G972" s="102" t="s">
        <v>2333</v>
      </c>
      <c r="H972" s="102" t="s">
        <v>2334</v>
      </c>
      <c r="I972" s="102" t="s">
        <v>63</v>
      </c>
      <c r="J972" s="102"/>
      <c r="K972" s="102"/>
      <c r="L972" s="104">
        <v>46024</v>
      </c>
      <c r="M972" s="102" t="s">
        <v>2791</v>
      </c>
      <c r="N972" s="102" t="s">
        <v>2791</v>
      </c>
      <c r="O972" s="102" t="s">
        <v>383</v>
      </c>
      <c r="P972" s="103">
        <v>1</v>
      </c>
      <c r="Q972" s="105">
        <v>6500000</v>
      </c>
      <c r="R972" s="103">
        <v>48</v>
      </c>
      <c r="S972" s="105">
        <v>135416.66666666701</v>
      </c>
      <c r="T972" s="105">
        <v>0</v>
      </c>
      <c r="U972" s="105">
        <v>135416.66666666701</v>
      </c>
      <c r="V972" s="105">
        <v>135416.66666666701</v>
      </c>
      <c r="W972" s="105">
        <v>135416.66666666701</v>
      </c>
      <c r="X972" s="105">
        <v>135416.66666666701</v>
      </c>
      <c r="Y972" s="105">
        <v>135416.66666666701</v>
      </c>
      <c r="Z972" s="105">
        <v>135416.66666666701</v>
      </c>
      <c r="AA972" s="105">
        <v>135416.66666666701</v>
      </c>
      <c r="AB972" s="105">
        <v>135416.66666666701</v>
      </c>
      <c r="AC972" s="8">
        <f t="shared" si="105"/>
        <v>1083333.333333336</v>
      </c>
      <c r="AD972" s="8">
        <f t="shared" si="106"/>
        <v>5416666.6666666642</v>
      </c>
      <c r="AE972" s="8">
        <f t="shared" si="107"/>
        <v>135416.66666666701</v>
      </c>
      <c r="AF972" s="106">
        <f t="shared" si="108"/>
        <v>39.999999999999879</v>
      </c>
      <c r="AG972" s="8">
        <f t="shared" si="109"/>
        <v>135416.66666666701</v>
      </c>
      <c r="AH972" s="8">
        <f>IF($O972="Aktif",MAX(0,MIN($AE972,$AD972-SUM($AG972:AG972))),0)</f>
        <v>135416.66666666701</v>
      </c>
      <c r="AI972" s="8">
        <f>IF($O972="Aktif",MAX(0,MIN($AE972,$AD972-SUM($AG972:AH972))),0)</f>
        <v>135416.66666666701</v>
      </c>
      <c r="AJ972" s="8">
        <f>IF($O972="Aktif",MAX(0,MIN($AE972,$AD972-SUM($AG972:AI972))),0)</f>
        <v>135416.66666666701</v>
      </c>
      <c r="AK972" s="8">
        <f>IF($O972="Aktif",MAX(0,MIN($AE972,$AD972-SUM($AG972:AJ972))),0)</f>
        <v>135416.66666666701</v>
      </c>
      <c r="AL972" s="8">
        <f>IF($O972="Aktif",MAX(0,MIN($AE972,$AD972-SUM($AG972:AK972))),0)</f>
        <v>135416.66666666701</v>
      </c>
      <c r="AM972" s="8">
        <f>IF($O972="Aktif",MAX(0,MIN($AE972,$AD972-SUM($AG972:AL972))),0)</f>
        <v>135416.66666666701</v>
      </c>
      <c r="AN972" s="8">
        <f>IF($O972="Aktif",MAX(0,MIN($AE972,$AD972-SUM($AG972:AM972))),0)</f>
        <v>135416.66666666701</v>
      </c>
      <c r="AO972" s="8">
        <f>IF($O972="Aktif",MAX(0,MIN($AE972,$AD972-SUM($AG972:AN972))),0)</f>
        <v>135416.66666666701</v>
      </c>
      <c r="AP972" s="8">
        <f>IF($O972="Aktif",MAX(0,MIN($AE972,$AD972-SUM($AG972:AO972))),0)</f>
        <v>135416.66666666701</v>
      </c>
      <c r="AQ972" s="8">
        <f>IF($O972="Aktif",MAX(0,MIN($AE972,$AD972-SUM($AG972:AP972))),0)</f>
        <v>135416.66666666701</v>
      </c>
      <c r="AR972" s="8">
        <f>IF($O972="Aktif",MAX(0,MIN($AE972,$AD972-SUM($AG972:AQ972))),0)</f>
        <v>135416.66666666701</v>
      </c>
      <c r="AS972" s="8">
        <f>IF($O972="Aktif",MAX(0,MIN($AE972,$AD972-SUM($AG972:AR972))),0)</f>
        <v>135416.66666666701</v>
      </c>
      <c r="AT972" s="8">
        <f>IF($O972="Aktif",MAX(0,MIN($AE972,$AD972-SUM($AG972:AS972))),0)</f>
        <v>135416.66666666701</v>
      </c>
      <c r="AU972" s="8">
        <f>IF($O972="Aktif",MAX(0,MIN($AE972,$AD972-SUM($AG972:AT972))),0)</f>
        <v>135416.66666666701</v>
      </c>
      <c r="AV972" s="8">
        <f>IF($O972="Aktif",MAX(0,MIN($AE972,$AD972-SUM($AG972:AU972))),0)</f>
        <v>135416.66666666701</v>
      </c>
      <c r="AW972" s="8">
        <f t="shared" si="110"/>
        <v>2166666.6666666721</v>
      </c>
      <c r="AX972" s="8">
        <f t="shared" si="111"/>
        <v>3249999.9999999921</v>
      </c>
    </row>
    <row r="973" spans="1:50" ht="15" customHeight="1" x14ac:dyDescent="0.35">
      <c r="A973" s="102">
        <v>967</v>
      </c>
      <c r="B973" s="102" t="s">
        <v>1326</v>
      </c>
      <c r="C973" s="103">
        <v>601</v>
      </c>
      <c r="D973" s="102" t="s">
        <v>185</v>
      </c>
      <c r="E973" s="102" t="s">
        <v>479</v>
      </c>
      <c r="F973" s="102" t="s">
        <v>2332</v>
      </c>
      <c r="G973" s="102" t="s">
        <v>2333</v>
      </c>
      <c r="H973" s="102" t="s">
        <v>2334</v>
      </c>
      <c r="I973" s="102" t="s">
        <v>63</v>
      </c>
      <c r="J973" s="102"/>
      <c r="K973" s="102"/>
      <c r="L973" s="104">
        <v>46024</v>
      </c>
      <c r="M973" s="102" t="s">
        <v>2792</v>
      </c>
      <c r="N973" s="102" t="s">
        <v>2792</v>
      </c>
      <c r="O973" s="102" t="s">
        <v>383</v>
      </c>
      <c r="P973" s="103">
        <v>1</v>
      </c>
      <c r="Q973" s="105">
        <v>13000000</v>
      </c>
      <c r="R973" s="103">
        <v>48</v>
      </c>
      <c r="S973" s="105">
        <v>270833.33333333302</v>
      </c>
      <c r="T973" s="105">
        <v>0</v>
      </c>
      <c r="U973" s="105">
        <v>270833.33333333302</v>
      </c>
      <c r="V973" s="105">
        <v>270833.33333333302</v>
      </c>
      <c r="W973" s="105">
        <v>270833.33333333302</v>
      </c>
      <c r="X973" s="105">
        <v>270833.33333333302</v>
      </c>
      <c r="Y973" s="105">
        <v>270833.33333333302</v>
      </c>
      <c r="Z973" s="105">
        <v>270833.33333333302</v>
      </c>
      <c r="AA973" s="105">
        <v>270833.33333333302</v>
      </c>
      <c r="AB973" s="105">
        <v>270833.33333333302</v>
      </c>
      <c r="AC973" s="8">
        <f t="shared" si="105"/>
        <v>2166666.6666666642</v>
      </c>
      <c r="AD973" s="8">
        <f t="shared" si="106"/>
        <v>10833333.333333336</v>
      </c>
      <c r="AE973" s="8">
        <f t="shared" si="107"/>
        <v>270833.33333333302</v>
      </c>
      <c r="AF973" s="106">
        <f t="shared" si="108"/>
        <v>40.000000000000057</v>
      </c>
      <c r="AG973" s="8">
        <f t="shared" si="109"/>
        <v>270833.33333333302</v>
      </c>
      <c r="AH973" s="8">
        <f>IF($O973="Aktif",MAX(0,MIN($AE973,$AD973-SUM($AG973:AG973))),0)</f>
        <v>270833.33333333302</v>
      </c>
      <c r="AI973" s="8">
        <f>IF($O973="Aktif",MAX(0,MIN($AE973,$AD973-SUM($AG973:AH973))),0)</f>
        <v>270833.33333333302</v>
      </c>
      <c r="AJ973" s="8">
        <f>IF($O973="Aktif",MAX(0,MIN($AE973,$AD973-SUM($AG973:AI973))),0)</f>
        <v>270833.33333333302</v>
      </c>
      <c r="AK973" s="8">
        <f>IF($O973="Aktif",MAX(0,MIN($AE973,$AD973-SUM($AG973:AJ973))),0)</f>
        <v>270833.33333333302</v>
      </c>
      <c r="AL973" s="8">
        <f>IF($O973="Aktif",MAX(0,MIN($AE973,$AD973-SUM($AG973:AK973))),0)</f>
        <v>270833.33333333302</v>
      </c>
      <c r="AM973" s="8">
        <f>IF($O973="Aktif",MAX(0,MIN($AE973,$AD973-SUM($AG973:AL973))),0)</f>
        <v>270833.33333333302</v>
      </c>
      <c r="AN973" s="8">
        <f>IF($O973="Aktif",MAX(0,MIN($AE973,$AD973-SUM($AG973:AM973))),0)</f>
        <v>270833.33333333302</v>
      </c>
      <c r="AO973" s="8">
        <f>IF($O973="Aktif",MAX(0,MIN($AE973,$AD973-SUM($AG973:AN973))),0)</f>
        <v>270833.33333333302</v>
      </c>
      <c r="AP973" s="8">
        <f>IF($O973="Aktif",MAX(0,MIN($AE973,$AD973-SUM($AG973:AO973))),0)</f>
        <v>270833.33333333302</v>
      </c>
      <c r="AQ973" s="8">
        <f>IF($O973="Aktif",MAX(0,MIN($AE973,$AD973-SUM($AG973:AP973))),0)</f>
        <v>270833.33333333302</v>
      </c>
      <c r="AR973" s="8">
        <f>IF($O973="Aktif",MAX(0,MIN($AE973,$AD973-SUM($AG973:AQ973))),0)</f>
        <v>270833.33333333302</v>
      </c>
      <c r="AS973" s="8">
        <f>IF($O973="Aktif",MAX(0,MIN($AE973,$AD973-SUM($AG973:AR973))),0)</f>
        <v>270833.33333333302</v>
      </c>
      <c r="AT973" s="8">
        <f>IF($O973="Aktif",MAX(0,MIN($AE973,$AD973-SUM($AG973:AS973))),0)</f>
        <v>270833.33333333302</v>
      </c>
      <c r="AU973" s="8">
        <f>IF($O973="Aktif",MAX(0,MIN($AE973,$AD973-SUM($AG973:AT973))),0)</f>
        <v>270833.33333333302</v>
      </c>
      <c r="AV973" s="8">
        <f>IF($O973="Aktif",MAX(0,MIN($AE973,$AD973-SUM($AG973:AU973))),0)</f>
        <v>270833.33333333302</v>
      </c>
      <c r="AW973" s="8">
        <f t="shared" si="110"/>
        <v>4333333.3333333284</v>
      </c>
      <c r="AX973" s="8">
        <f t="shared" si="111"/>
        <v>6500000.0000000075</v>
      </c>
    </row>
    <row r="974" spans="1:50" ht="15" customHeight="1" x14ac:dyDescent="0.35">
      <c r="A974" s="102">
        <v>968</v>
      </c>
      <c r="B974" s="102" t="s">
        <v>1326</v>
      </c>
      <c r="C974" s="103">
        <v>602</v>
      </c>
      <c r="D974" s="102" t="s">
        <v>185</v>
      </c>
      <c r="E974" s="102" t="s">
        <v>479</v>
      </c>
      <c r="F974" s="102" t="s">
        <v>2332</v>
      </c>
      <c r="G974" s="102" t="s">
        <v>2333</v>
      </c>
      <c r="H974" s="102" t="s">
        <v>2334</v>
      </c>
      <c r="I974" s="102" t="s">
        <v>63</v>
      </c>
      <c r="J974" s="102"/>
      <c r="K974" s="102"/>
      <c r="L974" s="104">
        <v>46029</v>
      </c>
      <c r="M974" s="102" t="s">
        <v>2793</v>
      </c>
      <c r="N974" s="102" t="s">
        <v>2793</v>
      </c>
      <c r="O974" s="102" t="s">
        <v>383</v>
      </c>
      <c r="P974" s="103">
        <v>1</v>
      </c>
      <c r="Q974" s="105">
        <v>16750000</v>
      </c>
      <c r="R974" s="103">
        <v>48</v>
      </c>
      <c r="S974" s="105">
        <v>348958.33333333302</v>
      </c>
      <c r="T974" s="105">
        <v>0</v>
      </c>
      <c r="U974" s="105">
        <v>348958.33333333302</v>
      </c>
      <c r="V974" s="105">
        <v>348958.33333333302</v>
      </c>
      <c r="W974" s="105">
        <v>348958.33333333302</v>
      </c>
      <c r="X974" s="105">
        <v>348958.33333333302</v>
      </c>
      <c r="Y974" s="105">
        <v>348958.33333333302</v>
      </c>
      <c r="Z974" s="105">
        <v>348958.33333333302</v>
      </c>
      <c r="AA974" s="105">
        <v>348958.33333333302</v>
      </c>
      <c r="AB974" s="105">
        <v>348958.33333333302</v>
      </c>
      <c r="AC974" s="8">
        <f t="shared" si="105"/>
        <v>2791666.6666666642</v>
      </c>
      <c r="AD974" s="8">
        <f t="shared" si="106"/>
        <v>13958333.333333336</v>
      </c>
      <c r="AE974" s="8">
        <f t="shared" si="107"/>
        <v>348958.33333333302</v>
      </c>
      <c r="AF974" s="106">
        <f t="shared" si="108"/>
        <v>40.000000000000043</v>
      </c>
      <c r="AG974" s="8">
        <f t="shared" si="109"/>
        <v>348958.33333333302</v>
      </c>
      <c r="AH974" s="8">
        <f>IF($O974="Aktif",MAX(0,MIN($AE974,$AD974-SUM($AG974:AG974))),0)</f>
        <v>348958.33333333302</v>
      </c>
      <c r="AI974" s="8">
        <f>IF($O974="Aktif",MAX(0,MIN($AE974,$AD974-SUM($AG974:AH974))),0)</f>
        <v>348958.33333333302</v>
      </c>
      <c r="AJ974" s="8">
        <f>IF($O974="Aktif",MAX(0,MIN($AE974,$AD974-SUM($AG974:AI974))),0)</f>
        <v>348958.33333333302</v>
      </c>
      <c r="AK974" s="8">
        <f>IF($O974="Aktif",MAX(0,MIN($AE974,$AD974-SUM($AG974:AJ974))),0)</f>
        <v>348958.33333333302</v>
      </c>
      <c r="AL974" s="8">
        <f>IF($O974="Aktif",MAX(0,MIN($AE974,$AD974-SUM($AG974:AK974))),0)</f>
        <v>348958.33333333302</v>
      </c>
      <c r="AM974" s="8">
        <f>IF($O974="Aktif",MAX(0,MIN($AE974,$AD974-SUM($AG974:AL974))),0)</f>
        <v>348958.33333333302</v>
      </c>
      <c r="AN974" s="8">
        <f>IF($O974="Aktif",MAX(0,MIN($AE974,$AD974-SUM($AG974:AM974))),0)</f>
        <v>348958.33333333302</v>
      </c>
      <c r="AO974" s="8">
        <f>IF($O974="Aktif",MAX(0,MIN($AE974,$AD974-SUM($AG974:AN974))),0)</f>
        <v>348958.33333333302</v>
      </c>
      <c r="AP974" s="8">
        <f>IF($O974="Aktif",MAX(0,MIN($AE974,$AD974-SUM($AG974:AO974))),0)</f>
        <v>348958.33333333302</v>
      </c>
      <c r="AQ974" s="8">
        <f>IF($O974="Aktif",MAX(0,MIN($AE974,$AD974-SUM($AG974:AP974))),0)</f>
        <v>348958.33333333302</v>
      </c>
      <c r="AR974" s="8">
        <f>IF($O974="Aktif",MAX(0,MIN($AE974,$AD974-SUM($AG974:AQ974))),0)</f>
        <v>348958.33333333302</v>
      </c>
      <c r="AS974" s="8">
        <f>IF($O974="Aktif",MAX(0,MIN($AE974,$AD974-SUM($AG974:AR974))),0)</f>
        <v>348958.33333333302</v>
      </c>
      <c r="AT974" s="8">
        <f>IF($O974="Aktif",MAX(0,MIN($AE974,$AD974-SUM($AG974:AS974))),0)</f>
        <v>348958.33333333302</v>
      </c>
      <c r="AU974" s="8">
        <f>IF($O974="Aktif",MAX(0,MIN($AE974,$AD974-SUM($AG974:AT974))),0)</f>
        <v>348958.33333333302</v>
      </c>
      <c r="AV974" s="8">
        <f>IF($O974="Aktif",MAX(0,MIN($AE974,$AD974-SUM($AG974:AU974))),0)</f>
        <v>348958.33333333302</v>
      </c>
      <c r="AW974" s="8">
        <f t="shared" si="110"/>
        <v>5583333.3333333284</v>
      </c>
      <c r="AX974" s="8">
        <f t="shared" si="111"/>
        <v>8375000.0000000075</v>
      </c>
    </row>
    <row r="975" spans="1:50" ht="15" customHeight="1" x14ac:dyDescent="0.35">
      <c r="A975" s="102">
        <v>969</v>
      </c>
      <c r="B975" s="102" t="s">
        <v>1326</v>
      </c>
      <c r="C975" s="103">
        <v>603</v>
      </c>
      <c r="D975" s="102" t="s">
        <v>185</v>
      </c>
      <c r="E975" s="102" t="s">
        <v>479</v>
      </c>
      <c r="F975" s="102" t="s">
        <v>2332</v>
      </c>
      <c r="G975" s="102" t="s">
        <v>2333</v>
      </c>
      <c r="H975" s="102" t="s">
        <v>2334</v>
      </c>
      <c r="I975" s="102" t="s">
        <v>63</v>
      </c>
      <c r="J975" s="102"/>
      <c r="K975" s="102"/>
      <c r="L975" s="104">
        <v>46029</v>
      </c>
      <c r="M975" s="102" t="s">
        <v>2794</v>
      </c>
      <c r="N975" s="102" t="s">
        <v>2794</v>
      </c>
      <c r="O975" s="102" t="s">
        <v>383</v>
      </c>
      <c r="P975" s="103">
        <v>1</v>
      </c>
      <c r="Q975" s="105">
        <v>16750000</v>
      </c>
      <c r="R975" s="103">
        <v>48</v>
      </c>
      <c r="S975" s="105">
        <v>348958.33333333302</v>
      </c>
      <c r="T975" s="105">
        <v>0</v>
      </c>
      <c r="U975" s="105">
        <v>348958.33333333302</v>
      </c>
      <c r="V975" s="105">
        <v>348958.33333333302</v>
      </c>
      <c r="W975" s="105">
        <v>348958.33333333302</v>
      </c>
      <c r="X975" s="105">
        <v>348958.33333333302</v>
      </c>
      <c r="Y975" s="105">
        <v>348958.33333333302</v>
      </c>
      <c r="Z975" s="105">
        <v>348958.33333333302</v>
      </c>
      <c r="AA975" s="105">
        <v>348958.33333333302</v>
      </c>
      <c r="AB975" s="105">
        <v>348958.33333333302</v>
      </c>
      <c r="AC975" s="8">
        <f t="shared" si="105"/>
        <v>2791666.6666666642</v>
      </c>
      <c r="AD975" s="8">
        <f t="shared" si="106"/>
        <v>13958333.333333336</v>
      </c>
      <c r="AE975" s="8">
        <f t="shared" si="107"/>
        <v>348958.33333333302</v>
      </c>
      <c r="AF975" s="106">
        <f t="shared" si="108"/>
        <v>40.000000000000043</v>
      </c>
      <c r="AG975" s="8">
        <f t="shared" si="109"/>
        <v>348958.33333333302</v>
      </c>
      <c r="AH975" s="8">
        <f>IF($O975="Aktif",MAX(0,MIN($AE975,$AD975-SUM($AG975:AG975))),0)</f>
        <v>348958.33333333302</v>
      </c>
      <c r="AI975" s="8">
        <f>IF($O975="Aktif",MAX(0,MIN($AE975,$AD975-SUM($AG975:AH975))),0)</f>
        <v>348958.33333333302</v>
      </c>
      <c r="AJ975" s="8">
        <f>IF($O975="Aktif",MAX(0,MIN($AE975,$AD975-SUM($AG975:AI975))),0)</f>
        <v>348958.33333333302</v>
      </c>
      <c r="AK975" s="8">
        <f>IF($O975="Aktif",MAX(0,MIN($AE975,$AD975-SUM($AG975:AJ975))),0)</f>
        <v>348958.33333333302</v>
      </c>
      <c r="AL975" s="8">
        <f>IF($O975="Aktif",MAX(0,MIN($AE975,$AD975-SUM($AG975:AK975))),0)</f>
        <v>348958.33333333302</v>
      </c>
      <c r="AM975" s="8">
        <f>IF($O975="Aktif",MAX(0,MIN($AE975,$AD975-SUM($AG975:AL975))),0)</f>
        <v>348958.33333333302</v>
      </c>
      <c r="AN975" s="8">
        <f>IF($O975="Aktif",MAX(0,MIN($AE975,$AD975-SUM($AG975:AM975))),0)</f>
        <v>348958.33333333302</v>
      </c>
      <c r="AO975" s="8">
        <f>IF($O975="Aktif",MAX(0,MIN($AE975,$AD975-SUM($AG975:AN975))),0)</f>
        <v>348958.33333333302</v>
      </c>
      <c r="AP975" s="8">
        <f>IF($O975="Aktif",MAX(0,MIN($AE975,$AD975-SUM($AG975:AO975))),0)</f>
        <v>348958.33333333302</v>
      </c>
      <c r="AQ975" s="8">
        <f>IF($O975="Aktif",MAX(0,MIN($AE975,$AD975-SUM($AG975:AP975))),0)</f>
        <v>348958.33333333302</v>
      </c>
      <c r="AR975" s="8">
        <f>IF($O975="Aktif",MAX(0,MIN($AE975,$AD975-SUM($AG975:AQ975))),0)</f>
        <v>348958.33333333302</v>
      </c>
      <c r="AS975" s="8">
        <f>IF($O975="Aktif",MAX(0,MIN($AE975,$AD975-SUM($AG975:AR975))),0)</f>
        <v>348958.33333333302</v>
      </c>
      <c r="AT975" s="8">
        <f>IF($O975="Aktif",MAX(0,MIN($AE975,$AD975-SUM($AG975:AS975))),0)</f>
        <v>348958.33333333302</v>
      </c>
      <c r="AU975" s="8">
        <f>IF($O975="Aktif",MAX(0,MIN($AE975,$AD975-SUM($AG975:AT975))),0)</f>
        <v>348958.33333333302</v>
      </c>
      <c r="AV975" s="8">
        <f>IF($O975="Aktif",MAX(0,MIN($AE975,$AD975-SUM($AG975:AU975))),0)</f>
        <v>348958.33333333302</v>
      </c>
      <c r="AW975" s="8">
        <f t="shared" si="110"/>
        <v>5583333.3333333284</v>
      </c>
      <c r="AX975" s="8">
        <f t="shared" si="111"/>
        <v>8375000.0000000075</v>
      </c>
    </row>
    <row r="976" spans="1:50" ht="15" customHeight="1" x14ac:dyDescent="0.35">
      <c r="A976" s="102">
        <v>970</v>
      </c>
      <c r="B976" s="102" t="s">
        <v>1326</v>
      </c>
      <c r="C976" s="103">
        <v>604</v>
      </c>
      <c r="D976" s="102" t="s">
        <v>185</v>
      </c>
      <c r="E976" s="102" t="s">
        <v>479</v>
      </c>
      <c r="F976" s="102" t="s">
        <v>2332</v>
      </c>
      <c r="G976" s="102" t="s">
        <v>2333</v>
      </c>
      <c r="H976" s="102" t="s">
        <v>2334</v>
      </c>
      <c r="I976" s="102" t="s">
        <v>63</v>
      </c>
      <c r="J976" s="102"/>
      <c r="K976" s="102"/>
      <c r="L976" s="104">
        <v>46037</v>
      </c>
      <c r="M976" s="102" t="s">
        <v>2795</v>
      </c>
      <c r="N976" s="102" t="s">
        <v>2795</v>
      </c>
      <c r="O976" s="102" t="s">
        <v>383</v>
      </c>
      <c r="P976" s="103">
        <v>1</v>
      </c>
      <c r="Q976" s="105">
        <v>1342342.34</v>
      </c>
      <c r="R976" s="103">
        <v>48</v>
      </c>
      <c r="S976" s="105">
        <v>27965.465416666699</v>
      </c>
      <c r="T976" s="105">
        <v>0</v>
      </c>
      <c r="U976" s="105">
        <v>27965.465416666699</v>
      </c>
      <c r="V976" s="105">
        <v>27965.465416666699</v>
      </c>
      <c r="W976" s="105">
        <v>27965.465416666699</v>
      </c>
      <c r="X976" s="105">
        <v>27965.465416666699</v>
      </c>
      <c r="Y976" s="105">
        <v>27965.465416666699</v>
      </c>
      <c r="Z976" s="105">
        <v>27965.465416666699</v>
      </c>
      <c r="AA976" s="105">
        <v>27965.465416666699</v>
      </c>
      <c r="AB976" s="105">
        <v>27965.465416666699</v>
      </c>
      <c r="AC976" s="8">
        <f t="shared" si="105"/>
        <v>223723.72333333359</v>
      </c>
      <c r="AD976" s="8">
        <f t="shared" si="106"/>
        <v>1118618.6166666665</v>
      </c>
      <c r="AE976" s="8">
        <f t="shared" si="107"/>
        <v>27965.465416666699</v>
      </c>
      <c r="AF976" s="106">
        <f t="shared" si="108"/>
        <v>39.99999999999995</v>
      </c>
      <c r="AG976" s="8">
        <f t="shared" si="109"/>
        <v>27965.465416666699</v>
      </c>
      <c r="AH976" s="8">
        <f>IF($O976="Aktif",MAX(0,MIN($AE976,$AD976-SUM($AG976:AG976))),0)</f>
        <v>27965.465416666699</v>
      </c>
      <c r="AI976" s="8">
        <f>IF($O976="Aktif",MAX(0,MIN($AE976,$AD976-SUM($AG976:AH976))),0)</f>
        <v>27965.465416666699</v>
      </c>
      <c r="AJ976" s="8">
        <f>IF($O976="Aktif",MAX(0,MIN($AE976,$AD976-SUM($AG976:AI976))),0)</f>
        <v>27965.465416666699</v>
      </c>
      <c r="AK976" s="8">
        <f>IF($O976="Aktif",MAX(0,MIN($AE976,$AD976-SUM($AG976:AJ976))),0)</f>
        <v>27965.465416666699</v>
      </c>
      <c r="AL976" s="8">
        <f>IF($O976="Aktif",MAX(0,MIN($AE976,$AD976-SUM($AG976:AK976))),0)</f>
        <v>27965.465416666699</v>
      </c>
      <c r="AM976" s="8">
        <f>IF($O976="Aktif",MAX(0,MIN($AE976,$AD976-SUM($AG976:AL976))),0)</f>
        <v>27965.465416666699</v>
      </c>
      <c r="AN976" s="8">
        <f>IF($O976="Aktif",MAX(0,MIN($AE976,$AD976-SUM($AG976:AM976))),0)</f>
        <v>27965.465416666699</v>
      </c>
      <c r="AO976" s="8">
        <f>IF($O976="Aktif",MAX(0,MIN($AE976,$AD976-SUM($AG976:AN976))),0)</f>
        <v>27965.465416666699</v>
      </c>
      <c r="AP976" s="8">
        <f>IF($O976="Aktif",MAX(0,MIN($AE976,$AD976-SUM($AG976:AO976))),0)</f>
        <v>27965.465416666699</v>
      </c>
      <c r="AQ976" s="8">
        <f>IF($O976="Aktif",MAX(0,MIN($AE976,$AD976-SUM($AG976:AP976))),0)</f>
        <v>27965.465416666699</v>
      </c>
      <c r="AR976" s="8">
        <f>IF($O976="Aktif",MAX(0,MIN($AE976,$AD976-SUM($AG976:AQ976))),0)</f>
        <v>27965.465416666699</v>
      </c>
      <c r="AS976" s="8">
        <f>IF($O976="Aktif",MAX(0,MIN($AE976,$AD976-SUM($AG976:AR976))),0)</f>
        <v>27965.465416666699</v>
      </c>
      <c r="AT976" s="8">
        <f>IF($O976="Aktif",MAX(0,MIN($AE976,$AD976-SUM($AG976:AS976))),0)</f>
        <v>27965.465416666699</v>
      </c>
      <c r="AU976" s="8">
        <f>IF($O976="Aktif",MAX(0,MIN($AE976,$AD976-SUM($AG976:AT976))),0)</f>
        <v>27965.465416666699</v>
      </c>
      <c r="AV976" s="8">
        <f>IF($O976="Aktif",MAX(0,MIN($AE976,$AD976-SUM($AG976:AU976))),0)</f>
        <v>27965.465416666699</v>
      </c>
      <c r="AW976" s="8">
        <f t="shared" si="110"/>
        <v>447447.44666666718</v>
      </c>
      <c r="AX976" s="8">
        <f t="shared" si="111"/>
        <v>671171.16999999923</v>
      </c>
    </row>
    <row r="977" spans="1:50" ht="15" customHeight="1" x14ac:dyDescent="0.35">
      <c r="A977" s="102">
        <v>971</v>
      </c>
      <c r="B977" s="102" t="s">
        <v>1326</v>
      </c>
      <c r="C977" s="103">
        <v>605</v>
      </c>
      <c r="D977" s="102" t="s">
        <v>185</v>
      </c>
      <c r="E977" s="102" t="s">
        <v>540</v>
      </c>
      <c r="F977" s="102" t="s">
        <v>2283</v>
      </c>
      <c r="G977" s="102" t="s">
        <v>2284</v>
      </c>
      <c r="H977" s="102" t="s">
        <v>2285</v>
      </c>
      <c r="I977" s="102" t="s">
        <v>63</v>
      </c>
      <c r="J977" s="102"/>
      <c r="K977" s="102"/>
      <c r="L977" s="104">
        <v>46037</v>
      </c>
      <c r="M977" s="102" t="s">
        <v>2796</v>
      </c>
      <c r="N977" s="102" t="s">
        <v>2796</v>
      </c>
      <c r="O977" s="102" t="s">
        <v>383</v>
      </c>
      <c r="P977" s="103">
        <v>1</v>
      </c>
      <c r="Q977" s="105">
        <v>216000000</v>
      </c>
      <c r="R977" s="103">
        <v>96</v>
      </c>
      <c r="S977" s="105">
        <v>2250000</v>
      </c>
      <c r="T977" s="105">
        <v>0</v>
      </c>
      <c r="U977" s="105">
        <v>2250000</v>
      </c>
      <c r="V977" s="105">
        <v>2250000</v>
      </c>
      <c r="W977" s="105">
        <v>2250000</v>
      </c>
      <c r="X977" s="105">
        <v>2250000</v>
      </c>
      <c r="Y977" s="105">
        <v>2250000</v>
      </c>
      <c r="Z977" s="105">
        <v>2250000</v>
      </c>
      <c r="AA977" s="105">
        <v>2250000</v>
      </c>
      <c r="AB977" s="105">
        <v>2250000</v>
      </c>
      <c r="AC977" s="8">
        <f t="shared" si="105"/>
        <v>18000000</v>
      </c>
      <c r="AD977" s="8">
        <f t="shared" si="106"/>
        <v>198000000</v>
      </c>
      <c r="AE977" s="8">
        <f t="shared" si="107"/>
        <v>2250000</v>
      </c>
      <c r="AF977" s="106">
        <f t="shared" si="108"/>
        <v>88</v>
      </c>
      <c r="AG977" s="8">
        <f t="shared" si="109"/>
        <v>2250000</v>
      </c>
      <c r="AH977" s="8">
        <f>IF($O977="Aktif",MAX(0,MIN($AE977,$AD977-SUM($AG977:AG977))),0)</f>
        <v>2250000</v>
      </c>
      <c r="AI977" s="8">
        <f>IF($O977="Aktif",MAX(0,MIN($AE977,$AD977-SUM($AG977:AH977))),0)</f>
        <v>2250000</v>
      </c>
      <c r="AJ977" s="8">
        <f>IF($O977="Aktif",MAX(0,MIN($AE977,$AD977-SUM($AG977:AI977))),0)</f>
        <v>2250000</v>
      </c>
      <c r="AK977" s="8">
        <f>IF($O977="Aktif",MAX(0,MIN($AE977,$AD977-SUM($AG977:AJ977))),0)</f>
        <v>2250000</v>
      </c>
      <c r="AL977" s="8">
        <f>IF($O977="Aktif",MAX(0,MIN($AE977,$AD977-SUM($AG977:AK977))),0)</f>
        <v>2250000</v>
      </c>
      <c r="AM977" s="8">
        <f>IF($O977="Aktif",MAX(0,MIN($AE977,$AD977-SUM($AG977:AL977))),0)</f>
        <v>2250000</v>
      </c>
      <c r="AN977" s="8">
        <f>IF($O977="Aktif",MAX(0,MIN($AE977,$AD977-SUM($AG977:AM977))),0)</f>
        <v>2250000</v>
      </c>
      <c r="AO977" s="8">
        <f>IF($O977="Aktif",MAX(0,MIN($AE977,$AD977-SUM($AG977:AN977))),0)</f>
        <v>2250000</v>
      </c>
      <c r="AP977" s="8">
        <f>IF($O977="Aktif",MAX(0,MIN($AE977,$AD977-SUM($AG977:AO977))),0)</f>
        <v>2250000</v>
      </c>
      <c r="AQ977" s="8">
        <f>IF($O977="Aktif",MAX(0,MIN($AE977,$AD977-SUM($AG977:AP977))),0)</f>
        <v>2250000</v>
      </c>
      <c r="AR977" s="8">
        <f>IF($O977="Aktif",MAX(0,MIN($AE977,$AD977-SUM($AG977:AQ977))),0)</f>
        <v>2250000</v>
      </c>
      <c r="AS977" s="8">
        <f>IF($O977="Aktif",MAX(0,MIN($AE977,$AD977-SUM($AG977:AR977))),0)</f>
        <v>2250000</v>
      </c>
      <c r="AT977" s="8">
        <f>IF($O977="Aktif",MAX(0,MIN($AE977,$AD977-SUM($AG977:AS977))),0)</f>
        <v>2250000</v>
      </c>
      <c r="AU977" s="8">
        <f>IF($O977="Aktif",MAX(0,MIN($AE977,$AD977-SUM($AG977:AT977))),0)</f>
        <v>2250000</v>
      </c>
      <c r="AV977" s="8">
        <f>IF($O977="Aktif",MAX(0,MIN($AE977,$AD977-SUM($AG977:AU977))),0)</f>
        <v>2250000</v>
      </c>
      <c r="AW977" s="8">
        <f t="shared" si="110"/>
        <v>36000000</v>
      </c>
      <c r="AX977" s="8">
        <f t="shared" si="111"/>
        <v>162000000</v>
      </c>
    </row>
    <row r="978" spans="1:50" ht="15" customHeight="1" x14ac:dyDescent="0.35">
      <c r="A978" s="102">
        <v>972</v>
      </c>
      <c r="B978" s="102" t="s">
        <v>1326</v>
      </c>
      <c r="C978" s="103">
        <v>606</v>
      </c>
      <c r="D978" s="102" t="s">
        <v>185</v>
      </c>
      <c r="E978" s="102" t="s">
        <v>540</v>
      </c>
      <c r="F978" s="102" t="s">
        <v>2283</v>
      </c>
      <c r="G978" s="102" t="s">
        <v>2284</v>
      </c>
      <c r="H978" s="102" t="s">
        <v>2285</v>
      </c>
      <c r="I978" s="102" t="s">
        <v>63</v>
      </c>
      <c r="J978" s="102"/>
      <c r="K978" s="102"/>
      <c r="L978" s="104">
        <v>46037</v>
      </c>
      <c r="M978" s="102" t="s">
        <v>2797</v>
      </c>
      <c r="N978" s="102" t="s">
        <v>2797</v>
      </c>
      <c r="O978" s="102" t="s">
        <v>383</v>
      </c>
      <c r="P978" s="103">
        <v>1</v>
      </c>
      <c r="Q978" s="105">
        <v>216000000</v>
      </c>
      <c r="R978" s="103">
        <v>96</v>
      </c>
      <c r="S978" s="105">
        <v>2250000</v>
      </c>
      <c r="T978" s="105">
        <v>0</v>
      </c>
      <c r="U978" s="105">
        <v>2250000</v>
      </c>
      <c r="V978" s="105">
        <v>2250000</v>
      </c>
      <c r="W978" s="105">
        <v>2250000</v>
      </c>
      <c r="X978" s="105">
        <v>2250000</v>
      </c>
      <c r="Y978" s="105">
        <v>2250000</v>
      </c>
      <c r="Z978" s="105">
        <v>2250000</v>
      </c>
      <c r="AA978" s="105">
        <v>2250000</v>
      </c>
      <c r="AB978" s="105">
        <v>2250000</v>
      </c>
      <c r="AC978" s="8">
        <f t="shared" si="105"/>
        <v>18000000</v>
      </c>
      <c r="AD978" s="8">
        <f t="shared" si="106"/>
        <v>198000000</v>
      </c>
      <c r="AE978" s="8">
        <f t="shared" si="107"/>
        <v>2250000</v>
      </c>
      <c r="AF978" s="106">
        <f t="shared" si="108"/>
        <v>88</v>
      </c>
      <c r="AG978" s="8">
        <f t="shared" si="109"/>
        <v>2250000</v>
      </c>
      <c r="AH978" s="8">
        <f>IF($O978="Aktif",MAX(0,MIN($AE978,$AD978-SUM($AG978:AG978))),0)</f>
        <v>2250000</v>
      </c>
      <c r="AI978" s="8">
        <f>IF($O978="Aktif",MAX(0,MIN($AE978,$AD978-SUM($AG978:AH978))),0)</f>
        <v>2250000</v>
      </c>
      <c r="AJ978" s="8">
        <f>IF($O978="Aktif",MAX(0,MIN($AE978,$AD978-SUM($AG978:AI978))),0)</f>
        <v>2250000</v>
      </c>
      <c r="AK978" s="8">
        <f>IF($O978="Aktif",MAX(0,MIN($AE978,$AD978-SUM($AG978:AJ978))),0)</f>
        <v>2250000</v>
      </c>
      <c r="AL978" s="8">
        <f>IF($O978="Aktif",MAX(0,MIN($AE978,$AD978-SUM($AG978:AK978))),0)</f>
        <v>2250000</v>
      </c>
      <c r="AM978" s="8">
        <f>IF($O978="Aktif",MAX(0,MIN($AE978,$AD978-SUM($AG978:AL978))),0)</f>
        <v>2250000</v>
      </c>
      <c r="AN978" s="8">
        <f>IF($O978="Aktif",MAX(0,MIN($AE978,$AD978-SUM($AG978:AM978))),0)</f>
        <v>2250000</v>
      </c>
      <c r="AO978" s="8">
        <f>IF($O978="Aktif",MAX(0,MIN($AE978,$AD978-SUM($AG978:AN978))),0)</f>
        <v>2250000</v>
      </c>
      <c r="AP978" s="8">
        <f>IF($O978="Aktif",MAX(0,MIN($AE978,$AD978-SUM($AG978:AO978))),0)</f>
        <v>2250000</v>
      </c>
      <c r="AQ978" s="8">
        <f>IF($O978="Aktif",MAX(0,MIN($AE978,$AD978-SUM($AG978:AP978))),0)</f>
        <v>2250000</v>
      </c>
      <c r="AR978" s="8">
        <f>IF($O978="Aktif",MAX(0,MIN($AE978,$AD978-SUM($AG978:AQ978))),0)</f>
        <v>2250000</v>
      </c>
      <c r="AS978" s="8">
        <f>IF($O978="Aktif",MAX(0,MIN($AE978,$AD978-SUM($AG978:AR978))),0)</f>
        <v>2250000</v>
      </c>
      <c r="AT978" s="8">
        <f>IF($O978="Aktif",MAX(0,MIN($AE978,$AD978-SUM($AG978:AS978))),0)</f>
        <v>2250000</v>
      </c>
      <c r="AU978" s="8">
        <f>IF($O978="Aktif",MAX(0,MIN($AE978,$AD978-SUM($AG978:AT978))),0)</f>
        <v>2250000</v>
      </c>
      <c r="AV978" s="8">
        <f>IF($O978="Aktif",MAX(0,MIN($AE978,$AD978-SUM($AG978:AU978))),0)</f>
        <v>2250000</v>
      </c>
      <c r="AW978" s="8">
        <f t="shared" si="110"/>
        <v>36000000</v>
      </c>
      <c r="AX978" s="8">
        <f t="shared" si="111"/>
        <v>162000000</v>
      </c>
    </row>
    <row r="979" spans="1:50" ht="15" customHeight="1" x14ac:dyDescent="0.35">
      <c r="A979" s="102">
        <v>973</v>
      </c>
      <c r="B979" s="102" t="s">
        <v>1326</v>
      </c>
      <c r="C979" s="103">
        <v>607</v>
      </c>
      <c r="D979" s="102" t="s">
        <v>185</v>
      </c>
      <c r="E979" s="102" t="s">
        <v>479</v>
      </c>
      <c r="F979" s="102" t="s">
        <v>2332</v>
      </c>
      <c r="G979" s="102" t="s">
        <v>2333</v>
      </c>
      <c r="H979" s="102" t="s">
        <v>2334</v>
      </c>
      <c r="I979" s="102" t="s">
        <v>63</v>
      </c>
      <c r="J979" s="102"/>
      <c r="K979" s="102"/>
      <c r="L979" s="104">
        <v>46058</v>
      </c>
      <c r="M979" s="102" t="s">
        <v>2798</v>
      </c>
      <c r="N979" s="102" t="s">
        <v>2798</v>
      </c>
      <c r="O979" s="102" t="s">
        <v>383</v>
      </c>
      <c r="P979" s="103">
        <v>1</v>
      </c>
      <c r="Q979" s="105">
        <v>1575000</v>
      </c>
      <c r="R979" s="103">
        <v>48</v>
      </c>
      <c r="S979" s="105">
        <v>32812.5</v>
      </c>
      <c r="T979" s="105">
        <v>0</v>
      </c>
      <c r="U979" s="105">
        <v>0</v>
      </c>
      <c r="V979" s="105">
        <v>32812.5</v>
      </c>
      <c r="W979" s="105">
        <v>32812.5</v>
      </c>
      <c r="X979" s="105">
        <v>32812.5</v>
      </c>
      <c r="Y979" s="105">
        <v>32812.5</v>
      </c>
      <c r="Z979" s="105">
        <v>32812.5</v>
      </c>
      <c r="AA979" s="105">
        <v>32812.5</v>
      </c>
      <c r="AB979" s="105">
        <v>32812.5</v>
      </c>
      <c r="AC979" s="8">
        <f t="shared" si="105"/>
        <v>229687.5</v>
      </c>
      <c r="AD979" s="8">
        <f t="shared" si="106"/>
        <v>1345312.5</v>
      </c>
      <c r="AE979" s="8">
        <f t="shared" si="107"/>
        <v>32812.5</v>
      </c>
      <c r="AF979" s="106">
        <f t="shared" si="108"/>
        <v>41</v>
      </c>
      <c r="AG979" s="8">
        <f t="shared" si="109"/>
        <v>32812.5</v>
      </c>
      <c r="AH979" s="8">
        <f>IF($O979="Aktif",MAX(0,MIN($AE979,$AD979-SUM($AG979:AG979))),0)</f>
        <v>32812.5</v>
      </c>
      <c r="AI979" s="8">
        <f>IF($O979="Aktif",MAX(0,MIN($AE979,$AD979-SUM($AG979:AH979))),0)</f>
        <v>32812.5</v>
      </c>
      <c r="AJ979" s="8">
        <f>IF($O979="Aktif",MAX(0,MIN($AE979,$AD979-SUM($AG979:AI979))),0)</f>
        <v>32812.5</v>
      </c>
      <c r="AK979" s="8">
        <f>IF($O979="Aktif",MAX(0,MIN($AE979,$AD979-SUM($AG979:AJ979))),0)</f>
        <v>32812.5</v>
      </c>
      <c r="AL979" s="8">
        <f>IF($O979="Aktif",MAX(0,MIN($AE979,$AD979-SUM($AG979:AK979))),0)</f>
        <v>32812.5</v>
      </c>
      <c r="AM979" s="8">
        <f>IF($O979="Aktif",MAX(0,MIN($AE979,$AD979-SUM($AG979:AL979))),0)</f>
        <v>32812.5</v>
      </c>
      <c r="AN979" s="8">
        <f>IF($O979="Aktif",MAX(0,MIN($AE979,$AD979-SUM($AG979:AM979))),0)</f>
        <v>32812.5</v>
      </c>
      <c r="AO979" s="8">
        <f>IF($O979="Aktif",MAX(0,MIN($AE979,$AD979-SUM($AG979:AN979))),0)</f>
        <v>32812.5</v>
      </c>
      <c r="AP979" s="8">
        <f>IF($O979="Aktif",MAX(0,MIN($AE979,$AD979-SUM($AG979:AO979))),0)</f>
        <v>32812.5</v>
      </c>
      <c r="AQ979" s="8">
        <f>IF($O979="Aktif",MAX(0,MIN($AE979,$AD979-SUM($AG979:AP979))),0)</f>
        <v>32812.5</v>
      </c>
      <c r="AR979" s="8">
        <f>IF($O979="Aktif",MAX(0,MIN($AE979,$AD979-SUM($AG979:AQ979))),0)</f>
        <v>32812.5</v>
      </c>
      <c r="AS979" s="8">
        <f>IF($O979="Aktif",MAX(0,MIN($AE979,$AD979-SUM($AG979:AR979))),0)</f>
        <v>32812.5</v>
      </c>
      <c r="AT979" s="8">
        <f>IF($O979="Aktif",MAX(0,MIN($AE979,$AD979-SUM($AG979:AS979))),0)</f>
        <v>32812.5</v>
      </c>
      <c r="AU979" s="8">
        <f>IF($O979="Aktif",MAX(0,MIN($AE979,$AD979-SUM($AG979:AT979))),0)</f>
        <v>32812.5</v>
      </c>
      <c r="AV979" s="8">
        <f>IF($O979="Aktif",MAX(0,MIN($AE979,$AD979-SUM($AG979:AU979))),0)</f>
        <v>32812.5</v>
      </c>
      <c r="AW979" s="8">
        <f t="shared" si="110"/>
        <v>525000</v>
      </c>
      <c r="AX979" s="8">
        <f t="shared" si="111"/>
        <v>820312.5</v>
      </c>
    </row>
    <row r="980" spans="1:50" ht="15" customHeight="1" x14ac:dyDescent="0.35">
      <c r="A980" s="102">
        <v>974</v>
      </c>
      <c r="B980" s="102" t="s">
        <v>1326</v>
      </c>
      <c r="C980" s="103">
        <v>608</v>
      </c>
      <c r="D980" s="102" t="s">
        <v>185</v>
      </c>
      <c r="E980" s="102" t="s">
        <v>479</v>
      </c>
      <c r="F980" s="102" t="s">
        <v>2332</v>
      </c>
      <c r="G980" s="102" t="s">
        <v>2333</v>
      </c>
      <c r="H980" s="102" t="s">
        <v>2334</v>
      </c>
      <c r="I980" s="102" t="s">
        <v>63</v>
      </c>
      <c r="J980" s="102"/>
      <c r="K980" s="102"/>
      <c r="L980" s="104">
        <v>46066</v>
      </c>
      <c r="M980" s="102" t="s">
        <v>2799</v>
      </c>
      <c r="N980" s="102" t="s">
        <v>2799</v>
      </c>
      <c r="O980" s="102" t="s">
        <v>383</v>
      </c>
      <c r="P980" s="103">
        <v>1</v>
      </c>
      <c r="Q980" s="105">
        <v>125000000</v>
      </c>
      <c r="R980" s="103">
        <v>48</v>
      </c>
      <c r="S980" s="105">
        <v>2604166.6666666698</v>
      </c>
      <c r="T980" s="105">
        <v>0</v>
      </c>
      <c r="U980" s="105">
        <v>0</v>
      </c>
      <c r="V980" s="105">
        <v>2604166.6666666698</v>
      </c>
      <c r="W980" s="105">
        <v>2604166.6666666698</v>
      </c>
      <c r="X980" s="105">
        <v>2604166.6666666698</v>
      </c>
      <c r="Y980" s="105">
        <v>2604166.6666666698</v>
      </c>
      <c r="Z980" s="105">
        <v>2604166.6666666698</v>
      </c>
      <c r="AA980" s="105">
        <v>2604166.6666666698</v>
      </c>
      <c r="AB980" s="105">
        <v>2604166.6666666698</v>
      </c>
      <c r="AC980" s="8">
        <f t="shared" si="105"/>
        <v>18229166.666666687</v>
      </c>
      <c r="AD980" s="8">
        <f t="shared" si="106"/>
        <v>106770833.33333331</v>
      </c>
      <c r="AE980" s="8">
        <f t="shared" si="107"/>
        <v>2604166.6666666698</v>
      </c>
      <c r="AF980" s="106">
        <f t="shared" si="108"/>
        <v>40.999999999999943</v>
      </c>
      <c r="AG980" s="8">
        <f t="shared" si="109"/>
        <v>2604166.6666666698</v>
      </c>
      <c r="AH980" s="8">
        <f>IF($O980="Aktif",MAX(0,MIN($AE980,$AD980-SUM($AG980:AG980))),0)</f>
        <v>2604166.6666666698</v>
      </c>
      <c r="AI980" s="8">
        <f>IF($O980="Aktif",MAX(0,MIN($AE980,$AD980-SUM($AG980:AH980))),0)</f>
        <v>2604166.6666666698</v>
      </c>
      <c r="AJ980" s="8">
        <f>IF($O980="Aktif",MAX(0,MIN($AE980,$AD980-SUM($AG980:AI980))),0)</f>
        <v>2604166.6666666698</v>
      </c>
      <c r="AK980" s="8">
        <f>IF($O980="Aktif",MAX(0,MIN($AE980,$AD980-SUM($AG980:AJ980))),0)</f>
        <v>2604166.6666666698</v>
      </c>
      <c r="AL980" s="8">
        <f>IF($O980="Aktif",MAX(0,MIN($AE980,$AD980-SUM($AG980:AK980))),0)</f>
        <v>2604166.6666666698</v>
      </c>
      <c r="AM980" s="8">
        <f>IF($O980="Aktif",MAX(0,MIN($AE980,$AD980-SUM($AG980:AL980))),0)</f>
        <v>2604166.6666666698</v>
      </c>
      <c r="AN980" s="8">
        <f>IF($O980="Aktif",MAX(0,MIN($AE980,$AD980-SUM($AG980:AM980))),0)</f>
        <v>2604166.6666666698</v>
      </c>
      <c r="AO980" s="8">
        <f>IF($O980="Aktif",MAX(0,MIN($AE980,$AD980-SUM($AG980:AN980))),0)</f>
        <v>2604166.6666666698</v>
      </c>
      <c r="AP980" s="8">
        <f>IF($O980="Aktif",MAX(0,MIN($AE980,$AD980-SUM($AG980:AO980))),0)</f>
        <v>2604166.6666666698</v>
      </c>
      <c r="AQ980" s="8">
        <f>IF($O980="Aktif",MAX(0,MIN($AE980,$AD980-SUM($AG980:AP980))),0)</f>
        <v>2604166.6666666698</v>
      </c>
      <c r="AR980" s="8">
        <f>IF($O980="Aktif",MAX(0,MIN($AE980,$AD980-SUM($AG980:AQ980))),0)</f>
        <v>2604166.6666666698</v>
      </c>
      <c r="AS980" s="8">
        <f>IF($O980="Aktif",MAX(0,MIN($AE980,$AD980-SUM($AG980:AR980))),0)</f>
        <v>2604166.6666666698</v>
      </c>
      <c r="AT980" s="8">
        <f>IF($O980="Aktif",MAX(0,MIN($AE980,$AD980-SUM($AG980:AS980))),0)</f>
        <v>2604166.6666666698</v>
      </c>
      <c r="AU980" s="8">
        <f>IF($O980="Aktif",MAX(0,MIN($AE980,$AD980-SUM($AG980:AT980))),0)</f>
        <v>2604166.6666666698</v>
      </c>
      <c r="AV980" s="8">
        <f>IF($O980="Aktif",MAX(0,MIN($AE980,$AD980-SUM($AG980:AU980))),0)</f>
        <v>2604166.6666666698</v>
      </c>
      <c r="AW980" s="8">
        <f t="shared" si="110"/>
        <v>41666666.666666731</v>
      </c>
      <c r="AX980" s="8">
        <f t="shared" si="111"/>
        <v>65104166.666666582</v>
      </c>
    </row>
    <row r="981" spans="1:50" ht="15" customHeight="1" x14ac:dyDescent="0.35">
      <c r="A981" s="102">
        <v>975</v>
      </c>
      <c r="B981" s="102" t="s">
        <v>1326</v>
      </c>
      <c r="C981" s="103">
        <v>609</v>
      </c>
      <c r="D981" s="102" t="s">
        <v>185</v>
      </c>
      <c r="E981" s="102" t="s">
        <v>479</v>
      </c>
      <c r="F981" s="102" t="s">
        <v>2332</v>
      </c>
      <c r="G981" s="102" t="s">
        <v>2333</v>
      </c>
      <c r="H981" s="102" t="s">
        <v>2334</v>
      </c>
      <c r="I981" s="102" t="s">
        <v>63</v>
      </c>
      <c r="J981" s="102"/>
      <c r="K981" s="102"/>
      <c r="L981" s="104">
        <v>46095</v>
      </c>
      <c r="M981" s="102" t="s">
        <v>2800</v>
      </c>
      <c r="N981" s="102" t="s">
        <v>2800</v>
      </c>
      <c r="O981" s="102" t="s">
        <v>383</v>
      </c>
      <c r="P981" s="103">
        <v>1</v>
      </c>
      <c r="Q981" s="105">
        <v>5100000</v>
      </c>
      <c r="R981" s="103">
        <v>48</v>
      </c>
      <c r="S981" s="105">
        <v>106250</v>
      </c>
      <c r="T981" s="105">
        <v>0</v>
      </c>
      <c r="U981" s="105">
        <v>0</v>
      </c>
      <c r="V981" s="105">
        <v>0</v>
      </c>
      <c r="W981" s="105">
        <v>106250</v>
      </c>
      <c r="X981" s="105">
        <v>106250</v>
      </c>
      <c r="Y981" s="105">
        <v>106250</v>
      </c>
      <c r="Z981" s="105">
        <v>106250</v>
      </c>
      <c r="AA981" s="105">
        <v>106250</v>
      </c>
      <c r="AB981" s="105">
        <v>106250</v>
      </c>
      <c r="AC981" s="8">
        <f t="shared" si="105"/>
        <v>637500</v>
      </c>
      <c r="AD981" s="8">
        <f t="shared" si="106"/>
        <v>4462500</v>
      </c>
      <c r="AE981" s="8">
        <f t="shared" si="107"/>
        <v>106250</v>
      </c>
      <c r="AF981" s="106">
        <f t="shared" si="108"/>
        <v>42</v>
      </c>
      <c r="AG981" s="8">
        <f t="shared" si="109"/>
        <v>106250</v>
      </c>
      <c r="AH981" s="8">
        <f>IF($O981="Aktif",MAX(0,MIN($AE981,$AD981-SUM($AG981:AG981))),0)</f>
        <v>106250</v>
      </c>
      <c r="AI981" s="8">
        <f>IF($O981="Aktif",MAX(0,MIN($AE981,$AD981-SUM($AG981:AH981))),0)</f>
        <v>106250</v>
      </c>
      <c r="AJ981" s="8">
        <f>IF($O981="Aktif",MAX(0,MIN($AE981,$AD981-SUM($AG981:AI981))),0)</f>
        <v>106250</v>
      </c>
      <c r="AK981" s="8">
        <f>IF($O981="Aktif",MAX(0,MIN($AE981,$AD981-SUM($AG981:AJ981))),0)</f>
        <v>106250</v>
      </c>
      <c r="AL981" s="8">
        <f>IF($O981="Aktif",MAX(0,MIN($AE981,$AD981-SUM($AG981:AK981))),0)</f>
        <v>106250</v>
      </c>
      <c r="AM981" s="8">
        <f>IF($O981="Aktif",MAX(0,MIN($AE981,$AD981-SUM($AG981:AL981))),0)</f>
        <v>106250</v>
      </c>
      <c r="AN981" s="8">
        <f>IF($O981="Aktif",MAX(0,MIN($AE981,$AD981-SUM($AG981:AM981))),0)</f>
        <v>106250</v>
      </c>
      <c r="AO981" s="8">
        <f>IF($O981="Aktif",MAX(0,MIN($AE981,$AD981-SUM($AG981:AN981))),0)</f>
        <v>106250</v>
      </c>
      <c r="AP981" s="8">
        <f>IF($O981="Aktif",MAX(0,MIN($AE981,$AD981-SUM($AG981:AO981))),0)</f>
        <v>106250</v>
      </c>
      <c r="AQ981" s="8">
        <f>IF($O981="Aktif",MAX(0,MIN($AE981,$AD981-SUM($AG981:AP981))),0)</f>
        <v>106250</v>
      </c>
      <c r="AR981" s="8">
        <f>IF($O981="Aktif",MAX(0,MIN($AE981,$AD981-SUM($AG981:AQ981))),0)</f>
        <v>106250</v>
      </c>
      <c r="AS981" s="8">
        <f>IF($O981="Aktif",MAX(0,MIN($AE981,$AD981-SUM($AG981:AR981))),0)</f>
        <v>106250</v>
      </c>
      <c r="AT981" s="8">
        <f>IF($O981="Aktif",MAX(0,MIN($AE981,$AD981-SUM($AG981:AS981))),0)</f>
        <v>106250</v>
      </c>
      <c r="AU981" s="8">
        <f>IF($O981="Aktif",MAX(0,MIN($AE981,$AD981-SUM($AG981:AT981))),0)</f>
        <v>106250</v>
      </c>
      <c r="AV981" s="8">
        <f>IF($O981="Aktif",MAX(0,MIN($AE981,$AD981-SUM($AG981:AU981))),0)</f>
        <v>106250</v>
      </c>
      <c r="AW981" s="8">
        <f t="shared" si="110"/>
        <v>1700000</v>
      </c>
      <c r="AX981" s="8">
        <f t="shared" si="111"/>
        <v>2762500</v>
      </c>
    </row>
    <row r="982" spans="1:50" ht="15" customHeight="1" x14ac:dyDescent="0.35">
      <c r="A982" s="102">
        <v>976</v>
      </c>
      <c r="B982" s="102" t="s">
        <v>1326</v>
      </c>
      <c r="C982" s="103">
        <v>610</v>
      </c>
      <c r="D982" s="102" t="s">
        <v>185</v>
      </c>
      <c r="E982" s="102" t="s">
        <v>479</v>
      </c>
      <c r="F982" s="102" t="s">
        <v>2332</v>
      </c>
      <c r="G982" s="102" t="s">
        <v>2333</v>
      </c>
      <c r="H982" s="102" t="s">
        <v>2334</v>
      </c>
      <c r="I982" s="102" t="s">
        <v>63</v>
      </c>
      <c r="J982" s="102"/>
      <c r="K982" s="102"/>
      <c r="L982" s="104">
        <v>46095</v>
      </c>
      <c r="M982" s="102" t="s">
        <v>2801</v>
      </c>
      <c r="N982" s="102" t="s">
        <v>2801</v>
      </c>
      <c r="O982" s="102" t="s">
        <v>383</v>
      </c>
      <c r="P982" s="103">
        <v>1</v>
      </c>
      <c r="Q982" s="105">
        <v>12747748</v>
      </c>
      <c r="R982" s="103">
        <v>48</v>
      </c>
      <c r="S982" s="105">
        <v>265578.08333333302</v>
      </c>
      <c r="T982" s="105">
        <v>0</v>
      </c>
      <c r="U982" s="105">
        <v>0</v>
      </c>
      <c r="V982" s="105">
        <v>0</v>
      </c>
      <c r="W982" s="105">
        <v>265578.08333333302</v>
      </c>
      <c r="X982" s="105">
        <v>265578.08333333302</v>
      </c>
      <c r="Y982" s="105">
        <v>265578.08333333302</v>
      </c>
      <c r="Z982" s="105">
        <v>265578.08333333302</v>
      </c>
      <c r="AA982" s="105">
        <v>265578.08333333302</v>
      </c>
      <c r="AB982" s="105">
        <v>265578.08333333302</v>
      </c>
      <c r="AC982" s="8">
        <f t="shared" si="105"/>
        <v>1593468.4999999981</v>
      </c>
      <c r="AD982" s="8">
        <f t="shared" si="106"/>
        <v>11154279.500000002</v>
      </c>
      <c r="AE982" s="8">
        <f t="shared" si="107"/>
        <v>265578.08333333302</v>
      </c>
      <c r="AF982" s="106">
        <f t="shared" si="108"/>
        <v>42.000000000000057</v>
      </c>
      <c r="AG982" s="8">
        <f t="shared" si="109"/>
        <v>265578.08333333302</v>
      </c>
      <c r="AH982" s="8">
        <f>IF($O982="Aktif",MAX(0,MIN($AE982,$AD982-SUM($AG982:AG982))),0)</f>
        <v>265578.08333333302</v>
      </c>
      <c r="AI982" s="8">
        <f>IF($O982="Aktif",MAX(0,MIN($AE982,$AD982-SUM($AG982:AH982))),0)</f>
        <v>265578.08333333302</v>
      </c>
      <c r="AJ982" s="8">
        <f>IF($O982="Aktif",MAX(0,MIN($AE982,$AD982-SUM($AG982:AI982))),0)</f>
        <v>265578.08333333302</v>
      </c>
      <c r="AK982" s="8">
        <f>IF($O982="Aktif",MAX(0,MIN($AE982,$AD982-SUM($AG982:AJ982))),0)</f>
        <v>265578.08333333302</v>
      </c>
      <c r="AL982" s="8">
        <f>IF($O982="Aktif",MAX(0,MIN($AE982,$AD982-SUM($AG982:AK982))),0)</f>
        <v>265578.08333333302</v>
      </c>
      <c r="AM982" s="8">
        <f>IF($O982="Aktif",MAX(0,MIN($AE982,$AD982-SUM($AG982:AL982))),0)</f>
        <v>265578.08333333302</v>
      </c>
      <c r="AN982" s="8">
        <f>IF($O982="Aktif",MAX(0,MIN($AE982,$AD982-SUM($AG982:AM982))),0)</f>
        <v>265578.08333333302</v>
      </c>
      <c r="AO982" s="8">
        <f>IF($O982="Aktif",MAX(0,MIN($AE982,$AD982-SUM($AG982:AN982))),0)</f>
        <v>265578.08333333302</v>
      </c>
      <c r="AP982" s="8">
        <f>IF($O982="Aktif",MAX(0,MIN($AE982,$AD982-SUM($AG982:AO982))),0)</f>
        <v>265578.08333333302</v>
      </c>
      <c r="AQ982" s="8">
        <f>IF($O982="Aktif",MAX(0,MIN($AE982,$AD982-SUM($AG982:AP982))),0)</f>
        <v>265578.08333333302</v>
      </c>
      <c r="AR982" s="8">
        <f>IF($O982="Aktif",MAX(0,MIN($AE982,$AD982-SUM($AG982:AQ982))),0)</f>
        <v>265578.08333333302</v>
      </c>
      <c r="AS982" s="8">
        <f>IF($O982="Aktif",MAX(0,MIN($AE982,$AD982-SUM($AG982:AR982))),0)</f>
        <v>265578.08333333302</v>
      </c>
      <c r="AT982" s="8">
        <f>IF($O982="Aktif",MAX(0,MIN($AE982,$AD982-SUM($AG982:AS982))),0)</f>
        <v>265578.08333333302</v>
      </c>
      <c r="AU982" s="8">
        <f>IF($O982="Aktif",MAX(0,MIN($AE982,$AD982-SUM($AG982:AT982))),0)</f>
        <v>265578.08333333302</v>
      </c>
      <c r="AV982" s="8">
        <f>IF($O982="Aktif",MAX(0,MIN($AE982,$AD982-SUM($AG982:AU982))),0)</f>
        <v>265578.08333333302</v>
      </c>
      <c r="AW982" s="8">
        <f t="shared" si="110"/>
        <v>4249249.3333333284</v>
      </c>
      <c r="AX982" s="8">
        <f t="shared" si="111"/>
        <v>6905030.1666666735</v>
      </c>
    </row>
    <row r="983" spans="1:50" ht="15" customHeight="1" x14ac:dyDescent="0.35">
      <c r="A983" s="102">
        <v>977</v>
      </c>
      <c r="B983" s="102" t="s">
        <v>1326</v>
      </c>
      <c r="C983" s="103">
        <v>611</v>
      </c>
      <c r="D983" s="102" t="s">
        <v>185</v>
      </c>
      <c r="E983" s="102" t="s">
        <v>479</v>
      </c>
      <c r="F983" s="102" t="s">
        <v>2332</v>
      </c>
      <c r="G983" s="102" t="s">
        <v>2333</v>
      </c>
      <c r="H983" s="102" t="s">
        <v>2334</v>
      </c>
      <c r="I983" s="102" t="s">
        <v>63</v>
      </c>
      <c r="J983" s="102"/>
      <c r="K983" s="102"/>
      <c r="L983" s="102"/>
      <c r="M983" s="102" t="s">
        <v>2802</v>
      </c>
      <c r="N983" s="102" t="s">
        <v>2802</v>
      </c>
      <c r="O983" s="102" t="s">
        <v>383</v>
      </c>
      <c r="P983" s="103">
        <v>1</v>
      </c>
      <c r="Q983" s="105">
        <v>11020000</v>
      </c>
      <c r="R983" s="103">
        <v>48</v>
      </c>
      <c r="S983" s="105">
        <v>229583.33333333299</v>
      </c>
      <c r="T983" s="105">
        <v>0</v>
      </c>
      <c r="U983" s="105">
        <v>0</v>
      </c>
      <c r="V983" s="105">
        <v>0</v>
      </c>
      <c r="W983" s="105">
        <v>229583.33333333299</v>
      </c>
      <c r="X983" s="105">
        <v>229583.33333333299</v>
      </c>
      <c r="Y983" s="105">
        <v>229583.33333333299</v>
      </c>
      <c r="Z983" s="105">
        <v>229583.33333333299</v>
      </c>
      <c r="AA983" s="105">
        <v>229583.33333333299</v>
      </c>
      <c r="AB983" s="105">
        <v>229583.33333333299</v>
      </c>
      <c r="AC983" s="8">
        <f t="shared" si="105"/>
        <v>1377499.9999999979</v>
      </c>
      <c r="AD983" s="8">
        <f t="shared" si="106"/>
        <v>9642500.0000000019</v>
      </c>
      <c r="AE983" s="8">
        <f t="shared" si="107"/>
        <v>229583.33333333299</v>
      </c>
      <c r="AF983" s="106">
        <f t="shared" si="108"/>
        <v>42.000000000000071</v>
      </c>
      <c r="AG983" s="8">
        <f t="shared" si="109"/>
        <v>229583.33333333299</v>
      </c>
      <c r="AH983" s="8">
        <f>IF($O983="Aktif",MAX(0,MIN($AE983,$AD983-SUM($AG983:AG983))),0)</f>
        <v>229583.33333333299</v>
      </c>
      <c r="AI983" s="8">
        <f>IF($O983="Aktif",MAX(0,MIN($AE983,$AD983-SUM($AG983:AH983))),0)</f>
        <v>229583.33333333299</v>
      </c>
      <c r="AJ983" s="8">
        <f>IF($O983="Aktif",MAX(0,MIN($AE983,$AD983-SUM($AG983:AI983))),0)</f>
        <v>229583.33333333299</v>
      </c>
      <c r="AK983" s="8">
        <f>IF($O983="Aktif",MAX(0,MIN($AE983,$AD983-SUM($AG983:AJ983))),0)</f>
        <v>229583.33333333299</v>
      </c>
      <c r="AL983" s="8">
        <f>IF($O983="Aktif",MAX(0,MIN($AE983,$AD983-SUM($AG983:AK983))),0)</f>
        <v>229583.33333333299</v>
      </c>
      <c r="AM983" s="8">
        <f>IF($O983="Aktif",MAX(0,MIN($AE983,$AD983-SUM($AG983:AL983))),0)</f>
        <v>229583.33333333299</v>
      </c>
      <c r="AN983" s="8">
        <f>IF($O983="Aktif",MAX(0,MIN($AE983,$AD983-SUM($AG983:AM983))),0)</f>
        <v>229583.33333333299</v>
      </c>
      <c r="AO983" s="8">
        <f>IF($O983="Aktif",MAX(0,MIN($AE983,$AD983-SUM($AG983:AN983))),0)</f>
        <v>229583.33333333299</v>
      </c>
      <c r="AP983" s="8">
        <f>IF($O983="Aktif",MAX(0,MIN($AE983,$AD983-SUM($AG983:AO983))),0)</f>
        <v>229583.33333333299</v>
      </c>
      <c r="AQ983" s="8">
        <f>IF($O983="Aktif",MAX(0,MIN($AE983,$AD983-SUM($AG983:AP983))),0)</f>
        <v>229583.33333333299</v>
      </c>
      <c r="AR983" s="8">
        <f>IF($O983="Aktif",MAX(0,MIN($AE983,$AD983-SUM($AG983:AQ983))),0)</f>
        <v>229583.33333333299</v>
      </c>
      <c r="AS983" s="8">
        <f>IF($O983="Aktif",MAX(0,MIN($AE983,$AD983-SUM($AG983:AR983))),0)</f>
        <v>229583.33333333299</v>
      </c>
      <c r="AT983" s="8">
        <f>IF($O983="Aktif",MAX(0,MIN($AE983,$AD983-SUM($AG983:AS983))),0)</f>
        <v>229583.33333333299</v>
      </c>
      <c r="AU983" s="8">
        <f>IF($O983="Aktif",MAX(0,MIN($AE983,$AD983-SUM($AG983:AT983))),0)</f>
        <v>229583.33333333299</v>
      </c>
      <c r="AV983" s="8">
        <f>IF($O983="Aktif",MAX(0,MIN($AE983,$AD983-SUM($AG983:AU983))),0)</f>
        <v>229583.33333333299</v>
      </c>
      <c r="AW983" s="8">
        <f t="shared" si="110"/>
        <v>3673333.3333333279</v>
      </c>
      <c r="AX983" s="8">
        <f t="shared" si="111"/>
        <v>5969166.6666666735</v>
      </c>
    </row>
    <row r="984" spans="1:50" ht="15" customHeight="1" x14ac:dyDescent="0.35">
      <c r="A984" s="102">
        <v>978</v>
      </c>
      <c r="B984" s="102" t="s">
        <v>1326</v>
      </c>
      <c r="C984" s="103">
        <v>612</v>
      </c>
      <c r="D984" s="102" t="s">
        <v>185</v>
      </c>
      <c r="E984" s="102" t="s">
        <v>479</v>
      </c>
      <c r="F984" s="102" t="s">
        <v>2332</v>
      </c>
      <c r="G984" s="102" t="s">
        <v>2333</v>
      </c>
      <c r="H984" s="102" t="s">
        <v>2334</v>
      </c>
      <c r="I984" s="102" t="s">
        <v>63</v>
      </c>
      <c r="J984" s="102"/>
      <c r="K984" s="102"/>
      <c r="L984" s="102"/>
      <c r="M984" s="102" t="s">
        <v>2803</v>
      </c>
      <c r="N984" s="102" t="s">
        <v>2803</v>
      </c>
      <c r="O984" s="102" t="s">
        <v>383</v>
      </c>
      <c r="P984" s="103">
        <v>1</v>
      </c>
      <c r="Q984" s="105">
        <v>25000000</v>
      </c>
      <c r="R984" s="103">
        <v>48</v>
      </c>
      <c r="S984" s="105">
        <v>520833.33333333302</v>
      </c>
      <c r="T984" s="105">
        <v>0</v>
      </c>
      <c r="U984" s="105">
        <v>0</v>
      </c>
      <c r="V984" s="105">
        <v>0</v>
      </c>
      <c r="W984" s="105">
        <v>520833.33333333302</v>
      </c>
      <c r="X984" s="105">
        <v>520833.33333333302</v>
      </c>
      <c r="Y984" s="105">
        <v>520833.33333333302</v>
      </c>
      <c r="Z984" s="105">
        <v>520833.33333333302</v>
      </c>
      <c r="AA984" s="105">
        <v>520833.33333333302</v>
      </c>
      <c r="AB984" s="105">
        <v>520833.33333333302</v>
      </c>
      <c r="AC984" s="8">
        <f t="shared" si="105"/>
        <v>3124999.9999999981</v>
      </c>
      <c r="AD984" s="8">
        <f t="shared" si="106"/>
        <v>21875000</v>
      </c>
      <c r="AE984" s="8">
        <f t="shared" si="107"/>
        <v>520833.33333333302</v>
      </c>
      <c r="AF984" s="106">
        <f t="shared" si="108"/>
        <v>42.000000000000028</v>
      </c>
      <c r="AG984" s="8">
        <f t="shared" si="109"/>
        <v>520833.33333333302</v>
      </c>
      <c r="AH984" s="8">
        <f>IF($O984="Aktif",MAX(0,MIN($AE984,$AD984-SUM($AG984:AG984))),0)</f>
        <v>520833.33333333302</v>
      </c>
      <c r="AI984" s="8">
        <f>IF($O984="Aktif",MAX(0,MIN($AE984,$AD984-SUM($AG984:AH984))),0)</f>
        <v>520833.33333333302</v>
      </c>
      <c r="AJ984" s="8">
        <f>IF($O984="Aktif",MAX(0,MIN($AE984,$AD984-SUM($AG984:AI984))),0)</f>
        <v>520833.33333333302</v>
      </c>
      <c r="AK984" s="8">
        <f>IF($O984="Aktif",MAX(0,MIN($AE984,$AD984-SUM($AG984:AJ984))),0)</f>
        <v>520833.33333333302</v>
      </c>
      <c r="AL984" s="8">
        <f>IF($O984="Aktif",MAX(0,MIN($AE984,$AD984-SUM($AG984:AK984))),0)</f>
        <v>520833.33333333302</v>
      </c>
      <c r="AM984" s="8">
        <f>IF($O984="Aktif",MAX(0,MIN($AE984,$AD984-SUM($AG984:AL984))),0)</f>
        <v>520833.33333333302</v>
      </c>
      <c r="AN984" s="8">
        <f>IF($O984="Aktif",MAX(0,MIN($AE984,$AD984-SUM($AG984:AM984))),0)</f>
        <v>520833.33333333302</v>
      </c>
      <c r="AO984" s="8">
        <f>IF($O984="Aktif",MAX(0,MIN($AE984,$AD984-SUM($AG984:AN984))),0)</f>
        <v>520833.33333333302</v>
      </c>
      <c r="AP984" s="8">
        <f>IF($O984="Aktif",MAX(0,MIN($AE984,$AD984-SUM($AG984:AO984))),0)</f>
        <v>520833.33333333302</v>
      </c>
      <c r="AQ984" s="8">
        <f>IF($O984="Aktif",MAX(0,MIN($AE984,$AD984-SUM($AG984:AP984))),0)</f>
        <v>520833.33333333302</v>
      </c>
      <c r="AR984" s="8">
        <f>IF($O984="Aktif",MAX(0,MIN($AE984,$AD984-SUM($AG984:AQ984))),0)</f>
        <v>520833.33333333302</v>
      </c>
      <c r="AS984" s="8">
        <f>IF($O984="Aktif",MAX(0,MIN($AE984,$AD984-SUM($AG984:AR984))),0)</f>
        <v>520833.33333333302</v>
      </c>
      <c r="AT984" s="8">
        <f>IF($O984="Aktif",MAX(0,MIN($AE984,$AD984-SUM($AG984:AS984))),0)</f>
        <v>520833.33333333302</v>
      </c>
      <c r="AU984" s="8">
        <f>IF($O984="Aktif",MAX(0,MIN($AE984,$AD984-SUM($AG984:AT984))),0)</f>
        <v>520833.33333333302</v>
      </c>
      <c r="AV984" s="8">
        <f>IF($O984="Aktif",MAX(0,MIN($AE984,$AD984-SUM($AG984:AU984))),0)</f>
        <v>520833.33333333302</v>
      </c>
      <c r="AW984" s="8">
        <f t="shared" si="110"/>
        <v>8333333.3333333284</v>
      </c>
      <c r="AX984" s="8">
        <f t="shared" si="111"/>
        <v>13541666.666666672</v>
      </c>
    </row>
    <row r="985" spans="1:50" ht="15" customHeight="1" x14ac:dyDescent="0.35">
      <c r="A985" s="102">
        <v>979</v>
      </c>
      <c r="B985" s="102" t="s">
        <v>1326</v>
      </c>
      <c r="C985" s="103">
        <v>613</v>
      </c>
      <c r="D985" s="102" t="s">
        <v>185</v>
      </c>
      <c r="E985" s="102" t="s">
        <v>479</v>
      </c>
      <c r="F985" s="102" t="s">
        <v>2332</v>
      </c>
      <c r="G985" s="102" t="s">
        <v>2333</v>
      </c>
      <c r="H985" s="102" t="s">
        <v>2334</v>
      </c>
      <c r="I985" s="102" t="s">
        <v>63</v>
      </c>
      <c r="J985" s="102"/>
      <c r="K985" s="102"/>
      <c r="L985" s="102"/>
      <c r="M985" s="102" t="s">
        <v>2804</v>
      </c>
      <c r="N985" s="102" t="s">
        <v>2804</v>
      </c>
      <c r="O985" s="102" t="s">
        <v>383</v>
      </c>
      <c r="P985" s="103">
        <v>1</v>
      </c>
      <c r="Q985" s="105">
        <v>4690000</v>
      </c>
      <c r="R985" s="103">
        <v>48</v>
      </c>
      <c r="S985" s="105">
        <v>97708.333333333299</v>
      </c>
      <c r="T985" s="105">
        <v>0</v>
      </c>
      <c r="U985" s="105">
        <v>0</v>
      </c>
      <c r="V985" s="105">
        <v>0</v>
      </c>
      <c r="W985" s="105">
        <v>0</v>
      </c>
      <c r="X985" s="105">
        <v>0</v>
      </c>
      <c r="Y985" s="105">
        <v>97708.333333333299</v>
      </c>
      <c r="Z985" s="105">
        <v>97708.333333333299</v>
      </c>
      <c r="AA985" s="105">
        <v>97708.333333333299</v>
      </c>
      <c r="AB985" s="105">
        <v>97708.333333333299</v>
      </c>
      <c r="AC985" s="8">
        <f t="shared" si="105"/>
        <v>390833.3333333332</v>
      </c>
      <c r="AD985" s="8">
        <f t="shared" si="106"/>
        <v>4299166.666666667</v>
      </c>
      <c r="AE985" s="8">
        <f t="shared" si="107"/>
        <v>97708.333333333299</v>
      </c>
      <c r="AF985" s="106">
        <f t="shared" si="108"/>
        <v>44.000000000000021</v>
      </c>
      <c r="AG985" s="8">
        <f t="shared" si="109"/>
        <v>97708.333333333299</v>
      </c>
      <c r="AH985" s="8">
        <f>IF($O985="Aktif",MAX(0,MIN($AE985,$AD985-SUM($AG985:AG985))),0)</f>
        <v>97708.333333333299</v>
      </c>
      <c r="AI985" s="8">
        <f>IF($O985="Aktif",MAX(0,MIN($AE985,$AD985-SUM($AG985:AH985))),0)</f>
        <v>97708.333333333299</v>
      </c>
      <c r="AJ985" s="8">
        <f>IF($O985="Aktif",MAX(0,MIN($AE985,$AD985-SUM($AG985:AI985))),0)</f>
        <v>97708.333333333299</v>
      </c>
      <c r="AK985" s="8">
        <f>IF($O985="Aktif",MAX(0,MIN($AE985,$AD985-SUM($AG985:AJ985))),0)</f>
        <v>97708.333333333299</v>
      </c>
      <c r="AL985" s="8">
        <f>IF($O985="Aktif",MAX(0,MIN($AE985,$AD985-SUM($AG985:AK985))),0)</f>
        <v>97708.333333333299</v>
      </c>
      <c r="AM985" s="8">
        <f>IF($O985="Aktif",MAX(0,MIN($AE985,$AD985-SUM($AG985:AL985))),0)</f>
        <v>97708.333333333299</v>
      </c>
      <c r="AN985" s="8">
        <f>IF($O985="Aktif",MAX(0,MIN($AE985,$AD985-SUM($AG985:AM985))),0)</f>
        <v>97708.333333333299</v>
      </c>
      <c r="AO985" s="8">
        <f>IF($O985="Aktif",MAX(0,MIN($AE985,$AD985-SUM($AG985:AN985))),0)</f>
        <v>97708.333333333299</v>
      </c>
      <c r="AP985" s="8">
        <f>IF($O985="Aktif",MAX(0,MIN($AE985,$AD985-SUM($AG985:AO985))),0)</f>
        <v>97708.333333333299</v>
      </c>
      <c r="AQ985" s="8">
        <f>IF($O985="Aktif",MAX(0,MIN($AE985,$AD985-SUM($AG985:AP985))),0)</f>
        <v>97708.333333333299</v>
      </c>
      <c r="AR985" s="8">
        <f>IF($O985="Aktif",MAX(0,MIN($AE985,$AD985-SUM($AG985:AQ985))),0)</f>
        <v>97708.333333333299</v>
      </c>
      <c r="AS985" s="8">
        <f>IF($O985="Aktif",MAX(0,MIN($AE985,$AD985-SUM($AG985:AR985))),0)</f>
        <v>97708.333333333299</v>
      </c>
      <c r="AT985" s="8">
        <f>IF($O985="Aktif",MAX(0,MIN($AE985,$AD985-SUM($AG985:AS985))),0)</f>
        <v>97708.333333333299</v>
      </c>
      <c r="AU985" s="8">
        <f>IF($O985="Aktif",MAX(0,MIN($AE985,$AD985-SUM($AG985:AT985))),0)</f>
        <v>97708.333333333299</v>
      </c>
      <c r="AV985" s="8">
        <f>IF($O985="Aktif",MAX(0,MIN($AE985,$AD985-SUM($AG985:AU985))),0)</f>
        <v>97708.333333333299</v>
      </c>
      <c r="AW985" s="8">
        <f t="shared" si="110"/>
        <v>1563333.3333333323</v>
      </c>
      <c r="AX985" s="8">
        <f t="shared" si="111"/>
        <v>2735833.3333333349</v>
      </c>
    </row>
    <row r="986" spans="1:50" ht="15" customHeight="1" x14ac:dyDescent="0.35">
      <c r="A986" s="102">
        <v>980</v>
      </c>
      <c r="B986" s="102" t="s">
        <v>1326</v>
      </c>
      <c r="C986" s="103">
        <v>614</v>
      </c>
      <c r="D986" s="102" t="s">
        <v>185</v>
      </c>
      <c r="E986" s="102" t="s">
        <v>479</v>
      </c>
      <c r="F986" s="102" t="s">
        <v>2332</v>
      </c>
      <c r="G986" s="102" t="s">
        <v>2333</v>
      </c>
      <c r="H986" s="102" t="s">
        <v>2334</v>
      </c>
      <c r="I986" s="102" t="s">
        <v>63</v>
      </c>
      <c r="J986" s="102"/>
      <c r="K986" s="102" t="s">
        <v>1268</v>
      </c>
      <c r="L986" s="102"/>
      <c r="M986" s="102" t="s">
        <v>2805</v>
      </c>
      <c r="N986" s="102" t="s">
        <v>2805</v>
      </c>
      <c r="O986" s="102" t="s">
        <v>383</v>
      </c>
      <c r="P986" s="103">
        <v>1</v>
      </c>
      <c r="Q986" s="105">
        <v>1850000</v>
      </c>
      <c r="R986" s="103">
        <v>48</v>
      </c>
      <c r="S986" s="105">
        <v>38541.666666666701</v>
      </c>
      <c r="T986" s="105">
        <v>0</v>
      </c>
      <c r="U986" s="105">
        <v>0</v>
      </c>
      <c r="V986" s="105">
        <v>0</v>
      </c>
      <c r="W986" s="105">
        <v>0</v>
      </c>
      <c r="X986" s="105">
        <v>0</v>
      </c>
      <c r="Y986" s="105">
        <v>38541.666666666701</v>
      </c>
      <c r="Z986" s="105">
        <v>38541.666666666701</v>
      </c>
      <c r="AA986" s="105">
        <v>38541.666666666701</v>
      </c>
      <c r="AB986" s="105">
        <v>38541.666666666701</v>
      </c>
      <c r="AC986" s="8">
        <f t="shared" si="105"/>
        <v>154166.6666666668</v>
      </c>
      <c r="AD986" s="8">
        <f t="shared" si="106"/>
        <v>1695833.3333333333</v>
      </c>
      <c r="AE986" s="8">
        <f t="shared" si="107"/>
        <v>38541.666666666701</v>
      </c>
      <c r="AF986" s="106">
        <f t="shared" si="108"/>
        <v>43.999999999999957</v>
      </c>
      <c r="AG986" s="8">
        <f t="shared" si="109"/>
        <v>38541.666666666701</v>
      </c>
      <c r="AH986" s="8">
        <f>IF($O986="Aktif",MAX(0,MIN($AE986,$AD986-SUM($AG986:AG986))),0)</f>
        <v>38541.666666666701</v>
      </c>
      <c r="AI986" s="8">
        <f>IF($O986="Aktif",MAX(0,MIN($AE986,$AD986-SUM($AG986:AH986))),0)</f>
        <v>38541.666666666701</v>
      </c>
      <c r="AJ986" s="8">
        <f>IF($O986="Aktif",MAX(0,MIN($AE986,$AD986-SUM($AG986:AI986))),0)</f>
        <v>38541.666666666701</v>
      </c>
      <c r="AK986" s="8">
        <f>IF($O986="Aktif",MAX(0,MIN($AE986,$AD986-SUM($AG986:AJ986))),0)</f>
        <v>38541.666666666701</v>
      </c>
      <c r="AL986" s="8">
        <f>IF($O986="Aktif",MAX(0,MIN($AE986,$AD986-SUM($AG986:AK986))),0)</f>
        <v>38541.666666666701</v>
      </c>
      <c r="AM986" s="8">
        <f>IF($O986="Aktif",MAX(0,MIN($AE986,$AD986-SUM($AG986:AL986))),0)</f>
        <v>38541.666666666701</v>
      </c>
      <c r="AN986" s="8">
        <f>IF($O986="Aktif",MAX(0,MIN($AE986,$AD986-SUM($AG986:AM986))),0)</f>
        <v>38541.666666666701</v>
      </c>
      <c r="AO986" s="8">
        <f>IF($O986="Aktif",MAX(0,MIN($AE986,$AD986-SUM($AG986:AN986))),0)</f>
        <v>38541.666666666701</v>
      </c>
      <c r="AP986" s="8">
        <f>IF($O986="Aktif",MAX(0,MIN($AE986,$AD986-SUM($AG986:AO986))),0)</f>
        <v>38541.666666666701</v>
      </c>
      <c r="AQ986" s="8">
        <f>IF($O986="Aktif",MAX(0,MIN($AE986,$AD986-SUM($AG986:AP986))),0)</f>
        <v>38541.666666666701</v>
      </c>
      <c r="AR986" s="8">
        <f>IF($O986="Aktif",MAX(0,MIN($AE986,$AD986-SUM($AG986:AQ986))),0)</f>
        <v>38541.666666666701</v>
      </c>
      <c r="AS986" s="8">
        <f>IF($O986="Aktif",MAX(0,MIN($AE986,$AD986-SUM($AG986:AR986))),0)</f>
        <v>38541.666666666701</v>
      </c>
      <c r="AT986" s="8">
        <f>IF($O986="Aktif",MAX(0,MIN($AE986,$AD986-SUM($AG986:AS986))),0)</f>
        <v>38541.666666666701</v>
      </c>
      <c r="AU986" s="8">
        <f>IF($O986="Aktif",MAX(0,MIN($AE986,$AD986-SUM($AG986:AT986))),0)</f>
        <v>38541.666666666701</v>
      </c>
      <c r="AV986" s="8">
        <f>IF($O986="Aktif",MAX(0,MIN($AE986,$AD986-SUM($AG986:AU986))),0)</f>
        <v>38541.666666666701</v>
      </c>
      <c r="AW986" s="8">
        <f t="shared" si="110"/>
        <v>616666.66666666721</v>
      </c>
      <c r="AX986" s="8">
        <f t="shared" si="111"/>
        <v>1079166.666666666</v>
      </c>
    </row>
    <row r="987" spans="1:50" ht="15" customHeight="1" x14ac:dyDescent="0.35">
      <c r="A987" s="102">
        <v>981</v>
      </c>
      <c r="B987" s="102" t="s">
        <v>1326</v>
      </c>
      <c r="C987" s="103">
        <v>615</v>
      </c>
      <c r="D987" s="102" t="s">
        <v>185</v>
      </c>
      <c r="E987" s="102" t="s">
        <v>479</v>
      </c>
      <c r="F987" s="102" t="s">
        <v>2332</v>
      </c>
      <c r="G987" s="102" t="s">
        <v>2333</v>
      </c>
      <c r="H987" s="102" t="s">
        <v>2334</v>
      </c>
      <c r="I987" s="102" t="s">
        <v>63</v>
      </c>
      <c r="J987" s="102"/>
      <c r="K987" s="102"/>
      <c r="L987" s="102"/>
      <c r="M987" s="102" t="s">
        <v>2806</v>
      </c>
      <c r="N987" s="102" t="s">
        <v>2806</v>
      </c>
      <c r="O987" s="102" t="s">
        <v>383</v>
      </c>
      <c r="P987" s="103">
        <v>1</v>
      </c>
      <c r="Q987" s="105">
        <v>3272500</v>
      </c>
      <c r="R987" s="103">
        <v>48</v>
      </c>
      <c r="S987" s="105">
        <v>68177.083333333299</v>
      </c>
      <c r="T987" s="105">
        <v>0</v>
      </c>
      <c r="U987" s="105">
        <v>0</v>
      </c>
      <c r="V987" s="105">
        <v>0</v>
      </c>
      <c r="W987" s="105">
        <v>0</v>
      </c>
      <c r="X987" s="105">
        <v>0</v>
      </c>
      <c r="Y987" s="105">
        <v>0</v>
      </c>
      <c r="Z987" s="105">
        <v>68177.083333333299</v>
      </c>
      <c r="AA987" s="105">
        <v>68177.083333333299</v>
      </c>
      <c r="AB987" s="105">
        <v>68177.083333333299</v>
      </c>
      <c r="AC987" s="8">
        <f t="shared" si="105"/>
        <v>204531.24999999988</v>
      </c>
      <c r="AD987" s="8">
        <f t="shared" si="106"/>
        <v>3067968.75</v>
      </c>
      <c r="AE987" s="8">
        <f t="shared" si="107"/>
        <v>68177.083333333299</v>
      </c>
      <c r="AF987" s="106">
        <f t="shared" si="108"/>
        <v>45.000000000000021</v>
      </c>
      <c r="AG987" s="8">
        <f t="shared" si="109"/>
        <v>68177.083333333299</v>
      </c>
      <c r="AH987" s="8">
        <f>IF($O987="Aktif",MAX(0,MIN($AE987,$AD987-SUM($AG987:AG987))),0)</f>
        <v>68177.083333333299</v>
      </c>
      <c r="AI987" s="8">
        <f>IF($O987="Aktif",MAX(0,MIN($AE987,$AD987-SUM($AG987:AH987))),0)</f>
        <v>68177.083333333299</v>
      </c>
      <c r="AJ987" s="8">
        <f>IF($O987="Aktif",MAX(0,MIN($AE987,$AD987-SUM($AG987:AI987))),0)</f>
        <v>68177.083333333299</v>
      </c>
      <c r="AK987" s="8">
        <f>IF($O987="Aktif",MAX(0,MIN($AE987,$AD987-SUM($AG987:AJ987))),0)</f>
        <v>68177.083333333299</v>
      </c>
      <c r="AL987" s="8">
        <f>IF($O987="Aktif",MAX(0,MIN($AE987,$AD987-SUM($AG987:AK987))),0)</f>
        <v>68177.083333333299</v>
      </c>
      <c r="AM987" s="8">
        <f>IF($O987="Aktif",MAX(0,MIN($AE987,$AD987-SUM($AG987:AL987))),0)</f>
        <v>68177.083333333299</v>
      </c>
      <c r="AN987" s="8">
        <f>IF($O987="Aktif",MAX(0,MIN($AE987,$AD987-SUM($AG987:AM987))),0)</f>
        <v>68177.083333333299</v>
      </c>
      <c r="AO987" s="8">
        <f>IF($O987="Aktif",MAX(0,MIN($AE987,$AD987-SUM($AG987:AN987))),0)</f>
        <v>68177.083333333299</v>
      </c>
      <c r="AP987" s="8">
        <f>IF($O987="Aktif",MAX(0,MIN($AE987,$AD987-SUM($AG987:AO987))),0)</f>
        <v>68177.083333333299</v>
      </c>
      <c r="AQ987" s="8">
        <f>IF($O987="Aktif",MAX(0,MIN($AE987,$AD987-SUM($AG987:AP987))),0)</f>
        <v>68177.083333333299</v>
      </c>
      <c r="AR987" s="8">
        <f>IF($O987="Aktif",MAX(0,MIN($AE987,$AD987-SUM($AG987:AQ987))),0)</f>
        <v>68177.083333333299</v>
      </c>
      <c r="AS987" s="8">
        <f>IF($O987="Aktif",MAX(0,MIN($AE987,$AD987-SUM($AG987:AR987))),0)</f>
        <v>68177.083333333299</v>
      </c>
      <c r="AT987" s="8">
        <f>IF($O987="Aktif",MAX(0,MIN($AE987,$AD987-SUM($AG987:AS987))),0)</f>
        <v>68177.083333333299</v>
      </c>
      <c r="AU987" s="8">
        <f>IF($O987="Aktif",MAX(0,MIN($AE987,$AD987-SUM($AG987:AT987))),0)</f>
        <v>68177.083333333299</v>
      </c>
      <c r="AV987" s="8">
        <f>IF($O987="Aktif",MAX(0,MIN($AE987,$AD987-SUM($AG987:AU987))),0)</f>
        <v>68177.083333333299</v>
      </c>
      <c r="AW987" s="8">
        <f t="shared" si="110"/>
        <v>1090833.3333333326</v>
      </c>
      <c r="AX987" s="8">
        <f t="shared" si="111"/>
        <v>1977135.4166666674</v>
      </c>
    </row>
    <row r="988" spans="1:50" ht="15" customHeight="1" x14ac:dyDescent="0.35">
      <c r="A988" s="102">
        <v>982</v>
      </c>
      <c r="B988" s="102" t="s">
        <v>1326</v>
      </c>
      <c r="C988" s="103">
        <v>616</v>
      </c>
      <c r="D988" s="102" t="s">
        <v>185</v>
      </c>
      <c r="E988" s="102" t="s">
        <v>479</v>
      </c>
      <c r="F988" s="102" t="s">
        <v>2332</v>
      </c>
      <c r="G988" s="102" t="s">
        <v>2333</v>
      </c>
      <c r="H988" s="102" t="s">
        <v>2334</v>
      </c>
      <c r="I988" s="102" t="s">
        <v>63</v>
      </c>
      <c r="J988" s="102"/>
      <c r="K988" s="102" t="s">
        <v>2807</v>
      </c>
      <c r="L988" s="102"/>
      <c r="M988" s="102" t="s">
        <v>2808</v>
      </c>
      <c r="N988" s="102" t="s">
        <v>2808</v>
      </c>
      <c r="O988" s="102" t="s">
        <v>383</v>
      </c>
      <c r="P988" s="103">
        <v>1</v>
      </c>
      <c r="Q988" s="105">
        <v>1152252</v>
      </c>
      <c r="R988" s="103">
        <v>48</v>
      </c>
      <c r="S988" s="105">
        <v>24005.25</v>
      </c>
      <c r="T988" s="105">
        <v>0</v>
      </c>
      <c r="U988" s="105">
        <v>0</v>
      </c>
      <c r="V988" s="105">
        <v>0</v>
      </c>
      <c r="W988" s="105">
        <v>0</v>
      </c>
      <c r="X988" s="105">
        <v>0</v>
      </c>
      <c r="Y988" s="105">
        <v>0</v>
      </c>
      <c r="Z988" s="105">
        <v>0</v>
      </c>
      <c r="AA988" s="105">
        <v>24005.25</v>
      </c>
      <c r="AB988" s="105">
        <v>24005.25</v>
      </c>
      <c r="AC988" s="8">
        <f t="shared" si="105"/>
        <v>48010.5</v>
      </c>
      <c r="AD988" s="8">
        <f t="shared" si="106"/>
        <v>1104241.5</v>
      </c>
      <c r="AE988" s="8">
        <f t="shared" si="107"/>
        <v>24005.25</v>
      </c>
      <c r="AF988" s="106">
        <f t="shared" si="108"/>
        <v>46</v>
      </c>
      <c r="AG988" s="8">
        <f t="shared" si="109"/>
        <v>24005.25</v>
      </c>
      <c r="AH988" s="8">
        <f>IF($O988="Aktif",MAX(0,MIN($AE988,$AD988-SUM($AG988:AG988))),0)</f>
        <v>24005.25</v>
      </c>
      <c r="AI988" s="8">
        <f>IF($O988="Aktif",MAX(0,MIN($AE988,$AD988-SUM($AG988:AH988))),0)</f>
        <v>24005.25</v>
      </c>
      <c r="AJ988" s="8">
        <f>IF($O988="Aktif",MAX(0,MIN($AE988,$AD988-SUM($AG988:AI988))),0)</f>
        <v>24005.25</v>
      </c>
      <c r="AK988" s="8">
        <f>IF($O988="Aktif",MAX(0,MIN($AE988,$AD988-SUM($AG988:AJ988))),0)</f>
        <v>24005.25</v>
      </c>
      <c r="AL988" s="8">
        <f>IF($O988="Aktif",MAX(0,MIN($AE988,$AD988-SUM($AG988:AK988))),0)</f>
        <v>24005.25</v>
      </c>
      <c r="AM988" s="8">
        <f>IF($O988="Aktif",MAX(0,MIN($AE988,$AD988-SUM($AG988:AL988))),0)</f>
        <v>24005.25</v>
      </c>
      <c r="AN988" s="8">
        <f>IF($O988="Aktif",MAX(0,MIN($AE988,$AD988-SUM($AG988:AM988))),0)</f>
        <v>24005.25</v>
      </c>
      <c r="AO988" s="8">
        <f>IF($O988="Aktif",MAX(0,MIN($AE988,$AD988-SUM($AG988:AN988))),0)</f>
        <v>24005.25</v>
      </c>
      <c r="AP988" s="8">
        <f>IF($O988="Aktif",MAX(0,MIN($AE988,$AD988-SUM($AG988:AO988))),0)</f>
        <v>24005.25</v>
      </c>
      <c r="AQ988" s="8">
        <f>IF($O988="Aktif",MAX(0,MIN($AE988,$AD988-SUM($AG988:AP988))),0)</f>
        <v>24005.25</v>
      </c>
      <c r="AR988" s="8">
        <f>IF($O988="Aktif",MAX(0,MIN($AE988,$AD988-SUM($AG988:AQ988))),0)</f>
        <v>24005.25</v>
      </c>
      <c r="AS988" s="8">
        <f>IF($O988="Aktif",MAX(0,MIN($AE988,$AD988-SUM($AG988:AR988))),0)</f>
        <v>24005.25</v>
      </c>
      <c r="AT988" s="8">
        <f>IF($O988="Aktif",MAX(0,MIN($AE988,$AD988-SUM($AG988:AS988))),0)</f>
        <v>24005.25</v>
      </c>
      <c r="AU988" s="8">
        <f>IF($O988="Aktif",MAX(0,MIN($AE988,$AD988-SUM($AG988:AT988))),0)</f>
        <v>24005.25</v>
      </c>
      <c r="AV988" s="8">
        <f>IF($O988="Aktif",MAX(0,MIN($AE988,$AD988-SUM($AG988:AU988))),0)</f>
        <v>24005.25</v>
      </c>
      <c r="AW988" s="8">
        <f t="shared" si="110"/>
        <v>384084</v>
      </c>
      <c r="AX988" s="8">
        <f t="shared" si="111"/>
        <v>720157.5</v>
      </c>
    </row>
    <row r="989" spans="1:50" ht="15" customHeight="1" x14ac:dyDescent="0.35">
      <c r="A989" s="102">
        <v>983</v>
      </c>
      <c r="B989" s="102" t="s">
        <v>1326</v>
      </c>
      <c r="C989" s="103">
        <v>617</v>
      </c>
      <c r="D989" s="102" t="s">
        <v>185</v>
      </c>
      <c r="E989" s="102" t="s">
        <v>479</v>
      </c>
      <c r="F989" s="102" t="s">
        <v>2332</v>
      </c>
      <c r="G989" s="102" t="s">
        <v>2333</v>
      </c>
      <c r="H989" s="102" t="s">
        <v>2334</v>
      </c>
      <c r="I989" s="102" t="s">
        <v>63</v>
      </c>
      <c r="J989" s="102"/>
      <c r="K989" s="102"/>
      <c r="L989" s="102" t="s">
        <v>2809</v>
      </c>
      <c r="M989" s="102" t="s">
        <v>2810</v>
      </c>
      <c r="N989" s="102" t="s">
        <v>2810</v>
      </c>
      <c r="O989" s="102" t="s">
        <v>383</v>
      </c>
      <c r="P989" s="103">
        <v>1</v>
      </c>
      <c r="Q989" s="105">
        <v>3500000</v>
      </c>
      <c r="R989" s="103">
        <v>48</v>
      </c>
      <c r="S989" s="105">
        <v>72916.666666666701</v>
      </c>
      <c r="T989" s="105">
        <v>0</v>
      </c>
      <c r="U989" s="105">
        <v>0</v>
      </c>
      <c r="V989" s="105">
        <v>0</v>
      </c>
      <c r="W989" s="105">
        <v>0</v>
      </c>
      <c r="X989" s="105">
        <v>0</v>
      </c>
      <c r="Y989" s="105">
        <v>0</v>
      </c>
      <c r="Z989" s="105">
        <v>0</v>
      </c>
      <c r="AA989" s="105">
        <v>0</v>
      </c>
      <c r="AB989" s="105">
        <v>72916.666666666701</v>
      </c>
      <c r="AC989" s="8">
        <f t="shared" si="105"/>
        <v>72916.666666666701</v>
      </c>
      <c r="AD989" s="8">
        <f t="shared" si="106"/>
        <v>3427083.3333333335</v>
      </c>
      <c r="AE989" s="8">
        <f t="shared" si="107"/>
        <v>72916.666666666701</v>
      </c>
      <c r="AF989" s="106">
        <f t="shared" si="108"/>
        <v>46.999999999999979</v>
      </c>
      <c r="AG989" s="8">
        <f t="shared" si="109"/>
        <v>72916.666666666701</v>
      </c>
      <c r="AH989" s="8">
        <f>IF($O989="Aktif",MAX(0,MIN($AE989,$AD989-SUM($AG989:AG989))),0)</f>
        <v>72916.666666666701</v>
      </c>
      <c r="AI989" s="8">
        <f>IF($O989="Aktif",MAX(0,MIN($AE989,$AD989-SUM($AG989:AH989))),0)</f>
        <v>72916.666666666701</v>
      </c>
      <c r="AJ989" s="8">
        <f>IF($O989="Aktif",MAX(0,MIN($AE989,$AD989-SUM($AG989:AI989))),0)</f>
        <v>72916.666666666701</v>
      </c>
      <c r="AK989" s="8">
        <f>IF($O989="Aktif",MAX(0,MIN($AE989,$AD989-SUM($AG989:AJ989))),0)</f>
        <v>72916.666666666701</v>
      </c>
      <c r="AL989" s="8">
        <f>IF($O989="Aktif",MAX(0,MIN($AE989,$AD989-SUM($AG989:AK989))),0)</f>
        <v>72916.666666666701</v>
      </c>
      <c r="AM989" s="8">
        <f>IF($O989="Aktif",MAX(0,MIN($AE989,$AD989-SUM($AG989:AL989))),0)</f>
        <v>72916.666666666701</v>
      </c>
      <c r="AN989" s="8">
        <f>IF($O989="Aktif",MAX(0,MIN($AE989,$AD989-SUM($AG989:AM989))),0)</f>
        <v>72916.666666666701</v>
      </c>
      <c r="AO989" s="8">
        <f>IF($O989="Aktif",MAX(0,MIN($AE989,$AD989-SUM($AG989:AN989))),0)</f>
        <v>72916.666666666701</v>
      </c>
      <c r="AP989" s="8">
        <f>IF($O989="Aktif",MAX(0,MIN($AE989,$AD989-SUM($AG989:AO989))),0)</f>
        <v>72916.666666666701</v>
      </c>
      <c r="AQ989" s="8">
        <f>IF($O989="Aktif",MAX(0,MIN($AE989,$AD989-SUM($AG989:AP989))),0)</f>
        <v>72916.666666666701</v>
      </c>
      <c r="AR989" s="8">
        <f>IF($O989="Aktif",MAX(0,MIN($AE989,$AD989-SUM($AG989:AQ989))),0)</f>
        <v>72916.666666666701</v>
      </c>
      <c r="AS989" s="8">
        <f>IF($O989="Aktif",MAX(0,MIN($AE989,$AD989-SUM($AG989:AR989))),0)</f>
        <v>72916.666666666701</v>
      </c>
      <c r="AT989" s="8">
        <f>IF($O989="Aktif",MAX(0,MIN($AE989,$AD989-SUM($AG989:AS989))),0)</f>
        <v>72916.666666666701</v>
      </c>
      <c r="AU989" s="8">
        <f>IF($O989="Aktif",MAX(0,MIN($AE989,$AD989-SUM($AG989:AT989))),0)</f>
        <v>72916.666666666701</v>
      </c>
      <c r="AV989" s="8">
        <f>IF($O989="Aktif",MAX(0,MIN($AE989,$AD989-SUM($AG989:AU989))),0)</f>
        <v>72916.666666666701</v>
      </c>
      <c r="AW989" s="8">
        <f t="shared" si="110"/>
        <v>1166666.6666666674</v>
      </c>
      <c r="AX989" s="8">
        <f t="shared" si="111"/>
        <v>2260416.666666666</v>
      </c>
    </row>
    <row r="990" spans="1:50" ht="15" customHeight="1" x14ac:dyDescent="0.35">
      <c r="A990" s="102">
        <v>984</v>
      </c>
      <c r="B990" s="102" t="s">
        <v>1326</v>
      </c>
      <c r="C990" s="103">
        <v>618</v>
      </c>
      <c r="D990" s="102" t="s">
        <v>185</v>
      </c>
      <c r="E990" s="102" t="s">
        <v>479</v>
      </c>
      <c r="F990" s="102" t="s">
        <v>2332</v>
      </c>
      <c r="G990" s="102" t="s">
        <v>2333</v>
      </c>
      <c r="H990" s="102" t="s">
        <v>2334</v>
      </c>
      <c r="I990" s="102" t="s">
        <v>63</v>
      </c>
      <c r="J990" s="102"/>
      <c r="K990" s="102"/>
      <c r="L990" s="102" t="s">
        <v>2811</v>
      </c>
      <c r="M990" s="102" t="s">
        <v>2812</v>
      </c>
      <c r="N990" s="102" t="s">
        <v>2812</v>
      </c>
      <c r="O990" s="102" t="s">
        <v>383</v>
      </c>
      <c r="P990" s="103">
        <v>1</v>
      </c>
      <c r="Q990" s="105">
        <v>3680000</v>
      </c>
      <c r="R990" s="103">
        <v>48</v>
      </c>
      <c r="S990" s="105">
        <v>76666.666666666701</v>
      </c>
      <c r="T990" s="105">
        <v>0</v>
      </c>
      <c r="U990" s="105">
        <v>0</v>
      </c>
      <c r="V990" s="105">
        <v>0</v>
      </c>
      <c r="W990" s="105">
        <v>0</v>
      </c>
      <c r="X990" s="105">
        <v>0</v>
      </c>
      <c r="Y990" s="105">
        <v>0</v>
      </c>
      <c r="Z990" s="105">
        <v>0</v>
      </c>
      <c r="AA990" s="105">
        <v>0</v>
      </c>
      <c r="AB990" s="105">
        <v>76666.666666666701</v>
      </c>
      <c r="AC990" s="8">
        <f t="shared" si="105"/>
        <v>76666.666666666701</v>
      </c>
      <c r="AD990" s="8">
        <f t="shared" si="106"/>
        <v>3603333.3333333335</v>
      </c>
      <c r="AE990" s="8">
        <f t="shared" si="107"/>
        <v>76666.666666666701</v>
      </c>
      <c r="AF990" s="106">
        <f t="shared" si="108"/>
        <v>46.999999999999979</v>
      </c>
      <c r="AG990" s="8">
        <f t="shared" si="109"/>
        <v>76666.666666666701</v>
      </c>
      <c r="AH990" s="8">
        <f>IF($O990="Aktif",MAX(0,MIN($AE990,$AD990-SUM($AG990:AG990))),0)</f>
        <v>76666.666666666701</v>
      </c>
      <c r="AI990" s="8">
        <f>IF($O990="Aktif",MAX(0,MIN($AE990,$AD990-SUM($AG990:AH990))),0)</f>
        <v>76666.666666666701</v>
      </c>
      <c r="AJ990" s="8">
        <f>IF($O990="Aktif",MAX(0,MIN($AE990,$AD990-SUM($AG990:AI990))),0)</f>
        <v>76666.666666666701</v>
      </c>
      <c r="AK990" s="8">
        <f>IF($O990="Aktif",MAX(0,MIN($AE990,$AD990-SUM($AG990:AJ990))),0)</f>
        <v>76666.666666666701</v>
      </c>
      <c r="AL990" s="8">
        <f>IF($O990="Aktif",MAX(0,MIN($AE990,$AD990-SUM($AG990:AK990))),0)</f>
        <v>76666.666666666701</v>
      </c>
      <c r="AM990" s="8">
        <f>IF($O990="Aktif",MAX(0,MIN($AE990,$AD990-SUM($AG990:AL990))),0)</f>
        <v>76666.666666666701</v>
      </c>
      <c r="AN990" s="8">
        <f>IF($O990="Aktif",MAX(0,MIN($AE990,$AD990-SUM($AG990:AM990))),0)</f>
        <v>76666.666666666701</v>
      </c>
      <c r="AO990" s="8">
        <f>IF($O990="Aktif",MAX(0,MIN($AE990,$AD990-SUM($AG990:AN990))),0)</f>
        <v>76666.666666666701</v>
      </c>
      <c r="AP990" s="8">
        <f>IF($O990="Aktif",MAX(0,MIN($AE990,$AD990-SUM($AG990:AO990))),0)</f>
        <v>76666.666666666701</v>
      </c>
      <c r="AQ990" s="8">
        <f>IF($O990="Aktif",MAX(0,MIN($AE990,$AD990-SUM($AG990:AP990))),0)</f>
        <v>76666.666666666701</v>
      </c>
      <c r="AR990" s="8">
        <f>IF($O990="Aktif",MAX(0,MIN($AE990,$AD990-SUM($AG990:AQ990))),0)</f>
        <v>76666.666666666701</v>
      </c>
      <c r="AS990" s="8">
        <f>IF($O990="Aktif",MAX(0,MIN($AE990,$AD990-SUM($AG990:AR990))),0)</f>
        <v>76666.666666666701</v>
      </c>
      <c r="AT990" s="8">
        <f>IF($O990="Aktif",MAX(0,MIN($AE990,$AD990-SUM($AG990:AS990))),0)</f>
        <v>76666.666666666701</v>
      </c>
      <c r="AU990" s="8">
        <f>IF($O990="Aktif",MAX(0,MIN($AE990,$AD990-SUM($AG990:AT990))),0)</f>
        <v>76666.666666666701</v>
      </c>
      <c r="AV990" s="8">
        <f>IF($O990="Aktif",MAX(0,MIN($AE990,$AD990-SUM($AG990:AU990))),0)</f>
        <v>76666.666666666701</v>
      </c>
      <c r="AW990" s="8">
        <f t="shared" si="110"/>
        <v>1226666.6666666674</v>
      </c>
      <c r="AX990" s="8">
        <f t="shared" si="111"/>
        <v>2376666.666666666</v>
      </c>
    </row>
    <row r="991" spans="1:50" ht="15" customHeight="1" x14ac:dyDescent="0.35">
      <c r="A991" s="102">
        <v>985</v>
      </c>
      <c r="B991" s="102" t="s">
        <v>1326</v>
      </c>
      <c r="C991" s="103">
        <v>619</v>
      </c>
      <c r="D991" s="102" t="s">
        <v>185</v>
      </c>
      <c r="E991" s="102" t="s">
        <v>479</v>
      </c>
      <c r="F991" s="102" t="s">
        <v>2332</v>
      </c>
      <c r="G991" s="102" t="s">
        <v>2333</v>
      </c>
      <c r="H991" s="102" t="s">
        <v>2334</v>
      </c>
      <c r="I991" s="102" t="s">
        <v>63</v>
      </c>
      <c r="J991" s="102"/>
      <c r="K991" s="102"/>
      <c r="L991" s="102" t="s">
        <v>2813</v>
      </c>
      <c r="M991" s="102" t="s">
        <v>2814</v>
      </c>
      <c r="N991" s="102" t="s">
        <v>2814</v>
      </c>
      <c r="O991" s="102" t="s">
        <v>383</v>
      </c>
      <c r="P991" s="103">
        <v>1</v>
      </c>
      <c r="Q991" s="105">
        <v>25000000</v>
      </c>
      <c r="R991" s="103">
        <v>48</v>
      </c>
      <c r="S991" s="105">
        <v>520833.33333333302</v>
      </c>
      <c r="T991" s="105">
        <v>0</v>
      </c>
      <c r="U991" s="105">
        <v>0</v>
      </c>
      <c r="V991" s="105">
        <v>0</v>
      </c>
      <c r="W991" s="105">
        <v>0</v>
      </c>
      <c r="X991" s="105">
        <v>0</v>
      </c>
      <c r="Y991" s="105">
        <v>0</v>
      </c>
      <c r="Z991" s="105">
        <v>0</v>
      </c>
      <c r="AA991" s="105">
        <v>0</v>
      </c>
      <c r="AB991" s="105">
        <v>520833.33333333302</v>
      </c>
      <c r="AC991" s="8">
        <f t="shared" si="105"/>
        <v>520833.33333333302</v>
      </c>
      <c r="AD991" s="8">
        <f t="shared" si="106"/>
        <v>24479166.666666668</v>
      </c>
      <c r="AE991" s="8">
        <f t="shared" si="107"/>
        <v>520833.33333333302</v>
      </c>
      <c r="AF991" s="106">
        <f t="shared" si="108"/>
        <v>47.000000000000028</v>
      </c>
      <c r="AG991" s="8">
        <f t="shared" si="109"/>
        <v>520833.33333333302</v>
      </c>
      <c r="AH991" s="8">
        <f>IF($O991="Aktif",MAX(0,MIN($AE991,$AD991-SUM($AG991:AG991))),0)</f>
        <v>520833.33333333302</v>
      </c>
      <c r="AI991" s="8">
        <f>IF($O991="Aktif",MAX(0,MIN($AE991,$AD991-SUM($AG991:AH991))),0)</f>
        <v>520833.33333333302</v>
      </c>
      <c r="AJ991" s="8">
        <f>IF($O991="Aktif",MAX(0,MIN($AE991,$AD991-SUM($AG991:AI991))),0)</f>
        <v>520833.33333333302</v>
      </c>
      <c r="AK991" s="8">
        <f>IF($O991="Aktif",MAX(0,MIN($AE991,$AD991-SUM($AG991:AJ991))),0)</f>
        <v>520833.33333333302</v>
      </c>
      <c r="AL991" s="8">
        <f>IF($O991="Aktif",MAX(0,MIN($AE991,$AD991-SUM($AG991:AK991))),0)</f>
        <v>520833.33333333302</v>
      </c>
      <c r="AM991" s="8">
        <f>IF($O991="Aktif",MAX(0,MIN($AE991,$AD991-SUM($AG991:AL991))),0)</f>
        <v>520833.33333333302</v>
      </c>
      <c r="AN991" s="8">
        <f>IF($O991="Aktif",MAX(0,MIN($AE991,$AD991-SUM($AG991:AM991))),0)</f>
        <v>520833.33333333302</v>
      </c>
      <c r="AO991" s="8">
        <f>IF($O991="Aktif",MAX(0,MIN($AE991,$AD991-SUM($AG991:AN991))),0)</f>
        <v>520833.33333333302</v>
      </c>
      <c r="AP991" s="8">
        <f>IF($O991="Aktif",MAX(0,MIN($AE991,$AD991-SUM($AG991:AO991))),0)</f>
        <v>520833.33333333302</v>
      </c>
      <c r="AQ991" s="8">
        <f>IF($O991="Aktif",MAX(0,MIN($AE991,$AD991-SUM($AG991:AP991))),0)</f>
        <v>520833.33333333302</v>
      </c>
      <c r="AR991" s="8">
        <f>IF($O991="Aktif",MAX(0,MIN($AE991,$AD991-SUM($AG991:AQ991))),0)</f>
        <v>520833.33333333302</v>
      </c>
      <c r="AS991" s="8">
        <f>IF($O991="Aktif",MAX(0,MIN($AE991,$AD991-SUM($AG991:AR991))),0)</f>
        <v>520833.33333333302</v>
      </c>
      <c r="AT991" s="8">
        <f>IF($O991="Aktif",MAX(0,MIN($AE991,$AD991-SUM($AG991:AS991))),0)</f>
        <v>520833.33333333302</v>
      </c>
      <c r="AU991" s="8">
        <f>IF($O991="Aktif",MAX(0,MIN($AE991,$AD991-SUM($AG991:AT991))),0)</f>
        <v>520833.33333333302</v>
      </c>
      <c r="AV991" s="8">
        <f>IF($O991="Aktif",MAX(0,MIN($AE991,$AD991-SUM($AG991:AU991))),0)</f>
        <v>520833.33333333302</v>
      </c>
      <c r="AW991" s="8">
        <f t="shared" si="110"/>
        <v>8333333.3333333284</v>
      </c>
      <c r="AX991" s="8">
        <f t="shared" si="111"/>
        <v>16145833.33333334</v>
      </c>
    </row>
    <row r="992" spans="1:50" ht="15" customHeight="1" x14ac:dyDescent="0.35">
      <c r="A992" s="102">
        <v>986</v>
      </c>
      <c r="B992" s="102" t="s">
        <v>2815</v>
      </c>
      <c r="C992" s="103">
        <v>8</v>
      </c>
      <c r="D992" s="102" t="s">
        <v>186</v>
      </c>
      <c r="E992" s="102" t="s">
        <v>587</v>
      </c>
      <c r="F992" s="102" t="s">
        <v>2816</v>
      </c>
      <c r="G992" s="102" t="s">
        <v>2817</v>
      </c>
      <c r="H992" s="102" t="s">
        <v>2818</v>
      </c>
      <c r="I992" s="102" t="s">
        <v>63</v>
      </c>
      <c r="J992" s="102"/>
      <c r="K992" s="102" t="s">
        <v>591</v>
      </c>
      <c r="L992" s="102" t="s">
        <v>1412</v>
      </c>
      <c r="M992" s="102" t="s">
        <v>2819</v>
      </c>
      <c r="N992" s="102" t="s">
        <v>2819</v>
      </c>
      <c r="O992" s="102" t="s">
        <v>383</v>
      </c>
      <c r="P992" s="103">
        <v>1</v>
      </c>
      <c r="Q992" s="105">
        <v>6000000</v>
      </c>
      <c r="R992" s="103">
        <v>48</v>
      </c>
      <c r="S992" s="105">
        <v>0</v>
      </c>
      <c r="T992" s="105">
        <v>6000000</v>
      </c>
      <c r="U992" s="105">
        <v>0</v>
      </c>
      <c r="V992" s="105">
        <v>0</v>
      </c>
      <c r="W992" s="105">
        <v>0</v>
      </c>
      <c r="X992" s="105">
        <v>0</v>
      </c>
      <c r="Y992" s="105">
        <v>0</v>
      </c>
      <c r="Z992" s="105">
        <v>0</v>
      </c>
      <c r="AA992" s="105">
        <v>0</v>
      </c>
      <c r="AB992" s="105">
        <v>0</v>
      </c>
      <c r="AC992" s="8">
        <f t="shared" si="105"/>
        <v>6000000</v>
      </c>
      <c r="AD992" s="8">
        <f t="shared" si="106"/>
        <v>0</v>
      </c>
      <c r="AE992" s="8">
        <f t="shared" si="107"/>
        <v>0</v>
      </c>
      <c r="AF992" s="106">
        <f t="shared" si="108"/>
        <v>0</v>
      </c>
      <c r="AG992" s="8">
        <f t="shared" si="109"/>
        <v>0</v>
      </c>
      <c r="AH992" s="8">
        <f>IF($O992="Aktif",MAX(0,MIN($AE992,$AD992-SUM($AG992:AG992))),0)</f>
        <v>0</v>
      </c>
      <c r="AI992" s="8">
        <f>IF($O992="Aktif",MAX(0,MIN($AE992,$AD992-SUM($AG992:AH992))),0)</f>
        <v>0</v>
      </c>
      <c r="AJ992" s="8">
        <f>IF($O992="Aktif",MAX(0,MIN($AE992,$AD992-SUM($AG992:AI992))),0)</f>
        <v>0</v>
      </c>
      <c r="AK992" s="8">
        <f>IF($O992="Aktif",MAX(0,MIN($AE992,$AD992-SUM($AG992:AJ992))),0)</f>
        <v>0</v>
      </c>
      <c r="AL992" s="8">
        <f>IF($O992="Aktif",MAX(0,MIN($AE992,$AD992-SUM($AG992:AK992))),0)</f>
        <v>0</v>
      </c>
      <c r="AM992" s="8">
        <f>IF($O992="Aktif",MAX(0,MIN($AE992,$AD992-SUM($AG992:AL992))),0)</f>
        <v>0</v>
      </c>
      <c r="AN992" s="8">
        <f>IF($O992="Aktif",MAX(0,MIN($AE992,$AD992-SUM($AG992:AM992))),0)</f>
        <v>0</v>
      </c>
      <c r="AO992" s="8">
        <f>IF($O992="Aktif",MAX(0,MIN($AE992,$AD992-SUM($AG992:AN992))),0)</f>
        <v>0</v>
      </c>
      <c r="AP992" s="8">
        <f>IF($O992="Aktif",MAX(0,MIN($AE992,$AD992-SUM($AG992:AO992))),0)</f>
        <v>0</v>
      </c>
      <c r="AQ992" s="8">
        <f>IF($O992="Aktif",MAX(0,MIN($AE992,$AD992-SUM($AG992:AP992))),0)</f>
        <v>0</v>
      </c>
      <c r="AR992" s="8">
        <f>IF($O992="Aktif",MAX(0,MIN($AE992,$AD992-SUM($AG992:AQ992))),0)</f>
        <v>0</v>
      </c>
      <c r="AS992" s="8">
        <f>IF($O992="Aktif",MAX(0,MIN($AE992,$AD992-SUM($AG992:AR992))),0)</f>
        <v>0</v>
      </c>
      <c r="AT992" s="8">
        <f>IF($O992="Aktif",MAX(0,MIN($AE992,$AD992-SUM($AG992:AS992))),0)</f>
        <v>0</v>
      </c>
      <c r="AU992" s="8">
        <f>IF($O992="Aktif",MAX(0,MIN($AE992,$AD992-SUM($AG992:AT992))),0)</f>
        <v>0</v>
      </c>
      <c r="AV992" s="8">
        <f>IF($O992="Aktif",MAX(0,MIN($AE992,$AD992-SUM($AG992:AU992))),0)</f>
        <v>0</v>
      </c>
      <c r="AW992" s="8">
        <f t="shared" si="110"/>
        <v>0</v>
      </c>
      <c r="AX992" s="8">
        <f t="shared" si="111"/>
        <v>0</v>
      </c>
    </row>
    <row r="993" spans="1:50" ht="15" customHeight="1" x14ac:dyDescent="0.35">
      <c r="A993" s="102">
        <v>987</v>
      </c>
      <c r="B993" s="102" t="s">
        <v>2815</v>
      </c>
      <c r="C993" s="103">
        <v>9</v>
      </c>
      <c r="D993" s="102" t="s">
        <v>186</v>
      </c>
      <c r="E993" s="102" t="s">
        <v>587</v>
      </c>
      <c r="F993" s="102" t="s">
        <v>2816</v>
      </c>
      <c r="G993" s="102" t="s">
        <v>2817</v>
      </c>
      <c r="H993" s="102" t="s">
        <v>2818</v>
      </c>
      <c r="I993" s="102" t="s">
        <v>63</v>
      </c>
      <c r="J993" s="102"/>
      <c r="K993" s="102" t="s">
        <v>591</v>
      </c>
      <c r="L993" s="102" t="s">
        <v>1333</v>
      </c>
      <c r="M993" s="102" t="s">
        <v>2819</v>
      </c>
      <c r="N993" s="102" t="s">
        <v>1334</v>
      </c>
      <c r="O993" s="102" t="s">
        <v>487</v>
      </c>
      <c r="P993" s="103">
        <v>1</v>
      </c>
      <c r="Q993" s="105">
        <v>-6000000</v>
      </c>
      <c r="R993" s="102"/>
      <c r="S993" s="105">
        <v>0</v>
      </c>
      <c r="T993" s="105">
        <v>-6000000</v>
      </c>
      <c r="U993" s="105">
        <v>0</v>
      </c>
      <c r="V993" s="105">
        <v>0</v>
      </c>
      <c r="W993" s="105">
        <v>0</v>
      </c>
      <c r="X993" s="105">
        <v>0</v>
      </c>
      <c r="Y993" s="105">
        <v>0</v>
      </c>
      <c r="Z993" s="105">
        <v>0</v>
      </c>
      <c r="AA993" s="105">
        <v>0</v>
      </c>
      <c r="AB993" s="105">
        <v>0</v>
      </c>
      <c r="AC993" s="8">
        <f t="shared" si="105"/>
        <v>-6000000</v>
      </c>
      <c r="AD993" s="8">
        <f t="shared" si="106"/>
        <v>0</v>
      </c>
      <c r="AE993" s="8">
        <f t="shared" si="107"/>
        <v>0</v>
      </c>
      <c r="AF993" s="106">
        <f t="shared" si="108"/>
        <v>0</v>
      </c>
      <c r="AG993" s="8">
        <f t="shared" si="109"/>
        <v>0</v>
      </c>
      <c r="AH993" s="8">
        <f>IF($O993="Aktif",MAX(0,MIN($AE993,$AD993-SUM($AG993:AG993))),0)</f>
        <v>0</v>
      </c>
      <c r="AI993" s="8">
        <f>IF($O993="Aktif",MAX(0,MIN($AE993,$AD993-SUM($AG993:AH993))),0)</f>
        <v>0</v>
      </c>
      <c r="AJ993" s="8">
        <f>IF($O993="Aktif",MAX(0,MIN($AE993,$AD993-SUM($AG993:AI993))),0)</f>
        <v>0</v>
      </c>
      <c r="AK993" s="8">
        <f>IF($O993="Aktif",MAX(0,MIN($AE993,$AD993-SUM($AG993:AJ993))),0)</f>
        <v>0</v>
      </c>
      <c r="AL993" s="8">
        <f>IF($O993="Aktif",MAX(0,MIN($AE993,$AD993-SUM($AG993:AK993))),0)</f>
        <v>0</v>
      </c>
      <c r="AM993" s="8">
        <f>IF($O993="Aktif",MAX(0,MIN($AE993,$AD993-SUM($AG993:AL993))),0)</f>
        <v>0</v>
      </c>
      <c r="AN993" s="8">
        <f>IF($O993="Aktif",MAX(0,MIN($AE993,$AD993-SUM($AG993:AM993))),0)</f>
        <v>0</v>
      </c>
      <c r="AO993" s="8">
        <f>IF($O993="Aktif",MAX(0,MIN($AE993,$AD993-SUM($AG993:AN993))),0)</f>
        <v>0</v>
      </c>
      <c r="AP993" s="8">
        <f>IF($O993="Aktif",MAX(0,MIN($AE993,$AD993-SUM($AG993:AO993))),0)</f>
        <v>0</v>
      </c>
      <c r="AQ993" s="8">
        <f>IF($O993="Aktif",MAX(0,MIN($AE993,$AD993-SUM($AG993:AP993))),0)</f>
        <v>0</v>
      </c>
      <c r="AR993" s="8">
        <f>IF($O993="Aktif",MAX(0,MIN($AE993,$AD993-SUM($AG993:AQ993))),0)</f>
        <v>0</v>
      </c>
      <c r="AS993" s="8">
        <f>IF($O993="Aktif",MAX(0,MIN($AE993,$AD993-SUM($AG993:AR993))),0)</f>
        <v>0</v>
      </c>
      <c r="AT993" s="8">
        <f>IF($O993="Aktif",MAX(0,MIN($AE993,$AD993-SUM($AG993:AS993))),0)</f>
        <v>0</v>
      </c>
      <c r="AU993" s="8">
        <f>IF($O993="Aktif",MAX(0,MIN($AE993,$AD993-SUM($AG993:AT993))),0)</f>
        <v>0</v>
      </c>
      <c r="AV993" s="8">
        <f>IF($O993="Aktif",MAX(0,MIN($AE993,$AD993-SUM($AG993:AU993))),0)</f>
        <v>0</v>
      </c>
      <c r="AW993" s="8">
        <f t="shared" si="110"/>
        <v>0</v>
      </c>
      <c r="AX993" s="8">
        <f t="shared" si="111"/>
        <v>0</v>
      </c>
    </row>
    <row r="994" spans="1:50" ht="15" customHeight="1" x14ac:dyDescent="0.35">
      <c r="A994" s="102">
        <v>988</v>
      </c>
      <c r="B994" s="102" t="s">
        <v>2815</v>
      </c>
      <c r="C994" s="103">
        <v>10</v>
      </c>
      <c r="D994" s="102" t="s">
        <v>186</v>
      </c>
      <c r="E994" s="102" t="s">
        <v>587</v>
      </c>
      <c r="F994" s="102" t="s">
        <v>2816</v>
      </c>
      <c r="G994" s="102" t="s">
        <v>2817</v>
      </c>
      <c r="H994" s="102" t="s">
        <v>2818</v>
      </c>
      <c r="I994" s="102" t="s">
        <v>63</v>
      </c>
      <c r="J994" s="102"/>
      <c r="K994" s="102" t="s">
        <v>591</v>
      </c>
      <c r="L994" s="102" t="s">
        <v>1412</v>
      </c>
      <c r="M994" s="102" t="s">
        <v>2820</v>
      </c>
      <c r="N994" s="102" t="s">
        <v>2820</v>
      </c>
      <c r="O994" s="102" t="s">
        <v>383</v>
      </c>
      <c r="P994" s="103">
        <v>1</v>
      </c>
      <c r="Q994" s="105">
        <v>6500000</v>
      </c>
      <c r="R994" s="103">
        <v>48</v>
      </c>
      <c r="S994" s="105">
        <v>0</v>
      </c>
      <c r="T994" s="105">
        <v>6500000</v>
      </c>
      <c r="U994" s="105">
        <v>0</v>
      </c>
      <c r="V994" s="105">
        <v>0</v>
      </c>
      <c r="W994" s="105">
        <v>0</v>
      </c>
      <c r="X994" s="105">
        <v>0</v>
      </c>
      <c r="Y994" s="105">
        <v>0</v>
      </c>
      <c r="Z994" s="105">
        <v>0</v>
      </c>
      <c r="AA994" s="105">
        <v>0</v>
      </c>
      <c r="AB994" s="105">
        <v>0</v>
      </c>
      <c r="AC994" s="8">
        <f t="shared" si="105"/>
        <v>6500000</v>
      </c>
      <c r="AD994" s="8">
        <f t="shared" si="106"/>
        <v>0</v>
      </c>
      <c r="AE994" s="8">
        <f t="shared" si="107"/>
        <v>0</v>
      </c>
      <c r="AF994" s="106">
        <f t="shared" si="108"/>
        <v>0</v>
      </c>
      <c r="AG994" s="8">
        <f t="shared" si="109"/>
        <v>0</v>
      </c>
      <c r="AH994" s="8">
        <f>IF($O994="Aktif",MAX(0,MIN($AE994,$AD994-SUM($AG994:AG994))),0)</f>
        <v>0</v>
      </c>
      <c r="AI994" s="8">
        <f>IF($O994="Aktif",MAX(0,MIN($AE994,$AD994-SUM($AG994:AH994))),0)</f>
        <v>0</v>
      </c>
      <c r="AJ994" s="8">
        <f>IF($O994="Aktif",MAX(0,MIN($AE994,$AD994-SUM($AG994:AI994))),0)</f>
        <v>0</v>
      </c>
      <c r="AK994" s="8">
        <f>IF($O994="Aktif",MAX(0,MIN($AE994,$AD994-SUM($AG994:AJ994))),0)</f>
        <v>0</v>
      </c>
      <c r="AL994" s="8">
        <f>IF($O994="Aktif",MAX(0,MIN($AE994,$AD994-SUM($AG994:AK994))),0)</f>
        <v>0</v>
      </c>
      <c r="AM994" s="8">
        <f>IF($O994="Aktif",MAX(0,MIN($AE994,$AD994-SUM($AG994:AL994))),0)</f>
        <v>0</v>
      </c>
      <c r="AN994" s="8">
        <f>IF($O994="Aktif",MAX(0,MIN($AE994,$AD994-SUM($AG994:AM994))),0)</f>
        <v>0</v>
      </c>
      <c r="AO994" s="8">
        <f>IF($O994="Aktif",MAX(0,MIN($AE994,$AD994-SUM($AG994:AN994))),0)</f>
        <v>0</v>
      </c>
      <c r="AP994" s="8">
        <f>IF($O994="Aktif",MAX(0,MIN($AE994,$AD994-SUM($AG994:AO994))),0)</f>
        <v>0</v>
      </c>
      <c r="AQ994" s="8">
        <f>IF($O994="Aktif",MAX(0,MIN($AE994,$AD994-SUM($AG994:AP994))),0)</f>
        <v>0</v>
      </c>
      <c r="AR994" s="8">
        <f>IF($O994="Aktif",MAX(0,MIN($AE994,$AD994-SUM($AG994:AQ994))),0)</f>
        <v>0</v>
      </c>
      <c r="AS994" s="8">
        <f>IF($O994="Aktif",MAX(0,MIN($AE994,$AD994-SUM($AG994:AR994))),0)</f>
        <v>0</v>
      </c>
      <c r="AT994" s="8">
        <f>IF($O994="Aktif",MAX(0,MIN($AE994,$AD994-SUM($AG994:AS994))),0)</f>
        <v>0</v>
      </c>
      <c r="AU994" s="8">
        <f>IF($O994="Aktif",MAX(0,MIN($AE994,$AD994-SUM($AG994:AT994))),0)</f>
        <v>0</v>
      </c>
      <c r="AV994" s="8">
        <f>IF($O994="Aktif",MAX(0,MIN($AE994,$AD994-SUM($AG994:AU994))),0)</f>
        <v>0</v>
      </c>
      <c r="AW994" s="8">
        <f t="shared" si="110"/>
        <v>0</v>
      </c>
      <c r="AX994" s="8">
        <f t="shared" si="111"/>
        <v>0</v>
      </c>
    </row>
    <row r="995" spans="1:50" ht="15" customHeight="1" x14ac:dyDescent="0.35">
      <c r="A995" s="102">
        <v>989</v>
      </c>
      <c r="B995" s="102" t="s">
        <v>2815</v>
      </c>
      <c r="C995" s="103">
        <v>11</v>
      </c>
      <c r="D995" s="102" t="s">
        <v>186</v>
      </c>
      <c r="E995" s="102" t="s">
        <v>587</v>
      </c>
      <c r="F995" s="102" t="s">
        <v>2816</v>
      </c>
      <c r="G995" s="102" t="s">
        <v>2817</v>
      </c>
      <c r="H995" s="102" t="s">
        <v>2818</v>
      </c>
      <c r="I995" s="102" t="s">
        <v>63</v>
      </c>
      <c r="J995" s="102"/>
      <c r="K995" s="102" t="s">
        <v>591</v>
      </c>
      <c r="L995" s="102" t="s">
        <v>1333</v>
      </c>
      <c r="M995" s="102" t="s">
        <v>2819</v>
      </c>
      <c r="N995" s="102" t="s">
        <v>1334</v>
      </c>
      <c r="O995" s="102" t="s">
        <v>487</v>
      </c>
      <c r="P995" s="103">
        <v>1</v>
      </c>
      <c r="Q995" s="105">
        <v>-6500000</v>
      </c>
      <c r="R995" s="102"/>
      <c r="S995" s="105">
        <v>0</v>
      </c>
      <c r="T995" s="105">
        <v>-6500000</v>
      </c>
      <c r="U995" s="105">
        <v>0</v>
      </c>
      <c r="V995" s="105">
        <v>0</v>
      </c>
      <c r="W995" s="105">
        <v>0</v>
      </c>
      <c r="X995" s="105">
        <v>0</v>
      </c>
      <c r="Y995" s="105">
        <v>0</v>
      </c>
      <c r="Z995" s="105">
        <v>0</v>
      </c>
      <c r="AA995" s="105">
        <v>0</v>
      </c>
      <c r="AB995" s="105">
        <v>0</v>
      </c>
      <c r="AC995" s="8">
        <f t="shared" si="105"/>
        <v>-6500000</v>
      </c>
      <c r="AD995" s="8">
        <f t="shared" si="106"/>
        <v>0</v>
      </c>
      <c r="AE995" s="8">
        <f t="shared" si="107"/>
        <v>0</v>
      </c>
      <c r="AF995" s="106">
        <f t="shared" si="108"/>
        <v>0</v>
      </c>
      <c r="AG995" s="8">
        <f t="shared" si="109"/>
        <v>0</v>
      </c>
      <c r="AH995" s="8">
        <f>IF($O995="Aktif",MAX(0,MIN($AE995,$AD995-SUM($AG995:AG995))),0)</f>
        <v>0</v>
      </c>
      <c r="AI995" s="8">
        <f>IF($O995="Aktif",MAX(0,MIN($AE995,$AD995-SUM($AG995:AH995))),0)</f>
        <v>0</v>
      </c>
      <c r="AJ995" s="8">
        <f>IF($O995="Aktif",MAX(0,MIN($AE995,$AD995-SUM($AG995:AI995))),0)</f>
        <v>0</v>
      </c>
      <c r="AK995" s="8">
        <f>IF($O995="Aktif",MAX(0,MIN($AE995,$AD995-SUM($AG995:AJ995))),0)</f>
        <v>0</v>
      </c>
      <c r="AL995" s="8">
        <f>IF($O995="Aktif",MAX(0,MIN($AE995,$AD995-SUM($AG995:AK995))),0)</f>
        <v>0</v>
      </c>
      <c r="AM995" s="8">
        <f>IF($O995="Aktif",MAX(0,MIN($AE995,$AD995-SUM($AG995:AL995))),0)</f>
        <v>0</v>
      </c>
      <c r="AN995" s="8">
        <f>IF($O995="Aktif",MAX(0,MIN($AE995,$AD995-SUM($AG995:AM995))),0)</f>
        <v>0</v>
      </c>
      <c r="AO995" s="8">
        <f>IF($O995="Aktif",MAX(0,MIN($AE995,$AD995-SUM($AG995:AN995))),0)</f>
        <v>0</v>
      </c>
      <c r="AP995" s="8">
        <f>IF($O995="Aktif",MAX(0,MIN($AE995,$AD995-SUM($AG995:AO995))),0)</f>
        <v>0</v>
      </c>
      <c r="AQ995" s="8">
        <f>IF($O995="Aktif",MAX(0,MIN($AE995,$AD995-SUM($AG995:AP995))),0)</f>
        <v>0</v>
      </c>
      <c r="AR995" s="8">
        <f>IF($O995="Aktif",MAX(0,MIN($AE995,$AD995-SUM($AG995:AQ995))),0)</f>
        <v>0</v>
      </c>
      <c r="AS995" s="8">
        <f>IF($O995="Aktif",MAX(0,MIN($AE995,$AD995-SUM($AG995:AR995))),0)</f>
        <v>0</v>
      </c>
      <c r="AT995" s="8">
        <f>IF($O995="Aktif",MAX(0,MIN($AE995,$AD995-SUM($AG995:AS995))),0)</f>
        <v>0</v>
      </c>
      <c r="AU995" s="8">
        <f>IF($O995="Aktif",MAX(0,MIN($AE995,$AD995-SUM($AG995:AT995))),0)</f>
        <v>0</v>
      </c>
      <c r="AV995" s="8">
        <f>IF($O995="Aktif",MAX(0,MIN($AE995,$AD995-SUM($AG995:AU995))),0)</f>
        <v>0</v>
      </c>
      <c r="AW995" s="8">
        <f t="shared" si="110"/>
        <v>0</v>
      </c>
      <c r="AX995" s="8">
        <f t="shared" si="111"/>
        <v>0</v>
      </c>
    </row>
    <row r="996" spans="1:50" ht="15" customHeight="1" x14ac:dyDescent="0.35">
      <c r="A996" s="102">
        <v>990</v>
      </c>
      <c r="B996" s="102" t="s">
        <v>2815</v>
      </c>
      <c r="C996" s="103">
        <v>12</v>
      </c>
      <c r="D996" s="102" t="s">
        <v>186</v>
      </c>
      <c r="E996" s="102" t="s">
        <v>587</v>
      </c>
      <c r="F996" s="102" t="s">
        <v>2816</v>
      </c>
      <c r="G996" s="102" t="s">
        <v>2817</v>
      </c>
      <c r="H996" s="102" t="s">
        <v>2818</v>
      </c>
      <c r="I996" s="102" t="s">
        <v>63</v>
      </c>
      <c r="J996" s="102"/>
      <c r="K996" s="102" t="s">
        <v>591</v>
      </c>
      <c r="L996" s="102" t="s">
        <v>2821</v>
      </c>
      <c r="M996" s="102" t="s">
        <v>2822</v>
      </c>
      <c r="N996" s="102" t="s">
        <v>2822</v>
      </c>
      <c r="O996" s="102" t="s">
        <v>383</v>
      </c>
      <c r="P996" s="103">
        <v>1</v>
      </c>
      <c r="Q996" s="105">
        <v>33250000</v>
      </c>
      <c r="R996" s="103">
        <v>48</v>
      </c>
      <c r="S996" s="105">
        <v>0</v>
      </c>
      <c r="T996" s="105">
        <v>33250000</v>
      </c>
      <c r="U996" s="105">
        <v>0</v>
      </c>
      <c r="V996" s="105">
        <v>0</v>
      </c>
      <c r="W996" s="105">
        <v>0</v>
      </c>
      <c r="X996" s="105">
        <v>0</v>
      </c>
      <c r="Y996" s="105">
        <v>0</v>
      </c>
      <c r="Z996" s="105">
        <v>0</v>
      </c>
      <c r="AA996" s="105">
        <v>0</v>
      </c>
      <c r="AB996" s="105">
        <v>0</v>
      </c>
      <c r="AC996" s="8">
        <f t="shared" si="105"/>
        <v>33250000</v>
      </c>
      <c r="AD996" s="8">
        <f t="shared" si="106"/>
        <v>0</v>
      </c>
      <c r="AE996" s="8">
        <f t="shared" si="107"/>
        <v>0</v>
      </c>
      <c r="AF996" s="106">
        <f t="shared" si="108"/>
        <v>0</v>
      </c>
      <c r="AG996" s="8">
        <f t="shared" si="109"/>
        <v>0</v>
      </c>
      <c r="AH996" s="8">
        <f>IF($O996="Aktif",MAX(0,MIN($AE996,$AD996-SUM($AG996:AG996))),0)</f>
        <v>0</v>
      </c>
      <c r="AI996" s="8">
        <f>IF($O996="Aktif",MAX(0,MIN($AE996,$AD996-SUM($AG996:AH996))),0)</f>
        <v>0</v>
      </c>
      <c r="AJ996" s="8">
        <f>IF($O996="Aktif",MAX(0,MIN($AE996,$AD996-SUM($AG996:AI996))),0)</f>
        <v>0</v>
      </c>
      <c r="AK996" s="8">
        <f>IF($O996="Aktif",MAX(0,MIN($AE996,$AD996-SUM($AG996:AJ996))),0)</f>
        <v>0</v>
      </c>
      <c r="AL996" s="8">
        <f>IF($O996="Aktif",MAX(0,MIN($AE996,$AD996-SUM($AG996:AK996))),0)</f>
        <v>0</v>
      </c>
      <c r="AM996" s="8">
        <f>IF($O996="Aktif",MAX(0,MIN($AE996,$AD996-SUM($AG996:AL996))),0)</f>
        <v>0</v>
      </c>
      <c r="AN996" s="8">
        <f>IF($O996="Aktif",MAX(0,MIN($AE996,$AD996-SUM($AG996:AM996))),0)</f>
        <v>0</v>
      </c>
      <c r="AO996" s="8">
        <f>IF($O996="Aktif",MAX(0,MIN($AE996,$AD996-SUM($AG996:AN996))),0)</f>
        <v>0</v>
      </c>
      <c r="AP996" s="8">
        <f>IF($O996="Aktif",MAX(0,MIN($AE996,$AD996-SUM($AG996:AO996))),0)</f>
        <v>0</v>
      </c>
      <c r="AQ996" s="8">
        <f>IF($O996="Aktif",MAX(0,MIN($AE996,$AD996-SUM($AG996:AP996))),0)</f>
        <v>0</v>
      </c>
      <c r="AR996" s="8">
        <f>IF($O996="Aktif",MAX(0,MIN($AE996,$AD996-SUM($AG996:AQ996))),0)</f>
        <v>0</v>
      </c>
      <c r="AS996" s="8">
        <f>IF($O996="Aktif",MAX(0,MIN($AE996,$AD996-SUM($AG996:AR996))),0)</f>
        <v>0</v>
      </c>
      <c r="AT996" s="8">
        <f>IF($O996="Aktif",MAX(0,MIN($AE996,$AD996-SUM($AG996:AS996))),0)</f>
        <v>0</v>
      </c>
      <c r="AU996" s="8">
        <f>IF($O996="Aktif",MAX(0,MIN($AE996,$AD996-SUM($AG996:AT996))),0)</f>
        <v>0</v>
      </c>
      <c r="AV996" s="8">
        <f>IF($O996="Aktif",MAX(0,MIN($AE996,$AD996-SUM($AG996:AU996))),0)</f>
        <v>0</v>
      </c>
      <c r="AW996" s="8">
        <f t="shared" si="110"/>
        <v>0</v>
      </c>
      <c r="AX996" s="8">
        <f t="shared" si="111"/>
        <v>0</v>
      </c>
    </row>
    <row r="997" spans="1:50" ht="15" customHeight="1" x14ac:dyDescent="0.35">
      <c r="A997" s="102">
        <v>991</v>
      </c>
      <c r="B997" s="102" t="s">
        <v>2815</v>
      </c>
      <c r="C997" s="103">
        <v>13</v>
      </c>
      <c r="D997" s="102" t="s">
        <v>186</v>
      </c>
      <c r="E997" s="102" t="s">
        <v>587</v>
      </c>
      <c r="F997" s="102" t="s">
        <v>2816</v>
      </c>
      <c r="G997" s="102" t="s">
        <v>2817</v>
      </c>
      <c r="H997" s="102" t="s">
        <v>2818</v>
      </c>
      <c r="I997" s="102" t="s">
        <v>63</v>
      </c>
      <c r="J997" s="102"/>
      <c r="K997" s="102" t="s">
        <v>591</v>
      </c>
      <c r="L997" s="102" t="s">
        <v>1333</v>
      </c>
      <c r="M997" s="102" t="s">
        <v>2819</v>
      </c>
      <c r="N997" s="102" t="s">
        <v>1334</v>
      </c>
      <c r="O997" s="102" t="s">
        <v>487</v>
      </c>
      <c r="P997" s="103">
        <v>1</v>
      </c>
      <c r="Q997" s="105">
        <v>-33250000</v>
      </c>
      <c r="R997" s="102"/>
      <c r="S997" s="105">
        <v>0</v>
      </c>
      <c r="T997" s="105">
        <v>-33250000</v>
      </c>
      <c r="U997" s="105">
        <v>0</v>
      </c>
      <c r="V997" s="105">
        <v>0</v>
      </c>
      <c r="W997" s="105">
        <v>0</v>
      </c>
      <c r="X997" s="105">
        <v>0</v>
      </c>
      <c r="Y997" s="105">
        <v>0</v>
      </c>
      <c r="Z997" s="105">
        <v>0</v>
      </c>
      <c r="AA997" s="105">
        <v>0</v>
      </c>
      <c r="AB997" s="105">
        <v>0</v>
      </c>
      <c r="AC997" s="8">
        <f t="shared" si="105"/>
        <v>-33250000</v>
      </c>
      <c r="AD997" s="8">
        <f t="shared" si="106"/>
        <v>0</v>
      </c>
      <c r="AE997" s="8">
        <f t="shared" si="107"/>
        <v>0</v>
      </c>
      <c r="AF997" s="106">
        <f t="shared" si="108"/>
        <v>0</v>
      </c>
      <c r="AG997" s="8">
        <f t="shared" si="109"/>
        <v>0</v>
      </c>
      <c r="AH997" s="8">
        <f>IF($O997="Aktif",MAX(0,MIN($AE997,$AD997-SUM($AG997:AG997))),0)</f>
        <v>0</v>
      </c>
      <c r="AI997" s="8">
        <f>IF($O997="Aktif",MAX(0,MIN($AE997,$AD997-SUM($AG997:AH997))),0)</f>
        <v>0</v>
      </c>
      <c r="AJ997" s="8">
        <f>IF($O997="Aktif",MAX(0,MIN($AE997,$AD997-SUM($AG997:AI997))),0)</f>
        <v>0</v>
      </c>
      <c r="AK997" s="8">
        <f>IF($O997="Aktif",MAX(0,MIN($AE997,$AD997-SUM($AG997:AJ997))),0)</f>
        <v>0</v>
      </c>
      <c r="AL997" s="8">
        <f>IF($O997="Aktif",MAX(0,MIN($AE997,$AD997-SUM($AG997:AK997))),0)</f>
        <v>0</v>
      </c>
      <c r="AM997" s="8">
        <f>IF($O997="Aktif",MAX(0,MIN($AE997,$AD997-SUM($AG997:AL997))),0)</f>
        <v>0</v>
      </c>
      <c r="AN997" s="8">
        <f>IF($O997="Aktif",MAX(0,MIN($AE997,$AD997-SUM($AG997:AM997))),0)</f>
        <v>0</v>
      </c>
      <c r="AO997" s="8">
        <f>IF($O997="Aktif",MAX(0,MIN($AE997,$AD997-SUM($AG997:AN997))),0)</f>
        <v>0</v>
      </c>
      <c r="AP997" s="8">
        <f>IF($O997="Aktif",MAX(0,MIN($AE997,$AD997-SUM($AG997:AO997))),0)</f>
        <v>0</v>
      </c>
      <c r="AQ997" s="8">
        <f>IF($O997="Aktif",MAX(0,MIN($AE997,$AD997-SUM($AG997:AP997))),0)</f>
        <v>0</v>
      </c>
      <c r="AR997" s="8">
        <f>IF($O997="Aktif",MAX(0,MIN($AE997,$AD997-SUM($AG997:AQ997))),0)</f>
        <v>0</v>
      </c>
      <c r="AS997" s="8">
        <f>IF($O997="Aktif",MAX(0,MIN($AE997,$AD997-SUM($AG997:AR997))),0)</f>
        <v>0</v>
      </c>
      <c r="AT997" s="8">
        <f>IF($O997="Aktif",MAX(0,MIN($AE997,$AD997-SUM($AG997:AS997))),0)</f>
        <v>0</v>
      </c>
      <c r="AU997" s="8">
        <f>IF($O997="Aktif",MAX(0,MIN($AE997,$AD997-SUM($AG997:AT997))),0)</f>
        <v>0</v>
      </c>
      <c r="AV997" s="8">
        <f>IF($O997="Aktif",MAX(0,MIN($AE997,$AD997-SUM($AG997:AU997))),0)</f>
        <v>0</v>
      </c>
      <c r="AW997" s="8">
        <f t="shared" si="110"/>
        <v>0</v>
      </c>
      <c r="AX997" s="8">
        <f t="shared" si="111"/>
        <v>0</v>
      </c>
    </row>
    <row r="998" spans="1:50" ht="15" customHeight="1" x14ac:dyDescent="0.35">
      <c r="A998" s="102">
        <v>992</v>
      </c>
      <c r="B998" s="102" t="s">
        <v>2815</v>
      </c>
      <c r="C998" s="103">
        <v>14</v>
      </c>
      <c r="D998" s="102" t="s">
        <v>186</v>
      </c>
      <c r="E998" s="102" t="s">
        <v>587</v>
      </c>
      <c r="F998" s="102" t="s">
        <v>2816</v>
      </c>
      <c r="G998" s="102" t="s">
        <v>2817</v>
      </c>
      <c r="H998" s="102" t="s">
        <v>2818</v>
      </c>
      <c r="I998" s="102" t="s">
        <v>63</v>
      </c>
      <c r="J998" s="102"/>
      <c r="K998" s="102" t="s">
        <v>591</v>
      </c>
      <c r="L998" s="102" t="s">
        <v>1440</v>
      </c>
      <c r="M998" s="102" t="s">
        <v>2823</v>
      </c>
      <c r="N998" s="102" t="s">
        <v>2823</v>
      </c>
      <c r="O998" s="102" t="s">
        <v>383</v>
      </c>
      <c r="P998" s="103">
        <v>1</v>
      </c>
      <c r="Q998" s="105">
        <v>33500000</v>
      </c>
      <c r="R998" s="103">
        <v>48</v>
      </c>
      <c r="S998" s="105">
        <v>0</v>
      </c>
      <c r="T998" s="105">
        <v>33500000</v>
      </c>
      <c r="U998" s="105">
        <v>0</v>
      </c>
      <c r="V998" s="105">
        <v>0</v>
      </c>
      <c r="W998" s="105">
        <v>0</v>
      </c>
      <c r="X998" s="105">
        <v>0</v>
      </c>
      <c r="Y998" s="105">
        <v>0</v>
      </c>
      <c r="Z998" s="105">
        <v>0</v>
      </c>
      <c r="AA998" s="105">
        <v>0</v>
      </c>
      <c r="AB998" s="105">
        <v>0</v>
      </c>
      <c r="AC998" s="8">
        <f t="shared" si="105"/>
        <v>33500000</v>
      </c>
      <c r="AD998" s="8">
        <f t="shared" si="106"/>
        <v>0</v>
      </c>
      <c r="AE998" s="8">
        <f t="shared" si="107"/>
        <v>0</v>
      </c>
      <c r="AF998" s="106">
        <f t="shared" si="108"/>
        <v>0</v>
      </c>
      <c r="AG998" s="8">
        <f t="shared" si="109"/>
        <v>0</v>
      </c>
      <c r="AH998" s="8">
        <f>IF($O998="Aktif",MAX(0,MIN($AE998,$AD998-SUM($AG998:AG998))),0)</f>
        <v>0</v>
      </c>
      <c r="AI998" s="8">
        <f>IF($O998="Aktif",MAX(0,MIN($AE998,$AD998-SUM($AG998:AH998))),0)</f>
        <v>0</v>
      </c>
      <c r="AJ998" s="8">
        <f>IF($O998="Aktif",MAX(0,MIN($AE998,$AD998-SUM($AG998:AI998))),0)</f>
        <v>0</v>
      </c>
      <c r="AK998" s="8">
        <f>IF($O998="Aktif",MAX(0,MIN($AE998,$AD998-SUM($AG998:AJ998))),0)</f>
        <v>0</v>
      </c>
      <c r="AL998" s="8">
        <f>IF($O998="Aktif",MAX(0,MIN($AE998,$AD998-SUM($AG998:AK998))),0)</f>
        <v>0</v>
      </c>
      <c r="AM998" s="8">
        <f>IF($O998="Aktif",MAX(0,MIN($AE998,$AD998-SUM($AG998:AL998))),0)</f>
        <v>0</v>
      </c>
      <c r="AN998" s="8">
        <f>IF($O998="Aktif",MAX(0,MIN($AE998,$AD998-SUM($AG998:AM998))),0)</f>
        <v>0</v>
      </c>
      <c r="AO998" s="8">
        <f>IF($O998="Aktif",MAX(0,MIN($AE998,$AD998-SUM($AG998:AN998))),0)</f>
        <v>0</v>
      </c>
      <c r="AP998" s="8">
        <f>IF($O998="Aktif",MAX(0,MIN($AE998,$AD998-SUM($AG998:AO998))),0)</f>
        <v>0</v>
      </c>
      <c r="AQ998" s="8">
        <f>IF($O998="Aktif",MAX(0,MIN($AE998,$AD998-SUM($AG998:AP998))),0)</f>
        <v>0</v>
      </c>
      <c r="AR998" s="8">
        <f>IF($O998="Aktif",MAX(0,MIN($AE998,$AD998-SUM($AG998:AQ998))),0)</f>
        <v>0</v>
      </c>
      <c r="AS998" s="8">
        <f>IF($O998="Aktif",MAX(0,MIN($AE998,$AD998-SUM($AG998:AR998))),0)</f>
        <v>0</v>
      </c>
      <c r="AT998" s="8">
        <f>IF($O998="Aktif",MAX(0,MIN($AE998,$AD998-SUM($AG998:AS998))),0)</f>
        <v>0</v>
      </c>
      <c r="AU998" s="8">
        <f>IF($O998="Aktif",MAX(0,MIN($AE998,$AD998-SUM($AG998:AT998))),0)</f>
        <v>0</v>
      </c>
      <c r="AV998" s="8">
        <f>IF($O998="Aktif",MAX(0,MIN($AE998,$AD998-SUM($AG998:AU998))),0)</f>
        <v>0</v>
      </c>
      <c r="AW998" s="8">
        <f t="shared" si="110"/>
        <v>0</v>
      </c>
      <c r="AX998" s="8">
        <f t="shared" si="111"/>
        <v>0</v>
      </c>
    </row>
    <row r="999" spans="1:50" ht="15" customHeight="1" x14ac:dyDescent="0.35">
      <c r="A999" s="102">
        <v>993</v>
      </c>
      <c r="B999" s="102" t="s">
        <v>2815</v>
      </c>
      <c r="C999" s="103">
        <v>15</v>
      </c>
      <c r="D999" s="102" t="s">
        <v>186</v>
      </c>
      <c r="E999" s="102" t="s">
        <v>587</v>
      </c>
      <c r="F999" s="102" t="s">
        <v>2816</v>
      </c>
      <c r="G999" s="102" t="s">
        <v>2817</v>
      </c>
      <c r="H999" s="102" t="s">
        <v>2818</v>
      </c>
      <c r="I999" s="102" t="s">
        <v>63</v>
      </c>
      <c r="J999" s="102"/>
      <c r="K999" s="102" t="s">
        <v>591</v>
      </c>
      <c r="L999" s="102" t="s">
        <v>1333</v>
      </c>
      <c r="M999" s="102" t="s">
        <v>2819</v>
      </c>
      <c r="N999" s="102" t="s">
        <v>1334</v>
      </c>
      <c r="O999" s="102" t="s">
        <v>487</v>
      </c>
      <c r="P999" s="103">
        <v>1</v>
      </c>
      <c r="Q999" s="105">
        <v>-33500000</v>
      </c>
      <c r="R999" s="102"/>
      <c r="S999" s="105">
        <v>0</v>
      </c>
      <c r="T999" s="105">
        <v>-33500000</v>
      </c>
      <c r="U999" s="105">
        <v>0</v>
      </c>
      <c r="V999" s="105">
        <v>0</v>
      </c>
      <c r="W999" s="105">
        <v>0</v>
      </c>
      <c r="X999" s="105">
        <v>0</v>
      </c>
      <c r="Y999" s="105">
        <v>0</v>
      </c>
      <c r="Z999" s="105">
        <v>0</v>
      </c>
      <c r="AA999" s="105">
        <v>0</v>
      </c>
      <c r="AB999" s="105">
        <v>0</v>
      </c>
      <c r="AC999" s="8">
        <f t="shared" si="105"/>
        <v>-33500000</v>
      </c>
      <c r="AD999" s="8">
        <f t="shared" si="106"/>
        <v>0</v>
      </c>
      <c r="AE999" s="8">
        <f t="shared" si="107"/>
        <v>0</v>
      </c>
      <c r="AF999" s="106">
        <f t="shared" si="108"/>
        <v>0</v>
      </c>
      <c r="AG999" s="8">
        <f t="shared" si="109"/>
        <v>0</v>
      </c>
      <c r="AH999" s="8">
        <f>IF($O999="Aktif",MAX(0,MIN($AE999,$AD999-SUM($AG999:AG999))),0)</f>
        <v>0</v>
      </c>
      <c r="AI999" s="8">
        <f>IF($O999="Aktif",MAX(0,MIN($AE999,$AD999-SUM($AG999:AH999))),0)</f>
        <v>0</v>
      </c>
      <c r="AJ999" s="8">
        <f>IF($O999="Aktif",MAX(0,MIN($AE999,$AD999-SUM($AG999:AI999))),0)</f>
        <v>0</v>
      </c>
      <c r="AK999" s="8">
        <f>IF($O999="Aktif",MAX(0,MIN($AE999,$AD999-SUM($AG999:AJ999))),0)</f>
        <v>0</v>
      </c>
      <c r="AL999" s="8">
        <f>IF($O999="Aktif",MAX(0,MIN($AE999,$AD999-SUM($AG999:AK999))),0)</f>
        <v>0</v>
      </c>
      <c r="AM999" s="8">
        <f>IF($O999="Aktif",MAX(0,MIN($AE999,$AD999-SUM($AG999:AL999))),0)</f>
        <v>0</v>
      </c>
      <c r="AN999" s="8">
        <f>IF($O999="Aktif",MAX(0,MIN($AE999,$AD999-SUM($AG999:AM999))),0)</f>
        <v>0</v>
      </c>
      <c r="AO999" s="8">
        <f>IF($O999="Aktif",MAX(0,MIN($AE999,$AD999-SUM($AG999:AN999))),0)</f>
        <v>0</v>
      </c>
      <c r="AP999" s="8">
        <f>IF($O999="Aktif",MAX(0,MIN($AE999,$AD999-SUM($AG999:AO999))),0)</f>
        <v>0</v>
      </c>
      <c r="AQ999" s="8">
        <f>IF($O999="Aktif",MAX(0,MIN($AE999,$AD999-SUM($AG999:AP999))),0)</f>
        <v>0</v>
      </c>
      <c r="AR999" s="8">
        <f>IF($O999="Aktif",MAX(0,MIN($AE999,$AD999-SUM($AG999:AQ999))),0)</f>
        <v>0</v>
      </c>
      <c r="AS999" s="8">
        <f>IF($O999="Aktif",MAX(0,MIN($AE999,$AD999-SUM($AG999:AR999))),0)</f>
        <v>0</v>
      </c>
      <c r="AT999" s="8">
        <f>IF($O999="Aktif",MAX(0,MIN($AE999,$AD999-SUM($AG999:AS999))),0)</f>
        <v>0</v>
      </c>
      <c r="AU999" s="8">
        <f>IF($O999="Aktif",MAX(0,MIN($AE999,$AD999-SUM($AG999:AT999))),0)</f>
        <v>0</v>
      </c>
      <c r="AV999" s="8">
        <f>IF($O999="Aktif",MAX(0,MIN($AE999,$AD999-SUM($AG999:AU999))),0)</f>
        <v>0</v>
      </c>
      <c r="AW999" s="8">
        <f t="shared" si="110"/>
        <v>0</v>
      </c>
      <c r="AX999" s="8">
        <f t="shared" si="111"/>
        <v>0</v>
      </c>
    </row>
    <row r="1000" spans="1:50" ht="15" customHeight="1" x14ac:dyDescent="0.35">
      <c r="A1000" s="102">
        <v>994</v>
      </c>
      <c r="B1000" s="102" t="s">
        <v>2815</v>
      </c>
      <c r="C1000" s="103">
        <v>16</v>
      </c>
      <c r="D1000" s="102" t="s">
        <v>186</v>
      </c>
      <c r="E1000" s="102" t="s">
        <v>587</v>
      </c>
      <c r="F1000" s="102" t="s">
        <v>2816</v>
      </c>
      <c r="G1000" s="102" t="s">
        <v>2817</v>
      </c>
      <c r="H1000" s="102" t="s">
        <v>2818</v>
      </c>
      <c r="I1000" s="102" t="s">
        <v>63</v>
      </c>
      <c r="J1000" s="102"/>
      <c r="K1000" s="102" t="s">
        <v>591</v>
      </c>
      <c r="L1000" s="102" t="s">
        <v>2824</v>
      </c>
      <c r="M1000" s="102" t="s">
        <v>2825</v>
      </c>
      <c r="N1000" s="102" t="s">
        <v>2825</v>
      </c>
      <c r="O1000" s="102" t="s">
        <v>383</v>
      </c>
      <c r="P1000" s="103">
        <v>1</v>
      </c>
      <c r="Q1000" s="105">
        <v>20000000</v>
      </c>
      <c r="R1000" s="103">
        <v>48</v>
      </c>
      <c r="S1000" s="105">
        <v>0</v>
      </c>
      <c r="T1000" s="105">
        <v>20000000</v>
      </c>
      <c r="U1000" s="105">
        <v>0</v>
      </c>
      <c r="V1000" s="105">
        <v>0</v>
      </c>
      <c r="W1000" s="105">
        <v>0</v>
      </c>
      <c r="X1000" s="105">
        <v>0</v>
      </c>
      <c r="Y1000" s="105">
        <v>0</v>
      </c>
      <c r="Z1000" s="105">
        <v>0</v>
      </c>
      <c r="AA1000" s="105">
        <v>0</v>
      </c>
      <c r="AB1000" s="105">
        <v>0</v>
      </c>
      <c r="AC1000" s="8">
        <f t="shared" si="105"/>
        <v>20000000</v>
      </c>
      <c r="AD1000" s="8">
        <f t="shared" si="106"/>
        <v>0</v>
      </c>
      <c r="AE1000" s="8">
        <f t="shared" si="107"/>
        <v>0</v>
      </c>
      <c r="AF1000" s="106">
        <f t="shared" si="108"/>
        <v>0</v>
      </c>
      <c r="AG1000" s="8">
        <f t="shared" si="109"/>
        <v>0</v>
      </c>
      <c r="AH1000" s="8">
        <f>IF($O1000="Aktif",MAX(0,MIN($AE1000,$AD1000-SUM($AG1000:AG1000))),0)</f>
        <v>0</v>
      </c>
      <c r="AI1000" s="8">
        <f>IF($O1000="Aktif",MAX(0,MIN($AE1000,$AD1000-SUM($AG1000:AH1000))),0)</f>
        <v>0</v>
      </c>
      <c r="AJ1000" s="8">
        <f>IF($O1000="Aktif",MAX(0,MIN($AE1000,$AD1000-SUM($AG1000:AI1000))),0)</f>
        <v>0</v>
      </c>
      <c r="AK1000" s="8">
        <f>IF($O1000="Aktif",MAX(0,MIN($AE1000,$AD1000-SUM($AG1000:AJ1000))),0)</f>
        <v>0</v>
      </c>
      <c r="AL1000" s="8">
        <f>IF($O1000="Aktif",MAX(0,MIN($AE1000,$AD1000-SUM($AG1000:AK1000))),0)</f>
        <v>0</v>
      </c>
      <c r="AM1000" s="8">
        <f>IF($O1000="Aktif",MAX(0,MIN($AE1000,$AD1000-SUM($AG1000:AL1000))),0)</f>
        <v>0</v>
      </c>
      <c r="AN1000" s="8">
        <f>IF($O1000="Aktif",MAX(0,MIN($AE1000,$AD1000-SUM($AG1000:AM1000))),0)</f>
        <v>0</v>
      </c>
      <c r="AO1000" s="8">
        <f>IF($O1000="Aktif",MAX(0,MIN($AE1000,$AD1000-SUM($AG1000:AN1000))),0)</f>
        <v>0</v>
      </c>
      <c r="AP1000" s="8">
        <f>IF($O1000="Aktif",MAX(0,MIN($AE1000,$AD1000-SUM($AG1000:AO1000))),0)</f>
        <v>0</v>
      </c>
      <c r="AQ1000" s="8">
        <f>IF($O1000="Aktif",MAX(0,MIN($AE1000,$AD1000-SUM($AG1000:AP1000))),0)</f>
        <v>0</v>
      </c>
      <c r="AR1000" s="8">
        <f>IF($O1000="Aktif",MAX(0,MIN($AE1000,$AD1000-SUM($AG1000:AQ1000))),0)</f>
        <v>0</v>
      </c>
      <c r="AS1000" s="8">
        <f>IF($O1000="Aktif",MAX(0,MIN($AE1000,$AD1000-SUM($AG1000:AR1000))),0)</f>
        <v>0</v>
      </c>
      <c r="AT1000" s="8">
        <f>IF($O1000="Aktif",MAX(0,MIN($AE1000,$AD1000-SUM($AG1000:AS1000))),0)</f>
        <v>0</v>
      </c>
      <c r="AU1000" s="8">
        <f>IF($O1000="Aktif",MAX(0,MIN($AE1000,$AD1000-SUM($AG1000:AT1000))),0)</f>
        <v>0</v>
      </c>
      <c r="AV1000" s="8">
        <f>IF($O1000="Aktif",MAX(0,MIN($AE1000,$AD1000-SUM($AG1000:AU1000))),0)</f>
        <v>0</v>
      </c>
      <c r="AW1000" s="8">
        <f t="shared" si="110"/>
        <v>0</v>
      </c>
      <c r="AX1000" s="8">
        <f t="shared" si="111"/>
        <v>0</v>
      </c>
    </row>
    <row r="1001" spans="1:50" ht="15" customHeight="1" x14ac:dyDescent="0.35">
      <c r="A1001" s="102">
        <v>995</v>
      </c>
      <c r="B1001" s="102" t="s">
        <v>2815</v>
      </c>
      <c r="C1001" s="103">
        <v>17</v>
      </c>
      <c r="D1001" s="102" t="s">
        <v>186</v>
      </c>
      <c r="E1001" s="102" t="s">
        <v>587</v>
      </c>
      <c r="F1001" s="102" t="s">
        <v>2816</v>
      </c>
      <c r="G1001" s="102" t="s">
        <v>2817</v>
      </c>
      <c r="H1001" s="102" t="s">
        <v>2818</v>
      </c>
      <c r="I1001" s="102" t="s">
        <v>63</v>
      </c>
      <c r="J1001" s="102"/>
      <c r="K1001" s="102" t="s">
        <v>591</v>
      </c>
      <c r="L1001" s="102" t="s">
        <v>1333</v>
      </c>
      <c r="M1001" s="102" t="s">
        <v>2819</v>
      </c>
      <c r="N1001" s="102" t="s">
        <v>1334</v>
      </c>
      <c r="O1001" s="102" t="s">
        <v>487</v>
      </c>
      <c r="P1001" s="103">
        <v>1</v>
      </c>
      <c r="Q1001" s="105">
        <v>-20000000</v>
      </c>
      <c r="R1001" s="102"/>
      <c r="S1001" s="105">
        <v>0</v>
      </c>
      <c r="T1001" s="105">
        <v>-20000000</v>
      </c>
      <c r="U1001" s="105">
        <v>0</v>
      </c>
      <c r="V1001" s="105">
        <v>0</v>
      </c>
      <c r="W1001" s="105">
        <v>0</v>
      </c>
      <c r="X1001" s="105">
        <v>0</v>
      </c>
      <c r="Y1001" s="105">
        <v>0</v>
      </c>
      <c r="Z1001" s="105">
        <v>0</v>
      </c>
      <c r="AA1001" s="105">
        <v>0</v>
      </c>
      <c r="AB1001" s="105">
        <v>0</v>
      </c>
      <c r="AC1001" s="8">
        <f t="shared" si="105"/>
        <v>-20000000</v>
      </c>
      <c r="AD1001" s="8">
        <f t="shared" si="106"/>
        <v>0</v>
      </c>
      <c r="AE1001" s="8">
        <f t="shared" si="107"/>
        <v>0</v>
      </c>
      <c r="AF1001" s="106">
        <f t="shared" si="108"/>
        <v>0</v>
      </c>
      <c r="AG1001" s="8">
        <f t="shared" si="109"/>
        <v>0</v>
      </c>
      <c r="AH1001" s="8">
        <f>IF($O1001="Aktif",MAX(0,MIN($AE1001,$AD1001-SUM($AG1001:AG1001))),0)</f>
        <v>0</v>
      </c>
      <c r="AI1001" s="8">
        <f>IF($O1001="Aktif",MAX(0,MIN($AE1001,$AD1001-SUM($AG1001:AH1001))),0)</f>
        <v>0</v>
      </c>
      <c r="AJ1001" s="8">
        <f>IF($O1001="Aktif",MAX(0,MIN($AE1001,$AD1001-SUM($AG1001:AI1001))),0)</f>
        <v>0</v>
      </c>
      <c r="AK1001" s="8">
        <f>IF($O1001="Aktif",MAX(0,MIN($AE1001,$AD1001-SUM($AG1001:AJ1001))),0)</f>
        <v>0</v>
      </c>
      <c r="AL1001" s="8">
        <f>IF($O1001="Aktif",MAX(0,MIN($AE1001,$AD1001-SUM($AG1001:AK1001))),0)</f>
        <v>0</v>
      </c>
      <c r="AM1001" s="8">
        <f>IF($O1001="Aktif",MAX(0,MIN($AE1001,$AD1001-SUM($AG1001:AL1001))),0)</f>
        <v>0</v>
      </c>
      <c r="AN1001" s="8">
        <f>IF($O1001="Aktif",MAX(0,MIN($AE1001,$AD1001-SUM($AG1001:AM1001))),0)</f>
        <v>0</v>
      </c>
      <c r="AO1001" s="8">
        <f>IF($O1001="Aktif",MAX(0,MIN($AE1001,$AD1001-SUM($AG1001:AN1001))),0)</f>
        <v>0</v>
      </c>
      <c r="AP1001" s="8">
        <f>IF($O1001="Aktif",MAX(0,MIN($AE1001,$AD1001-SUM($AG1001:AO1001))),0)</f>
        <v>0</v>
      </c>
      <c r="AQ1001" s="8">
        <f>IF($O1001="Aktif",MAX(0,MIN($AE1001,$AD1001-SUM($AG1001:AP1001))),0)</f>
        <v>0</v>
      </c>
      <c r="AR1001" s="8">
        <f>IF($O1001="Aktif",MAX(0,MIN($AE1001,$AD1001-SUM($AG1001:AQ1001))),0)</f>
        <v>0</v>
      </c>
      <c r="AS1001" s="8">
        <f>IF($O1001="Aktif",MAX(0,MIN($AE1001,$AD1001-SUM($AG1001:AR1001))),0)</f>
        <v>0</v>
      </c>
      <c r="AT1001" s="8">
        <f>IF($O1001="Aktif",MAX(0,MIN($AE1001,$AD1001-SUM($AG1001:AS1001))),0)</f>
        <v>0</v>
      </c>
      <c r="AU1001" s="8">
        <f>IF($O1001="Aktif",MAX(0,MIN($AE1001,$AD1001-SUM($AG1001:AT1001))),0)</f>
        <v>0</v>
      </c>
      <c r="AV1001" s="8">
        <f>IF($O1001="Aktif",MAX(0,MIN($AE1001,$AD1001-SUM($AG1001:AU1001))),0)</f>
        <v>0</v>
      </c>
      <c r="AW1001" s="8">
        <f t="shared" si="110"/>
        <v>0</v>
      </c>
      <c r="AX1001" s="8">
        <f t="shared" si="111"/>
        <v>0</v>
      </c>
    </row>
    <row r="1002" spans="1:50" ht="15" customHeight="1" x14ac:dyDescent="0.35">
      <c r="A1002" s="102">
        <v>996</v>
      </c>
      <c r="B1002" s="102" t="s">
        <v>2815</v>
      </c>
      <c r="C1002" s="103">
        <v>18</v>
      </c>
      <c r="D1002" s="102" t="s">
        <v>186</v>
      </c>
      <c r="E1002" s="102" t="s">
        <v>587</v>
      </c>
      <c r="F1002" s="102" t="s">
        <v>2816</v>
      </c>
      <c r="G1002" s="102" t="s">
        <v>2817</v>
      </c>
      <c r="H1002" s="102" t="s">
        <v>2818</v>
      </c>
      <c r="I1002" s="102" t="s">
        <v>63</v>
      </c>
      <c r="J1002" s="102"/>
      <c r="K1002" s="102" t="s">
        <v>591</v>
      </c>
      <c r="L1002" s="102" t="s">
        <v>2826</v>
      </c>
      <c r="M1002" s="102" t="s">
        <v>2827</v>
      </c>
      <c r="N1002" s="102" t="s">
        <v>2828</v>
      </c>
      <c r="O1002" s="102" t="s">
        <v>383</v>
      </c>
      <c r="P1002" s="103">
        <v>1</v>
      </c>
      <c r="Q1002" s="105">
        <v>2950000</v>
      </c>
      <c r="R1002" s="103">
        <v>48</v>
      </c>
      <c r="S1002" s="105">
        <v>0</v>
      </c>
      <c r="T1002" s="105">
        <v>2950000</v>
      </c>
      <c r="U1002" s="105">
        <v>0</v>
      </c>
      <c r="V1002" s="105">
        <v>0</v>
      </c>
      <c r="W1002" s="105">
        <v>0</v>
      </c>
      <c r="X1002" s="105">
        <v>0</v>
      </c>
      <c r="Y1002" s="105">
        <v>0</v>
      </c>
      <c r="Z1002" s="105">
        <v>0</v>
      </c>
      <c r="AA1002" s="105">
        <v>0</v>
      </c>
      <c r="AB1002" s="105">
        <v>0</v>
      </c>
      <c r="AC1002" s="8">
        <f t="shared" si="105"/>
        <v>2950000</v>
      </c>
      <c r="AD1002" s="8">
        <f t="shared" si="106"/>
        <v>0</v>
      </c>
      <c r="AE1002" s="8">
        <f t="shared" si="107"/>
        <v>0</v>
      </c>
      <c r="AF1002" s="106">
        <f t="shared" si="108"/>
        <v>0</v>
      </c>
      <c r="AG1002" s="8">
        <f t="shared" si="109"/>
        <v>0</v>
      </c>
      <c r="AH1002" s="8">
        <f>IF($O1002="Aktif",MAX(0,MIN($AE1002,$AD1002-SUM($AG1002:AG1002))),0)</f>
        <v>0</v>
      </c>
      <c r="AI1002" s="8">
        <f>IF($O1002="Aktif",MAX(0,MIN($AE1002,$AD1002-SUM($AG1002:AH1002))),0)</f>
        <v>0</v>
      </c>
      <c r="AJ1002" s="8">
        <f>IF($O1002="Aktif",MAX(0,MIN($AE1002,$AD1002-SUM($AG1002:AI1002))),0)</f>
        <v>0</v>
      </c>
      <c r="AK1002" s="8">
        <f>IF($O1002="Aktif",MAX(0,MIN($AE1002,$AD1002-SUM($AG1002:AJ1002))),0)</f>
        <v>0</v>
      </c>
      <c r="AL1002" s="8">
        <f>IF($O1002="Aktif",MAX(0,MIN($AE1002,$AD1002-SUM($AG1002:AK1002))),0)</f>
        <v>0</v>
      </c>
      <c r="AM1002" s="8">
        <f>IF($O1002="Aktif",MAX(0,MIN($AE1002,$AD1002-SUM($AG1002:AL1002))),0)</f>
        <v>0</v>
      </c>
      <c r="AN1002" s="8">
        <f>IF($O1002="Aktif",MAX(0,MIN($AE1002,$AD1002-SUM($AG1002:AM1002))),0)</f>
        <v>0</v>
      </c>
      <c r="AO1002" s="8">
        <f>IF($O1002="Aktif",MAX(0,MIN($AE1002,$AD1002-SUM($AG1002:AN1002))),0)</f>
        <v>0</v>
      </c>
      <c r="AP1002" s="8">
        <f>IF($O1002="Aktif",MAX(0,MIN($AE1002,$AD1002-SUM($AG1002:AO1002))),0)</f>
        <v>0</v>
      </c>
      <c r="AQ1002" s="8">
        <f>IF($O1002="Aktif",MAX(0,MIN($AE1002,$AD1002-SUM($AG1002:AP1002))),0)</f>
        <v>0</v>
      </c>
      <c r="AR1002" s="8">
        <f>IF($O1002="Aktif",MAX(0,MIN($AE1002,$AD1002-SUM($AG1002:AQ1002))),0)</f>
        <v>0</v>
      </c>
      <c r="AS1002" s="8">
        <f>IF($O1002="Aktif",MAX(0,MIN($AE1002,$AD1002-SUM($AG1002:AR1002))),0)</f>
        <v>0</v>
      </c>
      <c r="AT1002" s="8">
        <f>IF($O1002="Aktif",MAX(0,MIN($AE1002,$AD1002-SUM($AG1002:AS1002))),0)</f>
        <v>0</v>
      </c>
      <c r="AU1002" s="8">
        <f>IF($O1002="Aktif",MAX(0,MIN($AE1002,$AD1002-SUM($AG1002:AT1002))),0)</f>
        <v>0</v>
      </c>
      <c r="AV1002" s="8">
        <f>IF($O1002="Aktif",MAX(0,MIN($AE1002,$AD1002-SUM($AG1002:AU1002))),0)</f>
        <v>0</v>
      </c>
      <c r="AW1002" s="8">
        <f t="shared" si="110"/>
        <v>0</v>
      </c>
      <c r="AX1002" s="8">
        <f t="shared" si="111"/>
        <v>0</v>
      </c>
    </row>
    <row r="1003" spans="1:50" ht="15" customHeight="1" x14ac:dyDescent="0.35">
      <c r="A1003" s="102">
        <v>997</v>
      </c>
      <c r="B1003" s="102" t="s">
        <v>2815</v>
      </c>
      <c r="C1003" s="103">
        <v>19</v>
      </c>
      <c r="D1003" s="102" t="s">
        <v>186</v>
      </c>
      <c r="E1003" s="102" t="s">
        <v>587</v>
      </c>
      <c r="F1003" s="102" t="s">
        <v>2816</v>
      </c>
      <c r="G1003" s="102" t="s">
        <v>2817</v>
      </c>
      <c r="H1003" s="102" t="s">
        <v>2818</v>
      </c>
      <c r="I1003" s="102" t="s">
        <v>63</v>
      </c>
      <c r="J1003" s="102"/>
      <c r="K1003" s="102" t="s">
        <v>591</v>
      </c>
      <c r="L1003" s="102" t="s">
        <v>1333</v>
      </c>
      <c r="M1003" s="102" t="s">
        <v>2819</v>
      </c>
      <c r="N1003" s="102" t="s">
        <v>1334</v>
      </c>
      <c r="O1003" s="102" t="s">
        <v>487</v>
      </c>
      <c r="P1003" s="103">
        <v>1</v>
      </c>
      <c r="Q1003" s="105">
        <v>-2950000</v>
      </c>
      <c r="R1003" s="102"/>
      <c r="S1003" s="105">
        <v>0</v>
      </c>
      <c r="T1003" s="105">
        <v>-2950000</v>
      </c>
      <c r="U1003" s="105">
        <v>0</v>
      </c>
      <c r="V1003" s="105">
        <v>0</v>
      </c>
      <c r="W1003" s="105">
        <v>0</v>
      </c>
      <c r="X1003" s="105">
        <v>0</v>
      </c>
      <c r="Y1003" s="105">
        <v>0</v>
      </c>
      <c r="Z1003" s="105">
        <v>0</v>
      </c>
      <c r="AA1003" s="105">
        <v>0</v>
      </c>
      <c r="AB1003" s="105">
        <v>0</v>
      </c>
      <c r="AC1003" s="8">
        <f t="shared" si="105"/>
        <v>-2950000</v>
      </c>
      <c r="AD1003" s="8">
        <f t="shared" si="106"/>
        <v>0</v>
      </c>
      <c r="AE1003" s="8">
        <f t="shared" si="107"/>
        <v>0</v>
      </c>
      <c r="AF1003" s="106">
        <f t="shared" si="108"/>
        <v>0</v>
      </c>
      <c r="AG1003" s="8">
        <f t="shared" si="109"/>
        <v>0</v>
      </c>
      <c r="AH1003" s="8">
        <f>IF($O1003="Aktif",MAX(0,MIN($AE1003,$AD1003-SUM($AG1003:AG1003))),0)</f>
        <v>0</v>
      </c>
      <c r="AI1003" s="8">
        <f>IF($O1003="Aktif",MAX(0,MIN($AE1003,$AD1003-SUM($AG1003:AH1003))),0)</f>
        <v>0</v>
      </c>
      <c r="AJ1003" s="8">
        <f>IF($O1003="Aktif",MAX(0,MIN($AE1003,$AD1003-SUM($AG1003:AI1003))),0)</f>
        <v>0</v>
      </c>
      <c r="AK1003" s="8">
        <f>IF($O1003="Aktif",MAX(0,MIN($AE1003,$AD1003-SUM($AG1003:AJ1003))),0)</f>
        <v>0</v>
      </c>
      <c r="AL1003" s="8">
        <f>IF($O1003="Aktif",MAX(0,MIN($AE1003,$AD1003-SUM($AG1003:AK1003))),0)</f>
        <v>0</v>
      </c>
      <c r="AM1003" s="8">
        <f>IF($O1003="Aktif",MAX(0,MIN($AE1003,$AD1003-SUM($AG1003:AL1003))),0)</f>
        <v>0</v>
      </c>
      <c r="AN1003" s="8">
        <f>IF($O1003="Aktif",MAX(0,MIN($AE1003,$AD1003-SUM($AG1003:AM1003))),0)</f>
        <v>0</v>
      </c>
      <c r="AO1003" s="8">
        <f>IF($O1003="Aktif",MAX(0,MIN($AE1003,$AD1003-SUM($AG1003:AN1003))),0)</f>
        <v>0</v>
      </c>
      <c r="AP1003" s="8">
        <f>IF($O1003="Aktif",MAX(0,MIN($AE1003,$AD1003-SUM($AG1003:AO1003))),0)</f>
        <v>0</v>
      </c>
      <c r="AQ1003" s="8">
        <f>IF($O1003="Aktif",MAX(0,MIN($AE1003,$AD1003-SUM($AG1003:AP1003))),0)</f>
        <v>0</v>
      </c>
      <c r="AR1003" s="8">
        <f>IF($O1003="Aktif",MAX(0,MIN($AE1003,$AD1003-SUM($AG1003:AQ1003))),0)</f>
        <v>0</v>
      </c>
      <c r="AS1003" s="8">
        <f>IF($O1003="Aktif",MAX(0,MIN($AE1003,$AD1003-SUM($AG1003:AR1003))),0)</f>
        <v>0</v>
      </c>
      <c r="AT1003" s="8">
        <f>IF($O1003="Aktif",MAX(0,MIN($AE1003,$AD1003-SUM($AG1003:AS1003))),0)</f>
        <v>0</v>
      </c>
      <c r="AU1003" s="8">
        <f>IF($O1003="Aktif",MAX(0,MIN($AE1003,$AD1003-SUM($AG1003:AT1003))),0)</f>
        <v>0</v>
      </c>
      <c r="AV1003" s="8">
        <f>IF($O1003="Aktif",MAX(0,MIN($AE1003,$AD1003-SUM($AG1003:AU1003))),0)</f>
        <v>0</v>
      </c>
      <c r="AW1003" s="8">
        <f t="shared" si="110"/>
        <v>0</v>
      </c>
      <c r="AX1003" s="8">
        <f t="shared" si="111"/>
        <v>0</v>
      </c>
    </row>
    <row r="1004" spans="1:50" ht="15" customHeight="1" x14ac:dyDescent="0.35">
      <c r="A1004" s="102">
        <v>998</v>
      </c>
      <c r="B1004" s="102" t="s">
        <v>2815</v>
      </c>
      <c r="C1004" s="103">
        <v>20</v>
      </c>
      <c r="D1004" s="102" t="s">
        <v>186</v>
      </c>
      <c r="E1004" s="102" t="s">
        <v>587</v>
      </c>
      <c r="F1004" s="102" t="s">
        <v>2816</v>
      </c>
      <c r="G1004" s="102" t="s">
        <v>2817</v>
      </c>
      <c r="H1004" s="102" t="s">
        <v>2818</v>
      </c>
      <c r="I1004" s="102" t="s">
        <v>63</v>
      </c>
      <c r="J1004" s="102"/>
      <c r="K1004" s="102" t="s">
        <v>591</v>
      </c>
      <c r="L1004" s="102" t="s">
        <v>2829</v>
      </c>
      <c r="M1004" s="102" t="s">
        <v>2830</v>
      </c>
      <c r="N1004" s="102" t="s">
        <v>2831</v>
      </c>
      <c r="O1004" s="102" t="s">
        <v>383</v>
      </c>
      <c r="P1004" s="103">
        <v>1</v>
      </c>
      <c r="Q1004" s="105">
        <v>289162499</v>
      </c>
      <c r="R1004" s="103">
        <v>48</v>
      </c>
      <c r="S1004" s="105">
        <v>0</v>
      </c>
      <c r="T1004" s="105">
        <v>289162499</v>
      </c>
      <c r="U1004" s="105">
        <v>0</v>
      </c>
      <c r="V1004" s="105">
        <v>0</v>
      </c>
      <c r="W1004" s="105">
        <v>0</v>
      </c>
      <c r="X1004" s="105">
        <v>0</v>
      </c>
      <c r="Y1004" s="105">
        <v>0</v>
      </c>
      <c r="Z1004" s="105">
        <v>0</v>
      </c>
      <c r="AA1004" s="105">
        <v>0</v>
      </c>
      <c r="AB1004" s="105">
        <v>0</v>
      </c>
      <c r="AC1004" s="8">
        <f t="shared" si="105"/>
        <v>289162499</v>
      </c>
      <c r="AD1004" s="8">
        <f t="shared" si="106"/>
        <v>0</v>
      </c>
      <c r="AE1004" s="8">
        <f t="shared" si="107"/>
        <v>0</v>
      </c>
      <c r="AF1004" s="106">
        <f t="shared" si="108"/>
        <v>0</v>
      </c>
      <c r="AG1004" s="8">
        <f t="shared" si="109"/>
        <v>0</v>
      </c>
      <c r="AH1004" s="8">
        <f>IF($O1004="Aktif",MAX(0,MIN($AE1004,$AD1004-SUM($AG1004:AG1004))),0)</f>
        <v>0</v>
      </c>
      <c r="AI1004" s="8">
        <f>IF($O1004="Aktif",MAX(0,MIN($AE1004,$AD1004-SUM($AG1004:AH1004))),0)</f>
        <v>0</v>
      </c>
      <c r="AJ1004" s="8">
        <f>IF($O1004="Aktif",MAX(0,MIN($AE1004,$AD1004-SUM($AG1004:AI1004))),0)</f>
        <v>0</v>
      </c>
      <c r="AK1004" s="8">
        <f>IF($O1004="Aktif",MAX(0,MIN($AE1004,$AD1004-SUM($AG1004:AJ1004))),0)</f>
        <v>0</v>
      </c>
      <c r="AL1004" s="8">
        <f>IF($O1004="Aktif",MAX(0,MIN($AE1004,$AD1004-SUM($AG1004:AK1004))),0)</f>
        <v>0</v>
      </c>
      <c r="AM1004" s="8">
        <f>IF($O1004="Aktif",MAX(0,MIN($AE1004,$AD1004-SUM($AG1004:AL1004))),0)</f>
        <v>0</v>
      </c>
      <c r="AN1004" s="8">
        <f>IF($O1004="Aktif",MAX(0,MIN($AE1004,$AD1004-SUM($AG1004:AM1004))),0)</f>
        <v>0</v>
      </c>
      <c r="AO1004" s="8">
        <f>IF($O1004="Aktif",MAX(0,MIN($AE1004,$AD1004-SUM($AG1004:AN1004))),0)</f>
        <v>0</v>
      </c>
      <c r="AP1004" s="8">
        <f>IF($O1004="Aktif",MAX(0,MIN($AE1004,$AD1004-SUM($AG1004:AO1004))),0)</f>
        <v>0</v>
      </c>
      <c r="AQ1004" s="8">
        <f>IF($O1004="Aktif",MAX(0,MIN($AE1004,$AD1004-SUM($AG1004:AP1004))),0)</f>
        <v>0</v>
      </c>
      <c r="AR1004" s="8">
        <f>IF($O1004="Aktif",MAX(0,MIN($AE1004,$AD1004-SUM($AG1004:AQ1004))),0)</f>
        <v>0</v>
      </c>
      <c r="AS1004" s="8">
        <f>IF($O1004="Aktif",MAX(0,MIN($AE1004,$AD1004-SUM($AG1004:AR1004))),0)</f>
        <v>0</v>
      </c>
      <c r="AT1004" s="8">
        <f>IF($O1004="Aktif",MAX(0,MIN($AE1004,$AD1004-SUM($AG1004:AS1004))),0)</f>
        <v>0</v>
      </c>
      <c r="AU1004" s="8">
        <f>IF($O1004="Aktif",MAX(0,MIN($AE1004,$AD1004-SUM($AG1004:AT1004))),0)</f>
        <v>0</v>
      </c>
      <c r="AV1004" s="8">
        <f>IF($O1004="Aktif",MAX(0,MIN($AE1004,$AD1004-SUM($AG1004:AU1004))),0)</f>
        <v>0</v>
      </c>
      <c r="AW1004" s="8">
        <f t="shared" si="110"/>
        <v>0</v>
      </c>
      <c r="AX1004" s="8">
        <f t="shared" si="111"/>
        <v>0</v>
      </c>
    </row>
    <row r="1005" spans="1:50" ht="15" customHeight="1" x14ac:dyDescent="0.35">
      <c r="A1005" s="102">
        <v>999</v>
      </c>
      <c r="B1005" s="102" t="s">
        <v>2815</v>
      </c>
      <c r="C1005" s="103">
        <v>21</v>
      </c>
      <c r="D1005" s="102" t="s">
        <v>186</v>
      </c>
      <c r="E1005" s="102" t="s">
        <v>587</v>
      </c>
      <c r="F1005" s="102" t="s">
        <v>2816</v>
      </c>
      <c r="G1005" s="102" t="s">
        <v>2817</v>
      </c>
      <c r="H1005" s="102" t="s">
        <v>2818</v>
      </c>
      <c r="I1005" s="102" t="s">
        <v>63</v>
      </c>
      <c r="J1005" s="102"/>
      <c r="K1005" s="102" t="s">
        <v>591</v>
      </c>
      <c r="L1005" s="102" t="s">
        <v>1333</v>
      </c>
      <c r="M1005" s="102" t="s">
        <v>2819</v>
      </c>
      <c r="N1005" s="102" t="s">
        <v>1334</v>
      </c>
      <c r="O1005" s="102" t="s">
        <v>487</v>
      </c>
      <c r="P1005" s="103">
        <v>1</v>
      </c>
      <c r="Q1005" s="105">
        <v>-289162499</v>
      </c>
      <c r="R1005" s="102"/>
      <c r="S1005" s="105">
        <v>0</v>
      </c>
      <c r="T1005" s="105">
        <v>-289162499</v>
      </c>
      <c r="U1005" s="105">
        <v>0</v>
      </c>
      <c r="V1005" s="105">
        <v>0</v>
      </c>
      <c r="W1005" s="105">
        <v>0</v>
      </c>
      <c r="X1005" s="105">
        <v>0</v>
      </c>
      <c r="Y1005" s="105">
        <v>0</v>
      </c>
      <c r="Z1005" s="105">
        <v>0</v>
      </c>
      <c r="AA1005" s="105">
        <v>0</v>
      </c>
      <c r="AB1005" s="105">
        <v>0</v>
      </c>
      <c r="AC1005" s="8">
        <f t="shared" si="105"/>
        <v>-289162499</v>
      </c>
      <c r="AD1005" s="8">
        <f t="shared" si="106"/>
        <v>0</v>
      </c>
      <c r="AE1005" s="8">
        <f t="shared" si="107"/>
        <v>0</v>
      </c>
      <c r="AF1005" s="106">
        <f t="shared" si="108"/>
        <v>0</v>
      </c>
      <c r="AG1005" s="8">
        <f t="shared" si="109"/>
        <v>0</v>
      </c>
      <c r="AH1005" s="8">
        <f>IF($O1005="Aktif",MAX(0,MIN($AE1005,$AD1005-SUM($AG1005:AG1005))),0)</f>
        <v>0</v>
      </c>
      <c r="AI1005" s="8">
        <f>IF($O1005="Aktif",MAX(0,MIN($AE1005,$AD1005-SUM($AG1005:AH1005))),0)</f>
        <v>0</v>
      </c>
      <c r="AJ1005" s="8">
        <f>IF($O1005="Aktif",MAX(0,MIN($AE1005,$AD1005-SUM($AG1005:AI1005))),0)</f>
        <v>0</v>
      </c>
      <c r="AK1005" s="8">
        <f>IF($O1005="Aktif",MAX(0,MIN($AE1005,$AD1005-SUM($AG1005:AJ1005))),0)</f>
        <v>0</v>
      </c>
      <c r="AL1005" s="8">
        <f>IF($O1005="Aktif",MAX(0,MIN($AE1005,$AD1005-SUM($AG1005:AK1005))),0)</f>
        <v>0</v>
      </c>
      <c r="AM1005" s="8">
        <f>IF($O1005="Aktif",MAX(0,MIN($AE1005,$AD1005-SUM($AG1005:AL1005))),0)</f>
        <v>0</v>
      </c>
      <c r="AN1005" s="8">
        <f>IF($O1005="Aktif",MAX(0,MIN($AE1005,$AD1005-SUM($AG1005:AM1005))),0)</f>
        <v>0</v>
      </c>
      <c r="AO1005" s="8">
        <f>IF($O1005="Aktif",MAX(0,MIN($AE1005,$AD1005-SUM($AG1005:AN1005))),0)</f>
        <v>0</v>
      </c>
      <c r="AP1005" s="8">
        <f>IF($O1005="Aktif",MAX(0,MIN($AE1005,$AD1005-SUM($AG1005:AO1005))),0)</f>
        <v>0</v>
      </c>
      <c r="AQ1005" s="8">
        <f>IF($O1005="Aktif",MAX(0,MIN($AE1005,$AD1005-SUM($AG1005:AP1005))),0)</f>
        <v>0</v>
      </c>
      <c r="AR1005" s="8">
        <f>IF($O1005="Aktif",MAX(0,MIN($AE1005,$AD1005-SUM($AG1005:AQ1005))),0)</f>
        <v>0</v>
      </c>
      <c r="AS1005" s="8">
        <f>IF($O1005="Aktif",MAX(0,MIN($AE1005,$AD1005-SUM($AG1005:AR1005))),0)</f>
        <v>0</v>
      </c>
      <c r="AT1005" s="8">
        <f>IF($O1005="Aktif",MAX(0,MIN($AE1005,$AD1005-SUM($AG1005:AS1005))),0)</f>
        <v>0</v>
      </c>
      <c r="AU1005" s="8">
        <f>IF($O1005="Aktif",MAX(0,MIN($AE1005,$AD1005-SUM($AG1005:AT1005))),0)</f>
        <v>0</v>
      </c>
      <c r="AV1005" s="8">
        <f>IF($O1005="Aktif",MAX(0,MIN($AE1005,$AD1005-SUM($AG1005:AU1005))),0)</f>
        <v>0</v>
      </c>
      <c r="AW1005" s="8">
        <f t="shared" si="110"/>
        <v>0</v>
      </c>
      <c r="AX1005" s="8">
        <f t="shared" si="111"/>
        <v>0</v>
      </c>
    </row>
    <row r="1006" spans="1:50" ht="15" customHeight="1" x14ac:dyDescent="0.35">
      <c r="A1006" s="102">
        <v>1000</v>
      </c>
      <c r="B1006" s="102" t="s">
        <v>2815</v>
      </c>
      <c r="C1006" s="103">
        <v>22</v>
      </c>
      <c r="D1006" s="102" t="s">
        <v>186</v>
      </c>
      <c r="E1006" s="102" t="s">
        <v>587</v>
      </c>
      <c r="F1006" s="102" t="s">
        <v>2816</v>
      </c>
      <c r="G1006" s="102" t="s">
        <v>2817</v>
      </c>
      <c r="H1006" s="102" t="s">
        <v>2818</v>
      </c>
      <c r="I1006" s="102" t="s">
        <v>63</v>
      </c>
      <c r="J1006" s="102"/>
      <c r="K1006" s="102" t="s">
        <v>591</v>
      </c>
      <c r="L1006" s="102" t="s">
        <v>2832</v>
      </c>
      <c r="M1006" s="102" t="s">
        <v>2833</v>
      </c>
      <c r="N1006" s="102" t="s">
        <v>2834</v>
      </c>
      <c r="O1006" s="102" t="s">
        <v>383</v>
      </c>
      <c r="P1006" s="103">
        <v>1</v>
      </c>
      <c r="Q1006" s="105">
        <v>22550000</v>
      </c>
      <c r="R1006" s="103">
        <v>48</v>
      </c>
      <c r="S1006" s="105">
        <v>0</v>
      </c>
      <c r="T1006" s="105">
        <v>22550000</v>
      </c>
      <c r="U1006" s="105">
        <v>0</v>
      </c>
      <c r="V1006" s="105">
        <v>0</v>
      </c>
      <c r="W1006" s="105">
        <v>0</v>
      </c>
      <c r="X1006" s="105">
        <v>0</v>
      </c>
      <c r="Y1006" s="105">
        <v>0</v>
      </c>
      <c r="Z1006" s="105">
        <v>0</v>
      </c>
      <c r="AA1006" s="105">
        <v>0</v>
      </c>
      <c r="AB1006" s="105">
        <v>0</v>
      </c>
      <c r="AC1006" s="8">
        <f t="shared" si="105"/>
        <v>22550000</v>
      </c>
      <c r="AD1006" s="8">
        <f t="shared" si="106"/>
        <v>0</v>
      </c>
      <c r="AE1006" s="8">
        <f t="shared" si="107"/>
        <v>0</v>
      </c>
      <c r="AF1006" s="106">
        <f t="shared" si="108"/>
        <v>0</v>
      </c>
      <c r="AG1006" s="8">
        <f t="shared" si="109"/>
        <v>0</v>
      </c>
      <c r="AH1006" s="8">
        <f>IF($O1006="Aktif",MAX(0,MIN($AE1006,$AD1006-SUM($AG1006:AG1006))),0)</f>
        <v>0</v>
      </c>
      <c r="AI1006" s="8">
        <f>IF($O1006="Aktif",MAX(0,MIN($AE1006,$AD1006-SUM($AG1006:AH1006))),0)</f>
        <v>0</v>
      </c>
      <c r="AJ1006" s="8">
        <f>IF($O1006="Aktif",MAX(0,MIN($AE1006,$AD1006-SUM($AG1006:AI1006))),0)</f>
        <v>0</v>
      </c>
      <c r="AK1006" s="8">
        <f>IF($O1006="Aktif",MAX(0,MIN($AE1006,$AD1006-SUM($AG1006:AJ1006))),0)</f>
        <v>0</v>
      </c>
      <c r="AL1006" s="8">
        <f>IF($O1006="Aktif",MAX(0,MIN($AE1006,$AD1006-SUM($AG1006:AK1006))),0)</f>
        <v>0</v>
      </c>
      <c r="AM1006" s="8">
        <f>IF($O1006="Aktif",MAX(0,MIN($AE1006,$AD1006-SUM($AG1006:AL1006))),0)</f>
        <v>0</v>
      </c>
      <c r="AN1006" s="8">
        <f>IF($O1006="Aktif",MAX(0,MIN($AE1006,$AD1006-SUM($AG1006:AM1006))),0)</f>
        <v>0</v>
      </c>
      <c r="AO1006" s="8">
        <f>IF($O1006="Aktif",MAX(0,MIN($AE1006,$AD1006-SUM($AG1006:AN1006))),0)</f>
        <v>0</v>
      </c>
      <c r="AP1006" s="8">
        <f>IF($O1006="Aktif",MAX(0,MIN($AE1006,$AD1006-SUM($AG1006:AO1006))),0)</f>
        <v>0</v>
      </c>
      <c r="AQ1006" s="8">
        <f>IF($O1006="Aktif",MAX(0,MIN($AE1006,$AD1006-SUM($AG1006:AP1006))),0)</f>
        <v>0</v>
      </c>
      <c r="AR1006" s="8">
        <f>IF($O1006="Aktif",MAX(0,MIN($AE1006,$AD1006-SUM($AG1006:AQ1006))),0)</f>
        <v>0</v>
      </c>
      <c r="AS1006" s="8">
        <f>IF($O1006="Aktif",MAX(0,MIN($AE1006,$AD1006-SUM($AG1006:AR1006))),0)</f>
        <v>0</v>
      </c>
      <c r="AT1006" s="8">
        <f>IF($O1006="Aktif",MAX(0,MIN($AE1006,$AD1006-SUM($AG1006:AS1006))),0)</f>
        <v>0</v>
      </c>
      <c r="AU1006" s="8">
        <f>IF($O1006="Aktif",MAX(0,MIN($AE1006,$AD1006-SUM($AG1006:AT1006))),0)</f>
        <v>0</v>
      </c>
      <c r="AV1006" s="8">
        <f>IF($O1006="Aktif",MAX(0,MIN($AE1006,$AD1006-SUM($AG1006:AU1006))),0)</f>
        <v>0</v>
      </c>
      <c r="AW1006" s="8">
        <f t="shared" si="110"/>
        <v>0</v>
      </c>
      <c r="AX1006" s="8">
        <f t="shared" si="111"/>
        <v>0</v>
      </c>
    </row>
    <row r="1007" spans="1:50" ht="15" customHeight="1" x14ac:dyDescent="0.35">
      <c r="A1007" s="102">
        <v>1001</v>
      </c>
      <c r="B1007" s="102" t="s">
        <v>2815</v>
      </c>
      <c r="C1007" s="103">
        <v>23</v>
      </c>
      <c r="D1007" s="102" t="s">
        <v>186</v>
      </c>
      <c r="E1007" s="102" t="s">
        <v>587</v>
      </c>
      <c r="F1007" s="102" t="s">
        <v>2816</v>
      </c>
      <c r="G1007" s="102" t="s">
        <v>2817</v>
      </c>
      <c r="H1007" s="102" t="s">
        <v>2818</v>
      </c>
      <c r="I1007" s="102" t="s">
        <v>63</v>
      </c>
      <c r="J1007" s="102"/>
      <c r="K1007" s="102" t="s">
        <v>591</v>
      </c>
      <c r="L1007" s="102" t="s">
        <v>1333</v>
      </c>
      <c r="M1007" s="102" t="s">
        <v>2819</v>
      </c>
      <c r="N1007" s="102" t="s">
        <v>1334</v>
      </c>
      <c r="O1007" s="102" t="s">
        <v>487</v>
      </c>
      <c r="P1007" s="103">
        <v>1</v>
      </c>
      <c r="Q1007" s="105">
        <v>-22550000</v>
      </c>
      <c r="R1007" s="102"/>
      <c r="S1007" s="105">
        <v>0</v>
      </c>
      <c r="T1007" s="105">
        <v>-22550000</v>
      </c>
      <c r="U1007" s="105">
        <v>0</v>
      </c>
      <c r="V1007" s="105">
        <v>0</v>
      </c>
      <c r="W1007" s="105">
        <v>0</v>
      </c>
      <c r="X1007" s="105">
        <v>0</v>
      </c>
      <c r="Y1007" s="105">
        <v>0</v>
      </c>
      <c r="Z1007" s="105">
        <v>0</v>
      </c>
      <c r="AA1007" s="105">
        <v>0</v>
      </c>
      <c r="AB1007" s="105">
        <v>0</v>
      </c>
      <c r="AC1007" s="8">
        <f t="shared" si="105"/>
        <v>-22550000</v>
      </c>
      <c r="AD1007" s="8">
        <f t="shared" si="106"/>
        <v>0</v>
      </c>
      <c r="AE1007" s="8">
        <f t="shared" si="107"/>
        <v>0</v>
      </c>
      <c r="AF1007" s="106">
        <f t="shared" si="108"/>
        <v>0</v>
      </c>
      <c r="AG1007" s="8">
        <f t="shared" si="109"/>
        <v>0</v>
      </c>
      <c r="AH1007" s="8">
        <f>IF($O1007="Aktif",MAX(0,MIN($AE1007,$AD1007-SUM($AG1007:AG1007))),0)</f>
        <v>0</v>
      </c>
      <c r="AI1007" s="8">
        <f>IF($O1007="Aktif",MAX(0,MIN($AE1007,$AD1007-SUM($AG1007:AH1007))),0)</f>
        <v>0</v>
      </c>
      <c r="AJ1007" s="8">
        <f>IF($O1007="Aktif",MAX(0,MIN($AE1007,$AD1007-SUM($AG1007:AI1007))),0)</f>
        <v>0</v>
      </c>
      <c r="AK1007" s="8">
        <f>IF($O1007="Aktif",MAX(0,MIN($AE1007,$AD1007-SUM($AG1007:AJ1007))),0)</f>
        <v>0</v>
      </c>
      <c r="AL1007" s="8">
        <f>IF($O1007="Aktif",MAX(0,MIN($AE1007,$AD1007-SUM($AG1007:AK1007))),0)</f>
        <v>0</v>
      </c>
      <c r="AM1007" s="8">
        <f>IF($O1007="Aktif",MAX(0,MIN($AE1007,$AD1007-SUM($AG1007:AL1007))),0)</f>
        <v>0</v>
      </c>
      <c r="AN1007" s="8">
        <f>IF($O1007="Aktif",MAX(0,MIN($AE1007,$AD1007-SUM($AG1007:AM1007))),0)</f>
        <v>0</v>
      </c>
      <c r="AO1007" s="8">
        <f>IF($O1007="Aktif",MAX(0,MIN($AE1007,$AD1007-SUM($AG1007:AN1007))),0)</f>
        <v>0</v>
      </c>
      <c r="AP1007" s="8">
        <f>IF($O1007="Aktif",MAX(0,MIN($AE1007,$AD1007-SUM($AG1007:AO1007))),0)</f>
        <v>0</v>
      </c>
      <c r="AQ1007" s="8">
        <f>IF($O1007="Aktif",MAX(0,MIN($AE1007,$AD1007-SUM($AG1007:AP1007))),0)</f>
        <v>0</v>
      </c>
      <c r="AR1007" s="8">
        <f>IF($O1007="Aktif",MAX(0,MIN($AE1007,$AD1007-SUM($AG1007:AQ1007))),0)</f>
        <v>0</v>
      </c>
      <c r="AS1007" s="8">
        <f>IF($O1007="Aktif",MAX(0,MIN($AE1007,$AD1007-SUM($AG1007:AR1007))),0)</f>
        <v>0</v>
      </c>
      <c r="AT1007" s="8">
        <f>IF($O1007="Aktif",MAX(0,MIN($AE1007,$AD1007-SUM($AG1007:AS1007))),0)</f>
        <v>0</v>
      </c>
      <c r="AU1007" s="8">
        <f>IF($O1007="Aktif",MAX(0,MIN($AE1007,$AD1007-SUM($AG1007:AT1007))),0)</f>
        <v>0</v>
      </c>
      <c r="AV1007" s="8">
        <f>IF($O1007="Aktif",MAX(0,MIN($AE1007,$AD1007-SUM($AG1007:AU1007))),0)</f>
        <v>0</v>
      </c>
      <c r="AW1007" s="8">
        <f t="shared" si="110"/>
        <v>0</v>
      </c>
      <c r="AX1007" s="8">
        <f t="shared" si="111"/>
        <v>0</v>
      </c>
    </row>
    <row r="1008" spans="1:50" ht="15" customHeight="1" x14ac:dyDescent="0.35">
      <c r="A1008" s="102">
        <v>1002</v>
      </c>
      <c r="B1008" s="102" t="s">
        <v>2815</v>
      </c>
      <c r="C1008" s="103">
        <v>24</v>
      </c>
      <c r="D1008" s="102" t="s">
        <v>186</v>
      </c>
      <c r="E1008" s="102" t="s">
        <v>587</v>
      </c>
      <c r="F1008" s="102" t="s">
        <v>2816</v>
      </c>
      <c r="G1008" s="102" t="s">
        <v>2817</v>
      </c>
      <c r="H1008" s="102" t="s">
        <v>2818</v>
      </c>
      <c r="I1008" s="102" t="s">
        <v>63</v>
      </c>
      <c r="J1008" s="102"/>
      <c r="K1008" s="102" t="s">
        <v>591</v>
      </c>
      <c r="L1008" s="102" t="s">
        <v>2832</v>
      </c>
      <c r="M1008" s="102" t="s">
        <v>2835</v>
      </c>
      <c r="N1008" s="102" t="s">
        <v>2836</v>
      </c>
      <c r="O1008" s="102" t="s">
        <v>383</v>
      </c>
      <c r="P1008" s="103">
        <v>1</v>
      </c>
      <c r="Q1008" s="105">
        <v>34650000</v>
      </c>
      <c r="R1008" s="103">
        <v>48</v>
      </c>
      <c r="S1008" s="105">
        <v>0</v>
      </c>
      <c r="T1008" s="105">
        <v>34650000</v>
      </c>
      <c r="U1008" s="105">
        <v>0</v>
      </c>
      <c r="V1008" s="105">
        <v>0</v>
      </c>
      <c r="W1008" s="105">
        <v>0</v>
      </c>
      <c r="X1008" s="105">
        <v>0</v>
      </c>
      <c r="Y1008" s="105">
        <v>0</v>
      </c>
      <c r="Z1008" s="105">
        <v>0</v>
      </c>
      <c r="AA1008" s="105">
        <v>0</v>
      </c>
      <c r="AB1008" s="105">
        <v>0</v>
      </c>
      <c r="AC1008" s="8">
        <f t="shared" si="105"/>
        <v>34650000</v>
      </c>
      <c r="AD1008" s="8">
        <f t="shared" si="106"/>
        <v>0</v>
      </c>
      <c r="AE1008" s="8">
        <f t="shared" si="107"/>
        <v>0</v>
      </c>
      <c r="AF1008" s="106">
        <f t="shared" si="108"/>
        <v>0</v>
      </c>
      <c r="AG1008" s="8">
        <f t="shared" si="109"/>
        <v>0</v>
      </c>
      <c r="AH1008" s="8">
        <f>IF($O1008="Aktif",MAX(0,MIN($AE1008,$AD1008-SUM($AG1008:AG1008))),0)</f>
        <v>0</v>
      </c>
      <c r="AI1008" s="8">
        <f>IF($O1008="Aktif",MAX(0,MIN($AE1008,$AD1008-SUM($AG1008:AH1008))),0)</f>
        <v>0</v>
      </c>
      <c r="AJ1008" s="8">
        <f>IF($O1008="Aktif",MAX(0,MIN($AE1008,$AD1008-SUM($AG1008:AI1008))),0)</f>
        <v>0</v>
      </c>
      <c r="AK1008" s="8">
        <f>IF($O1008="Aktif",MAX(0,MIN($AE1008,$AD1008-SUM($AG1008:AJ1008))),0)</f>
        <v>0</v>
      </c>
      <c r="AL1008" s="8">
        <f>IF($O1008="Aktif",MAX(0,MIN($AE1008,$AD1008-SUM($AG1008:AK1008))),0)</f>
        <v>0</v>
      </c>
      <c r="AM1008" s="8">
        <f>IF($O1008="Aktif",MAX(0,MIN($AE1008,$AD1008-SUM($AG1008:AL1008))),0)</f>
        <v>0</v>
      </c>
      <c r="AN1008" s="8">
        <f>IF($O1008="Aktif",MAX(0,MIN($AE1008,$AD1008-SUM($AG1008:AM1008))),0)</f>
        <v>0</v>
      </c>
      <c r="AO1008" s="8">
        <f>IF($O1008="Aktif",MAX(0,MIN($AE1008,$AD1008-SUM($AG1008:AN1008))),0)</f>
        <v>0</v>
      </c>
      <c r="AP1008" s="8">
        <f>IF($O1008="Aktif",MAX(0,MIN($AE1008,$AD1008-SUM($AG1008:AO1008))),0)</f>
        <v>0</v>
      </c>
      <c r="AQ1008" s="8">
        <f>IF($O1008="Aktif",MAX(0,MIN($AE1008,$AD1008-SUM($AG1008:AP1008))),0)</f>
        <v>0</v>
      </c>
      <c r="AR1008" s="8">
        <f>IF($O1008="Aktif",MAX(0,MIN($AE1008,$AD1008-SUM($AG1008:AQ1008))),0)</f>
        <v>0</v>
      </c>
      <c r="AS1008" s="8">
        <f>IF($O1008="Aktif",MAX(0,MIN($AE1008,$AD1008-SUM($AG1008:AR1008))),0)</f>
        <v>0</v>
      </c>
      <c r="AT1008" s="8">
        <f>IF($O1008="Aktif",MAX(0,MIN($AE1008,$AD1008-SUM($AG1008:AS1008))),0)</f>
        <v>0</v>
      </c>
      <c r="AU1008" s="8">
        <f>IF($O1008="Aktif",MAX(0,MIN($AE1008,$AD1008-SUM($AG1008:AT1008))),0)</f>
        <v>0</v>
      </c>
      <c r="AV1008" s="8">
        <f>IF($O1008="Aktif",MAX(0,MIN($AE1008,$AD1008-SUM($AG1008:AU1008))),0)</f>
        <v>0</v>
      </c>
      <c r="AW1008" s="8">
        <f t="shared" si="110"/>
        <v>0</v>
      </c>
      <c r="AX1008" s="8">
        <f t="shared" si="111"/>
        <v>0</v>
      </c>
    </row>
    <row r="1009" spans="1:50" ht="15" customHeight="1" x14ac:dyDescent="0.35">
      <c r="A1009" s="102">
        <v>1003</v>
      </c>
      <c r="B1009" s="102" t="s">
        <v>2815</v>
      </c>
      <c r="C1009" s="103">
        <v>25</v>
      </c>
      <c r="D1009" s="102" t="s">
        <v>186</v>
      </c>
      <c r="E1009" s="102" t="s">
        <v>587</v>
      </c>
      <c r="F1009" s="102" t="s">
        <v>2816</v>
      </c>
      <c r="G1009" s="102" t="s">
        <v>2817</v>
      </c>
      <c r="H1009" s="102" t="s">
        <v>2818</v>
      </c>
      <c r="I1009" s="102" t="s">
        <v>63</v>
      </c>
      <c r="J1009" s="102"/>
      <c r="K1009" s="102" t="s">
        <v>591</v>
      </c>
      <c r="L1009" s="102" t="s">
        <v>1333</v>
      </c>
      <c r="M1009" s="102" t="s">
        <v>2819</v>
      </c>
      <c r="N1009" s="102" t="s">
        <v>1334</v>
      </c>
      <c r="O1009" s="102" t="s">
        <v>487</v>
      </c>
      <c r="P1009" s="103">
        <v>1</v>
      </c>
      <c r="Q1009" s="105">
        <v>-34650000</v>
      </c>
      <c r="R1009" s="102"/>
      <c r="S1009" s="105">
        <v>0</v>
      </c>
      <c r="T1009" s="105">
        <v>-34650000</v>
      </c>
      <c r="U1009" s="105">
        <v>0</v>
      </c>
      <c r="V1009" s="105">
        <v>0</v>
      </c>
      <c r="W1009" s="105">
        <v>0</v>
      </c>
      <c r="X1009" s="105">
        <v>0</v>
      </c>
      <c r="Y1009" s="105">
        <v>0</v>
      </c>
      <c r="Z1009" s="105">
        <v>0</v>
      </c>
      <c r="AA1009" s="105">
        <v>0</v>
      </c>
      <c r="AB1009" s="105">
        <v>0</v>
      </c>
      <c r="AC1009" s="8">
        <f t="shared" si="105"/>
        <v>-34650000</v>
      </c>
      <c r="AD1009" s="8">
        <f t="shared" si="106"/>
        <v>0</v>
      </c>
      <c r="AE1009" s="8">
        <f t="shared" si="107"/>
        <v>0</v>
      </c>
      <c r="AF1009" s="106">
        <f t="shared" si="108"/>
        <v>0</v>
      </c>
      <c r="AG1009" s="8">
        <f t="shared" si="109"/>
        <v>0</v>
      </c>
      <c r="AH1009" s="8">
        <f>IF($O1009="Aktif",MAX(0,MIN($AE1009,$AD1009-SUM($AG1009:AG1009))),0)</f>
        <v>0</v>
      </c>
      <c r="AI1009" s="8">
        <f>IF($O1009="Aktif",MAX(0,MIN($AE1009,$AD1009-SUM($AG1009:AH1009))),0)</f>
        <v>0</v>
      </c>
      <c r="AJ1009" s="8">
        <f>IF($O1009="Aktif",MAX(0,MIN($AE1009,$AD1009-SUM($AG1009:AI1009))),0)</f>
        <v>0</v>
      </c>
      <c r="AK1009" s="8">
        <f>IF($O1009="Aktif",MAX(0,MIN($AE1009,$AD1009-SUM($AG1009:AJ1009))),0)</f>
        <v>0</v>
      </c>
      <c r="AL1009" s="8">
        <f>IF($O1009="Aktif",MAX(0,MIN($AE1009,$AD1009-SUM($AG1009:AK1009))),0)</f>
        <v>0</v>
      </c>
      <c r="AM1009" s="8">
        <f>IF($O1009="Aktif",MAX(0,MIN($AE1009,$AD1009-SUM($AG1009:AL1009))),0)</f>
        <v>0</v>
      </c>
      <c r="AN1009" s="8">
        <f>IF($O1009="Aktif",MAX(0,MIN($AE1009,$AD1009-SUM($AG1009:AM1009))),0)</f>
        <v>0</v>
      </c>
      <c r="AO1009" s="8">
        <f>IF($O1009="Aktif",MAX(0,MIN($AE1009,$AD1009-SUM($AG1009:AN1009))),0)</f>
        <v>0</v>
      </c>
      <c r="AP1009" s="8">
        <f>IF($O1009="Aktif",MAX(0,MIN($AE1009,$AD1009-SUM($AG1009:AO1009))),0)</f>
        <v>0</v>
      </c>
      <c r="AQ1009" s="8">
        <f>IF($O1009="Aktif",MAX(0,MIN($AE1009,$AD1009-SUM($AG1009:AP1009))),0)</f>
        <v>0</v>
      </c>
      <c r="AR1009" s="8">
        <f>IF($O1009="Aktif",MAX(0,MIN($AE1009,$AD1009-SUM($AG1009:AQ1009))),0)</f>
        <v>0</v>
      </c>
      <c r="AS1009" s="8">
        <f>IF($O1009="Aktif",MAX(0,MIN($AE1009,$AD1009-SUM($AG1009:AR1009))),0)</f>
        <v>0</v>
      </c>
      <c r="AT1009" s="8">
        <f>IF($O1009="Aktif",MAX(0,MIN($AE1009,$AD1009-SUM($AG1009:AS1009))),0)</f>
        <v>0</v>
      </c>
      <c r="AU1009" s="8">
        <f>IF($O1009="Aktif",MAX(0,MIN($AE1009,$AD1009-SUM($AG1009:AT1009))),0)</f>
        <v>0</v>
      </c>
      <c r="AV1009" s="8">
        <f>IF($O1009="Aktif",MAX(0,MIN($AE1009,$AD1009-SUM($AG1009:AU1009))),0)</f>
        <v>0</v>
      </c>
      <c r="AW1009" s="8">
        <f t="shared" si="110"/>
        <v>0</v>
      </c>
      <c r="AX1009" s="8">
        <f t="shared" si="111"/>
        <v>0</v>
      </c>
    </row>
    <row r="1010" spans="1:50" ht="15" customHeight="1" x14ac:dyDescent="0.35">
      <c r="A1010" s="102">
        <v>1004</v>
      </c>
      <c r="B1010" s="102" t="s">
        <v>2815</v>
      </c>
      <c r="C1010" s="103">
        <v>26</v>
      </c>
      <c r="D1010" s="102" t="s">
        <v>186</v>
      </c>
      <c r="E1010" s="102" t="s">
        <v>587</v>
      </c>
      <c r="F1010" s="102" t="s">
        <v>2816</v>
      </c>
      <c r="G1010" s="102" t="s">
        <v>2817</v>
      </c>
      <c r="H1010" s="102" t="s">
        <v>2818</v>
      </c>
      <c r="I1010" s="102" t="s">
        <v>63</v>
      </c>
      <c r="J1010" s="102"/>
      <c r="K1010" s="102" t="s">
        <v>591</v>
      </c>
      <c r="L1010" s="102" t="s">
        <v>2837</v>
      </c>
      <c r="M1010" s="102" t="s">
        <v>2838</v>
      </c>
      <c r="N1010" s="102" t="s">
        <v>2839</v>
      </c>
      <c r="O1010" s="102" t="s">
        <v>383</v>
      </c>
      <c r="P1010" s="103">
        <v>1</v>
      </c>
      <c r="Q1010" s="105">
        <v>7000000</v>
      </c>
      <c r="R1010" s="103">
        <v>48</v>
      </c>
      <c r="S1010" s="105">
        <v>0</v>
      </c>
      <c r="T1010" s="105">
        <v>7000000</v>
      </c>
      <c r="U1010" s="105">
        <v>0</v>
      </c>
      <c r="V1010" s="105">
        <v>0</v>
      </c>
      <c r="W1010" s="105">
        <v>0</v>
      </c>
      <c r="X1010" s="105">
        <v>0</v>
      </c>
      <c r="Y1010" s="105">
        <v>0</v>
      </c>
      <c r="Z1010" s="105">
        <v>0</v>
      </c>
      <c r="AA1010" s="105">
        <v>0</v>
      </c>
      <c r="AB1010" s="105">
        <v>0</v>
      </c>
      <c r="AC1010" s="8">
        <f t="shared" si="105"/>
        <v>7000000</v>
      </c>
      <c r="AD1010" s="8">
        <f t="shared" si="106"/>
        <v>0</v>
      </c>
      <c r="AE1010" s="8">
        <f t="shared" si="107"/>
        <v>0</v>
      </c>
      <c r="AF1010" s="106">
        <f t="shared" si="108"/>
        <v>0</v>
      </c>
      <c r="AG1010" s="8">
        <f t="shared" si="109"/>
        <v>0</v>
      </c>
      <c r="AH1010" s="8">
        <f>IF($O1010="Aktif",MAX(0,MIN($AE1010,$AD1010-SUM($AG1010:AG1010))),0)</f>
        <v>0</v>
      </c>
      <c r="AI1010" s="8">
        <f>IF($O1010="Aktif",MAX(0,MIN($AE1010,$AD1010-SUM($AG1010:AH1010))),0)</f>
        <v>0</v>
      </c>
      <c r="AJ1010" s="8">
        <f>IF($O1010="Aktif",MAX(0,MIN($AE1010,$AD1010-SUM($AG1010:AI1010))),0)</f>
        <v>0</v>
      </c>
      <c r="AK1010" s="8">
        <f>IF($O1010="Aktif",MAX(0,MIN($AE1010,$AD1010-SUM($AG1010:AJ1010))),0)</f>
        <v>0</v>
      </c>
      <c r="AL1010" s="8">
        <f>IF($O1010="Aktif",MAX(0,MIN($AE1010,$AD1010-SUM($AG1010:AK1010))),0)</f>
        <v>0</v>
      </c>
      <c r="AM1010" s="8">
        <f>IF($O1010="Aktif",MAX(0,MIN($AE1010,$AD1010-SUM($AG1010:AL1010))),0)</f>
        <v>0</v>
      </c>
      <c r="AN1010" s="8">
        <f>IF($O1010="Aktif",MAX(0,MIN($AE1010,$AD1010-SUM($AG1010:AM1010))),0)</f>
        <v>0</v>
      </c>
      <c r="AO1010" s="8">
        <f>IF($O1010="Aktif",MAX(0,MIN($AE1010,$AD1010-SUM($AG1010:AN1010))),0)</f>
        <v>0</v>
      </c>
      <c r="AP1010" s="8">
        <f>IF($O1010="Aktif",MAX(0,MIN($AE1010,$AD1010-SUM($AG1010:AO1010))),0)</f>
        <v>0</v>
      </c>
      <c r="AQ1010" s="8">
        <f>IF($O1010="Aktif",MAX(0,MIN($AE1010,$AD1010-SUM($AG1010:AP1010))),0)</f>
        <v>0</v>
      </c>
      <c r="AR1010" s="8">
        <f>IF($O1010="Aktif",MAX(0,MIN($AE1010,$AD1010-SUM($AG1010:AQ1010))),0)</f>
        <v>0</v>
      </c>
      <c r="AS1010" s="8">
        <f>IF($O1010="Aktif",MAX(0,MIN($AE1010,$AD1010-SUM($AG1010:AR1010))),0)</f>
        <v>0</v>
      </c>
      <c r="AT1010" s="8">
        <f>IF($O1010="Aktif",MAX(0,MIN($AE1010,$AD1010-SUM($AG1010:AS1010))),0)</f>
        <v>0</v>
      </c>
      <c r="AU1010" s="8">
        <f>IF($O1010="Aktif",MAX(0,MIN($AE1010,$AD1010-SUM($AG1010:AT1010))),0)</f>
        <v>0</v>
      </c>
      <c r="AV1010" s="8">
        <f>IF($O1010="Aktif",MAX(0,MIN($AE1010,$AD1010-SUM($AG1010:AU1010))),0)</f>
        <v>0</v>
      </c>
      <c r="AW1010" s="8">
        <f t="shared" si="110"/>
        <v>0</v>
      </c>
      <c r="AX1010" s="8">
        <f t="shared" si="111"/>
        <v>0</v>
      </c>
    </row>
    <row r="1011" spans="1:50" ht="15" customHeight="1" x14ac:dyDescent="0.35">
      <c r="A1011" s="102">
        <v>1005</v>
      </c>
      <c r="B1011" s="102" t="s">
        <v>2815</v>
      </c>
      <c r="C1011" s="103">
        <v>27</v>
      </c>
      <c r="D1011" s="102" t="s">
        <v>186</v>
      </c>
      <c r="E1011" s="102" t="s">
        <v>587</v>
      </c>
      <c r="F1011" s="102" t="s">
        <v>2816</v>
      </c>
      <c r="G1011" s="102" t="s">
        <v>2817</v>
      </c>
      <c r="H1011" s="102" t="s">
        <v>2818</v>
      </c>
      <c r="I1011" s="102" t="s">
        <v>63</v>
      </c>
      <c r="J1011" s="102"/>
      <c r="K1011" s="102" t="s">
        <v>591</v>
      </c>
      <c r="L1011" s="102" t="s">
        <v>1333</v>
      </c>
      <c r="M1011" s="102" t="s">
        <v>2819</v>
      </c>
      <c r="N1011" s="102" t="s">
        <v>1334</v>
      </c>
      <c r="O1011" s="102" t="s">
        <v>487</v>
      </c>
      <c r="P1011" s="103">
        <v>1</v>
      </c>
      <c r="Q1011" s="105">
        <v>-7000000</v>
      </c>
      <c r="R1011" s="102"/>
      <c r="S1011" s="105">
        <v>0</v>
      </c>
      <c r="T1011" s="105">
        <v>-7000000</v>
      </c>
      <c r="U1011" s="105">
        <v>0</v>
      </c>
      <c r="V1011" s="105">
        <v>0</v>
      </c>
      <c r="W1011" s="105">
        <v>0</v>
      </c>
      <c r="X1011" s="105">
        <v>0</v>
      </c>
      <c r="Y1011" s="105">
        <v>0</v>
      </c>
      <c r="Z1011" s="105">
        <v>0</v>
      </c>
      <c r="AA1011" s="105">
        <v>0</v>
      </c>
      <c r="AB1011" s="105">
        <v>0</v>
      </c>
      <c r="AC1011" s="8">
        <f t="shared" si="105"/>
        <v>-7000000</v>
      </c>
      <c r="AD1011" s="8">
        <f t="shared" si="106"/>
        <v>0</v>
      </c>
      <c r="AE1011" s="8">
        <f t="shared" si="107"/>
        <v>0</v>
      </c>
      <c r="AF1011" s="106">
        <f t="shared" si="108"/>
        <v>0</v>
      </c>
      <c r="AG1011" s="8">
        <f t="shared" si="109"/>
        <v>0</v>
      </c>
      <c r="AH1011" s="8">
        <f>IF($O1011="Aktif",MAX(0,MIN($AE1011,$AD1011-SUM($AG1011:AG1011))),0)</f>
        <v>0</v>
      </c>
      <c r="AI1011" s="8">
        <f>IF($O1011="Aktif",MAX(0,MIN($AE1011,$AD1011-SUM($AG1011:AH1011))),0)</f>
        <v>0</v>
      </c>
      <c r="AJ1011" s="8">
        <f>IF($O1011="Aktif",MAX(0,MIN($AE1011,$AD1011-SUM($AG1011:AI1011))),0)</f>
        <v>0</v>
      </c>
      <c r="AK1011" s="8">
        <f>IF($O1011="Aktif",MAX(0,MIN($AE1011,$AD1011-SUM($AG1011:AJ1011))),0)</f>
        <v>0</v>
      </c>
      <c r="AL1011" s="8">
        <f>IF($O1011="Aktif",MAX(0,MIN($AE1011,$AD1011-SUM($AG1011:AK1011))),0)</f>
        <v>0</v>
      </c>
      <c r="AM1011" s="8">
        <f>IF($O1011="Aktif",MAX(0,MIN($AE1011,$AD1011-SUM($AG1011:AL1011))),0)</f>
        <v>0</v>
      </c>
      <c r="AN1011" s="8">
        <f>IF($O1011="Aktif",MAX(0,MIN($AE1011,$AD1011-SUM($AG1011:AM1011))),0)</f>
        <v>0</v>
      </c>
      <c r="AO1011" s="8">
        <f>IF($O1011="Aktif",MAX(0,MIN($AE1011,$AD1011-SUM($AG1011:AN1011))),0)</f>
        <v>0</v>
      </c>
      <c r="AP1011" s="8">
        <f>IF($O1011="Aktif",MAX(0,MIN($AE1011,$AD1011-SUM($AG1011:AO1011))),0)</f>
        <v>0</v>
      </c>
      <c r="AQ1011" s="8">
        <f>IF($O1011="Aktif",MAX(0,MIN($AE1011,$AD1011-SUM($AG1011:AP1011))),0)</f>
        <v>0</v>
      </c>
      <c r="AR1011" s="8">
        <f>IF($O1011="Aktif",MAX(0,MIN($AE1011,$AD1011-SUM($AG1011:AQ1011))),0)</f>
        <v>0</v>
      </c>
      <c r="AS1011" s="8">
        <f>IF($O1011="Aktif",MAX(0,MIN($AE1011,$AD1011-SUM($AG1011:AR1011))),0)</f>
        <v>0</v>
      </c>
      <c r="AT1011" s="8">
        <f>IF($O1011="Aktif",MAX(0,MIN($AE1011,$AD1011-SUM($AG1011:AS1011))),0)</f>
        <v>0</v>
      </c>
      <c r="AU1011" s="8">
        <f>IF($O1011="Aktif",MAX(0,MIN($AE1011,$AD1011-SUM($AG1011:AT1011))),0)</f>
        <v>0</v>
      </c>
      <c r="AV1011" s="8">
        <f>IF($O1011="Aktif",MAX(0,MIN($AE1011,$AD1011-SUM($AG1011:AU1011))),0)</f>
        <v>0</v>
      </c>
      <c r="AW1011" s="8">
        <f t="shared" si="110"/>
        <v>0</v>
      </c>
      <c r="AX1011" s="8">
        <f t="shared" si="111"/>
        <v>0</v>
      </c>
    </row>
    <row r="1012" spans="1:50" ht="15" customHeight="1" x14ac:dyDescent="0.35">
      <c r="A1012" s="102">
        <v>1006</v>
      </c>
      <c r="B1012" s="102" t="s">
        <v>2815</v>
      </c>
      <c r="C1012" s="103">
        <v>28</v>
      </c>
      <c r="D1012" s="102" t="s">
        <v>186</v>
      </c>
      <c r="E1012" s="102" t="s">
        <v>587</v>
      </c>
      <c r="F1012" s="102" t="s">
        <v>2816</v>
      </c>
      <c r="G1012" s="102" t="s">
        <v>2817</v>
      </c>
      <c r="H1012" s="102" t="s">
        <v>2818</v>
      </c>
      <c r="I1012" s="102" t="s">
        <v>63</v>
      </c>
      <c r="J1012" s="102"/>
      <c r="K1012" s="102" t="s">
        <v>591</v>
      </c>
      <c r="L1012" s="102" t="s">
        <v>2840</v>
      </c>
      <c r="M1012" s="102" t="s">
        <v>2841</v>
      </c>
      <c r="N1012" s="102" t="s">
        <v>2842</v>
      </c>
      <c r="O1012" s="102" t="s">
        <v>383</v>
      </c>
      <c r="P1012" s="103">
        <v>1</v>
      </c>
      <c r="Q1012" s="105">
        <v>24346000</v>
      </c>
      <c r="R1012" s="103">
        <v>48</v>
      </c>
      <c r="S1012" s="105">
        <v>0</v>
      </c>
      <c r="T1012" s="105">
        <v>24346000</v>
      </c>
      <c r="U1012" s="105">
        <v>0</v>
      </c>
      <c r="V1012" s="105">
        <v>0</v>
      </c>
      <c r="W1012" s="105">
        <v>0</v>
      </c>
      <c r="X1012" s="105">
        <v>0</v>
      </c>
      <c r="Y1012" s="105">
        <v>0</v>
      </c>
      <c r="Z1012" s="105">
        <v>0</v>
      </c>
      <c r="AA1012" s="105">
        <v>0</v>
      </c>
      <c r="AB1012" s="105">
        <v>0</v>
      </c>
      <c r="AC1012" s="8">
        <f t="shared" si="105"/>
        <v>24346000</v>
      </c>
      <c r="AD1012" s="8">
        <f t="shared" si="106"/>
        <v>0</v>
      </c>
      <c r="AE1012" s="8">
        <f t="shared" si="107"/>
        <v>0</v>
      </c>
      <c r="AF1012" s="106">
        <f t="shared" si="108"/>
        <v>0</v>
      </c>
      <c r="AG1012" s="8">
        <f t="shared" si="109"/>
        <v>0</v>
      </c>
      <c r="AH1012" s="8">
        <f>IF($O1012="Aktif",MAX(0,MIN($AE1012,$AD1012-SUM($AG1012:AG1012))),0)</f>
        <v>0</v>
      </c>
      <c r="AI1012" s="8">
        <f>IF($O1012="Aktif",MAX(0,MIN($AE1012,$AD1012-SUM($AG1012:AH1012))),0)</f>
        <v>0</v>
      </c>
      <c r="AJ1012" s="8">
        <f>IF($O1012="Aktif",MAX(0,MIN($AE1012,$AD1012-SUM($AG1012:AI1012))),0)</f>
        <v>0</v>
      </c>
      <c r="AK1012" s="8">
        <f>IF($O1012="Aktif",MAX(0,MIN($AE1012,$AD1012-SUM($AG1012:AJ1012))),0)</f>
        <v>0</v>
      </c>
      <c r="AL1012" s="8">
        <f>IF($O1012="Aktif",MAX(0,MIN($AE1012,$AD1012-SUM($AG1012:AK1012))),0)</f>
        <v>0</v>
      </c>
      <c r="AM1012" s="8">
        <f>IF($O1012="Aktif",MAX(0,MIN($AE1012,$AD1012-SUM($AG1012:AL1012))),0)</f>
        <v>0</v>
      </c>
      <c r="AN1012" s="8">
        <f>IF($O1012="Aktif",MAX(0,MIN($AE1012,$AD1012-SUM($AG1012:AM1012))),0)</f>
        <v>0</v>
      </c>
      <c r="AO1012" s="8">
        <f>IF($O1012="Aktif",MAX(0,MIN($AE1012,$AD1012-SUM($AG1012:AN1012))),0)</f>
        <v>0</v>
      </c>
      <c r="AP1012" s="8">
        <f>IF($O1012="Aktif",MAX(0,MIN($AE1012,$AD1012-SUM($AG1012:AO1012))),0)</f>
        <v>0</v>
      </c>
      <c r="AQ1012" s="8">
        <f>IF($O1012="Aktif",MAX(0,MIN($AE1012,$AD1012-SUM($AG1012:AP1012))),0)</f>
        <v>0</v>
      </c>
      <c r="AR1012" s="8">
        <f>IF($O1012="Aktif",MAX(0,MIN($AE1012,$AD1012-SUM($AG1012:AQ1012))),0)</f>
        <v>0</v>
      </c>
      <c r="AS1012" s="8">
        <f>IF($O1012="Aktif",MAX(0,MIN($AE1012,$AD1012-SUM($AG1012:AR1012))),0)</f>
        <v>0</v>
      </c>
      <c r="AT1012" s="8">
        <f>IF($O1012="Aktif",MAX(0,MIN($AE1012,$AD1012-SUM($AG1012:AS1012))),0)</f>
        <v>0</v>
      </c>
      <c r="AU1012" s="8">
        <f>IF($O1012="Aktif",MAX(0,MIN($AE1012,$AD1012-SUM($AG1012:AT1012))),0)</f>
        <v>0</v>
      </c>
      <c r="AV1012" s="8">
        <f>IF($O1012="Aktif",MAX(0,MIN($AE1012,$AD1012-SUM($AG1012:AU1012))),0)</f>
        <v>0</v>
      </c>
      <c r="AW1012" s="8">
        <f t="shared" si="110"/>
        <v>0</v>
      </c>
      <c r="AX1012" s="8">
        <f t="shared" si="111"/>
        <v>0</v>
      </c>
    </row>
    <row r="1013" spans="1:50" ht="15" customHeight="1" x14ac:dyDescent="0.35">
      <c r="A1013" s="102">
        <v>1007</v>
      </c>
      <c r="B1013" s="102" t="s">
        <v>2815</v>
      </c>
      <c r="C1013" s="103">
        <v>29</v>
      </c>
      <c r="D1013" s="102" t="s">
        <v>186</v>
      </c>
      <c r="E1013" s="102" t="s">
        <v>587</v>
      </c>
      <c r="F1013" s="102" t="s">
        <v>2816</v>
      </c>
      <c r="G1013" s="102" t="s">
        <v>2817</v>
      </c>
      <c r="H1013" s="102" t="s">
        <v>2818</v>
      </c>
      <c r="I1013" s="102" t="s">
        <v>63</v>
      </c>
      <c r="J1013" s="102"/>
      <c r="K1013" s="102" t="s">
        <v>591</v>
      </c>
      <c r="L1013" s="102" t="s">
        <v>1333</v>
      </c>
      <c r="M1013" s="102" t="s">
        <v>2819</v>
      </c>
      <c r="N1013" s="102" t="s">
        <v>1334</v>
      </c>
      <c r="O1013" s="102" t="s">
        <v>487</v>
      </c>
      <c r="P1013" s="103">
        <v>1</v>
      </c>
      <c r="Q1013" s="105">
        <v>-24346000</v>
      </c>
      <c r="R1013" s="102"/>
      <c r="S1013" s="105">
        <v>0</v>
      </c>
      <c r="T1013" s="105">
        <v>-24346000</v>
      </c>
      <c r="U1013" s="105">
        <v>0</v>
      </c>
      <c r="V1013" s="105">
        <v>0</v>
      </c>
      <c r="W1013" s="105">
        <v>0</v>
      </c>
      <c r="X1013" s="105">
        <v>0</v>
      </c>
      <c r="Y1013" s="105">
        <v>0</v>
      </c>
      <c r="Z1013" s="105">
        <v>0</v>
      </c>
      <c r="AA1013" s="105">
        <v>0</v>
      </c>
      <c r="AB1013" s="105">
        <v>0</v>
      </c>
      <c r="AC1013" s="8">
        <f t="shared" si="105"/>
        <v>-24346000</v>
      </c>
      <c r="AD1013" s="8">
        <f t="shared" si="106"/>
        <v>0</v>
      </c>
      <c r="AE1013" s="8">
        <f t="shared" si="107"/>
        <v>0</v>
      </c>
      <c r="AF1013" s="106">
        <f t="shared" si="108"/>
        <v>0</v>
      </c>
      <c r="AG1013" s="8">
        <f t="shared" si="109"/>
        <v>0</v>
      </c>
      <c r="AH1013" s="8">
        <f>IF($O1013="Aktif",MAX(0,MIN($AE1013,$AD1013-SUM($AG1013:AG1013))),0)</f>
        <v>0</v>
      </c>
      <c r="AI1013" s="8">
        <f>IF($O1013="Aktif",MAX(0,MIN($AE1013,$AD1013-SUM($AG1013:AH1013))),0)</f>
        <v>0</v>
      </c>
      <c r="AJ1013" s="8">
        <f>IF($O1013="Aktif",MAX(0,MIN($AE1013,$AD1013-SUM($AG1013:AI1013))),0)</f>
        <v>0</v>
      </c>
      <c r="AK1013" s="8">
        <f>IF($O1013="Aktif",MAX(0,MIN($AE1013,$AD1013-SUM($AG1013:AJ1013))),0)</f>
        <v>0</v>
      </c>
      <c r="AL1013" s="8">
        <f>IF($O1013="Aktif",MAX(0,MIN($AE1013,$AD1013-SUM($AG1013:AK1013))),0)</f>
        <v>0</v>
      </c>
      <c r="AM1013" s="8">
        <f>IF($O1013="Aktif",MAX(0,MIN($AE1013,$AD1013-SUM($AG1013:AL1013))),0)</f>
        <v>0</v>
      </c>
      <c r="AN1013" s="8">
        <f>IF($O1013="Aktif",MAX(0,MIN($AE1013,$AD1013-SUM($AG1013:AM1013))),0)</f>
        <v>0</v>
      </c>
      <c r="AO1013" s="8">
        <f>IF($O1013="Aktif",MAX(0,MIN($AE1013,$AD1013-SUM($AG1013:AN1013))),0)</f>
        <v>0</v>
      </c>
      <c r="AP1013" s="8">
        <f>IF($O1013="Aktif",MAX(0,MIN($AE1013,$AD1013-SUM($AG1013:AO1013))),0)</f>
        <v>0</v>
      </c>
      <c r="AQ1013" s="8">
        <f>IF($O1013="Aktif",MAX(0,MIN($AE1013,$AD1013-SUM($AG1013:AP1013))),0)</f>
        <v>0</v>
      </c>
      <c r="AR1013" s="8">
        <f>IF($O1013="Aktif",MAX(0,MIN($AE1013,$AD1013-SUM($AG1013:AQ1013))),0)</f>
        <v>0</v>
      </c>
      <c r="AS1013" s="8">
        <f>IF($O1013="Aktif",MAX(0,MIN($AE1013,$AD1013-SUM($AG1013:AR1013))),0)</f>
        <v>0</v>
      </c>
      <c r="AT1013" s="8">
        <f>IF($O1013="Aktif",MAX(0,MIN($AE1013,$AD1013-SUM($AG1013:AS1013))),0)</f>
        <v>0</v>
      </c>
      <c r="AU1013" s="8">
        <f>IF($O1013="Aktif",MAX(0,MIN($AE1013,$AD1013-SUM($AG1013:AT1013))),0)</f>
        <v>0</v>
      </c>
      <c r="AV1013" s="8">
        <f>IF($O1013="Aktif",MAX(0,MIN($AE1013,$AD1013-SUM($AG1013:AU1013))),0)</f>
        <v>0</v>
      </c>
      <c r="AW1013" s="8">
        <f t="shared" si="110"/>
        <v>0</v>
      </c>
      <c r="AX1013" s="8">
        <f t="shared" si="111"/>
        <v>0</v>
      </c>
    </row>
    <row r="1014" spans="1:50" ht="15" customHeight="1" x14ac:dyDescent="0.35">
      <c r="A1014" s="102">
        <v>1008</v>
      </c>
      <c r="B1014" s="102" t="s">
        <v>2815</v>
      </c>
      <c r="C1014" s="103">
        <v>30</v>
      </c>
      <c r="D1014" s="102" t="s">
        <v>186</v>
      </c>
      <c r="E1014" s="102" t="s">
        <v>587</v>
      </c>
      <c r="F1014" s="102" t="s">
        <v>2816</v>
      </c>
      <c r="G1014" s="102" t="s">
        <v>2817</v>
      </c>
      <c r="H1014" s="102" t="s">
        <v>2818</v>
      </c>
      <c r="I1014" s="102" t="s">
        <v>63</v>
      </c>
      <c r="J1014" s="102"/>
      <c r="K1014" s="102" t="s">
        <v>591</v>
      </c>
      <c r="L1014" s="102" t="s">
        <v>2843</v>
      </c>
      <c r="M1014" s="102" t="s">
        <v>2844</v>
      </c>
      <c r="N1014" s="102" t="s">
        <v>2845</v>
      </c>
      <c r="O1014" s="102" t="s">
        <v>383</v>
      </c>
      <c r="P1014" s="103">
        <v>1</v>
      </c>
      <c r="Q1014" s="105">
        <v>10000000</v>
      </c>
      <c r="R1014" s="103">
        <v>48</v>
      </c>
      <c r="S1014" s="105">
        <v>0</v>
      </c>
      <c r="T1014" s="105">
        <v>10000000</v>
      </c>
      <c r="U1014" s="105">
        <v>0</v>
      </c>
      <c r="V1014" s="105">
        <v>0</v>
      </c>
      <c r="W1014" s="105">
        <v>0</v>
      </c>
      <c r="X1014" s="105">
        <v>0</v>
      </c>
      <c r="Y1014" s="105">
        <v>0</v>
      </c>
      <c r="Z1014" s="105">
        <v>0</v>
      </c>
      <c r="AA1014" s="105">
        <v>0</v>
      </c>
      <c r="AB1014" s="105">
        <v>0</v>
      </c>
      <c r="AC1014" s="8">
        <f t="shared" si="105"/>
        <v>10000000</v>
      </c>
      <c r="AD1014" s="8">
        <f t="shared" si="106"/>
        <v>0</v>
      </c>
      <c r="AE1014" s="8">
        <f t="shared" si="107"/>
        <v>0</v>
      </c>
      <c r="AF1014" s="106">
        <f t="shared" si="108"/>
        <v>0</v>
      </c>
      <c r="AG1014" s="8">
        <f t="shared" si="109"/>
        <v>0</v>
      </c>
      <c r="AH1014" s="8">
        <f>IF($O1014="Aktif",MAX(0,MIN($AE1014,$AD1014-SUM($AG1014:AG1014))),0)</f>
        <v>0</v>
      </c>
      <c r="AI1014" s="8">
        <f>IF($O1014="Aktif",MAX(0,MIN($AE1014,$AD1014-SUM($AG1014:AH1014))),0)</f>
        <v>0</v>
      </c>
      <c r="AJ1014" s="8">
        <f>IF($O1014="Aktif",MAX(0,MIN($AE1014,$AD1014-SUM($AG1014:AI1014))),0)</f>
        <v>0</v>
      </c>
      <c r="AK1014" s="8">
        <f>IF($O1014="Aktif",MAX(0,MIN($AE1014,$AD1014-SUM($AG1014:AJ1014))),0)</f>
        <v>0</v>
      </c>
      <c r="AL1014" s="8">
        <f>IF($O1014="Aktif",MAX(0,MIN($AE1014,$AD1014-SUM($AG1014:AK1014))),0)</f>
        <v>0</v>
      </c>
      <c r="AM1014" s="8">
        <f>IF($O1014="Aktif",MAX(0,MIN($AE1014,$AD1014-SUM($AG1014:AL1014))),0)</f>
        <v>0</v>
      </c>
      <c r="AN1014" s="8">
        <f>IF($O1014="Aktif",MAX(0,MIN($AE1014,$AD1014-SUM($AG1014:AM1014))),0)</f>
        <v>0</v>
      </c>
      <c r="AO1014" s="8">
        <f>IF($O1014="Aktif",MAX(0,MIN($AE1014,$AD1014-SUM($AG1014:AN1014))),0)</f>
        <v>0</v>
      </c>
      <c r="AP1014" s="8">
        <f>IF($O1014="Aktif",MAX(0,MIN($AE1014,$AD1014-SUM($AG1014:AO1014))),0)</f>
        <v>0</v>
      </c>
      <c r="AQ1014" s="8">
        <f>IF($O1014="Aktif",MAX(0,MIN($AE1014,$AD1014-SUM($AG1014:AP1014))),0)</f>
        <v>0</v>
      </c>
      <c r="AR1014" s="8">
        <f>IF($O1014="Aktif",MAX(0,MIN($AE1014,$AD1014-SUM($AG1014:AQ1014))),0)</f>
        <v>0</v>
      </c>
      <c r="AS1014" s="8">
        <f>IF($O1014="Aktif",MAX(0,MIN($AE1014,$AD1014-SUM($AG1014:AR1014))),0)</f>
        <v>0</v>
      </c>
      <c r="AT1014" s="8">
        <f>IF($O1014="Aktif",MAX(0,MIN($AE1014,$AD1014-SUM($AG1014:AS1014))),0)</f>
        <v>0</v>
      </c>
      <c r="AU1014" s="8">
        <f>IF($O1014="Aktif",MAX(0,MIN($AE1014,$AD1014-SUM($AG1014:AT1014))),0)</f>
        <v>0</v>
      </c>
      <c r="AV1014" s="8">
        <f>IF($O1014="Aktif",MAX(0,MIN($AE1014,$AD1014-SUM($AG1014:AU1014))),0)</f>
        <v>0</v>
      </c>
      <c r="AW1014" s="8">
        <f t="shared" si="110"/>
        <v>0</v>
      </c>
      <c r="AX1014" s="8">
        <f t="shared" si="111"/>
        <v>0</v>
      </c>
    </row>
    <row r="1015" spans="1:50" ht="15" customHeight="1" x14ac:dyDescent="0.35">
      <c r="A1015" s="102">
        <v>1009</v>
      </c>
      <c r="B1015" s="102" t="s">
        <v>2815</v>
      </c>
      <c r="C1015" s="103">
        <v>31</v>
      </c>
      <c r="D1015" s="102" t="s">
        <v>186</v>
      </c>
      <c r="E1015" s="102" t="s">
        <v>587</v>
      </c>
      <c r="F1015" s="102" t="s">
        <v>2816</v>
      </c>
      <c r="G1015" s="102" t="s">
        <v>2817</v>
      </c>
      <c r="H1015" s="102" t="s">
        <v>2818</v>
      </c>
      <c r="I1015" s="102" t="s">
        <v>63</v>
      </c>
      <c r="J1015" s="102"/>
      <c r="K1015" s="102" t="s">
        <v>591</v>
      </c>
      <c r="L1015" s="102" t="s">
        <v>1333</v>
      </c>
      <c r="M1015" s="102" t="s">
        <v>2819</v>
      </c>
      <c r="N1015" s="102" t="s">
        <v>1334</v>
      </c>
      <c r="O1015" s="102" t="s">
        <v>487</v>
      </c>
      <c r="P1015" s="103">
        <v>1</v>
      </c>
      <c r="Q1015" s="105">
        <v>-10000000</v>
      </c>
      <c r="R1015" s="102"/>
      <c r="S1015" s="105">
        <v>0</v>
      </c>
      <c r="T1015" s="105">
        <v>-10000000</v>
      </c>
      <c r="U1015" s="105">
        <v>0</v>
      </c>
      <c r="V1015" s="105">
        <v>0</v>
      </c>
      <c r="W1015" s="105">
        <v>0</v>
      </c>
      <c r="X1015" s="105">
        <v>0</v>
      </c>
      <c r="Y1015" s="105">
        <v>0</v>
      </c>
      <c r="Z1015" s="105">
        <v>0</v>
      </c>
      <c r="AA1015" s="105">
        <v>0</v>
      </c>
      <c r="AB1015" s="105">
        <v>0</v>
      </c>
      <c r="AC1015" s="8">
        <f t="shared" si="105"/>
        <v>-10000000</v>
      </c>
      <c r="AD1015" s="8">
        <f t="shared" si="106"/>
        <v>0</v>
      </c>
      <c r="AE1015" s="8">
        <f t="shared" si="107"/>
        <v>0</v>
      </c>
      <c r="AF1015" s="106">
        <f t="shared" si="108"/>
        <v>0</v>
      </c>
      <c r="AG1015" s="8">
        <f t="shared" si="109"/>
        <v>0</v>
      </c>
      <c r="AH1015" s="8">
        <f>IF($O1015="Aktif",MAX(0,MIN($AE1015,$AD1015-SUM($AG1015:AG1015))),0)</f>
        <v>0</v>
      </c>
      <c r="AI1015" s="8">
        <f>IF($O1015="Aktif",MAX(0,MIN($AE1015,$AD1015-SUM($AG1015:AH1015))),0)</f>
        <v>0</v>
      </c>
      <c r="AJ1015" s="8">
        <f>IF($O1015="Aktif",MAX(0,MIN($AE1015,$AD1015-SUM($AG1015:AI1015))),0)</f>
        <v>0</v>
      </c>
      <c r="AK1015" s="8">
        <f>IF($O1015="Aktif",MAX(0,MIN($AE1015,$AD1015-SUM($AG1015:AJ1015))),0)</f>
        <v>0</v>
      </c>
      <c r="AL1015" s="8">
        <f>IF($O1015="Aktif",MAX(0,MIN($AE1015,$AD1015-SUM($AG1015:AK1015))),0)</f>
        <v>0</v>
      </c>
      <c r="AM1015" s="8">
        <f>IF($O1015="Aktif",MAX(0,MIN($AE1015,$AD1015-SUM($AG1015:AL1015))),0)</f>
        <v>0</v>
      </c>
      <c r="AN1015" s="8">
        <f>IF($O1015="Aktif",MAX(0,MIN($AE1015,$AD1015-SUM($AG1015:AM1015))),0)</f>
        <v>0</v>
      </c>
      <c r="AO1015" s="8">
        <f>IF($O1015="Aktif",MAX(0,MIN($AE1015,$AD1015-SUM($AG1015:AN1015))),0)</f>
        <v>0</v>
      </c>
      <c r="AP1015" s="8">
        <f>IF($O1015="Aktif",MAX(0,MIN($AE1015,$AD1015-SUM($AG1015:AO1015))),0)</f>
        <v>0</v>
      </c>
      <c r="AQ1015" s="8">
        <f>IF($O1015="Aktif",MAX(0,MIN($AE1015,$AD1015-SUM($AG1015:AP1015))),0)</f>
        <v>0</v>
      </c>
      <c r="AR1015" s="8">
        <f>IF($O1015="Aktif",MAX(0,MIN($AE1015,$AD1015-SUM($AG1015:AQ1015))),0)</f>
        <v>0</v>
      </c>
      <c r="AS1015" s="8">
        <f>IF($O1015="Aktif",MAX(0,MIN($AE1015,$AD1015-SUM($AG1015:AR1015))),0)</f>
        <v>0</v>
      </c>
      <c r="AT1015" s="8">
        <f>IF($O1015="Aktif",MAX(0,MIN($AE1015,$AD1015-SUM($AG1015:AS1015))),0)</f>
        <v>0</v>
      </c>
      <c r="AU1015" s="8">
        <f>IF($O1015="Aktif",MAX(0,MIN($AE1015,$AD1015-SUM($AG1015:AT1015))),0)</f>
        <v>0</v>
      </c>
      <c r="AV1015" s="8">
        <f>IF($O1015="Aktif",MAX(0,MIN($AE1015,$AD1015-SUM($AG1015:AU1015))),0)</f>
        <v>0</v>
      </c>
      <c r="AW1015" s="8">
        <f t="shared" si="110"/>
        <v>0</v>
      </c>
      <c r="AX1015" s="8">
        <f t="shared" si="111"/>
        <v>0</v>
      </c>
    </row>
    <row r="1016" spans="1:50" ht="15" customHeight="1" x14ac:dyDescent="0.35">
      <c r="A1016" s="102">
        <v>1010</v>
      </c>
      <c r="B1016" s="102" t="s">
        <v>2815</v>
      </c>
      <c r="C1016" s="103">
        <v>32</v>
      </c>
      <c r="D1016" s="102" t="s">
        <v>186</v>
      </c>
      <c r="E1016" s="102" t="s">
        <v>587</v>
      </c>
      <c r="F1016" s="102" t="s">
        <v>2816</v>
      </c>
      <c r="G1016" s="102" t="s">
        <v>2817</v>
      </c>
      <c r="H1016" s="102" t="s">
        <v>2818</v>
      </c>
      <c r="I1016" s="102" t="s">
        <v>63</v>
      </c>
      <c r="J1016" s="102"/>
      <c r="K1016" s="102" t="s">
        <v>591</v>
      </c>
      <c r="L1016" s="102" t="s">
        <v>1432</v>
      </c>
      <c r="M1016" s="102" t="s">
        <v>2846</v>
      </c>
      <c r="N1016" s="102" t="s">
        <v>2847</v>
      </c>
      <c r="O1016" s="102" t="s">
        <v>383</v>
      </c>
      <c r="P1016" s="103">
        <v>1</v>
      </c>
      <c r="Q1016" s="105">
        <v>6500000</v>
      </c>
      <c r="R1016" s="103">
        <v>48</v>
      </c>
      <c r="S1016" s="105">
        <v>0</v>
      </c>
      <c r="T1016" s="105">
        <v>6500000</v>
      </c>
      <c r="U1016" s="105">
        <v>0</v>
      </c>
      <c r="V1016" s="105">
        <v>0</v>
      </c>
      <c r="W1016" s="105">
        <v>0</v>
      </c>
      <c r="X1016" s="105">
        <v>0</v>
      </c>
      <c r="Y1016" s="105">
        <v>0</v>
      </c>
      <c r="Z1016" s="105">
        <v>0</v>
      </c>
      <c r="AA1016" s="105">
        <v>0</v>
      </c>
      <c r="AB1016" s="105">
        <v>0</v>
      </c>
      <c r="AC1016" s="8">
        <f t="shared" si="105"/>
        <v>6500000</v>
      </c>
      <c r="AD1016" s="8">
        <f t="shared" si="106"/>
        <v>0</v>
      </c>
      <c r="AE1016" s="8">
        <f t="shared" si="107"/>
        <v>0</v>
      </c>
      <c r="AF1016" s="106">
        <f t="shared" si="108"/>
        <v>0</v>
      </c>
      <c r="AG1016" s="8">
        <f t="shared" si="109"/>
        <v>0</v>
      </c>
      <c r="AH1016" s="8">
        <f>IF($O1016="Aktif",MAX(0,MIN($AE1016,$AD1016-SUM($AG1016:AG1016))),0)</f>
        <v>0</v>
      </c>
      <c r="AI1016" s="8">
        <f>IF($O1016="Aktif",MAX(0,MIN($AE1016,$AD1016-SUM($AG1016:AH1016))),0)</f>
        <v>0</v>
      </c>
      <c r="AJ1016" s="8">
        <f>IF($O1016="Aktif",MAX(0,MIN($AE1016,$AD1016-SUM($AG1016:AI1016))),0)</f>
        <v>0</v>
      </c>
      <c r="AK1016" s="8">
        <f>IF($O1016="Aktif",MAX(0,MIN($AE1016,$AD1016-SUM($AG1016:AJ1016))),0)</f>
        <v>0</v>
      </c>
      <c r="AL1016" s="8">
        <f>IF($O1016="Aktif",MAX(0,MIN($AE1016,$AD1016-SUM($AG1016:AK1016))),0)</f>
        <v>0</v>
      </c>
      <c r="AM1016" s="8">
        <f>IF($O1016="Aktif",MAX(0,MIN($AE1016,$AD1016-SUM($AG1016:AL1016))),0)</f>
        <v>0</v>
      </c>
      <c r="AN1016" s="8">
        <f>IF($O1016="Aktif",MAX(0,MIN($AE1016,$AD1016-SUM($AG1016:AM1016))),0)</f>
        <v>0</v>
      </c>
      <c r="AO1016" s="8">
        <f>IF($O1016="Aktif",MAX(0,MIN($AE1016,$AD1016-SUM($AG1016:AN1016))),0)</f>
        <v>0</v>
      </c>
      <c r="AP1016" s="8">
        <f>IF($O1016="Aktif",MAX(0,MIN($AE1016,$AD1016-SUM($AG1016:AO1016))),0)</f>
        <v>0</v>
      </c>
      <c r="AQ1016" s="8">
        <f>IF($O1016="Aktif",MAX(0,MIN($AE1016,$AD1016-SUM($AG1016:AP1016))),0)</f>
        <v>0</v>
      </c>
      <c r="AR1016" s="8">
        <f>IF($O1016="Aktif",MAX(0,MIN($AE1016,$AD1016-SUM($AG1016:AQ1016))),0)</f>
        <v>0</v>
      </c>
      <c r="AS1016" s="8">
        <f>IF($O1016="Aktif",MAX(0,MIN($AE1016,$AD1016-SUM($AG1016:AR1016))),0)</f>
        <v>0</v>
      </c>
      <c r="AT1016" s="8">
        <f>IF($O1016="Aktif",MAX(0,MIN($AE1016,$AD1016-SUM($AG1016:AS1016))),0)</f>
        <v>0</v>
      </c>
      <c r="AU1016" s="8">
        <f>IF($O1016="Aktif",MAX(0,MIN($AE1016,$AD1016-SUM($AG1016:AT1016))),0)</f>
        <v>0</v>
      </c>
      <c r="AV1016" s="8">
        <f>IF($O1016="Aktif",MAX(0,MIN($AE1016,$AD1016-SUM($AG1016:AU1016))),0)</f>
        <v>0</v>
      </c>
      <c r="AW1016" s="8">
        <f t="shared" si="110"/>
        <v>0</v>
      </c>
      <c r="AX1016" s="8">
        <f t="shared" si="111"/>
        <v>0</v>
      </c>
    </row>
    <row r="1017" spans="1:50" ht="15" customHeight="1" x14ac:dyDescent="0.35">
      <c r="A1017" s="102">
        <v>1011</v>
      </c>
      <c r="B1017" s="102" t="s">
        <v>2815</v>
      </c>
      <c r="C1017" s="103">
        <v>33</v>
      </c>
      <c r="D1017" s="102" t="s">
        <v>186</v>
      </c>
      <c r="E1017" s="102" t="s">
        <v>587</v>
      </c>
      <c r="F1017" s="102" t="s">
        <v>2816</v>
      </c>
      <c r="G1017" s="102" t="s">
        <v>2817</v>
      </c>
      <c r="H1017" s="102" t="s">
        <v>2818</v>
      </c>
      <c r="I1017" s="102" t="s">
        <v>63</v>
      </c>
      <c r="J1017" s="102"/>
      <c r="K1017" s="102" t="s">
        <v>591</v>
      </c>
      <c r="L1017" s="102" t="s">
        <v>1333</v>
      </c>
      <c r="M1017" s="102" t="s">
        <v>2819</v>
      </c>
      <c r="N1017" s="102" t="s">
        <v>1334</v>
      </c>
      <c r="O1017" s="102" t="s">
        <v>487</v>
      </c>
      <c r="P1017" s="103">
        <v>1</v>
      </c>
      <c r="Q1017" s="105">
        <v>-6500000</v>
      </c>
      <c r="R1017" s="102"/>
      <c r="S1017" s="105">
        <v>0</v>
      </c>
      <c r="T1017" s="105">
        <v>-6500000</v>
      </c>
      <c r="U1017" s="105">
        <v>0</v>
      </c>
      <c r="V1017" s="105">
        <v>0</v>
      </c>
      <c r="W1017" s="105">
        <v>0</v>
      </c>
      <c r="X1017" s="105">
        <v>0</v>
      </c>
      <c r="Y1017" s="105">
        <v>0</v>
      </c>
      <c r="Z1017" s="105">
        <v>0</v>
      </c>
      <c r="AA1017" s="105">
        <v>0</v>
      </c>
      <c r="AB1017" s="105">
        <v>0</v>
      </c>
      <c r="AC1017" s="8">
        <f t="shared" si="105"/>
        <v>-6500000</v>
      </c>
      <c r="AD1017" s="8">
        <f t="shared" si="106"/>
        <v>0</v>
      </c>
      <c r="AE1017" s="8">
        <f t="shared" si="107"/>
        <v>0</v>
      </c>
      <c r="AF1017" s="106">
        <f t="shared" si="108"/>
        <v>0</v>
      </c>
      <c r="AG1017" s="8">
        <f t="shared" si="109"/>
        <v>0</v>
      </c>
      <c r="AH1017" s="8">
        <f>IF($O1017="Aktif",MAX(0,MIN($AE1017,$AD1017-SUM($AG1017:AG1017))),0)</f>
        <v>0</v>
      </c>
      <c r="AI1017" s="8">
        <f>IF($O1017="Aktif",MAX(0,MIN($AE1017,$AD1017-SUM($AG1017:AH1017))),0)</f>
        <v>0</v>
      </c>
      <c r="AJ1017" s="8">
        <f>IF($O1017="Aktif",MAX(0,MIN($AE1017,$AD1017-SUM($AG1017:AI1017))),0)</f>
        <v>0</v>
      </c>
      <c r="AK1017" s="8">
        <f>IF($O1017="Aktif",MAX(0,MIN($AE1017,$AD1017-SUM($AG1017:AJ1017))),0)</f>
        <v>0</v>
      </c>
      <c r="AL1017" s="8">
        <f>IF($O1017="Aktif",MAX(0,MIN($AE1017,$AD1017-SUM($AG1017:AK1017))),0)</f>
        <v>0</v>
      </c>
      <c r="AM1017" s="8">
        <f>IF($O1017="Aktif",MAX(0,MIN($AE1017,$AD1017-SUM($AG1017:AL1017))),0)</f>
        <v>0</v>
      </c>
      <c r="AN1017" s="8">
        <f>IF($O1017="Aktif",MAX(0,MIN($AE1017,$AD1017-SUM($AG1017:AM1017))),0)</f>
        <v>0</v>
      </c>
      <c r="AO1017" s="8">
        <f>IF($O1017="Aktif",MAX(0,MIN($AE1017,$AD1017-SUM($AG1017:AN1017))),0)</f>
        <v>0</v>
      </c>
      <c r="AP1017" s="8">
        <f>IF($O1017="Aktif",MAX(0,MIN($AE1017,$AD1017-SUM($AG1017:AO1017))),0)</f>
        <v>0</v>
      </c>
      <c r="AQ1017" s="8">
        <f>IF($O1017="Aktif",MAX(0,MIN($AE1017,$AD1017-SUM($AG1017:AP1017))),0)</f>
        <v>0</v>
      </c>
      <c r="AR1017" s="8">
        <f>IF($O1017="Aktif",MAX(0,MIN($AE1017,$AD1017-SUM($AG1017:AQ1017))),0)</f>
        <v>0</v>
      </c>
      <c r="AS1017" s="8">
        <f>IF($O1017="Aktif",MAX(0,MIN($AE1017,$AD1017-SUM($AG1017:AR1017))),0)</f>
        <v>0</v>
      </c>
      <c r="AT1017" s="8">
        <f>IF($O1017="Aktif",MAX(0,MIN($AE1017,$AD1017-SUM($AG1017:AS1017))),0)</f>
        <v>0</v>
      </c>
      <c r="AU1017" s="8">
        <f>IF($O1017="Aktif",MAX(0,MIN($AE1017,$AD1017-SUM($AG1017:AT1017))),0)</f>
        <v>0</v>
      </c>
      <c r="AV1017" s="8">
        <f>IF($O1017="Aktif",MAX(0,MIN($AE1017,$AD1017-SUM($AG1017:AU1017))),0)</f>
        <v>0</v>
      </c>
      <c r="AW1017" s="8">
        <f t="shared" si="110"/>
        <v>0</v>
      </c>
      <c r="AX1017" s="8">
        <f t="shared" si="111"/>
        <v>0</v>
      </c>
    </row>
    <row r="1018" spans="1:50" ht="15" customHeight="1" x14ac:dyDescent="0.35">
      <c r="A1018" s="102">
        <v>1012</v>
      </c>
      <c r="B1018" s="102" t="s">
        <v>2815</v>
      </c>
      <c r="C1018" s="103">
        <v>34</v>
      </c>
      <c r="D1018" s="102" t="s">
        <v>186</v>
      </c>
      <c r="E1018" s="102" t="s">
        <v>587</v>
      </c>
      <c r="F1018" s="102" t="s">
        <v>2816</v>
      </c>
      <c r="G1018" s="102" t="s">
        <v>2817</v>
      </c>
      <c r="H1018" s="102" t="s">
        <v>2818</v>
      </c>
      <c r="I1018" s="102" t="s">
        <v>63</v>
      </c>
      <c r="J1018" s="102"/>
      <c r="K1018" s="102" t="s">
        <v>591</v>
      </c>
      <c r="L1018" s="102" t="s">
        <v>592</v>
      </c>
      <c r="M1018" s="102" t="s">
        <v>2848</v>
      </c>
      <c r="N1018" s="102" t="s">
        <v>2848</v>
      </c>
      <c r="O1018" s="102" t="s">
        <v>383</v>
      </c>
      <c r="P1018" s="103">
        <v>1</v>
      </c>
      <c r="Q1018" s="105">
        <v>75000000</v>
      </c>
      <c r="R1018" s="103">
        <v>48</v>
      </c>
      <c r="S1018" s="105">
        <v>0</v>
      </c>
      <c r="T1018" s="105">
        <v>0</v>
      </c>
      <c r="U1018" s="105">
        <v>0</v>
      </c>
      <c r="V1018" s="105">
        <v>0</v>
      </c>
      <c r="W1018" s="105">
        <v>0</v>
      </c>
      <c r="X1018" s="105">
        <v>0</v>
      </c>
      <c r="Y1018" s="105">
        <v>0</v>
      </c>
      <c r="Z1018" s="105">
        <v>0</v>
      </c>
      <c r="AA1018" s="105">
        <v>0</v>
      </c>
      <c r="AB1018" s="105">
        <v>0</v>
      </c>
      <c r="AC1018" s="8">
        <f t="shared" si="105"/>
        <v>0</v>
      </c>
      <c r="AD1018" s="8">
        <f t="shared" si="106"/>
        <v>75000000</v>
      </c>
      <c r="AE1018" s="8">
        <f t="shared" si="107"/>
        <v>0</v>
      </c>
      <c r="AF1018" s="106">
        <f t="shared" si="108"/>
        <v>0</v>
      </c>
      <c r="AG1018" s="8">
        <f t="shared" si="109"/>
        <v>0</v>
      </c>
      <c r="AH1018" s="8">
        <f>IF($O1018="Aktif",MAX(0,MIN($AE1018,$AD1018-SUM($AG1018:AG1018))),0)</f>
        <v>0</v>
      </c>
      <c r="AI1018" s="8">
        <f>IF($O1018="Aktif",MAX(0,MIN($AE1018,$AD1018-SUM($AG1018:AH1018))),0)</f>
        <v>0</v>
      </c>
      <c r="AJ1018" s="8">
        <f>IF($O1018="Aktif",MAX(0,MIN($AE1018,$AD1018-SUM($AG1018:AI1018))),0)</f>
        <v>0</v>
      </c>
      <c r="AK1018" s="8">
        <f>IF($O1018="Aktif",MAX(0,MIN($AE1018,$AD1018-SUM($AG1018:AJ1018))),0)</f>
        <v>0</v>
      </c>
      <c r="AL1018" s="8">
        <f>IF($O1018="Aktif",MAX(0,MIN($AE1018,$AD1018-SUM($AG1018:AK1018))),0)</f>
        <v>0</v>
      </c>
      <c r="AM1018" s="8">
        <f>IF($O1018="Aktif",MAX(0,MIN($AE1018,$AD1018-SUM($AG1018:AL1018))),0)</f>
        <v>0</v>
      </c>
      <c r="AN1018" s="8">
        <f>IF($O1018="Aktif",MAX(0,MIN($AE1018,$AD1018-SUM($AG1018:AM1018))),0)</f>
        <v>0</v>
      </c>
      <c r="AO1018" s="8">
        <f>IF($O1018="Aktif",MAX(0,MIN($AE1018,$AD1018-SUM($AG1018:AN1018))),0)</f>
        <v>0</v>
      </c>
      <c r="AP1018" s="8">
        <f>IF($O1018="Aktif",MAX(0,MIN($AE1018,$AD1018-SUM($AG1018:AO1018))),0)</f>
        <v>0</v>
      </c>
      <c r="AQ1018" s="8">
        <f>IF($O1018="Aktif",MAX(0,MIN($AE1018,$AD1018-SUM($AG1018:AP1018))),0)</f>
        <v>0</v>
      </c>
      <c r="AR1018" s="8">
        <f>IF($O1018="Aktif",MAX(0,MIN($AE1018,$AD1018-SUM($AG1018:AQ1018))),0)</f>
        <v>0</v>
      </c>
      <c r="AS1018" s="8">
        <f>IF($O1018="Aktif",MAX(0,MIN($AE1018,$AD1018-SUM($AG1018:AR1018))),0)</f>
        <v>0</v>
      </c>
      <c r="AT1018" s="8">
        <f>IF($O1018="Aktif",MAX(0,MIN($AE1018,$AD1018-SUM($AG1018:AS1018))),0)</f>
        <v>0</v>
      </c>
      <c r="AU1018" s="8">
        <f>IF($O1018="Aktif",MAX(0,MIN($AE1018,$AD1018-SUM($AG1018:AT1018))),0)</f>
        <v>0</v>
      </c>
      <c r="AV1018" s="8">
        <f>IF($O1018="Aktif",MAX(0,MIN($AE1018,$AD1018-SUM($AG1018:AU1018))),0)</f>
        <v>0</v>
      </c>
      <c r="AW1018" s="8">
        <f t="shared" si="110"/>
        <v>0</v>
      </c>
      <c r="AX1018" s="8">
        <f t="shared" si="111"/>
        <v>75000000</v>
      </c>
    </row>
    <row r="1019" spans="1:50" ht="15" customHeight="1" x14ac:dyDescent="0.35">
      <c r="A1019" s="102">
        <v>1013</v>
      </c>
      <c r="B1019" s="102" t="s">
        <v>2815</v>
      </c>
      <c r="C1019" s="103">
        <v>35</v>
      </c>
      <c r="D1019" s="102" t="s">
        <v>186</v>
      </c>
      <c r="E1019" s="102" t="s">
        <v>587</v>
      </c>
      <c r="F1019" s="102" t="s">
        <v>2816</v>
      </c>
      <c r="G1019" s="102" t="s">
        <v>2817</v>
      </c>
      <c r="H1019" s="102" t="s">
        <v>2818</v>
      </c>
      <c r="I1019" s="102" t="s">
        <v>63</v>
      </c>
      <c r="J1019" s="102"/>
      <c r="K1019" s="102" t="s">
        <v>591</v>
      </c>
      <c r="L1019" s="104">
        <v>43008</v>
      </c>
      <c r="M1019" s="102" t="s">
        <v>2848</v>
      </c>
      <c r="N1019" s="102" t="s">
        <v>2849</v>
      </c>
      <c r="O1019" s="102" t="s">
        <v>487</v>
      </c>
      <c r="P1019" s="103">
        <v>1</v>
      </c>
      <c r="Q1019" s="105">
        <v>-75000000</v>
      </c>
      <c r="R1019" s="103">
        <v>48</v>
      </c>
      <c r="S1019" s="105">
        <v>0</v>
      </c>
      <c r="T1019" s="105">
        <v>0</v>
      </c>
      <c r="U1019" s="105">
        <v>0</v>
      </c>
      <c r="V1019" s="105">
        <v>0</v>
      </c>
      <c r="W1019" s="105">
        <v>0</v>
      </c>
      <c r="X1019" s="105">
        <v>0</v>
      </c>
      <c r="Y1019" s="105">
        <v>0</v>
      </c>
      <c r="Z1019" s="105">
        <v>0</v>
      </c>
      <c r="AA1019" s="105">
        <v>0</v>
      </c>
      <c r="AB1019" s="105">
        <v>0</v>
      </c>
      <c r="AC1019" s="8">
        <f t="shared" si="105"/>
        <v>0</v>
      </c>
      <c r="AD1019" s="8">
        <f t="shared" si="106"/>
        <v>-75000000</v>
      </c>
      <c r="AE1019" s="8">
        <f t="shared" si="107"/>
        <v>0</v>
      </c>
      <c r="AF1019" s="106">
        <f t="shared" si="108"/>
        <v>0</v>
      </c>
      <c r="AG1019" s="8">
        <f t="shared" si="109"/>
        <v>0</v>
      </c>
      <c r="AH1019" s="8">
        <f>IF($O1019="Aktif",MAX(0,MIN($AE1019,$AD1019-SUM($AG1019:AG1019))),0)</f>
        <v>0</v>
      </c>
      <c r="AI1019" s="8">
        <f>IF($O1019="Aktif",MAX(0,MIN($AE1019,$AD1019-SUM($AG1019:AH1019))),0)</f>
        <v>0</v>
      </c>
      <c r="AJ1019" s="8">
        <f>IF($O1019="Aktif",MAX(0,MIN($AE1019,$AD1019-SUM($AG1019:AI1019))),0)</f>
        <v>0</v>
      </c>
      <c r="AK1019" s="8">
        <f>IF($O1019="Aktif",MAX(0,MIN($AE1019,$AD1019-SUM($AG1019:AJ1019))),0)</f>
        <v>0</v>
      </c>
      <c r="AL1019" s="8">
        <f>IF($O1019="Aktif",MAX(0,MIN($AE1019,$AD1019-SUM($AG1019:AK1019))),0)</f>
        <v>0</v>
      </c>
      <c r="AM1019" s="8">
        <f>IF($O1019="Aktif",MAX(0,MIN($AE1019,$AD1019-SUM($AG1019:AL1019))),0)</f>
        <v>0</v>
      </c>
      <c r="AN1019" s="8">
        <f>IF($O1019="Aktif",MAX(0,MIN($AE1019,$AD1019-SUM($AG1019:AM1019))),0)</f>
        <v>0</v>
      </c>
      <c r="AO1019" s="8">
        <f>IF($O1019="Aktif",MAX(0,MIN($AE1019,$AD1019-SUM($AG1019:AN1019))),0)</f>
        <v>0</v>
      </c>
      <c r="AP1019" s="8">
        <f>IF($O1019="Aktif",MAX(0,MIN($AE1019,$AD1019-SUM($AG1019:AO1019))),0)</f>
        <v>0</v>
      </c>
      <c r="AQ1019" s="8">
        <f>IF($O1019="Aktif",MAX(0,MIN($AE1019,$AD1019-SUM($AG1019:AP1019))),0)</f>
        <v>0</v>
      </c>
      <c r="AR1019" s="8">
        <f>IF($O1019="Aktif",MAX(0,MIN($AE1019,$AD1019-SUM($AG1019:AQ1019))),0)</f>
        <v>0</v>
      </c>
      <c r="AS1019" s="8">
        <f>IF($O1019="Aktif",MAX(0,MIN($AE1019,$AD1019-SUM($AG1019:AR1019))),0)</f>
        <v>0</v>
      </c>
      <c r="AT1019" s="8">
        <f>IF($O1019="Aktif",MAX(0,MIN($AE1019,$AD1019-SUM($AG1019:AS1019))),0)</f>
        <v>0</v>
      </c>
      <c r="AU1019" s="8">
        <f>IF($O1019="Aktif",MAX(0,MIN($AE1019,$AD1019-SUM($AG1019:AT1019))),0)</f>
        <v>0</v>
      </c>
      <c r="AV1019" s="8">
        <f>IF($O1019="Aktif",MAX(0,MIN($AE1019,$AD1019-SUM($AG1019:AU1019))),0)</f>
        <v>0</v>
      </c>
      <c r="AW1019" s="8">
        <f t="shared" si="110"/>
        <v>0</v>
      </c>
      <c r="AX1019" s="8">
        <f t="shared" si="111"/>
        <v>-75000000</v>
      </c>
    </row>
    <row r="1020" spans="1:50" ht="15" customHeight="1" x14ac:dyDescent="0.35">
      <c r="A1020" s="102">
        <v>1014</v>
      </c>
      <c r="B1020" s="102" t="s">
        <v>2815</v>
      </c>
      <c r="C1020" s="103">
        <v>36</v>
      </c>
      <c r="D1020" s="102" t="s">
        <v>186</v>
      </c>
      <c r="E1020" s="102" t="s">
        <v>587</v>
      </c>
      <c r="F1020" s="102" t="s">
        <v>2816</v>
      </c>
      <c r="G1020" s="102" t="s">
        <v>2817</v>
      </c>
      <c r="H1020" s="102" t="s">
        <v>2818</v>
      </c>
      <c r="I1020" s="102" t="s">
        <v>63</v>
      </c>
      <c r="J1020" s="102"/>
      <c r="K1020" s="102" t="s">
        <v>591</v>
      </c>
      <c r="L1020" s="104">
        <v>42689</v>
      </c>
      <c r="M1020" s="102" t="s">
        <v>2850</v>
      </c>
      <c r="N1020" s="102" t="s">
        <v>2851</v>
      </c>
      <c r="O1020" s="102" t="s">
        <v>383</v>
      </c>
      <c r="P1020" s="103">
        <v>1</v>
      </c>
      <c r="Q1020" s="105">
        <v>0</v>
      </c>
      <c r="R1020" s="103">
        <v>48</v>
      </c>
      <c r="S1020" s="105">
        <v>0</v>
      </c>
      <c r="T1020" s="105">
        <v>0</v>
      </c>
      <c r="U1020" s="105">
        <v>0</v>
      </c>
      <c r="V1020" s="105">
        <v>0</v>
      </c>
      <c r="W1020" s="105">
        <v>0</v>
      </c>
      <c r="X1020" s="105">
        <v>0</v>
      </c>
      <c r="Y1020" s="105">
        <v>0</v>
      </c>
      <c r="Z1020" s="105">
        <v>0</v>
      </c>
      <c r="AA1020" s="105">
        <v>0</v>
      </c>
      <c r="AB1020" s="105">
        <v>0</v>
      </c>
      <c r="AC1020" s="8">
        <f t="shared" si="105"/>
        <v>0</v>
      </c>
      <c r="AD1020" s="8">
        <f t="shared" si="106"/>
        <v>0</v>
      </c>
      <c r="AE1020" s="8">
        <f t="shared" si="107"/>
        <v>0</v>
      </c>
      <c r="AF1020" s="106">
        <f t="shared" si="108"/>
        <v>0</v>
      </c>
      <c r="AG1020" s="8">
        <f t="shared" si="109"/>
        <v>0</v>
      </c>
      <c r="AH1020" s="8">
        <f>IF($O1020="Aktif",MAX(0,MIN($AE1020,$AD1020-SUM($AG1020:AG1020))),0)</f>
        <v>0</v>
      </c>
      <c r="AI1020" s="8">
        <f>IF($O1020="Aktif",MAX(0,MIN($AE1020,$AD1020-SUM($AG1020:AH1020))),0)</f>
        <v>0</v>
      </c>
      <c r="AJ1020" s="8">
        <f>IF($O1020="Aktif",MAX(0,MIN($AE1020,$AD1020-SUM($AG1020:AI1020))),0)</f>
        <v>0</v>
      </c>
      <c r="AK1020" s="8">
        <f>IF($O1020="Aktif",MAX(0,MIN($AE1020,$AD1020-SUM($AG1020:AJ1020))),0)</f>
        <v>0</v>
      </c>
      <c r="AL1020" s="8">
        <f>IF($O1020="Aktif",MAX(0,MIN($AE1020,$AD1020-SUM($AG1020:AK1020))),0)</f>
        <v>0</v>
      </c>
      <c r="AM1020" s="8">
        <f>IF($O1020="Aktif",MAX(0,MIN($AE1020,$AD1020-SUM($AG1020:AL1020))),0)</f>
        <v>0</v>
      </c>
      <c r="AN1020" s="8">
        <f>IF($O1020="Aktif",MAX(0,MIN($AE1020,$AD1020-SUM($AG1020:AM1020))),0)</f>
        <v>0</v>
      </c>
      <c r="AO1020" s="8">
        <f>IF($O1020="Aktif",MAX(0,MIN($AE1020,$AD1020-SUM($AG1020:AN1020))),0)</f>
        <v>0</v>
      </c>
      <c r="AP1020" s="8">
        <f>IF($O1020="Aktif",MAX(0,MIN($AE1020,$AD1020-SUM($AG1020:AO1020))),0)</f>
        <v>0</v>
      </c>
      <c r="AQ1020" s="8">
        <f>IF($O1020="Aktif",MAX(0,MIN($AE1020,$AD1020-SUM($AG1020:AP1020))),0)</f>
        <v>0</v>
      </c>
      <c r="AR1020" s="8">
        <f>IF($O1020="Aktif",MAX(0,MIN($AE1020,$AD1020-SUM($AG1020:AQ1020))),0)</f>
        <v>0</v>
      </c>
      <c r="AS1020" s="8">
        <f>IF($O1020="Aktif",MAX(0,MIN($AE1020,$AD1020-SUM($AG1020:AR1020))),0)</f>
        <v>0</v>
      </c>
      <c r="AT1020" s="8">
        <f>IF($O1020="Aktif",MAX(0,MIN($AE1020,$AD1020-SUM($AG1020:AS1020))),0)</f>
        <v>0</v>
      </c>
      <c r="AU1020" s="8">
        <f>IF($O1020="Aktif",MAX(0,MIN($AE1020,$AD1020-SUM($AG1020:AT1020))),0)</f>
        <v>0</v>
      </c>
      <c r="AV1020" s="8">
        <f>IF($O1020="Aktif",MAX(0,MIN($AE1020,$AD1020-SUM($AG1020:AU1020))),0)</f>
        <v>0</v>
      </c>
      <c r="AW1020" s="8">
        <f t="shared" si="110"/>
        <v>0</v>
      </c>
      <c r="AX1020" s="8">
        <f t="shared" si="111"/>
        <v>0</v>
      </c>
    </row>
    <row r="1021" spans="1:50" ht="15" customHeight="1" x14ac:dyDescent="0.35">
      <c r="A1021" s="102">
        <v>1015</v>
      </c>
      <c r="B1021" s="102" t="s">
        <v>2815</v>
      </c>
      <c r="C1021" s="103">
        <v>37</v>
      </c>
      <c r="D1021" s="102" t="s">
        <v>186</v>
      </c>
      <c r="E1021" s="102" t="s">
        <v>587</v>
      </c>
      <c r="F1021" s="102" t="s">
        <v>2816</v>
      </c>
      <c r="G1021" s="102" t="s">
        <v>2817</v>
      </c>
      <c r="H1021" s="102" t="s">
        <v>2818</v>
      </c>
      <c r="I1021" s="102" t="s">
        <v>63</v>
      </c>
      <c r="J1021" s="102"/>
      <c r="K1021" s="102" t="s">
        <v>591</v>
      </c>
      <c r="L1021" s="104">
        <v>42689</v>
      </c>
      <c r="M1021" s="102" t="s">
        <v>2850</v>
      </c>
      <c r="N1021" s="102" t="s">
        <v>2852</v>
      </c>
      <c r="O1021" s="102" t="s">
        <v>2853</v>
      </c>
      <c r="P1021" s="103">
        <v>1</v>
      </c>
      <c r="Q1021" s="105">
        <v>0</v>
      </c>
      <c r="R1021" s="102"/>
      <c r="S1021" s="105">
        <v>0</v>
      </c>
      <c r="T1021" s="105">
        <v>0</v>
      </c>
      <c r="U1021" s="105">
        <v>0</v>
      </c>
      <c r="V1021" s="105">
        <v>0</v>
      </c>
      <c r="W1021" s="105">
        <v>0</v>
      </c>
      <c r="X1021" s="105">
        <v>0</v>
      </c>
      <c r="Y1021" s="105">
        <v>0</v>
      </c>
      <c r="Z1021" s="105">
        <v>0</v>
      </c>
      <c r="AA1021" s="105">
        <v>0</v>
      </c>
      <c r="AB1021" s="105">
        <v>0</v>
      </c>
      <c r="AC1021" s="8">
        <f t="shared" si="105"/>
        <v>0</v>
      </c>
      <c r="AD1021" s="8">
        <f t="shared" si="106"/>
        <v>0</v>
      </c>
      <c r="AE1021" s="8">
        <f t="shared" si="107"/>
        <v>0</v>
      </c>
      <c r="AF1021" s="106">
        <f t="shared" si="108"/>
        <v>0</v>
      </c>
      <c r="AG1021" s="8">
        <f t="shared" si="109"/>
        <v>0</v>
      </c>
      <c r="AH1021" s="8">
        <f>IF($O1021="Aktif",MAX(0,MIN($AE1021,$AD1021-SUM($AG1021:AG1021))),0)</f>
        <v>0</v>
      </c>
      <c r="AI1021" s="8">
        <f>IF($O1021="Aktif",MAX(0,MIN($AE1021,$AD1021-SUM($AG1021:AH1021))),0)</f>
        <v>0</v>
      </c>
      <c r="AJ1021" s="8">
        <f>IF($O1021="Aktif",MAX(0,MIN($AE1021,$AD1021-SUM($AG1021:AI1021))),0)</f>
        <v>0</v>
      </c>
      <c r="AK1021" s="8">
        <f>IF($O1021="Aktif",MAX(0,MIN($AE1021,$AD1021-SUM($AG1021:AJ1021))),0)</f>
        <v>0</v>
      </c>
      <c r="AL1021" s="8">
        <f>IF($O1021="Aktif",MAX(0,MIN($AE1021,$AD1021-SUM($AG1021:AK1021))),0)</f>
        <v>0</v>
      </c>
      <c r="AM1021" s="8">
        <f>IF($O1021="Aktif",MAX(0,MIN($AE1021,$AD1021-SUM($AG1021:AL1021))),0)</f>
        <v>0</v>
      </c>
      <c r="AN1021" s="8">
        <f>IF($O1021="Aktif",MAX(0,MIN($AE1021,$AD1021-SUM($AG1021:AM1021))),0)</f>
        <v>0</v>
      </c>
      <c r="AO1021" s="8">
        <f>IF($O1021="Aktif",MAX(0,MIN($AE1021,$AD1021-SUM($AG1021:AN1021))),0)</f>
        <v>0</v>
      </c>
      <c r="AP1021" s="8">
        <f>IF($O1021="Aktif",MAX(0,MIN($AE1021,$AD1021-SUM($AG1021:AO1021))),0)</f>
        <v>0</v>
      </c>
      <c r="AQ1021" s="8">
        <f>IF($O1021="Aktif",MAX(0,MIN($AE1021,$AD1021-SUM($AG1021:AP1021))),0)</f>
        <v>0</v>
      </c>
      <c r="AR1021" s="8">
        <f>IF($O1021="Aktif",MAX(0,MIN($AE1021,$AD1021-SUM($AG1021:AQ1021))),0)</f>
        <v>0</v>
      </c>
      <c r="AS1021" s="8">
        <f>IF($O1021="Aktif",MAX(0,MIN($AE1021,$AD1021-SUM($AG1021:AR1021))),0)</f>
        <v>0</v>
      </c>
      <c r="AT1021" s="8">
        <f>IF($O1021="Aktif",MAX(0,MIN($AE1021,$AD1021-SUM($AG1021:AS1021))),0)</f>
        <v>0</v>
      </c>
      <c r="AU1021" s="8">
        <f>IF($O1021="Aktif",MAX(0,MIN($AE1021,$AD1021-SUM($AG1021:AT1021))),0)</f>
        <v>0</v>
      </c>
      <c r="AV1021" s="8">
        <f>IF($O1021="Aktif",MAX(0,MIN($AE1021,$AD1021-SUM($AG1021:AU1021))),0)</f>
        <v>0</v>
      </c>
      <c r="AW1021" s="8">
        <f t="shared" si="110"/>
        <v>0</v>
      </c>
      <c r="AX1021" s="8">
        <f t="shared" si="111"/>
        <v>0</v>
      </c>
    </row>
    <row r="1022" spans="1:50" ht="15" customHeight="1" x14ac:dyDescent="0.35">
      <c r="A1022" s="102">
        <v>1016</v>
      </c>
      <c r="B1022" s="102" t="s">
        <v>2815</v>
      </c>
      <c r="C1022" s="103">
        <v>38</v>
      </c>
      <c r="D1022" s="102" t="s">
        <v>186</v>
      </c>
      <c r="E1022" s="102" t="s">
        <v>587</v>
      </c>
      <c r="F1022" s="102" t="s">
        <v>2816</v>
      </c>
      <c r="G1022" s="102" t="s">
        <v>2817</v>
      </c>
      <c r="H1022" s="102" t="s">
        <v>2818</v>
      </c>
      <c r="I1022" s="102" t="s">
        <v>63</v>
      </c>
      <c r="J1022" s="102" t="s">
        <v>2854</v>
      </c>
      <c r="K1022" s="102" t="s">
        <v>591</v>
      </c>
      <c r="L1022" s="102" t="s">
        <v>2855</v>
      </c>
      <c r="M1022" s="102" t="s">
        <v>2856</v>
      </c>
      <c r="N1022" s="102" t="s">
        <v>2857</v>
      </c>
      <c r="O1022" s="102" t="s">
        <v>383</v>
      </c>
      <c r="P1022" s="103">
        <v>1</v>
      </c>
      <c r="Q1022" s="105">
        <v>62500000</v>
      </c>
      <c r="R1022" s="103">
        <v>48</v>
      </c>
      <c r="S1022" s="105">
        <v>0</v>
      </c>
      <c r="T1022" s="105">
        <v>62500000</v>
      </c>
      <c r="U1022" s="105">
        <v>0</v>
      </c>
      <c r="V1022" s="105">
        <v>0</v>
      </c>
      <c r="W1022" s="105">
        <v>0</v>
      </c>
      <c r="X1022" s="105">
        <v>0</v>
      </c>
      <c r="Y1022" s="105">
        <v>0</v>
      </c>
      <c r="Z1022" s="105">
        <v>0</v>
      </c>
      <c r="AA1022" s="105">
        <v>0</v>
      </c>
      <c r="AB1022" s="105">
        <v>0</v>
      </c>
      <c r="AC1022" s="8">
        <f t="shared" si="105"/>
        <v>62500000</v>
      </c>
      <c r="AD1022" s="8">
        <f t="shared" si="106"/>
        <v>0</v>
      </c>
      <c r="AE1022" s="8">
        <f t="shared" si="107"/>
        <v>0</v>
      </c>
      <c r="AF1022" s="106">
        <f t="shared" si="108"/>
        <v>0</v>
      </c>
      <c r="AG1022" s="8">
        <f t="shared" si="109"/>
        <v>0</v>
      </c>
      <c r="AH1022" s="8">
        <f>IF($O1022="Aktif",MAX(0,MIN($AE1022,$AD1022-SUM($AG1022:AG1022))),0)</f>
        <v>0</v>
      </c>
      <c r="AI1022" s="8">
        <f>IF($O1022="Aktif",MAX(0,MIN($AE1022,$AD1022-SUM($AG1022:AH1022))),0)</f>
        <v>0</v>
      </c>
      <c r="AJ1022" s="8">
        <f>IF($O1022="Aktif",MAX(0,MIN($AE1022,$AD1022-SUM($AG1022:AI1022))),0)</f>
        <v>0</v>
      </c>
      <c r="AK1022" s="8">
        <f>IF($O1022="Aktif",MAX(0,MIN($AE1022,$AD1022-SUM($AG1022:AJ1022))),0)</f>
        <v>0</v>
      </c>
      <c r="AL1022" s="8">
        <f>IF($O1022="Aktif",MAX(0,MIN($AE1022,$AD1022-SUM($AG1022:AK1022))),0)</f>
        <v>0</v>
      </c>
      <c r="AM1022" s="8">
        <f>IF($O1022="Aktif",MAX(0,MIN($AE1022,$AD1022-SUM($AG1022:AL1022))),0)</f>
        <v>0</v>
      </c>
      <c r="AN1022" s="8">
        <f>IF($O1022="Aktif",MAX(0,MIN($AE1022,$AD1022-SUM($AG1022:AM1022))),0)</f>
        <v>0</v>
      </c>
      <c r="AO1022" s="8">
        <f>IF($O1022="Aktif",MAX(0,MIN($AE1022,$AD1022-SUM($AG1022:AN1022))),0)</f>
        <v>0</v>
      </c>
      <c r="AP1022" s="8">
        <f>IF($O1022="Aktif",MAX(0,MIN($AE1022,$AD1022-SUM($AG1022:AO1022))),0)</f>
        <v>0</v>
      </c>
      <c r="AQ1022" s="8">
        <f>IF($O1022="Aktif",MAX(0,MIN($AE1022,$AD1022-SUM($AG1022:AP1022))),0)</f>
        <v>0</v>
      </c>
      <c r="AR1022" s="8">
        <f>IF($O1022="Aktif",MAX(0,MIN($AE1022,$AD1022-SUM($AG1022:AQ1022))),0)</f>
        <v>0</v>
      </c>
      <c r="AS1022" s="8">
        <f>IF($O1022="Aktif",MAX(0,MIN($AE1022,$AD1022-SUM($AG1022:AR1022))),0)</f>
        <v>0</v>
      </c>
      <c r="AT1022" s="8">
        <f>IF($O1022="Aktif",MAX(0,MIN($AE1022,$AD1022-SUM($AG1022:AS1022))),0)</f>
        <v>0</v>
      </c>
      <c r="AU1022" s="8">
        <f>IF($O1022="Aktif",MAX(0,MIN($AE1022,$AD1022-SUM($AG1022:AT1022))),0)</f>
        <v>0</v>
      </c>
      <c r="AV1022" s="8">
        <f>IF($O1022="Aktif",MAX(0,MIN($AE1022,$AD1022-SUM($AG1022:AU1022))),0)</f>
        <v>0</v>
      </c>
      <c r="AW1022" s="8">
        <f t="shared" si="110"/>
        <v>0</v>
      </c>
      <c r="AX1022" s="8">
        <f t="shared" si="111"/>
        <v>0</v>
      </c>
    </row>
    <row r="1023" spans="1:50" ht="15" customHeight="1" x14ac:dyDescent="0.35">
      <c r="A1023" s="102">
        <v>1017</v>
      </c>
      <c r="B1023" s="102" t="s">
        <v>2815</v>
      </c>
      <c r="C1023" s="103">
        <v>39</v>
      </c>
      <c r="D1023" s="102" t="s">
        <v>186</v>
      </c>
      <c r="E1023" s="102" t="s">
        <v>587</v>
      </c>
      <c r="F1023" s="102" t="s">
        <v>2816</v>
      </c>
      <c r="G1023" s="102" t="s">
        <v>2817</v>
      </c>
      <c r="H1023" s="102" t="s">
        <v>2818</v>
      </c>
      <c r="I1023" s="102" t="s">
        <v>63</v>
      </c>
      <c r="J1023" s="102"/>
      <c r="K1023" s="102" t="s">
        <v>591</v>
      </c>
      <c r="L1023" s="104">
        <v>43769</v>
      </c>
      <c r="M1023" s="102" t="s">
        <v>2858</v>
      </c>
      <c r="N1023" s="102" t="s">
        <v>2859</v>
      </c>
      <c r="O1023" s="102" t="s">
        <v>487</v>
      </c>
      <c r="P1023" s="103">
        <v>1</v>
      </c>
      <c r="Q1023" s="105">
        <v>-62500000</v>
      </c>
      <c r="R1023" s="102"/>
      <c r="S1023" s="105">
        <v>0</v>
      </c>
      <c r="T1023" s="105">
        <v>-62500000</v>
      </c>
      <c r="U1023" s="105">
        <v>0</v>
      </c>
      <c r="V1023" s="105">
        <v>0</v>
      </c>
      <c r="W1023" s="105">
        <v>0</v>
      </c>
      <c r="X1023" s="105">
        <v>0</v>
      </c>
      <c r="Y1023" s="105">
        <v>0</v>
      </c>
      <c r="Z1023" s="105">
        <v>0</v>
      </c>
      <c r="AA1023" s="105">
        <v>0</v>
      </c>
      <c r="AB1023" s="105">
        <v>0</v>
      </c>
      <c r="AC1023" s="8">
        <f t="shared" si="105"/>
        <v>-62500000</v>
      </c>
      <c r="AD1023" s="8">
        <f t="shared" si="106"/>
        <v>0</v>
      </c>
      <c r="AE1023" s="8">
        <f t="shared" si="107"/>
        <v>0</v>
      </c>
      <c r="AF1023" s="106">
        <f t="shared" si="108"/>
        <v>0</v>
      </c>
      <c r="AG1023" s="8">
        <f t="shared" si="109"/>
        <v>0</v>
      </c>
      <c r="AH1023" s="8">
        <f>IF($O1023="Aktif",MAX(0,MIN($AE1023,$AD1023-SUM($AG1023:AG1023))),0)</f>
        <v>0</v>
      </c>
      <c r="AI1023" s="8">
        <f>IF($O1023="Aktif",MAX(0,MIN($AE1023,$AD1023-SUM($AG1023:AH1023))),0)</f>
        <v>0</v>
      </c>
      <c r="AJ1023" s="8">
        <f>IF($O1023="Aktif",MAX(0,MIN($AE1023,$AD1023-SUM($AG1023:AI1023))),0)</f>
        <v>0</v>
      </c>
      <c r="AK1023" s="8">
        <f>IF($O1023="Aktif",MAX(0,MIN($AE1023,$AD1023-SUM($AG1023:AJ1023))),0)</f>
        <v>0</v>
      </c>
      <c r="AL1023" s="8">
        <f>IF($O1023="Aktif",MAX(0,MIN($AE1023,$AD1023-SUM($AG1023:AK1023))),0)</f>
        <v>0</v>
      </c>
      <c r="AM1023" s="8">
        <f>IF($O1023="Aktif",MAX(0,MIN($AE1023,$AD1023-SUM($AG1023:AL1023))),0)</f>
        <v>0</v>
      </c>
      <c r="AN1023" s="8">
        <f>IF($O1023="Aktif",MAX(0,MIN($AE1023,$AD1023-SUM($AG1023:AM1023))),0)</f>
        <v>0</v>
      </c>
      <c r="AO1023" s="8">
        <f>IF($O1023="Aktif",MAX(0,MIN($AE1023,$AD1023-SUM($AG1023:AN1023))),0)</f>
        <v>0</v>
      </c>
      <c r="AP1023" s="8">
        <f>IF($O1023="Aktif",MAX(0,MIN($AE1023,$AD1023-SUM($AG1023:AO1023))),0)</f>
        <v>0</v>
      </c>
      <c r="AQ1023" s="8">
        <f>IF($O1023="Aktif",MAX(0,MIN($AE1023,$AD1023-SUM($AG1023:AP1023))),0)</f>
        <v>0</v>
      </c>
      <c r="AR1023" s="8">
        <f>IF($O1023="Aktif",MAX(0,MIN($AE1023,$AD1023-SUM($AG1023:AQ1023))),0)</f>
        <v>0</v>
      </c>
      <c r="AS1023" s="8">
        <f>IF($O1023="Aktif",MAX(0,MIN($AE1023,$AD1023-SUM($AG1023:AR1023))),0)</f>
        <v>0</v>
      </c>
      <c r="AT1023" s="8">
        <f>IF($O1023="Aktif",MAX(0,MIN($AE1023,$AD1023-SUM($AG1023:AS1023))),0)</f>
        <v>0</v>
      </c>
      <c r="AU1023" s="8">
        <f>IF($O1023="Aktif",MAX(0,MIN($AE1023,$AD1023-SUM($AG1023:AT1023))),0)</f>
        <v>0</v>
      </c>
      <c r="AV1023" s="8">
        <f>IF($O1023="Aktif",MAX(0,MIN($AE1023,$AD1023-SUM($AG1023:AU1023))),0)</f>
        <v>0</v>
      </c>
      <c r="AW1023" s="8">
        <f t="shared" si="110"/>
        <v>0</v>
      </c>
      <c r="AX1023" s="8">
        <f t="shared" si="111"/>
        <v>0</v>
      </c>
    </row>
    <row r="1024" spans="1:50" ht="15" customHeight="1" x14ac:dyDescent="0.35">
      <c r="A1024" s="102">
        <v>1018</v>
      </c>
      <c r="B1024" s="102" t="s">
        <v>2815</v>
      </c>
      <c r="C1024" s="103">
        <v>40</v>
      </c>
      <c r="D1024" s="102" t="s">
        <v>186</v>
      </c>
      <c r="E1024" s="102" t="s">
        <v>587</v>
      </c>
      <c r="F1024" s="102" t="s">
        <v>2816</v>
      </c>
      <c r="G1024" s="102" t="s">
        <v>2817</v>
      </c>
      <c r="H1024" s="102" t="s">
        <v>2818</v>
      </c>
      <c r="I1024" s="102" t="s">
        <v>63</v>
      </c>
      <c r="J1024" s="102" t="s">
        <v>2860</v>
      </c>
      <c r="K1024" s="102" t="s">
        <v>591</v>
      </c>
      <c r="L1024" s="102" t="s">
        <v>592</v>
      </c>
      <c r="M1024" s="102" t="s">
        <v>2861</v>
      </c>
      <c r="N1024" s="102" t="s">
        <v>2861</v>
      </c>
      <c r="O1024" s="102" t="s">
        <v>383</v>
      </c>
      <c r="P1024" s="103">
        <v>1</v>
      </c>
      <c r="Q1024" s="105">
        <v>140000000</v>
      </c>
      <c r="R1024" s="103">
        <v>48</v>
      </c>
      <c r="S1024" s="105">
        <v>0</v>
      </c>
      <c r="T1024" s="105">
        <v>140000000</v>
      </c>
      <c r="U1024" s="105">
        <v>0</v>
      </c>
      <c r="V1024" s="105">
        <v>0</v>
      </c>
      <c r="W1024" s="105">
        <v>0</v>
      </c>
      <c r="X1024" s="105">
        <v>0</v>
      </c>
      <c r="Y1024" s="105">
        <v>0</v>
      </c>
      <c r="Z1024" s="105">
        <v>0</v>
      </c>
      <c r="AA1024" s="105">
        <v>0</v>
      </c>
      <c r="AB1024" s="105">
        <v>0</v>
      </c>
      <c r="AC1024" s="8">
        <f t="shared" si="105"/>
        <v>140000000</v>
      </c>
      <c r="AD1024" s="8">
        <f t="shared" si="106"/>
        <v>0</v>
      </c>
      <c r="AE1024" s="8">
        <f t="shared" si="107"/>
        <v>0</v>
      </c>
      <c r="AF1024" s="106">
        <f t="shared" si="108"/>
        <v>0</v>
      </c>
      <c r="AG1024" s="8">
        <f t="shared" si="109"/>
        <v>0</v>
      </c>
      <c r="AH1024" s="8">
        <f>IF($O1024="Aktif",MAX(0,MIN($AE1024,$AD1024-SUM($AG1024:AG1024))),0)</f>
        <v>0</v>
      </c>
      <c r="AI1024" s="8">
        <f>IF($O1024="Aktif",MAX(0,MIN($AE1024,$AD1024-SUM($AG1024:AH1024))),0)</f>
        <v>0</v>
      </c>
      <c r="AJ1024" s="8">
        <f>IF($O1024="Aktif",MAX(0,MIN($AE1024,$AD1024-SUM($AG1024:AI1024))),0)</f>
        <v>0</v>
      </c>
      <c r="AK1024" s="8">
        <f>IF($O1024="Aktif",MAX(0,MIN($AE1024,$AD1024-SUM($AG1024:AJ1024))),0)</f>
        <v>0</v>
      </c>
      <c r="AL1024" s="8">
        <f>IF($O1024="Aktif",MAX(0,MIN($AE1024,$AD1024-SUM($AG1024:AK1024))),0)</f>
        <v>0</v>
      </c>
      <c r="AM1024" s="8">
        <f>IF($O1024="Aktif",MAX(0,MIN($AE1024,$AD1024-SUM($AG1024:AL1024))),0)</f>
        <v>0</v>
      </c>
      <c r="AN1024" s="8">
        <f>IF($O1024="Aktif",MAX(0,MIN($AE1024,$AD1024-SUM($AG1024:AM1024))),0)</f>
        <v>0</v>
      </c>
      <c r="AO1024" s="8">
        <f>IF($O1024="Aktif",MAX(0,MIN($AE1024,$AD1024-SUM($AG1024:AN1024))),0)</f>
        <v>0</v>
      </c>
      <c r="AP1024" s="8">
        <f>IF($O1024="Aktif",MAX(0,MIN($AE1024,$AD1024-SUM($AG1024:AO1024))),0)</f>
        <v>0</v>
      </c>
      <c r="AQ1024" s="8">
        <f>IF($O1024="Aktif",MAX(0,MIN($AE1024,$AD1024-SUM($AG1024:AP1024))),0)</f>
        <v>0</v>
      </c>
      <c r="AR1024" s="8">
        <f>IF($O1024="Aktif",MAX(0,MIN($AE1024,$AD1024-SUM($AG1024:AQ1024))),0)</f>
        <v>0</v>
      </c>
      <c r="AS1024" s="8">
        <f>IF($O1024="Aktif",MAX(0,MIN($AE1024,$AD1024-SUM($AG1024:AR1024))),0)</f>
        <v>0</v>
      </c>
      <c r="AT1024" s="8">
        <f>IF($O1024="Aktif",MAX(0,MIN($AE1024,$AD1024-SUM($AG1024:AS1024))),0)</f>
        <v>0</v>
      </c>
      <c r="AU1024" s="8">
        <f>IF($O1024="Aktif",MAX(0,MIN($AE1024,$AD1024-SUM($AG1024:AT1024))),0)</f>
        <v>0</v>
      </c>
      <c r="AV1024" s="8">
        <f>IF($O1024="Aktif",MAX(0,MIN($AE1024,$AD1024-SUM($AG1024:AU1024))),0)</f>
        <v>0</v>
      </c>
      <c r="AW1024" s="8">
        <f t="shared" si="110"/>
        <v>0</v>
      </c>
      <c r="AX1024" s="8">
        <f t="shared" si="111"/>
        <v>0</v>
      </c>
    </row>
    <row r="1025" spans="1:50" ht="15" customHeight="1" x14ac:dyDescent="0.35">
      <c r="A1025" s="102">
        <v>1019</v>
      </c>
      <c r="B1025" s="102" t="s">
        <v>2815</v>
      </c>
      <c r="C1025" s="103">
        <v>41</v>
      </c>
      <c r="D1025" s="102" t="s">
        <v>186</v>
      </c>
      <c r="E1025" s="102" t="s">
        <v>587</v>
      </c>
      <c r="F1025" s="102" t="s">
        <v>2816</v>
      </c>
      <c r="G1025" s="102" t="s">
        <v>2817</v>
      </c>
      <c r="H1025" s="102" t="s">
        <v>2818</v>
      </c>
      <c r="I1025" s="102" t="s">
        <v>63</v>
      </c>
      <c r="J1025" s="102" t="s">
        <v>2862</v>
      </c>
      <c r="K1025" s="102" t="s">
        <v>591</v>
      </c>
      <c r="L1025" s="102" t="s">
        <v>592</v>
      </c>
      <c r="M1025" s="102" t="s">
        <v>2863</v>
      </c>
      <c r="N1025" s="102" t="s">
        <v>2863</v>
      </c>
      <c r="O1025" s="102" t="s">
        <v>383</v>
      </c>
      <c r="P1025" s="103">
        <v>1</v>
      </c>
      <c r="Q1025" s="105">
        <v>315000000</v>
      </c>
      <c r="R1025" s="103">
        <v>48</v>
      </c>
      <c r="S1025" s="105">
        <v>0</v>
      </c>
      <c r="T1025" s="105">
        <v>315000000</v>
      </c>
      <c r="U1025" s="105">
        <v>0</v>
      </c>
      <c r="V1025" s="105">
        <v>0</v>
      </c>
      <c r="W1025" s="105">
        <v>0</v>
      </c>
      <c r="X1025" s="105">
        <v>0</v>
      </c>
      <c r="Y1025" s="105">
        <v>0</v>
      </c>
      <c r="Z1025" s="105">
        <v>0</v>
      </c>
      <c r="AA1025" s="105">
        <v>0</v>
      </c>
      <c r="AB1025" s="105">
        <v>0</v>
      </c>
      <c r="AC1025" s="8">
        <f t="shared" si="105"/>
        <v>315000000</v>
      </c>
      <c r="AD1025" s="8">
        <f t="shared" si="106"/>
        <v>0</v>
      </c>
      <c r="AE1025" s="8">
        <f t="shared" si="107"/>
        <v>0</v>
      </c>
      <c r="AF1025" s="106">
        <f t="shared" si="108"/>
        <v>0</v>
      </c>
      <c r="AG1025" s="8">
        <f t="shared" si="109"/>
        <v>0</v>
      </c>
      <c r="AH1025" s="8">
        <f>IF($O1025="Aktif",MAX(0,MIN($AE1025,$AD1025-SUM($AG1025:AG1025))),0)</f>
        <v>0</v>
      </c>
      <c r="AI1025" s="8">
        <f>IF($O1025="Aktif",MAX(0,MIN($AE1025,$AD1025-SUM($AG1025:AH1025))),0)</f>
        <v>0</v>
      </c>
      <c r="AJ1025" s="8">
        <f>IF($O1025="Aktif",MAX(0,MIN($AE1025,$AD1025-SUM($AG1025:AI1025))),0)</f>
        <v>0</v>
      </c>
      <c r="AK1025" s="8">
        <f>IF($O1025="Aktif",MAX(0,MIN($AE1025,$AD1025-SUM($AG1025:AJ1025))),0)</f>
        <v>0</v>
      </c>
      <c r="AL1025" s="8">
        <f>IF($O1025="Aktif",MAX(0,MIN($AE1025,$AD1025-SUM($AG1025:AK1025))),0)</f>
        <v>0</v>
      </c>
      <c r="AM1025" s="8">
        <f>IF($O1025="Aktif",MAX(0,MIN($AE1025,$AD1025-SUM($AG1025:AL1025))),0)</f>
        <v>0</v>
      </c>
      <c r="AN1025" s="8">
        <f>IF($O1025="Aktif",MAX(0,MIN($AE1025,$AD1025-SUM($AG1025:AM1025))),0)</f>
        <v>0</v>
      </c>
      <c r="AO1025" s="8">
        <f>IF($O1025="Aktif",MAX(0,MIN($AE1025,$AD1025-SUM($AG1025:AN1025))),0)</f>
        <v>0</v>
      </c>
      <c r="AP1025" s="8">
        <f>IF($O1025="Aktif",MAX(0,MIN($AE1025,$AD1025-SUM($AG1025:AO1025))),0)</f>
        <v>0</v>
      </c>
      <c r="AQ1025" s="8">
        <f>IF($O1025="Aktif",MAX(0,MIN($AE1025,$AD1025-SUM($AG1025:AP1025))),0)</f>
        <v>0</v>
      </c>
      <c r="AR1025" s="8">
        <f>IF($O1025="Aktif",MAX(0,MIN($AE1025,$AD1025-SUM($AG1025:AQ1025))),0)</f>
        <v>0</v>
      </c>
      <c r="AS1025" s="8">
        <f>IF($O1025="Aktif",MAX(0,MIN($AE1025,$AD1025-SUM($AG1025:AR1025))),0)</f>
        <v>0</v>
      </c>
      <c r="AT1025" s="8">
        <f>IF($O1025="Aktif",MAX(0,MIN($AE1025,$AD1025-SUM($AG1025:AS1025))),0)</f>
        <v>0</v>
      </c>
      <c r="AU1025" s="8">
        <f>IF($O1025="Aktif",MAX(0,MIN($AE1025,$AD1025-SUM($AG1025:AT1025))),0)</f>
        <v>0</v>
      </c>
      <c r="AV1025" s="8">
        <f>IF($O1025="Aktif",MAX(0,MIN($AE1025,$AD1025-SUM($AG1025:AU1025))),0)</f>
        <v>0</v>
      </c>
      <c r="AW1025" s="8">
        <f t="shared" si="110"/>
        <v>0</v>
      </c>
      <c r="AX1025" s="8">
        <f t="shared" si="111"/>
        <v>0</v>
      </c>
    </row>
    <row r="1026" spans="1:50" ht="15" customHeight="1" x14ac:dyDescent="0.35">
      <c r="A1026" s="102">
        <v>1020</v>
      </c>
      <c r="B1026" s="102" t="s">
        <v>2815</v>
      </c>
      <c r="C1026" s="103">
        <v>42</v>
      </c>
      <c r="D1026" s="102" t="s">
        <v>186</v>
      </c>
      <c r="E1026" s="102" t="s">
        <v>587</v>
      </c>
      <c r="F1026" s="102" t="s">
        <v>2816</v>
      </c>
      <c r="G1026" s="102" t="s">
        <v>2817</v>
      </c>
      <c r="H1026" s="102" t="s">
        <v>2818</v>
      </c>
      <c r="I1026" s="102" t="s">
        <v>63</v>
      </c>
      <c r="J1026" s="102" t="s">
        <v>2864</v>
      </c>
      <c r="K1026" s="102" t="s">
        <v>591</v>
      </c>
      <c r="L1026" s="102" t="s">
        <v>592</v>
      </c>
      <c r="M1026" s="102" t="s">
        <v>2865</v>
      </c>
      <c r="N1026" s="102" t="s">
        <v>2865</v>
      </c>
      <c r="O1026" s="102" t="s">
        <v>383</v>
      </c>
      <c r="P1026" s="103">
        <v>1</v>
      </c>
      <c r="Q1026" s="105">
        <v>208054000</v>
      </c>
      <c r="R1026" s="103">
        <v>48</v>
      </c>
      <c r="S1026" s="105">
        <v>0</v>
      </c>
      <c r="T1026" s="105">
        <v>208054000</v>
      </c>
      <c r="U1026" s="105">
        <v>0</v>
      </c>
      <c r="V1026" s="105">
        <v>0</v>
      </c>
      <c r="W1026" s="105">
        <v>0</v>
      </c>
      <c r="X1026" s="105">
        <v>0</v>
      </c>
      <c r="Y1026" s="105">
        <v>0</v>
      </c>
      <c r="Z1026" s="105">
        <v>0</v>
      </c>
      <c r="AA1026" s="105">
        <v>0</v>
      </c>
      <c r="AB1026" s="105">
        <v>0</v>
      </c>
      <c r="AC1026" s="8">
        <f t="shared" si="105"/>
        <v>208054000</v>
      </c>
      <c r="AD1026" s="8">
        <f t="shared" si="106"/>
        <v>0</v>
      </c>
      <c r="AE1026" s="8">
        <f t="shared" si="107"/>
        <v>0</v>
      </c>
      <c r="AF1026" s="106">
        <f t="shared" si="108"/>
        <v>0</v>
      </c>
      <c r="AG1026" s="8">
        <f t="shared" si="109"/>
        <v>0</v>
      </c>
      <c r="AH1026" s="8">
        <f>IF($O1026="Aktif",MAX(0,MIN($AE1026,$AD1026-SUM($AG1026:AG1026))),0)</f>
        <v>0</v>
      </c>
      <c r="AI1026" s="8">
        <f>IF($O1026="Aktif",MAX(0,MIN($AE1026,$AD1026-SUM($AG1026:AH1026))),0)</f>
        <v>0</v>
      </c>
      <c r="AJ1026" s="8">
        <f>IF($O1026="Aktif",MAX(0,MIN($AE1026,$AD1026-SUM($AG1026:AI1026))),0)</f>
        <v>0</v>
      </c>
      <c r="AK1026" s="8">
        <f>IF($O1026="Aktif",MAX(0,MIN($AE1026,$AD1026-SUM($AG1026:AJ1026))),0)</f>
        <v>0</v>
      </c>
      <c r="AL1026" s="8">
        <f>IF($O1026="Aktif",MAX(0,MIN($AE1026,$AD1026-SUM($AG1026:AK1026))),0)</f>
        <v>0</v>
      </c>
      <c r="AM1026" s="8">
        <f>IF($O1026="Aktif",MAX(0,MIN($AE1026,$AD1026-SUM($AG1026:AL1026))),0)</f>
        <v>0</v>
      </c>
      <c r="AN1026" s="8">
        <f>IF($O1026="Aktif",MAX(0,MIN($AE1026,$AD1026-SUM($AG1026:AM1026))),0)</f>
        <v>0</v>
      </c>
      <c r="AO1026" s="8">
        <f>IF($O1026="Aktif",MAX(0,MIN($AE1026,$AD1026-SUM($AG1026:AN1026))),0)</f>
        <v>0</v>
      </c>
      <c r="AP1026" s="8">
        <f>IF($O1026="Aktif",MAX(0,MIN($AE1026,$AD1026-SUM($AG1026:AO1026))),0)</f>
        <v>0</v>
      </c>
      <c r="AQ1026" s="8">
        <f>IF($O1026="Aktif",MAX(0,MIN($AE1026,$AD1026-SUM($AG1026:AP1026))),0)</f>
        <v>0</v>
      </c>
      <c r="AR1026" s="8">
        <f>IF($O1026="Aktif",MAX(0,MIN($AE1026,$AD1026-SUM($AG1026:AQ1026))),0)</f>
        <v>0</v>
      </c>
      <c r="AS1026" s="8">
        <f>IF($O1026="Aktif",MAX(0,MIN($AE1026,$AD1026-SUM($AG1026:AR1026))),0)</f>
        <v>0</v>
      </c>
      <c r="AT1026" s="8">
        <f>IF($O1026="Aktif",MAX(0,MIN($AE1026,$AD1026-SUM($AG1026:AS1026))),0)</f>
        <v>0</v>
      </c>
      <c r="AU1026" s="8">
        <f>IF($O1026="Aktif",MAX(0,MIN($AE1026,$AD1026-SUM($AG1026:AT1026))),0)</f>
        <v>0</v>
      </c>
      <c r="AV1026" s="8">
        <f>IF($O1026="Aktif",MAX(0,MIN($AE1026,$AD1026-SUM($AG1026:AU1026))),0)</f>
        <v>0</v>
      </c>
      <c r="AW1026" s="8">
        <f t="shared" si="110"/>
        <v>0</v>
      </c>
      <c r="AX1026" s="8">
        <f t="shared" si="111"/>
        <v>0</v>
      </c>
    </row>
    <row r="1027" spans="1:50" ht="15" customHeight="1" x14ac:dyDescent="0.35">
      <c r="A1027" s="102">
        <v>1021</v>
      </c>
      <c r="B1027" s="102" t="s">
        <v>2815</v>
      </c>
      <c r="C1027" s="103">
        <v>43</v>
      </c>
      <c r="D1027" s="102" t="s">
        <v>186</v>
      </c>
      <c r="E1027" s="102" t="s">
        <v>587</v>
      </c>
      <c r="F1027" s="102" t="s">
        <v>2816</v>
      </c>
      <c r="G1027" s="102" t="s">
        <v>2817</v>
      </c>
      <c r="H1027" s="102" t="s">
        <v>2818</v>
      </c>
      <c r="I1027" s="102" t="s">
        <v>63</v>
      </c>
      <c r="J1027" s="102" t="s">
        <v>2866</v>
      </c>
      <c r="K1027" s="102" t="s">
        <v>591</v>
      </c>
      <c r="L1027" s="102" t="s">
        <v>592</v>
      </c>
      <c r="M1027" s="102" t="s">
        <v>2867</v>
      </c>
      <c r="N1027" s="102" t="s">
        <v>2867</v>
      </c>
      <c r="O1027" s="102" t="s">
        <v>383</v>
      </c>
      <c r="P1027" s="103">
        <v>1</v>
      </c>
      <c r="Q1027" s="105">
        <v>10000000</v>
      </c>
      <c r="R1027" s="103">
        <v>48</v>
      </c>
      <c r="S1027" s="105">
        <v>0</v>
      </c>
      <c r="T1027" s="105">
        <v>10000000</v>
      </c>
      <c r="U1027" s="105">
        <v>0</v>
      </c>
      <c r="V1027" s="105">
        <v>0</v>
      </c>
      <c r="W1027" s="105">
        <v>0</v>
      </c>
      <c r="X1027" s="105">
        <v>0</v>
      </c>
      <c r="Y1027" s="105">
        <v>0</v>
      </c>
      <c r="Z1027" s="105">
        <v>0</v>
      </c>
      <c r="AA1027" s="105">
        <v>0</v>
      </c>
      <c r="AB1027" s="105">
        <v>0</v>
      </c>
      <c r="AC1027" s="8">
        <f t="shared" si="105"/>
        <v>10000000</v>
      </c>
      <c r="AD1027" s="8">
        <f t="shared" si="106"/>
        <v>0</v>
      </c>
      <c r="AE1027" s="8">
        <f t="shared" si="107"/>
        <v>0</v>
      </c>
      <c r="AF1027" s="106">
        <f t="shared" si="108"/>
        <v>0</v>
      </c>
      <c r="AG1027" s="8">
        <f t="shared" si="109"/>
        <v>0</v>
      </c>
      <c r="AH1027" s="8">
        <f>IF($O1027="Aktif",MAX(0,MIN($AE1027,$AD1027-SUM($AG1027:AG1027))),0)</f>
        <v>0</v>
      </c>
      <c r="AI1027" s="8">
        <f>IF($O1027="Aktif",MAX(0,MIN($AE1027,$AD1027-SUM($AG1027:AH1027))),0)</f>
        <v>0</v>
      </c>
      <c r="AJ1027" s="8">
        <f>IF($O1027="Aktif",MAX(0,MIN($AE1027,$AD1027-SUM($AG1027:AI1027))),0)</f>
        <v>0</v>
      </c>
      <c r="AK1027" s="8">
        <f>IF($O1027="Aktif",MAX(0,MIN($AE1027,$AD1027-SUM($AG1027:AJ1027))),0)</f>
        <v>0</v>
      </c>
      <c r="AL1027" s="8">
        <f>IF($O1027="Aktif",MAX(0,MIN($AE1027,$AD1027-SUM($AG1027:AK1027))),0)</f>
        <v>0</v>
      </c>
      <c r="AM1027" s="8">
        <f>IF($O1027="Aktif",MAX(0,MIN($AE1027,$AD1027-SUM($AG1027:AL1027))),0)</f>
        <v>0</v>
      </c>
      <c r="AN1027" s="8">
        <f>IF($O1027="Aktif",MAX(0,MIN($AE1027,$AD1027-SUM($AG1027:AM1027))),0)</f>
        <v>0</v>
      </c>
      <c r="AO1027" s="8">
        <f>IF($O1027="Aktif",MAX(0,MIN($AE1027,$AD1027-SUM($AG1027:AN1027))),0)</f>
        <v>0</v>
      </c>
      <c r="AP1027" s="8">
        <f>IF($O1027="Aktif",MAX(0,MIN($AE1027,$AD1027-SUM($AG1027:AO1027))),0)</f>
        <v>0</v>
      </c>
      <c r="AQ1027" s="8">
        <f>IF($O1027="Aktif",MAX(0,MIN($AE1027,$AD1027-SUM($AG1027:AP1027))),0)</f>
        <v>0</v>
      </c>
      <c r="AR1027" s="8">
        <f>IF($O1027="Aktif",MAX(0,MIN($AE1027,$AD1027-SUM($AG1027:AQ1027))),0)</f>
        <v>0</v>
      </c>
      <c r="AS1027" s="8">
        <f>IF($O1027="Aktif",MAX(0,MIN($AE1027,$AD1027-SUM($AG1027:AR1027))),0)</f>
        <v>0</v>
      </c>
      <c r="AT1027" s="8">
        <f>IF($O1027="Aktif",MAX(0,MIN($AE1027,$AD1027-SUM($AG1027:AS1027))),0)</f>
        <v>0</v>
      </c>
      <c r="AU1027" s="8">
        <f>IF($O1027="Aktif",MAX(0,MIN($AE1027,$AD1027-SUM($AG1027:AT1027))),0)</f>
        <v>0</v>
      </c>
      <c r="AV1027" s="8">
        <f>IF($O1027="Aktif",MAX(0,MIN($AE1027,$AD1027-SUM($AG1027:AU1027))),0)</f>
        <v>0</v>
      </c>
      <c r="AW1027" s="8">
        <f t="shared" si="110"/>
        <v>0</v>
      </c>
      <c r="AX1027" s="8">
        <f t="shared" si="111"/>
        <v>0</v>
      </c>
    </row>
    <row r="1028" spans="1:50" ht="15" customHeight="1" x14ac:dyDescent="0.35">
      <c r="A1028" s="102">
        <v>1022</v>
      </c>
      <c r="B1028" s="102" t="s">
        <v>2815</v>
      </c>
      <c r="C1028" s="103">
        <v>44</v>
      </c>
      <c r="D1028" s="102" t="s">
        <v>186</v>
      </c>
      <c r="E1028" s="102" t="s">
        <v>587</v>
      </c>
      <c r="F1028" s="102" t="s">
        <v>2816</v>
      </c>
      <c r="G1028" s="102" t="s">
        <v>2817</v>
      </c>
      <c r="H1028" s="102" t="s">
        <v>2818</v>
      </c>
      <c r="I1028" s="102" t="s">
        <v>63</v>
      </c>
      <c r="J1028" s="102" t="s">
        <v>2868</v>
      </c>
      <c r="K1028" s="102" t="s">
        <v>591</v>
      </c>
      <c r="L1028" s="102" t="s">
        <v>592</v>
      </c>
      <c r="M1028" s="102" t="s">
        <v>2869</v>
      </c>
      <c r="N1028" s="102" t="s">
        <v>2869</v>
      </c>
      <c r="O1028" s="102" t="s">
        <v>383</v>
      </c>
      <c r="P1028" s="103">
        <v>1</v>
      </c>
      <c r="Q1028" s="105">
        <v>7000000</v>
      </c>
      <c r="R1028" s="103">
        <v>48</v>
      </c>
      <c r="S1028" s="105">
        <v>0</v>
      </c>
      <c r="T1028" s="105">
        <v>7000000</v>
      </c>
      <c r="U1028" s="105">
        <v>0</v>
      </c>
      <c r="V1028" s="105">
        <v>0</v>
      </c>
      <c r="W1028" s="105">
        <v>0</v>
      </c>
      <c r="X1028" s="105">
        <v>0</v>
      </c>
      <c r="Y1028" s="105">
        <v>0</v>
      </c>
      <c r="Z1028" s="105">
        <v>0</v>
      </c>
      <c r="AA1028" s="105">
        <v>0</v>
      </c>
      <c r="AB1028" s="105">
        <v>0</v>
      </c>
      <c r="AC1028" s="8">
        <f t="shared" si="105"/>
        <v>7000000</v>
      </c>
      <c r="AD1028" s="8">
        <f t="shared" si="106"/>
        <v>0</v>
      </c>
      <c r="AE1028" s="8">
        <f t="shared" si="107"/>
        <v>0</v>
      </c>
      <c r="AF1028" s="106">
        <f t="shared" si="108"/>
        <v>0</v>
      </c>
      <c r="AG1028" s="8">
        <f t="shared" si="109"/>
        <v>0</v>
      </c>
      <c r="AH1028" s="8">
        <f>IF($O1028="Aktif",MAX(0,MIN($AE1028,$AD1028-SUM($AG1028:AG1028))),0)</f>
        <v>0</v>
      </c>
      <c r="AI1028" s="8">
        <f>IF($O1028="Aktif",MAX(0,MIN($AE1028,$AD1028-SUM($AG1028:AH1028))),0)</f>
        <v>0</v>
      </c>
      <c r="AJ1028" s="8">
        <f>IF($O1028="Aktif",MAX(0,MIN($AE1028,$AD1028-SUM($AG1028:AI1028))),0)</f>
        <v>0</v>
      </c>
      <c r="AK1028" s="8">
        <f>IF($O1028="Aktif",MAX(0,MIN($AE1028,$AD1028-SUM($AG1028:AJ1028))),0)</f>
        <v>0</v>
      </c>
      <c r="AL1028" s="8">
        <f>IF($O1028="Aktif",MAX(0,MIN($AE1028,$AD1028-SUM($AG1028:AK1028))),0)</f>
        <v>0</v>
      </c>
      <c r="AM1028" s="8">
        <f>IF($O1028="Aktif",MAX(0,MIN($AE1028,$AD1028-SUM($AG1028:AL1028))),0)</f>
        <v>0</v>
      </c>
      <c r="AN1028" s="8">
        <f>IF($O1028="Aktif",MAX(0,MIN($AE1028,$AD1028-SUM($AG1028:AM1028))),0)</f>
        <v>0</v>
      </c>
      <c r="AO1028" s="8">
        <f>IF($O1028="Aktif",MAX(0,MIN($AE1028,$AD1028-SUM($AG1028:AN1028))),0)</f>
        <v>0</v>
      </c>
      <c r="AP1028" s="8">
        <f>IF($O1028="Aktif",MAX(0,MIN($AE1028,$AD1028-SUM($AG1028:AO1028))),0)</f>
        <v>0</v>
      </c>
      <c r="AQ1028" s="8">
        <f>IF($O1028="Aktif",MAX(0,MIN($AE1028,$AD1028-SUM($AG1028:AP1028))),0)</f>
        <v>0</v>
      </c>
      <c r="AR1028" s="8">
        <f>IF($O1028="Aktif",MAX(0,MIN($AE1028,$AD1028-SUM($AG1028:AQ1028))),0)</f>
        <v>0</v>
      </c>
      <c r="AS1028" s="8">
        <f>IF($O1028="Aktif",MAX(0,MIN($AE1028,$AD1028-SUM($AG1028:AR1028))),0)</f>
        <v>0</v>
      </c>
      <c r="AT1028" s="8">
        <f>IF($O1028="Aktif",MAX(0,MIN($AE1028,$AD1028-SUM($AG1028:AS1028))),0)</f>
        <v>0</v>
      </c>
      <c r="AU1028" s="8">
        <f>IF($O1028="Aktif",MAX(0,MIN($AE1028,$AD1028-SUM($AG1028:AT1028))),0)</f>
        <v>0</v>
      </c>
      <c r="AV1028" s="8">
        <f>IF($O1028="Aktif",MAX(0,MIN($AE1028,$AD1028-SUM($AG1028:AU1028))),0)</f>
        <v>0</v>
      </c>
      <c r="AW1028" s="8">
        <f t="shared" si="110"/>
        <v>0</v>
      </c>
      <c r="AX1028" s="8">
        <f t="shared" si="111"/>
        <v>0</v>
      </c>
    </row>
    <row r="1029" spans="1:50" ht="15" customHeight="1" x14ac:dyDescent="0.35">
      <c r="A1029" s="102">
        <v>1023</v>
      </c>
      <c r="B1029" s="102" t="s">
        <v>2815</v>
      </c>
      <c r="C1029" s="103">
        <v>45</v>
      </c>
      <c r="D1029" s="102" t="s">
        <v>186</v>
      </c>
      <c r="E1029" s="102" t="s">
        <v>587</v>
      </c>
      <c r="F1029" s="102" t="s">
        <v>2816</v>
      </c>
      <c r="G1029" s="102" t="s">
        <v>2817</v>
      </c>
      <c r="H1029" s="102" t="s">
        <v>2818</v>
      </c>
      <c r="I1029" s="102" t="s">
        <v>63</v>
      </c>
      <c r="J1029" s="102" t="s">
        <v>2870</v>
      </c>
      <c r="K1029" s="102" t="s">
        <v>591</v>
      </c>
      <c r="L1029" s="102" t="s">
        <v>592</v>
      </c>
      <c r="M1029" s="102" t="s">
        <v>2871</v>
      </c>
      <c r="N1029" s="102" t="s">
        <v>2871</v>
      </c>
      <c r="O1029" s="102" t="s">
        <v>383</v>
      </c>
      <c r="P1029" s="103">
        <v>1</v>
      </c>
      <c r="Q1029" s="105">
        <v>15000000</v>
      </c>
      <c r="R1029" s="103">
        <v>48</v>
      </c>
      <c r="S1029" s="105">
        <v>0</v>
      </c>
      <c r="T1029" s="105">
        <v>15000000</v>
      </c>
      <c r="U1029" s="105">
        <v>0</v>
      </c>
      <c r="V1029" s="105">
        <v>0</v>
      </c>
      <c r="W1029" s="105">
        <v>0</v>
      </c>
      <c r="X1029" s="105">
        <v>0</v>
      </c>
      <c r="Y1029" s="105">
        <v>0</v>
      </c>
      <c r="Z1029" s="105">
        <v>0</v>
      </c>
      <c r="AA1029" s="105">
        <v>0</v>
      </c>
      <c r="AB1029" s="105">
        <v>0</v>
      </c>
      <c r="AC1029" s="8">
        <f t="shared" si="105"/>
        <v>15000000</v>
      </c>
      <c r="AD1029" s="8">
        <f t="shared" si="106"/>
        <v>0</v>
      </c>
      <c r="AE1029" s="8">
        <f t="shared" si="107"/>
        <v>0</v>
      </c>
      <c r="AF1029" s="106">
        <f t="shared" si="108"/>
        <v>0</v>
      </c>
      <c r="AG1029" s="8">
        <f t="shared" si="109"/>
        <v>0</v>
      </c>
      <c r="AH1029" s="8">
        <f>IF($O1029="Aktif",MAX(0,MIN($AE1029,$AD1029-SUM($AG1029:AG1029))),0)</f>
        <v>0</v>
      </c>
      <c r="AI1029" s="8">
        <f>IF($O1029="Aktif",MAX(0,MIN($AE1029,$AD1029-SUM($AG1029:AH1029))),0)</f>
        <v>0</v>
      </c>
      <c r="AJ1029" s="8">
        <f>IF($O1029="Aktif",MAX(0,MIN($AE1029,$AD1029-SUM($AG1029:AI1029))),0)</f>
        <v>0</v>
      </c>
      <c r="AK1029" s="8">
        <f>IF($O1029="Aktif",MAX(0,MIN($AE1029,$AD1029-SUM($AG1029:AJ1029))),0)</f>
        <v>0</v>
      </c>
      <c r="AL1029" s="8">
        <f>IF($O1029="Aktif",MAX(0,MIN($AE1029,$AD1029-SUM($AG1029:AK1029))),0)</f>
        <v>0</v>
      </c>
      <c r="AM1029" s="8">
        <f>IF($O1029="Aktif",MAX(0,MIN($AE1029,$AD1029-SUM($AG1029:AL1029))),0)</f>
        <v>0</v>
      </c>
      <c r="AN1029" s="8">
        <f>IF($O1029="Aktif",MAX(0,MIN($AE1029,$AD1029-SUM($AG1029:AM1029))),0)</f>
        <v>0</v>
      </c>
      <c r="AO1029" s="8">
        <f>IF($O1029="Aktif",MAX(0,MIN($AE1029,$AD1029-SUM($AG1029:AN1029))),0)</f>
        <v>0</v>
      </c>
      <c r="AP1029" s="8">
        <f>IF($O1029="Aktif",MAX(0,MIN($AE1029,$AD1029-SUM($AG1029:AO1029))),0)</f>
        <v>0</v>
      </c>
      <c r="AQ1029" s="8">
        <f>IF($O1029="Aktif",MAX(0,MIN($AE1029,$AD1029-SUM($AG1029:AP1029))),0)</f>
        <v>0</v>
      </c>
      <c r="AR1029" s="8">
        <f>IF($O1029="Aktif",MAX(0,MIN($AE1029,$AD1029-SUM($AG1029:AQ1029))),0)</f>
        <v>0</v>
      </c>
      <c r="AS1029" s="8">
        <f>IF($O1029="Aktif",MAX(0,MIN($AE1029,$AD1029-SUM($AG1029:AR1029))),0)</f>
        <v>0</v>
      </c>
      <c r="AT1029" s="8">
        <f>IF($O1029="Aktif",MAX(0,MIN($AE1029,$AD1029-SUM($AG1029:AS1029))),0)</f>
        <v>0</v>
      </c>
      <c r="AU1029" s="8">
        <f>IF($O1029="Aktif",MAX(0,MIN($AE1029,$AD1029-SUM($AG1029:AT1029))),0)</f>
        <v>0</v>
      </c>
      <c r="AV1029" s="8">
        <f>IF($O1029="Aktif",MAX(0,MIN($AE1029,$AD1029-SUM($AG1029:AU1029))),0)</f>
        <v>0</v>
      </c>
      <c r="AW1029" s="8">
        <f t="shared" si="110"/>
        <v>0</v>
      </c>
      <c r="AX1029" s="8">
        <f t="shared" si="111"/>
        <v>0</v>
      </c>
    </row>
    <row r="1030" spans="1:50" ht="15" customHeight="1" x14ac:dyDescent="0.35">
      <c r="A1030" s="102">
        <v>1024</v>
      </c>
      <c r="B1030" s="102" t="s">
        <v>2815</v>
      </c>
      <c r="C1030" s="103">
        <v>46</v>
      </c>
      <c r="D1030" s="102" t="s">
        <v>186</v>
      </c>
      <c r="E1030" s="102" t="s">
        <v>587</v>
      </c>
      <c r="F1030" s="102" t="s">
        <v>2816</v>
      </c>
      <c r="G1030" s="102" t="s">
        <v>2817</v>
      </c>
      <c r="H1030" s="102" t="s">
        <v>2818</v>
      </c>
      <c r="I1030" s="102" t="s">
        <v>63</v>
      </c>
      <c r="J1030" s="102" t="s">
        <v>2872</v>
      </c>
      <c r="K1030" s="102" t="s">
        <v>591</v>
      </c>
      <c r="L1030" s="102" t="s">
        <v>592</v>
      </c>
      <c r="M1030" s="102" t="s">
        <v>2873</v>
      </c>
      <c r="N1030" s="102" t="s">
        <v>2873</v>
      </c>
      <c r="O1030" s="102" t="s">
        <v>383</v>
      </c>
      <c r="P1030" s="103">
        <v>1</v>
      </c>
      <c r="Q1030" s="105">
        <v>25000000</v>
      </c>
      <c r="R1030" s="103">
        <v>48</v>
      </c>
      <c r="S1030" s="105">
        <v>0</v>
      </c>
      <c r="T1030" s="105">
        <v>25000000</v>
      </c>
      <c r="U1030" s="105">
        <v>0</v>
      </c>
      <c r="V1030" s="105">
        <v>0</v>
      </c>
      <c r="W1030" s="105">
        <v>0</v>
      </c>
      <c r="X1030" s="105">
        <v>0</v>
      </c>
      <c r="Y1030" s="105">
        <v>0</v>
      </c>
      <c r="Z1030" s="105">
        <v>0</v>
      </c>
      <c r="AA1030" s="105">
        <v>0</v>
      </c>
      <c r="AB1030" s="105">
        <v>0</v>
      </c>
      <c r="AC1030" s="8">
        <f t="shared" si="105"/>
        <v>25000000</v>
      </c>
      <c r="AD1030" s="8">
        <f t="shared" si="106"/>
        <v>0</v>
      </c>
      <c r="AE1030" s="8">
        <f t="shared" si="107"/>
        <v>0</v>
      </c>
      <c r="AF1030" s="106">
        <f t="shared" si="108"/>
        <v>0</v>
      </c>
      <c r="AG1030" s="8">
        <f t="shared" si="109"/>
        <v>0</v>
      </c>
      <c r="AH1030" s="8">
        <f>IF($O1030="Aktif",MAX(0,MIN($AE1030,$AD1030-SUM($AG1030:AG1030))),0)</f>
        <v>0</v>
      </c>
      <c r="AI1030" s="8">
        <f>IF($O1030="Aktif",MAX(0,MIN($AE1030,$AD1030-SUM($AG1030:AH1030))),0)</f>
        <v>0</v>
      </c>
      <c r="AJ1030" s="8">
        <f>IF($O1030="Aktif",MAX(0,MIN($AE1030,$AD1030-SUM($AG1030:AI1030))),0)</f>
        <v>0</v>
      </c>
      <c r="AK1030" s="8">
        <f>IF($O1030="Aktif",MAX(0,MIN($AE1030,$AD1030-SUM($AG1030:AJ1030))),0)</f>
        <v>0</v>
      </c>
      <c r="AL1030" s="8">
        <f>IF($O1030="Aktif",MAX(0,MIN($AE1030,$AD1030-SUM($AG1030:AK1030))),0)</f>
        <v>0</v>
      </c>
      <c r="AM1030" s="8">
        <f>IF($O1030="Aktif",MAX(0,MIN($AE1030,$AD1030-SUM($AG1030:AL1030))),0)</f>
        <v>0</v>
      </c>
      <c r="AN1030" s="8">
        <f>IF($O1030="Aktif",MAX(0,MIN($AE1030,$AD1030-SUM($AG1030:AM1030))),0)</f>
        <v>0</v>
      </c>
      <c r="AO1030" s="8">
        <f>IF($O1030="Aktif",MAX(0,MIN($AE1030,$AD1030-SUM($AG1030:AN1030))),0)</f>
        <v>0</v>
      </c>
      <c r="AP1030" s="8">
        <f>IF($O1030="Aktif",MAX(0,MIN($AE1030,$AD1030-SUM($AG1030:AO1030))),0)</f>
        <v>0</v>
      </c>
      <c r="AQ1030" s="8">
        <f>IF($O1030="Aktif",MAX(0,MIN($AE1030,$AD1030-SUM($AG1030:AP1030))),0)</f>
        <v>0</v>
      </c>
      <c r="AR1030" s="8">
        <f>IF($O1030="Aktif",MAX(0,MIN($AE1030,$AD1030-SUM($AG1030:AQ1030))),0)</f>
        <v>0</v>
      </c>
      <c r="AS1030" s="8">
        <f>IF($O1030="Aktif",MAX(0,MIN($AE1030,$AD1030-SUM($AG1030:AR1030))),0)</f>
        <v>0</v>
      </c>
      <c r="AT1030" s="8">
        <f>IF($O1030="Aktif",MAX(0,MIN($AE1030,$AD1030-SUM($AG1030:AS1030))),0)</f>
        <v>0</v>
      </c>
      <c r="AU1030" s="8">
        <f>IF($O1030="Aktif",MAX(0,MIN($AE1030,$AD1030-SUM($AG1030:AT1030))),0)</f>
        <v>0</v>
      </c>
      <c r="AV1030" s="8">
        <f>IF($O1030="Aktif",MAX(0,MIN($AE1030,$AD1030-SUM($AG1030:AU1030))),0)</f>
        <v>0</v>
      </c>
      <c r="AW1030" s="8">
        <f t="shared" si="110"/>
        <v>0</v>
      </c>
      <c r="AX1030" s="8">
        <f t="shared" si="111"/>
        <v>0</v>
      </c>
    </row>
    <row r="1031" spans="1:50" ht="15" customHeight="1" x14ac:dyDescent="0.35">
      <c r="A1031" s="102">
        <v>1025</v>
      </c>
      <c r="B1031" s="102" t="s">
        <v>2815</v>
      </c>
      <c r="C1031" s="103">
        <v>47</v>
      </c>
      <c r="D1031" s="102" t="s">
        <v>186</v>
      </c>
      <c r="E1031" s="102" t="s">
        <v>587</v>
      </c>
      <c r="F1031" s="102" t="s">
        <v>2816</v>
      </c>
      <c r="G1031" s="102" t="s">
        <v>2817</v>
      </c>
      <c r="H1031" s="102" t="s">
        <v>2818</v>
      </c>
      <c r="I1031" s="102" t="s">
        <v>63</v>
      </c>
      <c r="J1031" s="102" t="s">
        <v>2874</v>
      </c>
      <c r="K1031" s="102" t="s">
        <v>591</v>
      </c>
      <c r="L1031" s="102" t="s">
        <v>592</v>
      </c>
      <c r="M1031" s="102" t="s">
        <v>2875</v>
      </c>
      <c r="N1031" s="102" t="s">
        <v>2875</v>
      </c>
      <c r="O1031" s="102" t="s">
        <v>383</v>
      </c>
      <c r="P1031" s="103">
        <v>1</v>
      </c>
      <c r="Q1031" s="105">
        <v>45000000</v>
      </c>
      <c r="R1031" s="103">
        <v>48</v>
      </c>
      <c r="S1031" s="105">
        <v>0</v>
      </c>
      <c r="T1031" s="105">
        <v>45000000</v>
      </c>
      <c r="U1031" s="105">
        <v>0</v>
      </c>
      <c r="V1031" s="105">
        <v>0</v>
      </c>
      <c r="W1031" s="105">
        <v>0</v>
      </c>
      <c r="X1031" s="105">
        <v>0</v>
      </c>
      <c r="Y1031" s="105">
        <v>0</v>
      </c>
      <c r="Z1031" s="105">
        <v>0</v>
      </c>
      <c r="AA1031" s="105">
        <v>0</v>
      </c>
      <c r="AB1031" s="105">
        <v>0</v>
      </c>
      <c r="AC1031" s="8">
        <f t="shared" ref="AC1031:AC1094" si="112">T1031+SUM(U1031:AB1031)</f>
        <v>45000000</v>
      </c>
      <c r="AD1031" s="8">
        <f t="shared" ref="AD1031:AD1094" si="113">Q1031-AC1031</f>
        <v>0</v>
      </c>
      <c r="AE1031" s="8">
        <f t="shared" ref="AE1031:AE1094" si="114">IF(O1031="Aktif",AB1031,0)</f>
        <v>0</v>
      </c>
      <c r="AF1031" s="106">
        <f t="shared" ref="AF1031:AF1094" si="115">IF(AE1031&gt;0,MAX(0,AD1031)/AE1031,0)</f>
        <v>0</v>
      </c>
      <c r="AG1031" s="8">
        <f t="shared" ref="AG1031:AG1094" si="116">IF($O1031="Aktif",MAX(0,MIN($AE1031,$AD1031-0)),0)</f>
        <v>0</v>
      </c>
      <c r="AH1031" s="8">
        <f>IF($O1031="Aktif",MAX(0,MIN($AE1031,$AD1031-SUM($AG1031:AG1031))),0)</f>
        <v>0</v>
      </c>
      <c r="AI1031" s="8">
        <f>IF($O1031="Aktif",MAX(0,MIN($AE1031,$AD1031-SUM($AG1031:AH1031))),0)</f>
        <v>0</v>
      </c>
      <c r="AJ1031" s="8">
        <f>IF($O1031="Aktif",MAX(0,MIN($AE1031,$AD1031-SUM($AG1031:AI1031))),0)</f>
        <v>0</v>
      </c>
      <c r="AK1031" s="8">
        <f>IF($O1031="Aktif",MAX(0,MIN($AE1031,$AD1031-SUM($AG1031:AJ1031))),0)</f>
        <v>0</v>
      </c>
      <c r="AL1031" s="8">
        <f>IF($O1031="Aktif",MAX(0,MIN($AE1031,$AD1031-SUM($AG1031:AK1031))),0)</f>
        <v>0</v>
      </c>
      <c r="AM1031" s="8">
        <f>IF($O1031="Aktif",MAX(0,MIN($AE1031,$AD1031-SUM($AG1031:AL1031))),0)</f>
        <v>0</v>
      </c>
      <c r="AN1031" s="8">
        <f>IF($O1031="Aktif",MAX(0,MIN($AE1031,$AD1031-SUM($AG1031:AM1031))),0)</f>
        <v>0</v>
      </c>
      <c r="AO1031" s="8">
        <f>IF($O1031="Aktif",MAX(0,MIN($AE1031,$AD1031-SUM($AG1031:AN1031))),0)</f>
        <v>0</v>
      </c>
      <c r="AP1031" s="8">
        <f>IF($O1031="Aktif",MAX(0,MIN($AE1031,$AD1031-SUM($AG1031:AO1031))),0)</f>
        <v>0</v>
      </c>
      <c r="AQ1031" s="8">
        <f>IF($O1031="Aktif",MAX(0,MIN($AE1031,$AD1031-SUM($AG1031:AP1031))),0)</f>
        <v>0</v>
      </c>
      <c r="AR1031" s="8">
        <f>IF($O1031="Aktif",MAX(0,MIN($AE1031,$AD1031-SUM($AG1031:AQ1031))),0)</f>
        <v>0</v>
      </c>
      <c r="AS1031" s="8">
        <f>IF($O1031="Aktif",MAX(0,MIN($AE1031,$AD1031-SUM($AG1031:AR1031))),0)</f>
        <v>0</v>
      </c>
      <c r="AT1031" s="8">
        <f>IF($O1031="Aktif",MAX(0,MIN($AE1031,$AD1031-SUM($AG1031:AS1031))),0)</f>
        <v>0</v>
      </c>
      <c r="AU1031" s="8">
        <f>IF($O1031="Aktif",MAX(0,MIN($AE1031,$AD1031-SUM($AG1031:AT1031))),0)</f>
        <v>0</v>
      </c>
      <c r="AV1031" s="8">
        <f>IF($O1031="Aktif",MAX(0,MIN($AE1031,$AD1031-SUM($AG1031:AU1031))),0)</f>
        <v>0</v>
      </c>
      <c r="AW1031" s="8">
        <f t="shared" ref="AW1031:AW1094" si="117">SUM(AG1031:AV1031)</f>
        <v>0</v>
      </c>
      <c r="AX1031" s="8">
        <f t="shared" ref="AX1031:AX1094" si="118">AD1031-AW1031</f>
        <v>0</v>
      </c>
    </row>
    <row r="1032" spans="1:50" ht="15" customHeight="1" x14ac:dyDescent="0.35">
      <c r="A1032" s="102">
        <v>1026</v>
      </c>
      <c r="B1032" s="102" t="s">
        <v>2815</v>
      </c>
      <c r="C1032" s="103">
        <v>48</v>
      </c>
      <c r="D1032" s="102" t="s">
        <v>186</v>
      </c>
      <c r="E1032" s="102" t="s">
        <v>587</v>
      </c>
      <c r="F1032" s="102" t="s">
        <v>2816</v>
      </c>
      <c r="G1032" s="102" t="s">
        <v>2817</v>
      </c>
      <c r="H1032" s="102" t="s">
        <v>2818</v>
      </c>
      <c r="I1032" s="102" t="s">
        <v>63</v>
      </c>
      <c r="J1032" s="102" t="s">
        <v>2876</v>
      </c>
      <c r="K1032" s="102" t="s">
        <v>591</v>
      </c>
      <c r="L1032" s="102" t="s">
        <v>592</v>
      </c>
      <c r="M1032" s="102" t="s">
        <v>2877</v>
      </c>
      <c r="N1032" s="102" t="s">
        <v>2877</v>
      </c>
      <c r="O1032" s="102" t="s">
        <v>383</v>
      </c>
      <c r="P1032" s="103">
        <v>1</v>
      </c>
      <c r="Q1032" s="105">
        <v>45000000</v>
      </c>
      <c r="R1032" s="103">
        <v>48</v>
      </c>
      <c r="S1032" s="105">
        <v>0</v>
      </c>
      <c r="T1032" s="105">
        <v>45000000</v>
      </c>
      <c r="U1032" s="105">
        <v>0</v>
      </c>
      <c r="V1032" s="105">
        <v>0</v>
      </c>
      <c r="W1032" s="105">
        <v>0</v>
      </c>
      <c r="X1032" s="105">
        <v>0</v>
      </c>
      <c r="Y1032" s="105">
        <v>0</v>
      </c>
      <c r="Z1032" s="105">
        <v>0</v>
      </c>
      <c r="AA1032" s="105">
        <v>0</v>
      </c>
      <c r="AB1032" s="105">
        <v>0</v>
      </c>
      <c r="AC1032" s="8">
        <f t="shared" si="112"/>
        <v>45000000</v>
      </c>
      <c r="AD1032" s="8">
        <f t="shared" si="113"/>
        <v>0</v>
      </c>
      <c r="AE1032" s="8">
        <f t="shared" si="114"/>
        <v>0</v>
      </c>
      <c r="AF1032" s="106">
        <f t="shared" si="115"/>
        <v>0</v>
      </c>
      <c r="AG1032" s="8">
        <f t="shared" si="116"/>
        <v>0</v>
      </c>
      <c r="AH1032" s="8">
        <f>IF($O1032="Aktif",MAX(0,MIN($AE1032,$AD1032-SUM($AG1032:AG1032))),0)</f>
        <v>0</v>
      </c>
      <c r="AI1032" s="8">
        <f>IF($O1032="Aktif",MAX(0,MIN($AE1032,$AD1032-SUM($AG1032:AH1032))),0)</f>
        <v>0</v>
      </c>
      <c r="AJ1032" s="8">
        <f>IF($O1032="Aktif",MAX(0,MIN($AE1032,$AD1032-SUM($AG1032:AI1032))),0)</f>
        <v>0</v>
      </c>
      <c r="AK1032" s="8">
        <f>IF($O1032="Aktif",MAX(0,MIN($AE1032,$AD1032-SUM($AG1032:AJ1032))),0)</f>
        <v>0</v>
      </c>
      <c r="AL1032" s="8">
        <f>IF($O1032="Aktif",MAX(0,MIN($AE1032,$AD1032-SUM($AG1032:AK1032))),0)</f>
        <v>0</v>
      </c>
      <c r="AM1032" s="8">
        <f>IF($O1032="Aktif",MAX(0,MIN($AE1032,$AD1032-SUM($AG1032:AL1032))),0)</f>
        <v>0</v>
      </c>
      <c r="AN1032" s="8">
        <f>IF($O1032="Aktif",MAX(0,MIN($AE1032,$AD1032-SUM($AG1032:AM1032))),0)</f>
        <v>0</v>
      </c>
      <c r="AO1032" s="8">
        <f>IF($O1032="Aktif",MAX(0,MIN($AE1032,$AD1032-SUM($AG1032:AN1032))),0)</f>
        <v>0</v>
      </c>
      <c r="AP1032" s="8">
        <f>IF($O1032="Aktif",MAX(0,MIN($AE1032,$AD1032-SUM($AG1032:AO1032))),0)</f>
        <v>0</v>
      </c>
      <c r="AQ1032" s="8">
        <f>IF($O1032="Aktif",MAX(0,MIN($AE1032,$AD1032-SUM($AG1032:AP1032))),0)</f>
        <v>0</v>
      </c>
      <c r="AR1032" s="8">
        <f>IF($O1032="Aktif",MAX(0,MIN($AE1032,$AD1032-SUM($AG1032:AQ1032))),0)</f>
        <v>0</v>
      </c>
      <c r="AS1032" s="8">
        <f>IF($O1032="Aktif",MAX(0,MIN($AE1032,$AD1032-SUM($AG1032:AR1032))),0)</f>
        <v>0</v>
      </c>
      <c r="AT1032" s="8">
        <f>IF($O1032="Aktif",MAX(0,MIN($AE1032,$AD1032-SUM($AG1032:AS1032))),0)</f>
        <v>0</v>
      </c>
      <c r="AU1032" s="8">
        <f>IF($O1032="Aktif",MAX(0,MIN($AE1032,$AD1032-SUM($AG1032:AT1032))),0)</f>
        <v>0</v>
      </c>
      <c r="AV1032" s="8">
        <f>IF($O1032="Aktif",MAX(0,MIN($AE1032,$AD1032-SUM($AG1032:AU1032))),0)</f>
        <v>0</v>
      </c>
      <c r="AW1032" s="8">
        <f t="shared" si="117"/>
        <v>0</v>
      </c>
      <c r="AX1032" s="8">
        <f t="shared" si="118"/>
        <v>0</v>
      </c>
    </row>
    <row r="1033" spans="1:50" ht="15" customHeight="1" x14ac:dyDescent="0.35">
      <c r="A1033" s="102">
        <v>1027</v>
      </c>
      <c r="B1033" s="102" t="s">
        <v>2815</v>
      </c>
      <c r="C1033" s="103">
        <v>49</v>
      </c>
      <c r="D1033" s="102" t="s">
        <v>186</v>
      </c>
      <c r="E1033" s="102" t="s">
        <v>587</v>
      </c>
      <c r="F1033" s="102" t="s">
        <v>2816</v>
      </c>
      <c r="G1033" s="102" t="s">
        <v>2817</v>
      </c>
      <c r="H1033" s="102" t="s">
        <v>2818</v>
      </c>
      <c r="I1033" s="102" t="s">
        <v>63</v>
      </c>
      <c r="J1033" s="102" t="s">
        <v>2878</v>
      </c>
      <c r="K1033" s="102" t="s">
        <v>591</v>
      </c>
      <c r="L1033" s="102" t="s">
        <v>592</v>
      </c>
      <c r="M1033" s="102" t="s">
        <v>2879</v>
      </c>
      <c r="N1033" s="102" t="s">
        <v>2879</v>
      </c>
      <c r="O1033" s="102" t="s">
        <v>383</v>
      </c>
      <c r="P1033" s="103">
        <v>1</v>
      </c>
      <c r="Q1033" s="105">
        <v>35000000</v>
      </c>
      <c r="R1033" s="103">
        <v>48</v>
      </c>
      <c r="S1033" s="105">
        <v>0</v>
      </c>
      <c r="T1033" s="105">
        <v>35000000</v>
      </c>
      <c r="U1033" s="105">
        <v>0</v>
      </c>
      <c r="V1033" s="105">
        <v>0</v>
      </c>
      <c r="W1033" s="105">
        <v>0</v>
      </c>
      <c r="X1033" s="105">
        <v>0</v>
      </c>
      <c r="Y1033" s="105">
        <v>0</v>
      </c>
      <c r="Z1033" s="105">
        <v>0</v>
      </c>
      <c r="AA1033" s="105">
        <v>0</v>
      </c>
      <c r="AB1033" s="105">
        <v>0</v>
      </c>
      <c r="AC1033" s="8">
        <f t="shared" si="112"/>
        <v>35000000</v>
      </c>
      <c r="AD1033" s="8">
        <f t="shared" si="113"/>
        <v>0</v>
      </c>
      <c r="AE1033" s="8">
        <f t="shared" si="114"/>
        <v>0</v>
      </c>
      <c r="AF1033" s="106">
        <f t="shared" si="115"/>
        <v>0</v>
      </c>
      <c r="AG1033" s="8">
        <f t="shared" si="116"/>
        <v>0</v>
      </c>
      <c r="AH1033" s="8">
        <f>IF($O1033="Aktif",MAX(0,MIN($AE1033,$AD1033-SUM($AG1033:AG1033))),0)</f>
        <v>0</v>
      </c>
      <c r="AI1033" s="8">
        <f>IF($O1033="Aktif",MAX(0,MIN($AE1033,$AD1033-SUM($AG1033:AH1033))),0)</f>
        <v>0</v>
      </c>
      <c r="AJ1033" s="8">
        <f>IF($O1033="Aktif",MAX(0,MIN($AE1033,$AD1033-SUM($AG1033:AI1033))),0)</f>
        <v>0</v>
      </c>
      <c r="AK1033" s="8">
        <f>IF($O1033="Aktif",MAX(0,MIN($AE1033,$AD1033-SUM($AG1033:AJ1033))),0)</f>
        <v>0</v>
      </c>
      <c r="AL1033" s="8">
        <f>IF($O1033="Aktif",MAX(0,MIN($AE1033,$AD1033-SUM($AG1033:AK1033))),0)</f>
        <v>0</v>
      </c>
      <c r="AM1033" s="8">
        <f>IF($O1033="Aktif",MAX(0,MIN($AE1033,$AD1033-SUM($AG1033:AL1033))),0)</f>
        <v>0</v>
      </c>
      <c r="AN1033" s="8">
        <f>IF($O1033="Aktif",MAX(0,MIN($AE1033,$AD1033-SUM($AG1033:AM1033))),0)</f>
        <v>0</v>
      </c>
      <c r="AO1033" s="8">
        <f>IF($O1033="Aktif",MAX(0,MIN($AE1033,$AD1033-SUM($AG1033:AN1033))),0)</f>
        <v>0</v>
      </c>
      <c r="AP1033" s="8">
        <f>IF($O1033="Aktif",MAX(0,MIN($AE1033,$AD1033-SUM($AG1033:AO1033))),0)</f>
        <v>0</v>
      </c>
      <c r="AQ1033" s="8">
        <f>IF($O1033="Aktif",MAX(0,MIN($AE1033,$AD1033-SUM($AG1033:AP1033))),0)</f>
        <v>0</v>
      </c>
      <c r="AR1033" s="8">
        <f>IF($O1033="Aktif",MAX(0,MIN($AE1033,$AD1033-SUM($AG1033:AQ1033))),0)</f>
        <v>0</v>
      </c>
      <c r="AS1033" s="8">
        <f>IF($O1033="Aktif",MAX(0,MIN($AE1033,$AD1033-SUM($AG1033:AR1033))),0)</f>
        <v>0</v>
      </c>
      <c r="AT1033" s="8">
        <f>IF($O1033="Aktif",MAX(0,MIN($AE1033,$AD1033-SUM($AG1033:AS1033))),0)</f>
        <v>0</v>
      </c>
      <c r="AU1033" s="8">
        <f>IF($O1033="Aktif",MAX(0,MIN($AE1033,$AD1033-SUM($AG1033:AT1033))),0)</f>
        <v>0</v>
      </c>
      <c r="AV1033" s="8">
        <f>IF($O1033="Aktif",MAX(0,MIN($AE1033,$AD1033-SUM($AG1033:AU1033))),0)</f>
        <v>0</v>
      </c>
      <c r="AW1033" s="8">
        <f t="shared" si="117"/>
        <v>0</v>
      </c>
      <c r="AX1033" s="8">
        <f t="shared" si="118"/>
        <v>0</v>
      </c>
    </row>
    <row r="1034" spans="1:50" ht="15" customHeight="1" x14ac:dyDescent="0.35">
      <c r="A1034" s="102">
        <v>1028</v>
      </c>
      <c r="B1034" s="102" t="s">
        <v>2815</v>
      </c>
      <c r="C1034" s="103">
        <v>50</v>
      </c>
      <c r="D1034" s="102" t="s">
        <v>186</v>
      </c>
      <c r="E1034" s="102" t="s">
        <v>587</v>
      </c>
      <c r="F1034" s="102" t="s">
        <v>2816</v>
      </c>
      <c r="G1034" s="102" t="s">
        <v>2817</v>
      </c>
      <c r="H1034" s="102" t="s">
        <v>2818</v>
      </c>
      <c r="I1034" s="102" t="s">
        <v>63</v>
      </c>
      <c r="J1034" s="102" t="s">
        <v>2880</v>
      </c>
      <c r="K1034" s="102" t="s">
        <v>591</v>
      </c>
      <c r="L1034" s="102" t="s">
        <v>592</v>
      </c>
      <c r="M1034" s="102" t="s">
        <v>2881</v>
      </c>
      <c r="N1034" s="102" t="s">
        <v>2881</v>
      </c>
      <c r="O1034" s="102" t="s">
        <v>383</v>
      </c>
      <c r="P1034" s="103">
        <v>1</v>
      </c>
      <c r="Q1034" s="105">
        <v>32400000</v>
      </c>
      <c r="R1034" s="103">
        <v>48</v>
      </c>
      <c r="S1034" s="105">
        <v>0</v>
      </c>
      <c r="T1034" s="105">
        <v>32400000</v>
      </c>
      <c r="U1034" s="105">
        <v>0</v>
      </c>
      <c r="V1034" s="105">
        <v>0</v>
      </c>
      <c r="W1034" s="105">
        <v>0</v>
      </c>
      <c r="X1034" s="105">
        <v>0</v>
      </c>
      <c r="Y1034" s="105">
        <v>0</v>
      </c>
      <c r="Z1034" s="105">
        <v>0</v>
      </c>
      <c r="AA1034" s="105">
        <v>0</v>
      </c>
      <c r="AB1034" s="105">
        <v>0</v>
      </c>
      <c r="AC1034" s="8">
        <f t="shared" si="112"/>
        <v>32400000</v>
      </c>
      <c r="AD1034" s="8">
        <f t="shared" si="113"/>
        <v>0</v>
      </c>
      <c r="AE1034" s="8">
        <f t="shared" si="114"/>
        <v>0</v>
      </c>
      <c r="AF1034" s="106">
        <f t="shared" si="115"/>
        <v>0</v>
      </c>
      <c r="AG1034" s="8">
        <f t="shared" si="116"/>
        <v>0</v>
      </c>
      <c r="AH1034" s="8">
        <f>IF($O1034="Aktif",MAX(0,MIN($AE1034,$AD1034-SUM($AG1034:AG1034))),0)</f>
        <v>0</v>
      </c>
      <c r="AI1034" s="8">
        <f>IF($O1034="Aktif",MAX(0,MIN($AE1034,$AD1034-SUM($AG1034:AH1034))),0)</f>
        <v>0</v>
      </c>
      <c r="AJ1034" s="8">
        <f>IF($O1034="Aktif",MAX(0,MIN($AE1034,$AD1034-SUM($AG1034:AI1034))),0)</f>
        <v>0</v>
      </c>
      <c r="AK1034" s="8">
        <f>IF($O1034="Aktif",MAX(0,MIN($AE1034,$AD1034-SUM($AG1034:AJ1034))),0)</f>
        <v>0</v>
      </c>
      <c r="AL1034" s="8">
        <f>IF($O1034="Aktif",MAX(0,MIN($AE1034,$AD1034-SUM($AG1034:AK1034))),0)</f>
        <v>0</v>
      </c>
      <c r="AM1034" s="8">
        <f>IF($O1034="Aktif",MAX(0,MIN($AE1034,$AD1034-SUM($AG1034:AL1034))),0)</f>
        <v>0</v>
      </c>
      <c r="AN1034" s="8">
        <f>IF($O1034="Aktif",MAX(0,MIN($AE1034,$AD1034-SUM($AG1034:AM1034))),0)</f>
        <v>0</v>
      </c>
      <c r="AO1034" s="8">
        <f>IF($O1034="Aktif",MAX(0,MIN($AE1034,$AD1034-SUM($AG1034:AN1034))),0)</f>
        <v>0</v>
      </c>
      <c r="AP1034" s="8">
        <f>IF($O1034="Aktif",MAX(0,MIN($AE1034,$AD1034-SUM($AG1034:AO1034))),0)</f>
        <v>0</v>
      </c>
      <c r="AQ1034" s="8">
        <f>IF($O1034="Aktif",MAX(0,MIN($AE1034,$AD1034-SUM($AG1034:AP1034))),0)</f>
        <v>0</v>
      </c>
      <c r="AR1034" s="8">
        <f>IF($O1034="Aktif",MAX(0,MIN($AE1034,$AD1034-SUM($AG1034:AQ1034))),0)</f>
        <v>0</v>
      </c>
      <c r="AS1034" s="8">
        <f>IF($O1034="Aktif",MAX(0,MIN($AE1034,$AD1034-SUM($AG1034:AR1034))),0)</f>
        <v>0</v>
      </c>
      <c r="AT1034" s="8">
        <f>IF($O1034="Aktif",MAX(0,MIN($AE1034,$AD1034-SUM($AG1034:AS1034))),0)</f>
        <v>0</v>
      </c>
      <c r="AU1034" s="8">
        <f>IF($O1034="Aktif",MAX(0,MIN($AE1034,$AD1034-SUM($AG1034:AT1034))),0)</f>
        <v>0</v>
      </c>
      <c r="AV1034" s="8">
        <f>IF($O1034="Aktif",MAX(0,MIN($AE1034,$AD1034-SUM($AG1034:AU1034))),0)</f>
        <v>0</v>
      </c>
      <c r="AW1034" s="8">
        <f t="shared" si="117"/>
        <v>0</v>
      </c>
      <c r="AX1034" s="8">
        <f t="shared" si="118"/>
        <v>0</v>
      </c>
    </row>
    <row r="1035" spans="1:50" ht="15" customHeight="1" x14ac:dyDescent="0.35">
      <c r="A1035" s="102">
        <v>1029</v>
      </c>
      <c r="B1035" s="102" t="s">
        <v>2815</v>
      </c>
      <c r="C1035" s="103">
        <v>51</v>
      </c>
      <c r="D1035" s="102" t="s">
        <v>186</v>
      </c>
      <c r="E1035" s="102" t="s">
        <v>587</v>
      </c>
      <c r="F1035" s="102" t="s">
        <v>2816</v>
      </c>
      <c r="G1035" s="102" t="s">
        <v>2817</v>
      </c>
      <c r="H1035" s="102" t="s">
        <v>2818</v>
      </c>
      <c r="I1035" s="102" t="s">
        <v>63</v>
      </c>
      <c r="J1035" s="102" t="s">
        <v>2882</v>
      </c>
      <c r="K1035" s="102" t="s">
        <v>591</v>
      </c>
      <c r="L1035" s="102" t="s">
        <v>592</v>
      </c>
      <c r="M1035" s="102" t="s">
        <v>2883</v>
      </c>
      <c r="N1035" s="102" t="s">
        <v>2883</v>
      </c>
      <c r="O1035" s="102" t="s">
        <v>383</v>
      </c>
      <c r="P1035" s="103">
        <v>1</v>
      </c>
      <c r="Q1035" s="105">
        <v>3250000</v>
      </c>
      <c r="R1035" s="103">
        <v>48</v>
      </c>
      <c r="S1035" s="105">
        <v>0</v>
      </c>
      <c r="T1035" s="105">
        <v>3250000</v>
      </c>
      <c r="U1035" s="105">
        <v>0</v>
      </c>
      <c r="V1035" s="105">
        <v>0</v>
      </c>
      <c r="W1035" s="105">
        <v>0</v>
      </c>
      <c r="X1035" s="105">
        <v>0</v>
      </c>
      <c r="Y1035" s="105">
        <v>0</v>
      </c>
      <c r="Z1035" s="105">
        <v>0</v>
      </c>
      <c r="AA1035" s="105">
        <v>0</v>
      </c>
      <c r="AB1035" s="105">
        <v>0</v>
      </c>
      <c r="AC1035" s="8">
        <f t="shared" si="112"/>
        <v>3250000</v>
      </c>
      <c r="AD1035" s="8">
        <f t="shared" si="113"/>
        <v>0</v>
      </c>
      <c r="AE1035" s="8">
        <f t="shared" si="114"/>
        <v>0</v>
      </c>
      <c r="AF1035" s="106">
        <f t="shared" si="115"/>
        <v>0</v>
      </c>
      <c r="AG1035" s="8">
        <f t="shared" si="116"/>
        <v>0</v>
      </c>
      <c r="AH1035" s="8">
        <f>IF($O1035="Aktif",MAX(0,MIN($AE1035,$AD1035-SUM($AG1035:AG1035))),0)</f>
        <v>0</v>
      </c>
      <c r="AI1035" s="8">
        <f>IF($O1035="Aktif",MAX(0,MIN($AE1035,$AD1035-SUM($AG1035:AH1035))),0)</f>
        <v>0</v>
      </c>
      <c r="AJ1035" s="8">
        <f>IF($O1035="Aktif",MAX(0,MIN($AE1035,$AD1035-SUM($AG1035:AI1035))),0)</f>
        <v>0</v>
      </c>
      <c r="AK1035" s="8">
        <f>IF($O1035="Aktif",MAX(0,MIN($AE1035,$AD1035-SUM($AG1035:AJ1035))),0)</f>
        <v>0</v>
      </c>
      <c r="AL1035" s="8">
        <f>IF($O1035="Aktif",MAX(0,MIN($AE1035,$AD1035-SUM($AG1035:AK1035))),0)</f>
        <v>0</v>
      </c>
      <c r="AM1035" s="8">
        <f>IF($O1035="Aktif",MAX(0,MIN($AE1035,$AD1035-SUM($AG1035:AL1035))),0)</f>
        <v>0</v>
      </c>
      <c r="AN1035" s="8">
        <f>IF($O1035="Aktif",MAX(0,MIN($AE1035,$AD1035-SUM($AG1035:AM1035))),0)</f>
        <v>0</v>
      </c>
      <c r="AO1035" s="8">
        <f>IF($O1035="Aktif",MAX(0,MIN($AE1035,$AD1035-SUM($AG1035:AN1035))),0)</f>
        <v>0</v>
      </c>
      <c r="AP1035" s="8">
        <f>IF($O1035="Aktif",MAX(0,MIN($AE1035,$AD1035-SUM($AG1035:AO1035))),0)</f>
        <v>0</v>
      </c>
      <c r="AQ1035" s="8">
        <f>IF($O1035="Aktif",MAX(0,MIN($AE1035,$AD1035-SUM($AG1035:AP1035))),0)</f>
        <v>0</v>
      </c>
      <c r="AR1035" s="8">
        <f>IF($O1035="Aktif",MAX(0,MIN($AE1035,$AD1035-SUM($AG1035:AQ1035))),0)</f>
        <v>0</v>
      </c>
      <c r="AS1035" s="8">
        <f>IF($O1035="Aktif",MAX(0,MIN($AE1035,$AD1035-SUM($AG1035:AR1035))),0)</f>
        <v>0</v>
      </c>
      <c r="AT1035" s="8">
        <f>IF($O1035="Aktif",MAX(0,MIN($AE1035,$AD1035-SUM($AG1035:AS1035))),0)</f>
        <v>0</v>
      </c>
      <c r="AU1035" s="8">
        <f>IF($O1035="Aktif",MAX(0,MIN($AE1035,$AD1035-SUM($AG1035:AT1035))),0)</f>
        <v>0</v>
      </c>
      <c r="AV1035" s="8">
        <f>IF($O1035="Aktif",MAX(0,MIN($AE1035,$AD1035-SUM($AG1035:AU1035))),0)</f>
        <v>0</v>
      </c>
      <c r="AW1035" s="8">
        <f t="shared" si="117"/>
        <v>0</v>
      </c>
      <c r="AX1035" s="8">
        <f t="shared" si="118"/>
        <v>0</v>
      </c>
    </row>
    <row r="1036" spans="1:50" ht="15" customHeight="1" x14ac:dyDescent="0.35">
      <c r="A1036" s="102">
        <v>1030</v>
      </c>
      <c r="B1036" s="102" t="s">
        <v>2815</v>
      </c>
      <c r="C1036" s="103">
        <v>52</v>
      </c>
      <c r="D1036" s="102" t="s">
        <v>186</v>
      </c>
      <c r="E1036" s="102" t="s">
        <v>587</v>
      </c>
      <c r="F1036" s="102" t="s">
        <v>2816</v>
      </c>
      <c r="G1036" s="102" t="s">
        <v>2817</v>
      </c>
      <c r="H1036" s="102" t="s">
        <v>2818</v>
      </c>
      <c r="I1036" s="102" t="s">
        <v>63</v>
      </c>
      <c r="J1036" s="102" t="s">
        <v>2884</v>
      </c>
      <c r="K1036" s="102" t="s">
        <v>591</v>
      </c>
      <c r="L1036" s="102" t="s">
        <v>592</v>
      </c>
      <c r="M1036" s="102" t="s">
        <v>2885</v>
      </c>
      <c r="N1036" s="102" t="s">
        <v>2885</v>
      </c>
      <c r="O1036" s="102" t="s">
        <v>383</v>
      </c>
      <c r="P1036" s="103">
        <v>1</v>
      </c>
      <c r="Q1036" s="105">
        <v>275000000</v>
      </c>
      <c r="R1036" s="103">
        <v>48</v>
      </c>
      <c r="S1036" s="105">
        <v>0</v>
      </c>
      <c r="T1036" s="105">
        <v>275000000</v>
      </c>
      <c r="U1036" s="105">
        <v>0</v>
      </c>
      <c r="V1036" s="105">
        <v>0</v>
      </c>
      <c r="W1036" s="105">
        <v>0</v>
      </c>
      <c r="X1036" s="105">
        <v>0</v>
      </c>
      <c r="Y1036" s="105">
        <v>0</v>
      </c>
      <c r="Z1036" s="105">
        <v>0</v>
      </c>
      <c r="AA1036" s="105">
        <v>0</v>
      </c>
      <c r="AB1036" s="105">
        <v>0</v>
      </c>
      <c r="AC1036" s="8">
        <f t="shared" si="112"/>
        <v>275000000</v>
      </c>
      <c r="AD1036" s="8">
        <f t="shared" si="113"/>
        <v>0</v>
      </c>
      <c r="AE1036" s="8">
        <f t="shared" si="114"/>
        <v>0</v>
      </c>
      <c r="AF1036" s="106">
        <f t="shared" si="115"/>
        <v>0</v>
      </c>
      <c r="AG1036" s="8">
        <f t="shared" si="116"/>
        <v>0</v>
      </c>
      <c r="AH1036" s="8">
        <f>IF($O1036="Aktif",MAX(0,MIN($AE1036,$AD1036-SUM($AG1036:AG1036))),0)</f>
        <v>0</v>
      </c>
      <c r="AI1036" s="8">
        <f>IF($O1036="Aktif",MAX(0,MIN($AE1036,$AD1036-SUM($AG1036:AH1036))),0)</f>
        <v>0</v>
      </c>
      <c r="AJ1036" s="8">
        <f>IF($O1036="Aktif",MAX(0,MIN($AE1036,$AD1036-SUM($AG1036:AI1036))),0)</f>
        <v>0</v>
      </c>
      <c r="AK1036" s="8">
        <f>IF($O1036="Aktif",MAX(0,MIN($AE1036,$AD1036-SUM($AG1036:AJ1036))),0)</f>
        <v>0</v>
      </c>
      <c r="AL1036" s="8">
        <f>IF($O1036="Aktif",MAX(0,MIN($AE1036,$AD1036-SUM($AG1036:AK1036))),0)</f>
        <v>0</v>
      </c>
      <c r="AM1036" s="8">
        <f>IF($O1036="Aktif",MAX(0,MIN($AE1036,$AD1036-SUM($AG1036:AL1036))),0)</f>
        <v>0</v>
      </c>
      <c r="AN1036" s="8">
        <f>IF($O1036="Aktif",MAX(0,MIN($AE1036,$AD1036-SUM($AG1036:AM1036))),0)</f>
        <v>0</v>
      </c>
      <c r="AO1036" s="8">
        <f>IF($O1036="Aktif",MAX(0,MIN($AE1036,$AD1036-SUM($AG1036:AN1036))),0)</f>
        <v>0</v>
      </c>
      <c r="AP1036" s="8">
        <f>IF($O1036="Aktif",MAX(0,MIN($AE1036,$AD1036-SUM($AG1036:AO1036))),0)</f>
        <v>0</v>
      </c>
      <c r="AQ1036" s="8">
        <f>IF($O1036="Aktif",MAX(0,MIN($AE1036,$AD1036-SUM($AG1036:AP1036))),0)</f>
        <v>0</v>
      </c>
      <c r="AR1036" s="8">
        <f>IF($O1036="Aktif",MAX(0,MIN($AE1036,$AD1036-SUM($AG1036:AQ1036))),0)</f>
        <v>0</v>
      </c>
      <c r="AS1036" s="8">
        <f>IF($O1036="Aktif",MAX(0,MIN($AE1036,$AD1036-SUM($AG1036:AR1036))),0)</f>
        <v>0</v>
      </c>
      <c r="AT1036" s="8">
        <f>IF($O1036="Aktif",MAX(0,MIN($AE1036,$AD1036-SUM($AG1036:AS1036))),0)</f>
        <v>0</v>
      </c>
      <c r="AU1036" s="8">
        <f>IF($O1036="Aktif",MAX(0,MIN($AE1036,$AD1036-SUM($AG1036:AT1036))),0)</f>
        <v>0</v>
      </c>
      <c r="AV1036" s="8">
        <f>IF($O1036="Aktif",MAX(0,MIN($AE1036,$AD1036-SUM($AG1036:AU1036))),0)</f>
        <v>0</v>
      </c>
      <c r="AW1036" s="8">
        <f t="shared" si="117"/>
        <v>0</v>
      </c>
      <c r="AX1036" s="8">
        <f t="shared" si="118"/>
        <v>0</v>
      </c>
    </row>
    <row r="1037" spans="1:50" ht="15" customHeight="1" x14ac:dyDescent="0.35">
      <c r="A1037" s="102">
        <v>1031</v>
      </c>
      <c r="B1037" s="102" t="s">
        <v>2815</v>
      </c>
      <c r="C1037" s="103">
        <v>53</v>
      </c>
      <c r="D1037" s="102" t="s">
        <v>186</v>
      </c>
      <c r="E1037" s="102" t="s">
        <v>587</v>
      </c>
      <c r="F1037" s="102" t="s">
        <v>2816</v>
      </c>
      <c r="G1037" s="102" t="s">
        <v>2817</v>
      </c>
      <c r="H1037" s="102" t="s">
        <v>2818</v>
      </c>
      <c r="I1037" s="102" t="s">
        <v>63</v>
      </c>
      <c r="J1037" s="102" t="s">
        <v>2886</v>
      </c>
      <c r="K1037" s="102" t="s">
        <v>591</v>
      </c>
      <c r="L1037" s="102" t="s">
        <v>592</v>
      </c>
      <c r="M1037" s="102" t="s">
        <v>2887</v>
      </c>
      <c r="N1037" s="102" t="s">
        <v>2887</v>
      </c>
      <c r="O1037" s="102" t="s">
        <v>383</v>
      </c>
      <c r="P1037" s="103">
        <v>1</v>
      </c>
      <c r="Q1037" s="105">
        <v>9000000</v>
      </c>
      <c r="R1037" s="103">
        <v>48</v>
      </c>
      <c r="S1037" s="105">
        <v>0</v>
      </c>
      <c r="T1037" s="105">
        <v>9000000</v>
      </c>
      <c r="U1037" s="105">
        <v>0</v>
      </c>
      <c r="V1037" s="105">
        <v>0</v>
      </c>
      <c r="W1037" s="105">
        <v>0</v>
      </c>
      <c r="X1037" s="105">
        <v>0</v>
      </c>
      <c r="Y1037" s="105">
        <v>0</v>
      </c>
      <c r="Z1037" s="105">
        <v>0</v>
      </c>
      <c r="AA1037" s="105">
        <v>0</v>
      </c>
      <c r="AB1037" s="105">
        <v>0</v>
      </c>
      <c r="AC1037" s="8">
        <f t="shared" si="112"/>
        <v>9000000</v>
      </c>
      <c r="AD1037" s="8">
        <f t="shared" si="113"/>
        <v>0</v>
      </c>
      <c r="AE1037" s="8">
        <f t="shared" si="114"/>
        <v>0</v>
      </c>
      <c r="AF1037" s="106">
        <f t="shared" si="115"/>
        <v>0</v>
      </c>
      <c r="AG1037" s="8">
        <f t="shared" si="116"/>
        <v>0</v>
      </c>
      <c r="AH1037" s="8">
        <f>IF($O1037="Aktif",MAX(0,MIN($AE1037,$AD1037-SUM($AG1037:AG1037))),0)</f>
        <v>0</v>
      </c>
      <c r="AI1037" s="8">
        <f>IF($O1037="Aktif",MAX(0,MIN($AE1037,$AD1037-SUM($AG1037:AH1037))),0)</f>
        <v>0</v>
      </c>
      <c r="AJ1037" s="8">
        <f>IF($O1037="Aktif",MAX(0,MIN($AE1037,$AD1037-SUM($AG1037:AI1037))),0)</f>
        <v>0</v>
      </c>
      <c r="AK1037" s="8">
        <f>IF($O1037="Aktif",MAX(0,MIN($AE1037,$AD1037-SUM($AG1037:AJ1037))),0)</f>
        <v>0</v>
      </c>
      <c r="AL1037" s="8">
        <f>IF($O1037="Aktif",MAX(0,MIN($AE1037,$AD1037-SUM($AG1037:AK1037))),0)</f>
        <v>0</v>
      </c>
      <c r="AM1037" s="8">
        <f>IF($O1037="Aktif",MAX(0,MIN($AE1037,$AD1037-SUM($AG1037:AL1037))),0)</f>
        <v>0</v>
      </c>
      <c r="AN1037" s="8">
        <f>IF($O1037="Aktif",MAX(0,MIN($AE1037,$AD1037-SUM($AG1037:AM1037))),0)</f>
        <v>0</v>
      </c>
      <c r="AO1037" s="8">
        <f>IF($O1037="Aktif",MAX(0,MIN($AE1037,$AD1037-SUM($AG1037:AN1037))),0)</f>
        <v>0</v>
      </c>
      <c r="AP1037" s="8">
        <f>IF($O1037="Aktif",MAX(0,MIN($AE1037,$AD1037-SUM($AG1037:AO1037))),0)</f>
        <v>0</v>
      </c>
      <c r="AQ1037" s="8">
        <f>IF($O1037="Aktif",MAX(0,MIN($AE1037,$AD1037-SUM($AG1037:AP1037))),0)</f>
        <v>0</v>
      </c>
      <c r="AR1037" s="8">
        <f>IF($O1037="Aktif",MAX(0,MIN($AE1037,$AD1037-SUM($AG1037:AQ1037))),0)</f>
        <v>0</v>
      </c>
      <c r="AS1037" s="8">
        <f>IF($O1037="Aktif",MAX(0,MIN($AE1037,$AD1037-SUM($AG1037:AR1037))),0)</f>
        <v>0</v>
      </c>
      <c r="AT1037" s="8">
        <f>IF($O1037="Aktif",MAX(0,MIN($AE1037,$AD1037-SUM($AG1037:AS1037))),0)</f>
        <v>0</v>
      </c>
      <c r="AU1037" s="8">
        <f>IF($O1037="Aktif",MAX(0,MIN($AE1037,$AD1037-SUM($AG1037:AT1037))),0)</f>
        <v>0</v>
      </c>
      <c r="AV1037" s="8">
        <f>IF($O1037="Aktif",MAX(0,MIN($AE1037,$AD1037-SUM($AG1037:AU1037))),0)</f>
        <v>0</v>
      </c>
      <c r="AW1037" s="8">
        <f t="shared" si="117"/>
        <v>0</v>
      </c>
      <c r="AX1037" s="8">
        <f t="shared" si="118"/>
        <v>0</v>
      </c>
    </row>
    <row r="1038" spans="1:50" ht="15" customHeight="1" x14ac:dyDescent="0.35">
      <c r="A1038" s="102">
        <v>1032</v>
      </c>
      <c r="B1038" s="102" t="s">
        <v>2815</v>
      </c>
      <c r="C1038" s="103">
        <v>54</v>
      </c>
      <c r="D1038" s="102" t="s">
        <v>186</v>
      </c>
      <c r="E1038" s="102" t="s">
        <v>587</v>
      </c>
      <c r="F1038" s="102" t="s">
        <v>2816</v>
      </c>
      <c r="G1038" s="102" t="s">
        <v>2817</v>
      </c>
      <c r="H1038" s="102" t="s">
        <v>2818</v>
      </c>
      <c r="I1038" s="102" t="s">
        <v>63</v>
      </c>
      <c r="J1038" s="102" t="s">
        <v>2888</v>
      </c>
      <c r="K1038" s="102" t="s">
        <v>591</v>
      </c>
      <c r="L1038" s="102" t="s">
        <v>592</v>
      </c>
      <c r="M1038" s="102" t="s">
        <v>2889</v>
      </c>
      <c r="N1038" s="102" t="s">
        <v>2889</v>
      </c>
      <c r="O1038" s="102" t="s">
        <v>383</v>
      </c>
      <c r="P1038" s="103">
        <v>1</v>
      </c>
      <c r="Q1038" s="105">
        <v>30000000</v>
      </c>
      <c r="R1038" s="103">
        <v>48</v>
      </c>
      <c r="S1038" s="105">
        <v>0</v>
      </c>
      <c r="T1038" s="105">
        <v>30000000</v>
      </c>
      <c r="U1038" s="105">
        <v>0</v>
      </c>
      <c r="V1038" s="105">
        <v>0</v>
      </c>
      <c r="W1038" s="105">
        <v>0</v>
      </c>
      <c r="X1038" s="105">
        <v>0</v>
      </c>
      <c r="Y1038" s="105">
        <v>0</v>
      </c>
      <c r="Z1038" s="105">
        <v>0</v>
      </c>
      <c r="AA1038" s="105">
        <v>0</v>
      </c>
      <c r="AB1038" s="105">
        <v>0</v>
      </c>
      <c r="AC1038" s="8">
        <f t="shared" si="112"/>
        <v>30000000</v>
      </c>
      <c r="AD1038" s="8">
        <f t="shared" si="113"/>
        <v>0</v>
      </c>
      <c r="AE1038" s="8">
        <f t="shared" si="114"/>
        <v>0</v>
      </c>
      <c r="AF1038" s="106">
        <f t="shared" si="115"/>
        <v>0</v>
      </c>
      <c r="AG1038" s="8">
        <f t="shared" si="116"/>
        <v>0</v>
      </c>
      <c r="AH1038" s="8">
        <f>IF($O1038="Aktif",MAX(0,MIN($AE1038,$AD1038-SUM($AG1038:AG1038))),0)</f>
        <v>0</v>
      </c>
      <c r="AI1038" s="8">
        <f>IF($O1038="Aktif",MAX(0,MIN($AE1038,$AD1038-SUM($AG1038:AH1038))),0)</f>
        <v>0</v>
      </c>
      <c r="AJ1038" s="8">
        <f>IF($O1038="Aktif",MAX(0,MIN($AE1038,$AD1038-SUM($AG1038:AI1038))),0)</f>
        <v>0</v>
      </c>
      <c r="AK1038" s="8">
        <f>IF($O1038="Aktif",MAX(0,MIN($AE1038,$AD1038-SUM($AG1038:AJ1038))),0)</f>
        <v>0</v>
      </c>
      <c r="AL1038" s="8">
        <f>IF($O1038="Aktif",MAX(0,MIN($AE1038,$AD1038-SUM($AG1038:AK1038))),0)</f>
        <v>0</v>
      </c>
      <c r="AM1038" s="8">
        <f>IF($O1038="Aktif",MAX(0,MIN($AE1038,$AD1038-SUM($AG1038:AL1038))),0)</f>
        <v>0</v>
      </c>
      <c r="AN1038" s="8">
        <f>IF($O1038="Aktif",MAX(0,MIN($AE1038,$AD1038-SUM($AG1038:AM1038))),0)</f>
        <v>0</v>
      </c>
      <c r="AO1038" s="8">
        <f>IF($O1038="Aktif",MAX(0,MIN($AE1038,$AD1038-SUM($AG1038:AN1038))),0)</f>
        <v>0</v>
      </c>
      <c r="AP1038" s="8">
        <f>IF($O1038="Aktif",MAX(0,MIN($AE1038,$AD1038-SUM($AG1038:AO1038))),0)</f>
        <v>0</v>
      </c>
      <c r="AQ1038" s="8">
        <f>IF($O1038="Aktif",MAX(0,MIN($AE1038,$AD1038-SUM($AG1038:AP1038))),0)</f>
        <v>0</v>
      </c>
      <c r="AR1038" s="8">
        <f>IF($O1038="Aktif",MAX(0,MIN($AE1038,$AD1038-SUM($AG1038:AQ1038))),0)</f>
        <v>0</v>
      </c>
      <c r="AS1038" s="8">
        <f>IF($O1038="Aktif",MAX(0,MIN($AE1038,$AD1038-SUM($AG1038:AR1038))),0)</f>
        <v>0</v>
      </c>
      <c r="AT1038" s="8">
        <f>IF($O1038="Aktif",MAX(0,MIN($AE1038,$AD1038-SUM($AG1038:AS1038))),0)</f>
        <v>0</v>
      </c>
      <c r="AU1038" s="8">
        <f>IF($O1038="Aktif",MAX(0,MIN($AE1038,$AD1038-SUM($AG1038:AT1038))),0)</f>
        <v>0</v>
      </c>
      <c r="AV1038" s="8">
        <f>IF($O1038="Aktif",MAX(0,MIN($AE1038,$AD1038-SUM($AG1038:AU1038))),0)</f>
        <v>0</v>
      </c>
      <c r="AW1038" s="8">
        <f t="shared" si="117"/>
        <v>0</v>
      </c>
      <c r="AX1038" s="8">
        <f t="shared" si="118"/>
        <v>0</v>
      </c>
    </row>
    <row r="1039" spans="1:50" ht="15" customHeight="1" x14ac:dyDescent="0.35">
      <c r="A1039" s="102">
        <v>1033</v>
      </c>
      <c r="B1039" s="102" t="s">
        <v>2815</v>
      </c>
      <c r="C1039" s="103">
        <v>55</v>
      </c>
      <c r="D1039" s="102" t="s">
        <v>186</v>
      </c>
      <c r="E1039" s="102" t="s">
        <v>587</v>
      </c>
      <c r="F1039" s="102" t="s">
        <v>2816</v>
      </c>
      <c r="G1039" s="102" t="s">
        <v>2817</v>
      </c>
      <c r="H1039" s="102" t="s">
        <v>2818</v>
      </c>
      <c r="I1039" s="102" t="s">
        <v>63</v>
      </c>
      <c r="J1039" s="102" t="s">
        <v>2890</v>
      </c>
      <c r="K1039" s="102" t="s">
        <v>591</v>
      </c>
      <c r="L1039" s="102" t="s">
        <v>592</v>
      </c>
      <c r="M1039" s="102" t="s">
        <v>2891</v>
      </c>
      <c r="N1039" s="102" t="s">
        <v>2891</v>
      </c>
      <c r="O1039" s="102" t="s">
        <v>383</v>
      </c>
      <c r="P1039" s="103">
        <v>1</v>
      </c>
      <c r="Q1039" s="105">
        <v>23880000</v>
      </c>
      <c r="R1039" s="103">
        <v>48</v>
      </c>
      <c r="S1039" s="105">
        <v>0</v>
      </c>
      <c r="T1039" s="105">
        <v>23880000</v>
      </c>
      <c r="U1039" s="105">
        <v>0</v>
      </c>
      <c r="V1039" s="105">
        <v>0</v>
      </c>
      <c r="W1039" s="105">
        <v>0</v>
      </c>
      <c r="X1039" s="105">
        <v>0</v>
      </c>
      <c r="Y1039" s="105">
        <v>0</v>
      </c>
      <c r="Z1039" s="105">
        <v>0</v>
      </c>
      <c r="AA1039" s="105">
        <v>0</v>
      </c>
      <c r="AB1039" s="105">
        <v>0</v>
      </c>
      <c r="AC1039" s="8">
        <f t="shared" si="112"/>
        <v>23880000</v>
      </c>
      <c r="AD1039" s="8">
        <f t="shared" si="113"/>
        <v>0</v>
      </c>
      <c r="AE1039" s="8">
        <f t="shared" si="114"/>
        <v>0</v>
      </c>
      <c r="AF1039" s="106">
        <f t="shared" si="115"/>
        <v>0</v>
      </c>
      <c r="AG1039" s="8">
        <f t="shared" si="116"/>
        <v>0</v>
      </c>
      <c r="AH1039" s="8">
        <f>IF($O1039="Aktif",MAX(0,MIN($AE1039,$AD1039-SUM($AG1039:AG1039))),0)</f>
        <v>0</v>
      </c>
      <c r="AI1039" s="8">
        <f>IF($O1039="Aktif",MAX(0,MIN($AE1039,$AD1039-SUM($AG1039:AH1039))),0)</f>
        <v>0</v>
      </c>
      <c r="AJ1039" s="8">
        <f>IF($O1039="Aktif",MAX(0,MIN($AE1039,$AD1039-SUM($AG1039:AI1039))),0)</f>
        <v>0</v>
      </c>
      <c r="AK1039" s="8">
        <f>IF($O1039="Aktif",MAX(0,MIN($AE1039,$AD1039-SUM($AG1039:AJ1039))),0)</f>
        <v>0</v>
      </c>
      <c r="AL1039" s="8">
        <f>IF($O1039="Aktif",MAX(0,MIN($AE1039,$AD1039-SUM($AG1039:AK1039))),0)</f>
        <v>0</v>
      </c>
      <c r="AM1039" s="8">
        <f>IF($O1039="Aktif",MAX(0,MIN($AE1039,$AD1039-SUM($AG1039:AL1039))),0)</f>
        <v>0</v>
      </c>
      <c r="AN1039" s="8">
        <f>IF($O1039="Aktif",MAX(0,MIN($AE1039,$AD1039-SUM($AG1039:AM1039))),0)</f>
        <v>0</v>
      </c>
      <c r="AO1039" s="8">
        <f>IF($O1039="Aktif",MAX(0,MIN($AE1039,$AD1039-SUM($AG1039:AN1039))),0)</f>
        <v>0</v>
      </c>
      <c r="AP1039" s="8">
        <f>IF($O1039="Aktif",MAX(0,MIN($AE1039,$AD1039-SUM($AG1039:AO1039))),0)</f>
        <v>0</v>
      </c>
      <c r="AQ1039" s="8">
        <f>IF($O1039="Aktif",MAX(0,MIN($AE1039,$AD1039-SUM($AG1039:AP1039))),0)</f>
        <v>0</v>
      </c>
      <c r="AR1039" s="8">
        <f>IF($O1039="Aktif",MAX(0,MIN($AE1039,$AD1039-SUM($AG1039:AQ1039))),0)</f>
        <v>0</v>
      </c>
      <c r="AS1039" s="8">
        <f>IF($O1039="Aktif",MAX(0,MIN($AE1039,$AD1039-SUM($AG1039:AR1039))),0)</f>
        <v>0</v>
      </c>
      <c r="AT1039" s="8">
        <f>IF($O1039="Aktif",MAX(0,MIN($AE1039,$AD1039-SUM($AG1039:AS1039))),0)</f>
        <v>0</v>
      </c>
      <c r="AU1039" s="8">
        <f>IF($O1039="Aktif",MAX(0,MIN($AE1039,$AD1039-SUM($AG1039:AT1039))),0)</f>
        <v>0</v>
      </c>
      <c r="AV1039" s="8">
        <f>IF($O1039="Aktif",MAX(0,MIN($AE1039,$AD1039-SUM($AG1039:AU1039))),0)</f>
        <v>0</v>
      </c>
      <c r="AW1039" s="8">
        <f t="shared" si="117"/>
        <v>0</v>
      </c>
      <c r="AX1039" s="8">
        <f t="shared" si="118"/>
        <v>0</v>
      </c>
    </row>
    <row r="1040" spans="1:50" ht="15" customHeight="1" x14ac:dyDescent="0.35">
      <c r="A1040" s="102">
        <v>1034</v>
      </c>
      <c r="B1040" s="102" t="s">
        <v>2815</v>
      </c>
      <c r="C1040" s="103">
        <v>56</v>
      </c>
      <c r="D1040" s="102" t="s">
        <v>186</v>
      </c>
      <c r="E1040" s="102" t="s">
        <v>587</v>
      </c>
      <c r="F1040" s="102" t="s">
        <v>2816</v>
      </c>
      <c r="G1040" s="102" t="s">
        <v>2817</v>
      </c>
      <c r="H1040" s="102" t="s">
        <v>2818</v>
      </c>
      <c r="I1040" s="102" t="s">
        <v>63</v>
      </c>
      <c r="J1040" s="102" t="s">
        <v>2892</v>
      </c>
      <c r="K1040" s="102" t="s">
        <v>591</v>
      </c>
      <c r="L1040" s="102" t="s">
        <v>592</v>
      </c>
      <c r="M1040" s="102" t="s">
        <v>2893</v>
      </c>
      <c r="N1040" s="102" t="s">
        <v>2894</v>
      </c>
      <c r="O1040" s="102" t="s">
        <v>383</v>
      </c>
      <c r="P1040" s="103">
        <v>1</v>
      </c>
      <c r="Q1040" s="105">
        <v>15000000</v>
      </c>
      <c r="R1040" s="103">
        <v>48</v>
      </c>
      <c r="S1040" s="105">
        <v>0</v>
      </c>
      <c r="T1040" s="105">
        <v>15000000</v>
      </c>
      <c r="U1040" s="105">
        <v>0</v>
      </c>
      <c r="V1040" s="105">
        <v>0</v>
      </c>
      <c r="W1040" s="105">
        <v>0</v>
      </c>
      <c r="X1040" s="105">
        <v>0</v>
      </c>
      <c r="Y1040" s="105">
        <v>0</v>
      </c>
      <c r="Z1040" s="105">
        <v>0</v>
      </c>
      <c r="AA1040" s="105">
        <v>0</v>
      </c>
      <c r="AB1040" s="105">
        <v>0</v>
      </c>
      <c r="AC1040" s="8">
        <f t="shared" si="112"/>
        <v>15000000</v>
      </c>
      <c r="AD1040" s="8">
        <f t="shared" si="113"/>
        <v>0</v>
      </c>
      <c r="AE1040" s="8">
        <f t="shared" si="114"/>
        <v>0</v>
      </c>
      <c r="AF1040" s="106">
        <f t="shared" si="115"/>
        <v>0</v>
      </c>
      <c r="AG1040" s="8">
        <f t="shared" si="116"/>
        <v>0</v>
      </c>
      <c r="AH1040" s="8">
        <f>IF($O1040="Aktif",MAX(0,MIN($AE1040,$AD1040-SUM($AG1040:AG1040))),0)</f>
        <v>0</v>
      </c>
      <c r="AI1040" s="8">
        <f>IF($O1040="Aktif",MAX(0,MIN($AE1040,$AD1040-SUM($AG1040:AH1040))),0)</f>
        <v>0</v>
      </c>
      <c r="AJ1040" s="8">
        <f>IF($O1040="Aktif",MAX(0,MIN($AE1040,$AD1040-SUM($AG1040:AI1040))),0)</f>
        <v>0</v>
      </c>
      <c r="AK1040" s="8">
        <f>IF($O1040="Aktif",MAX(0,MIN($AE1040,$AD1040-SUM($AG1040:AJ1040))),0)</f>
        <v>0</v>
      </c>
      <c r="AL1040" s="8">
        <f>IF($O1040="Aktif",MAX(0,MIN($AE1040,$AD1040-SUM($AG1040:AK1040))),0)</f>
        <v>0</v>
      </c>
      <c r="AM1040" s="8">
        <f>IF($O1040="Aktif",MAX(0,MIN($AE1040,$AD1040-SUM($AG1040:AL1040))),0)</f>
        <v>0</v>
      </c>
      <c r="AN1040" s="8">
        <f>IF($O1040="Aktif",MAX(0,MIN($AE1040,$AD1040-SUM($AG1040:AM1040))),0)</f>
        <v>0</v>
      </c>
      <c r="AO1040" s="8">
        <f>IF($O1040="Aktif",MAX(0,MIN($AE1040,$AD1040-SUM($AG1040:AN1040))),0)</f>
        <v>0</v>
      </c>
      <c r="AP1040" s="8">
        <f>IF($O1040="Aktif",MAX(0,MIN($AE1040,$AD1040-SUM($AG1040:AO1040))),0)</f>
        <v>0</v>
      </c>
      <c r="AQ1040" s="8">
        <f>IF($O1040="Aktif",MAX(0,MIN($AE1040,$AD1040-SUM($AG1040:AP1040))),0)</f>
        <v>0</v>
      </c>
      <c r="AR1040" s="8">
        <f>IF($O1040="Aktif",MAX(0,MIN($AE1040,$AD1040-SUM($AG1040:AQ1040))),0)</f>
        <v>0</v>
      </c>
      <c r="AS1040" s="8">
        <f>IF($O1040="Aktif",MAX(0,MIN($AE1040,$AD1040-SUM($AG1040:AR1040))),0)</f>
        <v>0</v>
      </c>
      <c r="AT1040" s="8">
        <f>IF($O1040="Aktif",MAX(0,MIN($AE1040,$AD1040-SUM($AG1040:AS1040))),0)</f>
        <v>0</v>
      </c>
      <c r="AU1040" s="8">
        <f>IF($O1040="Aktif",MAX(0,MIN($AE1040,$AD1040-SUM($AG1040:AT1040))),0)</f>
        <v>0</v>
      </c>
      <c r="AV1040" s="8">
        <f>IF($O1040="Aktif",MAX(0,MIN($AE1040,$AD1040-SUM($AG1040:AU1040))),0)</f>
        <v>0</v>
      </c>
      <c r="AW1040" s="8">
        <f t="shared" si="117"/>
        <v>0</v>
      </c>
      <c r="AX1040" s="8">
        <f t="shared" si="118"/>
        <v>0</v>
      </c>
    </row>
    <row r="1041" spans="1:50" ht="15" customHeight="1" x14ac:dyDescent="0.35">
      <c r="A1041" s="102">
        <v>1035</v>
      </c>
      <c r="B1041" s="102" t="s">
        <v>2815</v>
      </c>
      <c r="C1041" s="103">
        <v>57</v>
      </c>
      <c r="D1041" s="102" t="s">
        <v>186</v>
      </c>
      <c r="E1041" s="102" t="s">
        <v>587</v>
      </c>
      <c r="F1041" s="102" t="s">
        <v>2816</v>
      </c>
      <c r="G1041" s="102" t="s">
        <v>2817</v>
      </c>
      <c r="H1041" s="102" t="s">
        <v>2818</v>
      </c>
      <c r="I1041" s="102" t="s">
        <v>63</v>
      </c>
      <c r="J1041" s="102" t="s">
        <v>2895</v>
      </c>
      <c r="K1041" s="102" t="s">
        <v>591</v>
      </c>
      <c r="L1041" s="102" t="s">
        <v>592</v>
      </c>
      <c r="M1041" s="102" t="s">
        <v>2896</v>
      </c>
      <c r="N1041" s="102" t="s">
        <v>2896</v>
      </c>
      <c r="O1041" s="102" t="s">
        <v>383</v>
      </c>
      <c r="P1041" s="103">
        <v>1</v>
      </c>
      <c r="Q1041" s="105">
        <v>45000000</v>
      </c>
      <c r="R1041" s="103">
        <v>48</v>
      </c>
      <c r="S1041" s="105">
        <v>0</v>
      </c>
      <c r="T1041" s="105">
        <v>45000000</v>
      </c>
      <c r="U1041" s="105">
        <v>0</v>
      </c>
      <c r="V1041" s="105">
        <v>0</v>
      </c>
      <c r="W1041" s="105">
        <v>0</v>
      </c>
      <c r="X1041" s="105">
        <v>0</v>
      </c>
      <c r="Y1041" s="105">
        <v>0</v>
      </c>
      <c r="Z1041" s="105">
        <v>0</v>
      </c>
      <c r="AA1041" s="105">
        <v>0</v>
      </c>
      <c r="AB1041" s="105">
        <v>0</v>
      </c>
      <c r="AC1041" s="8">
        <f t="shared" si="112"/>
        <v>45000000</v>
      </c>
      <c r="AD1041" s="8">
        <f t="shared" si="113"/>
        <v>0</v>
      </c>
      <c r="AE1041" s="8">
        <f t="shared" si="114"/>
        <v>0</v>
      </c>
      <c r="AF1041" s="106">
        <f t="shared" si="115"/>
        <v>0</v>
      </c>
      <c r="AG1041" s="8">
        <f t="shared" si="116"/>
        <v>0</v>
      </c>
      <c r="AH1041" s="8">
        <f>IF($O1041="Aktif",MAX(0,MIN($AE1041,$AD1041-SUM($AG1041:AG1041))),0)</f>
        <v>0</v>
      </c>
      <c r="AI1041" s="8">
        <f>IF($O1041="Aktif",MAX(0,MIN($AE1041,$AD1041-SUM($AG1041:AH1041))),0)</f>
        <v>0</v>
      </c>
      <c r="AJ1041" s="8">
        <f>IF($O1041="Aktif",MAX(0,MIN($AE1041,$AD1041-SUM($AG1041:AI1041))),0)</f>
        <v>0</v>
      </c>
      <c r="AK1041" s="8">
        <f>IF($O1041="Aktif",MAX(0,MIN($AE1041,$AD1041-SUM($AG1041:AJ1041))),0)</f>
        <v>0</v>
      </c>
      <c r="AL1041" s="8">
        <f>IF($O1041="Aktif",MAX(0,MIN($AE1041,$AD1041-SUM($AG1041:AK1041))),0)</f>
        <v>0</v>
      </c>
      <c r="AM1041" s="8">
        <f>IF($O1041="Aktif",MAX(0,MIN($AE1041,$AD1041-SUM($AG1041:AL1041))),0)</f>
        <v>0</v>
      </c>
      <c r="AN1041" s="8">
        <f>IF($O1041="Aktif",MAX(0,MIN($AE1041,$AD1041-SUM($AG1041:AM1041))),0)</f>
        <v>0</v>
      </c>
      <c r="AO1041" s="8">
        <f>IF($O1041="Aktif",MAX(0,MIN($AE1041,$AD1041-SUM($AG1041:AN1041))),0)</f>
        <v>0</v>
      </c>
      <c r="AP1041" s="8">
        <f>IF($O1041="Aktif",MAX(0,MIN($AE1041,$AD1041-SUM($AG1041:AO1041))),0)</f>
        <v>0</v>
      </c>
      <c r="AQ1041" s="8">
        <f>IF($O1041="Aktif",MAX(0,MIN($AE1041,$AD1041-SUM($AG1041:AP1041))),0)</f>
        <v>0</v>
      </c>
      <c r="AR1041" s="8">
        <f>IF($O1041="Aktif",MAX(0,MIN($AE1041,$AD1041-SUM($AG1041:AQ1041))),0)</f>
        <v>0</v>
      </c>
      <c r="AS1041" s="8">
        <f>IF($O1041="Aktif",MAX(0,MIN($AE1041,$AD1041-SUM($AG1041:AR1041))),0)</f>
        <v>0</v>
      </c>
      <c r="AT1041" s="8">
        <f>IF($O1041="Aktif",MAX(0,MIN($AE1041,$AD1041-SUM($AG1041:AS1041))),0)</f>
        <v>0</v>
      </c>
      <c r="AU1041" s="8">
        <f>IF($O1041="Aktif",MAX(0,MIN($AE1041,$AD1041-SUM($AG1041:AT1041))),0)</f>
        <v>0</v>
      </c>
      <c r="AV1041" s="8">
        <f>IF($O1041="Aktif",MAX(0,MIN($AE1041,$AD1041-SUM($AG1041:AU1041))),0)</f>
        <v>0</v>
      </c>
      <c r="AW1041" s="8">
        <f t="shared" si="117"/>
        <v>0</v>
      </c>
      <c r="AX1041" s="8">
        <f t="shared" si="118"/>
        <v>0</v>
      </c>
    </row>
    <row r="1042" spans="1:50" ht="15" customHeight="1" x14ac:dyDescent="0.35">
      <c r="A1042" s="102">
        <v>1036</v>
      </c>
      <c r="B1042" s="102" t="s">
        <v>2815</v>
      </c>
      <c r="C1042" s="103">
        <v>58</v>
      </c>
      <c r="D1042" s="102" t="s">
        <v>186</v>
      </c>
      <c r="E1042" s="102" t="s">
        <v>587</v>
      </c>
      <c r="F1042" s="102" t="s">
        <v>2816</v>
      </c>
      <c r="G1042" s="102" t="s">
        <v>2817</v>
      </c>
      <c r="H1042" s="102" t="s">
        <v>2818</v>
      </c>
      <c r="I1042" s="102" t="s">
        <v>63</v>
      </c>
      <c r="J1042" s="102" t="s">
        <v>2897</v>
      </c>
      <c r="K1042" s="102" t="s">
        <v>591</v>
      </c>
      <c r="L1042" s="102" t="s">
        <v>592</v>
      </c>
      <c r="M1042" s="102" t="s">
        <v>2898</v>
      </c>
      <c r="N1042" s="102" t="s">
        <v>2898</v>
      </c>
      <c r="O1042" s="102" t="s">
        <v>383</v>
      </c>
      <c r="P1042" s="103">
        <v>1</v>
      </c>
      <c r="Q1042" s="105">
        <v>33060000</v>
      </c>
      <c r="R1042" s="103">
        <v>48</v>
      </c>
      <c r="S1042" s="105">
        <v>0</v>
      </c>
      <c r="T1042" s="105">
        <v>33060000</v>
      </c>
      <c r="U1042" s="105">
        <v>0</v>
      </c>
      <c r="V1042" s="105">
        <v>0</v>
      </c>
      <c r="W1042" s="105">
        <v>0</v>
      </c>
      <c r="X1042" s="105">
        <v>0</v>
      </c>
      <c r="Y1042" s="105">
        <v>0</v>
      </c>
      <c r="Z1042" s="105">
        <v>0</v>
      </c>
      <c r="AA1042" s="105">
        <v>0</v>
      </c>
      <c r="AB1042" s="105">
        <v>0</v>
      </c>
      <c r="AC1042" s="8">
        <f t="shared" si="112"/>
        <v>33060000</v>
      </c>
      <c r="AD1042" s="8">
        <f t="shared" si="113"/>
        <v>0</v>
      </c>
      <c r="AE1042" s="8">
        <f t="shared" si="114"/>
        <v>0</v>
      </c>
      <c r="AF1042" s="106">
        <f t="shared" si="115"/>
        <v>0</v>
      </c>
      <c r="AG1042" s="8">
        <f t="shared" si="116"/>
        <v>0</v>
      </c>
      <c r="AH1042" s="8">
        <f>IF($O1042="Aktif",MAX(0,MIN($AE1042,$AD1042-SUM($AG1042:AG1042))),0)</f>
        <v>0</v>
      </c>
      <c r="AI1042" s="8">
        <f>IF($O1042="Aktif",MAX(0,MIN($AE1042,$AD1042-SUM($AG1042:AH1042))),0)</f>
        <v>0</v>
      </c>
      <c r="AJ1042" s="8">
        <f>IF($O1042="Aktif",MAX(0,MIN($AE1042,$AD1042-SUM($AG1042:AI1042))),0)</f>
        <v>0</v>
      </c>
      <c r="AK1042" s="8">
        <f>IF($O1042="Aktif",MAX(0,MIN($AE1042,$AD1042-SUM($AG1042:AJ1042))),0)</f>
        <v>0</v>
      </c>
      <c r="AL1042" s="8">
        <f>IF($O1042="Aktif",MAX(0,MIN($AE1042,$AD1042-SUM($AG1042:AK1042))),0)</f>
        <v>0</v>
      </c>
      <c r="AM1042" s="8">
        <f>IF($O1042="Aktif",MAX(0,MIN($AE1042,$AD1042-SUM($AG1042:AL1042))),0)</f>
        <v>0</v>
      </c>
      <c r="AN1042" s="8">
        <f>IF($O1042="Aktif",MAX(0,MIN($AE1042,$AD1042-SUM($AG1042:AM1042))),0)</f>
        <v>0</v>
      </c>
      <c r="AO1042" s="8">
        <f>IF($O1042="Aktif",MAX(0,MIN($AE1042,$AD1042-SUM($AG1042:AN1042))),0)</f>
        <v>0</v>
      </c>
      <c r="AP1042" s="8">
        <f>IF($O1042="Aktif",MAX(0,MIN($AE1042,$AD1042-SUM($AG1042:AO1042))),0)</f>
        <v>0</v>
      </c>
      <c r="AQ1042" s="8">
        <f>IF($O1042="Aktif",MAX(0,MIN($AE1042,$AD1042-SUM($AG1042:AP1042))),0)</f>
        <v>0</v>
      </c>
      <c r="AR1042" s="8">
        <f>IF($O1042="Aktif",MAX(0,MIN($AE1042,$AD1042-SUM($AG1042:AQ1042))),0)</f>
        <v>0</v>
      </c>
      <c r="AS1042" s="8">
        <f>IF($O1042="Aktif",MAX(0,MIN($AE1042,$AD1042-SUM($AG1042:AR1042))),0)</f>
        <v>0</v>
      </c>
      <c r="AT1042" s="8">
        <f>IF($O1042="Aktif",MAX(0,MIN($AE1042,$AD1042-SUM($AG1042:AS1042))),0)</f>
        <v>0</v>
      </c>
      <c r="AU1042" s="8">
        <f>IF($O1042="Aktif",MAX(0,MIN($AE1042,$AD1042-SUM($AG1042:AT1042))),0)</f>
        <v>0</v>
      </c>
      <c r="AV1042" s="8">
        <f>IF($O1042="Aktif",MAX(0,MIN($AE1042,$AD1042-SUM($AG1042:AU1042))),0)</f>
        <v>0</v>
      </c>
      <c r="AW1042" s="8">
        <f t="shared" si="117"/>
        <v>0</v>
      </c>
      <c r="AX1042" s="8">
        <f t="shared" si="118"/>
        <v>0</v>
      </c>
    </row>
    <row r="1043" spans="1:50" ht="15" customHeight="1" x14ac:dyDescent="0.35">
      <c r="A1043" s="102">
        <v>1037</v>
      </c>
      <c r="B1043" s="102" t="s">
        <v>2815</v>
      </c>
      <c r="C1043" s="103">
        <v>59</v>
      </c>
      <c r="D1043" s="102" t="s">
        <v>186</v>
      </c>
      <c r="E1043" s="102" t="s">
        <v>587</v>
      </c>
      <c r="F1043" s="102" t="s">
        <v>2816</v>
      </c>
      <c r="G1043" s="102" t="s">
        <v>2817</v>
      </c>
      <c r="H1043" s="102" t="s">
        <v>2818</v>
      </c>
      <c r="I1043" s="102" t="s">
        <v>63</v>
      </c>
      <c r="J1043" s="102" t="s">
        <v>2899</v>
      </c>
      <c r="K1043" s="102" t="s">
        <v>591</v>
      </c>
      <c r="L1043" s="102" t="s">
        <v>592</v>
      </c>
      <c r="M1043" s="102" t="s">
        <v>2900</v>
      </c>
      <c r="N1043" s="102" t="s">
        <v>2900</v>
      </c>
      <c r="O1043" s="102" t="s">
        <v>383</v>
      </c>
      <c r="P1043" s="103">
        <v>1</v>
      </c>
      <c r="Q1043" s="105">
        <v>13620000</v>
      </c>
      <c r="R1043" s="103">
        <v>48</v>
      </c>
      <c r="S1043" s="105">
        <v>0</v>
      </c>
      <c r="T1043" s="105">
        <v>13620000</v>
      </c>
      <c r="U1043" s="105">
        <v>0</v>
      </c>
      <c r="V1043" s="105">
        <v>0</v>
      </c>
      <c r="W1043" s="105">
        <v>0</v>
      </c>
      <c r="X1043" s="105">
        <v>0</v>
      </c>
      <c r="Y1043" s="105">
        <v>0</v>
      </c>
      <c r="Z1043" s="105">
        <v>0</v>
      </c>
      <c r="AA1043" s="105">
        <v>0</v>
      </c>
      <c r="AB1043" s="105">
        <v>0</v>
      </c>
      <c r="AC1043" s="8">
        <f t="shared" si="112"/>
        <v>13620000</v>
      </c>
      <c r="AD1043" s="8">
        <f t="shared" si="113"/>
        <v>0</v>
      </c>
      <c r="AE1043" s="8">
        <f t="shared" si="114"/>
        <v>0</v>
      </c>
      <c r="AF1043" s="106">
        <f t="shared" si="115"/>
        <v>0</v>
      </c>
      <c r="AG1043" s="8">
        <f t="shared" si="116"/>
        <v>0</v>
      </c>
      <c r="AH1043" s="8">
        <f>IF($O1043="Aktif",MAX(0,MIN($AE1043,$AD1043-SUM($AG1043:AG1043))),0)</f>
        <v>0</v>
      </c>
      <c r="AI1043" s="8">
        <f>IF($O1043="Aktif",MAX(0,MIN($AE1043,$AD1043-SUM($AG1043:AH1043))),0)</f>
        <v>0</v>
      </c>
      <c r="AJ1043" s="8">
        <f>IF($O1043="Aktif",MAX(0,MIN($AE1043,$AD1043-SUM($AG1043:AI1043))),0)</f>
        <v>0</v>
      </c>
      <c r="AK1043" s="8">
        <f>IF($O1043="Aktif",MAX(0,MIN($AE1043,$AD1043-SUM($AG1043:AJ1043))),0)</f>
        <v>0</v>
      </c>
      <c r="AL1043" s="8">
        <f>IF($O1043="Aktif",MAX(0,MIN($AE1043,$AD1043-SUM($AG1043:AK1043))),0)</f>
        <v>0</v>
      </c>
      <c r="AM1043" s="8">
        <f>IF($O1043="Aktif",MAX(0,MIN($AE1043,$AD1043-SUM($AG1043:AL1043))),0)</f>
        <v>0</v>
      </c>
      <c r="AN1043" s="8">
        <f>IF($O1043="Aktif",MAX(0,MIN($AE1043,$AD1043-SUM($AG1043:AM1043))),0)</f>
        <v>0</v>
      </c>
      <c r="AO1043" s="8">
        <f>IF($O1043="Aktif",MAX(0,MIN($AE1043,$AD1043-SUM($AG1043:AN1043))),0)</f>
        <v>0</v>
      </c>
      <c r="AP1043" s="8">
        <f>IF($O1043="Aktif",MAX(0,MIN($AE1043,$AD1043-SUM($AG1043:AO1043))),0)</f>
        <v>0</v>
      </c>
      <c r="AQ1043" s="8">
        <f>IF($O1043="Aktif",MAX(0,MIN($AE1043,$AD1043-SUM($AG1043:AP1043))),0)</f>
        <v>0</v>
      </c>
      <c r="AR1043" s="8">
        <f>IF($O1043="Aktif",MAX(0,MIN($AE1043,$AD1043-SUM($AG1043:AQ1043))),0)</f>
        <v>0</v>
      </c>
      <c r="AS1043" s="8">
        <f>IF($O1043="Aktif",MAX(0,MIN($AE1043,$AD1043-SUM($AG1043:AR1043))),0)</f>
        <v>0</v>
      </c>
      <c r="AT1043" s="8">
        <f>IF($O1043="Aktif",MAX(0,MIN($AE1043,$AD1043-SUM($AG1043:AS1043))),0)</f>
        <v>0</v>
      </c>
      <c r="AU1043" s="8">
        <f>IF($O1043="Aktif",MAX(0,MIN($AE1043,$AD1043-SUM($AG1043:AT1043))),0)</f>
        <v>0</v>
      </c>
      <c r="AV1043" s="8">
        <f>IF($O1043="Aktif",MAX(0,MIN($AE1043,$AD1043-SUM($AG1043:AU1043))),0)</f>
        <v>0</v>
      </c>
      <c r="AW1043" s="8">
        <f t="shared" si="117"/>
        <v>0</v>
      </c>
      <c r="AX1043" s="8">
        <f t="shared" si="118"/>
        <v>0</v>
      </c>
    </row>
    <row r="1044" spans="1:50" ht="15" customHeight="1" x14ac:dyDescent="0.35">
      <c r="A1044" s="102">
        <v>1038</v>
      </c>
      <c r="B1044" s="102" t="s">
        <v>2815</v>
      </c>
      <c r="C1044" s="103">
        <v>60</v>
      </c>
      <c r="D1044" s="102" t="s">
        <v>186</v>
      </c>
      <c r="E1044" s="102" t="s">
        <v>587</v>
      </c>
      <c r="F1044" s="102" t="s">
        <v>2816</v>
      </c>
      <c r="G1044" s="102" t="s">
        <v>2817</v>
      </c>
      <c r="H1044" s="102" t="s">
        <v>2818</v>
      </c>
      <c r="I1044" s="102" t="s">
        <v>63</v>
      </c>
      <c r="J1044" s="102" t="s">
        <v>2901</v>
      </c>
      <c r="K1044" s="102" t="s">
        <v>591</v>
      </c>
      <c r="L1044" s="102" t="s">
        <v>592</v>
      </c>
      <c r="M1044" s="102" t="s">
        <v>2902</v>
      </c>
      <c r="N1044" s="102" t="s">
        <v>2902</v>
      </c>
      <c r="O1044" s="102" t="s">
        <v>383</v>
      </c>
      <c r="P1044" s="103">
        <v>1</v>
      </c>
      <c r="Q1044" s="105">
        <v>11478000</v>
      </c>
      <c r="R1044" s="103">
        <v>48</v>
      </c>
      <c r="S1044" s="105">
        <v>0</v>
      </c>
      <c r="T1044" s="105">
        <v>11478000</v>
      </c>
      <c r="U1044" s="105">
        <v>0</v>
      </c>
      <c r="V1044" s="105">
        <v>0</v>
      </c>
      <c r="W1044" s="105">
        <v>0</v>
      </c>
      <c r="X1044" s="105">
        <v>0</v>
      </c>
      <c r="Y1044" s="105">
        <v>0</v>
      </c>
      <c r="Z1044" s="105">
        <v>0</v>
      </c>
      <c r="AA1044" s="105">
        <v>0</v>
      </c>
      <c r="AB1044" s="105">
        <v>0</v>
      </c>
      <c r="AC1044" s="8">
        <f t="shared" si="112"/>
        <v>11478000</v>
      </c>
      <c r="AD1044" s="8">
        <f t="shared" si="113"/>
        <v>0</v>
      </c>
      <c r="AE1044" s="8">
        <f t="shared" si="114"/>
        <v>0</v>
      </c>
      <c r="AF1044" s="106">
        <f t="shared" si="115"/>
        <v>0</v>
      </c>
      <c r="AG1044" s="8">
        <f t="shared" si="116"/>
        <v>0</v>
      </c>
      <c r="AH1044" s="8">
        <f>IF($O1044="Aktif",MAX(0,MIN($AE1044,$AD1044-SUM($AG1044:AG1044))),0)</f>
        <v>0</v>
      </c>
      <c r="AI1044" s="8">
        <f>IF($O1044="Aktif",MAX(0,MIN($AE1044,$AD1044-SUM($AG1044:AH1044))),0)</f>
        <v>0</v>
      </c>
      <c r="AJ1044" s="8">
        <f>IF($O1044="Aktif",MAX(0,MIN($AE1044,$AD1044-SUM($AG1044:AI1044))),0)</f>
        <v>0</v>
      </c>
      <c r="AK1044" s="8">
        <f>IF($O1044="Aktif",MAX(0,MIN($AE1044,$AD1044-SUM($AG1044:AJ1044))),0)</f>
        <v>0</v>
      </c>
      <c r="AL1044" s="8">
        <f>IF($O1044="Aktif",MAX(0,MIN($AE1044,$AD1044-SUM($AG1044:AK1044))),0)</f>
        <v>0</v>
      </c>
      <c r="AM1044" s="8">
        <f>IF($O1044="Aktif",MAX(0,MIN($AE1044,$AD1044-SUM($AG1044:AL1044))),0)</f>
        <v>0</v>
      </c>
      <c r="AN1044" s="8">
        <f>IF($O1044="Aktif",MAX(0,MIN($AE1044,$AD1044-SUM($AG1044:AM1044))),0)</f>
        <v>0</v>
      </c>
      <c r="AO1044" s="8">
        <f>IF($O1044="Aktif",MAX(0,MIN($AE1044,$AD1044-SUM($AG1044:AN1044))),0)</f>
        <v>0</v>
      </c>
      <c r="AP1044" s="8">
        <f>IF($O1044="Aktif",MAX(0,MIN($AE1044,$AD1044-SUM($AG1044:AO1044))),0)</f>
        <v>0</v>
      </c>
      <c r="AQ1044" s="8">
        <f>IF($O1044="Aktif",MAX(0,MIN($AE1044,$AD1044-SUM($AG1044:AP1044))),0)</f>
        <v>0</v>
      </c>
      <c r="AR1044" s="8">
        <f>IF($O1044="Aktif",MAX(0,MIN($AE1044,$AD1044-SUM($AG1044:AQ1044))),0)</f>
        <v>0</v>
      </c>
      <c r="AS1044" s="8">
        <f>IF($O1044="Aktif",MAX(0,MIN($AE1044,$AD1044-SUM($AG1044:AR1044))),0)</f>
        <v>0</v>
      </c>
      <c r="AT1044" s="8">
        <f>IF($O1044="Aktif",MAX(0,MIN($AE1044,$AD1044-SUM($AG1044:AS1044))),0)</f>
        <v>0</v>
      </c>
      <c r="AU1044" s="8">
        <f>IF($O1044="Aktif",MAX(0,MIN($AE1044,$AD1044-SUM($AG1044:AT1044))),0)</f>
        <v>0</v>
      </c>
      <c r="AV1044" s="8">
        <f>IF($O1044="Aktif",MAX(0,MIN($AE1044,$AD1044-SUM($AG1044:AU1044))),0)</f>
        <v>0</v>
      </c>
      <c r="AW1044" s="8">
        <f t="shared" si="117"/>
        <v>0</v>
      </c>
      <c r="AX1044" s="8">
        <f t="shared" si="118"/>
        <v>0</v>
      </c>
    </row>
    <row r="1045" spans="1:50" ht="15" customHeight="1" x14ac:dyDescent="0.35">
      <c r="A1045" s="102">
        <v>1039</v>
      </c>
      <c r="B1045" s="102" t="s">
        <v>2815</v>
      </c>
      <c r="C1045" s="103">
        <v>61</v>
      </c>
      <c r="D1045" s="102" t="s">
        <v>186</v>
      </c>
      <c r="E1045" s="102" t="s">
        <v>587</v>
      </c>
      <c r="F1045" s="102" t="s">
        <v>2816</v>
      </c>
      <c r="G1045" s="102" t="s">
        <v>2817</v>
      </c>
      <c r="H1045" s="102" t="s">
        <v>2818</v>
      </c>
      <c r="I1045" s="102" t="s">
        <v>63</v>
      </c>
      <c r="J1045" s="102" t="s">
        <v>2903</v>
      </c>
      <c r="K1045" s="102" t="s">
        <v>591</v>
      </c>
      <c r="L1045" s="102" t="s">
        <v>592</v>
      </c>
      <c r="M1045" s="102" t="s">
        <v>2904</v>
      </c>
      <c r="N1045" s="102" t="s">
        <v>2904</v>
      </c>
      <c r="O1045" s="102" t="s">
        <v>383</v>
      </c>
      <c r="P1045" s="103">
        <v>1</v>
      </c>
      <c r="Q1045" s="105">
        <v>11478000</v>
      </c>
      <c r="R1045" s="103">
        <v>48</v>
      </c>
      <c r="S1045" s="105">
        <v>0</v>
      </c>
      <c r="T1045" s="105">
        <v>11478000</v>
      </c>
      <c r="U1045" s="105">
        <v>0</v>
      </c>
      <c r="V1045" s="105">
        <v>0</v>
      </c>
      <c r="W1045" s="105">
        <v>0</v>
      </c>
      <c r="X1045" s="105">
        <v>0</v>
      </c>
      <c r="Y1045" s="105">
        <v>0</v>
      </c>
      <c r="Z1045" s="105">
        <v>0</v>
      </c>
      <c r="AA1045" s="105">
        <v>0</v>
      </c>
      <c r="AB1045" s="105">
        <v>0</v>
      </c>
      <c r="AC1045" s="8">
        <f t="shared" si="112"/>
        <v>11478000</v>
      </c>
      <c r="AD1045" s="8">
        <f t="shared" si="113"/>
        <v>0</v>
      </c>
      <c r="AE1045" s="8">
        <f t="shared" si="114"/>
        <v>0</v>
      </c>
      <c r="AF1045" s="106">
        <f t="shared" si="115"/>
        <v>0</v>
      </c>
      <c r="AG1045" s="8">
        <f t="shared" si="116"/>
        <v>0</v>
      </c>
      <c r="AH1045" s="8">
        <f>IF($O1045="Aktif",MAX(0,MIN($AE1045,$AD1045-SUM($AG1045:AG1045))),0)</f>
        <v>0</v>
      </c>
      <c r="AI1045" s="8">
        <f>IF($O1045="Aktif",MAX(0,MIN($AE1045,$AD1045-SUM($AG1045:AH1045))),0)</f>
        <v>0</v>
      </c>
      <c r="AJ1045" s="8">
        <f>IF($O1045="Aktif",MAX(0,MIN($AE1045,$AD1045-SUM($AG1045:AI1045))),0)</f>
        <v>0</v>
      </c>
      <c r="AK1045" s="8">
        <f>IF($O1045="Aktif",MAX(0,MIN($AE1045,$AD1045-SUM($AG1045:AJ1045))),0)</f>
        <v>0</v>
      </c>
      <c r="AL1045" s="8">
        <f>IF($O1045="Aktif",MAX(0,MIN($AE1045,$AD1045-SUM($AG1045:AK1045))),0)</f>
        <v>0</v>
      </c>
      <c r="AM1045" s="8">
        <f>IF($O1045="Aktif",MAX(0,MIN($AE1045,$AD1045-SUM($AG1045:AL1045))),0)</f>
        <v>0</v>
      </c>
      <c r="AN1045" s="8">
        <f>IF($O1045="Aktif",MAX(0,MIN($AE1045,$AD1045-SUM($AG1045:AM1045))),0)</f>
        <v>0</v>
      </c>
      <c r="AO1045" s="8">
        <f>IF($O1045="Aktif",MAX(0,MIN($AE1045,$AD1045-SUM($AG1045:AN1045))),0)</f>
        <v>0</v>
      </c>
      <c r="AP1045" s="8">
        <f>IF($O1045="Aktif",MAX(0,MIN($AE1045,$AD1045-SUM($AG1045:AO1045))),0)</f>
        <v>0</v>
      </c>
      <c r="AQ1045" s="8">
        <f>IF($O1045="Aktif",MAX(0,MIN($AE1045,$AD1045-SUM($AG1045:AP1045))),0)</f>
        <v>0</v>
      </c>
      <c r="AR1045" s="8">
        <f>IF($O1045="Aktif",MAX(0,MIN($AE1045,$AD1045-SUM($AG1045:AQ1045))),0)</f>
        <v>0</v>
      </c>
      <c r="AS1045" s="8">
        <f>IF($O1045="Aktif",MAX(0,MIN($AE1045,$AD1045-SUM($AG1045:AR1045))),0)</f>
        <v>0</v>
      </c>
      <c r="AT1045" s="8">
        <f>IF($O1045="Aktif",MAX(0,MIN($AE1045,$AD1045-SUM($AG1045:AS1045))),0)</f>
        <v>0</v>
      </c>
      <c r="AU1045" s="8">
        <f>IF($O1045="Aktif",MAX(0,MIN($AE1045,$AD1045-SUM($AG1045:AT1045))),0)</f>
        <v>0</v>
      </c>
      <c r="AV1045" s="8">
        <f>IF($O1045="Aktif",MAX(0,MIN($AE1045,$AD1045-SUM($AG1045:AU1045))),0)</f>
        <v>0</v>
      </c>
      <c r="AW1045" s="8">
        <f t="shared" si="117"/>
        <v>0</v>
      </c>
      <c r="AX1045" s="8">
        <f t="shared" si="118"/>
        <v>0</v>
      </c>
    </row>
    <row r="1046" spans="1:50" ht="15" customHeight="1" x14ac:dyDescent="0.35">
      <c r="A1046" s="102">
        <v>1040</v>
      </c>
      <c r="B1046" s="102" t="s">
        <v>2815</v>
      </c>
      <c r="C1046" s="103">
        <v>62</v>
      </c>
      <c r="D1046" s="102" t="s">
        <v>186</v>
      </c>
      <c r="E1046" s="102" t="s">
        <v>587</v>
      </c>
      <c r="F1046" s="102" t="s">
        <v>2816</v>
      </c>
      <c r="G1046" s="102" t="s">
        <v>2817</v>
      </c>
      <c r="H1046" s="102" t="s">
        <v>2818</v>
      </c>
      <c r="I1046" s="102" t="s">
        <v>63</v>
      </c>
      <c r="J1046" s="102" t="s">
        <v>2905</v>
      </c>
      <c r="K1046" s="102" t="s">
        <v>591</v>
      </c>
      <c r="L1046" s="102" t="s">
        <v>592</v>
      </c>
      <c r="M1046" s="102" t="s">
        <v>2906</v>
      </c>
      <c r="N1046" s="102" t="s">
        <v>2906</v>
      </c>
      <c r="O1046" s="102" t="s">
        <v>383</v>
      </c>
      <c r="P1046" s="103">
        <v>1</v>
      </c>
      <c r="Q1046" s="105">
        <v>23750000</v>
      </c>
      <c r="R1046" s="103">
        <v>48</v>
      </c>
      <c r="S1046" s="105">
        <v>0</v>
      </c>
      <c r="T1046" s="105">
        <v>23750000</v>
      </c>
      <c r="U1046" s="105">
        <v>0</v>
      </c>
      <c r="V1046" s="105">
        <v>0</v>
      </c>
      <c r="W1046" s="105">
        <v>0</v>
      </c>
      <c r="X1046" s="105">
        <v>0</v>
      </c>
      <c r="Y1046" s="105">
        <v>0</v>
      </c>
      <c r="Z1046" s="105">
        <v>0</v>
      </c>
      <c r="AA1046" s="105">
        <v>0</v>
      </c>
      <c r="AB1046" s="105">
        <v>0</v>
      </c>
      <c r="AC1046" s="8">
        <f t="shared" si="112"/>
        <v>23750000</v>
      </c>
      <c r="AD1046" s="8">
        <f t="shared" si="113"/>
        <v>0</v>
      </c>
      <c r="AE1046" s="8">
        <f t="shared" si="114"/>
        <v>0</v>
      </c>
      <c r="AF1046" s="106">
        <f t="shared" si="115"/>
        <v>0</v>
      </c>
      <c r="AG1046" s="8">
        <f t="shared" si="116"/>
        <v>0</v>
      </c>
      <c r="AH1046" s="8">
        <f>IF($O1046="Aktif",MAX(0,MIN($AE1046,$AD1046-SUM($AG1046:AG1046))),0)</f>
        <v>0</v>
      </c>
      <c r="AI1046" s="8">
        <f>IF($O1046="Aktif",MAX(0,MIN($AE1046,$AD1046-SUM($AG1046:AH1046))),0)</f>
        <v>0</v>
      </c>
      <c r="AJ1046" s="8">
        <f>IF($O1046="Aktif",MAX(0,MIN($AE1046,$AD1046-SUM($AG1046:AI1046))),0)</f>
        <v>0</v>
      </c>
      <c r="AK1046" s="8">
        <f>IF($O1046="Aktif",MAX(0,MIN($AE1046,$AD1046-SUM($AG1046:AJ1046))),0)</f>
        <v>0</v>
      </c>
      <c r="AL1046" s="8">
        <f>IF($O1046="Aktif",MAX(0,MIN($AE1046,$AD1046-SUM($AG1046:AK1046))),0)</f>
        <v>0</v>
      </c>
      <c r="AM1046" s="8">
        <f>IF($O1046="Aktif",MAX(0,MIN($AE1046,$AD1046-SUM($AG1046:AL1046))),0)</f>
        <v>0</v>
      </c>
      <c r="AN1046" s="8">
        <f>IF($O1046="Aktif",MAX(0,MIN($AE1046,$AD1046-SUM($AG1046:AM1046))),0)</f>
        <v>0</v>
      </c>
      <c r="AO1046" s="8">
        <f>IF($O1046="Aktif",MAX(0,MIN($AE1046,$AD1046-SUM($AG1046:AN1046))),0)</f>
        <v>0</v>
      </c>
      <c r="AP1046" s="8">
        <f>IF($O1046="Aktif",MAX(0,MIN($AE1046,$AD1046-SUM($AG1046:AO1046))),0)</f>
        <v>0</v>
      </c>
      <c r="AQ1046" s="8">
        <f>IF($O1046="Aktif",MAX(0,MIN($AE1046,$AD1046-SUM($AG1046:AP1046))),0)</f>
        <v>0</v>
      </c>
      <c r="AR1046" s="8">
        <f>IF($O1046="Aktif",MAX(0,MIN($AE1046,$AD1046-SUM($AG1046:AQ1046))),0)</f>
        <v>0</v>
      </c>
      <c r="AS1046" s="8">
        <f>IF($O1046="Aktif",MAX(0,MIN($AE1046,$AD1046-SUM($AG1046:AR1046))),0)</f>
        <v>0</v>
      </c>
      <c r="AT1046" s="8">
        <f>IF($O1046="Aktif",MAX(0,MIN($AE1046,$AD1046-SUM($AG1046:AS1046))),0)</f>
        <v>0</v>
      </c>
      <c r="AU1046" s="8">
        <f>IF($O1046="Aktif",MAX(0,MIN($AE1046,$AD1046-SUM($AG1046:AT1046))),0)</f>
        <v>0</v>
      </c>
      <c r="AV1046" s="8">
        <f>IF($O1046="Aktif",MAX(0,MIN($AE1046,$AD1046-SUM($AG1046:AU1046))),0)</f>
        <v>0</v>
      </c>
      <c r="AW1046" s="8">
        <f t="shared" si="117"/>
        <v>0</v>
      </c>
      <c r="AX1046" s="8">
        <f t="shared" si="118"/>
        <v>0</v>
      </c>
    </row>
    <row r="1047" spans="1:50" ht="15" customHeight="1" x14ac:dyDescent="0.35">
      <c r="A1047" s="102">
        <v>1041</v>
      </c>
      <c r="B1047" s="102" t="s">
        <v>2815</v>
      </c>
      <c r="C1047" s="103">
        <v>63</v>
      </c>
      <c r="D1047" s="102" t="s">
        <v>186</v>
      </c>
      <c r="E1047" s="102" t="s">
        <v>587</v>
      </c>
      <c r="F1047" s="102" t="s">
        <v>2816</v>
      </c>
      <c r="G1047" s="102" t="s">
        <v>2817</v>
      </c>
      <c r="H1047" s="102" t="s">
        <v>2818</v>
      </c>
      <c r="I1047" s="102" t="s">
        <v>63</v>
      </c>
      <c r="J1047" s="102" t="s">
        <v>2907</v>
      </c>
      <c r="K1047" s="102" t="s">
        <v>591</v>
      </c>
      <c r="L1047" s="102" t="s">
        <v>592</v>
      </c>
      <c r="M1047" s="102" t="s">
        <v>2908</v>
      </c>
      <c r="N1047" s="102" t="s">
        <v>2908</v>
      </c>
      <c r="O1047" s="102" t="s">
        <v>383</v>
      </c>
      <c r="P1047" s="103">
        <v>1</v>
      </c>
      <c r="Q1047" s="105">
        <v>11160000</v>
      </c>
      <c r="R1047" s="103">
        <v>48</v>
      </c>
      <c r="S1047" s="105">
        <v>0</v>
      </c>
      <c r="T1047" s="105">
        <v>11160000</v>
      </c>
      <c r="U1047" s="105">
        <v>0</v>
      </c>
      <c r="V1047" s="105">
        <v>0</v>
      </c>
      <c r="W1047" s="105">
        <v>0</v>
      </c>
      <c r="X1047" s="105">
        <v>0</v>
      </c>
      <c r="Y1047" s="105">
        <v>0</v>
      </c>
      <c r="Z1047" s="105">
        <v>0</v>
      </c>
      <c r="AA1047" s="105">
        <v>0</v>
      </c>
      <c r="AB1047" s="105">
        <v>0</v>
      </c>
      <c r="AC1047" s="8">
        <f t="shared" si="112"/>
        <v>11160000</v>
      </c>
      <c r="AD1047" s="8">
        <f t="shared" si="113"/>
        <v>0</v>
      </c>
      <c r="AE1047" s="8">
        <f t="shared" si="114"/>
        <v>0</v>
      </c>
      <c r="AF1047" s="106">
        <f t="shared" si="115"/>
        <v>0</v>
      </c>
      <c r="AG1047" s="8">
        <f t="shared" si="116"/>
        <v>0</v>
      </c>
      <c r="AH1047" s="8">
        <f>IF($O1047="Aktif",MAX(0,MIN($AE1047,$AD1047-SUM($AG1047:AG1047))),0)</f>
        <v>0</v>
      </c>
      <c r="AI1047" s="8">
        <f>IF($O1047="Aktif",MAX(0,MIN($AE1047,$AD1047-SUM($AG1047:AH1047))),0)</f>
        <v>0</v>
      </c>
      <c r="AJ1047" s="8">
        <f>IF($O1047="Aktif",MAX(0,MIN($AE1047,$AD1047-SUM($AG1047:AI1047))),0)</f>
        <v>0</v>
      </c>
      <c r="AK1047" s="8">
        <f>IF($O1047="Aktif",MAX(0,MIN($AE1047,$AD1047-SUM($AG1047:AJ1047))),0)</f>
        <v>0</v>
      </c>
      <c r="AL1047" s="8">
        <f>IF($O1047="Aktif",MAX(0,MIN($AE1047,$AD1047-SUM($AG1047:AK1047))),0)</f>
        <v>0</v>
      </c>
      <c r="AM1047" s="8">
        <f>IF($O1047="Aktif",MAX(0,MIN($AE1047,$AD1047-SUM($AG1047:AL1047))),0)</f>
        <v>0</v>
      </c>
      <c r="AN1047" s="8">
        <f>IF($O1047="Aktif",MAX(0,MIN($AE1047,$AD1047-SUM($AG1047:AM1047))),0)</f>
        <v>0</v>
      </c>
      <c r="AO1047" s="8">
        <f>IF($O1047="Aktif",MAX(0,MIN($AE1047,$AD1047-SUM($AG1047:AN1047))),0)</f>
        <v>0</v>
      </c>
      <c r="AP1047" s="8">
        <f>IF($O1047="Aktif",MAX(0,MIN($AE1047,$AD1047-SUM($AG1047:AO1047))),0)</f>
        <v>0</v>
      </c>
      <c r="AQ1047" s="8">
        <f>IF($O1047="Aktif",MAX(0,MIN($AE1047,$AD1047-SUM($AG1047:AP1047))),0)</f>
        <v>0</v>
      </c>
      <c r="AR1047" s="8">
        <f>IF($O1047="Aktif",MAX(0,MIN($AE1047,$AD1047-SUM($AG1047:AQ1047))),0)</f>
        <v>0</v>
      </c>
      <c r="AS1047" s="8">
        <f>IF($O1047="Aktif",MAX(0,MIN($AE1047,$AD1047-SUM($AG1047:AR1047))),0)</f>
        <v>0</v>
      </c>
      <c r="AT1047" s="8">
        <f>IF($O1047="Aktif",MAX(0,MIN($AE1047,$AD1047-SUM($AG1047:AS1047))),0)</f>
        <v>0</v>
      </c>
      <c r="AU1047" s="8">
        <f>IF($O1047="Aktif",MAX(0,MIN($AE1047,$AD1047-SUM($AG1047:AT1047))),0)</f>
        <v>0</v>
      </c>
      <c r="AV1047" s="8">
        <f>IF($O1047="Aktif",MAX(0,MIN($AE1047,$AD1047-SUM($AG1047:AU1047))),0)</f>
        <v>0</v>
      </c>
      <c r="AW1047" s="8">
        <f t="shared" si="117"/>
        <v>0</v>
      </c>
      <c r="AX1047" s="8">
        <f t="shared" si="118"/>
        <v>0</v>
      </c>
    </row>
    <row r="1048" spans="1:50" ht="15" customHeight="1" x14ac:dyDescent="0.35">
      <c r="A1048" s="102">
        <v>1042</v>
      </c>
      <c r="B1048" s="102" t="s">
        <v>2815</v>
      </c>
      <c r="C1048" s="103">
        <v>64</v>
      </c>
      <c r="D1048" s="102" t="s">
        <v>186</v>
      </c>
      <c r="E1048" s="102" t="s">
        <v>587</v>
      </c>
      <c r="F1048" s="102" t="s">
        <v>2816</v>
      </c>
      <c r="G1048" s="102" t="s">
        <v>2817</v>
      </c>
      <c r="H1048" s="102" t="s">
        <v>2818</v>
      </c>
      <c r="I1048" s="102" t="s">
        <v>63</v>
      </c>
      <c r="J1048" s="102" t="s">
        <v>2909</v>
      </c>
      <c r="K1048" s="102" t="s">
        <v>591</v>
      </c>
      <c r="L1048" s="102" t="s">
        <v>592</v>
      </c>
      <c r="M1048" s="102" t="s">
        <v>2910</v>
      </c>
      <c r="N1048" s="102" t="s">
        <v>2910</v>
      </c>
      <c r="O1048" s="102" t="s">
        <v>383</v>
      </c>
      <c r="P1048" s="103">
        <v>1</v>
      </c>
      <c r="Q1048" s="105">
        <v>25200000</v>
      </c>
      <c r="R1048" s="103">
        <v>48</v>
      </c>
      <c r="S1048" s="105">
        <v>0</v>
      </c>
      <c r="T1048" s="105">
        <v>25200000</v>
      </c>
      <c r="U1048" s="105">
        <v>0</v>
      </c>
      <c r="V1048" s="105">
        <v>0</v>
      </c>
      <c r="W1048" s="105">
        <v>0</v>
      </c>
      <c r="X1048" s="105">
        <v>0</v>
      </c>
      <c r="Y1048" s="105">
        <v>0</v>
      </c>
      <c r="Z1048" s="105">
        <v>0</v>
      </c>
      <c r="AA1048" s="105">
        <v>0</v>
      </c>
      <c r="AB1048" s="105">
        <v>0</v>
      </c>
      <c r="AC1048" s="8">
        <f t="shared" si="112"/>
        <v>25200000</v>
      </c>
      <c r="AD1048" s="8">
        <f t="shared" si="113"/>
        <v>0</v>
      </c>
      <c r="AE1048" s="8">
        <f t="shared" si="114"/>
        <v>0</v>
      </c>
      <c r="AF1048" s="106">
        <f t="shared" si="115"/>
        <v>0</v>
      </c>
      <c r="AG1048" s="8">
        <f t="shared" si="116"/>
        <v>0</v>
      </c>
      <c r="AH1048" s="8">
        <f>IF($O1048="Aktif",MAX(0,MIN($AE1048,$AD1048-SUM($AG1048:AG1048))),0)</f>
        <v>0</v>
      </c>
      <c r="AI1048" s="8">
        <f>IF($O1048="Aktif",MAX(0,MIN($AE1048,$AD1048-SUM($AG1048:AH1048))),0)</f>
        <v>0</v>
      </c>
      <c r="AJ1048" s="8">
        <f>IF($O1048="Aktif",MAX(0,MIN($AE1048,$AD1048-SUM($AG1048:AI1048))),0)</f>
        <v>0</v>
      </c>
      <c r="AK1048" s="8">
        <f>IF($O1048="Aktif",MAX(0,MIN($AE1048,$AD1048-SUM($AG1048:AJ1048))),0)</f>
        <v>0</v>
      </c>
      <c r="AL1048" s="8">
        <f>IF($O1048="Aktif",MAX(0,MIN($AE1048,$AD1048-SUM($AG1048:AK1048))),0)</f>
        <v>0</v>
      </c>
      <c r="AM1048" s="8">
        <f>IF($O1048="Aktif",MAX(0,MIN($AE1048,$AD1048-SUM($AG1048:AL1048))),0)</f>
        <v>0</v>
      </c>
      <c r="AN1048" s="8">
        <f>IF($O1048="Aktif",MAX(0,MIN($AE1048,$AD1048-SUM($AG1048:AM1048))),0)</f>
        <v>0</v>
      </c>
      <c r="AO1048" s="8">
        <f>IF($O1048="Aktif",MAX(0,MIN($AE1048,$AD1048-SUM($AG1048:AN1048))),0)</f>
        <v>0</v>
      </c>
      <c r="AP1048" s="8">
        <f>IF($O1048="Aktif",MAX(0,MIN($AE1048,$AD1048-SUM($AG1048:AO1048))),0)</f>
        <v>0</v>
      </c>
      <c r="AQ1048" s="8">
        <f>IF($O1048="Aktif",MAX(0,MIN($AE1048,$AD1048-SUM($AG1048:AP1048))),0)</f>
        <v>0</v>
      </c>
      <c r="AR1048" s="8">
        <f>IF($O1048="Aktif",MAX(0,MIN($AE1048,$AD1048-SUM($AG1048:AQ1048))),0)</f>
        <v>0</v>
      </c>
      <c r="AS1048" s="8">
        <f>IF($O1048="Aktif",MAX(0,MIN($AE1048,$AD1048-SUM($AG1048:AR1048))),0)</f>
        <v>0</v>
      </c>
      <c r="AT1048" s="8">
        <f>IF($O1048="Aktif",MAX(0,MIN($AE1048,$AD1048-SUM($AG1048:AS1048))),0)</f>
        <v>0</v>
      </c>
      <c r="AU1048" s="8">
        <f>IF($O1048="Aktif",MAX(0,MIN($AE1048,$AD1048-SUM($AG1048:AT1048))),0)</f>
        <v>0</v>
      </c>
      <c r="AV1048" s="8">
        <f>IF($O1048="Aktif",MAX(0,MIN($AE1048,$AD1048-SUM($AG1048:AU1048))),0)</f>
        <v>0</v>
      </c>
      <c r="AW1048" s="8">
        <f t="shared" si="117"/>
        <v>0</v>
      </c>
      <c r="AX1048" s="8">
        <f t="shared" si="118"/>
        <v>0</v>
      </c>
    </row>
    <row r="1049" spans="1:50" ht="15" customHeight="1" x14ac:dyDescent="0.35">
      <c r="A1049" s="102">
        <v>1043</v>
      </c>
      <c r="B1049" s="102" t="s">
        <v>2815</v>
      </c>
      <c r="C1049" s="103">
        <v>65</v>
      </c>
      <c r="D1049" s="102" t="s">
        <v>186</v>
      </c>
      <c r="E1049" s="102" t="s">
        <v>587</v>
      </c>
      <c r="F1049" s="102" t="s">
        <v>2816</v>
      </c>
      <c r="G1049" s="102" t="s">
        <v>2817</v>
      </c>
      <c r="H1049" s="102" t="s">
        <v>2818</v>
      </c>
      <c r="I1049" s="102" t="s">
        <v>63</v>
      </c>
      <c r="J1049" s="102" t="s">
        <v>2911</v>
      </c>
      <c r="K1049" s="102" t="s">
        <v>591</v>
      </c>
      <c r="L1049" s="102" t="s">
        <v>592</v>
      </c>
      <c r="M1049" s="102" t="s">
        <v>2912</v>
      </c>
      <c r="N1049" s="102" t="s">
        <v>2912</v>
      </c>
      <c r="O1049" s="102" t="s">
        <v>383</v>
      </c>
      <c r="P1049" s="103">
        <v>1</v>
      </c>
      <c r="Q1049" s="105">
        <v>29820000</v>
      </c>
      <c r="R1049" s="103">
        <v>48</v>
      </c>
      <c r="S1049" s="105">
        <v>0</v>
      </c>
      <c r="T1049" s="105">
        <v>29820000</v>
      </c>
      <c r="U1049" s="105">
        <v>0</v>
      </c>
      <c r="V1049" s="105">
        <v>0</v>
      </c>
      <c r="W1049" s="105">
        <v>0</v>
      </c>
      <c r="X1049" s="105">
        <v>0</v>
      </c>
      <c r="Y1049" s="105">
        <v>0</v>
      </c>
      <c r="Z1049" s="105">
        <v>0</v>
      </c>
      <c r="AA1049" s="105">
        <v>0</v>
      </c>
      <c r="AB1049" s="105">
        <v>0</v>
      </c>
      <c r="AC1049" s="8">
        <f t="shared" si="112"/>
        <v>29820000</v>
      </c>
      <c r="AD1049" s="8">
        <f t="shared" si="113"/>
        <v>0</v>
      </c>
      <c r="AE1049" s="8">
        <f t="shared" si="114"/>
        <v>0</v>
      </c>
      <c r="AF1049" s="106">
        <f t="shared" si="115"/>
        <v>0</v>
      </c>
      <c r="AG1049" s="8">
        <f t="shared" si="116"/>
        <v>0</v>
      </c>
      <c r="AH1049" s="8">
        <f>IF($O1049="Aktif",MAX(0,MIN($AE1049,$AD1049-SUM($AG1049:AG1049))),0)</f>
        <v>0</v>
      </c>
      <c r="AI1049" s="8">
        <f>IF($O1049="Aktif",MAX(0,MIN($AE1049,$AD1049-SUM($AG1049:AH1049))),0)</f>
        <v>0</v>
      </c>
      <c r="AJ1049" s="8">
        <f>IF($O1049="Aktif",MAX(0,MIN($AE1049,$AD1049-SUM($AG1049:AI1049))),0)</f>
        <v>0</v>
      </c>
      <c r="AK1049" s="8">
        <f>IF($O1049="Aktif",MAX(0,MIN($AE1049,$AD1049-SUM($AG1049:AJ1049))),0)</f>
        <v>0</v>
      </c>
      <c r="AL1049" s="8">
        <f>IF($O1049="Aktif",MAX(0,MIN($AE1049,$AD1049-SUM($AG1049:AK1049))),0)</f>
        <v>0</v>
      </c>
      <c r="AM1049" s="8">
        <f>IF($O1049="Aktif",MAX(0,MIN($AE1049,$AD1049-SUM($AG1049:AL1049))),0)</f>
        <v>0</v>
      </c>
      <c r="AN1049" s="8">
        <f>IF($O1049="Aktif",MAX(0,MIN($AE1049,$AD1049-SUM($AG1049:AM1049))),0)</f>
        <v>0</v>
      </c>
      <c r="AO1049" s="8">
        <f>IF($O1049="Aktif",MAX(0,MIN($AE1049,$AD1049-SUM($AG1049:AN1049))),0)</f>
        <v>0</v>
      </c>
      <c r="AP1049" s="8">
        <f>IF($O1049="Aktif",MAX(0,MIN($AE1049,$AD1049-SUM($AG1049:AO1049))),0)</f>
        <v>0</v>
      </c>
      <c r="AQ1049" s="8">
        <f>IF($O1049="Aktif",MAX(0,MIN($AE1049,$AD1049-SUM($AG1049:AP1049))),0)</f>
        <v>0</v>
      </c>
      <c r="AR1049" s="8">
        <f>IF($O1049="Aktif",MAX(0,MIN($AE1049,$AD1049-SUM($AG1049:AQ1049))),0)</f>
        <v>0</v>
      </c>
      <c r="AS1049" s="8">
        <f>IF($O1049="Aktif",MAX(0,MIN($AE1049,$AD1049-SUM($AG1049:AR1049))),0)</f>
        <v>0</v>
      </c>
      <c r="AT1049" s="8">
        <f>IF($O1049="Aktif",MAX(0,MIN($AE1049,$AD1049-SUM($AG1049:AS1049))),0)</f>
        <v>0</v>
      </c>
      <c r="AU1049" s="8">
        <f>IF($O1049="Aktif",MAX(0,MIN($AE1049,$AD1049-SUM($AG1049:AT1049))),0)</f>
        <v>0</v>
      </c>
      <c r="AV1049" s="8">
        <f>IF($O1049="Aktif",MAX(0,MIN($AE1049,$AD1049-SUM($AG1049:AU1049))),0)</f>
        <v>0</v>
      </c>
      <c r="AW1049" s="8">
        <f t="shared" si="117"/>
        <v>0</v>
      </c>
      <c r="AX1049" s="8">
        <f t="shared" si="118"/>
        <v>0</v>
      </c>
    </row>
    <row r="1050" spans="1:50" ht="15" customHeight="1" x14ac:dyDescent="0.35">
      <c r="A1050" s="102">
        <v>1044</v>
      </c>
      <c r="B1050" s="102" t="s">
        <v>2815</v>
      </c>
      <c r="C1050" s="103">
        <v>66</v>
      </c>
      <c r="D1050" s="102" t="s">
        <v>186</v>
      </c>
      <c r="E1050" s="102" t="s">
        <v>587</v>
      </c>
      <c r="F1050" s="102" t="s">
        <v>2816</v>
      </c>
      <c r="G1050" s="102" t="s">
        <v>2817</v>
      </c>
      <c r="H1050" s="102" t="s">
        <v>2818</v>
      </c>
      <c r="I1050" s="102" t="s">
        <v>63</v>
      </c>
      <c r="J1050" s="102" t="s">
        <v>2913</v>
      </c>
      <c r="K1050" s="102" t="s">
        <v>591</v>
      </c>
      <c r="L1050" s="102" t="s">
        <v>2914</v>
      </c>
      <c r="M1050" s="102" t="s">
        <v>2867</v>
      </c>
      <c r="N1050" s="102" t="s">
        <v>2867</v>
      </c>
      <c r="O1050" s="102" t="s">
        <v>383</v>
      </c>
      <c r="P1050" s="103">
        <v>1</v>
      </c>
      <c r="Q1050" s="105">
        <v>5000000</v>
      </c>
      <c r="R1050" s="103">
        <v>48</v>
      </c>
      <c r="S1050" s="105">
        <v>0</v>
      </c>
      <c r="T1050" s="105">
        <v>5000000</v>
      </c>
      <c r="U1050" s="105">
        <v>0</v>
      </c>
      <c r="V1050" s="105">
        <v>0</v>
      </c>
      <c r="W1050" s="105">
        <v>0</v>
      </c>
      <c r="X1050" s="105">
        <v>0</v>
      </c>
      <c r="Y1050" s="105">
        <v>0</v>
      </c>
      <c r="Z1050" s="105">
        <v>0</v>
      </c>
      <c r="AA1050" s="105">
        <v>0</v>
      </c>
      <c r="AB1050" s="105">
        <v>0</v>
      </c>
      <c r="AC1050" s="8">
        <f t="shared" si="112"/>
        <v>5000000</v>
      </c>
      <c r="AD1050" s="8">
        <f t="shared" si="113"/>
        <v>0</v>
      </c>
      <c r="AE1050" s="8">
        <f t="shared" si="114"/>
        <v>0</v>
      </c>
      <c r="AF1050" s="106">
        <f t="shared" si="115"/>
        <v>0</v>
      </c>
      <c r="AG1050" s="8">
        <f t="shared" si="116"/>
        <v>0</v>
      </c>
      <c r="AH1050" s="8">
        <f>IF($O1050="Aktif",MAX(0,MIN($AE1050,$AD1050-SUM($AG1050:AG1050))),0)</f>
        <v>0</v>
      </c>
      <c r="AI1050" s="8">
        <f>IF($O1050="Aktif",MAX(0,MIN($AE1050,$AD1050-SUM($AG1050:AH1050))),0)</f>
        <v>0</v>
      </c>
      <c r="AJ1050" s="8">
        <f>IF($O1050="Aktif",MAX(0,MIN($AE1050,$AD1050-SUM($AG1050:AI1050))),0)</f>
        <v>0</v>
      </c>
      <c r="AK1050" s="8">
        <f>IF($O1050="Aktif",MAX(0,MIN($AE1050,$AD1050-SUM($AG1050:AJ1050))),0)</f>
        <v>0</v>
      </c>
      <c r="AL1050" s="8">
        <f>IF($O1050="Aktif",MAX(0,MIN($AE1050,$AD1050-SUM($AG1050:AK1050))),0)</f>
        <v>0</v>
      </c>
      <c r="AM1050" s="8">
        <f>IF($O1050="Aktif",MAX(0,MIN($AE1050,$AD1050-SUM($AG1050:AL1050))),0)</f>
        <v>0</v>
      </c>
      <c r="AN1050" s="8">
        <f>IF($O1050="Aktif",MAX(0,MIN($AE1050,$AD1050-SUM($AG1050:AM1050))),0)</f>
        <v>0</v>
      </c>
      <c r="AO1050" s="8">
        <f>IF($O1050="Aktif",MAX(0,MIN($AE1050,$AD1050-SUM($AG1050:AN1050))),0)</f>
        <v>0</v>
      </c>
      <c r="AP1050" s="8">
        <f>IF($O1050="Aktif",MAX(0,MIN($AE1050,$AD1050-SUM($AG1050:AO1050))),0)</f>
        <v>0</v>
      </c>
      <c r="AQ1050" s="8">
        <f>IF($O1050="Aktif",MAX(0,MIN($AE1050,$AD1050-SUM($AG1050:AP1050))),0)</f>
        <v>0</v>
      </c>
      <c r="AR1050" s="8">
        <f>IF($O1050="Aktif",MAX(0,MIN($AE1050,$AD1050-SUM($AG1050:AQ1050))),0)</f>
        <v>0</v>
      </c>
      <c r="AS1050" s="8">
        <f>IF($O1050="Aktif",MAX(0,MIN($AE1050,$AD1050-SUM($AG1050:AR1050))),0)</f>
        <v>0</v>
      </c>
      <c r="AT1050" s="8">
        <f>IF($O1050="Aktif",MAX(0,MIN($AE1050,$AD1050-SUM($AG1050:AS1050))),0)</f>
        <v>0</v>
      </c>
      <c r="AU1050" s="8">
        <f>IF($O1050="Aktif",MAX(0,MIN($AE1050,$AD1050-SUM($AG1050:AT1050))),0)</f>
        <v>0</v>
      </c>
      <c r="AV1050" s="8">
        <f>IF($O1050="Aktif",MAX(0,MIN($AE1050,$AD1050-SUM($AG1050:AU1050))),0)</f>
        <v>0</v>
      </c>
      <c r="AW1050" s="8">
        <f t="shared" si="117"/>
        <v>0</v>
      </c>
      <c r="AX1050" s="8">
        <f t="shared" si="118"/>
        <v>0</v>
      </c>
    </row>
    <row r="1051" spans="1:50" ht="15" customHeight="1" x14ac:dyDescent="0.35">
      <c r="A1051" s="102">
        <v>1045</v>
      </c>
      <c r="B1051" s="102" t="s">
        <v>2815</v>
      </c>
      <c r="C1051" s="103">
        <v>67</v>
      </c>
      <c r="D1051" s="102" t="s">
        <v>186</v>
      </c>
      <c r="E1051" s="102" t="s">
        <v>587</v>
      </c>
      <c r="F1051" s="102" t="s">
        <v>2816</v>
      </c>
      <c r="G1051" s="102" t="s">
        <v>2817</v>
      </c>
      <c r="H1051" s="102" t="s">
        <v>2818</v>
      </c>
      <c r="I1051" s="102" t="s">
        <v>63</v>
      </c>
      <c r="J1051" s="102" t="s">
        <v>2915</v>
      </c>
      <c r="K1051" s="102" t="s">
        <v>591</v>
      </c>
      <c r="L1051" s="102" t="s">
        <v>2916</v>
      </c>
      <c r="M1051" s="102" t="s">
        <v>2867</v>
      </c>
      <c r="N1051" s="102" t="s">
        <v>2917</v>
      </c>
      <c r="O1051" s="102" t="s">
        <v>383</v>
      </c>
      <c r="P1051" s="103">
        <v>1</v>
      </c>
      <c r="Q1051" s="105">
        <v>5000000</v>
      </c>
      <c r="R1051" s="103">
        <v>48</v>
      </c>
      <c r="S1051" s="105">
        <v>0</v>
      </c>
      <c r="T1051" s="105">
        <v>5000000</v>
      </c>
      <c r="U1051" s="105">
        <v>0</v>
      </c>
      <c r="V1051" s="105">
        <v>0</v>
      </c>
      <c r="W1051" s="105">
        <v>0</v>
      </c>
      <c r="X1051" s="105">
        <v>0</v>
      </c>
      <c r="Y1051" s="105">
        <v>0</v>
      </c>
      <c r="Z1051" s="105">
        <v>0</v>
      </c>
      <c r="AA1051" s="105">
        <v>0</v>
      </c>
      <c r="AB1051" s="105">
        <v>0</v>
      </c>
      <c r="AC1051" s="8">
        <f t="shared" si="112"/>
        <v>5000000</v>
      </c>
      <c r="AD1051" s="8">
        <f t="shared" si="113"/>
        <v>0</v>
      </c>
      <c r="AE1051" s="8">
        <f t="shared" si="114"/>
        <v>0</v>
      </c>
      <c r="AF1051" s="106">
        <f t="shared" si="115"/>
        <v>0</v>
      </c>
      <c r="AG1051" s="8">
        <f t="shared" si="116"/>
        <v>0</v>
      </c>
      <c r="AH1051" s="8">
        <f>IF($O1051="Aktif",MAX(0,MIN($AE1051,$AD1051-SUM($AG1051:AG1051))),0)</f>
        <v>0</v>
      </c>
      <c r="AI1051" s="8">
        <f>IF($O1051="Aktif",MAX(0,MIN($AE1051,$AD1051-SUM($AG1051:AH1051))),0)</f>
        <v>0</v>
      </c>
      <c r="AJ1051" s="8">
        <f>IF($O1051="Aktif",MAX(0,MIN($AE1051,$AD1051-SUM($AG1051:AI1051))),0)</f>
        <v>0</v>
      </c>
      <c r="AK1051" s="8">
        <f>IF($O1051="Aktif",MAX(0,MIN($AE1051,$AD1051-SUM($AG1051:AJ1051))),0)</f>
        <v>0</v>
      </c>
      <c r="AL1051" s="8">
        <f>IF($O1051="Aktif",MAX(0,MIN($AE1051,$AD1051-SUM($AG1051:AK1051))),0)</f>
        <v>0</v>
      </c>
      <c r="AM1051" s="8">
        <f>IF($O1051="Aktif",MAX(0,MIN($AE1051,$AD1051-SUM($AG1051:AL1051))),0)</f>
        <v>0</v>
      </c>
      <c r="AN1051" s="8">
        <f>IF($O1051="Aktif",MAX(0,MIN($AE1051,$AD1051-SUM($AG1051:AM1051))),0)</f>
        <v>0</v>
      </c>
      <c r="AO1051" s="8">
        <f>IF($O1051="Aktif",MAX(0,MIN($AE1051,$AD1051-SUM($AG1051:AN1051))),0)</f>
        <v>0</v>
      </c>
      <c r="AP1051" s="8">
        <f>IF($O1051="Aktif",MAX(0,MIN($AE1051,$AD1051-SUM($AG1051:AO1051))),0)</f>
        <v>0</v>
      </c>
      <c r="AQ1051" s="8">
        <f>IF($O1051="Aktif",MAX(0,MIN($AE1051,$AD1051-SUM($AG1051:AP1051))),0)</f>
        <v>0</v>
      </c>
      <c r="AR1051" s="8">
        <f>IF($O1051="Aktif",MAX(0,MIN($AE1051,$AD1051-SUM($AG1051:AQ1051))),0)</f>
        <v>0</v>
      </c>
      <c r="AS1051" s="8">
        <f>IF($O1051="Aktif",MAX(0,MIN($AE1051,$AD1051-SUM($AG1051:AR1051))),0)</f>
        <v>0</v>
      </c>
      <c r="AT1051" s="8">
        <f>IF($O1051="Aktif",MAX(0,MIN($AE1051,$AD1051-SUM($AG1051:AS1051))),0)</f>
        <v>0</v>
      </c>
      <c r="AU1051" s="8">
        <f>IF($O1051="Aktif",MAX(0,MIN($AE1051,$AD1051-SUM($AG1051:AT1051))),0)</f>
        <v>0</v>
      </c>
      <c r="AV1051" s="8">
        <f>IF($O1051="Aktif",MAX(0,MIN($AE1051,$AD1051-SUM($AG1051:AU1051))),0)</f>
        <v>0</v>
      </c>
      <c r="AW1051" s="8">
        <f t="shared" si="117"/>
        <v>0</v>
      </c>
      <c r="AX1051" s="8">
        <f t="shared" si="118"/>
        <v>0</v>
      </c>
    </row>
    <row r="1052" spans="1:50" ht="15" customHeight="1" x14ac:dyDescent="0.35">
      <c r="A1052" s="102">
        <v>1046</v>
      </c>
      <c r="B1052" s="102" t="s">
        <v>2815</v>
      </c>
      <c r="C1052" s="103">
        <v>68</v>
      </c>
      <c r="D1052" s="102" t="s">
        <v>186</v>
      </c>
      <c r="E1052" s="102" t="s">
        <v>587</v>
      </c>
      <c r="F1052" s="102" t="s">
        <v>2816</v>
      </c>
      <c r="G1052" s="102" t="s">
        <v>2817</v>
      </c>
      <c r="H1052" s="102" t="s">
        <v>2818</v>
      </c>
      <c r="I1052" s="102" t="s">
        <v>63</v>
      </c>
      <c r="J1052" s="102" t="s">
        <v>2918</v>
      </c>
      <c r="K1052" s="102" t="s">
        <v>591</v>
      </c>
      <c r="L1052" s="102" t="s">
        <v>2919</v>
      </c>
      <c r="M1052" s="102" t="s">
        <v>2920</v>
      </c>
      <c r="N1052" s="102" t="s">
        <v>2920</v>
      </c>
      <c r="O1052" s="102" t="s">
        <v>383</v>
      </c>
      <c r="P1052" s="103">
        <v>1</v>
      </c>
      <c r="Q1052" s="105">
        <v>50000000</v>
      </c>
      <c r="R1052" s="103">
        <v>48</v>
      </c>
      <c r="S1052" s="105">
        <v>0</v>
      </c>
      <c r="T1052" s="105">
        <v>50000000</v>
      </c>
      <c r="U1052" s="105">
        <v>0</v>
      </c>
      <c r="V1052" s="105">
        <v>0</v>
      </c>
      <c r="W1052" s="105">
        <v>0</v>
      </c>
      <c r="X1052" s="105">
        <v>0</v>
      </c>
      <c r="Y1052" s="105">
        <v>0</v>
      </c>
      <c r="Z1052" s="105">
        <v>0</v>
      </c>
      <c r="AA1052" s="105">
        <v>0</v>
      </c>
      <c r="AB1052" s="105">
        <v>0</v>
      </c>
      <c r="AC1052" s="8">
        <f t="shared" si="112"/>
        <v>50000000</v>
      </c>
      <c r="AD1052" s="8">
        <f t="shared" si="113"/>
        <v>0</v>
      </c>
      <c r="AE1052" s="8">
        <f t="shared" si="114"/>
        <v>0</v>
      </c>
      <c r="AF1052" s="106">
        <f t="shared" si="115"/>
        <v>0</v>
      </c>
      <c r="AG1052" s="8">
        <f t="shared" si="116"/>
        <v>0</v>
      </c>
      <c r="AH1052" s="8">
        <f>IF($O1052="Aktif",MAX(0,MIN($AE1052,$AD1052-SUM($AG1052:AG1052))),0)</f>
        <v>0</v>
      </c>
      <c r="AI1052" s="8">
        <f>IF($O1052="Aktif",MAX(0,MIN($AE1052,$AD1052-SUM($AG1052:AH1052))),0)</f>
        <v>0</v>
      </c>
      <c r="AJ1052" s="8">
        <f>IF($O1052="Aktif",MAX(0,MIN($AE1052,$AD1052-SUM($AG1052:AI1052))),0)</f>
        <v>0</v>
      </c>
      <c r="AK1052" s="8">
        <f>IF($O1052="Aktif",MAX(0,MIN($AE1052,$AD1052-SUM($AG1052:AJ1052))),0)</f>
        <v>0</v>
      </c>
      <c r="AL1052" s="8">
        <f>IF($O1052="Aktif",MAX(0,MIN($AE1052,$AD1052-SUM($AG1052:AK1052))),0)</f>
        <v>0</v>
      </c>
      <c r="AM1052" s="8">
        <f>IF($O1052="Aktif",MAX(0,MIN($AE1052,$AD1052-SUM($AG1052:AL1052))),0)</f>
        <v>0</v>
      </c>
      <c r="AN1052" s="8">
        <f>IF($O1052="Aktif",MAX(0,MIN($AE1052,$AD1052-SUM($AG1052:AM1052))),0)</f>
        <v>0</v>
      </c>
      <c r="AO1052" s="8">
        <f>IF($O1052="Aktif",MAX(0,MIN($AE1052,$AD1052-SUM($AG1052:AN1052))),0)</f>
        <v>0</v>
      </c>
      <c r="AP1052" s="8">
        <f>IF($O1052="Aktif",MAX(0,MIN($AE1052,$AD1052-SUM($AG1052:AO1052))),0)</f>
        <v>0</v>
      </c>
      <c r="AQ1052" s="8">
        <f>IF($O1052="Aktif",MAX(0,MIN($AE1052,$AD1052-SUM($AG1052:AP1052))),0)</f>
        <v>0</v>
      </c>
      <c r="AR1052" s="8">
        <f>IF($O1052="Aktif",MAX(0,MIN($AE1052,$AD1052-SUM($AG1052:AQ1052))),0)</f>
        <v>0</v>
      </c>
      <c r="AS1052" s="8">
        <f>IF($O1052="Aktif",MAX(0,MIN($AE1052,$AD1052-SUM($AG1052:AR1052))),0)</f>
        <v>0</v>
      </c>
      <c r="AT1052" s="8">
        <f>IF($O1052="Aktif",MAX(0,MIN($AE1052,$AD1052-SUM($AG1052:AS1052))),0)</f>
        <v>0</v>
      </c>
      <c r="AU1052" s="8">
        <f>IF($O1052="Aktif",MAX(0,MIN($AE1052,$AD1052-SUM($AG1052:AT1052))),0)</f>
        <v>0</v>
      </c>
      <c r="AV1052" s="8">
        <f>IF($O1052="Aktif",MAX(0,MIN($AE1052,$AD1052-SUM($AG1052:AU1052))),0)</f>
        <v>0</v>
      </c>
      <c r="AW1052" s="8">
        <f t="shared" si="117"/>
        <v>0</v>
      </c>
      <c r="AX1052" s="8">
        <f t="shared" si="118"/>
        <v>0</v>
      </c>
    </row>
    <row r="1053" spans="1:50" ht="15" customHeight="1" x14ac:dyDescent="0.35">
      <c r="A1053" s="102">
        <v>1047</v>
      </c>
      <c r="B1053" s="102" t="s">
        <v>2815</v>
      </c>
      <c r="C1053" s="103">
        <v>69</v>
      </c>
      <c r="D1053" s="102" t="s">
        <v>186</v>
      </c>
      <c r="E1053" s="102" t="s">
        <v>587</v>
      </c>
      <c r="F1053" s="102" t="s">
        <v>2816</v>
      </c>
      <c r="G1053" s="102" t="s">
        <v>2817</v>
      </c>
      <c r="H1053" s="102" t="s">
        <v>2818</v>
      </c>
      <c r="I1053" s="102" t="s">
        <v>63</v>
      </c>
      <c r="J1053" s="102" t="s">
        <v>2921</v>
      </c>
      <c r="K1053" s="102" t="s">
        <v>591</v>
      </c>
      <c r="L1053" s="102" t="s">
        <v>2922</v>
      </c>
      <c r="M1053" s="102" t="s">
        <v>2923</v>
      </c>
      <c r="N1053" s="102" t="s">
        <v>2923</v>
      </c>
      <c r="O1053" s="102" t="s">
        <v>383</v>
      </c>
      <c r="P1053" s="103">
        <v>1</v>
      </c>
      <c r="Q1053" s="105">
        <v>41000000</v>
      </c>
      <c r="R1053" s="103">
        <v>48</v>
      </c>
      <c r="S1053" s="105">
        <v>0</v>
      </c>
      <c r="T1053" s="105">
        <v>41000000</v>
      </c>
      <c r="U1053" s="105">
        <v>0</v>
      </c>
      <c r="V1053" s="105">
        <v>0</v>
      </c>
      <c r="W1053" s="105">
        <v>0</v>
      </c>
      <c r="X1053" s="105">
        <v>0</v>
      </c>
      <c r="Y1053" s="105">
        <v>0</v>
      </c>
      <c r="Z1053" s="105">
        <v>0</v>
      </c>
      <c r="AA1053" s="105">
        <v>0</v>
      </c>
      <c r="AB1053" s="105">
        <v>0</v>
      </c>
      <c r="AC1053" s="8">
        <f t="shared" si="112"/>
        <v>41000000</v>
      </c>
      <c r="AD1053" s="8">
        <f t="shared" si="113"/>
        <v>0</v>
      </c>
      <c r="AE1053" s="8">
        <f t="shared" si="114"/>
        <v>0</v>
      </c>
      <c r="AF1053" s="106">
        <f t="shared" si="115"/>
        <v>0</v>
      </c>
      <c r="AG1053" s="8">
        <f t="shared" si="116"/>
        <v>0</v>
      </c>
      <c r="AH1053" s="8">
        <f>IF($O1053="Aktif",MAX(0,MIN($AE1053,$AD1053-SUM($AG1053:AG1053))),0)</f>
        <v>0</v>
      </c>
      <c r="AI1053" s="8">
        <f>IF($O1053="Aktif",MAX(0,MIN($AE1053,$AD1053-SUM($AG1053:AH1053))),0)</f>
        <v>0</v>
      </c>
      <c r="AJ1053" s="8">
        <f>IF($O1053="Aktif",MAX(0,MIN($AE1053,$AD1053-SUM($AG1053:AI1053))),0)</f>
        <v>0</v>
      </c>
      <c r="AK1053" s="8">
        <f>IF($O1053="Aktif",MAX(0,MIN($AE1053,$AD1053-SUM($AG1053:AJ1053))),0)</f>
        <v>0</v>
      </c>
      <c r="AL1053" s="8">
        <f>IF($O1053="Aktif",MAX(0,MIN($AE1053,$AD1053-SUM($AG1053:AK1053))),0)</f>
        <v>0</v>
      </c>
      <c r="AM1053" s="8">
        <f>IF($O1053="Aktif",MAX(0,MIN($AE1053,$AD1053-SUM($AG1053:AL1053))),0)</f>
        <v>0</v>
      </c>
      <c r="AN1053" s="8">
        <f>IF($O1053="Aktif",MAX(0,MIN($AE1053,$AD1053-SUM($AG1053:AM1053))),0)</f>
        <v>0</v>
      </c>
      <c r="AO1053" s="8">
        <f>IF($O1053="Aktif",MAX(0,MIN($AE1053,$AD1053-SUM($AG1053:AN1053))),0)</f>
        <v>0</v>
      </c>
      <c r="AP1053" s="8">
        <f>IF($O1053="Aktif",MAX(0,MIN($AE1053,$AD1053-SUM($AG1053:AO1053))),0)</f>
        <v>0</v>
      </c>
      <c r="AQ1053" s="8">
        <f>IF($O1053="Aktif",MAX(0,MIN($AE1053,$AD1053-SUM($AG1053:AP1053))),0)</f>
        <v>0</v>
      </c>
      <c r="AR1053" s="8">
        <f>IF($O1053="Aktif",MAX(0,MIN($AE1053,$AD1053-SUM($AG1053:AQ1053))),0)</f>
        <v>0</v>
      </c>
      <c r="AS1053" s="8">
        <f>IF($O1053="Aktif",MAX(0,MIN($AE1053,$AD1053-SUM($AG1053:AR1053))),0)</f>
        <v>0</v>
      </c>
      <c r="AT1053" s="8">
        <f>IF($O1053="Aktif",MAX(0,MIN($AE1053,$AD1053-SUM($AG1053:AS1053))),0)</f>
        <v>0</v>
      </c>
      <c r="AU1053" s="8">
        <f>IF($O1053="Aktif",MAX(0,MIN($AE1053,$AD1053-SUM($AG1053:AT1053))),0)</f>
        <v>0</v>
      </c>
      <c r="AV1053" s="8">
        <f>IF($O1053="Aktif",MAX(0,MIN($AE1053,$AD1053-SUM($AG1053:AU1053))),0)</f>
        <v>0</v>
      </c>
      <c r="AW1053" s="8">
        <f t="shared" si="117"/>
        <v>0</v>
      </c>
      <c r="AX1053" s="8">
        <f t="shared" si="118"/>
        <v>0</v>
      </c>
    </row>
    <row r="1054" spans="1:50" ht="15" customHeight="1" x14ac:dyDescent="0.35">
      <c r="A1054" s="102">
        <v>1048</v>
      </c>
      <c r="B1054" s="102" t="s">
        <v>2815</v>
      </c>
      <c r="C1054" s="103">
        <v>70</v>
      </c>
      <c r="D1054" s="102" t="s">
        <v>186</v>
      </c>
      <c r="E1054" s="102" t="s">
        <v>587</v>
      </c>
      <c r="F1054" s="102" t="s">
        <v>2816</v>
      </c>
      <c r="G1054" s="102" t="s">
        <v>2817</v>
      </c>
      <c r="H1054" s="102" t="s">
        <v>2818</v>
      </c>
      <c r="I1054" s="102" t="s">
        <v>63</v>
      </c>
      <c r="J1054" s="102" t="s">
        <v>2924</v>
      </c>
      <c r="K1054" s="102" t="s">
        <v>591</v>
      </c>
      <c r="L1054" s="102" t="s">
        <v>2925</v>
      </c>
      <c r="M1054" s="102" t="s">
        <v>2926</v>
      </c>
      <c r="N1054" s="102" t="s">
        <v>2927</v>
      </c>
      <c r="O1054" s="102" t="s">
        <v>383</v>
      </c>
      <c r="P1054" s="103">
        <v>1</v>
      </c>
      <c r="Q1054" s="105">
        <v>6500000</v>
      </c>
      <c r="R1054" s="103">
        <v>48</v>
      </c>
      <c r="S1054" s="105">
        <v>0</v>
      </c>
      <c r="T1054" s="105">
        <v>6500000</v>
      </c>
      <c r="U1054" s="105">
        <v>0</v>
      </c>
      <c r="V1054" s="105">
        <v>0</v>
      </c>
      <c r="W1054" s="105">
        <v>0</v>
      </c>
      <c r="X1054" s="105">
        <v>0</v>
      </c>
      <c r="Y1054" s="105">
        <v>0</v>
      </c>
      <c r="Z1054" s="105">
        <v>0</v>
      </c>
      <c r="AA1054" s="105">
        <v>0</v>
      </c>
      <c r="AB1054" s="105">
        <v>0</v>
      </c>
      <c r="AC1054" s="8">
        <f t="shared" si="112"/>
        <v>6500000</v>
      </c>
      <c r="AD1054" s="8">
        <f t="shared" si="113"/>
        <v>0</v>
      </c>
      <c r="AE1054" s="8">
        <f t="shared" si="114"/>
        <v>0</v>
      </c>
      <c r="AF1054" s="106">
        <f t="shared" si="115"/>
        <v>0</v>
      </c>
      <c r="AG1054" s="8">
        <f t="shared" si="116"/>
        <v>0</v>
      </c>
      <c r="AH1054" s="8">
        <f>IF($O1054="Aktif",MAX(0,MIN($AE1054,$AD1054-SUM($AG1054:AG1054))),0)</f>
        <v>0</v>
      </c>
      <c r="AI1054" s="8">
        <f>IF($O1054="Aktif",MAX(0,MIN($AE1054,$AD1054-SUM($AG1054:AH1054))),0)</f>
        <v>0</v>
      </c>
      <c r="AJ1054" s="8">
        <f>IF($O1054="Aktif",MAX(0,MIN($AE1054,$AD1054-SUM($AG1054:AI1054))),0)</f>
        <v>0</v>
      </c>
      <c r="AK1054" s="8">
        <f>IF($O1054="Aktif",MAX(0,MIN($AE1054,$AD1054-SUM($AG1054:AJ1054))),0)</f>
        <v>0</v>
      </c>
      <c r="AL1054" s="8">
        <f>IF($O1054="Aktif",MAX(0,MIN($AE1054,$AD1054-SUM($AG1054:AK1054))),0)</f>
        <v>0</v>
      </c>
      <c r="AM1054" s="8">
        <f>IF($O1054="Aktif",MAX(0,MIN($AE1054,$AD1054-SUM($AG1054:AL1054))),0)</f>
        <v>0</v>
      </c>
      <c r="AN1054" s="8">
        <f>IF($O1054="Aktif",MAX(0,MIN($AE1054,$AD1054-SUM($AG1054:AM1054))),0)</f>
        <v>0</v>
      </c>
      <c r="AO1054" s="8">
        <f>IF($O1054="Aktif",MAX(0,MIN($AE1054,$AD1054-SUM($AG1054:AN1054))),0)</f>
        <v>0</v>
      </c>
      <c r="AP1054" s="8">
        <f>IF($O1054="Aktif",MAX(0,MIN($AE1054,$AD1054-SUM($AG1054:AO1054))),0)</f>
        <v>0</v>
      </c>
      <c r="AQ1054" s="8">
        <f>IF($O1054="Aktif",MAX(0,MIN($AE1054,$AD1054-SUM($AG1054:AP1054))),0)</f>
        <v>0</v>
      </c>
      <c r="AR1054" s="8">
        <f>IF($O1054="Aktif",MAX(0,MIN($AE1054,$AD1054-SUM($AG1054:AQ1054))),0)</f>
        <v>0</v>
      </c>
      <c r="AS1054" s="8">
        <f>IF($O1054="Aktif",MAX(0,MIN($AE1054,$AD1054-SUM($AG1054:AR1054))),0)</f>
        <v>0</v>
      </c>
      <c r="AT1054" s="8">
        <f>IF($O1054="Aktif",MAX(0,MIN($AE1054,$AD1054-SUM($AG1054:AS1054))),0)</f>
        <v>0</v>
      </c>
      <c r="AU1054" s="8">
        <f>IF($O1054="Aktif",MAX(0,MIN($AE1054,$AD1054-SUM($AG1054:AT1054))),0)</f>
        <v>0</v>
      </c>
      <c r="AV1054" s="8">
        <f>IF($O1054="Aktif",MAX(0,MIN($AE1054,$AD1054-SUM($AG1054:AU1054))),0)</f>
        <v>0</v>
      </c>
      <c r="AW1054" s="8">
        <f t="shared" si="117"/>
        <v>0</v>
      </c>
      <c r="AX1054" s="8">
        <f t="shared" si="118"/>
        <v>0</v>
      </c>
    </row>
    <row r="1055" spans="1:50" ht="15" customHeight="1" x14ac:dyDescent="0.35">
      <c r="A1055" s="102">
        <v>1049</v>
      </c>
      <c r="B1055" s="102" t="s">
        <v>2815</v>
      </c>
      <c r="C1055" s="103">
        <v>71</v>
      </c>
      <c r="D1055" s="102" t="s">
        <v>186</v>
      </c>
      <c r="E1055" s="102" t="s">
        <v>587</v>
      </c>
      <c r="F1055" s="102" t="s">
        <v>2816</v>
      </c>
      <c r="G1055" s="102" t="s">
        <v>2817</v>
      </c>
      <c r="H1055" s="102" t="s">
        <v>2818</v>
      </c>
      <c r="I1055" s="102" t="s">
        <v>63</v>
      </c>
      <c r="J1055" s="102" t="s">
        <v>2928</v>
      </c>
      <c r="K1055" s="102" t="s">
        <v>591</v>
      </c>
      <c r="L1055" s="102" t="s">
        <v>1475</v>
      </c>
      <c r="M1055" s="102" t="s">
        <v>2929</v>
      </c>
      <c r="N1055" s="102" t="s">
        <v>2930</v>
      </c>
      <c r="O1055" s="102" t="s">
        <v>383</v>
      </c>
      <c r="P1055" s="103">
        <v>1</v>
      </c>
      <c r="Q1055" s="105">
        <v>30669487.5</v>
      </c>
      <c r="R1055" s="103">
        <v>48</v>
      </c>
      <c r="S1055" s="105">
        <v>0</v>
      </c>
      <c r="T1055" s="105">
        <v>30669487.5</v>
      </c>
      <c r="U1055" s="105">
        <v>0</v>
      </c>
      <c r="V1055" s="105">
        <v>0</v>
      </c>
      <c r="W1055" s="105">
        <v>0</v>
      </c>
      <c r="X1055" s="105">
        <v>0</v>
      </c>
      <c r="Y1055" s="105">
        <v>0</v>
      </c>
      <c r="Z1055" s="105">
        <v>0</v>
      </c>
      <c r="AA1055" s="105">
        <v>0</v>
      </c>
      <c r="AB1055" s="105">
        <v>0</v>
      </c>
      <c r="AC1055" s="8">
        <f t="shared" si="112"/>
        <v>30669487.5</v>
      </c>
      <c r="AD1055" s="8">
        <f t="shared" si="113"/>
        <v>0</v>
      </c>
      <c r="AE1055" s="8">
        <f t="shared" si="114"/>
        <v>0</v>
      </c>
      <c r="AF1055" s="106">
        <f t="shared" si="115"/>
        <v>0</v>
      </c>
      <c r="AG1055" s="8">
        <f t="shared" si="116"/>
        <v>0</v>
      </c>
      <c r="AH1055" s="8">
        <f>IF($O1055="Aktif",MAX(0,MIN($AE1055,$AD1055-SUM($AG1055:AG1055))),0)</f>
        <v>0</v>
      </c>
      <c r="AI1055" s="8">
        <f>IF($O1055="Aktif",MAX(0,MIN($AE1055,$AD1055-SUM($AG1055:AH1055))),0)</f>
        <v>0</v>
      </c>
      <c r="AJ1055" s="8">
        <f>IF($O1055="Aktif",MAX(0,MIN($AE1055,$AD1055-SUM($AG1055:AI1055))),0)</f>
        <v>0</v>
      </c>
      <c r="AK1055" s="8">
        <f>IF($O1055="Aktif",MAX(0,MIN($AE1055,$AD1055-SUM($AG1055:AJ1055))),0)</f>
        <v>0</v>
      </c>
      <c r="AL1055" s="8">
        <f>IF($O1055="Aktif",MAX(0,MIN($AE1055,$AD1055-SUM($AG1055:AK1055))),0)</f>
        <v>0</v>
      </c>
      <c r="AM1055" s="8">
        <f>IF($O1055="Aktif",MAX(0,MIN($AE1055,$AD1055-SUM($AG1055:AL1055))),0)</f>
        <v>0</v>
      </c>
      <c r="AN1055" s="8">
        <f>IF($O1055="Aktif",MAX(0,MIN($AE1055,$AD1055-SUM($AG1055:AM1055))),0)</f>
        <v>0</v>
      </c>
      <c r="AO1055" s="8">
        <f>IF($O1055="Aktif",MAX(0,MIN($AE1055,$AD1055-SUM($AG1055:AN1055))),0)</f>
        <v>0</v>
      </c>
      <c r="AP1055" s="8">
        <f>IF($O1055="Aktif",MAX(0,MIN($AE1055,$AD1055-SUM($AG1055:AO1055))),0)</f>
        <v>0</v>
      </c>
      <c r="AQ1055" s="8">
        <f>IF($O1055="Aktif",MAX(0,MIN($AE1055,$AD1055-SUM($AG1055:AP1055))),0)</f>
        <v>0</v>
      </c>
      <c r="AR1055" s="8">
        <f>IF($O1055="Aktif",MAX(0,MIN($AE1055,$AD1055-SUM($AG1055:AQ1055))),0)</f>
        <v>0</v>
      </c>
      <c r="AS1055" s="8">
        <f>IF($O1055="Aktif",MAX(0,MIN($AE1055,$AD1055-SUM($AG1055:AR1055))),0)</f>
        <v>0</v>
      </c>
      <c r="AT1055" s="8">
        <f>IF($O1055="Aktif",MAX(0,MIN($AE1055,$AD1055-SUM($AG1055:AS1055))),0)</f>
        <v>0</v>
      </c>
      <c r="AU1055" s="8">
        <f>IF($O1055="Aktif",MAX(0,MIN($AE1055,$AD1055-SUM($AG1055:AT1055))),0)</f>
        <v>0</v>
      </c>
      <c r="AV1055" s="8">
        <f>IF($O1055="Aktif",MAX(0,MIN($AE1055,$AD1055-SUM($AG1055:AU1055))),0)</f>
        <v>0</v>
      </c>
      <c r="AW1055" s="8">
        <f t="shared" si="117"/>
        <v>0</v>
      </c>
      <c r="AX1055" s="8">
        <f t="shared" si="118"/>
        <v>0</v>
      </c>
    </row>
    <row r="1056" spans="1:50" ht="15" customHeight="1" x14ac:dyDescent="0.35">
      <c r="A1056" s="102">
        <v>1050</v>
      </c>
      <c r="B1056" s="102" t="s">
        <v>2815</v>
      </c>
      <c r="C1056" s="103">
        <v>72</v>
      </c>
      <c r="D1056" s="102" t="s">
        <v>186</v>
      </c>
      <c r="E1056" s="102" t="s">
        <v>587</v>
      </c>
      <c r="F1056" s="102" t="s">
        <v>2816</v>
      </c>
      <c r="G1056" s="102" t="s">
        <v>2817</v>
      </c>
      <c r="H1056" s="102" t="s">
        <v>2818</v>
      </c>
      <c r="I1056" s="102" t="s">
        <v>63</v>
      </c>
      <c r="J1056" s="102" t="s">
        <v>2931</v>
      </c>
      <c r="K1056" s="102" t="s">
        <v>591</v>
      </c>
      <c r="L1056" s="102" t="s">
        <v>1475</v>
      </c>
      <c r="M1056" s="102" t="s">
        <v>2932</v>
      </c>
      <c r="N1056" s="102" t="s">
        <v>2933</v>
      </c>
      <c r="O1056" s="102" t="s">
        <v>383</v>
      </c>
      <c r="P1056" s="103">
        <v>1</v>
      </c>
      <c r="Q1056" s="105">
        <v>11255000</v>
      </c>
      <c r="R1056" s="103">
        <v>48</v>
      </c>
      <c r="S1056" s="105">
        <v>0</v>
      </c>
      <c r="T1056" s="105">
        <v>11255000</v>
      </c>
      <c r="U1056" s="105">
        <v>0</v>
      </c>
      <c r="V1056" s="105">
        <v>0</v>
      </c>
      <c r="W1056" s="105">
        <v>0</v>
      </c>
      <c r="X1056" s="105">
        <v>0</v>
      </c>
      <c r="Y1056" s="105">
        <v>0</v>
      </c>
      <c r="Z1056" s="105">
        <v>0</v>
      </c>
      <c r="AA1056" s="105">
        <v>0</v>
      </c>
      <c r="AB1056" s="105">
        <v>0</v>
      </c>
      <c r="AC1056" s="8">
        <f t="shared" si="112"/>
        <v>11255000</v>
      </c>
      <c r="AD1056" s="8">
        <f t="shared" si="113"/>
        <v>0</v>
      </c>
      <c r="AE1056" s="8">
        <f t="shared" si="114"/>
        <v>0</v>
      </c>
      <c r="AF1056" s="106">
        <f t="shared" si="115"/>
        <v>0</v>
      </c>
      <c r="AG1056" s="8">
        <f t="shared" si="116"/>
        <v>0</v>
      </c>
      <c r="AH1056" s="8">
        <f>IF($O1056="Aktif",MAX(0,MIN($AE1056,$AD1056-SUM($AG1056:AG1056))),0)</f>
        <v>0</v>
      </c>
      <c r="AI1056" s="8">
        <f>IF($O1056="Aktif",MAX(0,MIN($AE1056,$AD1056-SUM($AG1056:AH1056))),0)</f>
        <v>0</v>
      </c>
      <c r="AJ1056" s="8">
        <f>IF($O1056="Aktif",MAX(0,MIN($AE1056,$AD1056-SUM($AG1056:AI1056))),0)</f>
        <v>0</v>
      </c>
      <c r="AK1056" s="8">
        <f>IF($O1056="Aktif",MAX(0,MIN($AE1056,$AD1056-SUM($AG1056:AJ1056))),0)</f>
        <v>0</v>
      </c>
      <c r="AL1056" s="8">
        <f>IF($O1056="Aktif",MAX(0,MIN($AE1056,$AD1056-SUM($AG1056:AK1056))),0)</f>
        <v>0</v>
      </c>
      <c r="AM1056" s="8">
        <f>IF($O1056="Aktif",MAX(0,MIN($AE1056,$AD1056-SUM($AG1056:AL1056))),0)</f>
        <v>0</v>
      </c>
      <c r="AN1056" s="8">
        <f>IF($O1056="Aktif",MAX(0,MIN($AE1056,$AD1056-SUM($AG1056:AM1056))),0)</f>
        <v>0</v>
      </c>
      <c r="AO1056" s="8">
        <f>IF($O1056="Aktif",MAX(0,MIN($AE1056,$AD1056-SUM($AG1056:AN1056))),0)</f>
        <v>0</v>
      </c>
      <c r="AP1056" s="8">
        <f>IF($O1056="Aktif",MAX(0,MIN($AE1056,$AD1056-SUM($AG1056:AO1056))),0)</f>
        <v>0</v>
      </c>
      <c r="AQ1056" s="8">
        <f>IF($O1056="Aktif",MAX(0,MIN($AE1056,$AD1056-SUM($AG1056:AP1056))),0)</f>
        <v>0</v>
      </c>
      <c r="AR1056" s="8">
        <f>IF($O1056="Aktif",MAX(0,MIN($AE1056,$AD1056-SUM($AG1056:AQ1056))),0)</f>
        <v>0</v>
      </c>
      <c r="AS1056" s="8">
        <f>IF($O1056="Aktif",MAX(0,MIN($AE1056,$AD1056-SUM($AG1056:AR1056))),0)</f>
        <v>0</v>
      </c>
      <c r="AT1056" s="8">
        <f>IF($O1056="Aktif",MAX(0,MIN($AE1056,$AD1056-SUM($AG1056:AS1056))),0)</f>
        <v>0</v>
      </c>
      <c r="AU1056" s="8">
        <f>IF($O1056="Aktif",MAX(0,MIN($AE1056,$AD1056-SUM($AG1056:AT1056))),0)</f>
        <v>0</v>
      </c>
      <c r="AV1056" s="8">
        <f>IF($O1056="Aktif",MAX(0,MIN($AE1056,$AD1056-SUM($AG1056:AU1056))),0)</f>
        <v>0</v>
      </c>
      <c r="AW1056" s="8">
        <f t="shared" si="117"/>
        <v>0</v>
      </c>
      <c r="AX1056" s="8">
        <f t="shared" si="118"/>
        <v>0</v>
      </c>
    </row>
    <row r="1057" spans="1:50" ht="15" customHeight="1" x14ac:dyDescent="0.35">
      <c r="A1057" s="102">
        <v>1051</v>
      </c>
      <c r="B1057" s="102" t="s">
        <v>2815</v>
      </c>
      <c r="C1057" s="103">
        <v>73</v>
      </c>
      <c r="D1057" s="102" t="s">
        <v>186</v>
      </c>
      <c r="E1057" s="102" t="s">
        <v>587</v>
      </c>
      <c r="F1057" s="102" t="s">
        <v>2816</v>
      </c>
      <c r="G1057" s="102" t="s">
        <v>2817</v>
      </c>
      <c r="H1057" s="102" t="s">
        <v>2818</v>
      </c>
      <c r="I1057" s="102" t="s">
        <v>63</v>
      </c>
      <c r="J1057" s="102" t="s">
        <v>2934</v>
      </c>
      <c r="K1057" s="102" t="s">
        <v>591</v>
      </c>
      <c r="L1057" s="102" t="s">
        <v>1475</v>
      </c>
      <c r="M1057" s="102" t="s">
        <v>2935</v>
      </c>
      <c r="N1057" s="102" t="s">
        <v>2936</v>
      </c>
      <c r="O1057" s="102" t="s">
        <v>383</v>
      </c>
      <c r="P1057" s="103">
        <v>1</v>
      </c>
      <c r="Q1057" s="105">
        <v>33500000</v>
      </c>
      <c r="R1057" s="103">
        <v>48</v>
      </c>
      <c r="S1057" s="105">
        <v>0</v>
      </c>
      <c r="T1057" s="105">
        <v>33500000</v>
      </c>
      <c r="U1057" s="105">
        <v>0</v>
      </c>
      <c r="V1057" s="105">
        <v>0</v>
      </c>
      <c r="W1057" s="105">
        <v>0</v>
      </c>
      <c r="X1057" s="105">
        <v>0</v>
      </c>
      <c r="Y1057" s="105">
        <v>0</v>
      </c>
      <c r="Z1057" s="105">
        <v>0</v>
      </c>
      <c r="AA1057" s="105">
        <v>0</v>
      </c>
      <c r="AB1057" s="105">
        <v>0</v>
      </c>
      <c r="AC1057" s="8">
        <f t="shared" si="112"/>
        <v>33500000</v>
      </c>
      <c r="AD1057" s="8">
        <f t="shared" si="113"/>
        <v>0</v>
      </c>
      <c r="AE1057" s="8">
        <f t="shared" si="114"/>
        <v>0</v>
      </c>
      <c r="AF1057" s="106">
        <f t="shared" si="115"/>
        <v>0</v>
      </c>
      <c r="AG1057" s="8">
        <f t="shared" si="116"/>
        <v>0</v>
      </c>
      <c r="AH1057" s="8">
        <f>IF($O1057="Aktif",MAX(0,MIN($AE1057,$AD1057-SUM($AG1057:AG1057))),0)</f>
        <v>0</v>
      </c>
      <c r="AI1057" s="8">
        <f>IF($O1057="Aktif",MAX(0,MIN($AE1057,$AD1057-SUM($AG1057:AH1057))),0)</f>
        <v>0</v>
      </c>
      <c r="AJ1057" s="8">
        <f>IF($O1057="Aktif",MAX(0,MIN($AE1057,$AD1057-SUM($AG1057:AI1057))),0)</f>
        <v>0</v>
      </c>
      <c r="AK1057" s="8">
        <f>IF($O1057="Aktif",MAX(0,MIN($AE1057,$AD1057-SUM($AG1057:AJ1057))),0)</f>
        <v>0</v>
      </c>
      <c r="AL1057" s="8">
        <f>IF($O1057="Aktif",MAX(0,MIN($AE1057,$AD1057-SUM($AG1057:AK1057))),0)</f>
        <v>0</v>
      </c>
      <c r="AM1057" s="8">
        <f>IF($O1057="Aktif",MAX(0,MIN($AE1057,$AD1057-SUM($AG1057:AL1057))),0)</f>
        <v>0</v>
      </c>
      <c r="AN1057" s="8">
        <f>IF($O1057="Aktif",MAX(0,MIN($AE1057,$AD1057-SUM($AG1057:AM1057))),0)</f>
        <v>0</v>
      </c>
      <c r="AO1057" s="8">
        <f>IF($O1057="Aktif",MAX(0,MIN($AE1057,$AD1057-SUM($AG1057:AN1057))),0)</f>
        <v>0</v>
      </c>
      <c r="AP1057" s="8">
        <f>IF($O1057="Aktif",MAX(0,MIN($AE1057,$AD1057-SUM($AG1057:AO1057))),0)</f>
        <v>0</v>
      </c>
      <c r="AQ1057" s="8">
        <f>IF($O1057="Aktif",MAX(0,MIN($AE1057,$AD1057-SUM($AG1057:AP1057))),0)</f>
        <v>0</v>
      </c>
      <c r="AR1057" s="8">
        <f>IF($O1057="Aktif",MAX(0,MIN($AE1057,$AD1057-SUM($AG1057:AQ1057))),0)</f>
        <v>0</v>
      </c>
      <c r="AS1057" s="8">
        <f>IF($O1057="Aktif",MAX(0,MIN($AE1057,$AD1057-SUM($AG1057:AR1057))),0)</f>
        <v>0</v>
      </c>
      <c r="AT1057" s="8">
        <f>IF($O1057="Aktif",MAX(0,MIN($AE1057,$AD1057-SUM($AG1057:AS1057))),0)</f>
        <v>0</v>
      </c>
      <c r="AU1057" s="8">
        <f>IF($O1057="Aktif",MAX(0,MIN($AE1057,$AD1057-SUM($AG1057:AT1057))),0)</f>
        <v>0</v>
      </c>
      <c r="AV1057" s="8">
        <f>IF($O1057="Aktif",MAX(0,MIN($AE1057,$AD1057-SUM($AG1057:AU1057))),0)</f>
        <v>0</v>
      </c>
      <c r="AW1057" s="8">
        <f t="shared" si="117"/>
        <v>0</v>
      </c>
      <c r="AX1057" s="8">
        <f t="shared" si="118"/>
        <v>0</v>
      </c>
    </row>
    <row r="1058" spans="1:50" ht="15" customHeight="1" x14ac:dyDescent="0.35">
      <c r="A1058" s="102">
        <v>1052</v>
      </c>
      <c r="B1058" s="102" t="s">
        <v>2815</v>
      </c>
      <c r="C1058" s="103">
        <v>74</v>
      </c>
      <c r="D1058" s="102" t="s">
        <v>186</v>
      </c>
      <c r="E1058" s="102" t="s">
        <v>587</v>
      </c>
      <c r="F1058" s="102" t="s">
        <v>2816</v>
      </c>
      <c r="G1058" s="102" t="s">
        <v>2817</v>
      </c>
      <c r="H1058" s="102" t="s">
        <v>2818</v>
      </c>
      <c r="I1058" s="102" t="s">
        <v>63</v>
      </c>
      <c r="J1058" s="102" t="s">
        <v>2937</v>
      </c>
      <c r="K1058" s="102" t="s">
        <v>591</v>
      </c>
      <c r="L1058" s="102" t="s">
        <v>2938</v>
      </c>
      <c r="M1058" s="102" t="s">
        <v>2939</v>
      </c>
      <c r="N1058" s="102" t="s">
        <v>2940</v>
      </c>
      <c r="O1058" s="102" t="s">
        <v>383</v>
      </c>
      <c r="P1058" s="103">
        <v>1</v>
      </c>
      <c r="Q1058" s="105">
        <v>1800000</v>
      </c>
      <c r="R1058" s="103">
        <v>48</v>
      </c>
      <c r="S1058" s="105">
        <v>0</v>
      </c>
      <c r="T1058" s="105">
        <v>1800000</v>
      </c>
      <c r="U1058" s="105">
        <v>0</v>
      </c>
      <c r="V1058" s="105">
        <v>0</v>
      </c>
      <c r="W1058" s="105">
        <v>0</v>
      </c>
      <c r="X1058" s="105">
        <v>0</v>
      </c>
      <c r="Y1058" s="105">
        <v>0</v>
      </c>
      <c r="Z1058" s="105">
        <v>0</v>
      </c>
      <c r="AA1058" s="105">
        <v>0</v>
      </c>
      <c r="AB1058" s="105">
        <v>0</v>
      </c>
      <c r="AC1058" s="8">
        <f t="shared" si="112"/>
        <v>1800000</v>
      </c>
      <c r="AD1058" s="8">
        <f t="shared" si="113"/>
        <v>0</v>
      </c>
      <c r="AE1058" s="8">
        <f t="shared" si="114"/>
        <v>0</v>
      </c>
      <c r="AF1058" s="106">
        <f t="shared" si="115"/>
        <v>0</v>
      </c>
      <c r="AG1058" s="8">
        <f t="shared" si="116"/>
        <v>0</v>
      </c>
      <c r="AH1058" s="8">
        <f>IF($O1058="Aktif",MAX(0,MIN($AE1058,$AD1058-SUM($AG1058:AG1058))),0)</f>
        <v>0</v>
      </c>
      <c r="AI1058" s="8">
        <f>IF($O1058="Aktif",MAX(0,MIN($AE1058,$AD1058-SUM($AG1058:AH1058))),0)</f>
        <v>0</v>
      </c>
      <c r="AJ1058" s="8">
        <f>IF($O1058="Aktif",MAX(0,MIN($AE1058,$AD1058-SUM($AG1058:AI1058))),0)</f>
        <v>0</v>
      </c>
      <c r="AK1058" s="8">
        <f>IF($O1058="Aktif",MAX(0,MIN($AE1058,$AD1058-SUM($AG1058:AJ1058))),0)</f>
        <v>0</v>
      </c>
      <c r="AL1058" s="8">
        <f>IF($O1058="Aktif",MAX(0,MIN($AE1058,$AD1058-SUM($AG1058:AK1058))),0)</f>
        <v>0</v>
      </c>
      <c r="AM1058" s="8">
        <f>IF($O1058="Aktif",MAX(0,MIN($AE1058,$AD1058-SUM($AG1058:AL1058))),0)</f>
        <v>0</v>
      </c>
      <c r="AN1058" s="8">
        <f>IF($O1058="Aktif",MAX(0,MIN($AE1058,$AD1058-SUM($AG1058:AM1058))),0)</f>
        <v>0</v>
      </c>
      <c r="AO1058" s="8">
        <f>IF($O1058="Aktif",MAX(0,MIN($AE1058,$AD1058-SUM($AG1058:AN1058))),0)</f>
        <v>0</v>
      </c>
      <c r="AP1058" s="8">
        <f>IF($O1058="Aktif",MAX(0,MIN($AE1058,$AD1058-SUM($AG1058:AO1058))),0)</f>
        <v>0</v>
      </c>
      <c r="AQ1058" s="8">
        <f>IF($O1058="Aktif",MAX(0,MIN($AE1058,$AD1058-SUM($AG1058:AP1058))),0)</f>
        <v>0</v>
      </c>
      <c r="AR1058" s="8">
        <f>IF($O1058="Aktif",MAX(0,MIN($AE1058,$AD1058-SUM($AG1058:AQ1058))),0)</f>
        <v>0</v>
      </c>
      <c r="AS1058" s="8">
        <f>IF($O1058="Aktif",MAX(0,MIN($AE1058,$AD1058-SUM($AG1058:AR1058))),0)</f>
        <v>0</v>
      </c>
      <c r="AT1058" s="8">
        <f>IF($O1058="Aktif",MAX(0,MIN($AE1058,$AD1058-SUM($AG1058:AS1058))),0)</f>
        <v>0</v>
      </c>
      <c r="AU1058" s="8">
        <f>IF($O1058="Aktif",MAX(0,MIN($AE1058,$AD1058-SUM($AG1058:AT1058))),0)</f>
        <v>0</v>
      </c>
      <c r="AV1058" s="8">
        <f>IF($O1058="Aktif",MAX(0,MIN($AE1058,$AD1058-SUM($AG1058:AU1058))),0)</f>
        <v>0</v>
      </c>
      <c r="AW1058" s="8">
        <f t="shared" si="117"/>
        <v>0</v>
      </c>
      <c r="AX1058" s="8">
        <f t="shared" si="118"/>
        <v>0</v>
      </c>
    </row>
    <row r="1059" spans="1:50" ht="15" customHeight="1" x14ac:dyDescent="0.35">
      <c r="A1059" s="102">
        <v>1053</v>
      </c>
      <c r="B1059" s="102" t="s">
        <v>2815</v>
      </c>
      <c r="C1059" s="103">
        <v>75</v>
      </c>
      <c r="D1059" s="102" t="s">
        <v>186</v>
      </c>
      <c r="E1059" s="102" t="s">
        <v>587</v>
      </c>
      <c r="F1059" s="102" t="s">
        <v>2816</v>
      </c>
      <c r="G1059" s="102" t="s">
        <v>2817</v>
      </c>
      <c r="H1059" s="102" t="s">
        <v>2818</v>
      </c>
      <c r="I1059" s="102" t="s">
        <v>63</v>
      </c>
      <c r="J1059" s="102" t="s">
        <v>2941</v>
      </c>
      <c r="K1059" s="102" t="s">
        <v>591</v>
      </c>
      <c r="L1059" s="102" t="s">
        <v>2938</v>
      </c>
      <c r="M1059" s="102" t="s">
        <v>2942</v>
      </c>
      <c r="N1059" s="102" t="s">
        <v>2943</v>
      </c>
      <c r="O1059" s="102" t="s">
        <v>383</v>
      </c>
      <c r="P1059" s="103">
        <v>1</v>
      </c>
      <c r="Q1059" s="105">
        <v>1425000</v>
      </c>
      <c r="R1059" s="103">
        <v>48</v>
      </c>
      <c r="S1059" s="105">
        <v>0</v>
      </c>
      <c r="T1059" s="105">
        <v>1425000</v>
      </c>
      <c r="U1059" s="105">
        <v>0</v>
      </c>
      <c r="V1059" s="105">
        <v>0</v>
      </c>
      <c r="W1059" s="105">
        <v>0</v>
      </c>
      <c r="X1059" s="105">
        <v>0</v>
      </c>
      <c r="Y1059" s="105">
        <v>0</v>
      </c>
      <c r="Z1059" s="105">
        <v>0</v>
      </c>
      <c r="AA1059" s="105">
        <v>0</v>
      </c>
      <c r="AB1059" s="105">
        <v>0</v>
      </c>
      <c r="AC1059" s="8">
        <f t="shared" si="112"/>
        <v>1425000</v>
      </c>
      <c r="AD1059" s="8">
        <f t="shared" si="113"/>
        <v>0</v>
      </c>
      <c r="AE1059" s="8">
        <f t="shared" si="114"/>
        <v>0</v>
      </c>
      <c r="AF1059" s="106">
        <f t="shared" si="115"/>
        <v>0</v>
      </c>
      <c r="AG1059" s="8">
        <f t="shared" si="116"/>
        <v>0</v>
      </c>
      <c r="AH1059" s="8">
        <f>IF($O1059="Aktif",MAX(0,MIN($AE1059,$AD1059-SUM($AG1059:AG1059))),0)</f>
        <v>0</v>
      </c>
      <c r="AI1059" s="8">
        <f>IF($O1059="Aktif",MAX(0,MIN($AE1059,$AD1059-SUM($AG1059:AH1059))),0)</f>
        <v>0</v>
      </c>
      <c r="AJ1059" s="8">
        <f>IF($O1059="Aktif",MAX(0,MIN($AE1059,$AD1059-SUM($AG1059:AI1059))),0)</f>
        <v>0</v>
      </c>
      <c r="AK1059" s="8">
        <f>IF($O1059="Aktif",MAX(0,MIN($AE1059,$AD1059-SUM($AG1059:AJ1059))),0)</f>
        <v>0</v>
      </c>
      <c r="AL1059" s="8">
        <f>IF($O1059="Aktif",MAX(0,MIN($AE1059,$AD1059-SUM($AG1059:AK1059))),0)</f>
        <v>0</v>
      </c>
      <c r="AM1059" s="8">
        <f>IF($O1059="Aktif",MAX(0,MIN($AE1059,$AD1059-SUM($AG1059:AL1059))),0)</f>
        <v>0</v>
      </c>
      <c r="AN1059" s="8">
        <f>IF($O1059="Aktif",MAX(0,MIN($AE1059,$AD1059-SUM($AG1059:AM1059))),0)</f>
        <v>0</v>
      </c>
      <c r="AO1059" s="8">
        <f>IF($O1059="Aktif",MAX(0,MIN($AE1059,$AD1059-SUM($AG1059:AN1059))),0)</f>
        <v>0</v>
      </c>
      <c r="AP1059" s="8">
        <f>IF($O1059="Aktif",MAX(0,MIN($AE1059,$AD1059-SUM($AG1059:AO1059))),0)</f>
        <v>0</v>
      </c>
      <c r="AQ1059" s="8">
        <f>IF($O1059="Aktif",MAX(0,MIN($AE1059,$AD1059-SUM($AG1059:AP1059))),0)</f>
        <v>0</v>
      </c>
      <c r="AR1059" s="8">
        <f>IF($O1059="Aktif",MAX(0,MIN($AE1059,$AD1059-SUM($AG1059:AQ1059))),0)</f>
        <v>0</v>
      </c>
      <c r="AS1059" s="8">
        <f>IF($O1059="Aktif",MAX(0,MIN($AE1059,$AD1059-SUM($AG1059:AR1059))),0)</f>
        <v>0</v>
      </c>
      <c r="AT1059" s="8">
        <f>IF($O1059="Aktif",MAX(0,MIN($AE1059,$AD1059-SUM($AG1059:AS1059))),0)</f>
        <v>0</v>
      </c>
      <c r="AU1059" s="8">
        <f>IF($O1059="Aktif",MAX(0,MIN($AE1059,$AD1059-SUM($AG1059:AT1059))),0)</f>
        <v>0</v>
      </c>
      <c r="AV1059" s="8">
        <f>IF($O1059="Aktif",MAX(0,MIN($AE1059,$AD1059-SUM($AG1059:AU1059))),0)</f>
        <v>0</v>
      </c>
      <c r="AW1059" s="8">
        <f t="shared" si="117"/>
        <v>0</v>
      </c>
      <c r="AX1059" s="8">
        <f t="shared" si="118"/>
        <v>0</v>
      </c>
    </row>
    <row r="1060" spans="1:50" ht="15" customHeight="1" x14ac:dyDescent="0.35">
      <c r="A1060" s="102">
        <v>1054</v>
      </c>
      <c r="B1060" s="102" t="s">
        <v>2815</v>
      </c>
      <c r="C1060" s="103">
        <v>76</v>
      </c>
      <c r="D1060" s="102" t="s">
        <v>186</v>
      </c>
      <c r="E1060" s="102" t="s">
        <v>587</v>
      </c>
      <c r="F1060" s="102" t="s">
        <v>2816</v>
      </c>
      <c r="G1060" s="102" t="s">
        <v>2817</v>
      </c>
      <c r="H1060" s="102" t="s">
        <v>2818</v>
      </c>
      <c r="I1060" s="102" t="s">
        <v>63</v>
      </c>
      <c r="J1060" s="102" t="s">
        <v>2944</v>
      </c>
      <c r="K1060" s="102" t="s">
        <v>591</v>
      </c>
      <c r="L1060" s="102" t="s">
        <v>2945</v>
      </c>
      <c r="M1060" s="102" t="s">
        <v>2946</v>
      </c>
      <c r="N1060" s="102" t="s">
        <v>2947</v>
      </c>
      <c r="O1060" s="102" t="s">
        <v>383</v>
      </c>
      <c r="P1060" s="103">
        <v>1</v>
      </c>
      <c r="Q1060" s="105">
        <v>60000000</v>
      </c>
      <c r="R1060" s="103">
        <v>48</v>
      </c>
      <c r="S1060" s="105">
        <v>0</v>
      </c>
      <c r="T1060" s="105">
        <v>60000000</v>
      </c>
      <c r="U1060" s="105">
        <v>0</v>
      </c>
      <c r="V1060" s="105">
        <v>0</v>
      </c>
      <c r="W1060" s="105">
        <v>0</v>
      </c>
      <c r="X1060" s="105">
        <v>0</v>
      </c>
      <c r="Y1060" s="105">
        <v>0</v>
      </c>
      <c r="Z1060" s="105">
        <v>0</v>
      </c>
      <c r="AA1060" s="105">
        <v>0</v>
      </c>
      <c r="AB1060" s="105">
        <v>0</v>
      </c>
      <c r="AC1060" s="8">
        <f t="shared" si="112"/>
        <v>60000000</v>
      </c>
      <c r="AD1060" s="8">
        <f t="shared" si="113"/>
        <v>0</v>
      </c>
      <c r="AE1060" s="8">
        <f t="shared" si="114"/>
        <v>0</v>
      </c>
      <c r="AF1060" s="106">
        <f t="shared" si="115"/>
        <v>0</v>
      </c>
      <c r="AG1060" s="8">
        <f t="shared" si="116"/>
        <v>0</v>
      </c>
      <c r="AH1060" s="8">
        <f>IF($O1060="Aktif",MAX(0,MIN($AE1060,$AD1060-SUM($AG1060:AG1060))),0)</f>
        <v>0</v>
      </c>
      <c r="AI1060" s="8">
        <f>IF($O1060="Aktif",MAX(0,MIN($AE1060,$AD1060-SUM($AG1060:AH1060))),0)</f>
        <v>0</v>
      </c>
      <c r="AJ1060" s="8">
        <f>IF($O1060="Aktif",MAX(0,MIN($AE1060,$AD1060-SUM($AG1060:AI1060))),0)</f>
        <v>0</v>
      </c>
      <c r="AK1060" s="8">
        <f>IF($O1060="Aktif",MAX(0,MIN($AE1060,$AD1060-SUM($AG1060:AJ1060))),0)</f>
        <v>0</v>
      </c>
      <c r="AL1060" s="8">
        <f>IF($O1060="Aktif",MAX(0,MIN($AE1060,$AD1060-SUM($AG1060:AK1060))),0)</f>
        <v>0</v>
      </c>
      <c r="AM1060" s="8">
        <f>IF($O1060="Aktif",MAX(0,MIN($AE1060,$AD1060-SUM($AG1060:AL1060))),0)</f>
        <v>0</v>
      </c>
      <c r="AN1060" s="8">
        <f>IF($O1060="Aktif",MAX(0,MIN($AE1060,$AD1060-SUM($AG1060:AM1060))),0)</f>
        <v>0</v>
      </c>
      <c r="AO1060" s="8">
        <f>IF($O1060="Aktif",MAX(0,MIN($AE1060,$AD1060-SUM($AG1060:AN1060))),0)</f>
        <v>0</v>
      </c>
      <c r="AP1060" s="8">
        <f>IF($O1060="Aktif",MAX(0,MIN($AE1060,$AD1060-SUM($AG1060:AO1060))),0)</f>
        <v>0</v>
      </c>
      <c r="AQ1060" s="8">
        <f>IF($O1060="Aktif",MAX(0,MIN($AE1060,$AD1060-SUM($AG1060:AP1060))),0)</f>
        <v>0</v>
      </c>
      <c r="AR1060" s="8">
        <f>IF($O1060="Aktif",MAX(0,MIN($AE1060,$AD1060-SUM($AG1060:AQ1060))),0)</f>
        <v>0</v>
      </c>
      <c r="AS1060" s="8">
        <f>IF($O1060="Aktif",MAX(0,MIN($AE1060,$AD1060-SUM($AG1060:AR1060))),0)</f>
        <v>0</v>
      </c>
      <c r="AT1060" s="8">
        <f>IF($O1060="Aktif",MAX(0,MIN($AE1060,$AD1060-SUM($AG1060:AS1060))),0)</f>
        <v>0</v>
      </c>
      <c r="AU1060" s="8">
        <f>IF($O1060="Aktif",MAX(0,MIN($AE1060,$AD1060-SUM($AG1060:AT1060))),0)</f>
        <v>0</v>
      </c>
      <c r="AV1060" s="8">
        <f>IF($O1060="Aktif",MAX(0,MIN($AE1060,$AD1060-SUM($AG1060:AU1060))),0)</f>
        <v>0</v>
      </c>
      <c r="AW1060" s="8">
        <f t="shared" si="117"/>
        <v>0</v>
      </c>
      <c r="AX1060" s="8">
        <f t="shared" si="118"/>
        <v>0</v>
      </c>
    </row>
    <row r="1061" spans="1:50" ht="15" customHeight="1" x14ac:dyDescent="0.35">
      <c r="A1061" s="102">
        <v>1055</v>
      </c>
      <c r="B1061" s="102" t="s">
        <v>2815</v>
      </c>
      <c r="C1061" s="103">
        <v>77</v>
      </c>
      <c r="D1061" s="102" t="s">
        <v>186</v>
      </c>
      <c r="E1061" s="102" t="s">
        <v>587</v>
      </c>
      <c r="F1061" s="102" t="s">
        <v>2816</v>
      </c>
      <c r="G1061" s="102" t="s">
        <v>2817</v>
      </c>
      <c r="H1061" s="102" t="s">
        <v>2818</v>
      </c>
      <c r="I1061" s="102" t="s">
        <v>63</v>
      </c>
      <c r="J1061" s="102" t="s">
        <v>2948</v>
      </c>
      <c r="K1061" s="102" t="s">
        <v>591</v>
      </c>
      <c r="L1061" s="102" t="s">
        <v>2949</v>
      </c>
      <c r="M1061" s="102" t="s">
        <v>2950</v>
      </c>
      <c r="N1061" s="102" t="s">
        <v>2951</v>
      </c>
      <c r="O1061" s="102" t="s">
        <v>383</v>
      </c>
      <c r="P1061" s="103">
        <v>1</v>
      </c>
      <c r="Q1061" s="105">
        <v>2500000</v>
      </c>
      <c r="R1061" s="103">
        <v>48</v>
      </c>
      <c r="S1061" s="105">
        <v>0</v>
      </c>
      <c r="T1061" s="105">
        <v>2500000</v>
      </c>
      <c r="U1061" s="105">
        <v>0</v>
      </c>
      <c r="V1061" s="105">
        <v>0</v>
      </c>
      <c r="W1061" s="105">
        <v>0</v>
      </c>
      <c r="X1061" s="105">
        <v>0</v>
      </c>
      <c r="Y1061" s="105">
        <v>0</v>
      </c>
      <c r="Z1061" s="105">
        <v>0</v>
      </c>
      <c r="AA1061" s="105">
        <v>0</v>
      </c>
      <c r="AB1061" s="105">
        <v>0</v>
      </c>
      <c r="AC1061" s="8">
        <f t="shared" si="112"/>
        <v>2500000</v>
      </c>
      <c r="AD1061" s="8">
        <f t="shared" si="113"/>
        <v>0</v>
      </c>
      <c r="AE1061" s="8">
        <f t="shared" si="114"/>
        <v>0</v>
      </c>
      <c r="AF1061" s="106">
        <f t="shared" si="115"/>
        <v>0</v>
      </c>
      <c r="AG1061" s="8">
        <f t="shared" si="116"/>
        <v>0</v>
      </c>
      <c r="AH1061" s="8">
        <f>IF($O1061="Aktif",MAX(0,MIN($AE1061,$AD1061-SUM($AG1061:AG1061))),0)</f>
        <v>0</v>
      </c>
      <c r="AI1061" s="8">
        <f>IF($O1061="Aktif",MAX(0,MIN($AE1061,$AD1061-SUM($AG1061:AH1061))),0)</f>
        <v>0</v>
      </c>
      <c r="AJ1061" s="8">
        <f>IF($O1061="Aktif",MAX(0,MIN($AE1061,$AD1061-SUM($AG1061:AI1061))),0)</f>
        <v>0</v>
      </c>
      <c r="AK1061" s="8">
        <f>IF($O1061="Aktif",MAX(0,MIN($AE1061,$AD1061-SUM($AG1061:AJ1061))),0)</f>
        <v>0</v>
      </c>
      <c r="AL1061" s="8">
        <f>IF($O1061="Aktif",MAX(0,MIN($AE1061,$AD1061-SUM($AG1061:AK1061))),0)</f>
        <v>0</v>
      </c>
      <c r="AM1061" s="8">
        <f>IF($O1061="Aktif",MAX(0,MIN($AE1061,$AD1061-SUM($AG1061:AL1061))),0)</f>
        <v>0</v>
      </c>
      <c r="AN1061" s="8">
        <f>IF($O1061="Aktif",MAX(0,MIN($AE1061,$AD1061-SUM($AG1061:AM1061))),0)</f>
        <v>0</v>
      </c>
      <c r="AO1061" s="8">
        <f>IF($O1061="Aktif",MAX(0,MIN($AE1061,$AD1061-SUM($AG1061:AN1061))),0)</f>
        <v>0</v>
      </c>
      <c r="AP1061" s="8">
        <f>IF($O1061="Aktif",MAX(0,MIN($AE1061,$AD1061-SUM($AG1061:AO1061))),0)</f>
        <v>0</v>
      </c>
      <c r="AQ1061" s="8">
        <f>IF($O1061="Aktif",MAX(0,MIN($AE1061,$AD1061-SUM($AG1061:AP1061))),0)</f>
        <v>0</v>
      </c>
      <c r="AR1061" s="8">
        <f>IF($O1061="Aktif",MAX(0,MIN($AE1061,$AD1061-SUM($AG1061:AQ1061))),0)</f>
        <v>0</v>
      </c>
      <c r="AS1061" s="8">
        <f>IF($O1061="Aktif",MAX(0,MIN($AE1061,$AD1061-SUM($AG1061:AR1061))),0)</f>
        <v>0</v>
      </c>
      <c r="AT1061" s="8">
        <f>IF($O1061="Aktif",MAX(0,MIN($AE1061,$AD1061-SUM($AG1061:AS1061))),0)</f>
        <v>0</v>
      </c>
      <c r="AU1061" s="8">
        <f>IF($O1061="Aktif",MAX(0,MIN($AE1061,$AD1061-SUM($AG1061:AT1061))),0)</f>
        <v>0</v>
      </c>
      <c r="AV1061" s="8">
        <f>IF($O1061="Aktif",MAX(0,MIN($AE1061,$AD1061-SUM($AG1061:AU1061))),0)</f>
        <v>0</v>
      </c>
      <c r="AW1061" s="8">
        <f t="shared" si="117"/>
        <v>0</v>
      </c>
      <c r="AX1061" s="8">
        <f t="shared" si="118"/>
        <v>0</v>
      </c>
    </row>
    <row r="1062" spans="1:50" ht="15" customHeight="1" x14ac:dyDescent="0.35">
      <c r="A1062" s="102">
        <v>1056</v>
      </c>
      <c r="B1062" s="102" t="s">
        <v>2815</v>
      </c>
      <c r="C1062" s="103">
        <v>78</v>
      </c>
      <c r="D1062" s="102" t="s">
        <v>186</v>
      </c>
      <c r="E1062" s="102" t="s">
        <v>587</v>
      </c>
      <c r="F1062" s="102" t="s">
        <v>2816</v>
      </c>
      <c r="G1062" s="102" t="s">
        <v>2817</v>
      </c>
      <c r="H1062" s="102" t="s">
        <v>2818</v>
      </c>
      <c r="I1062" s="102" t="s">
        <v>63</v>
      </c>
      <c r="J1062" s="102" t="s">
        <v>2952</v>
      </c>
      <c r="K1062" s="102" t="s">
        <v>591</v>
      </c>
      <c r="L1062" s="102" t="s">
        <v>1490</v>
      </c>
      <c r="M1062" s="102" t="s">
        <v>2838</v>
      </c>
      <c r="N1062" s="102" t="s">
        <v>2839</v>
      </c>
      <c r="O1062" s="102" t="s">
        <v>383</v>
      </c>
      <c r="P1062" s="103">
        <v>1</v>
      </c>
      <c r="Q1062" s="105">
        <v>7000000</v>
      </c>
      <c r="R1062" s="103">
        <v>48</v>
      </c>
      <c r="S1062" s="105">
        <v>0</v>
      </c>
      <c r="T1062" s="105">
        <v>7000000</v>
      </c>
      <c r="U1062" s="105">
        <v>0</v>
      </c>
      <c r="V1062" s="105">
        <v>0</v>
      </c>
      <c r="W1062" s="105">
        <v>0</v>
      </c>
      <c r="X1062" s="105">
        <v>0</v>
      </c>
      <c r="Y1062" s="105">
        <v>0</v>
      </c>
      <c r="Z1062" s="105">
        <v>0</v>
      </c>
      <c r="AA1062" s="105">
        <v>0</v>
      </c>
      <c r="AB1062" s="105">
        <v>0</v>
      </c>
      <c r="AC1062" s="8">
        <f t="shared" si="112"/>
        <v>7000000</v>
      </c>
      <c r="AD1062" s="8">
        <f t="shared" si="113"/>
        <v>0</v>
      </c>
      <c r="AE1062" s="8">
        <f t="shared" si="114"/>
        <v>0</v>
      </c>
      <c r="AF1062" s="106">
        <f t="shared" si="115"/>
        <v>0</v>
      </c>
      <c r="AG1062" s="8">
        <f t="shared" si="116"/>
        <v>0</v>
      </c>
      <c r="AH1062" s="8">
        <f>IF($O1062="Aktif",MAX(0,MIN($AE1062,$AD1062-SUM($AG1062:AG1062))),0)</f>
        <v>0</v>
      </c>
      <c r="AI1062" s="8">
        <f>IF($O1062="Aktif",MAX(0,MIN($AE1062,$AD1062-SUM($AG1062:AH1062))),0)</f>
        <v>0</v>
      </c>
      <c r="AJ1062" s="8">
        <f>IF($O1062="Aktif",MAX(0,MIN($AE1062,$AD1062-SUM($AG1062:AI1062))),0)</f>
        <v>0</v>
      </c>
      <c r="AK1062" s="8">
        <f>IF($O1062="Aktif",MAX(0,MIN($AE1062,$AD1062-SUM($AG1062:AJ1062))),0)</f>
        <v>0</v>
      </c>
      <c r="AL1062" s="8">
        <f>IF($O1062="Aktif",MAX(0,MIN($AE1062,$AD1062-SUM($AG1062:AK1062))),0)</f>
        <v>0</v>
      </c>
      <c r="AM1062" s="8">
        <f>IF($O1062="Aktif",MAX(0,MIN($AE1062,$AD1062-SUM($AG1062:AL1062))),0)</f>
        <v>0</v>
      </c>
      <c r="AN1062" s="8">
        <f>IF($O1062="Aktif",MAX(0,MIN($AE1062,$AD1062-SUM($AG1062:AM1062))),0)</f>
        <v>0</v>
      </c>
      <c r="AO1062" s="8">
        <f>IF($O1062="Aktif",MAX(0,MIN($AE1062,$AD1062-SUM($AG1062:AN1062))),0)</f>
        <v>0</v>
      </c>
      <c r="AP1062" s="8">
        <f>IF($O1062="Aktif",MAX(0,MIN($AE1062,$AD1062-SUM($AG1062:AO1062))),0)</f>
        <v>0</v>
      </c>
      <c r="AQ1062" s="8">
        <f>IF($O1062="Aktif",MAX(0,MIN($AE1062,$AD1062-SUM($AG1062:AP1062))),0)</f>
        <v>0</v>
      </c>
      <c r="AR1062" s="8">
        <f>IF($O1062="Aktif",MAX(0,MIN($AE1062,$AD1062-SUM($AG1062:AQ1062))),0)</f>
        <v>0</v>
      </c>
      <c r="AS1062" s="8">
        <f>IF($O1062="Aktif",MAX(0,MIN($AE1062,$AD1062-SUM($AG1062:AR1062))),0)</f>
        <v>0</v>
      </c>
      <c r="AT1062" s="8">
        <f>IF($O1062="Aktif",MAX(0,MIN($AE1062,$AD1062-SUM($AG1062:AS1062))),0)</f>
        <v>0</v>
      </c>
      <c r="AU1062" s="8">
        <f>IF($O1062="Aktif",MAX(0,MIN($AE1062,$AD1062-SUM($AG1062:AT1062))),0)</f>
        <v>0</v>
      </c>
      <c r="AV1062" s="8">
        <f>IF($O1062="Aktif",MAX(0,MIN($AE1062,$AD1062-SUM($AG1062:AU1062))),0)</f>
        <v>0</v>
      </c>
      <c r="AW1062" s="8">
        <f t="shared" si="117"/>
        <v>0</v>
      </c>
      <c r="AX1062" s="8">
        <f t="shared" si="118"/>
        <v>0</v>
      </c>
    </row>
    <row r="1063" spans="1:50" ht="15" customHeight="1" x14ac:dyDescent="0.35">
      <c r="A1063" s="102">
        <v>1057</v>
      </c>
      <c r="B1063" s="102" t="s">
        <v>2815</v>
      </c>
      <c r="C1063" s="103">
        <v>79</v>
      </c>
      <c r="D1063" s="102" t="s">
        <v>186</v>
      </c>
      <c r="E1063" s="102" t="s">
        <v>587</v>
      </c>
      <c r="F1063" s="102" t="s">
        <v>2816</v>
      </c>
      <c r="G1063" s="102" t="s">
        <v>2817</v>
      </c>
      <c r="H1063" s="102" t="s">
        <v>2818</v>
      </c>
      <c r="I1063" s="102" t="s">
        <v>63</v>
      </c>
      <c r="J1063" s="102" t="s">
        <v>2953</v>
      </c>
      <c r="K1063" s="102" t="s">
        <v>591</v>
      </c>
      <c r="L1063" s="102" t="s">
        <v>1490</v>
      </c>
      <c r="M1063" s="102" t="s">
        <v>2954</v>
      </c>
      <c r="N1063" s="102" t="s">
        <v>2955</v>
      </c>
      <c r="O1063" s="102" t="s">
        <v>383</v>
      </c>
      <c r="P1063" s="103">
        <v>1</v>
      </c>
      <c r="Q1063" s="105">
        <v>5200000</v>
      </c>
      <c r="R1063" s="103">
        <v>48</v>
      </c>
      <c r="S1063" s="105">
        <v>0</v>
      </c>
      <c r="T1063" s="105">
        <v>5200000</v>
      </c>
      <c r="U1063" s="105">
        <v>0</v>
      </c>
      <c r="V1063" s="105">
        <v>0</v>
      </c>
      <c r="W1063" s="105">
        <v>0</v>
      </c>
      <c r="X1063" s="105">
        <v>0</v>
      </c>
      <c r="Y1063" s="105">
        <v>0</v>
      </c>
      <c r="Z1063" s="105">
        <v>0</v>
      </c>
      <c r="AA1063" s="105">
        <v>0</v>
      </c>
      <c r="AB1063" s="105">
        <v>0</v>
      </c>
      <c r="AC1063" s="8">
        <f t="shared" si="112"/>
        <v>5200000</v>
      </c>
      <c r="AD1063" s="8">
        <f t="shared" si="113"/>
        <v>0</v>
      </c>
      <c r="AE1063" s="8">
        <f t="shared" si="114"/>
        <v>0</v>
      </c>
      <c r="AF1063" s="106">
        <f t="shared" si="115"/>
        <v>0</v>
      </c>
      <c r="AG1063" s="8">
        <f t="shared" si="116"/>
        <v>0</v>
      </c>
      <c r="AH1063" s="8">
        <f>IF($O1063="Aktif",MAX(0,MIN($AE1063,$AD1063-SUM($AG1063:AG1063))),0)</f>
        <v>0</v>
      </c>
      <c r="AI1063" s="8">
        <f>IF($O1063="Aktif",MAX(0,MIN($AE1063,$AD1063-SUM($AG1063:AH1063))),0)</f>
        <v>0</v>
      </c>
      <c r="AJ1063" s="8">
        <f>IF($O1063="Aktif",MAX(0,MIN($AE1063,$AD1063-SUM($AG1063:AI1063))),0)</f>
        <v>0</v>
      </c>
      <c r="AK1063" s="8">
        <f>IF($O1063="Aktif",MAX(0,MIN($AE1063,$AD1063-SUM($AG1063:AJ1063))),0)</f>
        <v>0</v>
      </c>
      <c r="AL1063" s="8">
        <f>IF($O1063="Aktif",MAX(0,MIN($AE1063,$AD1063-SUM($AG1063:AK1063))),0)</f>
        <v>0</v>
      </c>
      <c r="AM1063" s="8">
        <f>IF($O1063="Aktif",MAX(0,MIN($AE1063,$AD1063-SUM($AG1063:AL1063))),0)</f>
        <v>0</v>
      </c>
      <c r="AN1063" s="8">
        <f>IF($O1063="Aktif",MAX(0,MIN($AE1063,$AD1063-SUM($AG1063:AM1063))),0)</f>
        <v>0</v>
      </c>
      <c r="AO1063" s="8">
        <f>IF($O1063="Aktif",MAX(0,MIN($AE1063,$AD1063-SUM($AG1063:AN1063))),0)</f>
        <v>0</v>
      </c>
      <c r="AP1063" s="8">
        <f>IF($O1063="Aktif",MAX(0,MIN($AE1063,$AD1063-SUM($AG1063:AO1063))),0)</f>
        <v>0</v>
      </c>
      <c r="AQ1063" s="8">
        <f>IF($O1063="Aktif",MAX(0,MIN($AE1063,$AD1063-SUM($AG1063:AP1063))),0)</f>
        <v>0</v>
      </c>
      <c r="AR1063" s="8">
        <f>IF($O1063="Aktif",MAX(0,MIN($AE1063,$AD1063-SUM($AG1063:AQ1063))),0)</f>
        <v>0</v>
      </c>
      <c r="AS1063" s="8">
        <f>IF($O1063="Aktif",MAX(0,MIN($AE1063,$AD1063-SUM($AG1063:AR1063))),0)</f>
        <v>0</v>
      </c>
      <c r="AT1063" s="8">
        <f>IF($O1063="Aktif",MAX(0,MIN($AE1063,$AD1063-SUM($AG1063:AS1063))),0)</f>
        <v>0</v>
      </c>
      <c r="AU1063" s="8">
        <f>IF($O1063="Aktif",MAX(0,MIN($AE1063,$AD1063-SUM($AG1063:AT1063))),0)</f>
        <v>0</v>
      </c>
      <c r="AV1063" s="8">
        <f>IF($O1063="Aktif",MAX(0,MIN($AE1063,$AD1063-SUM($AG1063:AU1063))),0)</f>
        <v>0</v>
      </c>
      <c r="AW1063" s="8">
        <f t="shared" si="117"/>
        <v>0</v>
      </c>
      <c r="AX1063" s="8">
        <f t="shared" si="118"/>
        <v>0</v>
      </c>
    </row>
    <row r="1064" spans="1:50" ht="15" customHeight="1" x14ac:dyDescent="0.35">
      <c r="A1064" s="102">
        <v>1058</v>
      </c>
      <c r="B1064" s="102" t="s">
        <v>2815</v>
      </c>
      <c r="C1064" s="103">
        <v>80</v>
      </c>
      <c r="D1064" s="102" t="s">
        <v>186</v>
      </c>
      <c r="E1064" s="102" t="s">
        <v>587</v>
      </c>
      <c r="F1064" s="102" t="s">
        <v>2816</v>
      </c>
      <c r="G1064" s="102" t="s">
        <v>2817</v>
      </c>
      <c r="H1064" s="102" t="s">
        <v>2818</v>
      </c>
      <c r="I1064" s="102" t="s">
        <v>63</v>
      </c>
      <c r="J1064" s="102" t="s">
        <v>2956</v>
      </c>
      <c r="K1064" s="102" t="s">
        <v>591</v>
      </c>
      <c r="L1064" s="102" t="s">
        <v>2957</v>
      </c>
      <c r="M1064" s="102" t="s">
        <v>2958</v>
      </c>
      <c r="N1064" s="102" t="s">
        <v>2959</v>
      </c>
      <c r="O1064" s="102" t="s">
        <v>383</v>
      </c>
      <c r="P1064" s="103">
        <v>1</v>
      </c>
      <c r="Q1064" s="105">
        <v>61000000</v>
      </c>
      <c r="R1064" s="103">
        <v>48</v>
      </c>
      <c r="S1064" s="105">
        <v>0</v>
      </c>
      <c r="T1064" s="105">
        <v>61000000</v>
      </c>
      <c r="U1064" s="105">
        <v>0</v>
      </c>
      <c r="V1064" s="105">
        <v>0</v>
      </c>
      <c r="W1064" s="105">
        <v>0</v>
      </c>
      <c r="X1064" s="105">
        <v>0</v>
      </c>
      <c r="Y1064" s="105">
        <v>0</v>
      </c>
      <c r="Z1064" s="105">
        <v>0</v>
      </c>
      <c r="AA1064" s="105">
        <v>0</v>
      </c>
      <c r="AB1064" s="105">
        <v>0</v>
      </c>
      <c r="AC1064" s="8">
        <f t="shared" si="112"/>
        <v>61000000</v>
      </c>
      <c r="AD1064" s="8">
        <f t="shared" si="113"/>
        <v>0</v>
      </c>
      <c r="AE1064" s="8">
        <f t="shared" si="114"/>
        <v>0</v>
      </c>
      <c r="AF1064" s="106">
        <f t="shared" si="115"/>
        <v>0</v>
      </c>
      <c r="AG1064" s="8">
        <f t="shared" si="116"/>
        <v>0</v>
      </c>
      <c r="AH1064" s="8">
        <f>IF($O1064="Aktif",MAX(0,MIN($AE1064,$AD1064-SUM($AG1064:AG1064))),0)</f>
        <v>0</v>
      </c>
      <c r="AI1064" s="8">
        <f>IF($O1064="Aktif",MAX(0,MIN($AE1064,$AD1064-SUM($AG1064:AH1064))),0)</f>
        <v>0</v>
      </c>
      <c r="AJ1064" s="8">
        <f>IF($O1064="Aktif",MAX(0,MIN($AE1064,$AD1064-SUM($AG1064:AI1064))),0)</f>
        <v>0</v>
      </c>
      <c r="AK1064" s="8">
        <f>IF($O1064="Aktif",MAX(0,MIN($AE1064,$AD1064-SUM($AG1064:AJ1064))),0)</f>
        <v>0</v>
      </c>
      <c r="AL1064" s="8">
        <f>IF($O1064="Aktif",MAX(0,MIN($AE1064,$AD1064-SUM($AG1064:AK1064))),0)</f>
        <v>0</v>
      </c>
      <c r="AM1064" s="8">
        <f>IF($O1064="Aktif",MAX(0,MIN($AE1064,$AD1064-SUM($AG1064:AL1064))),0)</f>
        <v>0</v>
      </c>
      <c r="AN1064" s="8">
        <f>IF($O1064="Aktif",MAX(0,MIN($AE1064,$AD1064-SUM($AG1064:AM1064))),0)</f>
        <v>0</v>
      </c>
      <c r="AO1064" s="8">
        <f>IF($O1064="Aktif",MAX(0,MIN($AE1064,$AD1064-SUM($AG1064:AN1064))),0)</f>
        <v>0</v>
      </c>
      <c r="AP1064" s="8">
        <f>IF($O1064="Aktif",MAX(0,MIN($AE1064,$AD1064-SUM($AG1064:AO1064))),0)</f>
        <v>0</v>
      </c>
      <c r="AQ1064" s="8">
        <f>IF($O1064="Aktif",MAX(0,MIN($AE1064,$AD1064-SUM($AG1064:AP1064))),0)</f>
        <v>0</v>
      </c>
      <c r="AR1064" s="8">
        <f>IF($O1064="Aktif",MAX(0,MIN($AE1064,$AD1064-SUM($AG1064:AQ1064))),0)</f>
        <v>0</v>
      </c>
      <c r="AS1064" s="8">
        <f>IF($O1064="Aktif",MAX(0,MIN($AE1064,$AD1064-SUM($AG1064:AR1064))),0)</f>
        <v>0</v>
      </c>
      <c r="AT1064" s="8">
        <f>IF($O1064="Aktif",MAX(0,MIN($AE1064,$AD1064-SUM($AG1064:AS1064))),0)</f>
        <v>0</v>
      </c>
      <c r="AU1064" s="8">
        <f>IF($O1064="Aktif",MAX(0,MIN($AE1064,$AD1064-SUM($AG1064:AT1064))),0)</f>
        <v>0</v>
      </c>
      <c r="AV1064" s="8">
        <f>IF($O1064="Aktif",MAX(0,MIN($AE1064,$AD1064-SUM($AG1064:AU1064))),0)</f>
        <v>0</v>
      </c>
      <c r="AW1064" s="8">
        <f t="shared" si="117"/>
        <v>0</v>
      </c>
      <c r="AX1064" s="8">
        <f t="shared" si="118"/>
        <v>0</v>
      </c>
    </row>
    <row r="1065" spans="1:50" ht="15" customHeight="1" x14ac:dyDescent="0.35">
      <c r="A1065" s="102">
        <v>1059</v>
      </c>
      <c r="B1065" s="102" t="s">
        <v>2815</v>
      </c>
      <c r="C1065" s="103">
        <v>81</v>
      </c>
      <c r="D1065" s="102" t="s">
        <v>186</v>
      </c>
      <c r="E1065" s="102" t="s">
        <v>587</v>
      </c>
      <c r="F1065" s="102" t="s">
        <v>2816</v>
      </c>
      <c r="G1065" s="102" t="s">
        <v>2817</v>
      </c>
      <c r="H1065" s="102" t="s">
        <v>2818</v>
      </c>
      <c r="I1065" s="102" t="s">
        <v>63</v>
      </c>
      <c r="J1065" s="102" t="s">
        <v>2960</v>
      </c>
      <c r="K1065" s="102" t="s">
        <v>591</v>
      </c>
      <c r="L1065" s="102" t="s">
        <v>2840</v>
      </c>
      <c r="M1065" s="102" t="s">
        <v>2961</v>
      </c>
      <c r="N1065" s="102" t="s">
        <v>2962</v>
      </c>
      <c r="O1065" s="102" t="s">
        <v>383</v>
      </c>
      <c r="P1065" s="103">
        <v>1</v>
      </c>
      <c r="Q1065" s="105">
        <v>11000000</v>
      </c>
      <c r="R1065" s="103">
        <v>48</v>
      </c>
      <c r="S1065" s="105">
        <v>0</v>
      </c>
      <c r="T1065" s="105">
        <v>11000000</v>
      </c>
      <c r="U1065" s="105">
        <v>0</v>
      </c>
      <c r="V1065" s="105">
        <v>0</v>
      </c>
      <c r="W1065" s="105">
        <v>0</v>
      </c>
      <c r="X1065" s="105">
        <v>0</v>
      </c>
      <c r="Y1065" s="105">
        <v>0</v>
      </c>
      <c r="Z1065" s="105">
        <v>0</v>
      </c>
      <c r="AA1065" s="105">
        <v>0</v>
      </c>
      <c r="AB1065" s="105">
        <v>0</v>
      </c>
      <c r="AC1065" s="8">
        <f t="shared" si="112"/>
        <v>11000000</v>
      </c>
      <c r="AD1065" s="8">
        <f t="shared" si="113"/>
        <v>0</v>
      </c>
      <c r="AE1065" s="8">
        <f t="shared" si="114"/>
        <v>0</v>
      </c>
      <c r="AF1065" s="106">
        <f t="shared" si="115"/>
        <v>0</v>
      </c>
      <c r="AG1065" s="8">
        <f t="shared" si="116"/>
        <v>0</v>
      </c>
      <c r="AH1065" s="8">
        <f>IF($O1065="Aktif",MAX(0,MIN($AE1065,$AD1065-SUM($AG1065:AG1065))),0)</f>
        <v>0</v>
      </c>
      <c r="AI1065" s="8">
        <f>IF($O1065="Aktif",MAX(0,MIN($AE1065,$AD1065-SUM($AG1065:AH1065))),0)</f>
        <v>0</v>
      </c>
      <c r="AJ1065" s="8">
        <f>IF($O1065="Aktif",MAX(0,MIN($AE1065,$AD1065-SUM($AG1065:AI1065))),0)</f>
        <v>0</v>
      </c>
      <c r="AK1065" s="8">
        <f>IF($O1065="Aktif",MAX(0,MIN($AE1065,$AD1065-SUM($AG1065:AJ1065))),0)</f>
        <v>0</v>
      </c>
      <c r="AL1065" s="8">
        <f>IF($O1065="Aktif",MAX(0,MIN($AE1065,$AD1065-SUM($AG1065:AK1065))),0)</f>
        <v>0</v>
      </c>
      <c r="AM1065" s="8">
        <f>IF($O1065="Aktif",MAX(0,MIN($AE1065,$AD1065-SUM($AG1065:AL1065))),0)</f>
        <v>0</v>
      </c>
      <c r="AN1065" s="8">
        <f>IF($O1065="Aktif",MAX(0,MIN($AE1065,$AD1065-SUM($AG1065:AM1065))),0)</f>
        <v>0</v>
      </c>
      <c r="AO1065" s="8">
        <f>IF($O1065="Aktif",MAX(0,MIN($AE1065,$AD1065-SUM($AG1065:AN1065))),0)</f>
        <v>0</v>
      </c>
      <c r="AP1065" s="8">
        <f>IF($O1065="Aktif",MAX(0,MIN($AE1065,$AD1065-SUM($AG1065:AO1065))),0)</f>
        <v>0</v>
      </c>
      <c r="AQ1065" s="8">
        <f>IF($O1065="Aktif",MAX(0,MIN($AE1065,$AD1065-SUM($AG1065:AP1065))),0)</f>
        <v>0</v>
      </c>
      <c r="AR1065" s="8">
        <f>IF($O1065="Aktif",MAX(0,MIN($AE1065,$AD1065-SUM($AG1065:AQ1065))),0)</f>
        <v>0</v>
      </c>
      <c r="AS1065" s="8">
        <f>IF($O1065="Aktif",MAX(0,MIN($AE1065,$AD1065-SUM($AG1065:AR1065))),0)</f>
        <v>0</v>
      </c>
      <c r="AT1065" s="8">
        <f>IF($O1065="Aktif",MAX(0,MIN($AE1065,$AD1065-SUM($AG1065:AS1065))),0)</f>
        <v>0</v>
      </c>
      <c r="AU1065" s="8">
        <f>IF($O1065="Aktif",MAX(0,MIN($AE1065,$AD1065-SUM($AG1065:AT1065))),0)</f>
        <v>0</v>
      </c>
      <c r="AV1065" s="8">
        <f>IF($O1065="Aktif",MAX(0,MIN($AE1065,$AD1065-SUM($AG1065:AU1065))),0)</f>
        <v>0</v>
      </c>
      <c r="AW1065" s="8">
        <f t="shared" si="117"/>
        <v>0</v>
      </c>
      <c r="AX1065" s="8">
        <f t="shared" si="118"/>
        <v>0</v>
      </c>
    </row>
    <row r="1066" spans="1:50" ht="15" customHeight="1" x14ac:dyDescent="0.35">
      <c r="A1066" s="102">
        <v>1060</v>
      </c>
      <c r="B1066" s="102" t="s">
        <v>2815</v>
      </c>
      <c r="C1066" s="103">
        <v>82</v>
      </c>
      <c r="D1066" s="102" t="s">
        <v>186</v>
      </c>
      <c r="E1066" s="102" t="s">
        <v>587</v>
      </c>
      <c r="F1066" s="102" t="s">
        <v>2816</v>
      </c>
      <c r="G1066" s="102" t="s">
        <v>2817</v>
      </c>
      <c r="H1066" s="102" t="s">
        <v>2818</v>
      </c>
      <c r="I1066" s="102" t="s">
        <v>63</v>
      </c>
      <c r="J1066" s="102" t="s">
        <v>2963</v>
      </c>
      <c r="K1066" s="102" t="s">
        <v>591</v>
      </c>
      <c r="L1066" s="102" t="s">
        <v>2843</v>
      </c>
      <c r="M1066" s="102" t="s">
        <v>2964</v>
      </c>
      <c r="N1066" s="102" t="s">
        <v>2965</v>
      </c>
      <c r="O1066" s="102" t="s">
        <v>383</v>
      </c>
      <c r="P1066" s="103">
        <v>1</v>
      </c>
      <c r="Q1066" s="105">
        <v>3800000</v>
      </c>
      <c r="R1066" s="103">
        <v>48</v>
      </c>
      <c r="S1066" s="105">
        <v>0</v>
      </c>
      <c r="T1066" s="105">
        <v>3800000</v>
      </c>
      <c r="U1066" s="105">
        <v>0</v>
      </c>
      <c r="V1066" s="105">
        <v>0</v>
      </c>
      <c r="W1066" s="105">
        <v>0</v>
      </c>
      <c r="X1066" s="105">
        <v>0</v>
      </c>
      <c r="Y1066" s="105">
        <v>0</v>
      </c>
      <c r="Z1066" s="105">
        <v>0</v>
      </c>
      <c r="AA1066" s="105">
        <v>0</v>
      </c>
      <c r="AB1066" s="105">
        <v>0</v>
      </c>
      <c r="AC1066" s="8">
        <f t="shared" si="112"/>
        <v>3800000</v>
      </c>
      <c r="AD1066" s="8">
        <f t="shared" si="113"/>
        <v>0</v>
      </c>
      <c r="AE1066" s="8">
        <f t="shared" si="114"/>
        <v>0</v>
      </c>
      <c r="AF1066" s="106">
        <f t="shared" si="115"/>
        <v>0</v>
      </c>
      <c r="AG1066" s="8">
        <f t="shared" si="116"/>
        <v>0</v>
      </c>
      <c r="AH1066" s="8">
        <f>IF($O1066="Aktif",MAX(0,MIN($AE1066,$AD1066-SUM($AG1066:AG1066))),0)</f>
        <v>0</v>
      </c>
      <c r="AI1066" s="8">
        <f>IF($O1066="Aktif",MAX(0,MIN($AE1066,$AD1066-SUM($AG1066:AH1066))),0)</f>
        <v>0</v>
      </c>
      <c r="AJ1066" s="8">
        <f>IF($O1066="Aktif",MAX(0,MIN($AE1066,$AD1066-SUM($AG1066:AI1066))),0)</f>
        <v>0</v>
      </c>
      <c r="AK1066" s="8">
        <f>IF($O1066="Aktif",MAX(0,MIN($AE1066,$AD1066-SUM($AG1066:AJ1066))),0)</f>
        <v>0</v>
      </c>
      <c r="AL1066" s="8">
        <f>IF($O1066="Aktif",MAX(0,MIN($AE1066,$AD1066-SUM($AG1066:AK1066))),0)</f>
        <v>0</v>
      </c>
      <c r="AM1066" s="8">
        <f>IF($O1066="Aktif",MAX(0,MIN($AE1066,$AD1066-SUM($AG1066:AL1066))),0)</f>
        <v>0</v>
      </c>
      <c r="AN1066" s="8">
        <f>IF($O1066="Aktif",MAX(0,MIN($AE1066,$AD1066-SUM($AG1066:AM1066))),0)</f>
        <v>0</v>
      </c>
      <c r="AO1066" s="8">
        <f>IF($O1066="Aktif",MAX(0,MIN($AE1066,$AD1066-SUM($AG1066:AN1066))),0)</f>
        <v>0</v>
      </c>
      <c r="AP1066" s="8">
        <f>IF($O1066="Aktif",MAX(0,MIN($AE1066,$AD1066-SUM($AG1066:AO1066))),0)</f>
        <v>0</v>
      </c>
      <c r="AQ1066" s="8">
        <f>IF($O1066="Aktif",MAX(0,MIN($AE1066,$AD1066-SUM($AG1066:AP1066))),0)</f>
        <v>0</v>
      </c>
      <c r="AR1066" s="8">
        <f>IF($O1066="Aktif",MAX(0,MIN($AE1066,$AD1066-SUM($AG1066:AQ1066))),0)</f>
        <v>0</v>
      </c>
      <c r="AS1066" s="8">
        <f>IF($O1066="Aktif",MAX(0,MIN($AE1066,$AD1066-SUM($AG1066:AR1066))),0)</f>
        <v>0</v>
      </c>
      <c r="AT1066" s="8">
        <f>IF($O1066="Aktif",MAX(0,MIN($AE1066,$AD1066-SUM($AG1066:AS1066))),0)</f>
        <v>0</v>
      </c>
      <c r="AU1066" s="8">
        <f>IF($O1066="Aktif",MAX(0,MIN($AE1066,$AD1066-SUM($AG1066:AT1066))),0)</f>
        <v>0</v>
      </c>
      <c r="AV1066" s="8">
        <f>IF($O1066="Aktif",MAX(0,MIN($AE1066,$AD1066-SUM($AG1066:AU1066))),0)</f>
        <v>0</v>
      </c>
      <c r="AW1066" s="8">
        <f t="shared" si="117"/>
        <v>0</v>
      </c>
      <c r="AX1066" s="8">
        <f t="shared" si="118"/>
        <v>0</v>
      </c>
    </row>
    <row r="1067" spans="1:50" ht="15" customHeight="1" x14ac:dyDescent="0.35">
      <c r="A1067" s="102">
        <v>1061</v>
      </c>
      <c r="B1067" s="102" t="s">
        <v>2815</v>
      </c>
      <c r="C1067" s="103">
        <v>83</v>
      </c>
      <c r="D1067" s="102" t="s">
        <v>186</v>
      </c>
      <c r="E1067" s="102" t="s">
        <v>587</v>
      </c>
      <c r="F1067" s="102" t="s">
        <v>2816</v>
      </c>
      <c r="G1067" s="102" t="s">
        <v>2817</v>
      </c>
      <c r="H1067" s="102" t="s">
        <v>2818</v>
      </c>
      <c r="I1067" s="102" t="s">
        <v>63</v>
      </c>
      <c r="J1067" s="102" t="s">
        <v>2966</v>
      </c>
      <c r="K1067" s="102" t="s">
        <v>591</v>
      </c>
      <c r="L1067" s="102" t="s">
        <v>1349</v>
      </c>
      <c r="M1067" s="102" t="s">
        <v>2967</v>
      </c>
      <c r="N1067" s="102" t="s">
        <v>2968</v>
      </c>
      <c r="O1067" s="102" t="s">
        <v>383</v>
      </c>
      <c r="P1067" s="103">
        <v>1</v>
      </c>
      <c r="Q1067" s="105">
        <v>8866500</v>
      </c>
      <c r="R1067" s="103">
        <v>48</v>
      </c>
      <c r="S1067" s="105">
        <v>0</v>
      </c>
      <c r="T1067" s="105">
        <v>8866500</v>
      </c>
      <c r="U1067" s="105">
        <v>0</v>
      </c>
      <c r="V1067" s="105">
        <v>0</v>
      </c>
      <c r="W1067" s="105">
        <v>0</v>
      </c>
      <c r="X1067" s="105">
        <v>0</v>
      </c>
      <c r="Y1067" s="105">
        <v>0</v>
      </c>
      <c r="Z1067" s="105">
        <v>0</v>
      </c>
      <c r="AA1067" s="105">
        <v>0</v>
      </c>
      <c r="AB1067" s="105">
        <v>0</v>
      </c>
      <c r="AC1067" s="8">
        <f t="shared" si="112"/>
        <v>8866500</v>
      </c>
      <c r="AD1067" s="8">
        <f t="shared" si="113"/>
        <v>0</v>
      </c>
      <c r="AE1067" s="8">
        <f t="shared" si="114"/>
        <v>0</v>
      </c>
      <c r="AF1067" s="106">
        <f t="shared" si="115"/>
        <v>0</v>
      </c>
      <c r="AG1067" s="8">
        <f t="shared" si="116"/>
        <v>0</v>
      </c>
      <c r="AH1067" s="8">
        <f>IF($O1067="Aktif",MAX(0,MIN($AE1067,$AD1067-SUM($AG1067:AG1067))),0)</f>
        <v>0</v>
      </c>
      <c r="AI1067" s="8">
        <f>IF($O1067="Aktif",MAX(0,MIN($AE1067,$AD1067-SUM($AG1067:AH1067))),0)</f>
        <v>0</v>
      </c>
      <c r="AJ1067" s="8">
        <f>IF($O1067="Aktif",MAX(0,MIN($AE1067,$AD1067-SUM($AG1067:AI1067))),0)</f>
        <v>0</v>
      </c>
      <c r="AK1067" s="8">
        <f>IF($O1067="Aktif",MAX(0,MIN($AE1067,$AD1067-SUM($AG1067:AJ1067))),0)</f>
        <v>0</v>
      </c>
      <c r="AL1067" s="8">
        <f>IF($O1067="Aktif",MAX(0,MIN($AE1067,$AD1067-SUM($AG1067:AK1067))),0)</f>
        <v>0</v>
      </c>
      <c r="AM1067" s="8">
        <f>IF($O1067="Aktif",MAX(0,MIN($AE1067,$AD1067-SUM($AG1067:AL1067))),0)</f>
        <v>0</v>
      </c>
      <c r="AN1067" s="8">
        <f>IF($O1067="Aktif",MAX(0,MIN($AE1067,$AD1067-SUM($AG1067:AM1067))),0)</f>
        <v>0</v>
      </c>
      <c r="AO1067" s="8">
        <f>IF($O1067="Aktif",MAX(0,MIN($AE1067,$AD1067-SUM($AG1067:AN1067))),0)</f>
        <v>0</v>
      </c>
      <c r="AP1067" s="8">
        <f>IF($O1067="Aktif",MAX(0,MIN($AE1067,$AD1067-SUM($AG1067:AO1067))),0)</f>
        <v>0</v>
      </c>
      <c r="AQ1067" s="8">
        <f>IF($O1067="Aktif",MAX(0,MIN($AE1067,$AD1067-SUM($AG1067:AP1067))),0)</f>
        <v>0</v>
      </c>
      <c r="AR1067" s="8">
        <f>IF($O1067="Aktif",MAX(0,MIN($AE1067,$AD1067-SUM($AG1067:AQ1067))),0)</f>
        <v>0</v>
      </c>
      <c r="AS1067" s="8">
        <f>IF($O1067="Aktif",MAX(0,MIN($AE1067,$AD1067-SUM($AG1067:AR1067))),0)</f>
        <v>0</v>
      </c>
      <c r="AT1067" s="8">
        <f>IF($O1067="Aktif",MAX(0,MIN($AE1067,$AD1067-SUM($AG1067:AS1067))),0)</f>
        <v>0</v>
      </c>
      <c r="AU1067" s="8">
        <f>IF($O1067="Aktif",MAX(0,MIN($AE1067,$AD1067-SUM($AG1067:AT1067))),0)</f>
        <v>0</v>
      </c>
      <c r="AV1067" s="8">
        <f>IF($O1067="Aktif",MAX(0,MIN($AE1067,$AD1067-SUM($AG1067:AU1067))),0)</f>
        <v>0</v>
      </c>
      <c r="AW1067" s="8">
        <f t="shared" si="117"/>
        <v>0</v>
      </c>
      <c r="AX1067" s="8">
        <f t="shared" si="118"/>
        <v>0</v>
      </c>
    </row>
    <row r="1068" spans="1:50" ht="15" customHeight="1" x14ac:dyDescent="0.35">
      <c r="A1068" s="102">
        <v>1062</v>
      </c>
      <c r="B1068" s="102" t="s">
        <v>2815</v>
      </c>
      <c r="C1068" s="103">
        <v>84</v>
      </c>
      <c r="D1068" s="102" t="s">
        <v>186</v>
      </c>
      <c r="E1068" s="102" t="s">
        <v>587</v>
      </c>
      <c r="F1068" s="102" t="s">
        <v>2816</v>
      </c>
      <c r="G1068" s="102" t="s">
        <v>2817</v>
      </c>
      <c r="H1068" s="102" t="s">
        <v>2818</v>
      </c>
      <c r="I1068" s="102" t="s">
        <v>63</v>
      </c>
      <c r="J1068" s="102" t="s">
        <v>2969</v>
      </c>
      <c r="K1068" s="102" t="s">
        <v>591</v>
      </c>
      <c r="L1068" s="102" t="s">
        <v>2855</v>
      </c>
      <c r="M1068" s="102" t="s">
        <v>2970</v>
      </c>
      <c r="N1068" s="102" t="s">
        <v>2971</v>
      </c>
      <c r="O1068" s="102" t="s">
        <v>383</v>
      </c>
      <c r="P1068" s="103">
        <v>1</v>
      </c>
      <c r="Q1068" s="105">
        <v>20000000</v>
      </c>
      <c r="R1068" s="103">
        <v>48</v>
      </c>
      <c r="S1068" s="105">
        <v>0</v>
      </c>
      <c r="T1068" s="105">
        <v>20000000</v>
      </c>
      <c r="U1068" s="105">
        <v>0</v>
      </c>
      <c r="V1068" s="105">
        <v>0</v>
      </c>
      <c r="W1068" s="105">
        <v>0</v>
      </c>
      <c r="X1068" s="105">
        <v>0</v>
      </c>
      <c r="Y1068" s="105">
        <v>0</v>
      </c>
      <c r="Z1068" s="105">
        <v>0</v>
      </c>
      <c r="AA1068" s="105">
        <v>0</v>
      </c>
      <c r="AB1068" s="105">
        <v>0</v>
      </c>
      <c r="AC1068" s="8">
        <f t="shared" si="112"/>
        <v>20000000</v>
      </c>
      <c r="AD1068" s="8">
        <f t="shared" si="113"/>
        <v>0</v>
      </c>
      <c r="AE1068" s="8">
        <f t="shared" si="114"/>
        <v>0</v>
      </c>
      <c r="AF1068" s="106">
        <f t="shared" si="115"/>
        <v>0</v>
      </c>
      <c r="AG1068" s="8">
        <f t="shared" si="116"/>
        <v>0</v>
      </c>
      <c r="AH1068" s="8">
        <f>IF($O1068="Aktif",MAX(0,MIN($AE1068,$AD1068-SUM($AG1068:AG1068))),0)</f>
        <v>0</v>
      </c>
      <c r="AI1068" s="8">
        <f>IF($O1068="Aktif",MAX(0,MIN($AE1068,$AD1068-SUM($AG1068:AH1068))),0)</f>
        <v>0</v>
      </c>
      <c r="AJ1068" s="8">
        <f>IF($O1068="Aktif",MAX(0,MIN($AE1068,$AD1068-SUM($AG1068:AI1068))),0)</f>
        <v>0</v>
      </c>
      <c r="AK1068" s="8">
        <f>IF($O1068="Aktif",MAX(0,MIN($AE1068,$AD1068-SUM($AG1068:AJ1068))),0)</f>
        <v>0</v>
      </c>
      <c r="AL1068" s="8">
        <f>IF($O1068="Aktif",MAX(0,MIN($AE1068,$AD1068-SUM($AG1068:AK1068))),0)</f>
        <v>0</v>
      </c>
      <c r="AM1068" s="8">
        <f>IF($O1068="Aktif",MAX(0,MIN($AE1068,$AD1068-SUM($AG1068:AL1068))),0)</f>
        <v>0</v>
      </c>
      <c r="AN1068" s="8">
        <f>IF($O1068="Aktif",MAX(0,MIN($AE1068,$AD1068-SUM($AG1068:AM1068))),0)</f>
        <v>0</v>
      </c>
      <c r="AO1068" s="8">
        <f>IF($O1068="Aktif",MAX(0,MIN($AE1068,$AD1068-SUM($AG1068:AN1068))),0)</f>
        <v>0</v>
      </c>
      <c r="AP1068" s="8">
        <f>IF($O1068="Aktif",MAX(0,MIN($AE1068,$AD1068-SUM($AG1068:AO1068))),0)</f>
        <v>0</v>
      </c>
      <c r="AQ1068" s="8">
        <f>IF($O1068="Aktif",MAX(0,MIN($AE1068,$AD1068-SUM($AG1068:AP1068))),0)</f>
        <v>0</v>
      </c>
      <c r="AR1068" s="8">
        <f>IF($O1068="Aktif",MAX(0,MIN($AE1068,$AD1068-SUM($AG1068:AQ1068))),0)</f>
        <v>0</v>
      </c>
      <c r="AS1068" s="8">
        <f>IF($O1068="Aktif",MAX(0,MIN($AE1068,$AD1068-SUM($AG1068:AR1068))),0)</f>
        <v>0</v>
      </c>
      <c r="AT1068" s="8">
        <f>IF($O1068="Aktif",MAX(0,MIN($AE1068,$AD1068-SUM($AG1068:AS1068))),0)</f>
        <v>0</v>
      </c>
      <c r="AU1068" s="8">
        <f>IF($O1068="Aktif",MAX(0,MIN($AE1068,$AD1068-SUM($AG1068:AT1068))),0)</f>
        <v>0</v>
      </c>
      <c r="AV1068" s="8">
        <f>IF($O1068="Aktif",MAX(0,MIN($AE1068,$AD1068-SUM($AG1068:AU1068))),0)</f>
        <v>0</v>
      </c>
      <c r="AW1068" s="8">
        <f t="shared" si="117"/>
        <v>0</v>
      </c>
      <c r="AX1068" s="8">
        <f t="shared" si="118"/>
        <v>0</v>
      </c>
    </row>
    <row r="1069" spans="1:50" ht="15" customHeight="1" x14ac:dyDescent="0.35">
      <c r="A1069" s="102">
        <v>1063</v>
      </c>
      <c r="B1069" s="102" t="s">
        <v>2815</v>
      </c>
      <c r="C1069" s="103">
        <v>85</v>
      </c>
      <c r="D1069" s="102" t="s">
        <v>186</v>
      </c>
      <c r="E1069" s="102" t="s">
        <v>587</v>
      </c>
      <c r="F1069" s="102" t="s">
        <v>2816</v>
      </c>
      <c r="G1069" s="102" t="s">
        <v>2817</v>
      </c>
      <c r="H1069" s="102" t="s">
        <v>2818</v>
      </c>
      <c r="I1069" s="102" t="s">
        <v>63</v>
      </c>
      <c r="J1069" s="102" t="s">
        <v>2972</v>
      </c>
      <c r="K1069" s="102" t="s">
        <v>591</v>
      </c>
      <c r="L1069" s="102" t="s">
        <v>2855</v>
      </c>
      <c r="M1069" s="102" t="s">
        <v>2973</v>
      </c>
      <c r="N1069" s="102" t="s">
        <v>2974</v>
      </c>
      <c r="O1069" s="102" t="s">
        <v>383</v>
      </c>
      <c r="P1069" s="103">
        <v>1</v>
      </c>
      <c r="Q1069" s="105">
        <v>19400000</v>
      </c>
      <c r="R1069" s="103">
        <v>48</v>
      </c>
      <c r="S1069" s="105">
        <v>0</v>
      </c>
      <c r="T1069" s="105">
        <v>19400000</v>
      </c>
      <c r="U1069" s="105">
        <v>0</v>
      </c>
      <c r="V1069" s="105">
        <v>0</v>
      </c>
      <c r="W1069" s="105">
        <v>0</v>
      </c>
      <c r="X1069" s="105">
        <v>0</v>
      </c>
      <c r="Y1069" s="105">
        <v>0</v>
      </c>
      <c r="Z1069" s="105">
        <v>0</v>
      </c>
      <c r="AA1069" s="105">
        <v>0</v>
      </c>
      <c r="AB1069" s="105">
        <v>0</v>
      </c>
      <c r="AC1069" s="8">
        <f t="shared" si="112"/>
        <v>19400000</v>
      </c>
      <c r="AD1069" s="8">
        <f t="shared" si="113"/>
        <v>0</v>
      </c>
      <c r="AE1069" s="8">
        <f t="shared" si="114"/>
        <v>0</v>
      </c>
      <c r="AF1069" s="106">
        <f t="shared" si="115"/>
        <v>0</v>
      </c>
      <c r="AG1069" s="8">
        <f t="shared" si="116"/>
        <v>0</v>
      </c>
      <c r="AH1069" s="8">
        <f>IF($O1069="Aktif",MAX(0,MIN($AE1069,$AD1069-SUM($AG1069:AG1069))),0)</f>
        <v>0</v>
      </c>
      <c r="AI1069" s="8">
        <f>IF($O1069="Aktif",MAX(0,MIN($AE1069,$AD1069-SUM($AG1069:AH1069))),0)</f>
        <v>0</v>
      </c>
      <c r="AJ1069" s="8">
        <f>IF($O1069="Aktif",MAX(0,MIN($AE1069,$AD1069-SUM($AG1069:AI1069))),0)</f>
        <v>0</v>
      </c>
      <c r="AK1069" s="8">
        <f>IF($O1069="Aktif",MAX(0,MIN($AE1069,$AD1069-SUM($AG1069:AJ1069))),0)</f>
        <v>0</v>
      </c>
      <c r="AL1069" s="8">
        <f>IF($O1069="Aktif",MAX(0,MIN($AE1069,$AD1069-SUM($AG1069:AK1069))),0)</f>
        <v>0</v>
      </c>
      <c r="AM1069" s="8">
        <f>IF($O1069="Aktif",MAX(0,MIN($AE1069,$AD1069-SUM($AG1069:AL1069))),0)</f>
        <v>0</v>
      </c>
      <c r="AN1069" s="8">
        <f>IF($O1069="Aktif",MAX(0,MIN($AE1069,$AD1069-SUM($AG1069:AM1069))),0)</f>
        <v>0</v>
      </c>
      <c r="AO1069" s="8">
        <f>IF($O1069="Aktif",MAX(0,MIN($AE1069,$AD1069-SUM($AG1069:AN1069))),0)</f>
        <v>0</v>
      </c>
      <c r="AP1069" s="8">
        <f>IF($O1069="Aktif",MAX(0,MIN($AE1069,$AD1069-SUM($AG1069:AO1069))),0)</f>
        <v>0</v>
      </c>
      <c r="AQ1069" s="8">
        <f>IF($O1069="Aktif",MAX(0,MIN($AE1069,$AD1069-SUM($AG1069:AP1069))),0)</f>
        <v>0</v>
      </c>
      <c r="AR1069" s="8">
        <f>IF($O1069="Aktif",MAX(0,MIN($AE1069,$AD1069-SUM($AG1069:AQ1069))),0)</f>
        <v>0</v>
      </c>
      <c r="AS1069" s="8">
        <f>IF($O1069="Aktif",MAX(0,MIN($AE1069,$AD1069-SUM($AG1069:AR1069))),0)</f>
        <v>0</v>
      </c>
      <c r="AT1069" s="8">
        <f>IF($O1069="Aktif",MAX(0,MIN($AE1069,$AD1069-SUM($AG1069:AS1069))),0)</f>
        <v>0</v>
      </c>
      <c r="AU1069" s="8">
        <f>IF($O1069="Aktif",MAX(0,MIN($AE1069,$AD1069-SUM($AG1069:AT1069))),0)</f>
        <v>0</v>
      </c>
      <c r="AV1069" s="8">
        <f>IF($O1069="Aktif",MAX(0,MIN($AE1069,$AD1069-SUM($AG1069:AU1069))),0)</f>
        <v>0</v>
      </c>
      <c r="AW1069" s="8">
        <f t="shared" si="117"/>
        <v>0</v>
      </c>
      <c r="AX1069" s="8">
        <f t="shared" si="118"/>
        <v>0</v>
      </c>
    </row>
    <row r="1070" spans="1:50" ht="15" customHeight="1" x14ac:dyDescent="0.35">
      <c r="A1070" s="102">
        <v>1064</v>
      </c>
      <c r="B1070" s="102" t="s">
        <v>2815</v>
      </c>
      <c r="C1070" s="103">
        <v>86</v>
      </c>
      <c r="D1070" s="102" t="s">
        <v>186</v>
      </c>
      <c r="E1070" s="102" t="s">
        <v>587</v>
      </c>
      <c r="F1070" s="102" t="s">
        <v>2816</v>
      </c>
      <c r="G1070" s="102" t="s">
        <v>2817</v>
      </c>
      <c r="H1070" s="102" t="s">
        <v>2818</v>
      </c>
      <c r="I1070" s="102" t="s">
        <v>63</v>
      </c>
      <c r="J1070" s="102" t="s">
        <v>2975</v>
      </c>
      <c r="K1070" s="102" t="s">
        <v>591</v>
      </c>
      <c r="L1070" s="102" t="s">
        <v>2855</v>
      </c>
      <c r="M1070" s="102" t="s">
        <v>2976</v>
      </c>
      <c r="N1070" s="102" t="s">
        <v>2977</v>
      </c>
      <c r="O1070" s="102" t="s">
        <v>383</v>
      </c>
      <c r="P1070" s="103">
        <v>1</v>
      </c>
      <c r="Q1070" s="105">
        <v>33250000</v>
      </c>
      <c r="R1070" s="103">
        <v>48</v>
      </c>
      <c r="S1070" s="105">
        <v>0</v>
      </c>
      <c r="T1070" s="105">
        <v>33250000</v>
      </c>
      <c r="U1070" s="105">
        <v>0</v>
      </c>
      <c r="V1070" s="105">
        <v>0</v>
      </c>
      <c r="W1070" s="105">
        <v>0</v>
      </c>
      <c r="X1070" s="105">
        <v>0</v>
      </c>
      <c r="Y1070" s="105">
        <v>0</v>
      </c>
      <c r="Z1070" s="105">
        <v>0</v>
      </c>
      <c r="AA1070" s="105">
        <v>0</v>
      </c>
      <c r="AB1070" s="105">
        <v>0</v>
      </c>
      <c r="AC1070" s="8">
        <f t="shared" si="112"/>
        <v>33250000</v>
      </c>
      <c r="AD1070" s="8">
        <f t="shared" si="113"/>
        <v>0</v>
      </c>
      <c r="AE1070" s="8">
        <f t="shared" si="114"/>
        <v>0</v>
      </c>
      <c r="AF1070" s="106">
        <f t="shared" si="115"/>
        <v>0</v>
      </c>
      <c r="AG1070" s="8">
        <f t="shared" si="116"/>
        <v>0</v>
      </c>
      <c r="AH1070" s="8">
        <f>IF($O1070="Aktif",MAX(0,MIN($AE1070,$AD1070-SUM($AG1070:AG1070))),0)</f>
        <v>0</v>
      </c>
      <c r="AI1070" s="8">
        <f>IF($O1070="Aktif",MAX(0,MIN($AE1070,$AD1070-SUM($AG1070:AH1070))),0)</f>
        <v>0</v>
      </c>
      <c r="AJ1070" s="8">
        <f>IF($O1070="Aktif",MAX(0,MIN($AE1070,$AD1070-SUM($AG1070:AI1070))),0)</f>
        <v>0</v>
      </c>
      <c r="AK1070" s="8">
        <f>IF($O1070="Aktif",MAX(0,MIN($AE1070,$AD1070-SUM($AG1070:AJ1070))),0)</f>
        <v>0</v>
      </c>
      <c r="AL1070" s="8">
        <f>IF($O1070="Aktif",MAX(0,MIN($AE1070,$AD1070-SUM($AG1070:AK1070))),0)</f>
        <v>0</v>
      </c>
      <c r="AM1070" s="8">
        <f>IF($O1070="Aktif",MAX(0,MIN($AE1070,$AD1070-SUM($AG1070:AL1070))),0)</f>
        <v>0</v>
      </c>
      <c r="AN1070" s="8">
        <f>IF($O1070="Aktif",MAX(0,MIN($AE1070,$AD1070-SUM($AG1070:AM1070))),0)</f>
        <v>0</v>
      </c>
      <c r="AO1070" s="8">
        <f>IF($O1070="Aktif",MAX(0,MIN($AE1070,$AD1070-SUM($AG1070:AN1070))),0)</f>
        <v>0</v>
      </c>
      <c r="AP1070" s="8">
        <f>IF($O1070="Aktif",MAX(0,MIN($AE1070,$AD1070-SUM($AG1070:AO1070))),0)</f>
        <v>0</v>
      </c>
      <c r="AQ1070" s="8">
        <f>IF($O1070="Aktif",MAX(0,MIN($AE1070,$AD1070-SUM($AG1070:AP1070))),0)</f>
        <v>0</v>
      </c>
      <c r="AR1070" s="8">
        <f>IF($O1070="Aktif",MAX(0,MIN($AE1070,$AD1070-SUM($AG1070:AQ1070))),0)</f>
        <v>0</v>
      </c>
      <c r="AS1070" s="8">
        <f>IF($O1070="Aktif",MAX(0,MIN($AE1070,$AD1070-SUM($AG1070:AR1070))),0)</f>
        <v>0</v>
      </c>
      <c r="AT1070" s="8">
        <f>IF($O1070="Aktif",MAX(0,MIN($AE1070,$AD1070-SUM($AG1070:AS1070))),0)</f>
        <v>0</v>
      </c>
      <c r="AU1070" s="8">
        <f>IF($O1070="Aktif",MAX(0,MIN($AE1070,$AD1070-SUM($AG1070:AT1070))),0)</f>
        <v>0</v>
      </c>
      <c r="AV1070" s="8">
        <f>IF($O1070="Aktif",MAX(0,MIN($AE1070,$AD1070-SUM($AG1070:AU1070))),0)</f>
        <v>0</v>
      </c>
      <c r="AW1070" s="8">
        <f t="shared" si="117"/>
        <v>0</v>
      </c>
      <c r="AX1070" s="8">
        <f t="shared" si="118"/>
        <v>0</v>
      </c>
    </row>
    <row r="1071" spans="1:50" ht="15" customHeight="1" x14ac:dyDescent="0.35">
      <c r="A1071" s="102">
        <v>1065</v>
      </c>
      <c r="B1071" s="102" t="s">
        <v>2815</v>
      </c>
      <c r="C1071" s="103">
        <v>87</v>
      </c>
      <c r="D1071" s="102" t="s">
        <v>186</v>
      </c>
      <c r="E1071" s="102" t="s">
        <v>587</v>
      </c>
      <c r="F1071" s="102" t="s">
        <v>2816</v>
      </c>
      <c r="G1071" s="102" t="s">
        <v>2817</v>
      </c>
      <c r="H1071" s="102" t="s">
        <v>2818</v>
      </c>
      <c r="I1071" s="102" t="s">
        <v>63</v>
      </c>
      <c r="J1071" s="102" t="s">
        <v>2978</v>
      </c>
      <c r="K1071" s="102" t="s">
        <v>591</v>
      </c>
      <c r="L1071" s="102" t="s">
        <v>2979</v>
      </c>
      <c r="M1071" s="102" t="s">
        <v>1899</v>
      </c>
      <c r="N1071" s="102" t="s">
        <v>2980</v>
      </c>
      <c r="O1071" s="102" t="s">
        <v>383</v>
      </c>
      <c r="P1071" s="103">
        <v>1</v>
      </c>
      <c r="Q1071" s="105">
        <v>32940000</v>
      </c>
      <c r="R1071" s="103">
        <v>48</v>
      </c>
      <c r="S1071" s="105">
        <v>0</v>
      </c>
      <c r="T1071" s="105">
        <v>32940000</v>
      </c>
      <c r="U1071" s="105">
        <v>0</v>
      </c>
      <c r="V1071" s="105">
        <v>0</v>
      </c>
      <c r="W1071" s="105">
        <v>0</v>
      </c>
      <c r="X1071" s="105">
        <v>0</v>
      </c>
      <c r="Y1071" s="105">
        <v>0</v>
      </c>
      <c r="Z1071" s="105">
        <v>0</v>
      </c>
      <c r="AA1071" s="105">
        <v>0</v>
      </c>
      <c r="AB1071" s="105">
        <v>0</v>
      </c>
      <c r="AC1071" s="8">
        <f t="shared" si="112"/>
        <v>32940000</v>
      </c>
      <c r="AD1071" s="8">
        <f t="shared" si="113"/>
        <v>0</v>
      </c>
      <c r="AE1071" s="8">
        <f t="shared" si="114"/>
        <v>0</v>
      </c>
      <c r="AF1071" s="106">
        <f t="shared" si="115"/>
        <v>0</v>
      </c>
      <c r="AG1071" s="8">
        <f t="shared" si="116"/>
        <v>0</v>
      </c>
      <c r="AH1071" s="8">
        <f>IF($O1071="Aktif",MAX(0,MIN($AE1071,$AD1071-SUM($AG1071:AG1071))),0)</f>
        <v>0</v>
      </c>
      <c r="AI1071" s="8">
        <f>IF($O1071="Aktif",MAX(0,MIN($AE1071,$AD1071-SUM($AG1071:AH1071))),0)</f>
        <v>0</v>
      </c>
      <c r="AJ1071" s="8">
        <f>IF($O1071="Aktif",MAX(0,MIN($AE1071,$AD1071-SUM($AG1071:AI1071))),0)</f>
        <v>0</v>
      </c>
      <c r="AK1071" s="8">
        <f>IF($O1071="Aktif",MAX(0,MIN($AE1071,$AD1071-SUM($AG1071:AJ1071))),0)</f>
        <v>0</v>
      </c>
      <c r="AL1071" s="8">
        <f>IF($O1071="Aktif",MAX(0,MIN($AE1071,$AD1071-SUM($AG1071:AK1071))),0)</f>
        <v>0</v>
      </c>
      <c r="AM1071" s="8">
        <f>IF($O1071="Aktif",MAX(0,MIN($AE1071,$AD1071-SUM($AG1071:AL1071))),0)</f>
        <v>0</v>
      </c>
      <c r="AN1071" s="8">
        <f>IF($O1071="Aktif",MAX(0,MIN($AE1071,$AD1071-SUM($AG1071:AM1071))),0)</f>
        <v>0</v>
      </c>
      <c r="AO1071" s="8">
        <f>IF($O1071="Aktif",MAX(0,MIN($AE1071,$AD1071-SUM($AG1071:AN1071))),0)</f>
        <v>0</v>
      </c>
      <c r="AP1071" s="8">
        <f>IF($O1071="Aktif",MAX(0,MIN($AE1071,$AD1071-SUM($AG1071:AO1071))),0)</f>
        <v>0</v>
      </c>
      <c r="AQ1071" s="8">
        <f>IF($O1071="Aktif",MAX(0,MIN($AE1071,$AD1071-SUM($AG1071:AP1071))),0)</f>
        <v>0</v>
      </c>
      <c r="AR1071" s="8">
        <f>IF($O1071="Aktif",MAX(0,MIN($AE1071,$AD1071-SUM($AG1071:AQ1071))),0)</f>
        <v>0</v>
      </c>
      <c r="AS1071" s="8">
        <f>IF($O1071="Aktif",MAX(0,MIN($AE1071,$AD1071-SUM($AG1071:AR1071))),0)</f>
        <v>0</v>
      </c>
      <c r="AT1071" s="8">
        <f>IF($O1071="Aktif",MAX(0,MIN($AE1071,$AD1071-SUM($AG1071:AS1071))),0)</f>
        <v>0</v>
      </c>
      <c r="AU1071" s="8">
        <f>IF($O1071="Aktif",MAX(0,MIN($AE1071,$AD1071-SUM($AG1071:AT1071))),0)</f>
        <v>0</v>
      </c>
      <c r="AV1071" s="8">
        <f>IF($O1071="Aktif",MAX(0,MIN($AE1071,$AD1071-SUM($AG1071:AU1071))),0)</f>
        <v>0</v>
      </c>
      <c r="AW1071" s="8">
        <f t="shared" si="117"/>
        <v>0</v>
      </c>
      <c r="AX1071" s="8">
        <f t="shared" si="118"/>
        <v>0</v>
      </c>
    </row>
    <row r="1072" spans="1:50" ht="15" customHeight="1" x14ac:dyDescent="0.35">
      <c r="A1072" s="102">
        <v>1066</v>
      </c>
      <c r="B1072" s="102" t="s">
        <v>2815</v>
      </c>
      <c r="C1072" s="103">
        <v>88</v>
      </c>
      <c r="D1072" s="102" t="s">
        <v>186</v>
      </c>
      <c r="E1072" s="102" t="s">
        <v>587</v>
      </c>
      <c r="F1072" s="102" t="s">
        <v>2816</v>
      </c>
      <c r="G1072" s="102" t="s">
        <v>2817</v>
      </c>
      <c r="H1072" s="102" t="s">
        <v>2818</v>
      </c>
      <c r="I1072" s="102" t="s">
        <v>63</v>
      </c>
      <c r="J1072" s="102" t="s">
        <v>2981</v>
      </c>
      <c r="K1072" s="102" t="s">
        <v>591</v>
      </c>
      <c r="L1072" s="102" t="s">
        <v>2982</v>
      </c>
      <c r="M1072" s="102" t="s">
        <v>2983</v>
      </c>
      <c r="N1072" s="102" t="s">
        <v>2984</v>
      </c>
      <c r="O1072" s="102" t="s">
        <v>383</v>
      </c>
      <c r="P1072" s="103">
        <v>1</v>
      </c>
      <c r="Q1072" s="105">
        <v>1740000</v>
      </c>
      <c r="R1072" s="103">
        <v>48</v>
      </c>
      <c r="S1072" s="105">
        <v>0</v>
      </c>
      <c r="T1072" s="105">
        <v>1740000</v>
      </c>
      <c r="U1072" s="105">
        <v>0</v>
      </c>
      <c r="V1072" s="105">
        <v>0</v>
      </c>
      <c r="W1072" s="105">
        <v>0</v>
      </c>
      <c r="X1072" s="105">
        <v>0</v>
      </c>
      <c r="Y1072" s="105">
        <v>0</v>
      </c>
      <c r="Z1072" s="105">
        <v>0</v>
      </c>
      <c r="AA1072" s="105">
        <v>0</v>
      </c>
      <c r="AB1072" s="105">
        <v>0</v>
      </c>
      <c r="AC1072" s="8">
        <f t="shared" si="112"/>
        <v>1740000</v>
      </c>
      <c r="AD1072" s="8">
        <f t="shared" si="113"/>
        <v>0</v>
      </c>
      <c r="AE1072" s="8">
        <f t="shared" si="114"/>
        <v>0</v>
      </c>
      <c r="AF1072" s="106">
        <f t="shared" si="115"/>
        <v>0</v>
      </c>
      <c r="AG1072" s="8">
        <f t="shared" si="116"/>
        <v>0</v>
      </c>
      <c r="AH1072" s="8">
        <f>IF($O1072="Aktif",MAX(0,MIN($AE1072,$AD1072-SUM($AG1072:AG1072))),0)</f>
        <v>0</v>
      </c>
      <c r="AI1072" s="8">
        <f>IF($O1072="Aktif",MAX(0,MIN($AE1072,$AD1072-SUM($AG1072:AH1072))),0)</f>
        <v>0</v>
      </c>
      <c r="AJ1072" s="8">
        <f>IF($O1072="Aktif",MAX(0,MIN($AE1072,$AD1072-SUM($AG1072:AI1072))),0)</f>
        <v>0</v>
      </c>
      <c r="AK1072" s="8">
        <f>IF($O1072="Aktif",MAX(0,MIN($AE1072,$AD1072-SUM($AG1072:AJ1072))),0)</f>
        <v>0</v>
      </c>
      <c r="AL1072" s="8">
        <f>IF($O1072="Aktif",MAX(0,MIN($AE1072,$AD1072-SUM($AG1072:AK1072))),0)</f>
        <v>0</v>
      </c>
      <c r="AM1072" s="8">
        <f>IF($O1072="Aktif",MAX(0,MIN($AE1072,$AD1072-SUM($AG1072:AL1072))),0)</f>
        <v>0</v>
      </c>
      <c r="AN1072" s="8">
        <f>IF($O1072="Aktif",MAX(0,MIN($AE1072,$AD1072-SUM($AG1072:AM1072))),0)</f>
        <v>0</v>
      </c>
      <c r="AO1072" s="8">
        <f>IF($O1072="Aktif",MAX(0,MIN($AE1072,$AD1072-SUM($AG1072:AN1072))),0)</f>
        <v>0</v>
      </c>
      <c r="AP1072" s="8">
        <f>IF($O1072="Aktif",MAX(0,MIN($AE1072,$AD1072-SUM($AG1072:AO1072))),0)</f>
        <v>0</v>
      </c>
      <c r="AQ1072" s="8">
        <f>IF($O1072="Aktif",MAX(0,MIN($AE1072,$AD1072-SUM($AG1072:AP1072))),0)</f>
        <v>0</v>
      </c>
      <c r="AR1072" s="8">
        <f>IF($O1072="Aktif",MAX(0,MIN($AE1072,$AD1072-SUM($AG1072:AQ1072))),0)</f>
        <v>0</v>
      </c>
      <c r="AS1072" s="8">
        <f>IF($O1072="Aktif",MAX(0,MIN($AE1072,$AD1072-SUM($AG1072:AR1072))),0)</f>
        <v>0</v>
      </c>
      <c r="AT1072" s="8">
        <f>IF($O1072="Aktif",MAX(0,MIN($AE1072,$AD1072-SUM($AG1072:AS1072))),0)</f>
        <v>0</v>
      </c>
      <c r="AU1072" s="8">
        <f>IF($O1072="Aktif",MAX(0,MIN($AE1072,$AD1072-SUM($AG1072:AT1072))),0)</f>
        <v>0</v>
      </c>
      <c r="AV1072" s="8">
        <f>IF($O1072="Aktif",MAX(0,MIN($AE1072,$AD1072-SUM($AG1072:AU1072))),0)</f>
        <v>0</v>
      </c>
      <c r="AW1072" s="8">
        <f t="shared" si="117"/>
        <v>0</v>
      </c>
      <c r="AX1072" s="8">
        <f t="shared" si="118"/>
        <v>0</v>
      </c>
    </row>
    <row r="1073" spans="1:50" ht="15" customHeight="1" x14ac:dyDescent="0.35">
      <c r="A1073" s="102">
        <v>1067</v>
      </c>
      <c r="B1073" s="102" t="s">
        <v>2815</v>
      </c>
      <c r="C1073" s="103">
        <v>89</v>
      </c>
      <c r="D1073" s="102" t="s">
        <v>186</v>
      </c>
      <c r="E1073" s="102" t="s">
        <v>587</v>
      </c>
      <c r="F1073" s="102" t="s">
        <v>2816</v>
      </c>
      <c r="G1073" s="102" t="s">
        <v>2817</v>
      </c>
      <c r="H1073" s="102" t="s">
        <v>2818</v>
      </c>
      <c r="I1073" s="102" t="s">
        <v>63</v>
      </c>
      <c r="J1073" s="102" t="s">
        <v>2985</v>
      </c>
      <c r="K1073" s="102" t="s">
        <v>591</v>
      </c>
      <c r="L1073" s="102" t="s">
        <v>2986</v>
      </c>
      <c r="M1073" s="102" t="s">
        <v>2987</v>
      </c>
      <c r="N1073" s="102" t="s">
        <v>2988</v>
      </c>
      <c r="O1073" s="102" t="s">
        <v>383</v>
      </c>
      <c r="P1073" s="103">
        <v>1</v>
      </c>
      <c r="Q1073" s="105">
        <v>4000000</v>
      </c>
      <c r="R1073" s="103">
        <v>48</v>
      </c>
      <c r="S1073" s="105">
        <v>0</v>
      </c>
      <c r="T1073" s="105">
        <v>4000000</v>
      </c>
      <c r="U1073" s="105">
        <v>0</v>
      </c>
      <c r="V1073" s="105">
        <v>0</v>
      </c>
      <c r="W1073" s="105">
        <v>0</v>
      </c>
      <c r="X1073" s="105">
        <v>0</v>
      </c>
      <c r="Y1073" s="105">
        <v>0</v>
      </c>
      <c r="Z1073" s="105">
        <v>0</v>
      </c>
      <c r="AA1073" s="105">
        <v>0</v>
      </c>
      <c r="AB1073" s="105">
        <v>0</v>
      </c>
      <c r="AC1073" s="8">
        <f t="shared" si="112"/>
        <v>4000000</v>
      </c>
      <c r="AD1073" s="8">
        <f t="shared" si="113"/>
        <v>0</v>
      </c>
      <c r="AE1073" s="8">
        <f t="shared" si="114"/>
        <v>0</v>
      </c>
      <c r="AF1073" s="106">
        <f t="shared" si="115"/>
        <v>0</v>
      </c>
      <c r="AG1073" s="8">
        <f t="shared" si="116"/>
        <v>0</v>
      </c>
      <c r="AH1073" s="8">
        <f>IF($O1073="Aktif",MAX(0,MIN($AE1073,$AD1073-SUM($AG1073:AG1073))),0)</f>
        <v>0</v>
      </c>
      <c r="AI1073" s="8">
        <f>IF($O1073="Aktif",MAX(0,MIN($AE1073,$AD1073-SUM($AG1073:AH1073))),0)</f>
        <v>0</v>
      </c>
      <c r="AJ1073" s="8">
        <f>IF($O1073="Aktif",MAX(0,MIN($AE1073,$AD1073-SUM($AG1073:AI1073))),0)</f>
        <v>0</v>
      </c>
      <c r="AK1073" s="8">
        <f>IF($O1073="Aktif",MAX(0,MIN($AE1073,$AD1073-SUM($AG1073:AJ1073))),0)</f>
        <v>0</v>
      </c>
      <c r="AL1073" s="8">
        <f>IF($O1073="Aktif",MAX(0,MIN($AE1073,$AD1073-SUM($AG1073:AK1073))),0)</f>
        <v>0</v>
      </c>
      <c r="AM1073" s="8">
        <f>IF($O1073="Aktif",MAX(0,MIN($AE1073,$AD1073-SUM($AG1073:AL1073))),0)</f>
        <v>0</v>
      </c>
      <c r="AN1073" s="8">
        <f>IF($O1073="Aktif",MAX(0,MIN($AE1073,$AD1073-SUM($AG1073:AM1073))),0)</f>
        <v>0</v>
      </c>
      <c r="AO1073" s="8">
        <f>IF($O1073="Aktif",MAX(0,MIN($AE1073,$AD1073-SUM($AG1073:AN1073))),0)</f>
        <v>0</v>
      </c>
      <c r="AP1073" s="8">
        <f>IF($O1073="Aktif",MAX(0,MIN($AE1073,$AD1073-SUM($AG1073:AO1073))),0)</f>
        <v>0</v>
      </c>
      <c r="AQ1073" s="8">
        <f>IF($O1073="Aktif",MAX(0,MIN($AE1073,$AD1073-SUM($AG1073:AP1073))),0)</f>
        <v>0</v>
      </c>
      <c r="AR1073" s="8">
        <f>IF($O1073="Aktif",MAX(0,MIN($AE1073,$AD1073-SUM($AG1073:AQ1073))),0)</f>
        <v>0</v>
      </c>
      <c r="AS1073" s="8">
        <f>IF($O1073="Aktif",MAX(0,MIN($AE1073,$AD1073-SUM($AG1073:AR1073))),0)</f>
        <v>0</v>
      </c>
      <c r="AT1073" s="8">
        <f>IF($O1073="Aktif",MAX(0,MIN($AE1073,$AD1073-SUM($AG1073:AS1073))),0)</f>
        <v>0</v>
      </c>
      <c r="AU1073" s="8">
        <f>IF($O1073="Aktif",MAX(0,MIN($AE1073,$AD1073-SUM($AG1073:AT1073))),0)</f>
        <v>0</v>
      </c>
      <c r="AV1073" s="8">
        <f>IF($O1073="Aktif",MAX(0,MIN($AE1073,$AD1073-SUM($AG1073:AU1073))),0)</f>
        <v>0</v>
      </c>
      <c r="AW1073" s="8">
        <f t="shared" si="117"/>
        <v>0</v>
      </c>
      <c r="AX1073" s="8">
        <f t="shared" si="118"/>
        <v>0</v>
      </c>
    </row>
    <row r="1074" spans="1:50" ht="15" customHeight="1" x14ac:dyDescent="0.35">
      <c r="A1074" s="102">
        <v>1068</v>
      </c>
      <c r="B1074" s="102" t="s">
        <v>2815</v>
      </c>
      <c r="C1074" s="103">
        <v>90</v>
      </c>
      <c r="D1074" s="102" t="s">
        <v>186</v>
      </c>
      <c r="E1074" s="102" t="s">
        <v>587</v>
      </c>
      <c r="F1074" s="102" t="s">
        <v>2816</v>
      </c>
      <c r="G1074" s="102" t="s">
        <v>2817</v>
      </c>
      <c r="H1074" s="102" t="s">
        <v>2818</v>
      </c>
      <c r="I1074" s="102" t="s">
        <v>63</v>
      </c>
      <c r="J1074" s="102" t="s">
        <v>2989</v>
      </c>
      <c r="K1074" s="102" t="s">
        <v>591</v>
      </c>
      <c r="L1074" s="102" t="s">
        <v>2986</v>
      </c>
      <c r="M1074" s="102" t="s">
        <v>2990</v>
      </c>
      <c r="N1074" s="102" t="s">
        <v>2991</v>
      </c>
      <c r="O1074" s="102" t="s">
        <v>383</v>
      </c>
      <c r="P1074" s="103">
        <v>1</v>
      </c>
      <c r="Q1074" s="105">
        <v>3960000</v>
      </c>
      <c r="R1074" s="103">
        <v>48</v>
      </c>
      <c r="S1074" s="105">
        <v>0</v>
      </c>
      <c r="T1074" s="105">
        <v>3960000</v>
      </c>
      <c r="U1074" s="105">
        <v>0</v>
      </c>
      <c r="V1074" s="105">
        <v>0</v>
      </c>
      <c r="W1074" s="105">
        <v>0</v>
      </c>
      <c r="X1074" s="105">
        <v>0</v>
      </c>
      <c r="Y1074" s="105">
        <v>0</v>
      </c>
      <c r="Z1074" s="105">
        <v>0</v>
      </c>
      <c r="AA1074" s="105">
        <v>0</v>
      </c>
      <c r="AB1074" s="105">
        <v>0</v>
      </c>
      <c r="AC1074" s="8">
        <f t="shared" si="112"/>
        <v>3960000</v>
      </c>
      <c r="AD1074" s="8">
        <f t="shared" si="113"/>
        <v>0</v>
      </c>
      <c r="AE1074" s="8">
        <f t="shared" si="114"/>
        <v>0</v>
      </c>
      <c r="AF1074" s="106">
        <f t="shared" si="115"/>
        <v>0</v>
      </c>
      <c r="AG1074" s="8">
        <f t="shared" si="116"/>
        <v>0</v>
      </c>
      <c r="AH1074" s="8">
        <f>IF($O1074="Aktif",MAX(0,MIN($AE1074,$AD1074-SUM($AG1074:AG1074))),0)</f>
        <v>0</v>
      </c>
      <c r="AI1074" s="8">
        <f>IF($O1074="Aktif",MAX(0,MIN($AE1074,$AD1074-SUM($AG1074:AH1074))),0)</f>
        <v>0</v>
      </c>
      <c r="AJ1074" s="8">
        <f>IF($O1074="Aktif",MAX(0,MIN($AE1074,$AD1074-SUM($AG1074:AI1074))),0)</f>
        <v>0</v>
      </c>
      <c r="AK1074" s="8">
        <f>IF($O1074="Aktif",MAX(0,MIN($AE1074,$AD1074-SUM($AG1074:AJ1074))),0)</f>
        <v>0</v>
      </c>
      <c r="AL1074" s="8">
        <f>IF($O1074="Aktif",MAX(0,MIN($AE1074,$AD1074-SUM($AG1074:AK1074))),0)</f>
        <v>0</v>
      </c>
      <c r="AM1074" s="8">
        <f>IF($O1074="Aktif",MAX(0,MIN($AE1074,$AD1074-SUM($AG1074:AL1074))),0)</f>
        <v>0</v>
      </c>
      <c r="AN1074" s="8">
        <f>IF($O1074="Aktif",MAX(0,MIN($AE1074,$AD1074-SUM($AG1074:AM1074))),0)</f>
        <v>0</v>
      </c>
      <c r="AO1074" s="8">
        <f>IF($O1074="Aktif",MAX(0,MIN($AE1074,$AD1074-SUM($AG1074:AN1074))),0)</f>
        <v>0</v>
      </c>
      <c r="AP1074" s="8">
        <f>IF($O1074="Aktif",MAX(0,MIN($AE1074,$AD1074-SUM($AG1074:AO1074))),0)</f>
        <v>0</v>
      </c>
      <c r="AQ1074" s="8">
        <f>IF($O1074="Aktif",MAX(0,MIN($AE1074,$AD1074-SUM($AG1074:AP1074))),0)</f>
        <v>0</v>
      </c>
      <c r="AR1074" s="8">
        <f>IF($O1074="Aktif",MAX(0,MIN($AE1074,$AD1074-SUM($AG1074:AQ1074))),0)</f>
        <v>0</v>
      </c>
      <c r="AS1074" s="8">
        <f>IF($O1074="Aktif",MAX(0,MIN($AE1074,$AD1074-SUM($AG1074:AR1074))),0)</f>
        <v>0</v>
      </c>
      <c r="AT1074" s="8">
        <f>IF($O1074="Aktif",MAX(0,MIN($AE1074,$AD1074-SUM($AG1074:AS1074))),0)</f>
        <v>0</v>
      </c>
      <c r="AU1074" s="8">
        <f>IF($O1074="Aktif",MAX(0,MIN($AE1074,$AD1074-SUM($AG1074:AT1074))),0)</f>
        <v>0</v>
      </c>
      <c r="AV1074" s="8">
        <f>IF($O1074="Aktif",MAX(0,MIN($AE1074,$AD1074-SUM($AG1074:AU1074))),0)</f>
        <v>0</v>
      </c>
      <c r="AW1074" s="8">
        <f t="shared" si="117"/>
        <v>0</v>
      </c>
      <c r="AX1074" s="8">
        <f t="shared" si="118"/>
        <v>0</v>
      </c>
    </row>
    <row r="1075" spans="1:50" ht="15" customHeight="1" x14ac:dyDescent="0.35">
      <c r="A1075" s="102">
        <v>1069</v>
      </c>
      <c r="B1075" s="102" t="s">
        <v>2815</v>
      </c>
      <c r="C1075" s="103">
        <v>91</v>
      </c>
      <c r="D1075" s="102" t="s">
        <v>186</v>
      </c>
      <c r="E1075" s="102" t="s">
        <v>587</v>
      </c>
      <c r="F1075" s="102" t="s">
        <v>2816</v>
      </c>
      <c r="G1075" s="102" t="s">
        <v>2817</v>
      </c>
      <c r="H1075" s="102" t="s">
        <v>2818</v>
      </c>
      <c r="I1075" s="102" t="s">
        <v>63</v>
      </c>
      <c r="J1075" s="102" t="s">
        <v>2992</v>
      </c>
      <c r="K1075" s="102" t="s">
        <v>591</v>
      </c>
      <c r="L1075" s="102" t="s">
        <v>2993</v>
      </c>
      <c r="M1075" s="102" t="s">
        <v>2994</v>
      </c>
      <c r="N1075" s="102" t="s">
        <v>2995</v>
      </c>
      <c r="O1075" s="102" t="s">
        <v>383</v>
      </c>
      <c r="P1075" s="103">
        <v>1</v>
      </c>
      <c r="Q1075" s="105">
        <v>60500000</v>
      </c>
      <c r="R1075" s="103">
        <v>48</v>
      </c>
      <c r="S1075" s="105">
        <v>0</v>
      </c>
      <c r="T1075" s="105">
        <v>60500000</v>
      </c>
      <c r="U1075" s="105">
        <v>0</v>
      </c>
      <c r="V1075" s="105">
        <v>0</v>
      </c>
      <c r="W1075" s="105">
        <v>0</v>
      </c>
      <c r="X1075" s="105">
        <v>0</v>
      </c>
      <c r="Y1075" s="105">
        <v>0</v>
      </c>
      <c r="Z1075" s="105">
        <v>0</v>
      </c>
      <c r="AA1075" s="105">
        <v>0</v>
      </c>
      <c r="AB1075" s="105">
        <v>0</v>
      </c>
      <c r="AC1075" s="8">
        <f t="shared" si="112"/>
        <v>60500000</v>
      </c>
      <c r="AD1075" s="8">
        <f t="shared" si="113"/>
        <v>0</v>
      </c>
      <c r="AE1075" s="8">
        <f t="shared" si="114"/>
        <v>0</v>
      </c>
      <c r="AF1075" s="106">
        <f t="shared" si="115"/>
        <v>0</v>
      </c>
      <c r="AG1075" s="8">
        <f t="shared" si="116"/>
        <v>0</v>
      </c>
      <c r="AH1075" s="8">
        <f>IF($O1075="Aktif",MAX(0,MIN($AE1075,$AD1075-SUM($AG1075:AG1075))),0)</f>
        <v>0</v>
      </c>
      <c r="AI1075" s="8">
        <f>IF($O1075="Aktif",MAX(0,MIN($AE1075,$AD1075-SUM($AG1075:AH1075))),0)</f>
        <v>0</v>
      </c>
      <c r="AJ1075" s="8">
        <f>IF($O1075="Aktif",MAX(0,MIN($AE1075,$AD1075-SUM($AG1075:AI1075))),0)</f>
        <v>0</v>
      </c>
      <c r="AK1075" s="8">
        <f>IF($O1075="Aktif",MAX(0,MIN($AE1075,$AD1075-SUM($AG1075:AJ1075))),0)</f>
        <v>0</v>
      </c>
      <c r="AL1075" s="8">
        <f>IF($O1075="Aktif",MAX(0,MIN($AE1075,$AD1075-SUM($AG1075:AK1075))),0)</f>
        <v>0</v>
      </c>
      <c r="AM1075" s="8">
        <f>IF($O1075="Aktif",MAX(0,MIN($AE1075,$AD1075-SUM($AG1075:AL1075))),0)</f>
        <v>0</v>
      </c>
      <c r="AN1075" s="8">
        <f>IF($O1075="Aktif",MAX(0,MIN($AE1075,$AD1075-SUM($AG1075:AM1075))),0)</f>
        <v>0</v>
      </c>
      <c r="AO1075" s="8">
        <f>IF($O1075="Aktif",MAX(0,MIN($AE1075,$AD1075-SUM($AG1075:AN1075))),0)</f>
        <v>0</v>
      </c>
      <c r="AP1075" s="8">
        <f>IF($O1075="Aktif",MAX(0,MIN($AE1075,$AD1075-SUM($AG1075:AO1075))),0)</f>
        <v>0</v>
      </c>
      <c r="AQ1075" s="8">
        <f>IF($O1075="Aktif",MAX(0,MIN($AE1075,$AD1075-SUM($AG1075:AP1075))),0)</f>
        <v>0</v>
      </c>
      <c r="AR1075" s="8">
        <f>IF($O1075="Aktif",MAX(0,MIN($AE1075,$AD1075-SUM($AG1075:AQ1075))),0)</f>
        <v>0</v>
      </c>
      <c r="AS1075" s="8">
        <f>IF($O1075="Aktif",MAX(0,MIN($AE1075,$AD1075-SUM($AG1075:AR1075))),0)</f>
        <v>0</v>
      </c>
      <c r="AT1075" s="8">
        <f>IF($O1075="Aktif",MAX(0,MIN($AE1075,$AD1075-SUM($AG1075:AS1075))),0)</f>
        <v>0</v>
      </c>
      <c r="AU1075" s="8">
        <f>IF($O1075="Aktif",MAX(0,MIN($AE1075,$AD1075-SUM($AG1075:AT1075))),0)</f>
        <v>0</v>
      </c>
      <c r="AV1075" s="8">
        <f>IF($O1075="Aktif",MAX(0,MIN($AE1075,$AD1075-SUM($AG1075:AU1075))),0)</f>
        <v>0</v>
      </c>
      <c r="AW1075" s="8">
        <f t="shared" si="117"/>
        <v>0</v>
      </c>
      <c r="AX1075" s="8">
        <f t="shared" si="118"/>
        <v>0</v>
      </c>
    </row>
    <row r="1076" spans="1:50" ht="15" customHeight="1" x14ac:dyDescent="0.35">
      <c r="A1076" s="102">
        <v>1070</v>
      </c>
      <c r="B1076" s="102" t="s">
        <v>2815</v>
      </c>
      <c r="C1076" s="103">
        <v>92</v>
      </c>
      <c r="D1076" s="102" t="s">
        <v>186</v>
      </c>
      <c r="E1076" s="102" t="s">
        <v>587</v>
      </c>
      <c r="F1076" s="102" t="s">
        <v>2816</v>
      </c>
      <c r="G1076" s="102" t="s">
        <v>2817</v>
      </c>
      <c r="H1076" s="102" t="s">
        <v>2818</v>
      </c>
      <c r="I1076" s="102" t="s">
        <v>63</v>
      </c>
      <c r="J1076" s="102" t="s">
        <v>2996</v>
      </c>
      <c r="K1076" s="102" t="s">
        <v>591</v>
      </c>
      <c r="L1076" s="102" t="s">
        <v>2993</v>
      </c>
      <c r="M1076" s="102" t="s">
        <v>2997</v>
      </c>
      <c r="N1076" s="102" t="s">
        <v>2998</v>
      </c>
      <c r="O1076" s="102" t="s">
        <v>383</v>
      </c>
      <c r="P1076" s="103">
        <v>1</v>
      </c>
      <c r="Q1076" s="105">
        <v>16500000</v>
      </c>
      <c r="R1076" s="103">
        <v>48</v>
      </c>
      <c r="S1076" s="105">
        <v>0</v>
      </c>
      <c r="T1076" s="105">
        <v>16500000</v>
      </c>
      <c r="U1076" s="105">
        <v>0</v>
      </c>
      <c r="V1076" s="105">
        <v>0</v>
      </c>
      <c r="W1076" s="105">
        <v>0</v>
      </c>
      <c r="X1076" s="105">
        <v>0</v>
      </c>
      <c r="Y1076" s="105">
        <v>0</v>
      </c>
      <c r="Z1076" s="105">
        <v>0</v>
      </c>
      <c r="AA1076" s="105">
        <v>0</v>
      </c>
      <c r="AB1076" s="105">
        <v>0</v>
      </c>
      <c r="AC1076" s="8">
        <f t="shared" si="112"/>
        <v>16500000</v>
      </c>
      <c r="AD1076" s="8">
        <f t="shared" si="113"/>
        <v>0</v>
      </c>
      <c r="AE1076" s="8">
        <f t="shared" si="114"/>
        <v>0</v>
      </c>
      <c r="AF1076" s="106">
        <f t="shared" si="115"/>
        <v>0</v>
      </c>
      <c r="AG1076" s="8">
        <f t="shared" si="116"/>
        <v>0</v>
      </c>
      <c r="AH1076" s="8">
        <f>IF($O1076="Aktif",MAX(0,MIN($AE1076,$AD1076-SUM($AG1076:AG1076))),0)</f>
        <v>0</v>
      </c>
      <c r="AI1076" s="8">
        <f>IF($O1076="Aktif",MAX(0,MIN($AE1076,$AD1076-SUM($AG1076:AH1076))),0)</f>
        <v>0</v>
      </c>
      <c r="AJ1076" s="8">
        <f>IF($O1076="Aktif",MAX(0,MIN($AE1076,$AD1076-SUM($AG1076:AI1076))),0)</f>
        <v>0</v>
      </c>
      <c r="AK1076" s="8">
        <f>IF($O1076="Aktif",MAX(0,MIN($AE1076,$AD1076-SUM($AG1076:AJ1076))),0)</f>
        <v>0</v>
      </c>
      <c r="AL1076" s="8">
        <f>IF($O1076="Aktif",MAX(0,MIN($AE1076,$AD1076-SUM($AG1076:AK1076))),0)</f>
        <v>0</v>
      </c>
      <c r="AM1076" s="8">
        <f>IF($O1076="Aktif",MAX(0,MIN($AE1076,$AD1076-SUM($AG1076:AL1076))),0)</f>
        <v>0</v>
      </c>
      <c r="AN1076" s="8">
        <f>IF($O1076="Aktif",MAX(0,MIN($AE1076,$AD1076-SUM($AG1076:AM1076))),0)</f>
        <v>0</v>
      </c>
      <c r="AO1076" s="8">
        <f>IF($O1076="Aktif",MAX(0,MIN($AE1076,$AD1076-SUM($AG1076:AN1076))),0)</f>
        <v>0</v>
      </c>
      <c r="AP1076" s="8">
        <f>IF($O1076="Aktif",MAX(0,MIN($AE1076,$AD1076-SUM($AG1076:AO1076))),0)</f>
        <v>0</v>
      </c>
      <c r="AQ1076" s="8">
        <f>IF($O1076="Aktif",MAX(0,MIN($AE1076,$AD1076-SUM($AG1076:AP1076))),0)</f>
        <v>0</v>
      </c>
      <c r="AR1076" s="8">
        <f>IF($O1076="Aktif",MAX(0,MIN($AE1076,$AD1076-SUM($AG1076:AQ1076))),0)</f>
        <v>0</v>
      </c>
      <c r="AS1076" s="8">
        <f>IF($O1076="Aktif",MAX(0,MIN($AE1076,$AD1076-SUM($AG1076:AR1076))),0)</f>
        <v>0</v>
      </c>
      <c r="AT1076" s="8">
        <f>IF($O1076="Aktif",MAX(0,MIN($AE1076,$AD1076-SUM($AG1076:AS1076))),0)</f>
        <v>0</v>
      </c>
      <c r="AU1076" s="8">
        <f>IF($O1076="Aktif",MAX(0,MIN($AE1076,$AD1076-SUM($AG1076:AT1076))),0)</f>
        <v>0</v>
      </c>
      <c r="AV1076" s="8">
        <f>IF($O1076="Aktif",MAX(0,MIN($AE1076,$AD1076-SUM($AG1076:AU1076))),0)</f>
        <v>0</v>
      </c>
      <c r="AW1076" s="8">
        <f t="shared" si="117"/>
        <v>0</v>
      </c>
      <c r="AX1076" s="8">
        <f t="shared" si="118"/>
        <v>0</v>
      </c>
    </row>
    <row r="1077" spans="1:50" ht="15" customHeight="1" x14ac:dyDescent="0.35">
      <c r="A1077" s="102">
        <v>1071</v>
      </c>
      <c r="B1077" s="102" t="s">
        <v>2815</v>
      </c>
      <c r="C1077" s="103">
        <v>93</v>
      </c>
      <c r="D1077" s="102" t="s">
        <v>186</v>
      </c>
      <c r="E1077" s="102" t="s">
        <v>587</v>
      </c>
      <c r="F1077" s="102" t="s">
        <v>2816</v>
      </c>
      <c r="G1077" s="102" t="s">
        <v>2817</v>
      </c>
      <c r="H1077" s="102" t="s">
        <v>2818</v>
      </c>
      <c r="I1077" s="102" t="s">
        <v>63</v>
      </c>
      <c r="J1077" s="102" t="s">
        <v>2999</v>
      </c>
      <c r="K1077" s="102" t="s">
        <v>591</v>
      </c>
      <c r="L1077" s="102" t="s">
        <v>3000</v>
      </c>
      <c r="M1077" s="102" t="s">
        <v>3001</v>
      </c>
      <c r="N1077" s="102" t="s">
        <v>3002</v>
      </c>
      <c r="O1077" s="102" t="s">
        <v>383</v>
      </c>
      <c r="P1077" s="103">
        <v>1</v>
      </c>
      <c r="Q1077" s="105">
        <v>2300000</v>
      </c>
      <c r="R1077" s="103">
        <v>48</v>
      </c>
      <c r="S1077" s="105">
        <v>0</v>
      </c>
      <c r="T1077" s="105">
        <v>2300000</v>
      </c>
      <c r="U1077" s="105">
        <v>0</v>
      </c>
      <c r="V1077" s="105">
        <v>0</v>
      </c>
      <c r="W1077" s="105">
        <v>0</v>
      </c>
      <c r="X1077" s="105">
        <v>0</v>
      </c>
      <c r="Y1077" s="105">
        <v>0</v>
      </c>
      <c r="Z1077" s="105">
        <v>0</v>
      </c>
      <c r="AA1077" s="105">
        <v>0</v>
      </c>
      <c r="AB1077" s="105">
        <v>0</v>
      </c>
      <c r="AC1077" s="8">
        <f t="shared" si="112"/>
        <v>2300000</v>
      </c>
      <c r="AD1077" s="8">
        <f t="shared" si="113"/>
        <v>0</v>
      </c>
      <c r="AE1077" s="8">
        <f t="shared" si="114"/>
        <v>0</v>
      </c>
      <c r="AF1077" s="106">
        <f t="shared" si="115"/>
        <v>0</v>
      </c>
      <c r="AG1077" s="8">
        <f t="shared" si="116"/>
        <v>0</v>
      </c>
      <c r="AH1077" s="8">
        <f>IF($O1077="Aktif",MAX(0,MIN($AE1077,$AD1077-SUM($AG1077:AG1077))),0)</f>
        <v>0</v>
      </c>
      <c r="AI1077" s="8">
        <f>IF($O1077="Aktif",MAX(0,MIN($AE1077,$AD1077-SUM($AG1077:AH1077))),0)</f>
        <v>0</v>
      </c>
      <c r="AJ1077" s="8">
        <f>IF($O1077="Aktif",MAX(0,MIN($AE1077,$AD1077-SUM($AG1077:AI1077))),0)</f>
        <v>0</v>
      </c>
      <c r="AK1077" s="8">
        <f>IF($O1077="Aktif",MAX(0,MIN($AE1077,$AD1077-SUM($AG1077:AJ1077))),0)</f>
        <v>0</v>
      </c>
      <c r="AL1077" s="8">
        <f>IF($O1077="Aktif",MAX(0,MIN($AE1077,$AD1077-SUM($AG1077:AK1077))),0)</f>
        <v>0</v>
      </c>
      <c r="AM1077" s="8">
        <f>IF($O1077="Aktif",MAX(0,MIN($AE1077,$AD1077-SUM($AG1077:AL1077))),0)</f>
        <v>0</v>
      </c>
      <c r="AN1077" s="8">
        <f>IF($O1077="Aktif",MAX(0,MIN($AE1077,$AD1077-SUM($AG1077:AM1077))),0)</f>
        <v>0</v>
      </c>
      <c r="AO1077" s="8">
        <f>IF($O1077="Aktif",MAX(0,MIN($AE1077,$AD1077-SUM($AG1077:AN1077))),0)</f>
        <v>0</v>
      </c>
      <c r="AP1077" s="8">
        <f>IF($O1077="Aktif",MAX(0,MIN($AE1077,$AD1077-SUM($AG1077:AO1077))),0)</f>
        <v>0</v>
      </c>
      <c r="AQ1077" s="8">
        <f>IF($O1077="Aktif",MAX(0,MIN($AE1077,$AD1077-SUM($AG1077:AP1077))),0)</f>
        <v>0</v>
      </c>
      <c r="AR1077" s="8">
        <f>IF($O1077="Aktif",MAX(0,MIN($AE1077,$AD1077-SUM($AG1077:AQ1077))),0)</f>
        <v>0</v>
      </c>
      <c r="AS1077" s="8">
        <f>IF($O1077="Aktif",MAX(0,MIN($AE1077,$AD1077-SUM($AG1077:AR1077))),0)</f>
        <v>0</v>
      </c>
      <c r="AT1077" s="8">
        <f>IF($O1077="Aktif",MAX(0,MIN($AE1077,$AD1077-SUM($AG1077:AS1077))),0)</f>
        <v>0</v>
      </c>
      <c r="AU1077" s="8">
        <f>IF($O1077="Aktif",MAX(0,MIN($AE1077,$AD1077-SUM($AG1077:AT1077))),0)</f>
        <v>0</v>
      </c>
      <c r="AV1077" s="8">
        <f>IF($O1077="Aktif",MAX(0,MIN($AE1077,$AD1077-SUM($AG1077:AU1077))),0)</f>
        <v>0</v>
      </c>
      <c r="AW1077" s="8">
        <f t="shared" si="117"/>
        <v>0</v>
      </c>
      <c r="AX1077" s="8">
        <f t="shared" si="118"/>
        <v>0</v>
      </c>
    </row>
    <row r="1078" spans="1:50" ht="15" customHeight="1" x14ac:dyDescent="0.35">
      <c r="A1078" s="102">
        <v>1072</v>
      </c>
      <c r="B1078" s="102" t="s">
        <v>2815</v>
      </c>
      <c r="C1078" s="103">
        <v>94</v>
      </c>
      <c r="D1078" s="102" t="s">
        <v>186</v>
      </c>
      <c r="E1078" s="102" t="s">
        <v>587</v>
      </c>
      <c r="F1078" s="102" t="s">
        <v>2816</v>
      </c>
      <c r="G1078" s="102" t="s">
        <v>2817</v>
      </c>
      <c r="H1078" s="102" t="s">
        <v>2818</v>
      </c>
      <c r="I1078" s="102" t="s">
        <v>63</v>
      </c>
      <c r="J1078" s="102" t="s">
        <v>3003</v>
      </c>
      <c r="K1078" s="102" t="s">
        <v>591</v>
      </c>
      <c r="L1078" s="102" t="s">
        <v>3004</v>
      </c>
      <c r="M1078" s="102" t="s">
        <v>3005</v>
      </c>
      <c r="N1078" s="102" t="s">
        <v>3006</v>
      </c>
      <c r="O1078" s="102" t="s">
        <v>383</v>
      </c>
      <c r="P1078" s="103">
        <v>1</v>
      </c>
      <c r="Q1078" s="105">
        <v>2800000</v>
      </c>
      <c r="R1078" s="103">
        <v>48</v>
      </c>
      <c r="S1078" s="105">
        <v>0</v>
      </c>
      <c r="T1078" s="105">
        <v>2800000</v>
      </c>
      <c r="U1078" s="105">
        <v>0</v>
      </c>
      <c r="V1078" s="105">
        <v>0</v>
      </c>
      <c r="W1078" s="105">
        <v>0</v>
      </c>
      <c r="X1078" s="105">
        <v>0</v>
      </c>
      <c r="Y1078" s="105">
        <v>0</v>
      </c>
      <c r="Z1078" s="105">
        <v>0</v>
      </c>
      <c r="AA1078" s="105">
        <v>0</v>
      </c>
      <c r="AB1078" s="105">
        <v>0</v>
      </c>
      <c r="AC1078" s="8">
        <f t="shared" si="112"/>
        <v>2800000</v>
      </c>
      <c r="AD1078" s="8">
        <f t="shared" si="113"/>
        <v>0</v>
      </c>
      <c r="AE1078" s="8">
        <f t="shared" si="114"/>
        <v>0</v>
      </c>
      <c r="AF1078" s="106">
        <f t="shared" si="115"/>
        <v>0</v>
      </c>
      <c r="AG1078" s="8">
        <f t="shared" si="116"/>
        <v>0</v>
      </c>
      <c r="AH1078" s="8">
        <f>IF($O1078="Aktif",MAX(0,MIN($AE1078,$AD1078-SUM($AG1078:AG1078))),0)</f>
        <v>0</v>
      </c>
      <c r="AI1078" s="8">
        <f>IF($O1078="Aktif",MAX(0,MIN($AE1078,$AD1078-SUM($AG1078:AH1078))),0)</f>
        <v>0</v>
      </c>
      <c r="AJ1078" s="8">
        <f>IF($O1078="Aktif",MAX(0,MIN($AE1078,$AD1078-SUM($AG1078:AI1078))),0)</f>
        <v>0</v>
      </c>
      <c r="AK1078" s="8">
        <f>IF($O1078="Aktif",MAX(0,MIN($AE1078,$AD1078-SUM($AG1078:AJ1078))),0)</f>
        <v>0</v>
      </c>
      <c r="AL1078" s="8">
        <f>IF($O1078="Aktif",MAX(0,MIN($AE1078,$AD1078-SUM($AG1078:AK1078))),0)</f>
        <v>0</v>
      </c>
      <c r="AM1078" s="8">
        <f>IF($O1078="Aktif",MAX(0,MIN($AE1078,$AD1078-SUM($AG1078:AL1078))),0)</f>
        <v>0</v>
      </c>
      <c r="AN1078" s="8">
        <f>IF($O1078="Aktif",MAX(0,MIN($AE1078,$AD1078-SUM($AG1078:AM1078))),0)</f>
        <v>0</v>
      </c>
      <c r="AO1078" s="8">
        <f>IF($O1078="Aktif",MAX(0,MIN($AE1078,$AD1078-SUM($AG1078:AN1078))),0)</f>
        <v>0</v>
      </c>
      <c r="AP1078" s="8">
        <f>IF($O1078="Aktif",MAX(0,MIN($AE1078,$AD1078-SUM($AG1078:AO1078))),0)</f>
        <v>0</v>
      </c>
      <c r="AQ1078" s="8">
        <f>IF($O1078="Aktif",MAX(0,MIN($AE1078,$AD1078-SUM($AG1078:AP1078))),0)</f>
        <v>0</v>
      </c>
      <c r="AR1078" s="8">
        <f>IF($O1078="Aktif",MAX(0,MIN($AE1078,$AD1078-SUM($AG1078:AQ1078))),0)</f>
        <v>0</v>
      </c>
      <c r="AS1078" s="8">
        <f>IF($O1078="Aktif",MAX(0,MIN($AE1078,$AD1078-SUM($AG1078:AR1078))),0)</f>
        <v>0</v>
      </c>
      <c r="AT1078" s="8">
        <f>IF($O1078="Aktif",MAX(0,MIN($AE1078,$AD1078-SUM($AG1078:AS1078))),0)</f>
        <v>0</v>
      </c>
      <c r="AU1078" s="8">
        <f>IF($O1078="Aktif",MAX(0,MIN($AE1078,$AD1078-SUM($AG1078:AT1078))),0)</f>
        <v>0</v>
      </c>
      <c r="AV1078" s="8">
        <f>IF($O1078="Aktif",MAX(0,MIN($AE1078,$AD1078-SUM($AG1078:AU1078))),0)</f>
        <v>0</v>
      </c>
      <c r="AW1078" s="8">
        <f t="shared" si="117"/>
        <v>0</v>
      </c>
      <c r="AX1078" s="8">
        <f t="shared" si="118"/>
        <v>0</v>
      </c>
    </row>
    <row r="1079" spans="1:50" ht="15" customHeight="1" x14ac:dyDescent="0.35">
      <c r="A1079" s="102">
        <v>1073</v>
      </c>
      <c r="B1079" s="102" t="s">
        <v>2815</v>
      </c>
      <c r="C1079" s="103">
        <v>95</v>
      </c>
      <c r="D1079" s="102" t="s">
        <v>186</v>
      </c>
      <c r="E1079" s="102" t="s">
        <v>587</v>
      </c>
      <c r="F1079" s="102" t="s">
        <v>2816</v>
      </c>
      <c r="G1079" s="102" t="s">
        <v>2817</v>
      </c>
      <c r="H1079" s="102" t="s">
        <v>2818</v>
      </c>
      <c r="I1079" s="102" t="s">
        <v>63</v>
      </c>
      <c r="J1079" s="102" t="s">
        <v>3007</v>
      </c>
      <c r="K1079" s="102" t="s">
        <v>591</v>
      </c>
      <c r="L1079" s="104">
        <v>40921</v>
      </c>
      <c r="M1079" s="102" t="s">
        <v>3008</v>
      </c>
      <c r="N1079" s="102" t="s">
        <v>3009</v>
      </c>
      <c r="O1079" s="102" t="s">
        <v>383</v>
      </c>
      <c r="P1079" s="103">
        <v>1</v>
      </c>
      <c r="Q1079" s="105">
        <v>35604800</v>
      </c>
      <c r="R1079" s="103">
        <v>48</v>
      </c>
      <c r="S1079" s="105">
        <v>0</v>
      </c>
      <c r="T1079" s="105">
        <v>35604800</v>
      </c>
      <c r="U1079" s="105">
        <v>0</v>
      </c>
      <c r="V1079" s="105">
        <v>0</v>
      </c>
      <c r="W1079" s="105">
        <v>0</v>
      </c>
      <c r="X1079" s="105">
        <v>0</v>
      </c>
      <c r="Y1079" s="105">
        <v>0</v>
      </c>
      <c r="Z1079" s="105">
        <v>0</v>
      </c>
      <c r="AA1079" s="105">
        <v>0</v>
      </c>
      <c r="AB1079" s="105">
        <v>0</v>
      </c>
      <c r="AC1079" s="8">
        <f t="shared" si="112"/>
        <v>35604800</v>
      </c>
      <c r="AD1079" s="8">
        <f t="shared" si="113"/>
        <v>0</v>
      </c>
      <c r="AE1079" s="8">
        <f t="shared" si="114"/>
        <v>0</v>
      </c>
      <c r="AF1079" s="106">
        <f t="shared" si="115"/>
        <v>0</v>
      </c>
      <c r="AG1079" s="8">
        <f t="shared" si="116"/>
        <v>0</v>
      </c>
      <c r="AH1079" s="8">
        <f>IF($O1079="Aktif",MAX(0,MIN($AE1079,$AD1079-SUM($AG1079:AG1079))),0)</f>
        <v>0</v>
      </c>
      <c r="AI1079" s="8">
        <f>IF($O1079="Aktif",MAX(0,MIN($AE1079,$AD1079-SUM($AG1079:AH1079))),0)</f>
        <v>0</v>
      </c>
      <c r="AJ1079" s="8">
        <f>IF($O1079="Aktif",MAX(0,MIN($AE1079,$AD1079-SUM($AG1079:AI1079))),0)</f>
        <v>0</v>
      </c>
      <c r="AK1079" s="8">
        <f>IF($O1079="Aktif",MAX(0,MIN($AE1079,$AD1079-SUM($AG1079:AJ1079))),0)</f>
        <v>0</v>
      </c>
      <c r="AL1079" s="8">
        <f>IF($O1079="Aktif",MAX(0,MIN($AE1079,$AD1079-SUM($AG1079:AK1079))),0)</f>
        <v>0</v>
      </c>
      <c r="AM1079" s="8">
        <f>IF($O1079="Aktif",MAX(0,MIN($AE1079,$AD1079-SUM($AG1079:AL1079))),0)</f>
        <v>0</v>
      </c>
      <c r="AN1079" s="8">
        <f>IF($O1079="Aktif",MAX(0,MIN($AE1079,$AD1079-SUM($AG1079:AM1079))),0)</f>
        <v>0</v>
      </c>
      <c r="AO1079" s="8">
        <f>IF($O1079="Aktif",MAX(0,MIN($AE1079,$AD1079-SUM($AG1079:AN1079))),0)</f>
        <v>0</v>
      </c>
      <c r="AP1079" s="8">
        <f>IF($O1079="Aktif",MAX(0,MIN($AE1079,$AD1079-SUM($AG1079:AO1079))),0)</f>
        <v>0</v>
      </c>
      <c r="AQ1079" s="8">
        <f>IF($O1079="Aktif",MAX(0,MIN($AE1079,$AD1079-SUM($AG1079:AP1079))),0)</f>
        <v>0</v>
      </c>
      <c r="AR1079" s="8">
        <f>IF($O1079="Aktif",MAX(0,MIN($AE1079,$AD1079-SUM($AG1079:AQ1079))),0)</f>
        <v>0</v>
      </c>
      <c r="AS1079" s="8">
        <f>IF($O1079="Aktif",MAX(0,MIN($AE1079,$AD1079-SUM($AG1079:AR1079))),0)</f>
        <v>0</v>
      </c>
      <c r="AT1079" s="8">
        <f>IF($O1079="Aktif",MAX(0,MIN($AE1079,$AD1079-SUM($AG1079:AS1079))),0)</f>
        <v>0</v>
      </c>
      <c r="AU1079" s="8">
        <f>IF($O1079="Aktif",MAX(0,MIN($AE1079,$AD1079-SUM($AG1079:AT1079))),0)</f>
        <v>0</v>
      </c>
      <c r="AV1079" s="8">
        <f>IF($O1079="Aktif",MAX(0,MIN($AE1079,$AD1079-SUM($AG1079:AU1079))),0)</f>
        <v>0</v>
      </c>
      <c r="AW1079" s="8">
        <f t="shared" si="117"/>
        <v>0</v>
      </c>
      <c r="AX1079" s="8">
        <f t="shared" si="118"/>
        <v>0</v>
      </c>
    </row>
    <row r="1080" spans="1:50" ht="15" customHeight="1" x14ac:dyDescent="0.35">
      <c r="A1080" s="102">
        <v>1074</v>
      </c>
      <c r="B1080" s="102" t="s">
        <v>2815</v>
      </c>
      <c r="C1080" s="103">
        <v>96</v>
      </c>
      <c r="D1080" s="102" t="s">
        <v>186</v>
      </c>
      <c r="E1080" s="102" t="s">
        <v>587</v>
      </c>
      <c r="F1080" s="102" t="s">
        <v>2816</v>
      </c>
      <c r="G1080" s="102" t="s">
        <v>2817</v>
      </c>
      <c r="H1080" s="102" t="s">
        <v>2818</v>
      </c>
      <c r="I1080" s="102" t="s">
        <v>63</v>
      </c>
      <c r="J1080" s="102" t="s">
        <v>3010</v>
      </c>
      <c r="K1080" s="102" t="s">
        <v>591</v>
      </c>
      <c r="L1080" s="104">
        <v>40921</v>
      </c>
      <c r="M1080" s="102" t="s">
        <v>3011</v>
      </c>
      <c r="N1080" s="102" t="s">
        <v>3012</v>
      </c>
      <c r="O1080" s="102" t="s">
        <v>383</v>
      </c>
      <c r="P1080" s="103">
        <v>1</v>
      </c>
      <c r="Q1080" s="105">
        <v>2448000</v>
      </c>
      <c r="R1080" s="103">
        <v>48</v>
      </c>
      <c r="S1080" s="105">
        <v>0</v>
      </c>
      <c r="T1080" s="105">
        <v>2448000</v>
      </c>
      <c r="U1080" s="105">
        <v>0</v>
      </c>
      <c r="V1080" s="105">
        <v>0</v>
      </c>
      <c r="W1080" s="105">
        <v>0</v>
      </c>
      <c r="X1080" s="105">
        <v>0</v>
      </c>
      <c r="Y1080" s="105">
        <v>0</v>
      </c>
      <c r="Z1080" s="105">
        <v>0</v>
      </c>
      <c r="AA1080" s="105">
        <v>0</v>
      </c>
      <c r="AB1080" s="105">
        <v>0</v>
      </c>
      <c r="AC1080" s="8">
        <f t="shared" si="112"/>
        <v>2448000</v>
      </c>
      <c r="AD1080" s="8">
        <f t="shared" si="113"/>
        <v>0</v>
      </c>
      <c r="AE1080" s="8">
        <f t="shared" si="114"/>
        <v>0</v>
      </c>
      <c r="AF1080" s="106">
        <f t="shared" si="115"/>
        <v>0</v>
      </c>
      <c r="AG1080" s="8">
        <f t="shared" si="116"/>
        <v>0</v>
      </c>
      <c r="AH1080" s="8">
        <f>IF($O1080="Aktif",MAX(0,MIN($AE1080,$AD1080-SUM($AG1080:AG1080))),0)</f>
        <v>0</v>
      </c>
      <c r="AI1080" s="8">
        <f>IF($O1080="Aktif",MAX(0,MIN($AE1080,$AD1080-SUM($AG1080:AH1080))),0)</f>
        <v>0</v>
      </c>
      <c r="AJ1080" s="8">
        <f>IF($O1080="Aktif",MAX(0,MIN($AE1080,$AD1080-SUM($AG1080:AI1080))),0)</f>
        <v>0</v>
      </c>
      <c r="AK1080" s="8">
        <f>IF($O1080="Aktif",MAX(0,MIN($AE1080,$AD1080-SUM($AG1080:AJ1080))),0)</f>
        <v>0</v>
      </c>
      <c r="AL1080" s="8">
        <f>IF($O1080="Aktif",MAX(0,MIN($AE1080,$AD1080-SUM($AG1080:AK1080))),0)</f>
        <v>0</v>
      </c>
      <c r="AM1080" s="8">
        <f>IF($O1080="Aktif",MAX(0,MIN($AE1080,$AD1080-SUM($AG1080:AL1080))),0)</f>
        <v>0</v>
      </c>
      <c r="AN1080" s="8">
        <f>IF($O1080="Aktif",MAX(0,MIN($AE1080,$AD1080-SUM($AG1080:AM1080))),0)</f>
        <v>0</v>
      </c>
      <c r="AO1080" s="8">
        <f>IF($O1080="Aktif",MAX(0,MIN($AE1080,$AD1080-SUM($AG1080:AN1080))),0)</f>
        <v>0</v>
      </c>
      <c r="AP1080" s="8">
        <f>IF($O1080="Aktif",MAX(0,MIN($AE1080,$AD1080-SUM($AG1080:AO1080))),0)</f>
        <v>0</v>
      </c>
      <c r="AQ1080" s="8">
        <f>IF($O1080="Aktif",MAX(0,MIN($AE1080,$AD1080-SUM($AG1080:AP1080))),0)</f>
        <v>0</v>
      </c>
      <c r="AR1080" s="8">
        <f>IF($O1080="Aktif",MAX(0,MIN($AE1080,$AD1080-SUM($AG1080:AQ1080))),0)</f>
        <v>0</v>
      </c>
      <c r="AS1080" s="8">
        <f>IF($O1080="Aktif",MAX(0,MIN($AE1080,$AD1080-SUM($AG1080:AR1080))),0)</f>
        <v>0</v>
      </c>
      <c r="AT1080" s="8">
        <f>IF($O1080="Aktif",MAX(0,MIN($AE1080,$AD1080-SUM($AG1080:AS1080))),0)</f>
        <v>0</v>
      </c>
      <c r="AU1080" s="8">
        <f>IF($O1080="Aktif",MAX(0,MIN($AE1080,$AD1080-SUM($AG1080:AT1080))),0)</f>
        <v>0</v>
      </c>
      <c r="AV1080" s="8">
        <f>IF($O1080="Aktif",MAX(0,MIN($AE1080,$AD1080-SUM($AG1080:AU1080))),0)</f>
        <v>0</v>
      </c>
      <c r="AW1080" s="8">
        <f t="shared" si="117"/>
        <v>0</v>
      </c>
      <c r="AX1080" s="8">
        <f t="shared" si="118"/>
        <v>0</v>
      </c>
    </row>
    <row r="1081" spans="1:50" ht="15" customHeight="1" x14ac:dyDescent="0.35">
      <c r="A1081" s="102">
        <v>1075</v>
      </c>
      <c r="B1081" s="102" t="s">
        <v>2815</v>
      </c>
      <c r="C1081" s="103">
        <v>97</v>
      </c>
      <c r="D1081" s="102" t="s">
        <v>186</v>
      </c>
      <c r="E1081" s="102" t="s">
        <v>587</v>
      </c>
      <c r="F1081" s="102" t="s">
        <v>2816</v>
      </c>
      <c r="G1081" s="102" t="s">
        <v>2817</v>
      </c>
      <c r="H1081" s="102" t="s">
        <v>2818</v>
      </c>
      <c r="I1081" s="102" t="s">
        <v>63</v>
      </c>
      <c r="J1081" s="102" t="s">
        <v>3013</v>
      </c>
      <c r="K1081" s="102" t="s">
        <v>591</v>
      </c>
      <c r="L1081" s="104">
        <v>41059</v>
      </c>
      <c r="M1081" s="102" t="s">
        <v>3014</v>
      </c>
      <c r="N1081" s="102" t="s">
        <v>3015</v>
      </c>
      <c r="O1081" s="102" t="s">
        <v>383</v>
      </c>
      <c r="P1081" s="103">
        <v>1</v>
      </c>
      <c r="Q1081" s="105">
        <v>3455000</v>
      </c>
      <c r="R1081" s="103">
        <v>48</v>
      </c>
      <c r="S1081" s="105">
        <v>0</v>
      </c>
      <c r="T1081" s="105">
        <v>3455000</v>
      </c>
      <c r="U1081" s="105">
        <v>0</v>
      </c>
      <c r="V1081" s="105">
        <v>0</v>
      </c>
      <c r="W1081" s="105">
        <v>0</v>
      </c>
      <c r="X1081" s="105">
        <v>0</v>
      </c>
      <c r="Y1081" s="105">
        <v>0</v>
      </c>
      <c r="Z1081" s="105">
        <v>0</v>
      </c>
      <c r="AA1081" s="105">
        <v>0</v>
      </c>
      <c r="AB1081" s="105">
        <v>0</v>
      </c>
      <c r="AC1081" s="8">
        <f t="shared" si="112"/>
        <v>3455000</v>
      </c>
      <c r="AD1081" s="8">
        <f t="shared" si="113"/>
        <v>0</v>
      </c>
      <c r="AE1081" s="8">
        <f t="shared" si="114"/>
        <v>0</v>
      </c>
      <c r="AF1081" s="106">
        <f t="shared" si="115"/>
        <v>0</v>
      </c>
      <c r="AG1081" s="8">
        <f t="shared" si="116"/>
        <v>0</v>
      </c>
      <c r="AH1081" s="8">
        <f>IF($O1081="Aktif",MAX(0,MIN($AE1081,$AD1081-SUM($AG1081:AG1081))),0)</f>
        <v>0</v>
      </c>
      <c r="AI1081" s="8">
        <f>IF($O1081="Aktif",MAX(0,MIN($AE1081,$AD1081-SUM($AG1081:AH1081))),0)</f>
        <v>0</v>
      </c>
      <c r="AJ1081" s="8">
        <f>IF($O1081="Aktif",MAX(0,MIN($AE1081,$AD1081-SUM($AG1081:AI1081))),0)</f>
        <v>0</v>
      </c>
      <c r="AK1081" s="8">
        <f>IF($O1081="Aktif",MAX(0,MIN($AE1081,$AD1081-SUM($AG1081:AJ1081))),0)</f>
        <v>0</v>
      </c>
      <c r="AL1081" s="8">
        <f>IF($O1081="Aktif",MAX(0,MIN($AE1081,$AD1081-SUM($AG1081:AK1081))),0)</f>
        <v>0</v>
      </c>
      <c r="AM1081" s="8">
        <f>IF($O1081="Aktif",MAX(0,MIN($AE1081,$AD1081-SUM($AG1081:AL1081))),0)</f>
        <v>0</v>
      </c>
      <c r="AN1081" s="8">
        <f>IF($O1081="Aktif",MAX(0,MIN($AE1081,$AD1081-SUM($AG1081:AM1081))),0)</f>
        <v>0</v>
      </c>
      <c r="AO1081" s="8">
        <f>IF($O1081="Aktif",MAX(0,MIN($AE1081,$AD1081-SUM($AG1081:AN1081))),0)</f>
        <v>0</v>
      </c>
      <c r="AP1081" s="8">
        <f>IF($O1081="Aktif",MAX(0,MIN($AE1081,$AD1081-SUM($AG1081:AO1081))),0)</f>
        <v>0</v>
      </c>
      <c r="AQ1081" s="8">
        <f>IF($O1081="Aktif",MAX(0,MIN($AE1081,$AD1081-SUM($AG1081:AP1081))),0)</f>
        <v>0</v>
      </c>
      <c r="AR1081" s="8">
        <f>IF($O1081="Aktif",MAX(0,MIN($AE1081,$AD1081-SUM($AG1081:AQ1081))),0)</f>
        <v>0</v>
      </c>
      <c r="AS1081" s="8">
        <f>IF($O1081="Aktif",MAX(0,MIN($AE1081,$AD1081-SUM($AG1081:AR1081))),0)</f>
        <v>0</v>
      </c>
      <c r="AT1081" s="8">
        <f>IF($O1081="Aktif",MAX(0,MIN($AE1081,$AD1081-SUM($AG1081:AS1081))),0)</f>
        <v>0</v>
      </c>
      <c r="AU1081" s="8">
        <f>IF($O1081="Aktif",MAX(0,MIN($AE1081,$AD1081-SUM($AG1081:AT1081))),0)</f>
        <v>0</v>
      </c>
      <c r="AV1081" s="8">
        <f>IF($O1081="Aktif",MAX(0,MIN($AE1081,$AD1081-SUM($AG1081:AU1081))),0)</f>
        <v>0</v>
      </c>
      <c r="AW1081" s="8">
        <f t="shared" si="117"/>
        <v>0</v>
      </c>
      <c r="AX1081" s="8">
        <f t="shared" si="118"/>
        <v>0</v>
      </c>
    </row>
    <row r="1082" spans="1:50" ht="15" customHeight="1" x14ac:dyDescent="0.35">
      <c r="A1082" s="102">
        <v>1076</v>
      </c>
      <c r="B1082" s="102" t="s">
        <v>2815</v>
      </c>
      <c r="C1082" s="103">
        <v>98</v>
      </c>
      <c r="D1082" s="102" t="s">
        <v>186</v>
      </c>
      <c r="E1082" s="102" t="s">
        <v>587</v>
      </c>
      <c r="F1082" s="102" t="s">
        <v>2816</v>
      </c>
      <c r="G1082" s="102" t="s">
        <v>2817</v>
      </c>
      <c r="H1082" s="102" t="s">
        <v>2818</v>
      </c>
      <c r="I1082" s="102" t="s">
        <v>63</v>
      </c>
      <c r="J1082" s="102" t="s">
        <v>3016</v>
      </c>
      <c r="K1082" s="102" t="s">
        <v>591</v>
      </c>
      <c r="L1082" s="104">
        <v>41033</v>
      </c>
      <c r="M1082" s="102" t="s">
        <v>3017</v>
      </c>
      <c r="N1082" s="102" t="s">
        <v>3018</v>
      </c>
      <c r="O1082" s="102" t="s">
        <v>383</v>
      </c>
      <c r="P1082" s="103">
        <v>1</v>
      </c>
      <c r="Q1082" s="105">
        <v>45000000</v>
      </c>
      <c r="R1082" s="103">
        <v>48</v>
      </c>
      <c r="S1082" s="105">
        <v>0</v>
      </c>
      <c r="T1082" s="105">
        <v>45000000</v>
      </c>
      <c r="U1082" s="105">
        <v>0</v>
      </c>
      <c r="V1082" s="105">
        <v>0</v>
      </c>
      <c r="W1082" s="105">
        <v>0</v>
      </c>
      <c r="X1082" s="105">
        <v>0</v>
      </c>
      <c r="Y1082" s="105">
        <v>0</v>
      </c>
      <c r="Z1082" s="105">
        <v>0</v>
      </c>
      <c r="AA1082" s="105">
        <v>0</v>
      </c>
      <c r="AB1082" s="105">
        <v>0</v>
      </c>
      <c r="AC1082" s="8">
        <f t="shared" si="112"/>
        <v>45000000</v>
      </c>
      <c r="AD1082" s="8">
        <f t="shared" si="113"/>
        <v>0</v>
      </c>
      <c r="AE1082" s="8">
        <f t="shared" si="114"/>
        <v>0</v>
      </c>
      <c r="AF1082" s="106">
        <f t="shared" si="115"/>
        <v>0</v>
      </c>
      <c r="AG1082" s="8">
        <f t="shared" si="116"/>
        <v>0</v>
      </c>
      <c r="AH1082" s="8">
        <f>IF($O1082="Aktif",MAX(0,MIN($AE1082,$AD1082-SUM($AG1082:AG1082))),0)</f>
        <v>0</v>
      </c>
      <c r="AI1082" s="8">
        <f>IF($O1082="Aktif",MAX(0,MIN($AE1082,$AD1082-SUM($AG1082:AH1082))),0)</f>
        <v>0</v>
      </c>
      <c r="AJ1082" s="8">
        <f>IF($O1082="Aktif",MAX(0,MIN($AE1082,$AD1082-SUM($AG1082:AI1082))),0)</f>
        <v>0</v>
      </c>
      <c r="AK1082" s="8">
        <f>IF($O1082="Aktif",MAX(0,MIN($AE1082,$AD1082-SUM($AG1082:AJ1082))),0)</f>
        <v>0</v>
      </c>
      <c r="AL1082" s="8">
        <f>IF($O1082="Aktif",MAX(0,MIN($AE1082,$AD1082-SUM($AG1082:AK1082))),0)</f>
        <v>0</v>
      </c>
      <c r="AM1082" s="8">
        <f>IF($O1082="Aktif",MAX(0,MIN($AE1082,$AD1082-SUM($AG1082:AL1082))),0)</f>
        <v>0</v>
      </c>
      <c r="AN1082" s="8">
        <f>IF($O1082="Aktif",MAX(0,MIN($AE1082,$AD1082-SUM($AG1082:AM1082))),0)</f>
        <v>0</v>
      </c>
      <c r="AO1082" s="8">
        <f>IF($O1082="Aktif",MAX(0,MIN($AE1082,$AD1082-SUM($AG1082:AN1082))),0)</f>
        <v>0</v>
      </c>
      <c r="AP1082" s="8">
        <f>IF($O1082="Aktif",MAX(0,MIN($AE1082,$AD1082-SUM($AG1082:AO1082))),0)</f>
        <v>0</v>
      </c>
      <c r="AQ1082" s="8">
        <f>IF($O1082="Aktif",MAX(0,MIN($AE1082,$AD1082-SUM($AG1082:AP1082))),0)</f>
        <v>0</v>
      </c>
      <c r="AR1082" s="8">
        <f>IF($O1082="Aktif",MAX(0,MIN($AE1082,$AD1082-SUM($AG1082:AQ1082))),0)</f>
        <v>0</v>
      </c>
      <c r="AS1082" s="8">
        <f>IF($O1082="Aktif",MAX(0,MIN($AE1082,$AD1082-SUM($AG1082:AR1082))),0)</f>
        <v>0</v>
      </c>
      <c r="AT1082" s="8">
        <f>IF($O1082="Aktif",MAX(0,MIN($AE1082,$AD1082-SUM($AG1082:AS1082))),0)</f>
        <v>0</v>
      </c>
      <c r="AU1082" s="8">
        <f>IF($O1082="Aktif",MAX(0,MIN($AE1082,$AD1082-SUM($AG1082:AT1082))),0)</f>
        <v>0</v>
      </c>
      <c r="AV1082" s="8">
        <f>IF($O1082="Aktif",MAX(0,MIN($AE1082,$AD1082-SUM($AG1082:AU1082))),0)</f>
        <v>0</v>
      </c>
      <c r="AW1082" s="8">
        <f t="shared" si="117"/>
        <v>0</v>
      </c>
      <c r="AX1082" s="8">
        <f t="shared" si="118"/>
        <v>0</v>
      </c>
    </row>
    <row r="1083" spans="1:50" ht="15" customHeight="1" x14ac:dyDescent="0.35">
      <c r="A1083" s="102">
        <v>1077</v>
      </c>
      <c r="B1083" s="102" t="s">
        <v>2815</v>
      </c>
      <c r="C1083" s="103">
        <v>99</v>
      </c>
      <c r="D1083" s="102" t="s">
        <v>186</v>
      </c>
      <c r="E1083" s="102" t="s">
        <v>587</v>
      </c>
      <c r="F1083" s="102" t="s">
        <v>2816</v>
      </c>
      <c r="G1083" s="102" t="s">
        <v>2817</v>
      </c>
      <c r="H1083" s="102" t="s">
        <v>2818</v>
      </c>
      <c r="I1083" s="102" t="s">
        <v>63</v>
      </c>
      <c r="J1083" s="102" t="s">
        <v>3019</v>
      </c>
      <c r="K1083" s="102" t="s">
        <v>591</v>
      </c>
      <c r="L1083" s="104">
        <v>41122</v>
      </c>
      <c r="M1083" s="102" t="s">
        <v>3020</v>
      </c>
      <c r="N1083" s="102" t="s">
        <v>3021</v>
      </c>
      <c r="O1083" s="102" t="s">
        <v>383</v>
      </c>
      <c r="P1083" s="103">
        <v>1</v>
      </c>
      <c r="Q1083" s="105">
        <v>49000000</v>
      </c>
      <c r="R1083" s="103">
        <v>48</v>
      </c>
      <c r="S1083" s="105">
        <v>0</v>
      </c>
      <c r="T1083" s="105">
        <v>49000000</v>
      </c>
      <c r="U1083" s="105">
        <v>0</v>
      </c>
      <c r="V1083" s="105">
        <v>0</v>
      </c>
      <c r="W1083" s="105">
        <v>0</v>
      </c>
      <c r="X1083" s="105">
        <v>0</v>
      </c>
      <c r="Y1083" s="105">
        <v>0</v>
      </c>
      <c r="Z1083" s="105">
        <v>0</v>
      </c>
      <c r="AA1083" s="105">
        <v>0</v>
      </c>
      <c r="AB1083" s="105">
        <v>0</v>
      </c>
      <c r="AC1083" s="8">
        <f t="shared" si="112"/>
        <v>49000000</v>
      </c>
      <c r="AD1083" s="8">
        <f t="shared" si="113"/>
        <v>0</v>
      </c>
      <c r="AE1083" s="8">
        <f t="shared" si="114"/>
        <v>0</v>
      </c>
      <c r="AF1083" s="106">
        <f t="shared" si="115"/>
        <v>0</v>
      </c>
      <c r="AG1083" s="8">
        <f t="shared" si="116"/>
        <v>0</v>
      </c>
      <c r="AH1083" s="8">
        <f>IF($O1083="Aktif",MAX(0,MIN($AE1083,$AD1083-SUM($AG1083:AG1083))),0)</f>
        <v>0</v>
      </c>
      <c r="AI1083" s="8">
        <f>IF($O1083="Aktif",MAX(0,MIN($AE1083,$AD1083-SUM($AG1083:AH1083))),0)</f>
        <v>0</v>
      </c>
      <c r="AJ1083" s="8">
        <f>IF($O1083="Aktif",MAX(0,MIN($AE1083,$AD1083-SUM($AG1083:AI1083))),0)</f>
        <v>0</v>
      </c>
      <c r="AK1083" s="8">
        <f>IF($O1083="Aktif",MAX(0,MIN($AE1083,$AD1083-SUM($AG1083:AJ1083))),0)</f>
        <v>0</v>
      </c>
      <c r="AL1083" s="8">
        <f>IF($O1083="Aktif",MAX(0,MIN($AE1083,$AD1083-SUM($AG1083:AK1083))),0)</f>
        <v>0</v>
      </c>
      <c r="AM1083" s="8">
        <f>IF($O1083="Aktif",MAX(0,MIN($AE1083,$AD1083-SUM($AG1083:AL1083))),0)</f>
        <v>0</v>
      </c>
      <c r="AN1083" s="8">
        <f>IF($O1083="Aktif",MAX(0,MIN($AE1083,$AD1083-SUM($AG1083:AM1083))),0)</f>
        <v>0</v>
      </c>
      <c r="AO1083" s="8">
        <f>IF($O1083="Aktif",MAX(0,MIN($AE1083,$AD1083-SUM($AG1083:AN1083))),0)</f>
        <v>0</v>
      </c>
      <c r="AP1083" s="8">
        <f>IF($O1083="Aktif",MAX(0,MIN($AE1083,$AD1083-SUM($AG1083:AO1083))),0)</f>
        <v>0</v>
      </c>
      <c r="AQ1083" s="8">
        <f>IF($O1083="Aktif",MAX(0,MIN($AE1083,$AD1083-SUM($AG1083:AP1083))),0)</f>
        <v>0</v>
      </c>
      <c r="AR1083" s="8">
        <f>IF($O1083="Aktif",MAX(0,MIN($AE1083,$AD1083-SUM($AG1083:AQ1083))),0)</f>
        <v>0</v>
      </c>
      <c r="AS1083" s="8">
        <f>IF($O1083="Aktif",MAX(0,MIN($AE1083,$AD1083-SUM($AG1083:AR1083))),0)</f>
        <v>0</v>
      </c>
      <c r="AT1083" s="8">
        <f>IF($O1083="Aktif",MAX(0,MIN($AE1083,$AD1083-SUM($AG1083:AS1083))),0)</f>
        <v>0</v>
      </c>
      <c r="AU1083" s="8">
        <f>IF($O1083="Aktif",MAX(0,MIN($AE1083,$AD1083-SUM($AG1083:AT1083))),0)</f>
        <v>0</v>
      </c>
      <c r="AV1083" s="8">
        <f>IF($O1083="Aktif",MAX(0,MIN($AE1083,$AD1083-SUM($AG1083:AU1083))),0)</f>
        <v>0</v>
      </c>
      <c r="AW1083" s="8">
        <f t="shared" si="117"/>
        <v>0</v>
      </c>
      <c r="AX1083" s="8">
        <f t="shared" si="118"/>
        <v>0</v>
      </c>
    </row>
    <row r="1084" spans="1:50" ht="15" customHeight="1" x14ac:dyDescent="0.35">
      <c r="A1084" s="102">
        <v>1078</v>
      </c>
      <c r="B1084" s="102" t="s">
        <v>2815</v>
      </c>
      <c r="C1084" s="103">
        <v>100</v>
      </c>
      <c r="D1084" s="102" t="s">
        <v>186</v>
      </c>
      <c r="E1084" s="102" t="s">
        <v>587</v>
      </c>
      <c r="F1084" s="102" t="s">
        <v>2816</v>
      </c>
      <c r="G1084" s="102" t="s">
        <v>2817</v>
      </c>
      <c r="H1084" s="102" t="s">
        <v>2818</v>
      </c>
      <c r="I1084" s="102" t="s">
        <v>63</v>
      </c>
      <c r="J1084" s="102" t="s">
        <v>3022</v>
      </c>
      <c r="K1084" s="102" t="s">
        <v>591</v>
      </c>
      <c r="L1084" s="104">
        <v>41152</v>
      </c>
      <c r="M1084" s="102" t="s">
        <v>3023</v>
      </c>
      <c r="N1084" s="102" t="s">
        <v>3024</v>
      </c>
      <c r="O1084" s="102" t="s">
        <v>383</v>
      </c>
      <c r="P1084" s="103">
        <v>1</v>
      </c>
      <c r="Q1084" s="105">
        <v>2325000</v>
      </c>
      <c r="R1084" s="103">
        <v>48</v>
      </c>
      <c r="S1084" s="105">
        <v>0</v>
      </c>
      <c r="T1084" s="105">
        <v>2325000</v>
      </c>
      <c r="U1084" s="105">
        <v>0</v>
      </c>
      <c r="V1084" s="105">
        <v>0</v>
      </c>
      <c r="W1084" s="105">
        <v>0</v>
      </c>
      <c r="X1084" s="105">
        <v>0</v>
      </c>
      <c r="Y1084" s="105">
        <v>0</v>
      </c>
      <c r="Z1084" s="105">
        <v>0</v>
      </c>
      <c r="AA1084" s="105">
        <v>0</v>
      </c>
      <c r="AB1084" s="105">
        <v>0</v>
      </c>
      <c r="AC1084" s="8">
        <f t="shared" si="112"/>
        <v>2325000</v>
      </c>
      <c r="AD1084" s="8">
        <f t="shared" si="113"/>
        <v>0</v>
      </c>
      <c r="AE1084" s="8">
        <f t="shared" si="114"/>
        <v>0</v>
      </c>
      <c r="AF1084" s="106">
        <f t="shared" si="115"/>
        <v>0</v>
      </c>
      <c r="AG1084" s="8">
        <f t="shared" si="116"/>
        <v>0</v>
      </c>
      <c r="AH1084" s="8">
        <f>IF($O1084="Aktif",MAX(0,MIN($AE1084,$AD1084-SUM($AG1084:AG1084))),0)</f>
        <v>0</v>
      </c>
      <c r="AI1084" s="8">
        <f>IF($O1084="Aktif",MAX(0,MIN($AE1084,$AD1084-SUM($AG1084:AH1084))),0)</f>
        <v>0</v>
      </c>
      <c r="AJ1084" s="8">
        <f>IF($O1084="Aktif",MAX(0,MIN($AE1084,$AD1084-SUM($AG1084:AI1084))),0)</f>
        <v>0</v>
      </c>
      <c r="AK1084" s="8">
        <f>IF($O1084="Aktif",MAX(0,MIN($AE1084,$AD1084-SUM($AG1084:AJ1084))),0)</f>
        <v>0</v>
      </c>
      <c r="AL1084" s="8">
        <f>IF($O1084="Aktif",MAX(0,MIN($AE1084,$AD1084-SUM($AG1084:AK1084))),0)</f>
        <v>0</v>
      </c>
      <c r="AM1084" s="8">
        <f>IF($O1084="Aktif",MAX(0,MIN($AE1084,$AD1084-SUM($AG1084:AL1084))),0)</f>
        <v>0</v>
      </c>
      <c r="AN1084" s="8">
        <f>IF($O1084="Aktif",MAX(0,MIN($AE1084,$AD1084-SUM($AG1084:AM1084))),0)</f>
        <v>0</v>
      </c>
      <c r="AO1084" s="8">
        <f>IF($O1084="Aktif",MAX(0,MIN($AE1084,$AD1084-SUM($AG1084:AN1084))),0)</f>
        <v>0</v>
      </c>
      <c r="AP1084" s="8">
        <f>IF($O1084="Aktif",MAX(0,MIN($AE1084,$AD1084-SUM($AG1084:AO1084))),0)</f>
        <v>0</v>
      </c>
      <c r="AQ1084" s="8">
        <f>IF($O1084="Aktif",MAX(0,MIN($AE1084,$AD1084-SUM($AG1084:AP1084))),0)</f>
        <v>0</v>
      </c>
      <c r="AR1084" s="8">
        <f>IF($O1084="Aktif",MAX(0,MIN($AE1084,$AD1084-SUM($AG1084:AQ1084))),0)</f>
        <v>0</v>
      </c>
      <c r="AS1084" s="8">
        <f>IF($O1084="Aktif",MAX(0,MIN($AE1084,$AD1084-SUM($AG1084:AR1084))),0)</f>
        <v>0</v>
      </c>
      <c r="AT1084" s="8">
        <f>IF($O1084="Aktif",MAX(0,MIN($AE1084,$AD1084-SUM($AG1084:AS1084))),0)</f>
        <v>0</v>
      </c>
      <c r="AU1084" s="8">
        <f>IF($O1084="Aktif",MAX(0,MIN($AE1084,$AD1084-SUM($AG1084:AT1084))),0)</f>
        <v>0</v>
      </c>
      <c r="AV1084" s="8">
        <f>IF($O1084="Aktif",MAX(0,MIN($AE1084,$AD1084-SUM($AG1084:AU1084))),0)</f>
        <v>0</v>
      </c>
      <c r="AW1084" s="8">
        <f t="shared" si="117"/>
        <v>0</v>
      </c>
      <c r="AX1084" s="8">
        <f t="shared" si="118"/>
        <v>0</v>
      </c>
    </row>
    <row r="1085" spans="1:50" ht="15" customHeight="1" x14ac:dyDescent="0.35">
      <c r="A1085" s="102">
        <v>1079</v>
      </c>
      <c r="B1085" s="102" t="s">
        <v>2815</v>
      </c>
      <c r="C1085" s="103">
        <v>101</v>
      </c>
      <c r="D1085" s="102" t="s">
        <v>186</v>
      </c>
      <c r="E1085" s="102" t="s">
        <v>587</v>
      </c>
      <c r="F1085" s="102" t="s">
        <v>2816</v>
      </c>
      <c r="G1085" s="102" t="s">
        <v>2817</v>
      </c>
      <c r="H1085" s="102" t="s">
        <v>2818</v>
      </c>
      <c r="I1085" s="102" t="s">
        <v>63</v>
      </c>
      <c r="J1085" s="102" t="s">
        <v>3025</v>
      </c>
      <c r="K1085" s="102" t="s">
        <v>591</v>
      </c>
      <c r="L1085" s="104">
        <v>41159</v>
      </c>
      <c r="M1085" s="102" t="s">
        <v>3026</v>
      </c>
      <c r="N1085" s="102" t="s">
        <v>3027</v>
      </c>
      <c r="O1085" s="102" t="s">
        <v>383</v>
      </c>
      <c r="P1085" s="103">
        <v>1</v>
      </c>
      <c r="Q1085" s="105">
        <v>3500000</v>
      </c>
      <c r="R1085" s="103">
        <v>48</v>
      </c>
      <c r="S1085" s="105">
        <v>0</v>
      </c>
      <c r="T1085" s="105">
        <v>3500000</v>
      </c>
      <c r="U1085" s="105">
        <v>0</v>
      </c>
      <c r="V1085" s="105">
        <v>0</v>
      </c>
      <c r="W1085" s="105">
        <v>0</v>
      </c>
      <c r="X1085" s="105">
        <v>0</v>
      </c>
      <c r="Y1085" s="105">
        <v>0</v>
      </c>
      <c r="Z1085" s="105">
        <v>0</v>
      </c>
      <c r="AA1085" s="105">
        <v>0</v>
      </c>
      <c r="AB1085" s="105">
        <v>0</v>
      </c>
      <c r="AC1085" s="8">
        <f t="shared" si="112"/>
        <v>3500000</v>
      </c>
      <c r="AD1085" s="8">
        <f t="shared" si="113"/>
        <v>0</v>
      </c>
      <c r="AE1085" s="8">
        <f t="shared" si="114"/>
        <v>0</v>
      </c>
      <c r="AF1085" s="106">
        <f t="shared" si="115"/>
        <v>0</v>
      </c>
      <c r="AG1085" s="8">
        <f t="shared" si="116"/>
        <v>0</v>
      </c>
      <c r="AH1085" s="8">
        <f>IF($O1085="Aktif",MAX(0,MIN($AE1085,$AD1085-SUM($AG1085:AG1085))),0)</f>
        <v>0</v>
      </c>
      <c r="AI1085" s="8">
        <f>IF($O1085="Aktif",MAX(0,MIN($AE1085,$AD1085-SUM($AG1085:AH1085))),0)</f>
        <v>0</v>
      </c>
      <c r="AJ1085" s="8">
        <f>IF($O1085="Aktif",MAX(0,MIN($AE1085,$AD1085-SUM($AG1085:AI1085))),0)</f>
        <v>0</v>
      </c>
      <c r="AK1085" s="8">
        <f>IF($O1085="Aktif",MAX(0,MIN($AE1085,$AD1085-SUM($AG1085:AJ1085))),0)</f>
        <v>0</v>
      </c>
      <c r="AL1085" s="8">
        <f>IF($O1085="Aktif",MAX(0,MIN($AE1085,$AD1085-SUM($AG1085:AK1085))),0)</f>
        <v>0</v>
      </c>
      <c r="AM1085" s="8">
        <f>IF($O1085="Aktif",MAX(0,MIN($AE1085,$AD1085-SUM($AG1085:AL1085))),0)</f>
        <v>0</v>
      </c>
      <c r="AN1085" s="8">
        <f>IF($O1085="Aktif",MAX(0,MIN($AE1085,$AD1085-SUM($AG1085:AM1085))),0)</f>
        <v>0</v>
      </c>
      <c r="AO1085" s="8">
        <f>IF($O1085="Aktif",MAX(0,MIN($AE1085,$AD1085-SUM($AG1085:AN1085))),0)</f>
        <v>0</v>
      </c>
      <c r="AP1085" s="8">
        <f>IF($O1085="Aktif",MAX(0,MIN($AE1085,$AD1085-SUM($AG1085:AO1085))),0)</f>
        <v>0</v>
      </c>
      <c r="AQ1085" s="8">
        <f>IF($O1085="Aktif",MAX(0,MIN($AE1085,$AD1085-SUM($AG1085:AP1085))),0)</f>
        <v>0</v>
      </c>
      <c r="AR1085" s="8">
        <f>IF($O1085="Aktif",MAX(0,MIN($AE1085,$AD1085-SUM($AG1085:AQ1085))),0)</f>
        <v>0</v>
      </c>
      <c r="AS1085" s="8">
        <f>IF($O1085="Aktif",MAX(0,MIN($AE1085,$AD1085-SUM($AG1085:AR1085))),0)</f>
        <v>0</v>
      </c>
      <c r="AT1085" s="8">
        <f>IF($O1085="Aktif",MAX(0,MIN($AE1085,$AD1085-SUM($AG1085:AS1085))),0)</f>
        <v>0</v>
      </c>
      <c r="AU1085" s="8">
        <f>IF($O1085="Aktif",MAX(0,MIN($AE1085,$AD1085-SUM($AG1085:AT1085))),0)</f>
        <v>0</v>
      </c>
      <c r="AV1085" s="8">
        <f>IF($O1085="Aktif",MAX(0,MIN($AE1085,$AD1085-SUM($AG1085:AU1085))),0)</f>
        <v>0</v>
      </c>
      <c r="AW1085" s="8">
        <f t="shared" si="117"/>
        <v>0</v>
      </c>
      <c r="AX1085" s="8">
        <f t="shared" si="118"/>
        <v>0</v>
      </c>
    </row>
    <row r="1086" spans="1:50" ht="15" customHeight="1" x14ac:dyDescent="0.35">
      <c r="A1086" s="102">
        <v>1080</v>
      </c>
      <c r="B1086" s="102" t="s">
        <v>2815</v>
      </c>
      <c r="C1086" s="103">
        <v>102</v>
      </c>
      <c r="D1086" s="102" t="s">
        <v>186</v>
      </c>
      <c r="E1086" s="102" t="s">
        <v>587</v>
      </c>
      <c r="F1086" s="102" t="s">
        <v>2816</v>
      </c>
      <c r="G1086" s="102" t="s">
        <v>2817</v>
      </c>
      <c r="H1086" s="102" t="s">
        <v>2818</v>
      </c>
      <c r="I1086" s="102" t="s">
        <v>63</v>
      </c>
      <c r="J1086" s="102" t="s">
        <v>3028</v>
      </c>
      <c r="K1086" s="102" t="s">
        <v>591</v>
      </c>
      <c r="L1086" s="104">
        <v>41161</v>
      </c>
      <c r="M1086" s="102" t="s">
        <v>3029</v>
      </c>
      <c r="N1086" s="102" t="s">
        <v>3030</v>
      </c>
      <c r="O1086" s="102" t="s">
        <v>383</v>
      </c>
      <c r="P1086" s="103">
        <v>1</v>
      </c>
      <c r="Q1086" s="105">
        <v>2850000</v>
      </c>
      <c r="R1086" s="103">
        <v>48</v>
      </c>
      <c r="S1086" s="105">
        <v>0</v>
      </c>
      <c r="T1086" s="105">
        <v>2850000</v>
      </c>
      <c r="U1086" s="105">
        <v>0</v>
      </c>
      <c r="V1086" s="105">
        <v>0</v>
      </c>
      <c r="W1086" s="105">
        <v>0</v>
      </c>
      <c r="X1086" s="105">
        <v>0</v>
      </c>
      <c r="Y1086" s="105">
        <v>0</v>
      </c>
      <c r="Z1086" s="105">
        <v>0</v>
      </c>
      <c r="AA1086" s="105">
        <v>0</v>
      </c>
      <c r="AB1086" s="105">
        <v>0</v>
      </c>
      <c r="AC1086" s="8">
        <f t="shared" si="112"/>
        <v>2850000</v>
      </c>
      <c r="AD1086" s="8">
        <f t="shared" si="113"/>
        <v>0</v>
      </c>
      <c r="AE1086" s="8">
        <f t="shared" si="114"/>
        <v>0</v>
      </c>
      <c r="AF1086" s="106">
        <f t="shared" si="115"/>
        <v>0</v>
      </c>
      <c r="AG1086" s="8">
        <f t="shared" si="116"/>
        <v>0</v>
      </c>
      <c r="AH1086" s="8">
        <f>IF($O1086="Aktif",MAX(0,MIN($AE1086,$AD1086-SUM($AG1086:AG1086))),0)</f>
        <v>0</v>
      </c>
      <c r="AI1086" s="8">
        <f>IF($O1086="Aktif",MAX(0,MIN($AE1086,$AD1086-SUM($AG1086:AH1086))),0)</f>
        <v>0</v>
      </c>
      <c r="AJ1086" s="8">
        <f>IF($O1086="Aktif",MAX(0,MIN($AE1086,$AD1086-SUM($AG1086:AI1086))),0)</f>
        <v>0</v>
      </c>
      <c r="AK1086" s="8">
        <f>IF($O1086="Aktif",MAX(0,MIN($AE1086,$AD1086-SUM($AG1086:AJ1086))),0)</f>
        <v>0</v>
      </c>
      <c r="AL1086" s="8">
        <f>IF($O1086="Aktif",MAX(0,MIN($AE1086,$AD1086-SUM($AG1086:AK1086))),0)</f>
        <v>0</v>
      </c>
      <c r="AM1086" s="8">
        <f>IF($O1086="Aktif",MAX(0,MIN($AE1086,$AD1086-SUM($AG1086:AL1086))),0)</f>
        <v>0</v>
      </c>
      <c r="AN1086" s="8">
        <f>IF($O1086="Aktif",MAX(0,MIN($AE1086,$AD1086-SUM($AG1086:AM1086))),0)</f>
        <v>0</v>
      </c>
      <c r="AO1086" s="8">
        <f>IF($O1086="Aktif",MAX(0,MIN($AE1086,$AD1086-SUM($AG1086:AN1086))),0)</f>
        <v>0</v>
      </c>
      <c r="AP1086" s="8">
        <f>IF($O1086="Aktif",MAX(0,MIN($AE1086,$AD1086-SUM($AG1086:AO1086))),0)</f>
        <v>0</v>
      </c>
      <c r="AQ1086" s="8">
        <f>IF($O1086="Aktif",MAX(0,MIN($AE1086,$AD1086-SUM($AG1086:AP1086))),0)</f>
        <v>0</v>
      </c>
      <c r="AR1086" s="8">
        <f>IF($O1086="Aktif",MAX(0,MIN($AE1086,$AD1086-SUM($AG1086:AQ1086))),0)</f>
        <v>0</v>
      </c>
      <c r="AS1086" s="8">
        <f>IF($O1086="Aktif",MAX(0,MIN($AE1086,$AD1086-SUM($AG1086:AR1086))),0)</f>
        <v>0</v>
      </c>
      <c r="AT1086" s="8">
        <f>IF($O1086="Aktif",MAX(0,MIN($AE1086,$AD1086-SUM($AG1086:AS1086))),0)</f>
        <v>0</v>
      </c>
      <c r="AU1086" s="8">
        <f>IF($O1086="Aktif",MAX(0,MIN($AE1086,$AD1086-SUM($AG1086:AT1086))),0)</f>
        <v>0</v>
      </c>
      <c r="AV1086" s="8">
        <f>IF($O1086="Aktif",MAX(0,MIN($AE1086,$AD1086-SUM($AG1086:AU1086))),0)</f>
        <v>0</v>
      </c>
      <c r="AW1086" s="8">
        <f t="shared" si="117"/>
        <v>0</v>
      </c>
      <c r="AX1086" s="8">
        <f t="shared" si="118"/>
        <v>0</v>
      </c>
    </row>
    <row r="1087" spans="1:50" ht="15" customHeight="1" x14ac:dyDescent="0.35">
      <c r="A1087" s="102">
        <v>1081</v>
      </c>
      <c r="B1087" s="102" t="s">
        <v>2815</v>
      </c>
      <c r="C1087" s="103">
        <v>103</v>
      </c>
      <c r="D1087" s="102" t="s">
        <v>186</v>
      </c>
      <c r="E1087" s="102" t="s">
        <v>587</v>
      </c>
      <c r="F1087" s="102" t="s">
        <v>2816</v>
      </c>
      <c r="G1087" s="102" t="s">
        <v>2817</v>
      </c>
      <c r="H1087" s="102" t="s">
        <v>2818</v>
      </c>
      <c r="I1087" s="102" t="s">
        <v>63</v>
      </c>
      <c r="J1087" s="102" t="s">
        <v>3031</v>
      </c>
      <c r="K1087" s="102" t="s">
        <v>591</v>
      </c>
      <c r="L1087" s="104">
        <v>41161</v>
      </c>
      <c r="M1087" s="102" t="s">
        <v>3032</v>
      </c>
      <c r="N1087" s="102" t="s">
        <v>3033</v>
      </c>
      <c r="O1087" s="102" t="s">
        <v>383</v>
      </c>
      <c r="P1087" s="103">
        <v>1</v>
      </c>
      <c r="Q1087" s="105">
        <v>1375000</v>
      </c>
      <c r="R1087" s="103">
        <v>48</v>
      </c>
      <c r="S1087" s="105">
        <v>0</v>
      </c>
      <c r="T1087" s="105">
        <v>1375000</v>
      </c>
      <c r="U1087" s="105">
        <v>0</v>
      </c>
      <c r="V1087" s="105">
        <v>0</v>
      </c>
      <c r="W1087" s="105">
        <v>0</v>
      </c>
      <c r="X1087" s="105">
        <v>0</v>
      </c>
      <c r="Y1087" s="105">
        <v>0</v>
      </c>
      <c r="Z1087" s="105">
        <v>0</v>
      </c>
      <c r="AA1087" s="105">
        <v>0</v>
      </c>
      <c r="AB1087" s="105">
        <v>0</v>
      </c>
      <c r="AC1087" s="8">
        <f t="shared" si="112"/>
        <v>1375000</v>
      </c>
      <c r="AD1087" s="8">
        <f t="shared" si="113"/>
        <v>0</v>
      </c>
      <c r="AE1087" s="8">
        <f t="shared" si="114"/>
        <v>0</v>
      </c>
      <c r="AF1087" s="106">
        <f t="shared" si="115"/>
        <v>0</v>
      </c>
      <c r="AG1087" s="8">
        <f t="shared" si="116"/>
        <v>0</v>
      </c>
      <c r="AH1087" s="8">
        <f>IF($O1087="Aktif",MAX(0,MIN($AE1087,$AD1087-SUM($AG1087:AG1087))),0)</f>
        <v>0</v>
      </c>
      <c r="AI1087" s="8">
        <f>IF($O1087="Aktif",MAX(0,MIN($AE1087,$AD1087-SUM($AG1087:AH1087))),0)</f>
        <v>0</v>
      </c>
      <c r="AJ1087" s="8">
        <f>IF($O1087="Aktif",MAX(0,MIN($AE1087,$AD1087-SUM($AG1087:AI1087))),0)</f>
        <v>0</v>
      </c>
      <c r="AK1087" s="8">
        <f>IF($O1087="Aktif",MAX(0,MIN($AE1087,$AD1087-SUM($AG1087:AJ1087))),0)</f>
        <v>0</v>
      </c>
      <c r="AL1087" s="8">
        <f>IF($O1087="Aktif",MAX(0,MIN($AE1087,$AD1087-SUM($AG1087:AK1087))),0)</f>
        <v>0</v>
      </c>
      <c r="AM1087" s="8">
        <f>IF($O1087="Aktif",MAX(0,MIN($AE1087,$AD1087-SUM($AG1087:AL1087))),0)</f>
        <v>0</v>
      </c>
      <c r="AN1087" s="8">
        <f>IF($O1087="Aktif",MAX(0,MIN($AE1087,$AD1087-SUM($AG1087:AM1087))),0)</f>
        <v>0</v>
      </c>
      <c r="AO1087" s="8">
        <f>IF($O1087="Aktif",MAX(0,MIN($AE1087,$AD1087-SUM($AG1087:AN1087))),0)</f>
        <v>0</v>
      </c>
      <c r="AP1087" s="8">
        <f>IF($O1087="Aktif",MAX(0,MIN($AE1087,$AD1087-SUM($AG1087:AO1087))),0)</f>
        <v>0</v>
      </c>
      <c r="AQ1087" s="8">
        <f>IF($O1087="Aktif",MAX(0,MIN($AE1087,$AD1087-SUM($AG1087:AP1087))),0)</f>
        <v>0</v>
      </c>
      <c r="AR1087" s="8">
        <f>IF($O1087="Aktif",MAX(0,MIN($AE1087,$AD1087-SUM($AG1087:AQ1087))),0)</f>
        <v>0</v>
      </c>
      <c r="AS1087" s="8">
        <f>IF($O1087="Aktif",MAX(0,MIN($AE1087,$AD1087-SUM($AG1087:AR1087))),0)</f>
        <v>0</v>
      </c>
      <c r="AT1087" s="8">
        <f>IF($O1087="Aktif",MAX(0,MIN($AE1087,$AD1087-SUM($AG1087:AS1087))),0)</f>
        <v>0</v>
      </c>
      <c r="AU1087" s="8">
        <f>IF($O1087="Aktif",MAX(0,MIN($AE1087,$AD1087-SUM($AG1087:AT1087))),0)</f>
        <v>0</v>
      </c>
      <c r="AV1087" s="8">
        <f>IF($O1087="Aktif",MAX(0,MIN($AE1087,$AD1087-SUM($AG1087:AU1087))),0)</f>
        <v>0</v>
      </c>
      <c r="AW1087" s="8">
        <f t="shared" si="117"/>
        <v>0</v>
      </c>
      <c r="AX1087" s="8">
        <f t="shared" si="118"/>
        <v>0</v>
      </c>
    </row>
    <row r="1088" spans="1:50" ht="15" customHeight="1" x14ac:dyDescent="0.35">
      <c r="A1088" s="102">
        <v>1082</v>
      </c>
      <c r="B1088" s="102" t="s">
        <v>2815</v>
      </c>
      <c r="C1088" s="103">
        <v>104</v>
      </c>
      <c r="D1088" s="102" t="s">
        <v>186</v>
      </c>
      <c r="E1088" s="102" t="s">
        <v>587</v>
      </c>
      <c r="F1088" s="102" t="s">
        <v>2816</v>
      </c>
      <c r="G1088" s="102" t="s">
        <v>2817</v>
      </c>
      <c r="H1088" s="102" t="s">
        <v>2818</v>
      </c>
      <c r="I1088" s="102" t="s">
        <v>63</v>
      </c>
      <c r="J1088" s="102" t="s">
        <v>3034</v>
      </c>
      <c r="K1088" s="102" t="s">
        <v>591</v>
      </c>
      <c r="L1088" s="104">
        <v>41250</v>
      </c>
      <c r="M1088" s="102" t="s">
        <v>3035</v>
      </c>
      <c r="N1088" s="102" t="s">
        <v>3036</v>
      </c>
      <c r="O1088" s="102" t="s">
        <v>383</v>
      </c>
      <c r="P1088" s="103">
        <v>1</v>
      </c>
      <c r="Q1088" s="105">
        <v>3500000</v>
      </c>
      <c r="R1088" s="103">
        <v>48</v>
      </c>
      <c r="S1088" s="105">
        <v>0</v>
      </c>
      <c r="T1088" s="105">
        <v>3500000</v>
      </c>
      <c r="U1088" s="105">
        <v>0</v>
      </c>
      <c r="V1088" s="105">
        <v>0</v>
      </c>
      <c r="W1088" s="105">
        <v>0</v>
      </c>
      <c r="X1088" s="105">
        <v>0</v>
      </c>
      <c r="Y1088" s="105">
        <v>0</v>
      </c>
      <c r="Z1088" s="105">
        <v>0</v>
      </c>
      <c r="AA1088" s="105">
        <v>0</v>
      </c>
      <c r="AB1088" s="105">
        <v>0</v>
      </c>
      <c r="AC1088" s="8">
        <f t="shared" si="112"/>
        <v>3500000</v>
      </c>
      <c r="AD1088" s="8">
        <f t="shared" si="113"/>
        <v>0</v>
      </c>
      <c r="AE1088" s="8">
        <f t="shared" si="114"/>
        <v>0</v>
      </c>
      <c r="AF1088" s="106">
        <f t="shared" si="115"/>
        <v>0</v>
      </c>
      <c r="AG1088" s="8">
        <f t="shared" si="116"/>
        <v>0</v>
      </c>
      <c r="AH1088" s="8">
        <f>IF($O1088="Aktif",MAX(0,MIN($AE1088,$AD1088-SUM($AG1088:AG1088))),0)</f>
        <v>0</v>
      </c>
      <c r="AI1088" s="8">
        <f>IF($O1088="Aktif",MAX(0,MIN($AE1088,$AD1088-SUM($AG1088:AH1088))),0)</f>
        <v>0</v>
      </c>
      <c r="AJ1088" s="8">
        <f>IF($O1088="Aktif",MAX(0,MIN($AE1088,$AD1088-SUM($AG1088:AI1088))),0)</f>
        <v>0</v>
      </c>
      <c r="AK1088" s="8">
        <f>IF($O1088="Aktif",MAX(0,MIN($AE1088,$AD1088-SUM($AG1088:AJ1088))),0)</f>
        <v>0</v>
      </c>
      <c r="AL1088" s="8">
        <f>IF($O1088="Aktif",MAX(0,MIN($AE1088,$AD1088-SUM($AG1088:AK1088))),0)</f>
        <v>0</v>
      </c>
      <c r="AM1088" s="8">
        <f>IF($O1088="Aktif",MAX(0,MIN($AE1088,$AD1088-SUM($AG1088:AL1088))),0)</f>
        <v>0</v>
      </c>
      <c r="AN1088" s="8">
        <f>IF($O1088="Aktif",MAX(0,MIN($AE1088,$AD1088-SUM($AG1088:AM1088))),0)</f>
        <v>0</v>
      </c>
      <c r="AO1088" s="8">
        <f>IF($O1088="Aktif",MAX(0,MIN($AE1088,$AD1088-SUM($AG1088:AN1088))),0)</f>
        <v>0</v>
      </c>
      <c r="AP1088" s="8">
        <f>IF($O1088="Aktif",MAX(0,MIN($AE1088,$AD1088-SUM($AG1088:AO1088))),0)</f>
        <v>0</v>
      </c>
      <c r="AQ1088" s="8">
        <f>IF($O1088="Aktif",MAX(0,MIN($AE1088,$AD1088-SUM($AG1088:AP1088))),0)</f>
        <v>0</v>
      </c>
      <c r="AR1088" s="8">
        <f>IF($O1088="Aktif",MAX(0,MIN($AE1088,$AD1088-SUM($AG1088:AQ1088))),0)</f>
        <v>0</v>
      </c>
      <c r="AS1088" s="8">
        <f>IF($O1088="Aktif",MAX(0,MIN($AE1088,$AD1088-SUM($AG1088:AR1088))),0)</f>
        <v>0</v>
      </c>
      <c r="AT1088" s="8">
        <f>IF($O1088="Aktif",MAX(0,MIN($AE1088,$AD1088-SUM($AG1088:AS1088))),0)</f>
        <v>0</v>
      </c>
      <c r="AU1088" s="8">
        <f>IF($O1088="Aktif",MAX(0,MIN($AE1088,$AD1088-SUM($AG1088:AT1088))),0)</f>
        <v>0</v>
      </c>
      <c r="AV1088" s="8">
        <f>IF($O1088="Aktif",MAX(0,MIN($AE1088,$AD1088-SUM($AG1088:AU1088))),0)</f>
        <v>0</v>
      </c>
      <c r="AW1088" s="8">
        <f t="shared" si="117"/>
        <v>0</v>
      </c>
      <c r="AX1088" s="8">
        <f t="shared" si="118"/>
        <v>0</v>
      </c>
    </row>
    <row r="1089" spans="1:50" ht="15" customHeight="1" x14ac:dyDescent="0.35">
      <c r="A1089" s="102">
        <v>1083</v>
      </c>
      <c r="B1089" s="102" t="s">
        <v>2815</v>
      </c>
      <c r="C1089" s="103">
        <v>105</v>
      </c>
      <c r="D1089" s="102" t="s">
        <v>186</v>
      </c>
      <c r="E1089" s="102" t="s">
        <v>587</v>
      </c>
      <c r="F1089" s="102" t="s">
        <v>2816</v>
      </c>
      <c r="G1089" s="102" t="s">
        <v>2817</v>
      </c>
      <c r="H1089" s="102" t="s">
        <v>2818</v>
      </c>
      <c r="I1089" s="102" t="s">
        <v>63</v>
      </c>
      <c r="J1089" s="102" t="s">
        <v>3037</v>
      </c>
      <c r="K1089" s="102" t="s">
        <v>591</v>
      </c>
      <c r="L1089" s="104">
        <v>41271</v>
      </c>
      <c r="M1089" s="102" t="s">
        <v>3038</v>
      </c>
      <c r="N1089" s="102" t="s">
        <v>3038</v>
      </c>
      <c r="O1089" s="102" t="s">
        <v>383</v>
      </c>
      <c r="P1089" s="103">
        <v>1</v>
      </c>
      <c r="Q1089" s="105">
        <v>29500000</v>
      </c>
      <c r="R1089" s="103">
        <v>48</v>
      </c>
      <c r="S1089" s="105">
        <v>0</v>
      </c>
      <c r="T1089" s="105">
        <v>29500000</v>
      </c>
      <c r="U1089" s="105">
        <v>0</v>
      </c>
      <c r="V1089" s="105">
        <v>0</v>
      </c>
      <c r="W1089" s="105">
        <v>0</v>
      </c>
      <c r="X1089" s="105">
        <v>0</v>
      </c>
      <c r="Y1089" s="105">
        <v>0</v>
      </c>
      <c r="Z1089" s="105">
        <v>0</v>
      </c>
      <c r="AA1089" s="105">
        <v>0</v>
      </c>
      <c r="AB1089" s="105">
        <v>0</v>
      </c>
      <c r="AC1089" s="8">
        <f t="shared" si="112"/>
        <v>29500000</v>
      </c>
      <c r="AD1089" s="8">
        <f t="shared" si="113"/>
        <v>0</v>
      </c>
      <c r="AE1089" s="8">
        <f t="shared" si="114"/>
        <v>0</v>
      </c>
      <c r="AF1089" s="106">
        <f t="shared" si="115"/>
        <v>0</v>
      </c>
      <c r="AG1089" s="8">
        <f t="shared" si="116"/>
        <v>0</v>
      </c>
      <c r="AH1089" s="8">
        <f>IF($O1089="Aktif",MAX(0,MIN($AE1089,$AD1089-SUM($AG1089:AG1089))),0)</f>
        <v>0</v>
      </c>
      <c r="AI1089" s="8">
        <f>IF($O1089="Aktif",MAX(0,MIN($AE1089,$AD1089-SUM($AG1089:AH1089))),0)</f>
        <v>0</v>
      </c>
      <c r="AJ1089" s="8">
        <f>IF($O1089="Aktif",MAX(0,MIN($AE1089,$AD1089-SUM($AG1089:AI1089))),0)</f>
        <v>0</v>
      </c>
      <c r="AK1089" s="8">
        <f>IF($O1089="Aktif",MAX(0,MIN($AE1089,$AD1089-SUM($AG1089:AJ1089))),0)</f>
        <v>0</v>
      </c>
      <c r="AL1089" s="8">
        <f>IF($O1089="Aktif",MAX(0,MIN($AE1089,$AD1089-SUM($AG1089:AK1089))),0)</f>
        <v>0</v>
      </c>
      <c r="AM1089" s="8">
        <f>IF($O1089="Aktif",MAX(0,MIN($AE1089,$AD1089-SUM($AG1089:AL1089))),0)</f>
        <v>0</v>
      </c>
      <c r="AN1089" s="8">
        <f>IF($O1089="Aktif",MAX(0,MIN($AE1089,$AD1089-SUM($AG1089:AM1089))),0)</f>
        <v>0</v>
      </c>
      <c r="AO1089" s="8">
        <f>IF($O1089="Aktif",MAX(0,MIN($AE1089,$AD1089-SUM($AG1089:AN1089))),0)</f>
        <v>0</v>
      </c>
      <c r="AP1089" s="8">
        <f>IF($O1089="Aktif",MAX(0,MIN($AE1089,$AD1089-SUM($AG1089:AO1089))),0)</f>
        <v>0</v>
      </c>
      <c r="AQ1089" s="8">
        <f>IF($O1089="Aktif",MAX(0,MIN($AE1089,$AD1089-SUM($AG1089:AP1089))),0)</f>
        <v>0</v>
      </c>
      <c r="AR1089" s="8">
        <f>IF($O1089="Aktif",MAX(0,MIN($AE1089,$AD1089-SUM($AG1089:AQ1089))),0)</f>
        <v>0</v>
      </c>
      <c r="AS1089" s="8">
        <f>IF($O1089="Aktif",MAX(0,MIN($AE1089,$AD1089-SUM($AG1089:AR1089))),0)</f>
        <v>0</v>
      </c>
      <c r="AT1089" s="8">
        <f>IF($O1089="Aktif",MAX(0,MIN($AE1089,$AD1089-SUM($AG1089:AS1089))),0)</f>
        <v>0</v>
      </c>
      <c r="AU1089" s="8">
        <f>IF($O1089="Aktif",MAX(0,MIN($AE1089,$AD1089-SUM($AG1089:AT1089))),0)</f>
        <v>0</v>
      </c>
      <c r="AV1089" s="8">
        <f>IF($O1089="Aktif",MAX(0,MIN($AE1089,$AD1089-SUM($AG1089:AU1089))),0)</f>
        <v>0</v>
      </c>
      <c r="AW1089" s="8">
        <f t="shared" si="117"/>
        <v>0</v>
      </c>
      <c r="AX1089" s="8">
        <f t="shared" si="118"/>
        <v>0</v>
      </c>
    </row>
    <row r="1090" spans="1:50" ht="15" customHeight="1" x14ac:dyDescent="0.35">
      <c r="A1090" s="102">
        <v>1084</v>
      </c>
      <c r="B1090" s="102" t="s">
        <v>2815</v>
      </c>
      <c r="C1090" s="103">
        <v>106</v>
      </c>
      <c r="D1090" s="102" t="s">
        <v>186</v>
      </c>
      <c r="E1090" s="102" t="s">
        <v>587</v>
      </c>
      <c r="F1090" s="102" t="s">
        <v>2816</v>
      </c>
      <c r="G1090" s="102" t="s">
        <v>2817</v>
      </c>
      <c r="H1090" s="102" t="s">
        <v>2818</v>
      </c>
      <c r="I1090" s="102" t="s">
        <v>63</v>
      </c>
      <c r="J1090" s="102" t="s">
        <v>3039</v>
      </c>
      <c r="K1090" s="102" t="s">
        <v>591</v>
      </c>
      <c r="L1090" s="104">
        <v>41275</v>
      </c>
      <c r="M1090" s="102" t="s">
        <v>3040</v>
      </c>
      <c r="N1090" s="102" t="s">
        <v>3041</v>
      </c>
      <c r="O1090" s="102" t="s">
        <v>383</v>
      </c>
      <c r="P1090" s="103">
        <v>1</v>
      </c>
      <c r="Q1090" s="105">
        <v>180000000</v>
      </c>
      <c r="R1090" s="103">
        <v>48</v>
      </c>
      <c r="S1090" s="105">
        <v>0</v>
      </c>
      <c r="T1090" s="105">
        <v>180000000</v>
      </c>
      <c r="U1090" s="105">
        <v>0</v>
      </c>
      <c r="V1090" s="105">
        <v>0</v>
      </c>
      <c r="W1090" s="105">
        <v>0</v>
      </c>
      <c r="X1090" s="105">
        <v>0</v>
      </c>
      <c r="Y1090" s="105">
        <v>0</v>
      </c>
      <c r="Z1090" s="105">
        <v>0</v>
      </c>
      <c r="AA1090" s="105">
        <v>0</v>
      </c>
      <c r="AB1090" s="105">
        <v>0</v>
      </c>
      <c r="AC1090" s="8">
        <f t="shared" si="112"/>
        <v>180000000</v>
      </c>
      <c r="AD1090" s="8">
        <f t="shared" si="113"/>
        <v>0</v>
      </c>
      <c r="AE1090" s="8">
        <f t="shared" si="114"/>
        <v>0</v>
      </c>
      <c r="AF1090" s="106">
        <f t="shared" si="115"/>
        <v>0</v>
      </c>
      <c r="AG1090" s="8">
        <f t="shared" si="116"/>
        <v>0</v>
      </c>
      <c r="AH1090" s="8">
        <f>IF($O1090="Aktif",MAX(0,MIN($AE1090,$AD1090-SUM($AG1090:AG1090))),0)</f>
        <v>0</v>
      </c>
      <c r="AI1090" s="8">
        <f>IF($O1090="Aktif",MAX(0,MIN($AE1090,$AD1090-SUM($AG1090:AH1090))),0)</f>
        <v>0</v>
      </c>
      <c r="AJ1090" s="8">
        <f>IF($O1090="Aktif",MAX(0,MIN($AE1090,$AD1090-SUM($AG1090:AI1090))),0)</f>
        <v>0</v>
      </c>
      <c r="AK1090" s="8">
        <f>IF($O1090="Aktif",MAX(0,MIN($AE1090,$AD1090-SUM($AG1090:AJ1090))),0)</f>
        <v>0</v>
      </c>
      <c r="AL1090" s="8">
        <f>IF($O1090="Aktif",MAX(0,MIN($AE1090,$AD1090-SUM($AG1090:AK1090))),0)</f>
        <v>0</v>
      </c>
      <c r="AM1090" s="8">
        <f>IF($O1090="Aktif",MAX(0,MIN($AE1090,$AD1090-SUM($AG1090:AL1090))),0)</f>
        <v>0</v>
      </c>
      <c r="AN1090" s="8">
        <f>IF($O1090="Aktif",MAX(0,MIN($AE1090,$AD1090-SUM($AG1090:AM1090))),0)</f>
        <v>0</v>
      </c>
      <c r="AO1090" s="8">
        <f>IF($O1090="Aktif",MAX(0,MIN($AE1090,$AD1090-SUM($AG1090:AN1090))),0)</f>
        <v>0</v>
      </c>
      <c r="AP1090" s="8">
        <f>IF($O1090="Aktif",MAX(0,MIN($AE1090,$AD1090-SUM($AG1090:AO1090))),0)</f>
        <v>0</v>
      </c>
      <c r="AQ1090" s="8">
        <f>IF($O1090="Aktif",MAX(0,MIN($AE1090,$AD1090-SUM($AG1090:AP1090))),0)</f>
        <v>0</v>
      </c>
      <c r="AR1090" s="8">
        <f>IF($O1090="Aktif",MAX(0,MIN($AE1090,$AD1090-SUM($AG1090:AQ1090))),0)</f>
        <v>0</v>
      </c>
      <c r="AS1090" s="8">
        <f>IF($O1090="Aktif",MAX(0,MIN($AE1090,$AD1090-SUM($AG1090:AR1090))),0)</f>
        <v>0</v>
      </c>
      <c r="AT1090" s="8">
        <f>IF($O1090="Aktif",MAX(0,MIN($AE1090,$AD1090-SUM($AG1090:AS1090))),0)</f>
        <v>0</v>
      </c>
      <c r="AU1090" s="8">
        <f>IF($O1090="Aktif",MAX(0,MIN($AE1090,$AD1090-SUM($AG1090:AT1090))),0)</f>
        <v>0</v>
      </c>
      <c r="AV1090" s="8">
        <f>IF($O1090="Aktif",MAX(0,MIN($AE1090,$AD1090-SUM($AG1090:AU1090))),0)</f>
        <v>0</v>
      </c>
      <c r="AW1090" s="8">
        <f t="shared" si="117"/>
        <v>0</v>
      </c>
      <c r="AX1090" s="8">
        <f t="shared" si="118"/>
        <v>0</v>
      </c>
    </row>
    <row r="1091" spans="1:50" ht="15" customHeight="1" x14ac:dyDescent="0.35">
      <c r="A1091" s="102">
        <v>1085</v>
      </c>
      <c r="B1091" s="102" t="s">
        <v>2815</v>
      </c>
      <c r="C1091" s="103">
        <v>107</v>
      </c>
      <c r="D1091" s="102" t="s">
        <v>186</v>
      </c>
      <c r="E1091" s="102" t="s">
        <v>587</v>
      </c>
      <c r="F1091" s="102" t="s">
        <v>2816</v>
      </c>
      <c r="G1091" s="102" t="s">
        <v>2817</v>
      </c>
      <c r="H1091" s="102" t="s">
        <v>2818</v>
      </c>
      <c r="I1091" s="102" t="s">
        <v>63</v>
      </c>
      <c r="J1091" s="102" t="s">
        <v>3042</v>
      </c>
      <c r="K1091" s="102" t="s">
        <v>591</v>
      </c>
      <c r="L1091" s="104">
        <v>41306</v>
      </c>
      <c r="M1091" s="102" t="s">
        <v>3043</v>
      </c>
      <c r="N1091" s="102" t="s">
        <v>3044</v>
      </c>
      <c r="O1091" s="102" t="s">
        <v>383</v>
      </c>
      <c r="P1091" s="103">
        <v>1</v>
      </c>
      <c r="Q1091" s="105">
        <v>24500000</v>
      </c>
      <c r="R1091" s="103">
        <v>48</v>
      </c>
      <c r="S1091" s="105">
        <v>0</v>
      </c>
      <c r="T1091" s="105">
        <v>24500000</v>
      </c>
      <c r="U1091" s="105">
        <v>0</v>
      </c>
      <c r="V1091" s="105">
        <v>0</v>
      </c>
      <c r="W1091" s="105">
        <v>0</v>
      </c>
      <c r="X1091" s="105">
        <v>0</v>
      </c>
      <c r="Y1091" s="105">
        <v>0</v>
      </c>
      <c r="Z1091" s="105">
        <v>0</v>
      </c>
      <c r="AA1091" s="105">
        <v>0</v>
      </c>
      <c r="AB1091" s="105">
        <v>0</v>
      </c>
      <c r="AC1091" s="8">
        <f t="shared" si="112"/>
        <v>24500000</v>
      </c>
      <c r="AD1091" s="8">
        <f t="shared" si="113"/>
        <v>0</v>
      </c>
      <c r="AE1091" s="8">
        <f t="shared" si="114"/>
        <v>0</v>
      </c>
      <c r="AF1091" s="106">
        <f t="shared" si="115"/>
        <v>0</v>
      </c>
      <c r="AG1091" s="8">
        <f t="shared" si="116"/>
        <v>0</v>
      </c>
      <c r="AH1091" s="8">
        <f>IF($O1091="Aktif",MAX(0,MIN($AE1091,$AD1091-SUM($AG1091:AG1091))),0)</f>
        <v>0</v>
      </c>
      <c r="AI1091" s="8">
        <f>IF($O1091="Aktif",MAX(0,MIN($AE1091,$AD1091-SUM($AG1091:AH1091))),0)</f>
        <v>0</v>
      </c>
      <c r="AJ1091" s="8">
        <f>IF($O1091="Aktif",MAX(0,MIN($AE1091,$AD1091-SUM($AG1091:AI1091))),0)</f>
        <v>0</v>
      </c>
      <c r="AK1091" s="8">
        <f>IF($O1091="Aktif",MAX(0,MIN($AE1091,$AD1091-SUM($AG1091:AJ1091))),0)</f>
        <v>0</v>
      </c>
      <c r="AL1091" s="8">
        <f>IF($O1091="Aktif",MAX(0,MIN($AE1091,$AD1091-SUM($AG1091:AK1091))),0)</f>
        <v>0</v>
      </c>
      <c r="AM1091" s="8">
        <f>IF($O1091="Aktif",MAX(0,MIN($AE1091,$AD1091-SUM($AG1091:AL1091))),0)</f>
        <v>0</v>
      </c>
      <c r="AN1091" s="8">
        <f>IF($O1091="Aktif",MAX(0,MIN($AE1091,$AD1091-SUM($AG1091:AM1091))),0)</f>
        <v>0</v>
      </c>
      <c r="AO1091" s="8">
        <f>IF($O1091="Aktif",MAX(0,MIN($AE1091,$AD1091-SUM($AG1091:AN1091))),0)</f>
        <v>0</v>
      </c>
      <c r="AP1091" s="8">
        <f>IF($O1091="Aktif",MAX(0,MIN($AE1091,$AD1091-SUM($AG1091:AO1091))),0)</f>
        <v>0</v>
      </c>
      <c r="AQ1091" s="8">
        <f>IF($O1091="Aktif",MAX(0,MIN($AE1091,$AD1091-SUM($AG1091:AP1091))),0)</f>
        <v>0</v>
      </c>
      <c r="AR1091" s="8">
        <f>IF($O1091="Aktif",MAX(0,MIN($AE1091,$AD1091-SUM($AG1091:AQ1091))),0)</f>
        <v>0</v>
      </c>
      <c r="AS1091" s="8">
        <f>IF($O1091="Aktif",MAX(0,MIN($AE1091,$AD1091-SUM($AG1091:AR1091))),0)</f>
        <v>0</v>
      </c>
      <c r="AT1091" s="8">
        <f>IF($O1091="Aktif",MAX(0,MIN($AE1091,$AD1091-SUM($AG1091:AS1091))),0)</f>
        <v>0</v>
      </c>
      <c r="AU1091" s="8">
        <f>IF($O1091="Aktif",MAX(0,MIN($AE1091,$AD1091-SUM($AG1091:AT1091))),0)</f>
        <v>0</v>
      </c>
      <c r="AV1091" s="8">
        <f>IF($O1091="Aktif",MAX(0,MIN($AE1091,$AD1091-SUM($AG1091:AU1091))),0)</f>
        <v>0</v>
      </c>
      <c r="AW1091" s="8">
        <f t="shared" si="117"/>
        <v>0</v>
      </c>
      <c r="AX1091" s="8">
        <f t="shared" si="118"/>
        <v>0</v>
      </c>
    </row>
    <row r="1092" spans="1:50" ht="15" customHeight="1" x14ac:dyDescent="0.35">
      <c r="A1092" s="102">
        <v>1086</v>
      </c>
      <c r="B1092" s="102" t="s">
        <v>2815</v>
      </c>
      <c r="C1092" s="103">
        <v>108</v>
      </c>
      <c r="D1092" s="102" t="s">
        <v>186</v>
      </c>
      <c r="E1092" s="102" t="s">
        <v>587</v>
      </c>
      <c r="F1092" s="102" t="s">
        <v>2816</v>
      </c>
      <c r="G1092" s="102" t="s">
        <v>2817</v>
      </c>
      <c r="H1092" s="102" t="s">
        <v>2818</v>
      </c>
      <c r="I1092" s="102" t="s">
        <v>63</v>
      </c>
      <c r="J1092" s="102" t="s">
        <v>3045</v>
      </c>
      <c r="K1092" s="102" t="s">
        <v>591</v>
      </c>
      <c r="L1092" s="104">
        <v>41324</v>
      </c>
      <c r="M1092" s="102" t="s">
        <v>3046</v>
      </c>
      <c r="N1092" s="102" t="s">
        <v>3047</v>
      </c>
      <c r="O1092" s="102" t="s">
        <v>383</v>
      </c>
      <c r="P1092" s="103">
        <v>1</v>
      </c>
      <c r="Q1092" s="105">
        <v>35000000</v>
      </c>
      <c r="R1092" s="103">
        <v>48</v>
      </c>
      <c r="S1092" s="105">
        <v>0</v>
      </c>
      <c r="T1092" s="105">
        <v>35000000</v>
      </c>
      <c r="U1092" s="105">
        <v>0</v>
      </c>
      <c r="V1092" s="105">
        <v>0</v>
      </c>
      <c r="W1092" s="105">
        <v>0</v>
      </c>
      <c r="X1092" s="105">
        <v>0</v>
      </c>
      <c r="Y1092" s="105">
        <v>0</v>
      </c>
      <c r="Z1092" s="105">
        <v>0</v>
      </c>
      <c r="AA1092" s="105">
        <v>0</v>
      </c>
      <c r="AB1092" s="105">
        <v>0</v>
      </c>
      <c r="AC1092" s="8">
        <f t="shared" si="112"/>
        <v>35000000</v>
      </c>
      <c r="AD1092" s="8">
        <f t="shared" si="113"/>
        <v>0</v>
      </c>
      <c r="AE1092" s="8">
        <f t="shared" si="114"/>
        <v>0</v>
      </c>
      <c r="AF1092" s="106">
        <f t="shared" si="115"/>
        <v>0</v>
      </c>
      <c r="AG1092" s="8">
        <f t="shared" si="116"/>
        <v>0</v>
      </c>
      <c r="AH1092" s="8">
        <f>IF($O1092="Aktif",MAX(0,MIN($AE1092,$AD1092-SUM($AG1092:AG1092))),0)</f>
        <v>0</v>
      </c>
      <c r="AI1092" s="8">
        <f>IF($O1092="Aktif",MAX(0,MIN($AE1092,$AD1092-SUM($AG1092:AH1092))),0)</f>
        <v>0</v>
      </c>
      <c r="AJ1092" s="8">
        <f>IF($O1092="Aktif",MAX(0,MIN($AE1092,$AD1092-SUM($AG1092:AI1092))),0)</f>
        <v>0</v>
      </c>
      <c r="AK1092" s="8">
        <f>IF($O1092="Aktif",MAX(0,MIN($AE1092,$AD1092-SUM($AG1092:AJ1092))),0)</f>
        <v>0</v>
      </c>
      <c r="AL1092" s="8">
        <f>IF($O1092="Aktif",MAX(0,MIN($AE1092,$AD1092-SUM($AG1092:AK1092))),0)</f>
        <v>0</v>
      </c>
      <c r="AM1092" s="8">
        <f>IF($O1092="Aktif",MAX(0,MIN($AE1092,$AD1092-SUM($AG1092:AL1092))),0)</f>
        <v>0</v>
      </c>
      <c r="AN1092" s="8">
        <f>IF($O1092="Aktif",MAX(0,MIN($AE1092,$AD1092-SUM($AG1092:AM1092))),0)</f>
        <v>0</v>
      </c>
      <c r="AO1092" s="8">
        <f>IF($O1092="Aktif",MAX(0,MIN($AE1092,$AD1092-SUM($AG1092:AN1092))),0)</f>
        <v>0</v>
      </c>
      <c r="AP1092" s="8">
        <f>IF($O1092="Aktif",MAX(0,MIN($AE1092,$AD1092-SUM($AG1092:AO1092))),0)</f>
        <v>0</v>
      </c>
      <c r="AQ1092" s="8">
        <f>IF($O1092="Aktif",MAX(0,MIN($AE1092,$AD1092-SUM($AG1092:AP1092))),0)</f>
        <v>0</v>
      </c>
      <c r="AR1092" s="8">
        <f>IF($O1092="Aktif",MAX(0,MIN($AE1092,$AD1092-SUM($AG1092:AQ1092))),0)</f>
        <v>0</v>
      </c>
      <c r="AS1092" s="8">
        <f>IF($O1092="Aktif",MAX(0,MIN($AE1092,$AD1092-SUM($AG1092:AR1092))),0)</f>
        <v>0</v>
      </c>
      <c r="AT1092" s="8">
        <f>IF($O1092="Aktif",MAX(0,MIN($AE1092,$AD1092-SUM($AG1092:AS1092))),0)</f>
        <v>0</v>
      </c>
      <c r="AU1092" s="8">
        <f>IF($O1092="Aktif",MAX(0,MIN($AE1092,$AD1092-SUM($AG1092:AT1092))),0)</f>
        <v>0</v>
      </c>
      <c r="AV1092" s="8">
        <f>IF($O1092="Aktif",MAX(0,MIN($AE1092,$AD1092-SUM($AG1092:AU1092))),0)</f>
        <v>0</v>
      </c>
      <c r="AW1092" s="8">
        <f t="shared" si="117"/>
        <v>0</v>
      </c>
      <c r="AX1092" s="8">
        <f t="shared" si="118"/>
        <v>0</v>
      </c>
    </row>
    <row r="1093" spans="1:50" ht="15" customHeight="1" x14ac:dyDescent="0.35">
      <c r="A1093" s="102">
        <v>1087</v>
      </c>
      <c r="B1093" s="102" t="s">
        <v>2815</v>
      </c>
      <c r="C1093" s="103">
        <v>109</v>
      </c>
      <c r="D1093" s="102" t="s">
        <v>186</v>
      </c>
      <c r="E1093" s="102" t="s">
        <v>587</v>
      </c>
      <c r="F1093" s="102" t="s">
        <v>2816</v>
      </c>
      <c r="G1093" s="102" t="s">
        <v>2817</v>
      </c>
      <c r="H1093" s="102" t="s">
        <v>2818</v>
      </c>
      <c r="I1093" s="102" t="s">
        <v>63</v>
      </c>
      <c r="J1093" s="102" t="s">
        <v>3048</v>
      </c>
      <c r="K1093" s="102" t="s">
        <v>591</v>
      </c>
      <c r="L1093" s="104">
        <v>41331</v>
      </c>
      <c r="M1093" s="102" t="s">
        <v>3049</v>
      </c>
      <c r="N1093" s="102" t="s">
        <v>3050</v>
      </c>
      <c r="O1093" s="102" t="s">
        <v>383</v>
      </c>
      <c r="P1093" s="103">
        <v>1</v>
      </c>
      <c r="Q1093" s="105">
        <v>55000000</v>
      </c>
      <c r="R1093" s="103">
        <v>48</v>
      </c>
      <c r="S1093" s="105">
        <v>0</v>
      </c>
      <c r="T1093" s="105">
        <v>55000000</v>
      </c>
      <c r="U1093" s="105">
        <v>0</v>
      </c>
      <c r="V1093" s="105">
        <v>0</v>
      </c>
      <c r="W1093" s="105">
        <v>0</v>
      </c>
      <c r="X1093" s="105">
        <v>0</v>
      </c>
      <c r="Y1093" s="105">
        <v>0</v>
      </c>
      <c r="Z1093" s="105">
        <v>0</v>
      </c>
      <c r="AA1093" s="105">
        <v>0</v>
      </c>
      <c r="AB1093" s="105">
        <v>0</v>
      </c>
      <c r="AC1093" s="8">
        <f t="shared" si="112"/>
        <v>55000000</v>
      </c>
      <c r="AD1093" s="8">
        <f t="shared" si="113"/>
        <v>0</v>
      </c>
      <c r="AE1093" s="8">
        <f t="shared" si="114"/>
        <v>0</v>
      </c>
      <c r="AF1093" s="106">
        <f t="shared" si="115"/>
        <v>0</v>
      </c>
      <c r="AG1093" s="8">
        <f t="shared" si="116"/>
        <v>0</v>
      </c>
      <c r="AH1093" s="8">
        <f>IF($O1093="Aktif",MAX(0,MIN($AE1093,$AD1093-SUM($AG1093:AG1093))),0)</f>
        <v>0</v>
      </c>
      <c r="AI1093" s="8">
        <f>IF($O1093="Aktif",MAX(0,MIN($AE1093,$AD1093-SUM($AG1093:AH1093))),0)</f>
        <v>0</v>
      </c>
      <c r="AJ1093" s="8">
        <f>IF($O1093="Aktif",MAX(0,MIN($AE1093,$AD1093-SUM($AG1093:AI1093))),0)</f>
        <v>0</v>
      </c>
      <c r="AK1093" s="8">
        <f>IF($O1093="Aktif",MAX(0,MIN($AE1093,$AD1093-SUM($AG1093:AJ1093))),0)</f>
        <v>0</v>
      </c>
      <c r="AL1093" s="8">
        <f>IF($O1093="Aktif",MAX(0,MIN($AE1093,$AD1093-SUM($AG1093:AK1093))),0)</f>
        <v>0</v>
      </c>
      <c r="AM1093" s="8">
        <f>IF($O1093="Aktif",MAX(0,MIN($AE1093,$AD1093-SUM($AG1093:AL1093))),0)</f>
        <v>0</v>
      </c>
      <c r="AN1093" s="8">
        <f>IF($O1093="Aktif",MAX(0,MIN($AE1093,$AD1093-SUM($AG1093:AM1093))),0)</f>
        <v>0</v>
      </c>
      <c r="AO1093" s="8">
        <f>IF($O1093="Aktif",MAX(0,MIN($AE1093,$AD1093-SUM($AG1093:AN1093))),0)</f>
        <v>0</v>
      </c>
      <c r="AP1093" s="8">
        <f>IF($O1093="Aktif",MAX(0,MIN($AE1093,$AD1093-SUM($AG1093:AO1093))),0)</f>
        <v>0</v>
      </c>
      <c r="AQ1093" s="8">
        <f>IF($O1093="Aktif",MAX(0,MIN($AE1093,$AD1093-SUM($AG1093:AP1093))),0)</f>
        <v>0</v>
      </c>
      <c r="AR1093" s="8">
        <f>IF($O1093="Aktif",MAX(0,MIN($AE1093,$AD1093-SUM($AG1093:AQ1093))),0)</f>
        <v>0</v>
      </c>
      <c r="AS1093" s="8">
        <f>IF($O1093="Aktif",MAX(0,MIN($AE1093,$AD1093-SUM($AG1093:AR1093))),0)</f>
        <v>0</v>
      </c>
      <c r="AT1093" s="8">
        <f>IF($O1093="Aktif",MAX(0,MIN($AE1093,$AD1093-SUM($AG1093:AS1093))),0)</f>
        <v>0</v>
      </c>
      <c r="AU1093" s="8">
        <f>IF($O1093="Aktif",MAX(0,MIN($AE1093,$AD1093-SUM($AG1093:AT1093))),0)</f>
        <v>0</v>
      </c>
      <c r="AV1093" s="8">
        <f>IF($O1093="Aktif",MAX(0,MIN($AE1093,$AD1093-SUM($AG1093:AU1093))),0)</f>
        <v>0</v>
      </c>
      <c r="AW1093" s="8">
        <f t="shared" si="117"/>
        <v>0</v>
      </c>
      <c r="AX1093" s="8">
        <f t="shared" si="118"/>
        <v>0</v>
      </c>
    </row>
    <row r="1094" spans="1:50" ht="15" customHeight="1" x14ac:dyDescent="0.35">
      <c r="A1094" s="102">
        <v>1088</v>
      </c>
      <c r="B1094" s="102" t="s">
        <v>2815</v>
      </c>
      <c r="C1094" s="103">
        <v>110</v>
      </c>
      <c r="D1094" s="102" t="s">
        <v>186</v>
      </c>
      <c r="E1094" s="102" t="s">
        <v>587</v>
      </c>
      <c r="F1094" s="102" t="s">
        <v>2816</v>
      </c>
      <c r="G1094" s="102" t="s">
        <v>2817</v>
      </c>
      <c r="H1094" s="102" t="s">
        <v>2818</v>
      </c>
      <c r="I1094" s="102" t="s">
        <v>63</v>
      </c>
      <c r="J1094" s="102" t="s">
        <v>3051</v>
      </c>
      <c r="K1094" s="102" t="s">
        <v>591</v>
      </c>
      <c r="L1094" s="104">
        <v>41390</v>
      </c>
      <c r="M1094" s="102" t="s">
        <v>1417</v>
      </c>
      <c r="N1094" s="102" t="s">
        <v>3052</v>
      </c>
      <c r="O1094" s="102" t="s">
        <v>383</v>
      </c>
      <c r="P1094" s="103">
        <v>1</v>
      </c>
      <c r="Q1094" s="105">
        <v>25500000</v>
      </c>
      <c r="R1094" s="103">
        <v>48</v>
      </c>
      <c r="S1094" s="105">
        <v>0</v>
      </c>
      <c r="T1094" s="105">
        <v>25500000</v>
      </c>
      <c r="U1094" s="105">
        <v>0</v>
      </c>
      <c r="V1094" s="105">
        <v>0</v>
      </c>
      <c r="W1094" s="105">
        <v>0</v>
      </c>
      <c r="X1094" s="105">
        <v>0</v>
      </c>
      <c r="Y1094" s="105">
        <v>0</v>
      </c>
      <c r="Z1094" s="105">
        <v>0</v>
      </c>
      <c r="AA1094" s="105">
        <v>0</v>
      </c>
      <c r="AB1094" s="105">
        <v>0</v>
      </c>
      <c r="AC1094" s="8">
        <f t="shared" si="112"/>
        <v>25500000</v>
      </c>
      <c r="AD1094" s="8">
        <f t="shared" si="113"/>
        <v>0</v>
      </c>
      <c r="AE1094" s="8">
        <f t="shared" si="114"/>
        <v>0</v>
      </c>
      <c r="AF1094" s="106">
        <f t="shared" si="115"/>
        <v>0</v>
      </c>
      <c r="AG1094" s="8">
        <f t="shared" si="116"/>
        <v>0</v>
      </c>
      <c r="AH1094" s="8">
        <f>IF($O1094="Aktif",MAX(0,MIN($AE1094,$AD1094-SUM($AG1094:AG1094))),0)</f>
        <v>0</v>
      </c>
      <c r="AI1094" s="8">
        <f>IF($O1094="Aktif",MAX(0,MIN($AE1094,$AD1094-SUM($AG1094:AH1094))),0)</f>
        <v>0</v>
      </c>
      <c r="AJ1094" s="8">
        <f>IF($O1094="Aktif",MAX(0,MIN($AE1094,$AD1094-SUM($AG1094:AI1094))),0)</f>
        <v>0</v>
      </c>
      <c r="AK1094" s="8">
        <f>IF($O1094="Aktif",MAX(0,MIN($AE1094,$AD1094-SUM($AG1094:AJ1094))),0)</f>
        <v>0</v>
      </c>
      <c r="AL1094" s="8">
        <f>IF($O1094="Aktif",MAX(0,MIN($AE1094,$AD1094-SUM($AG1094:AK1094))),0)</f>
        <v>0</v>
      </c>
      <c r="AM1094" s="8">
        <f>IF($O1094="Aktif",MAX(0,MIN($AE1094,$AD1094-SUM($AG1094:AL1094))),0)</f>
        <v>0</v>
      </c>
      <c r="AN1094" s="8">
        <f>IF($O1094="Aktif",MAX(0,MIN($AE1094,$AD1094-SUM($AG1094:AM1094))),0)</f>
        <v>0</v>
      </c>
      <c r="AO1094" s="8">
        <f>IF($O1094="Aktif",MAX(0,MIN($AE1094,$AD1094-SUM($AG1094:AN1094))),0)</f>
        <v>0</v>
      </c>
      <c r="AP1094" s="8">
        <f>IF($O1094="Aktif",MAX(0,MIN($AE1094,$AD1094-SUM($AG1094:AO1094))),0)</f>
        <v>0</v>
      </c>
      <c r="AQ1094" s="8">
        <f>IF($O1094="Aktif",MAX(0,MIN($AE1094,$AD1094-SUM($AG1094:AP1094))),0)</f>
        <v>0</v>
      </c>
      <c r="AR1094" s="8">
        <f>IF($O1094="Aktif",MAX(0,MIN($AE1094,$AD1094-SUM($AG1094:AQ1094))),0)</f>
        <v>0</v>
      </c>
      <c r="AS1094" s="8">
        <f>IF($O1094="Aktif",MAX(0,MIN($AE1094,$AD1094-SUM($AG1094:AR1094))),0)</f>
        <v>0</v>
      </c>
      <c r="AT1094" s="8">
        <f>IF($O1094="Aktif",MAX(0,MIN($AE1094,$AD1094-SUM($AG1094:AS1094))),0)</f>
        <v>0</v>
      </c>
      <c r="AU1094" s="8">
        <f>IF($O1094="Aktif",MAX(0,MIN($AE1094,$AD1094-SUM($AG1094:AT1094))),0)</f>
        <v>0</v>
      </c>
      <c r="AV1094" s="8">
        <f>IF($O1094="Aktif",MAX(0,MIN($AE1094,$AD1094-SUM($AG1094:AU1094))),0)</f>
        <v>0</v>
      </c>
      <c r="AW1094" s="8">
        <f t="shared" si="117"/>
        <v>0</v>
      </c>
      <c r="AX1094" s="8">
        <f t="shared" si="118"/>
        <v>0</v>
      </c>
    </row>
    <row r="1095" spans="1:50" ht="15" customHeight="1" x14ac:dyDescent="0.35">
      <c r="A1095" s="102">
        <v>1089</v>
      </c>
      <c r="B1095" s="102" t="s">
        <v>2815</v>
      </c>
      <c r="C1095" s="103">
        <v>111</v>
      </c>
      <c r="D1095" s="102" t="s">
        <v>186</v>
      </c>
      <c r="E1095" s="102" t="s">
        <v>587</v>
      </c>
      <c r="F1095" s="102" t="s">
        <v>2816</v>
      </c>
      <c r="G1095" s="102" t="s">
        <v>2817</v>
      </c>
      <c r="H1095" s="102" t="s">
        <v>2818</v>
      </c>
      <c r="I1095" s="102" t="s">
        <v>63</v>
      </c>
      <c r="J1095" s="102" t="s">
        <v>3053</v>
      </c>
      <c r="K1095" s="102" t="s">
        <v>591</v>
      </c>
      <c r="L1095" s="104">
        <v>41411</v>
      </c>
      <c r="M1095" s="102" t="s">
        <v>3054</v>
      </c>
      <c r="N1095" s="102" t="s">
        <v>3055</v>
      </c>
      <c r="O1095" s="102" t="s">
        <v>383</v>
      </c>
      <c r="P1095" s="103">
        <v>1</v>
      </c>
      <c r="Q1095" s="105">
        <v>65000000</v>
      </c>
      <c r="R1095" s="103">
        <v>48</v>
      </c>
      <c r="S1095" s="105">
        <v>0</v>
      </c>
      <c r="T1095" s="105">
        <v>65000000</v>
      </c>
      <c r="U1095" s="105">
        <v>0</v>
      </c>
      <c r="V1095" s="105">
        <v>0</v>
      </c>
      <c r="W1095" s="105">
        <v>0</v>
      </c>
      <c r="X1095" s="105">
        <v>0</v>
      </c>
      <c r="Y1095" s="105">
        <v>0</v>
      </c>
      <c r="Z1095" s="105">
        <v>0</v>
      </c>
      <c r="AA1095" s="105">
        <v>0</v>
      </c>
      <c r="AB1095" s="105">
        <v>0</v>
      </c>
      <c r="AC1095" s="8">
        <f t="shared" ref="AC1095:AC1158" si="119">T1095+SUM(U1095:AB1095)</f>
        <v>65000000</v>
      </c>
      <c r="AD1095" s="8">
        <f t="shared" ref="AD1095:AD1158" si="120">Q1095-AC1095</f>
        <v>0</v>
      </c>
      <c r="AE1095" s="8">
        <f t="shared" ref="AE1095:AE1158" si="121">IF(O1095="Aktif",AB1095,0)</f>
        <v>0</v>
      </c>
      <c r="AF1095" s="106">
        <f t="shared" ref="AF1095:AF1158" si="122">IF(AE1095&gt;0,MAX(0,AD1095)/AE1095,0)</f>
        <v>0</v>
      </c>
      <c r="AG1095" s="8">
        <f t="shared" ref="AG1095:AG1158" si="123">IF($O1095="Aktif",MAX(0,MIN($AE1095,$AD1095-0)),0)</f>
        <v>0</v>
      </c>
      <c r="AH1095" s="8">
        <f>IF($O1095="Aktif",MAX(0,MIN($AE1095,$AD1095-SUM($AG1095:AG1095))),0)</f>
        <v>0</v>
      </c>
      <c r="AI1095" s="8">
        <f>IF($O1095="Aktif",MAX(0,MIN($AE1095,$AD1095-SUM($AG1095:AH1095))),0)</f>
        <v>0</v>
      </c>
      <c r="AJ1095" s="8">
        <f>IF($O1095="Aktif",MAX(0,MIN($AE1095,$AD1095-SUM($AG1095:AI1095))),0)</f>
        <v>0</v>
      </c>
      <c r="AK1095" s="8">
        <f>IF($O1095="Aktif",MAX(0,MIN($AE1095,$AD1095-SUM($AG1095:AJ1095))),0)</f>
        <v>0</v>
      </c>
      <c r="AL1095" s="8">
        <f>IF($O1095="Aktif",MAX(0,MIN($AE1095,$AD1095-SUM($AG1095:AK1095))),0)</f>
        <v>0</v>
      </c>
      <c r="AM1095" s="8">
        <f>IF($O1095="Aktif",MAX(0,MIN($AE1095,$AD1095-SUM($AG1095:AL1095))),0)</f>
        <v>0</v>
      </c>
      <c r="AN1095" s="8">
        <f>IF($O1095="Aktif",MAX(0,MIN($AE1095,$AD1095-SUM($AG1095:AM1095))),0)</f>
        <v>0</v>
      </c>
      <c r="AO1095" s="8">
        <f>IF($O1095="Aktif",MAX(0,MIN($AE1095,$AD1095-SUM($AG1095:AN1095))),0)</f>
        <v>0</v>
      </c>
      <c r="AP1095" s="8">
        <f>IF($O1095="Aktif",MAX(0,MIN($AE1095,$AD1095-SUM($AG1095:AO1095))),0)</f>
        <v>0</v>
      </c>
      <c r="AQ1095" s="8">
        <f>IF($O1095="Aktif",MAX(0,MIN($AE1095,$AD1095-SUM($AG1095:AP1095))),0)</f>
        <v>0</v>
      </c>
      <c r="AR1095" s="8">
        <f>IF($O1095="Aktif",MAX(0,MIN($AE1095,$AD1095-SUM($AG1095:AQ1095))),0)</f>
        <v>0</v>
      </c>
      <c r="AS1095" s="8">
        <f>IF($O1095="Aktif",MAX(0,MIN($AE1095,$AD1095-SUM($AG1095:AR1095))),0)</f>
        <v>0</v>
      </c>
      <c r="AT1095" s="8">
        <f>IF($O1095="Aktif",MAX(0,MIN($AE1095,$AD1095-SUM($AG1095:AS1095))),0)</f>
        <v>0</v>
      </c>
      <c r="AU1095" s="8">
        <f>IF($O1095="Aktif",MAX(0,MIN($AE1095,$AD1095-SUM($AG1095:AT1095))),0)</f>
        <v>0</v>
      </c>
      <c r="AV1095" s="8">
        <f>IF($O1095="Aktif",MAX(0,MIN($AE1095,$AD1095-SUM($AG1095:AU1095))),0)</f>
        <v>0</v>
      </c>
      <c r="AW1095" s="8">
        <f t="shared" ref="AW1095:AW1158" si="124">SUM(AG1095:AV1095)</f>
        <v>0</v>
      </c>
      <c r="AX1095" s="8">
        <f t="shared" ref="AX1095:AX1158" si="125">AD1095-AW1095</f>
        <v>0</v>
      </c>
    </row>
    <row r="1096" spans="1:50" ht="15" customHeight="1" x14ac:dyDescent="0.35">
      <c r="A1096" s="102">
        <v>1090</v>
      </c>
      <c r="B1096" s="102" t="s">
        <v>2815</v>
      </c>
      <c r="C1096" s="103">
        <v>112</v>
      </c>
      <c r="D1096" s="102" t="s">
        <v>186</v>
      </c>
      <c r="E1096" s="102" t="s">
        <v>587</v>
      </c>
      <c r="F1096" s="102" t="s">
        <v>2816</v>
      </c>
      <c r="G1096" s="102" t="s">
        <v>2817</v>
      </c>
      <c r="H1096" s="102" t="s">
        <v>2818</v>
      </c>
      <c r="I1096" s="102" t="s">
        <v>63</v>
      </c>
      <c r="J1096" s="102" t="s">
        <v>3056</v>
      </c>
      <c r="K1096" s="102" t="s">
        <v>591</v>
      </c>
      <c r="L1096" s="104">
        <v>41446</v>
      </c>
      <c r="M1096" s="102" t="s">
        <v>3057</v>
      </c>
      <c r="N1096" s="102" t="s">
        <v>3058</v>
      </c>
      <c r="O1096" s="102" t="s">
        <v>383</v>
      </c>
      <c r="P1096" s="103">
        <v>1</v>
      </c>
      <c r="Q1096" s="105">
        <v>2920000</v>
      </c>
      <c r="R1096" s="103">
        <v>48</v>
      </c>
      <c r="S1096" s="105">
        <v>0</v>
      </c>
      <c r="T1096" s="105">
        <v>2920000</v>
      </c>
      <c r="U1096" s="105">
        <v>0</v>
      </c>
      <c r="V1096" s="105">
        <v>0</v>
      </c>
      <c r="W1096" s="105">
        <v>0</v>
      </c>
      <c r="X1096" s="105">
        <v>0</v>
      </c>
      <c r="Y1096" s="105">
        <v>0</v>
      </c>
      <c r="Z1096" s="105">
        <v>0</v>
      </c>
      <c r="AA1096" s="105">
        <v>0</v>
      </c>
      <c r="AB1096" s="105">
        <v>0</v>
      </c>
      <c r="AC1096" s="8">
        <f t="shared" si="119"/>
        <v>2920000</v>
      </c>
      <c r="AD1096" s="8">
        <f t="shared" si="120"/>
        <v>0</v>
      </c>
      <c r="AE1096" s="8">
        <f t="shared" si="121"/>
        <v>0</v>
      </c>
      <c r="AF1096" s="106">
        <f t="shared" si="122"/>
        <v>0</v>
      </c>
      <c r="AG1096" s="8">
        <f t="shared" si="123"/>
        <v>0</v>
      </c>
      <c r="AH1096" s="8">
        <f>IF($O1096="Aktif",MAX(0,MIN($AE1096,$AD1096-SUM($AG1096:AG1096))),0)</f>
        <v>0</v>
      </c>
      <c r="AI1096" s="8">
        <f>IF($O1096="Aktif",MAX(0,MIN($AE1096,$AD1096-SUM($AG1096:AH1096))),0)</f>
        <v>0</v>
      </c>
      <c r="AJ1096" s="8">
        <f>IF($O1096="Aktif",MAX(0,MIN($AE1096,$AD1096-SUM($AG1096:AI1096))),0)</f>
        <v>0</v>
      </c>
      <c r="AK1096" s="8">
        <f>IF($O1096="Aktif",MAX(0,MIN($AE1096,$AD1096-SUM($AG1096:AJ1096))),0)</f>
        <v>0</v>
      </c>
      <c r="AL1096" s="8">
        <f>IF($O1096="Aktif",MAX(0,MIN($AE1096,$AD1096-SUM($AG1096:AK1096))),0)</f>
        <v>0</v>
      </c>
      <c r="AM1096" s="8">
        <f>IF($O1096="Aktif",MAX(0,MIN($AE1096,$AD1096-SUM($AG1096:AL1096))),0)</f>
        <v>0</v>
      </c>
      <c r="AN1096" s="8">
        <f>IF($O1096="Aktif",MAX(0,MIN($AE1096,$AD1096-SUM($AG1096:AM1096))),0)</f>
        <v>0</v>
      </c>
      <c r="AO1096" s="8">
        <f>IF($O1096="Aktif",MAX(0,MIN($AE1096,$AD1096-SUM($AG1096:AN1096))),0)</f>
        <v>0</v>
      </c>
      <c r="AP1096" s="8">
        <f>IF($O1096="Aktif",MAX(0,MIN($AE1096,$AD1096-SUM($AG1096:AO1096))),0)</f>
        <v>0</v>
      </c>
      <c r="AQ1096" s="8">
        <f>IF($O1096="Aktif",MAX(0,MIN($AE1096,$AD1096-SUM($AG1096:AP1096))),0)</f>
        <v>0</v>
      </c>
      <c r="AR1096" s="8">
        <f>IF($O1096="Aktif",MAX(0,MIN($AE1096,$AD1096-SUM($AG1096:AQ1096))),0)</f>
        <v>0</v>
      </c>
      <c r="AS1096" s="8">
        <f>IF($O1096="Aktif",MAX(0,MIN($AE1096,$AD1096-SUM($AG1096:AR1096))),0)</f>
        <v>0</v>
      </c>
      <c r="AT1096" s="8">
        <f>IF($O1096="Aktif",MAX(0,MIN($AE1096,$AD1096-SUM($AG1096:AS1096))),0)</f>
        <v>0</v>
      </c>
      <c r="AU1096" s="8">
        <f>IF($O1096="Aktif",MAX(0,MIN($AE1096,$AD1096-SUM($AG1096:AT1096))),0)</f>
        <v>0</v>
      </c>
      <c r="AV1096" s="8">
        <f>IF($O1096="Aktif",MAX(0,MIN($AE1096,$AD1096-SUM($AG1096:AU1096))),0)</f>
        <v>0</v>
      </c>
      <c r="AW1096" s="8">
        <f t="shared" si="124"/>
        <v>0</v>
      </c>
      <c r="AX1096" s="8">
        <f t="shared" si="125"/>
        <v>0</v>
      </c>
    </row>
    <row r="1097" spans="1:50" ht="15" customHeight="1" x14ac:dyDescent="0.35">
      <c r="A1097" s="102">
        <v>1091</v>
      </c>
      <c r="B1097" s="102" t="s">
        <v>2815</v>
      </c>
      <c r="C1097" s="103">
        <v>113</v>
      </c>
      <c r="D1097" s="102" t="s">
        <v>186</v>
      </c>
      <c r="E1097" s="102" t="s">
        <v>587</v>
      </c>
      <c r="F1097" s="102" t="s">
        <v>2816</v>
      </c>
      <c r="G1097" s="102" t="s">
        <v>2817</v>
      </c>
      <c r="H1097" s="102" t="s">
        <v>2818</v>
      </c>
      <c r="I1097" s="102" t="s">
        <v>63</v>
      </c>
      <c r="J1097" s="102" t="s">
        <v>3059</v>
      </c>
      <c r="K1097" s="102" t="s">
        <v>591</v>
      </c>
      <c r="L1097" s="104">
        <v>41446</v>
      </c>
      <c r="M1097" s="102" t="s">
        <v>3060</v>
      </c>
      <c r="N1097" s="102" t="s">
        <v>3061</v>
      </c>
      <c r="O1097" s="102" t="s">
        <v>383</v>
      </c>
      <c r="P1097" s="103">
        <v>1</v>
      </c>
      <c r="Q1097" s="105">
        <v>460000</v>
      </c>
      <c r="R1097" s="103">
        <v>48</v>
      </c>
      <c r="S1097" s="105">
        <v>0</v>
      </c>
      <c r="T1097" s="105">
        <v>460000</v>
      </c>
      <c r="U1097" s="105">
        <v>0</v>
      </c>
      <c r="V1097" s="105">
        <v>0</v>
      </c>
      <c r="W1097" s="105">
        <v>0</v>
      </c>
      <c r="X1097" s="105">
        <v>0</v>
      </c>
      <c r="Y1097" s="105">
        <v>0</v>
      </c>
      <c r="Z1097" s="105">
        <v>0</v>
      </c>
      <c r="AA1097" s="105">
        <v>0</v>
      </c>
      <c r="AB1097" s="105">
        <v>0</v>
      </c>
      <c r="AC1097" s="8">
        <f t="shared" si="119"/>
        <v>460000</v>
      </c>
      <c r="AD1097" s="8">
        <f t="shared" si="120"/>
        <v>0</v>
      </c>
      <c r="AE1097" s="8">
        <f t="shared" si="121"/>
        <v>0</v>
      </c>
      <c r="AF1097" s="106">
        <f t="shared" si="122"/>
        <v>0</v>
      </c>
      <c r="AG1097" s="8">
        <f t="shared" si="123"/>
        <v>0</v>
      </c>
      <c r="AH1097" s="8">
        <f>IF($O1097="Aktif",MAX(0,MIN($AE1097,$AD1097-SUM($AG1097:AG1097))),0)</f>
        <v>0</v>
      </c>
      <c r="AI1097" s="8">
        <f>IF($O1097="Aktif",MAX(0,MIN($AE1097,$AD1097-SUM($AG1097:AH1097))),0)</f>
        <v>0</v>
      </c>
      <c r="AJ1097" s="8">
        <f>IF($O1097="Aktif",MAX(0,MIN($AE1097,$AD1097-SUM($AG1097:AI1097))),0)</f>
        <v>0</v>
      </c>
      <c r="AK1097" s="8">
        <f>IF($O1097="Aktif",MAX(0,MIN($AE1097,$AD1097-SUM($AG1097:AJ1097))),0)</f>
        <v>0</v>
      </c>
      <c r="AL1097" s="8">
        <f>IF($O1097="Aktif",MAX(0,MIN($AE1097,$AD1097-SUM($AG1097:AK1097))),0)</f>
        <v>0</v>
      </c>
      <c r="AM1097" s="8">
        <f>IF($O1097="Aktif",MAX(0,MIN($AE1097,$AD1097-SUM($AG1097:AL1097))),0)</f>
        <v>0</v>
      </c>
      <c r="AN1097" s="8">
        <f>IF($O1097="Aktif",MAX(0,MIN($AE1097,$AD1097-SUM($AG1097:AM1097))),0)</f>
        <v>0</v>
      </c>
      <c r="AO1097" s="8">
        <f>IF($O1097="Aktif",MAX(0,MIN($AE1097,$AD1097-SUM($AG1097:AN1097))),0)</f>
        <v>0</v>
      </c>
      <c r="AP1097" s="8">
        <f>IF($O1097="Aktif",MAX(0,MIN($AE1097,$AD1097-SUM($AG1097:AO1097))),0)</f>
        <v>0</v>
      </c>
      <c r="AQ1097" s="8">
        <f>IF($O1097="Aktif",MAX(0,MIN($AE1097,$AD1097-SUM($AG1097:AP1097))),0)</f>
        <v>0</v>
      </c>
      <c r="AR1097" s="8">
        <f>IF($O1097="Aktif",MAX(0,MIN($AE1097,$AD1097-SUM($AG1097:AQ1097))),0)</f>
        <v>0</v>
      </c>
      <c r="AS1097" s="8">
        <f>IF($O1097="Aktif",MAX(0,MIN($AE1097,$AD1097-SUM($AG1097:AR1097))),0)</f>
        <v>0</v>
      </c>
      <c r="AT1097" s="8">
        <f>IF($O1097="Aktif",MAX(0,MIN($AE1097,$AD1097-SUM($AG1097:AS1097))),0)</f>
        <v>0</v>
      </c>
      <c r="AU1097" s="8">
        <f>IF($O1097="Aktif",MAX(0,MIN($AE1097,$AD1097-SUM($AG1097:AT1097))),0)</f>
        <v>0</v>
      </c>
      <c r="AV1097" s="8">
        <f>IF($O1097="Aktif",MAX(0,MIN($AE1097,$AD1097-SUM($AG1097:AU1097))),0)</f>
        <v>0</v>
      </c>
      <c r="AW1097" s="8">
        <f t="shared" si="124"/>
        <v>0</v>
      </c>
      <c r="AX1097" s="8">
        <f t="shared" si="125"/>
        <v>0</v>
      </c>
    </row>
    <row r="1098" spans="1:50" ht="15" customHeight="1" x14ac:dyDescent="0.35">
      <c r="A1098" s="102">
        <v>1092</v>
      </c>
      <c r="B1098" s="102" t="s">
        <v>2815</v>
      </c>
      <c r="C1098" s="103">
        <v>114</v>
      </c>
      <c r="D1098" s="102" t="s">
        <v>186</v>
      </c>
      <c r="E1098" s="102" t="s">
        <v>587</v>
      </c>
      <c r="F1098" s="102" t="s">
        <v>2816</v>
      </c>
      <c r="G1098" s="102" t="s">
        <v>2817</v>
      </c>
      <c r="H1098" s="102" t="s">
        <v>2818</v>
      </c>
      <c r="I1098" s="102" t="s">
        <v>63</v>
      </c>
      <c r="J1098" s="102" t="s">
        <v>3062</v>
      </c>
      <c r="K1098" s="102" t="s">
        <v>591</v>
      </c>
      <c r="L1098" s="104">
        <v>41450</v>
      </c>
      <c r="M1098" s="102" t="s">
        <v>3063</v>
      </c>
      <c r="N1098" s="102" t="s">
        <v>3064</v>
      </c>
      <c r="O1098" s="102" t="s">
        <v>383</v>
      </c>
      <c r="P1098" s="103">
        <v>1</v>
      </c>
      <c r="Q1098" s="105">
        <v>19200000</v>
      </c>
      <c r="R1098" s="103">
        <v>48</v>
      </c>
      <c r="S1098" s="105">
        <v>0</v>
      </c>
      <c r="T1098" s="105">
        <v>19200000</v>
      </c>
      <c r="U1098" s="105">
        <v>0</v>
      </c>
      <c r="V1098" s="105">
        <v>0</v>
      </c>
      <c r="W1098" s="105">
        <v>0</v>
      </c>
      <c r="X1098" s="105">
        <v>0</v>
      </c>
      <c r="Y1098" s="105">
        <v>0</v>
      </c>
      <c r="Z1098" s="105">
        <v>0</v>
      </c>
      <c r="AA1098" s="105">
        <v>0</v>
      </c>
      <c r="AB1098" s="105">
        <v>0</v>
      </c>
      <c r="AC1098" s="8">
        <f t="shared" si="119"/>
        <v>19200000</v>
      </c>
      <c r="AD1098" s="8">
        <f t="shared" si="120"/>
        <v>0</v>
      </c>
      <c r="AE1098" s="8">
        <f t="shared" si="121"/>
        <v>0</v>
      </c>
      <c r="AF1098" s="106">
        <f t="shared" si="122"/>
        <v>0</v>
      </c>
      <c r="AG1098" s="8">
        <f t="shared" si="123"/>
        <v>0</v>
      </c>
      <c r="AH1098" s="8">
        <f>IF($O1098="Aktif",MAX(0,MIN($AE1098,$AD1098-SUM($AG1098:AG1098))),0)</f>
        <v>0</v>
      </c>
      <c r="AI1098" s="8">
        <f>IF($O1098="Aktif",MAX(0,MIN($AE1098,$AD1098-SUM($AG1098:AH1098))),0)</f>
        <v>0</v>
      </c>
      <c r="AJ1098" s="8">
        <f>IF($O1098="Aktif",MAX(0,MIN($AE1098,$AD1098-SUM($AG1098:AI1098))),0)</f>
        <v>0</v>
      </c>
      <c r="AK1098" s="8">
        <f>IF($O1098="Aktif",MAX(0,MIN($AE1098,$AD1098-SUM($AG1098:AJ1098))),0)</f>
        <v>0</v>
      </c>
      <c r="AL1098" s="8">
        <f>IF($O1098="Aktif",MAX(0,MIN($AE1098,$AD1098-SUM($AG1098:AK1098))),0)</f>
        <v>0</v>
      </c>
      <c r="AM1098" s="8">
        <f>IF($O1098="Aktif",MAX(0,MIN($AE1098,$AD1098-SUM($AG1098:AL1098))),0)</f>
        <v>0</v>
      </c>
      <c r="AN1098" s="8">
        <f>IF($O1098="Aktif",MAX(0,MIN($AE1098,$AD1098-SUM($AG1098:AM1098))),0)</f>
        <v>0</v>
      </c>
      <c r="AO1098" s="8">
        <f>IF($O1098="Aktif",MAX(0,MIN($AE1098,$AD1098-SUM($AG1098:AN1098))),0)</f>
        <v>0</v>
      </c>
      <c r="AP1098" s="8">
        <f>IF($O1098="Aktif",MAX(0,MIN($AE1098,$AD1098-SUM($AG1098:AO1098))),0)</f>
        <v>0</v>
      </c>
      <c r="AQ1098" s="8">
        <f>IF($O1098="Aktif",MAX(0,MIN($AE1098,$AD1098-SUM($AG1098:AP1098))),0)</f>
        <v>0</v>
      </c>
      <c r="AR1098" s="8">
        <f>IF($O1098="Aktif",MAX(0,MIN($AE1098,$AD1098-SUM($AG1098:AQ1098))),0)</f>
        <v>0</v>
      </c>
      <c r="AS1098" s="8">
        <f>IF($O1098="Aktif",MAX(0,MIN($AE1098,$AD1098-SUM($AG1098:AR1098))),0)</f>
        <v>0</v>
      </c>
      <c r="AT1098" s="8">
        <f>IF($O1098="Aktif",MAX(0,MIN($AE1098,$AD1098-SUM($AG1098:AS1098))),0)</f>
        <v>0</v>
      </c>
      <c r="AU1098" s="8">
        <f>IF($O1098="Aktif",MAX(0,MIN($AE1098,$AD1098-SUM($AG1098:AT1098))),0)</f>
        <v>0</v>
      </c>
      <c r="AV1098" s="8">
        <f>IF($O1098="Aktif",MAX(0,MIN($AE1098,$AD1098-SUM($AG1098:AU1098))),0)</f>
        <v>0</v>
      </c>
      <c r="AW1098" s="8">
        <f t="shared" si="124"/>
        <v>0</v>
      </c>
      <c r="AX1098" s="8">
        <f t="shared" si="125"/>
        <v>0</v>
      </c>
    </row>
    <row r="1099" spans="1:50" ht="15" customHeight="1" x14ac:dyDescent="0.35">
      <c r="A1099" s="102">
        <v>1093</v>
      </c>
      <c r="B1099" s="102" t="s">
        <v>2815</v>
      </c>
      <c r="C1099" s="103">
        <v>115</v>
      </c>
      <c r="D1099" s="102" t="s">
        <v>186</v>
      </c>
      <c r="E1099" s="102" t="s">
        <v>587</v>
      </c>
      <c r="F1099" s="102" t="s">
        <v>2816</v>
      </c>
      <c r="G1099" s="102" t="s">
        <v>2817</v>
      </c>
      <c r="H1099" s="102" t="s">
        <v>2818</v>
      </c>
      <c r="I1099" s="102" t="s">
        <v>63</v>
      </c>
      <c r="J1099" s="102" t="s">
        <v>3065</v>
      </c>
      <c r="K1099" s="102" t="s">
        <v>591</v>
      </c>
      <c r="L1099" s="104">
        <v>41547</v>
      </c>
      <c r="M1099" s="102" t="s">
        <v>3066</v>
      </c>
      <c r="N1099" s="102" t="s">
        <v>3066</v>
      </c>
      <c r="O1099" s="102" t="s">
        <v>383</v>
      </c>
      <c r="P1099" s="103">
        <v>1</v>
      </c>
      <c r="Q1099" s="105">
        <v>48000000</v>
      </c>
      <c r="R1099" s="103">
        <v>48</v>
      </c>
      <c r="S1099" s="105">
        <v>0</v>
      </c>
      <c r="T1099" s="105">
        <v>48000000</v>
      </c>
      <c r="U1099" s="105">
        <v>0</v>
      </c>
      <c r="V1099" s="105">
        <v>0</v>
      </c>
      <c r="W1099" s="105">
        <v>0</v>
      </c>
      <c r="X1099" s="105">
        <v>0</v>
      </c>
      <c r="Y1099" s="105">
        <v>0</v>
      </c>
      <c r="Z1099" s="105">
        <v>0</v>
      </c>
      <c r="AA1099" s="105">
        <v>0</v>
      </c>
      <c r="AB1099" s="105">
        <v>0</v>
      </c>
      <c r="AC1099" s="8">
        <f t="shared" si="119"/>
        <v>48000000</v>
      </c>
      <c r="AD1099" s="8">
        <f t="shared" si="120"/>
        <v>0</v>
      </c>
      <c r="AE1099" s="8">
        <f t="shared" si="121"/>
        <v>0</v>
      </c>
      <c r="AF1099" s="106">
        <f t="shared" si="122"/>
        <v>0</v>
      </c>
      <c r="AG1099" s="8">
        <f t="shared" si="123"/>
        <v>0</v>
      </c>
      <c r="AH1099" s="8">
        <f>IF($O1099="Aktif",MAX(0,MIN($AE1099,$AD1099-SUM($AG1099:AG1099))),0)</f>
        <v>0</v>
      </c>
      <c r="AI1099" s="8">
        <f>IF($O1099="Aktif",MAX(0,MIN($AE1099,$AD1099-SUM($AG1099:AH1099))),0)</f>
        <v>0</v>
      </c>
      <c r="AJ1099" s="8">
        <f>IF($O1099="Aktif",MAX(0,MIN($AE1099,$AD1099-SUM($AG1099:AI1099))),0)</f>
        <v>0</v>
      </c>
      <c r="AK1099" s="8">
        <f>IF($O1099="Aktif",MAX(0,MIN($AE1099,$AD1099-SUM($AG1099:AJ1099))),0)</f>
        <v>0</v>
      </c>
      <c r="AL1099" s="8">
        <f>IF($O1099="Aktif",MAX(0,MIN($AE1099,$AD1099-SUM($AG1099:AK1099))),0)</f>
        <v>0</v>
      </c>
      <c r="AM1099" s="8">
        <f>IF($O1099="Aktif",MAX(0,MIN($AE1099,$AD1099-SUM($AG1099:AL1099))),0)</f>
        <v>0</v>
      </c>
      <c r="AN1099" s="8">
        <f>IF($O1099="Aktif",MAX(0,MIN($AE1099,$AD1099-SUM($AG1099:AM1099))),0)</f>
        <v>0</v>
      </c>
      <c r="AO1099" s="8">
        <f>IF($O1099="Aktif",MAX(0,MIN($AE1099,$AD1099-SUM($AG1099:AN1099))),0)</f>
        <v>0</v>
      </c>
      <c r="AP1099" s="8">
        <f>IF($O1099="Aktif",MAX(0,MIN($AE1099,$AD1099-SUM($AG1099:AO1099))),0)</f>
        <v>0</v>
      </c>
      <c r="AQ1099" s="8">
        <f>IF($O1099="Aktif",MAX(0,MIN($AE1099,$AD1099-SUM($AG1099:AP1099))),0)</f>
        <v>0</v>
      </c>
      <c r="AR1099" s="8">
        <f>IF($O1099="Aktif",MAX(0,MIN($AE1099,$AD1099-SUM($AG1099:AQ1099))),0)</f>
        <v>0</v>
      </c>
      <c r="AS1099" s="8">
        <f>IF($O1099="Aktif",MAX(0,MIN($AE1099,$AD1099-SUM($AG1099:AR1099))),0)</f>
        <v>0</v>
      </c>
      <c r="AT1099" s="8">
        <f>IF($O1099="Aktif",MAX(0,MIN($AE1099,$AD1099-SUM($AG1099:AS1099))),0)</f>
        <v>0</v>
      </c>
      <c r="AU1099" s="8">
        <f>IF($O1099="Aktif",MAX(0,MIN($AE1099,$AD1099-SUM($AG1099:AT1099))),0)</f>
        <v>0</v>
      </c>
      <c r="AV1099" s="8">
        <f>IF($O1099="Aktif",MAX(0,MIN($AE1099,$AD1099-SUM($AG1099:AU1099))),0)</f>
        <v>0</v>
      </c>
      <c r="AW1099" s="8">
        <f t="shared" si="124"/>
        <v>0</v>
      </c>
      <c r="AX1099" s="8">
        <f t="shared" si="125"/>
        <v>0</v>
      </c>
    </row>
    <row r="1100" spans="1:50" ht="15" customHeight="1" x14ac:dyDescent="0.35">
      <c r="A1100" s="102">
        <v>1094</v>
      </c>
      <c r="B1100" s="102" t="s">
        <v>2815</v>
      </c>
      <c r="C1100" s="103">
        <v>116</v>
      </c>
      <c r="D1100" s="102" t="s">
        <v>186</v>
      </c>
      <c r="E1100" s="102" t="s">
        <v>587</v>
      </c>
      <c r="F1100" s="102" t="s">
        <v>2816</v>
      </c>
      <c r="G1100" s="102" t="s">
        <v>2817</v>
      </c>
      <c r="H1100" s="102" t="s">
        <v>2818</v>
      </c>
      <c r="I1100" s="102" t="s">
        <v>63</v>
      </c>
      <c r="J1100" s="102" t="s">
        <v>3067</v>
      </c>
      <c r="K1100" s="102" t="s">
        <v>591</v>
      </c>
      <c r="L1100" s="104">
        <v>41882</v>
      </c>
      <c r="M1100" s="102" t="s">
        <v>1899</v>
      </c>
      <c r="N1100" s="102" t="s">
        <v>3068</v>
      </c>
      <c r="O1100" s="102" t="s">
        <v>383</v>
      </c>
      <c r="P1100" s="103">
        <v>1</v>
      </c>
      <c r="Q1100" s="105">
        <v>85078950</v>
      </c>
      <c r="R1100" s="103">
        <v>48</v>
      </c>
      <c r="S1100" s="105">
        <v>0</v>
      </c>
      <c r="T1100" s="105">
        <v>85078950</v>
      </c>
      <c r="U1100" s="105">
        <v>0</v>
      </c>
      <c r="V1100" s="105">
        <v>0</v>
      </c>
      <c r="W1100" s="105">
        <v>0</v>
      </c>
      <c r="X1100" s="105">
        <v>0</v>
      </c>
      <c r="Y1100" s="105">
        <v>0</v>
      </c>
      <c r="Z1100" s="105">
        <v>0</v>
      </c>
      <c r="AA1100" s="105">
        <v>0</v>
      </c>
      <c r="AB1100" s="105">
        <v>0</v>
      </c>
      <c r="AC1100" s="8">
        <f t="shared" si="119"/>
        <v>85078950</v>
      </c>
      <c r="AD1100" s="8">
        <f t="shared" si="120"/>
        <v>0</v>
      </c>
      <c r="AE1100" s="8">
        <f t="shared" si="121"/>
        <v>0</v>
      </c>
      <c r="AF1100" s="106">
        <f t="shared" si="122"/>
        <v>0</v>
      </c>
      <c r="AG1100" s="8">
        <f t="shared" si="123"/>
        <v>0</v>
      </c>
      <c r="AH1100" s="8">
        <f>IF($O1100="Aktif",MAX(0,MIN($AE1100,$AD1100-SUM($AG1100:AG1100))),0)</f>
        <v>0</v>
      </c>
      <c r="AI1100" s="8">
        <f>IF($O1100="Aktif",MAX(0,MIN($AE1100,$AD1100-SUM($AG1100:AH1100))),0)</f>
        <v>0</v>
      </c>
      <c r="AJ1100" s="8">
        <f>IF($O1100="Aktif",MAX(0,MIN($AE1100,$AD1100-SUM($AG1100:AI1100))),0)</f>
        <v>0</v>
      </c>
      <c r="AK1100" s="8">
        <f>IF($O1100="Aktif",MAX(0,MIN($AE1100,$AD1100-SUM($AG1100:AJ1100))),0)</f>
        <v>0</v>
      </c>
      <c r="AL1100" s="8">
        <f>IF($O1100="Aktif",MAX(0,MIN($AE1100,$AD1100-SUM($AG1100:AK1100))),0)</f>
        <v>0</v>
      </c>
      <c r="AM1100" s="8">
        <f>IF($O1100="Aktif",MAX(0,MIN($AE1100,$AD1100-SUM($AG1100:AL1100))),0)</f>
        <v>0</v>
      </c>
      <c r="AN1100" s="8">
        <f>IF($O1100="Aktif",MAX(0,MIN($AE1100,$AD1100-SUM($AG1100:AM1100))),0)</f>
        <v>0</v>
      </c>
      <c r="AO1100" s="8">
        <f>IF($O1100="Aktif",MAX(0,MIN($AE1100,$AD1100-SUM($AG1100:AN1100))),0)</f>
        <v>0</v>
      </c>
      <c r="AP1100" s="8">
        <f>IF($O1100="Aktif",MAX(0,MIN($AE1100,$AD1100-SUM($AG1100:AO1100))),0)</f>
        <v>0</v>
      </c>
      <c r="AQ1100" s="8">
        <f>IF($O1100="Aktif",MAX(0,MIN($AE1100,$AD1100-SUM($AG1100:AP1100))),0)</f>
        <v>0</v>
      </c>
      <c r="AR1100" s="8">
        <f>IF($O1100="Aktif",MAX(0,MIN($AE1100,$AD1100-SUM($AG1100:AQ1100))),0)</f>
        <v>0</v>
      </c>
      <c r="AS1100" s="8">
        <f>IF($O1100="Aktif",MAX(0,MIN($AE1100,$AD1100-SUM($AG1100:AR1100))),0)</f>
        <v>0</v>
      </c>
      <c r="AT1100" s="8">
        <f>IF($O1100="Aktif",MAX(0,MIN($AE1100,$AD1100-SUM($AG1100:AS1100))),0)</f>
        <v>0</v>
      </c>
      <c r="AU1100" s="8">
        <f>IF($O1100="Aktif",MAX(0,MIN($AE1100,$AD1100-SUM($AG1100:AT1100))),0)</f>
        <v>0</v>
      </c>
      <c r="AV1100" s="8">
        <f>IF($O1100="Aktif",MAX(0,MIN($AE1100,$AD1100-SUM($AG1100:AU1100))),0)</f>
        <v>0</v>
      </c>
      <c r="AW1100" s="8">
        <f t="shared" si="124"/>
        <v>0</v>
      </c>
      <c r="AX1100" s="8">
        <f t="shared" si="125"/>
        <v>0</v>
      </c>
    </row>
    <row r="1101" spans="1:50" ht="15" customHeight="1" x14ac:dyDescent="0.35">
      <c r="A1101" s="102">
        <v>1095</v>
      </c>
      <c r="B1101" s="102" t="s">
        <v>2815</v>
      </c>
      <c r="C1101" s="103">
        <v>117</v>
      </c>
      <c r="D1101" s="102" t="s">
        <v>186</v>
      </c>
      <c r="E1101" s="102" t="s">
        <v>587</v>
      </c>
      <c r="F1101" s="102" t="s">
        <v>2816</v>
      </c>
      <c r="G1101" s="102" t="s">
        <v>2817</v>
      </c>
      <c r="H1101" s="102" t="s">
        <v>2818</v>
      </c>
      <c r="I1101" s="102" t="s">
        <v>63</v>
      </c>
      <c r="J1101" s="102" t="s">
        <v>3069</v>
      </c>
      <c r="K1101" s="102" t="s">
        <v>591</v>
      </c>
      <c r="L1101" s="104">
        <v>41891</v>
      </c>
      <c r="M1101" s="102" t="s">
        <v>3070</v>
      </c>
      <c r="N1101" s="102" t="s">
        <v>3071</v>
      </c>
      <c r="O1101" s="102" t="s">
        <v>383</v>
      </c>
      <c r="P1101" s="103">
        <v>1</v>
      </c>
      <c r="Q1101" s="105">
        <v>38500000</v>
      </c>
      <c r="R1101" s="103">
        <v>48</v>
      </c>
      <c r="S1101" s="105">
        <v>0</v>
      </c>
      <c r="T1101" s="105">
        <v>38500000</v>
      </c>
      <c r="U1101" s="105">
        <v>0</v>
      </c>
      <c r="V1101" s="105">
        <v>0</v>
      </c>
      <c r="W1101" s="105">
        <v>0</v>
      </c>
      <c r="X1101" s="105">
        <v>0</v>
      </c>
      <c r="Y1101" s="105">
        <v>0</v>
      </c>
      <c r="Z1101" s="105">
        <v>0</v>
      </c>
      <c r="AA1101" s="105">
        <v>0</v>
      </c>
      <c r="AB1101" s="105">
        <v>0</v>
      </c>
      <c r="AC1101" s="8">
        <f t="shared" si="119"/>
        <v>38500000</v>
      </c>
      <c r="AD1101" s="8">
        <f t="shared" si="120"/>
        <v>0</v>
      </c>
      <c r="AE1101" s="8">
        <f t="shared" si="121"/>
        <v>0</v>
      </c>
      <c r="AF1101" s="106">
        <f t="shared" si="122"/>
        <v>0</v>
      </c>
      <c r="AG1101" s="8">
        <f t="shared" si="123"/>
        <v>0</v>
      </c>
      <c r="AH1101" s="8">
        <f>IF($O1101="Aktif",MAX(0,MIN($AE1101,$AD1101-SUM($AG1101:AG1101))),0)</f>
        <v>0</v>
      </c>
      <c r="AI1101" s="8">
        <f>IF($O1101="Aktif",MAX(0,MIN($AE1101,$AD1101-SUM($AG1101:AH1101))),0)</f>
        <v>0</v>
      </c>
      <c r="AJ1101" s="8">
        <f>IF($O1101="Aktif",MAX(0,MIN($AE1101,$AD1101-SUM($AG1101:AI1101))),0)</f>
        <v>0</v>
      </c>
      <c r="AK1101" s="8">
        <f>IF($O1101="Aktif",MAX(0,MIN($AE1101,$AD1101-SUM($AG1101:AJ1101))),0)</f>
        <v>0</v>
      </c>
      <c r="AL1101" s="8">
        <f>IF($O1101="Aktif",MAX(0,MIN($AE1101,$AD1101-SUM($AG1101:AK1101))),0)</f>
        <v>0</v>
      </c>
      <c r="AM1101" s="8">
        <f>IF($O1101="Aktif",MAX(0,MIN($AE1101,$AD1101-SUM($AG1101:AL1101))),0)</f>
        <v>0</v>
      </c>
      <c r="AN1101" s="8">
        <f>IF($O1101="Aktif",MAX(0,MIN($AE1101,$AD1101-SUM($AG1101:AM1101))),0)</f>
        <v>0</v>
      </c>
      <c r="AO1101" s="8">
        <f>IF($O1101="Aktif",MAX(0,MIN($AE1101,$AD1101-SUM($AG1101:AN1101))),0)</f>
        <v>0</v>
      </c>
      <c r="AP1101" s="8">
        <f>IF($O1101="Aktif",MAX(0,MIN($AE1101,$AD1101-SUM($AG1101:AO1101))),0)</f>
        <v>0</v>
      </c>
      <c r="AQ1101" s="8">
        <f>IF($O1101="Aktif",MAX(0,MIN($AE1101,$AD1101-SUM($AG1101:AP1101))),0)</f>
        <v>0</v>
      </c>
      <c r="AR1101" s="8">
        <f>IF($O1101="Aktif",MAX(0,MIN($AE1101,$AD1101-SUM($AG1101:AQ1101))),0)</f>
        <v>0</v>
      </c>
      <c r="AS1101" s="8">
        <f>IF($O1101="Aktif",MAX(0,MIN($AE1101,$AD1101-SUM($AG1101:AR1101))),0)</f>
        <v>0</v>
      </c>
      <c r="AT1101" s="8">
        <f>IF($O1101="Aktif",MAX(0,MIN($AE1101,$AD1101-SUM($AG1101:AS1101))),0)</f>
        <v>0</v>
      </c>
      <c r="AU1101" s="8">
        <f>IF($O1101="Aktif",MAX(0,MIN($AE1101,$AD1101-SUM($AG1101:AT1101))),0)</f>
        <v>0</v>
      </c>
      <c r="AV1101" s="8">
        <f>IF($O1101="Aktif",MAX(0,MIN($AE1101,$AD1101-SUM($AG1101:AU1101))),0)</f>
        <v>0</v>
      </c>
      <c r="AW1101" s="8">
        <f t="shared" si="124"/>
        <v>0</v>
      </c>
      <c r="AX1101" s="8">
        <f t="shared" si="125"/>
        <v>0</v>
      </c>
    </row>
    <row r="1102" spans="1:50" ht="15" customHeight="1" x14ac:dyDescent="0.35">
      <c r="A1102" s="102">
        <v>1096</v>
      </c>
      <c r="B1102" s="102" t="s">
        <v>2815</v>
      </c>
      <c r="C1102" s="103">
        <v>118</v>
      </c>
      <c r="D1102" s="102" t="s">
        <v>186</v>
      </c>
      <c r="E1102" s="102" t="s">
        <v>587</v>
      </c>
      <c r="F1102" s="102" t="s">
        <v>2816</v>
      </c>
      <c r="G1102" s="102" t="s">
        <v>2817</v>
      </c>
      <c r="H1102" s="102" t="s">
        <v>2818</v>
      </c>
      <c r="I1102" s="102" t="s">
        <v>63</v>
      </c>
      <c r="J1102" s="102" t="s">
        <v>3072</v>
      </c>
      <c r="K1102" s="102" t="s">
        <v>591</v>
      </c>
      <c r="L1102" s="104">
        <v>41908</v>
      </c>
      <c r="M1102" s="102" t="s">
        <v>3070</v>
      </c>
      <c r="N1102" s="102" t="s">
        <v>3071</v>
      </c>
      <c r="O1102" s="102" t="s">
        <v>383</v>
      </c>
      <c r="P1102" s="103">
        <v>1</v>
      </c>
      <c r="Q1102" s="105">
        <v>42539475</v>
      </c>
      <c r="R1102" s="103">
        <v>48</v>
      </c>
      <c r="S1102" s="105">
        <v>0</v>
      </c>
      <c r="T1102" s="105">
        <v>42539475</v>
      </c>
      <c r="U1102" s="105">
        <v>0</v>
      </c>
      <c r="V1102" s="105">
        <v>0</v>
      </c>
      <c r="W1102" s="105">
        <v>0</v>
      </c>
      <c r="X1102" s="105">
        <v>0</v>
      </c>
      <c r="Y1102" s="105">
        <v>0</v>
      </c>
      <c r="Z1102" s="105">
        <v>0</v>
      </c>
      <c r="AA1102" s="105">
        <v>0</v>
      </c>
      <c r="AB1102" s="105">
        <v>0</v>
      </c>
      <c r="AC1102" s="8">
        <f t="shared" si="119"/>
        <v>42539475</v>
      </c>
      <c r="AD1102" s="8">
        <f t="shared" si="120"/>
        <v>0</v>
      </c>
      <c r="AE1102" s="8">
        <f t="shared" si="121"/>
        <v>0</v>
      </c>
      <c r="AF1102" s="106">
        <f t="shared" si="122"/>
        <v>0</v>
      </c>
      <c r="AG1102" s="8">
        <f t="shared" si="123"/>
        <v>0</v>
      </c>
      <c r="AH1102" s="8">
        <f>IF($O1102="Aktif",MAX(0,MIN($AE1102,$AD1102-SUM($AG1102:AG1102))),0)</f>
        <v>0</v>
      </c>
      <c r="AI1102" s="8">
        <f>IF($O1102="Aktif",MAX(0,MIN($AE1102,$AD1102-SUM($AG1102:AH1102))),0)</f>
        <v>0</v>
      </c>
      <c r="AJ1102" s="8">
        <f>IF($O1102="Aktif",MAX(0,MIN($AE1102,$AD1102-SUM($AG1102:AI1102))),0)</f>
        <v>0</v>
      </c>
      <c r="AK1102" s="8">
        <f>IF($O1102="Aktif",MAX(0,MIN($AE1102,$AD1102-SUM($AG1102:AJ1102))),0)</f>
        <v>0</v>
      </c>
      <c r="AL1102" s="8">
        <f>IF($O1102="Aktif",MAX(0,MIN($AE1102,$AD1102-SUM($AG1102:AK1102))),0)</f>
        <v>0</v>
      </c>
      <c r="AM1102" s="8">
        <f>IF($O1102="Aktif",MAX(0,MIN($AE1102,$AD1102-SUM($AG1102:AL1102))),0)</f>
        <v>0</v>
      </c>
      <c r="AN1102" s="8">
        <f>IF($O1102="Aktif",MAX(0,MIN($AE1102,$AD1102-SUM($AG1102:AM1102))),0)</f>
        <v>0</v>
      </c>
      <c r="AO1102" s="8">
        <f>IF($O1102="Aktif",MAX(0,MIN($AE1102,$AD1102-SUM($AG1102:AN1102))),0)</f>
        <v>0</v>
      </c>
      <c r="AP1102" s="8">
        <f>IF($O1102="Aktif",MAX(0,MIN($AE1102,$AD1102-SUM($AG1102:AO1102))),0)</f>
        <v>0</v>
      </c>
      <c r="AQ1102" s="8">
        <f>IF($O1102="Aktif",MAX(0,MIN($AE1102,$AD1102-SUM($AG1102:AP1102))),0)</f>
        <v>0</v>
      </c>
      <c r="AR1102" s="8">
        <f>IF($O1102="Aktif",MAX(0,MIN($AE1102,$AD1102-SUM($AG1102:AQ1102))),0)</f>
        <v>0</v>
      </c>
      <c r="AS1102" s="8">
        <f>IF($O1102="Aktif",MAX(0,MIN($AE1102,$AD1102-SUM($AG1102:AR1102))),0)</f>
        <v>0</v>
      </c>
      <c r="AT1102" s="8">
        <f>IF($O1102="Aktif",MAX(0,MIN($AE1102,$AD1102-SUM($AG1102:AS1102))),0)</f>
        <v>0</v>
      </c>
      <c r="AU1102" s="8">
        <f>IF($O1102="Aktif",MAX(0,MIN($AE1102,$AD1102-SUM($AG1102:AT1102))),0)</f>
        <v>0</v>
      </c>
      <c r="AV1102" s="8">
        <f>IF($O1102="Aktif",MAX(0,MIN($AE1102,$AD1102-SUM($AG1102:AU1102))),0)</f>
        <v>0</v>
      </c>
      <c r="AW1102" s="8">
        <f t="shared" si="124"/>
        <v>0</v>
      </c>
      <c r="AX1102" s="8">
        <f t="shared" si="125"/>
        <v>0</v>
      </c>
    </row>
    <row r="1103" spans="1:50" ht="15" customHeight="1" x14ac:dyDescent="0.35">
      <c r="A1103" s="102">
        <v>1097</v>
      </c>
      <c r="B1103" s="102" t="s">
        <v>2815</v>
      </c>
      <c r="C1103" s="103">
        <v>119</v>
      </c>
      <c r="D1103" s="102" t="s">
        <v>186</v>
      </c>
      <c r="E1103" s="102" t="s">
        <v>587</v>
      </c>
      <c r="F1103" s="102" t="s">
        <v>2816</v>
      </c>
      <c r="G1103" s="102" t="s">
        <v>2817</v>
      </c>
      <c r="H1103" s="102" t="s">
        <v>2818</v>
      </c>
      <c r="I1103" s="102" t="s">
        <v>63</v>
      </c>
      <c r="J1103" s="102" t="s">
        <v>3073</v>
      </c>
      <c r="K1103" s="102" t="s">
        <v>591</v>
      </c>
      <c r="L1103" s="104">
        <v>41973</v>
      </c>
      <c r="M1103" s="102" t="s">
        <v>3074</v>
      </c>
      <c r="N1103" s="102" t="s">
        <v>3075</v>
      </c>
      <c r="O1103" s="102" t="s">
        <v>383</v>
      </c>
      <c r="P1103" s="103">
        <v>1</v>
      </c>
      <c r="Q1103" s="105">
        <v>270000000</v>
      </c>
      <c r="R1103" s="103">
        <v>48</v>
      </c>
      <c r="S1103" s="105">
        <v>0</v>
      </c>
      <c r="T1103" s="105">
        <v>270000000</v>
      </c>
      <c r="U1103" s="105">
        <v>0</v>
      </c>
      <c r="V1103" s="105">
        <v>0</v>
      </c>
      <c r="W1103" s="105">
        <v>0</v>
      </c>
      <c r="X1103" s="105">
        <v>0</v>
      </c>
      <c r="Y1103" s="105">
        <v>0</v>
      </c>
      <c r="Z1103" s="105">
        <v>0</v>
      </c>
      <c r="AA1103" s="105">
        <v>0</v>
      </c>
      <c r="AB1103" s="105">
        <v>0</v>
      </c>
      <c r="AC1103" s="8">
        <f t="shared" si="119"/>
        <v>270000000</v>
      </c>
      <c r="AD1103" s="8">
        <f t="shared" si="120"/>
        <v>0</v>
      </c>
      <c r="AE1103" s="8">
        <f t="shared" si="121"/>
        <v>0</v>
      </c>
      <c r="AF1103" s="106">
        <f t="shared" si="122"/>
        <v>0</v>
      </c>
      <c r="AG1103" s="8">
        <f t="shared" si="123"/>
        <v>0</v>
      </c>
      <c r="AH1103" s="8">
        <f>IF($O1103="Aktif",MAX(0,MIN($AE1103,$AD1103-SUM($AG1103:AG1103))),0)</f>
        <v>0</v>
      </c>
      <c r="AI1103" s="8">
        <f>IF($O1103="Aktif",MAX(0,MIN($AE1103,$AD1103-SUM($AG1103:AH1103))),0)</f>
        <v>0</v>
      </c>
      <c r="AJ1103" s="8">
        <f>IF($O1103="Aktif",MAX(0,MIN($AE1103,$AD1103-SUM($AG1103:AI1103))),0)</f>
        <v>0</v>
      </c>
      <c r="AK1103" s="8">
        <f>IF($O1103="Aktif",MAX(0,MIN($AE1103,$AD1103-SUM($AG1103:AJ1103))),0)</f>
        <v>0</v>
      </c>
      <c r="AL1103" s="8">
        <f>IF($O1103="Aktif",MAX(0,MIN($AE1103,$AD1103-SUM($AG1103:AK1103))),0)</f>
        <v>0</v>
      </c>
      <c r="AM1103" s="8">
        <f>IF($O1103="Aktif",MAX(0,MIN($AE1103,$AD1103-SUM($AG1103:AL1103))),0)</f>
        <v>0</v>
      </c>
      <c r="AN1103" s="8">
        <f>IF($O1103="Aktif",MAX(0,MIN($AE1103,$AD1103-SUM($AG1103:AM1103))),0)</f>
        <v>0</v>
      </c>
      <c r="AO1103" s="8">
        <f>IF($O1103="Aktif",MAX(0,MIN($AE1103,$AD1103-SUM($AG1103:AN1103))),0)</f>
        <v>0</v>
      </c>
      <c r="AP1103" s="8">
        <f>IF($O1103="Aktif",MAX(0,MIN($AE1103,$AD1103-SUM($AG1103:AO1103))),0)</f>
        <v>0</v>
      </c>
      <c r="AQ1103" s="8">
        <f>IF($O1103="Aktif",MAX(0,MIN($AE1103,$AD1103-SUM($AG1103:AP1103))),0)</f>
        <v>0</v>
      </c>
      <c r="AR1103" s="8">
        <f>IF($O1103="Aktif",MAX(0,MIN($AE1103,$AD1103-SUM($AG1103:AQ1103))),0)</f>
        <v>0</v>
      </c>
      <c r="AS1103" s="8">
        <f>IF($O1103="Aktif",MAX(0,MIN($AE1103,$AD1103-SUM($AG1103:AR1103))),0)</f>
        <v>0</v>
      </c>
      <c r="AT1103" s="8">
        <f>IF($O1103="Aktif",MAX(0,MIN($AE1103,$AD1103-SUM($AG1103:AS1103))),0)</f>
        <v>0</v>
      </c>
      <c r="AU1103" s="8">
        <f>IF($O1103="Aktif",MAX(0,MIN($AE1103,$AD1103-SUM($AG1103:AT1103))),0)</f>
        <v>0</v>
      </c>
      <c r="AV1103" s="8">
        <f>IF($O1103="Aktif",MAX(0,MIN($AE1103,$AD1103-SUM($AG1103:AU1103))),0)</f>
        <v>0</v>
      </c>
      <c r="AW1103" s="8">
        <f t="shared" si="124"/>
        <v>0</v>
      </c>
      <c r="AX1103" s="8">
        <f t="shared" si="125"/>
        <v>0</v>
      </c>
    </row>
    <row r="1104" spans="1:50" ht="15" customHeight="1" x14ac:dyDescent="0.35">
      <c r="A1104" s="102">
        <v>1098</v>
      </c>
      <c r="B1104" s="102" t="s">
        <v>2815</v>
      </c>
      <c r="C1104" s="103">
        <v>120</v>
      </c>
      <c r="D1104" s="102" t="s">
        <v>186</v>
      </c>
      <c r="E1104" s="102" t="s">
        <v>587</v>
      </c>
      <c r="F1104" s="102" t="s">
        <v>2816</v>
      </c>
      <c r="G1104" s="102" t="s">
        <v>2817</v>
      </c>
      <c r="H1104" s="102" t="s">
        <v>2818</v>
      </c>
      <c r="I1104" s="102" t="s">
        <v>63</v>
      </c>
      <c r="J1104" s="102" t="s">
        <v>3076</v>
      </c>
      <c r="K1104" s="102" t="s">
        <v>591</v>
      </c>
      <c r="L1104" s="104">
        <v>42004</v>
      </c>
      <c r="M1104" s="102" t="s">
        <v>3077</v>
      </c>
      <c r="N1104" s="102" t="s">
        <v>3078</v>
      </c>
      <c r="O1104" s="102" t="s">
        <v>383</v>
      </c>
      <c r="P1104" s="103">
        <v>1</v>
      </c>
      <c r="Q1104" s="105">
        <v>61477002</v>
      </c>
      <c r="R1104" s="103">
        <v>48</v>
      </c>
      <c r="S1104" s="105">
        <v>0</v>
      </c>
      <c r="T1104" s="105">
        <v>61477002</v>
      </c>
      <c r="U1104" s="105">
        <v>0</v>
      </c>
      <c r="V1104" s="105">
        <v>0</v>
      </c>
      <c r="W1104" s="105">
        <v>0</v>
      </c>
      <c r="X1104" s="105">
        <v>0</v>
      </c>
      <c r="Y1104" s="105">
        <v>0</v>
      </c>
      <c r="Z1104" s="105">
        <v>0</v>
      </c>
      <c r="AA1104" s="105">
        <v>0</v>
      </c>
      <c r="AB1104" s="105">
        <v>0</v>
      </c>
      <c r="AC1104" s="8">
        <f t="shared" si="119"/>
        <v>61477002</v>
      </c>
      <c r="AD1104" s="8">
        <f t="shared" si="120"/>
        <v>0</v>
      </c>
      <c r="AE1104" s="8">
        <f t="shared" si="121"/>
        <v>0</v>
      </c>
      <c r="AF1104" s="106">
        <f t="shared" si="122"/>
        <v>0</v>
      </c>
      <c r="AG1104" s="8">
        <f t="shared" si="123"/>
        <v>0</v>
      </c>
      <c r="AH1104" s="8">
        <f>IF($O1104="Aktif",MAX(0,MIN($AE1104,$AD1104-SUM($AG1104:AG1104))),0)</f>
        <v>0</v>
      </c>
      <c r="AI1104" s="8">
        <f>IF($O1104="Aktif",MAX(0,MIN($AE1104,$AD1104-SUM($AG1104:AH1104))),0)</f>
        <v>0</v>
      </c>
      <c r="AJ1104" s="8">
        <f>IF($O1104="Aktif",MAX(0,MIN($AE1104,$AD1104-SUM($AG1104:AI1104))),0)</f>
        <v>0</v>
      </c>
      <c r="AK1104" s="8">
        <f>IF($O1104="Aktif",MAX(0,MIN($AE1104,$AD1104-SUM($AG1104:AJ1104))),0)</f>
        <v>0</v>
      </c>
      <c r="AL1104" s="8">
        <f>IF($O1104="Aktif",MAX(0,MIN($AE1104,$AD1104-SUM($AG1104:AK1104))),0)</f>
        <v>0</v>
      </c>
      <c r="AM1104" s="8">
        <f>IF($O1104="Aktif",MAX(0,MIN($AE1104,$AD1104-SUM($AG1104:AL1104))),0)</f>
        <v>0</v>
      </c>
      <c r="AN1104" s="8">
        <f>IF($O1104="Aktif",MAX(0,MIN($AE1104,$AD1104-SUM($AG1104:AM1104))),0)</f>
        <v>0</v>
      </c>
      <c r="AO1104" s="8">
        <f>IF($O1104="Aktif",MAX(0,MIN($AE1104,$AD1104-SUM($AG1104:AN1104))),0)</f>
        <v>0</v>
      </c>
      <c r="AP1104" s="8">
        <f>IF($O1104="Aktif",MAX(0,MIN($AE1104,$AD1104-SUM($AG1104:AO1104))),0)</f>
        <v>0</v>
      </c>
      <c r="AQ1104" s="8">
        <f>IF($O1104="Aktif",MAX(0,MIN($AE1104,$AD1104-SUM($AG1104:AP1104))),0)</f>
        <v>0</v>
      </c>
      <c r="AR1104" s="8">
        <f>IF($O1104="Aktif",MAX(0,MIN($AE1104,$AD1104-SUM($AG1104:AQ1104))),0)</f>
        <v>0</v>
      </c>
      <c r="AS1104" s="8">
        <f>IF($O1104="Aktif",MAX(0,MIN($AE1104,$AD1104-SUM($AG1104:AR1104))),0)</f>
        <v>0</v>
      </c>
      <c r="AT1104" s="8">
        <f>IF($O1104="Aktif",MAX(0,MIN($AE1104,$AD1104-SUM($AG1104:AS1104))),0)</f>
        <v>0</v>
      </c>
      <c r="AU1104" s="8">
        <f>IF($O1104="Aktif",MAX(0,MIN($AE1104,$AD1104-SUM($AG1104:AT1104))),0)</f>
        <v>0</v>
      </c>
      <c r="AV1104" s="8">
        <f>IF($O1104="Aktif",MAX(0,MIN($AE1104,$AD1104-SUM($AG1104:AU1104))),0)</f>
        <v>0</v>
      </c>
      <c r="AW1104" s="8">
        <f t="shared" si="124"/>
        <v>0</v>
      </c>
      <c r="AX1104" s="8">
        <f t="shared" si="125"/>
        <v>0</v>
      </c>
    </row>
    <row r="1105" spans="1:50" ht="15" customHeight="1" x14ac:dyDescent="0.35">
      <c r="A1105" s="102">
        <v>1099</v>
      </c>
      <c r="B1105" s="102" t="s">
        <v>2815</v>
      </c>
      <c r="C1105" s="103">
        <v>121</v>
      </c>
      <c r="D1105" s="102" t="s">
        <v>186</v>
      </c>
      <c r="E1105" s="102" t="s">
        <v>587</v>
      </c>
      <c r="F1105" s="102" t="s">
        <v>2816</v>
      </c>
      <c r="G1105" s="102" t="s">
        <v>2817</v>
      </c>
      <c r="H1105" s="102" t="s">
        <v>2818</v>
      </c>
      <c r="I1105" s="102" t="s">
        <v>63</v>
      </c>
      <c r="J1105" s="102" t="s">
        <v>3079</v>
      </c>
      <c r="K1105" s="102" t="s">
        <v>591</v>
      </c>
      <c r="L1105" s="104">
        <v>42063</v>
      </c>
      <c r="M1105" s="102" t="s">
        <v>3080</v>
      </c>
      <c r="N1105" s="102" t="s">
        <v>3081</v>
      </c>
      <c r="O1105" s="102" t="s">
        <v>383</v>
      </c>
      <c r="P1105" s="103">
        <v>1</v>
      </c>
      <c r="Q1105" s="105">
        <v>12750000</v>
      </c>
      <c r="R1105" s="103">
        <v>48</v>
      </c>
      <c r="S1105" s="105">
        <v>0</v>
      </c>
      <c r="T1105" s="105">
        <v>12750000</v>
      </c>
      <c r="U1105" s="105">
        <v>0</v>
      </c>
      <c r="V1105" s="105">
        <v>0</v>
      </c>
      <c r="W1105" s="105">
        <v>0</v>
      </c>
      <c r="X1105" s="105">
        <v>0</v>
      </c>
      <c r="Y1105" s="105">
        <v>0</v>
      </c>
      <c r="Z1105" s="105">
        <v>0</v>
      </c>
      <c r="AA1105" s="105">
        <v>0</v>
      </c>
      <c r="AB1105" s="105">
        <v>0</v>
      </c>
      <c r="AC1105" s="8">
        <f t="shared" si="119"/>
        <v>12750000</v>
      </c>
      <c r="AD1105" s="8">
        <f t="shared" si="120"/>
        <v>0</v>
      </c>
      <c r="AE1105" s="8">
        <f t="shared" si="121"/>
        <v>0</v>
      </c>
      <c r="AF1105" s="106">
        <f t="shared" si="122"/>
        <v>0</v>
      </c>
      <c r="AG1105" s="8">
        <f t="shared" si="123"/>
        <v>0</v>
      </c>
      <c r="AH1105" s="8">
        <f>IF($O1105="Aktif",MAX(0,MIN($AE1105,$AD1105-SUM($AG1105:AG1105))),0)</f>
        <v>0</v>
      </c>
      <c r="AI1105" s="8">
        <f>IF($O1105="Aktif",MAX(0,MIN($AE1105,$AD1105-SUM($AG1105:AH1105))),0)</f>
        <v>0</v>
      </c>
      <c r="AJ1105" s="8">
        <f>IF($O1105="Aktif",MAX(0,MIN($AE1105,$AD1105-SUM($AG1105:AI1105))),0)</f>
        <v>0</v>
      </c>
      <c r="AK1105" s="8">
        <f>IF($O1105="Aktif",MAX(0,MIN($AE1105,$AD1105-SUM($AG1105:AJ1105))),0)</f>
        <v>0</v>
      </c>
      <c r="AL1105" s="8">
        <f>IF($O1105="Aktif",MAX(0,MIN($AE1105,$AD1105-SUM($AG1105:AK1105))),0)</f>
        <v>0</v>
      </c>
      <c r="AM1105" s="8">
        <f>IF($O1105="Aktif",MAX(0,MIN($AE1105,$AD1105-SUM($AG1105:AL1105))),0)</f>
        <v>0</v>
      </c>
      <c r="AN1105" s="8">
        <f>IF($O1105="Aktif",MAX(0,MIN($AE1105,$AD1105-SUM($AG1105:AM1105))),0)</f>
        <v>0</v>
      </c>
      <c r="AO1105" s="8">
        <f>IF($O1105="Aktif",MAX(0,MIN($AE1105,$AD1105-SUM($AG1105:AN1105))),0)</f>
        <v>0</v>
      </c>
      <c r="AP1105" s="8">
        <f>IF($O1105="Aktif",MAX(0,MIN($AE1105,$AD1105-SUM($AG1105:AO1105))),0)</f>
        <v>0</v>
      </c>
      <c r="AQ1105" s="8">
        <f>IF($O1105="Aktif",MAX(0,MIN($AE1105,$AD1105-SUM($AG1105:AP1105))),0)</f>
        <v>0</v>
      </c>
      <c r="AR1105" s="8">
        <f>IF($O1105="Aktif",MAX(0,MIN($AE1105,$AD1105-SUM($AG1105:AQ1105))),0)</f>
        <v>0</v>
      </c>
      <c r="AS1105" s="8">
        <f>IF($O1105="Aktif",MAX(0,MIN($AE1105,$AD1105-SUM($AG1105:AR1105))),0)</f>
        <v>0</v>
      </c>
      <c r="AT1105" s="8">
        <f>IF($O1105="Aktif",MAX(0,MIN($AE1105,$AD1105-SUM($AG1105:AS1105))),0)</f>
        <v>0</v>
      </c>
      <c r="AU1105" s="8">
        <f>IF($O1105="Aktif",MAX(0,MIN($AE1105,$AD1105-SUM($AG1105:AT1105))),0)</f>
        <v>0</v>
      </c>
      <c r="AV1105" s="8">
        <f>IF($O1105="Aktif",MAX(0,MIN($AE1105,$AD1105-SUM($AG1105:AU1105))),0)</f>
        <v>0</v>
      </c>
      <c r="AW1105" s="8">
        <f t="shared" si="124"/>
        <v>0</v>
      </c>
      <c r="AX1105" s="8">
        <f t="shared" si="125"/>
        <v>0</v>
      </c>
    </row>
    <row r="1106" spans="1:50" ht="15" customHeight="1" x14ac:dyDescent="0.35">
      <c r="A1106" s="102">
        <v>1100</v>
      </c>
      <c r="B1106" s="102" t="s">
        <v>2815</v>
      </c>
      <c r="C1106" s="103">
        <v>122</v>
      </c>
      <c r="D1106" s="102" t="s">
        <v>186</v>
      </c>
      <c r="E1106" s="102" t="s">
        <v>587</v>
      </c>
      <c r="F1106" s="102" t="s">
        <v>2816</v>
      </c>
      <c r="G1106" s="102" t="s">
        <v>2817</v>
      </c>
      <c r="H1106" s="102" t="s">
        <v>2818</v>
      </c>
      <c r="I1106" s="102" t="s">
        <v>63</v>
      </c>
      <c r="J1106" s="102" t="s">
        <v>3082</v>
      </c>
      <c r="K1106" s="102" t="s">
        <v>591</v>
      </c>
      <c r="L1106" s="104">
        <v>42063</v>
      </c>
      <c r="M1106" s="102" t="s">
        <v>3080</v>
      </c>
      <c r="N1106" s="102" t="s">
        <v>3083</v>
      </c>
      <c r="O1106" s="102" t="s">
        <v>383</v>
      </c>
      <c r="P1106" s="103">
        <v>1</v>
      </c>
      <c r="Q1106" s="105">
        <v>8500000</v>
      </c>
      <c r="R1106" s="103">
        <v>48</v>
      </c>
      <c r="S1106" s="105">
        <v>0</v>
      </c>
      <c r="T1106" s="105">
        <v>8500000</v>
      </c>
      <c r="U1106" s="105">
        <v>0</v>
      </c>
      <c r="V1106" s="105">
        <v>0</v>
      </c>
      <c r="W1106" s="105">
        <v>0</v>
      </c>
      <c r="X1106" s="105">
        <v>0</v>
      </c>
      <c r="Y1106" s="105">
        <v>0</v>
      </c>
      <c r="Z1106" s="105">
        <v>0</v>
      </c>
      <c r="AA1106" s="105">
        <v>0</v>
      </c>
      <c r="AB1106" s="105">
        <v>0</v>
      </c>
      <c r="AC1106" s="8">
        <f t="shared" si="119"/>
        <v>8500000</v>
      </c>
      <c r="AD1106" s="8">
        <f t="shared" si="120"/>
        <v>0</v>
      </c>
      <c r="AE1106" s="8">
        <f t="shared" si="121"/>
        <v>0</v>
      </c>
      <c r="AF1106" s="106">
        <f t="shared" si="122"/>
        <v>0</v>
      </c>
      <c r="AG1106" s="8">
        <f t="shared" si="123"/>
        <v>0</v>
      </c>
      <c r="AH1106" s="8">
        <f>IF($O1106="Aktif",MAX(0,MIN($AE1106,$AD1106-SUM($AG1106:AG1106))),0)</f>
        <v>0</v>
      </c>
      <c r="AI1106" s="8">
        <f>IF($O1106="Aktif",MAX(0,MIN($AE1106,$AD1106-SUM($AG1106:AH1106))),0)</f>
        <v>0</v>
      </c>
      <c r="AJ1106" s="8">
        <f>IF($O1106="Aktif",MAX(0,MIN($AE1106,$AD1106-SUM($AG1106:AI1106))),0)</f>
        <v>0</v>
      </c>
      <c r="AK1106" s="8">
        <f>IF($O1106="Aktif",MAX(0,MIN($AE1106,$AD1106-SUM($AG1106:AJ1106))),0)</f>
        <v>0</v>
      </c>
      <c r="AL1106" s="8">
        <f>IF($O1106="Aktif",MAX(0,MIN($AE1106,$AD1106-SUM($AG1106:AK1106))),0)</f>
        <v>0</v>
      </c>
      <c r="AM1106" s="8">
        <f>IF($O1106="Aktif",MAX(0,MIN($AE1106,$AD1106-SUM($AG1106:AL1106))),0)</f>
        <v>0</v>
      </c>
      <c r="AN1106" s="8">
        <f>IF($O1106="Aktif",MAX(0,MIN($AE1106,$AD1106-SUM($AG1106:AM1106))),0)</f>
        <v>0</v>
      </c>
      <c r="AO1106" s="8">
        <f>IF($O1106="Aktif",MAX(0,MIN($AE1106,$AD1106-SUM($AG1106:AN1106))),0)</f>
        <v>0</v>
      </c>
      <c r="AP1106" s="8">
        <f>IF($O1106="Aktif",MAX(0,MIN($AE1106,$AD1106-SUM($AG1106:AO1106))),0)</f>
        <v>0</v>
      </c>
      <c r="AQ1106" s="8">
        <f>IF($O1106="Aktif",MAX(0,MIN($AE1106,$AD1106-SUM($AG1106:AP1106))),0)</f>
        <v>0</v>
      </c>
      <c r="AR1106" s="8">
        <f>IF($O1106="Aktif",MAX(0,MIN($AE1106,$AD1106-SUM($AG1106:AQ1106))),0)</f>
        <v>0</v>
      </c>
      <c r="AS1106" s="8">
        <f>IF($O1106="Aktif",MAX(0,MIN($AE1106,$AD1106-SUM($AG1106:AR1106))),0)</f>
        <v>0</v>
      </c>
      <c r="AT1106" s="8">
        <f>IF($O1106="Aktif",MAX(0,MIN($AE1106,$AD1106-SUM($AG1106:AS1106))),0)</f>
        <v>0</v>
      </c>
      <c r="AU1106" s="8">
        <f>IF($O1106="Aktif",MAX(0,MIN($AE1106,$AD1106-SUM($AG1106:AT1106))),0)</f>
        <v>0</v>
      </c>
      <c r="AV1106" s="8">
        <f>IF($O1106="Aktif",MAX(0,MIN($AE1106,$AD1106-SUM($AG1106:AU1106))),0)</f>
        <v>0</v>
      </c>
      <c r="AW1106" s="8">
        <f t="shared" si="124"/>
        <v>0</v>
      </c>
      <c r="AX1106" s="8">
        <f t="shared" si="125"/>
        <v>0</v>
      </c>
    </row>
    <row r="1107" spans="1:50" ht="15" customHeight="1" x14ac:dyDescent="0.35">
      <c r="A1107" s="102">
        <v>1101</v>
      </c>
      <c r="B1107" s="102" t="s">
        <v>2815</v>
      </c>
      <c r="C1107" s="103">
        <v>123</v>
      </c>
      <c r="D1107" s="102" t="s">
        <v>186</v>
      </c>
      <c r="E1107" s="102" t="s">
        <v>587</v>
      </c>
      <c r="F1107" s="102" t="s">
        <v>2816</v>
      </c>
      <c r="G1107" s="102" t="s">
        <v>2817</v>
      </c>
      <c r="H1107" s="102" t="s">
        <v>2818</v>
      </c>
      <c r="I1107" s="102" t="s">
        <v>63</v>
      </c>
      <c r="J1107" s="102" t="s">
        <v>3084</v>
      </c>
      <c r="K1107" s="102" t="s">
        <v>591</v>
      </c>
      <c r="L1107" s="104">
        <v>42094</v>
      </c>
      <c r="M1107" s="102" t="s">
        <v>3085</v>
      </c>
      <c r="N1107" s="102" t="s">
        <v>3086</v>
      </c>
      <c r="O1107" s="102" t="s">
        <v>383</v>
      </c>
      <c r="P1107" s="103">
        <v>1</v>
      </c>
      <c r="Q1107" s="105">
        <v>68000000</v>
      </c>
      <c r="R1107" s="103">
        <v>48</v>
      </c>
      <c r="S1107" s="105">
        <v>0</v>
      </c>
      <c r="T1107" s="105">
        <v>68000000</v>
      </c>
      <c r="U1107" s="105">
        <v>0</v>
      </c>
      <c r="V1107" s="105">
        <v>0</v>
      </c>
      <c r="W1107" s="105">
        <v>0</v>
      </c>
      <c r="X1107" s="105">
        <v>0</v>
      </c>
      <c r="Y1107" s="105">
        <v>0</v>
      </c>
      <c r="Z1107" s="105">
        <v>0</v>
      </c>
      <c r="AA1107" s="105">
        <v>0</v>
      </c>
      <c r="AB1107" s="105">
        <v>0</v>
      </c>
      <c r="AC1107" s="8">
        <f t="shared" si="119"/>
        <v>68000000</v>
      </c>
      <c r="AD1107" s="8">
        <f t="shared" si="120"/>
        <v>0</v>
      </c>
      <c r="AE1107" s="8">
        <f t="shared" si="121"/>
        <v>0</v>
      </c>
      <c r="AF1107" s="106">
        <f t="shared" si="122"/>
        <v>0</v>
      </c>
      <c r="AG1107" s="8">
        <f t="shared" si="123"/>
        <v>0</v>
      </c>
      <c r="AH1107" s="8">
        <f>IF($O1107="Aktif",MAX(0,MIN($AE1107,$AD1107-SUM($AG1107:AG1107))),0)</f>
        <v>0</v>
      </c>
      <c r="AI1107" s="8">
        <f>IF($O1107="Aktif",MAX(0,MIN($AE1107,$AD1107-SUM($AG1107:AH1107))),0)</f>
        <v>0</v>
      </c>
      <c r="AJ1107" s="8">
        <f>IF($O1107="Aktif",MAX(0,MIN($AE1107,$AD1107-SUM($AG1107:AI1107))),0)</f>
        <v>0</v>
      </c>
      <c r="AK1107" s="8">
        <f>IF($O1107="Aktif",MAX(0,MIN($AE1107,$AD1107-SUM($AG1107:AJ1107))),0)</f>
        <v>0</v>
      </c>
      <c r="AL1107" s="8">
        <f>IF($O1107="Aktif",MAX(0,MIN($AE1107,$AD1107-SUM($AG1107:AK1107))),0)</f>
        <v>0</v>
      </c>
      <c r="AM1107" s="8">
        <f>IF($O1107="Aktif",MAX(0,MIN($AE1107,$AD1107-SUM($AG1107:AL1107))),0)</f>
        <v>0</v>
      </c>
      <c r="AN1107" s="8">
        <f>IF($O1107="Aktif",MAX(0,MIN($AE1107,$AD1107-SUM($AG1107:AM1107))),0)</f>
        <v>0</v>
      </c>
      <c r="AO1107" s="8">
        <f>IF($O1107="Aktif",MAX(0,MIN($AE1107,$AD1107-SUM($AG1107:AN1107))),0)</f>
        <v>0</v>
      </c>
      <c r="AP1107" s="8">
        <f>IF($O1107="Aktif",MAX(0,MIN($AE1107,$AD1107-SUM($AG1107:AO1107))),0)</f>
        <v>0</v>
      </c>
      <c r="AQ1107" s="8">
        <f>IF($O1107="Aktif",MAX(0,MIN($AE1107,$AD1107-SUM($AG1107:AP1107))),0)</f>
        <v>0</v>
      </c>
      <c r="AR1107" s="8">
        <f>IF($O1107="Aktif",MAX(0,MIN($AE1107,$AD1107-SUM($AG1107:AQ1107))),0)</f>
        <v>0</v>
      </c>
      <c r="AS1107" s="8">
        <f>IF($O1107="Aktif",MAX(0,MIN($AE1107,$AD1107-SUM($AG1107:AR1107))),0)</f>
        <v>0</v>
      </c>
      <c r="AT1107" s="8">
        <f>IF($O1107="Aktif",MAX(0,MIN($AE1107,$AD1107-SUM($AG1107:AS1107))),0)</f>
        <v>0</v>
      </c>
      <c r="AU1107" s="8">
        <f>IF($O1107="Aktif",MAX(0,MIN($AE1107,$AD1107-SUM($AG1107:AT1107))),0)</f>
        <v>0</v>
      </c>
      <c r="AV1107" s="8">
        <f>IF($O1107="Aktif",MAX(0,MIN($AE1107,$AD1107-SUM($AG1107:AU1107))),0)</f>
        <v>0</v>
      </c>
      <c r="AW1107" s="8">
        <f t="shared" si="124"/>
        <v>0</v>
      </c>
      <c r="AX1107" s="8">
        <f t="shared" si="125"/>
        <v>0</v>
      </c>
    </row>
    <row r="1108" spans="1:50" ht="15" customHeight="1" x14ac:dyDescent="0.35">
      <c r="A1108" s="102">
        <v>1102</v>
      </c>
      <c r="B1108" s="102" t="s">
        <v>2815</v>
      </c>
      <c r="C1108" s="103">
        <v>124</v>
      </c>
      <c r="D1108" s="102" t="s">
        <v>186</v>
      </c>
      <c r="E1108" s="102" t="s">
        <v>587</v>
      </c>
      <c r="F1108" s="102" t="s">
        <v>2816</v>
      </c>
      <c r="G1108" s="102" t="s">
        <v>2817</v>
      </c>
      <c r="H1108" s="102" t="s">
        <v>2818</v>
      </c>
      <c r="I1108" s="102" t="s">
        <v>63</v>
      </c>
      <c r="J1108" s="102" t="s">
        <v>3087</v>
      </c>
      <c r="K1108" s="102" t="s">
        <v>591</v>
      </c>
      <c r="L1108" s="104">
        <v>42124</v>
      </c>
      <c r="M1108" s="102" t="s">
        <v>3080</v>
      </c>
      <c r="N1108" s="102" t="s">
        <v>3088</v>
      </c>
      <c r="O1108" s="102" t="s">
        <v>383</v>
      </c>
      <c r="P1108" s="103">
        <v>1</v>
      </c>
      <c r="Q1108" s="105">
        <v>4250000</v>
      </c>
      <c r="R1108" s="103">
        <v>48</v>
      </c>
      <c r="S1108" s="105">
        <v>0</v>
      </c>
      <c r="T1108" s="105">
        <v>4250000</v>
      </c>
      <c r="U1108" s="105">
        <v>0</v>
      </c>
      <c r="V1108" s="105">
        <v>0</v>
      </c>
      <c r="W1108" s="105">
        <v>0</v>
      </c>
      <c r="X1108" s="105">
        <v>0</v>
      </c>
      <c r="Y1108" s="105">
        <v>0</v>
      </c>
      <c r="Z1108" s="105">
        <v>0</v>
      </c>
      <c r="AA1108" s="105">
        <v>0</v>
      </c>
      <c r="AB1108" s="105">
        <v>0</v>
      </c>
      <c r="AC1108" s="8">
        <f t="shared" si="119"/>
        <v>4250000</v>
      </c>
      <c r="AD1108" s="8">
        <f t="shared" si="120"/>
        <v>0</v>
      </c>
      <c r="AE1108" s="8">
        <f t="shared" si="121"/>
        <v>0</v>
      </c>
      <c r="AF1108" s="106">
        <f t="shared" si="122"/>
        <v>0</v>
      </c>
      <c r="AG1108" s="8">
        <f t="shared" si="123"/>
        <v>0</v>
      </c>
      <c r="AH1108" s="8">
        <f>IF($O1108="Aktif",MAX(0,MIN($AE1108,$AD1108-SUM($AG1108:AG1108))),0)</f>
        <v>0</v>
      </c>
      <c r="AI1108" s="8">
        <f>IF($O1108="Aktif",MAX(0,MIN($AE1108,$AD1108-SUM($AG1108:AH1108))),0)</f>
        <v>0</v>
      </c>
      <c r="AJ1108" s="8">
        <f>IF($O1108="Aktif",MAX(0,MIN($AE1108,$AD1108-SUM($AG1108:AI1108))),0)</f>
        <v>0</v>
      </c>
      <c r="AK1108" s="8">
        <f>IF($O1108="Aktif",MAX(0,MIN($AE1108,$AD1108-SUM($AG1108:AJ1108))),0)</f>
        <v>0</v>
      </c>
      <c r="AL1108" s="8">
        <f>IF($O1108="Aktif",MAX(0,MIN($AE1108,$AD1108-SUM($AG1108:AK1108))),0)</f>
        <v>0</v>
      </c>
      <c r="AM1108" s="8">
        <f>IF($O1108="Aktif",MAX(0,MIN($AE1108,$AD1108-SUM($AG1108:AL1108))),0)</f>
        <v>0</v>
      </c>
      <c r="AN1108" s="8">
        <f>IF($O1108="Aktif",MAX(0,MIN($AE1108,$AD1108-SUM($AG1108:AM1108))),0)</f>
        <v>0</v>
      </c>
      <c r="AO1108" s="8">
        <f>IF($O1108="Aktif",MAX(0,MIN($AE1108,$AD1108-SUM($AG1108:AN1108))),0)</f>
        <v>0</v>
      </c>
      <c r="AP1108" s="8">
        <f>IF($O1108="Aktif",MAX(0,MIN($AE1108,$AD1108-SUM($AG1108:AO1108))),0)</f>
        <v>0</v>
      </c>
      <c r="AQ1108" s="8">
        <f>IF($O1108="Aktif",MAX(0,MIN($AE1108,$AD1108-SUM($AG1108:AP1108))),0)</f>
        <v>0</v>
      </c>
      <c r="AR1108" s="8">
        <f>IF($O1108="Aktif",MAX(0,MIN($AE1108,$AD1108-SUM($AG1108:AQ1108))),0)</f>
        <v>0</v>
      </c>
      <c r="AS1108" s="8">
        <f>IF($O1108="Aktif",MAX(0,MIN($AE1108,$AD1108-SUM($AG1108:AR1108))),0)</f>
        <v>0</v>
      </c>
      <c r="AT1108" s="8">
        <f>IF($O1108="Aktif",MAX(0,MIN($AE1108,$AD1108-SUM($AG1108:AS1108))),0)</f>
        <v>0</v>
      </c>
      <c r="AU1108" s="8">
        <f>IF($O1108="Aktif",MAX(0,MIN($AE1108,$AD1108-SUM($AG1108:AT1108))),0)</f>
        <v>0</v>
      </c>
      <c r="AV1108" s="8">
        <f>IF($O1108="Aktif",MAX(0,MIN($AE1108,$AD1108-SUM($AG1108:AU1108))),0)</f>
        <v>0</v>
      </c>
      <c r="AW1108" s="8">
        <f t="shared" si="124"/>
        <v>0</v>
      </c>
      <c r="AX1108" s="8">
        <f t="shared" si="125"/>
        <v>0</v>
      </c>
    </row>
    <row r="1109" spans="1:50" ht="15" customHeight="1" x14ac:dyDescent="0.35">
      <c r="A1109" s="102">
        <v>1103</v>
      </c>
      <c r="B1109" s="102" t="s">
        <v>2815</v>
      </c>
      <c r="C1109" s="103">
        <v>125</v>
      </c>
      <c r="D1109" s="102" t="s">
        <v>186</v>
      </c>
      <c r="E1109" s="102" t="s">
        <v>587</v>
      </c>
      <c r="F1109" s="102" t="s">
        <v>2816</v>
      </c>
      <c r="G1109" s="102" t="s">
        <v>2817</v>
      </c>
      <c r="H1109" s="102" t="s">
        <v>2818</v>
      </c>
      <c r="I1109" s="102" t="s">
        <v>63</v>
      </c>
      <c r="J1109" s="102" t="s">
        <v>3089</v>
      </c>
      <c r="K1109" s="102" t="s">
        <v>591</v>
      </c>
      <c r="L1109" s="104">
        <v>42175</v>
      </c>
      <c r="M1109" s="102" t="s">
        <v>3090</v>
      </c>
      <c r="N1109" s="102" t="s">
        <v>3091</v>
      </c>
      <c r="O1109" s="102" t="s">
        <v>383</v>
      </c>
      <c r="P1109" s="103">
        <v>1</v>
      </c>
      <c r="Q1109" s="105">
        <v>749900</v>
      </c>
      <c r="R1109" s="103">
        <v>48</v>
      </c>
      <c r="S1109" s="105">
        <v>0</v>
      </c>
      <c r="T1109" s="105">
        <v>749900</v>
      </c>
      <c r="U1109" s="105">
        <v>0</v>
      </c>
      <c r="V1109" s="105">
        <v>0</v>
      </c>
      <c r="W1109" s="105">
        <v>0</v>
      </c>
      <c r="X1109" s="105">
        <v>0</v>
      </c>
      <c r="Y1109" s="105">
        <v>0</v>
      </c>
      <c r="Z1109" s="105">
        <v>0</v>
      </c>
      <c r="AA1109" s="105">
        <v>0</v>
      </c>
      <c r="AB1109" s="105">
        <v>0</v>
      </c>
      <c r="AC1109" s="8">
        <f t="shared" si="119"/>
        <v>749900</v>
      </c>
      <c r="AD1109" s="8">
        <f t="shared" si="120"/>
        <v>0</v>
      </c>
      <c r="AE1109" s="8">
        <f t="shared" si="121"/>
        <v>0</v>
      </c>
      <c r="AF1109" s="106">
        <f t="shared" si="122"/>
        <v>0</v>
      </c>
      <c r="AG1109" s="8">
        <f t="shared" si="123"/>
        <v>0</v>
      </c>
      <c r="AH1109" s="8">
        <f>IF($O1109="Aktif",MAX(0,MIN($AE1109,$AD1109-SUM($AG1109:AG1109))),0)</f>
        <v>0</v>
      </c>
      <c r="AI1109" s="8">
        <f>IF($O1109="Aktif",MAX(0,MIN($AE1109,$AD1109-SUM($AG1109:AH1109))),0)</f>
        <v>0</v>
      </c>
      <c r="AJ1109" s="8">
        <f>IF($O1109="Aktif",MAX(0,MIN($AE1109,$AD1109-SUM($AG1109:AI1109))),0)</f>
        <v>0</v>
      </c>
      <c r="AK1109" s="8">
        <f>IF($O1109="Aktif",MAX(0,MIN($AE1109,$AD1109-SUM($AG1109:AJ1109))),0)</f>
        <v>0</v>
      </c>
      <c r="AL1109" s="8">
        <f>IF($O1109="Aktif",MAX(0,MIN($AE1109,$AD1109-SUM($AG1109:AK1109))),0)</f>
        <v>0</v>
      </c>
      <c r="AM1109" s="8">
        <f>IF($O1109="Aktif",MAX(0,MIN($AE1109,$AD1109-SUM($AG1109:AL1109))),0)</f>
        <v>0</v>
      </c>
      <c r="AN1109" s="8">
        <f>IF($O1109="Aktif",MAX(0,MIN($AE1109,$AD1109-SUM($AG1109:AM1109))),0)</f>
        <v>0</v>
      </c>
      <c r="AO1109" s="8">
        <f>IF($O1109="Aktif",MAX(0,MIN($AE1109,$AD1109-SUM($AG1109:AN1109))),0)</f>
        <v>0</v>
      </c>
      <c r="AP1109" s="8">
        <f>IF($O1109="Aktif",MAX(0,MIN($AE1109,$AD1109-SUM($AG1109:AO1109))),0)</f>
        <v>0</v>
      </c>
      <c r="AQ1109" s="8">
        <f>IF($O1109="Aktif",MAX(0,MIN($AE1109,$AD1109-SUM($AG1109:AP1109))),0)</f>
        <v>0</v>
      </c>
      <c r="AR1109" s="8">
        <f>IF($O1109="Aktif",MAX(0,MIN($AE1109,$AD1109-SUM($AG1109:AQ1109))),0)</f>
        <v>0</v>
      </c>
      <c r="AS1109" s="8">
        <f>IF($O1109="Aktif",MAX(0,MIN($AE1109,$AD1109-SUM($AG1109:AR1109))),0)</f>
        <v>0</v>
      </c>
      <c r="AT1109" s="8">
        <f>IF($O1109="Aktif",MAX(0,MIN($AE1109,$AD1109-SUM($AG1109:AS1109))),0)</f>
        <v>0</v>
      </c>
      <c r="AU1109" s="8">
        <f>IF($O1109="Aktif",MAX(0,MIN($AE1109,$AD1109-SUM($AG1109:AT1109))),0)</f>
        <v>0</v>
      </c>
      <c r="AV1109" s="8">
        <f>IF($O1109="Aktif",MAX(0,MIN($AE1109,$AD1109-SUM($AG1109:AU1109))),0)</f>
        <v>0</v>
      </c>
      <c r="AW1109" s="8">
        <f t="shared" si="124"/>
        <v>0</v>
      </c>
      <c r="AX1109" s="8">
        <f t="shared" si="125"/>
        <v>0</v>
      </c>
    </row>
    <row r="1110" spans="1:50" ht="15" customHeight="1" x14ac:dyDescent="0.35">
      <c r="A1110" s="102">
        <v>1104</v>
      </c>
      <c r="B1110" s="102" t="s">
        <v>2815</v>
      </c>
      <c r="C1110" s="103">
        <v>126</v>
      </c>
      <c r="D1110" s="102" t="s">
        <v>186</v>
      </c>
      <c r="E1110" s="102" t="s">
        <v>587</v>
      </c>
      <c r="F1110" s="102" t="s">
        <v>2816</v>
      </c>
      <c r="G1110" s="102" t="s">
        <v>2817</v>
      </c>
      <c r="H1110" s="102" t="s">
        <v>2818</v>
      </c>
      <c r="I1110" s="102" t="s">
        <v>63</v>
      </c>
      <c r="J1110" s="102" t="s">
        <v>3092</v>
      </c>
      <c r="K1110" s="102" t="s">
        <v>591</v>
      </c>
      <c r="L1110" s="104">
        <v>42185</v>
      </c>
      <c r="M1110" s="102" t="s">
        <v>3093</v>
      </c>
      <c r="N1110" s="102" t="s">
        <v>3094</v>
      </c>
      <c r="O1110" s="102" t="s">
        <v>383</v>
      </c>
      <c r="P1110" s="103">
        <v>1</v>
      </c>
      <c r="Q1110" s="105">
        <v>105000000</v>
      </c>
      <c r="R1110" s="103">
        <v>48</v>
      </c>
      <c r="S1110" s="105">
        <v>0</v>
      </c>
      <c r="T1110" s="105">
        <v>105000000</v>
      </c>
      <c r="U1110" s="105">
        <v>0</v>
      </c>
      <c r="V1110" s="105">
        <v>0</v>
      </c>
      <c r="W1110" s="105">
        <v>0</v>
      </c>
      <c r="X1110" s="105">
        <v>0</v>
      </c>
      <c r="Y1110" s="105">
        <v>0</v>
      </c>
      <c r="Z1110" s="105">
        <v>0</v>
      </c>
      <c r="AA1110" s="105">
        <v>0</v>
      </c>
      <c r="AB1110" s="105">
        <v>0</v>
      </c>
      <c r="AC1110" s="8">
        <f t="shared" si="119"/>
        <v>105000000</v>
      </c>
      <c r="AD1110" s="8">
        <f t="shared" si="120"/>
        <v>0</v>
      </c>
      <c r="AE1110" s="8">
        <f t="shared" si="121"/>
        <v>0</v>
      </c>
      <c r="AF1110" s="106">
        <f t="shared" si="122"/>
        <v>0</v>
      </c>
      <c r="AG1110" s="8">
        <f t="shared" si="123"/>
        <v>0</v>
      </c>
      <c r="AH1110" s="8">
        <f>IF($O1110="Aktif",MAX(0,MIN($AE1110,$AD1110-SUM($AG1110:AG1110))),0)</f>
        <v>0</v>
      </c>
      <c r="AI1110" s="8">
        <f>IF($O1110="Aktif",MAX(0,MIN($AE1110,$AD1110-SUM($AG1110:AH1110))),0)</f>
        <v>0</v>
      </c>
      <c r="AJ1110" s="8">
        <f>IF($O1110="Aktif",MAX(0,MIN($AE1110,$AD1110-SUM($AG1110:AI1110))),0)</f>
        <v>0</v>
      </c>
      <c r="AK1110" s="8">
        <f>IF($O1110="Aktif",MAX(0,MIN($AE1110,$AD1110-SUM($AG1110:AJ1110))),0)</f>
        <v>0</v>
      </c>
      <c r="AL1110" s="8">
        <f>IF($O1110="Aktif",MAX(0,MIN($AE1110,$AD1110-SUM($AG1110:AK1110))),0)</f>
        <v>0</v>
      </c>
      <c r="AM1110" s="8">
        <f>IF($O1110="Aktif",MAX(0,MIN($AE1110,$AD1110-SUM($AG1110:AL1110))),0)</f>
        <v>0</v>
      </c>
      <c r="AN1110" s="8">
        <f>IF($O1110="Aktif",MAX(0,MIN($AE1110,$AD1110-SUM($AG1110:AM1110))),0)</f>
        <v>0</v>
      </c>
      <c r="AO1110" s="8">
        <f>IF($O1110="Aktif",MAX(0,MIN($AE1110,$AD1110-SUM($AG1110:AN1110))),0)</f>
        <v>0</v>
      </c>
      <c r="AP1110" s="8">
        <f>IF($O1110="Aktif",MAX(0,MIN($AE1110,$AD1110-SUM($AG1110:AO1110))),0)</f>
        <v>0</v>
      </c>
      <c r="AQ1110" s="8">
        <f>IF($O1110="Aktif",MAX(0,MIN($AE1110,$AD1110-SUM($AG1110:AP1110))),0)</f>
        <v>0</v>
      </c>
      <c r="AR1110" s="8">
        <f>IF($O1110="Aktif",MAX(0,MIN($AE1110,$AD1110-SUM($AG1110:AQ1110))),0)</f>
        <v>0</v>
      </c>
      <c r="AS1110" s="8">
        <f>IF($O1110="Aktif",MAX(0,MIN($AE1110,$AD1110-SUM($AG1110:AR1110))),0)</f>
        <v>0</v>
      </c>
      <c r="AT1110" s="8">
        <f>IF($O1110="Aktif",MAX(0,MIN($AE1110,$AD1110-SUM($AG1110:AS1110))),0)</f>
        <v>0</v>
      </c>
      <c r="AU1110" s="8">
        <f>IF($O1110="Aktif",MAX(0,MIN($AE1110,$AD1110-SUM($AG1110:AT1110))),0)</f>
        <v>0</v>
      </c>
      <c r="AV1110" s="8">
        <f>IF($O1110="Aktif",MAX(0,MIN($AE1110,$AD1110-SUM($AG1110:AU1110))),0)</f>
        <v>0</v>
      </c>
      <c r="AW1110" s="8">
        <f t="shared" si="124"/>
        <v>0</v>
      </c>
      <c r="AX1110" s="8">
        <f t="shared" si="125"/>
        <v>0</v>
      </c>
    </row>
    <row r="1111" spans="1:50" ht="15" customHeight="1" x14ac:dyDescent="0.35">
      <c r="A1111" s="102">
        <v>1105</v>
      </c>
      <c r="B1111" s="102" t="s">
        <v>2815</v>
      </c>
      <c r="C1111" s="103">
        <v>127</v>
      </c>
      <c r="D1111" s="102" t="s">
        <v>186</v>
      </c>
      <c r="E1111" s="102" t="s">
        <v>587</v>
      </c>
      <c r="F1111" s="102" t="s">
        <v>2816</v>
      </c>
      <c r="G1111" s="102" t="s">
        <v>2817</v>
      </c>
      <c r="H1111" s="102" t="s">
        <v>2818</v>
      </c>
      <c r="I1111" s="102" t="s">
        <v>63</v>
      </c>
      <c r="J1111" s="102"/>
      <c r="K1111" s="102" t="s">
        <v>591</v>
      </c>
      <c r="L1111" s="104">
        <v>39356</v>
      </c>
      <c r="M1111" s="102" t="s">
        <v>3095</v>
      </c>
      <c r="N1111" s="102" t="s">
        <v>3096</v>
      </c>
      <c r="O1111" s="102" t="s">
        <v>383</v>
      </c>
      <c r="P1111" s="103">
        <v>1</v>
      </c>
      <c r="Q1111" s="105">
        <v>55000000</v>
      </c>
      <c r="R1111" s="102"/>
      <c r="S1111" s="105">
        <v>0</v>
      </c>
      <c r="T1111" s="105">
        <v>55000000</v>
      </c>
      <c r="U1111" s="105">
        <v>0</v>
      </c>
      <c r="V1111" s="105">
        <v>0</v>
      </c>
      <c r="W1111" s="105">
        <v>0</v>
      </c>
      <c r="X1111" s="105">
        <v>0</v>
      </c>
      <c r="Y1111" s="105">
        <v>0</v>
      </c>
      <c r="Z1111" s="105">
        <v>0</v>
      </c>
      <c r="AA1111" s="105">
        <v>0</v>
      </c>
      <c r="AB1111" s="105">
        <v>0</v>
      </c>
      <c r="AC1111" s="8">
        <f t="shared" si="119"/>
        <v>55000000</v>
      </c>
      <c r="AD1111" s="8">
        <f t="shared" si="120"/>
        <v>0</v>
      </c>
      <c r="AE1111" s="8">
        <f t="shared" si="121"/>
        <v>0</v>
      </c>
      <c r="AF1111" s="106">
        <f t="shared" si="122"/>
        <v>0</v>
      </c>
      <c r="AG1111" s="8">
        <f t="shared" si="123"/>
        <v>0</v>
      </c>
      <c r="AH1111" s="8">
        <f>IF($O1111="Aktif",MAX(0,MIN($AE1111,$AD1111-SUM($AG1111:AG1111))),0)</f>
        <v>0</v>
      </c>
      <c r="AI1111" s="8">
        <f>IF($O1111="Aktif",MAX(0,MIN($AE1111,$AD1111-SUM($AG1111:AH1111))),0)</f>
        <v>0</v>
      </c>
      <c r="AJ1111" s="8">
        <f>IF($O1111="Aktif",MAX(0,MIN($AE1111,$AD1111-SUM($AG1111:AI1111))),0)</f>
        <v>0</v>
      </c>
      <c r="AK1111" s="8">
        <f>IF($O1111="Aktif",MAX(0,MIN($AE1111,$AD1111-SUM($AG1111:AJ1111))),0)</f>
        <v>0</v>
      </c>
      <c r="AL1111" s="8">
        <f>IF($O1111="Aktif",MAX(0,MIN($AE1111,$AD1111-SUM($AG1111:AK1111))),0)</f>
        <v>0</v>
      </c>
      <c r="AM1111" s="8">
        <f>IF($O1111="Aktif",MAX(0,MIN($AE1111,$AD1111-SUM($AG1111:AL1111))),0)</f>
        <v>0</v>
      </c>
      <c r="AN1111" s="8">
        <f>IF($O1111="Aktif",MAX(0,MIN($AE1111,$AD1111-SUM($AG1111:AM1111))),0)</f>
        <v>0</v>
      </c>
      <c r="AO1111" s="8">
        <f>IF($O1111="Aktif",MAX(0,MIN($AE1111,$AD1111-SUM($AG1111:AN1111))),0)</f>
        <v>0</v>
      </c>
      <c r="AP1111" s="8">
        <f>IF($O1111="Aktif",MAX(0,MIN($AE1111,$AD1111-SUM($AG1111:AO1111))),0)</f>
        <v>0</v>
      </c>
      <c r="AQ1111" s="8">
        <f>IF($O1111="Aktif",MAX(0,MIN($AE1111,$AD1111-SUM($AG1111:AP1111))),0)</f>
        <v>0</v>
      </c>
      <c r="AR1111" s="8">
        <f>IF($O1111="Aktif",MAX(0,MIN($AE1111,$AD1111-SUM($AG1111:AQ1111))),0)</f>
        <v>0</v>
      </c>
      <c r="AS1111" s="8">
        <f>IF($O1111="Aktif",MAX(0,MIN($AE1111,$AD1111-SUM($AG1111:AR1111))),0)</f>
        <v>0</v>
      </c>
      <c r="AT1111" s="8">
        <f>IF($O1111="Aktif",MAX(0,MIN($AE1111,$AD1111-SUM($AG1111:AS1111))),0)</f>
        <v>0</v>
      </c>
      <c r="AU1111" s="8">
        <f>IF($O1111="Aktif",MAX(0,MIN($AE1111,$AD1111-SUM($AG1111:AT1111))),0)</f>
        <v>0</v>
      </c>
      <c r="AV1111" s="8">
        <f>IF($O1111="Aktif",MAX(0,MIN($AE1111,$AD1111-SUM($AG1111:AU1111))),0)</f>
        <v>0</v>
      </c>
      <c r="AW1111" s="8">
        <f t="shared" si="124"/>
        <v>0</v>
      </c>
      <c r="AX1111" s="8">
        <f t="shared" si="125"/>
        <v>0</v>
      </c>
    </row>
    <row r="1112" spans="1:50" ht="15" customHeight="1" x14ac:dyDescent="0.35">
      <c r="A1112" s="102">
        <v>1106</v>
      </c>
      <c r="B1112" s="102" t="s">
        <v>2815</v>
      </c>
      <c r="C1112" s="103">
        <v>128</v>
      </c>
      <c r="D1112" s="102" t="s">
        <v>186</v>
      </c>
      <c r="E1112" s="102" t="s">
        <v>587</v>
      </c>
      <c r="F1112" s="102" t="s">
        <v>2816</v>
      </c>
      <c r="G1112" s="102" t="s">
        <v>2817</v>
      </c>
      <c r="H1112" s="102" t="s">
        <v>2818</v>
      </c>
      <c r="I1112" s="102" t="s">
        <v>63</v>
      </c>
      <c r="J1112" s="102" t="s">
        <v>3097</v>
      </c>
      <c r="K1112" s="102" t="s">
        <v>591</v>
      </c>
      <c r="L1112" s="104">
        <v>42308</v>
      </c>
      <c r="M1112" s="102" t="s">
        <v>3098</v>
      </c>
      <c r="N1112" s="102" t="s">
        <v>3099</v>
      </c>
      <c r="O1112" s="102" t="s">
        <v>383</v>
      </c>
      <c r="P1112" s="103">
        <v>1</v>
      </c>
      <c r="Q1112" s="105">
        <v>34000000</v>
      </c>
      <c r="R1112" s="103">
        <v>48</v>
      </c>
      <c r="S1112" s="105">
        <v>708333.33333333302</v>
      </c>
      <c r="T1112" s="105">
        <v>34000000</v>
      </c>
      <c r="U1112" s="105">
        <v>0</v>
      </c>
      <c r="V1112" s="105">
        <v>0</v>
      </c>
      <c r="W1112" s="105">
        <v>0</v>
      </c>
      <c r="X1112" s="105">
        <v>0</v>
      </c>
      <c r="Y1112" s="105">
        <v>0</v>
      </c>
      <c r="Z1112" s="105">
        <v>0</v>
      </c>
      <c r="AA1112" s="105">
        <v>0</v>
      </c>
      <c r="AB1112" s="105">
        <v>0</v>
      </c>
      <c r="AC1112" s="8">
        <f t="shared" si="119"/>
        <v>34000000</v>
      </c>
      <c r="AD1112" s="8">
        <f t="shared" si="120"/>
        <v>0</v>
      </c>
      <c r="AE1112" s="8">
        <f t="shared" si="121"/>
        <v>0</v>
      </c>
      <c r="AF1112" s="106">
        <f t="shared" si="122"/>
        <v>0</v>
      </c>
      <c r="AG1112" s="8">
        <f t="shared" si="123"/>
        <v>0</v>
      </c>
      <c r="AH1112" s="8">
        <f>IF($O1112="Aktif",MAX(0,MIN($AE1112,$AD1112-SUM($AG1112:AG1112))),0)</f>
        <v>0</v>
      </c>
      <c r="AI1112" s="8">
        <f>IF($O1112="Aktif",MAX(0,MIN($AE1112,$AD1112-SUM($AG1112:AH1112))),0)</f>
        <v>0</v>
      </c>
      <c r="AJ1112" s="8">
        <f>IF($O1112="Aktif",MAX(0,MIN($AE1112,$AD1112-SUM($AG1112:AI1112))),0)</f>
        <v>0</v>
      </c>
      <c r="AK1112" s="8">
        <f>IF($O1112="Aktif",MAX(0,MIN($AE1112,$AD1112-SUM($AG1112:AJ1112))),0)</f>
        <v>0</v>
      </c>
      <c r="AL1112" s="8">
        <f>IF($O1112="Aktif",MAX(0,MIN($AE1112,$AD1112-SUM($AG1112:AK1112))),0)</f>
        <v>0</v>
      </c>
      <c r="AM1112" s="8">
        <f>IF($O1112="Aktif",MAX(0,MIN($AE1112,$AD1112-SUM($AG1112:AL1112))),0)</f>
        <v>0</v>
      </c>
      <c r="AN1112" s="8">
        <f>IF($O1112="Aktif",MAX(0,MIN($AE1112,$AD1112-SUM($AG1112:AM1112))),0)</f>
        <v>0</v>
      </c>
      <c r="AO1112" s="8">
        <f>IF($O1112="Aktif",MAX(0,MIN($AE1112,$AD1112-SUM($AG1112:AN1112))),0)</f>
        <v>0</v>
      </c>
      <c r="AP1112" s="8">
        <f>IF($O1112="Aktif",MAX(0,MIN($AE1112,$AD1112-SUM($AG1112:AO1112))),0)</f>
        <v>0</v>
      </c>
      <c r="AQ1112" s="8">
        <f>IF($O1112="Aktif",MAX(0,MIN($AE1112,$AD1112-SUM($AG1112:AP1112))),0)</f>
        <v>0</v>
      </c>
      <c r="AR1112" s="8">
        <f>IF($O1112="Aktif",MAX(0,MIN($AE1112,$AD1112-SUM($AG1112:AQ1112))),0)</f>
        <v>0</v>
      </c>
      <c r="AS1112" s="8">
        <f>IF($O1112="Aktif",MAX(0,MIN($AE1112,$AD1112-SUM($AG1112:AR1112))),0)</f>
        <v>0</v>
      </c>
      <c r="AT1112" s="8">
        <f>IF($O1112="Aktif",MAX(0,MIN($AE1112,$AD1112-SUM($AG1112:AS1112))),0)</f>
        <v>0</v>
      </c>
      <c r="AU1112" s="8">
        <f>IF($O1112="Aktif",MAX(0,MIN($AE1112,$AD1112-SUM($AG1112:AT1112))),0)</f>
        <v>0</v>
      </c>
      <c r="AV1112" s="8">
        <f>IF($O1112="Aktif",MAX(0,MIN($AE1112,$AD1112-SUM($AG1112:AU1112))),0)</f>
        <v>0</v>
      </c>
      <c r="AW1112" s="8">
        <f t="shared" si="124"/>
        <v>0</v>
      </c>
      <c r="AX1112" s="8">
        <f t="shared" si="125"/>
        <v>0</v>
      </c>
    </row>
    <row r="1113" spans="1:50" ht="15" customHeight="1" x14ac:dyDescent="0.35">
      <c r="A1113" s="102">
        <v>1107</v>
      </c>
      <c r="B1113" s="102" t="s">
        <v>2815</v>
      </c>
      <c r="C1113" s="103">
        <v>129</v>
      </c>
      <c r="D1113" s="102" t="s">
        <v>186</v>
      </c>
      <c r="E1113" s="102" t="s">
        <v>587</v>
      </c>
      <c r="F1113" s="102" t="s">
        <v>2816</v>
      </c>
      <c r="G1113" s="102" t="s">
        <v>2817</v>
      </c>
      <c r="H1113" s="102" t="s">
        <v>2818</v>
      </c>
      <c r="I1113" s="102" t="s">
        <v>63</v>
      </c>
      <c r="J1113" s="102"/>
      <c r="K1113" s="102" t="s">
        <v>591</v>
      </c>
      <c r="L1113" s="102" t="s">
        <v>2007</v>
      </c>
      <c r="M1113" s="102" t="s">
        <v>3098</v>
      </c>
      <c r="N1113" s="102" t="s">
        <v>3100</v>
      </c>
      <c r="O1113" s="102" t="s">
        <v>487</v>
      </c>
      <c r="P1113" s="103">
        <v>1</v>
      </c>
      <c r="Q1113" s="105">
        <v>-17000000</v>
      </c>
      <c r="R1113" s="102"/>
      <c r="S1113" s="105">
        <v>0</v>
      </c>
      <c r="T1113" s="105">
        <v>-17000000</v>
      </c>
      <c r="U1113" s="105">
        <v>0</v>
      </c>
      <c r="V1113" s="105">
        <v>0</v>
      </c>
      <c r="W1113" s="105">
        <v>0</v>
      </c>
      <c r="X1113" s="105">
        <v>0</v>
      </c>
      <c r="Y1113" s="105">
        <v>0</v>
      </c>
      <c r="Z1113" s="105">
        <v>0</v>
      </c>
      <c r="AA1113" s="105">
        <v>0</v>
      </c>
      <c r="AB1113" s="105">
        <v>0</v>
      </c>
      <c r="AC1113" s="8">
        <f t="shared" si="119"/>
        <v>-17000000</v>
      </c>
      <c r="AD1113" s="8">
        <f t="shared" si="120"/>
        <v>0</v>
      </c>
      <c r="AE1113" s="8">
        <f t="shared" si="121"/>
        <v>0</v>
      </c>
      <c r="AF1113" s="106">
        <f t="shared" si="122"/>
        <v>0</v>
      </c>
      <c r="AG1113" s="8">
        <f t="shared" si="123"/>
        <v>0</v>
      </c>
      <c r="AH1113" s="8">
        <f>IF($O1113="Aktif",MAX(0,MIN($AE1113,$AD1113-SUM($AG1113:AG1113))),0)</f>
        <v>0</v>
      </c>
      <c r="AI1113" s="8">
        <f>IF($O1113="Aktif",MAX(0,MIN($AE1113,$AD1113-SUM($AG1113:AH1113))),0)</f>
        <v>0</v>
      </c>
      <c r="AJ1113" s="8">
        <f>IF($O1113="Aktif",MAX(0,MIN($AE1113,$AD1113-SUM($AG1113:AI1113))),0)</f>
        <v>0</v>
      </c>
      <c r="AK1113" s="8">
        <f>IF($O1113="Aktif",MAX(0,MIN($AE1113,$AD1113-SUM($AG1113:AJ1113))),0)</f>
        <v>0</v>
      </c>
      <c r="AL1113" s="8">
        <f>IF($O1113="Aktif",MAX(0,MIN($AE1113,$AD1113-SUM($AG1113:AK1113))),0)</f>
        <v>0</v>
      </c>
      <c r="AM1113" s="8">
        <f>IF($O1113="Aktif",MAX(0,MIN($AE1113,$AD1113-SUM($AG1113:AL1113))),0)</f>
        <v>0</v>
      </c>
      <c r="AN1113" s="8">
        <f>IF($O1113="Aktif",MAX(0,MIN($AE1113,$AD1113-SUM($AG1113:AM1113))),0)</f>
        <v>0</v>
      </c>
      <c r="AO1113" s="8">
        <f>IF($O1113="Aktif",MAX(0,MIN($AE1113,$AD1113-SUM($AG1113:AN1113))),0)</f>
        <v>0</v>
      </c>
      <c r="AP1113" s="8">
        <f>IF($O1113="Aktif",MAX(0,MIN($AE1113,$AD1113-SUM($AG1113:AO1113))),0)</f>
        <v>0</v>
      </c>
      <c r="AQ1113" s="8">
        <f>IF($O1113="Aktif",MAX(0,MIN($AE1113,$AD1113-SUM($AG1113:AP1113))),0)</f>
        <v>0</v>
      </c>
      <c r="AR1113" s="8">
        <f>IF($O1113="Aktif",MAX(0,MIN($AE1113,$AD1113-SUM($AG1113:AQ1113))),0)</f>
        <v>0</v>
      </c>
      <c r="AS1113" s="8">
        <f>IF($O1113="Aktif",MAX(0,MIN($AE1113,$AD1113-SUM($AG1113:AR1113))),0)</f>
        <v>0</v>
      </c>
      <c r="AT1113" s="8">
        <f>IF($O1113="Aktif",MAX(0,MIN($AE1113,$AD1113-SUM($AG1113:AS1113))),0)</f>
        <v>0</v>
      </c>
      <c r="AU1113" s="8">
        <f>IF($O1113="Aktif",MAX(0,MIN($AE1113,$AD1113-SUM($AG1113:AT1113))),0)</f>
        <v>0</v>
      </c>
      <c r="AV1113" s="8">
        <f>IF($O1113="Aktif",MAX(0,MIN($AE1113,$AD1113-SUM($AG1113:AU1113))),0)</f>
        <v>0</v>
      </c>
      <c r="AW1113" s="8">
        <f t="shared" si="124"/>
        <v>0</v>
      </c>
      <c r="AX1113" s="8">
        <f t="shared" si="125"/>
        <v>0</v>
      </c>
    </row>
    <row r="1114" spans="1:50" ht="15" customHeight="1" x14ac:dyDescent="0.35">
      <c r="A1114" s="102">
        <v>1108</v>
      </c>
      <c r="B1114" s="102" t="s">
        <v>2815</v>
      </c>
      <c r="C1114" s="103">
        <v>130</v>
      </c>
      <c r="D1114" s="102" t="s">
        <v>186</v>
      </c>
      <c r="E1114" s="102" t="s">
        <v>587</v>
      </c>
      <c r="F1114" s="102" t="s">
        <v>2816</v>
      </c>
      <c r="G1114" s="102" t="s">
        <v>2817</v>
      </c>
      <c r="H1114" s="102" t="s">
        <v>2818</v>
      </c>
      <c r="I1114" s="102" t="s">
        <v>63</v>
      </c>
      <c r="J1114" s="102" t="s">
        <v>3101</v>
      </c>
      <c r="K1114" s="102" t="s">
        <v>591</v>
      </c>
      <c r="L1114" s="104">
        <v>42551</v>
      </c>
      <c r="M1114" s="102" t="s">
        <v>3102</v>
      </c>
      <c r="N1114" s="102" t="s">
        <v>3103</v>
      </c>
      <c r="O1114" s="102" t="s">
        <v>383</v>
      </c>
      <c r="P1114" s="103">
        <v>1</v>
      </c>
      <c r="Q1114" s="105">
        <v>208194210</v>
      </c>
      <c r="R1114" s="103">
        <v>48</v>
      </c>
      <c r="S1114" s="105">
        <v>4337379.375</v>
      </c>
      <c r="T1114" s="105">
        <v>208194210</v>
      </c>
      <c r="U1114" s="105">
        <v>0</v>
      </c>
      <c r="V1114" s="105">
        <v>0</v>
      </c>
      <c r="W1114" s="105">
        <v>0</v>
      </c>
      <c r="X1114" s="105">
        <v>0</v>
      </c>
      <c r="Y1114" s="105">
        <v>0</v>
      </c>
      <c r="Z1114" s="105">
        <v>0</v>
      </c>
      <c r="AA1114" s="105">
        <v>0</v>
      </c>
      <c r="AB1114" s="105">
        <v>0</v>
      </c>
      <c r="AC1114" s="8">
        <f t="shared" si="119"/>
        <v>208194210</v>
      </c>
      <c r="AD1114" s="8">
        <f t="shared" si="120"/>
        <v>0</v>
      </c>
      <c r="AE1114" s="8">
        <f t="shared" si="121"/>
        <v>0</v>
      </c>
      <c r="AF1114" s="106">
        <f t="shared" si="122"/>
        <v>0</v>
      </c>
      <c r="AG1114" s="8">
        <f t="shared" si="123"/>
        <v>0</v>
      </c>
      <c r="AH1114" s="8">
        <f>IF($O1114="Aktif",MAX(0,MIN($AE1114,$AD1114-SUM($AG1114:AG1114))),0)</f>
        <v>0</v>
      </c>
      <c r="AI1114" s="8">
        <f>IF($O1114="Aktif",MAX(0,MIN($AE1114,$AD1114-SUM($AG1114:AH1114))),0)</f>
        <v>0</v>
      </c>
      <c r="AJ1114" s="8">
        <f>IF($O1114="Aktif",MAX(0,MIN($AE1114,$AD1114-SUM($AG1114:AI1114))),0)</f>
        <v>0</v>
      </c>
      <c r="AK1114" s="8">
        <f>IF($O1114="Aktif",MAX(0,MIN($AE1114,$AD1114-SUM($AG1114:AJ1114))),0)</f>
        <v>0</v>
      </c>
      <c r="AL1114" s="8">
        <f>IF($O1114="Aktif",MAX(0,MIN($AE1114,$AD1114-SUM($AG1114:AK1114))),0)</f>
        <v>0</v>
      </c>
      <c r="AM1114" s="8">
        <f>IF($O1114="Aktif",MAX(0,MIN($AE1114,$AD1114-SUM($AG1114:AL1114))),0)</f>
        <v>0</v>
      </c>
      <c r="AN1114" s="8">
        <f>IF($O1114="Aktif",MAX(0,MIN($AE1114,$AD1114-SUM($AG1114:AM1114))),0)</f>
        <v>0</v>
      </c>
      <c r="AO1114" s="8">
        <f>IF($O1114="Aktif",MAX(0,MIN($AE1114,$AD1114-SUM($AG1114:AN1114))),0)</f>
        <v>0</v>
      </c>
      <c r="AP1114" s="8">
        <f>IF($O1114="Aktif",MAX(0,MIN($AE1114,$AD1114-SUM($AG1114:AO1114))),0)</f>
        <v>0</v>
      </c>
      <c r="AQ1114" s="8">
        <f>IF($O1114="Aktif",MAX(0,MIN($AE1114,$AD1114-SUM($AG1114:AP1114))),0)</f>
        <v>0</v>
      </c>
      <c r="AR1114" s="8">
        <f>IF($O1114="Aktif",MAX(0,MIN($AE1114,$AD1114-SUM($AG1114:AQ1114))),0)</f>
        <v>0</v>
      </c>
      <c r="AS1114" s="8">
        <f>IF($O1114="Aktif",MAX(0,MIN($AE1114,$AD1114-SUM($AG1114:AR1114))),0)</f>
        <v>0</v>
      </c>
      <c r="AT1114" s="8">
        <f>IF($O1114="Aktif",MAX(0,MIN($AE1114,$AD1114-SUM($AG1114:AS1114))),0)</f>
        <v>0</v>
      </c>
      <c r="AU1114" s="8">
        <f>IF($O1114="Aktif",MAX(0,MIN($AE1114,$AD1114-SUM($AG1114:AT1114))),0)</f>
        <v>0</v>
      </c>
      <c r="AV1114" s="8">
        <f>IF($O1114="Aktif",MAX(0,MIN($AE1114,$AD1114-SUM($AG1114:AU1114))),0)</f>
        <v>0</v>
      </c>
      <c r="AW1114" s="8">
        <f t="shared" si="124"/>
        <v>0</v>
      </c>
      <c r="AX1114" s="8">
        <f t="shared" si="125"/>
        <v>0</v>
      </c>
    </row>
    <row r="1115" spans="1:50" ht="15" customHeight="1" x14ac:dyDescent="0.35">
      <c r="A1115" s="102">
        <v>1109</v>
      </c>
      <c r="B1115" s="102" t="s">
        <v>2815</v>
      </c>
      <c r="C1115" s="103">
        <v>131</v>
      </c>
      <c r="D1115" s="102" t="s">
        <v>186</v>
      </c>
      <c r="E1115" s="102" t="s">
        <v>587</v>
      </c>
      <c r="F1115" s="102" t="s">
        <v>2816</v>
      </c>
      <c r="G1115" s="102" t="s">
        <v>2817</v>
      </c>
      <c r="H1115" s="102" t="s">
        <v>2818</v>
      </c>
      <c r="I1115" s="102" t="s">
        <v>63</v>
      </c>
      <c r="J1115" s="102" t="s">
        <v>3104</v>
      </c>
      <c r="K1115" s="102" t="s">
        <v>591</v>
      </c>
      <c r="L1115" s="104">
        <v>42598</v>
      </c>
      <c r="M1115" s="102" t="s">
        <v>3105</v>
      </c>
      <c r="N1115" s="102" t="s">
        <v>3106</v>
      </c>
      <c r="O1115" s="102" t="s">
        <v>383</v>
      </c>
      <c r="P1115" s="103">
        <v>1</v>
      </c>
      <c r="Q1115" s="105">
        <v>27500000</v>
      </c>
      <c r="R1115" s="103">
        <v>48</v>
      </c>
      <c r="S1115" s="105">
        <v>572916.66666666698</v>
      </c>
      <c r="T1115" s="105">
        <v>27500000</v>
      </c>
      <c r="U1115" s="105">
        <v>0</v>
      </c>
      <c r="V1115" s="105">
        <v>0</v>
      </c>
      <c r="W1115" s="105">
        <v>0</v>
      </c>
      <c r="X1115" s="105">
        <v>0</v>
      </c>
      <c r="Y1115" s="105">
        <v>0</v>
      </c>
      <c r="Z1115" s="105">
        <v>0</v>
      </c>
      <c r="AA1115" s="105">
        <v>0</v>
      </c>
      <c r="AB1115" s="105">
        <v>0</v>
      </c>
      <c r="AC1115" s="8">
        <f t="shared" si="119"/>
        <v>27500000</v>
      </c>
      <c r="AD1115" s="8">
        <f t="shared" si="120"/>
        <v>0</v>
      </c>
      <c r="AE1115" s="8">
        <f t="shared" si="121"/>
        <v>0</v>
      </c>
      <c r="AF1115" s="106">
        <f t="shared" si="122"/>
        <v>0</v>
      </c>
      <c r="AG1115" s="8">
        <f t="shared" si="123"/>
        <v>0</v>
      </c>
      <c r="AH1115" s="8">
        <f>IF($O1115="Aktif",MAX(0,MIN($AE1115,$AD1115-SUM($AG1115:AG1115))),0)</f>
        <v>0</v>
      </c>
      <c r="AI1115" s="8">
        <f>IF($O1115="Aktif",MAX(0,MIN($AE1115,$AD1115-SUM($AG1115:AH1115))),0)</f>
        <v>0</v>
      </c>
      <c r="AJ1115" s="8">
        <f>IF($O1115="Aktif",MAX(0,MIN($AE1115,$AD1115-SUM($AG1115:AI1115))),0)</f>
        <v>0</v>
      </c>
      <c r="AK1115" s="8">
        <f>IF($O1115="Aktif",MAX(0,MIN($AE1115,$AD1115-SUM($AG1115:AJ1115))),0)</f>
        <v>0</v>
      </c>
      <c r="AL1115" s="8">
        <f>IF($O1115="Aktif",MAX(0,MIN($AE1115,$AD1115-SUM($AG1115:AK1115))),0)</f>
        <v>0</v>
      </c>
      <c r="AM1115" s="8">
        <f>IF($O1115="Aktif",MAX(0,MIN($AE1115,$AD1115-SUM($AG1115:AL1115))),0)</f>
        <v>0</v>
      </c>
      <c r="AN1115" s="8">
        <f>IF($O1115="Aktif",MAX(0,MIN($AE1115,$AD1115-SUM($AG1115:AM1115))),0)</f>
        <v>0</v>
      </c>
      <c r="AO1115" s="8">
        <f>IF($O1115="Aktif",MAX(0,MIN($AE1115,$AD1115-SUM($AG1115:AN1115))),0)</f>
        <v>0</v>
      </c>
      <c r="AP1115" s="8">
        <f>IF($O1115="Aktif",MAX(0,MIN($AE1115,$AD1115-SUM($AG1115:AO1115))),0)</f>
        <v>0</v>
      </c>
      <c r="AQ1115" s="8">
        <f>IF($O1115="Aktif",MAX(0,MIN($AE1115,$AD1115-SUM($AG1115:AP1115))),0)</f>
        <v>0</v>
      </c>
      <c r="AR1115" s="8">
        <f>IF($O1115="Aktif",MAX(0,MIN($AE1115,$AD1115-SUM($AG1115:AQ1115))),0)</f>
        <v>0</v>
      </c>
      <c r="AS1115" s="8">
        <f>IF($O1115="Aktif",MAX(0,MIN($AE1115,$AD1115-SUM($AG1115:AR1115))),0)</f>
        <v>0</v>
      </c>
      <c r="AT1115" s="8">
        <f>IF($O1115="Aktif",MAX(0,MIN($AE1115,$AD1115-SUM($AG1115:AS1115))),0)</f>
        <v>0</v>
      </c>
      <c r="AU1115" s="8">
        <f>IF($O1115="Aktif",MAX(0,MIN($AE1115,$AD1115-SUM($AG1115:AT1115))),0)</f>
        <v>0</v>
      </c>
      <c r="AV1115" s="8">
        <f>IF($O1115="Aktif",MAX(0,MIN($AE1115,$AD1115-SUM($AG1115:AU1115))),0)</f>
        <v>0</v>
      </c>
      <c r="AW1115" s="8">
        <f t="shared" si="124"/>
        <v>0</v>
      </c>
      <c r="AX1115" s="8">
        <f t="shared" si="125"/>
        <v>0</v>
      </c>
    </row>
    <row r="1116" spans="1:50" ht="15" customHeight="1" x14ac:dyDescent="0.35">
      <c r="A1116" s="102">
        <v>1110</v>
      </c>
      <c r="B1116" s="102" t="s">
        <v>2815</v>
      </c>
      <c r="C1116" s="103">
        <v>132</v>
      </c>
      <c r="D1116" s="102" t="s">
        <v>186</v>
      </c>
      <c r="E1116" s="102" t="s">
        <v>587</v>
      </c>
      <c r="F1116" s="102" t="s">
        <v>2816</v>
      </c>
      <c r="G1116" s="102" t="s">
        <v>2817</v>
      </c>
      <c r="H1116" s="102" t="s">
        <v>2818</v>
      </c>
      <c r="I1116" s="102" t="s">
        <v>63</v>
      </c>
      <c r="J1116" s="102" t="s">
        <v>3107</v>
      </c>
      <c r="K1116" s="102" t="s">
        <v>591</v>
      </c>
      <c r="L1116" s="104">
        <v>42608</v>
      </c>
      <c r="M1116" s="102" t="s">
        <v>3108</v>
      </c>
      <c r="N1116" s="102" t="s">
        <v>3109</v>
      </c>
      <c r="O1116" s="102" t="s">
        <v>383</v>
      </c>
      <c r="P1116" s="103">
        <v>1</v>
      </c>
      <c r="Q1116" s="105">
        <v>55000000</v>
      </c>
      <c r="R1116" s="103">
        <v>48</v>
      </c>
      <c r="S1116" s="105">
        <v>1145833.33333333</v>
      </c>
      <c r="T1116" s="105">
        <v>55000000</v>
      </c>
      <c r="U1116" s="105">
        <v>0</v>
      </c>
      <c r="V1116" s="105">
        <v>0</v>
      </c>
      <c r="W1116" s="105">
        <v>0</v>
      </c>
      <c r="X1116" s="105">
        <v>0</v>
      </c>
      <c r="Y1116" s="105">
        <v>0</v>
      </c>
      <c r="Z1116" s="105">
        <v>0</v>
      </c>
      <c r="AA1116" s="105">
        <v>0</v>
      </c>
      <c r="AB1116" s="105">
        <v>0</v>
      </c>
      <c r="AC1116" s="8">
        <f t="shared" si="119"/>
        <v>55000000</v>
      </c>
      <c r="AD1116" s="8">
        <f t="shared" si="120"/>
        <v>0</v>
      </c>
      <c r="AE1116" s="8">
        <f t="shared" si="121"/>
        <v>0</v>
      </c>
      <c r="AF1116" s="106">
        <f t="shared" si="122"/>
        <v>0</v>
      </c>
      <c r="AG1116" s="8">
        <f t="shared" si="123"/>
        <v>0</v>
      </c>
      <c r="AH1116" s="8">
        <f>IF($O1116="Aktif",MAX(0,MIN($AE1116,$AD1116-SUM($AG1116:AG1116))),0)</f>
        <v>0</v>
      </c>
      <c r="AI1116" s="8">
        <f>IF($O1116="Aktif",MAX(0,MIN($AE1116,$AD1116-SUM($AG1116:AH1116))),0)</f>
        <v>0</v>
      </c>
      <c r="AJ1116" s="8">
        <f>IF($O1116="Aktif",MAX(0,MIN($AE1116,$AD1116-SUM($AG1116:AI1116))),0)</f>
        <v>0</v>
      </c>
      <c r="AK1116" s="8">
        <f>IF($O1116="Aktif",MAX(0,MIN($AE1116,$AD1116-SUM($AG1116:AJ1116))),0)</f>
        <v>0</v>
      </c>
      <c r="AL1116" s="8">
        <f>IF($O1116="Aktif",MAX(0,MIN($AE1116,$AD1116-SUM($AG1116:AK1116))),0)</f>
        <v>0</v>
      </c>
      <c r="AM1116" s="8">
        <f>IF($O1116="Aktif",MAX(0,MIN($AE1116,$AD1116-SUM($AG1116:AL1116))),0)</f>
        <v>0</v>
      </c>
      <c r="AN1116" s="8">
        <f>IF($O1116="Aktif",MAX(0,MIN($AE1116,$AD1116-SUM($AG1116:AM1116))),0)</f>
        <v>0</v>
      </c>
      <c r="AO1116" s="8">
        <f>IF($O1116="Aktif",MAX(0,MIN($AE1116,$AD1116-SUM($AG1116:AN1116))),0)</f>
        <v>0</v>
      </c>
      <c r="AP1116" s="8">
        <f>IF($O1116="Aktif",MAX(0,MIN($AE1116,$AD1116-SUM($AG1116:AO1116))),0)</f>
        <v>0</v>
      </c>
      <c r="AQ1116" s="8">
        <f>IF($O1116="Aktif",MAX(0,MIN($AE1116,$AD1116-SUM($AG1116:AP1116))),0)</f>
        <v>0</v>
      </c>
      <c r="AR1116" s="8">
        <f>IF($O1116="Aktif",MAX(0,MIN($AE1116,$AD1116-SUM($AG1116:AQ1116))),0)</f>
        <v>0</v>
      </c>
      <c r="AS1116" s="8">
        <f>IF($O1116="Aktif",MAX(0,MIN($AE1116,$AD1116-SUM($AG1116:AR1116))),0)</f>
        <v>0</v>
      </c>
      <c r="AT1116" s="8">
        <f>IF($O1116="Aktif",MAX(0,MIN($AE1116,$AD1116-SUM($AG1116:AS1116))),0)</f>
        <v>0</v>
      </c>
      <c r="AU1116" s="8">
        <f>IF($O1116="Aktif",MAX(0,MIN($AE1116,$AD1116-SUM($AG1116:AT1116))),0)</f>
        <v>0</v>
      </c>
      <c r="AV1116" s="8">
        <f>IF($O1116="Aktif",MAX(0,MIN($AE1116,$AD1116-SUM($AG1116:AU1116))),0)</f>
        <v>0</v>
      </c>
      <c r="AW1116" s="8">
        <f t="shared" si="124"/>
        <v>0</v>
      </c>
      <c r="AX1116" s="8">
        <f t="shared" si="125"/>
        <v>0</v>
      </c>
    </row>
    <row r="1117" spans="1:50" ht="15" customHeight="1" x14ac:dyDescent="0.35">
      <c r="A1117" s="102">
        <v>1111</v>
      </c>
      <c r="B1117" s="102" t="s">
        <v>2815</v>
      </c>
      <c r="C1117" s="103">
        <v>133</v>
      </c>
      <c r="D1117" s="102" t="s">
        <v>186</v>
      </c>
      <c r="E1117" s="102" t="s">
        <v>587</v>
      </c>
      <c r="F1117" s="102" t="s">
        <v>2816</v>
      </c>
      <c r="G1117" s="102" t="s">
        <v>2817</v>
      </c>
      <c r="H1117" s="102" t="s">
        <v>2818</v>
      </c>
      <c r="I1117" s="102" t="s">
        <v>63</v>
      </c>
      <c r="J1117" s="102" t="s">
        <v>3110</v>
      </c>
      <c r="K1117" s="102" t="s">
        <v>591</v>
      </c>
      <c r="L1117" s="104">
        <v>42612</v>
      </c>
      <c r="M1117" s="102" t="s">
        <v>3111</v>
      </c>
      <c r="N1117" s="102" t="s">
        <v>3112</v>
      </c>
      <c r="O1117" s="102" t="s">
        <v>383</v>
      </c>
      <c r="P1117" s="103">
        <v>1</v>
      </c>
      <c r="Q1117" s="105">
        <v>25000000</v>
      </c>
      <c r="R1117" s="103">
        <v>48</v>
      </c>
      <c r="S1117" s="105">
        <v>520833.33333333302</v>
      </c>
      <c r="T1117" s="105">
        <v>25000000</v>
      </c>
      <c r="U1117" s="105">
        <v>0</v>
      </c>
      <c r="V1117" s="105">
        <v>0</v>
      </c>
      <c r="W1117" s="105">
        <v>0</v>
      </c>
      <c r="X1117" s="105">
        <v>0</v>
      </c>
      <c r="Y1117" s="105">
        <v>0</v>
      </c>
      <c r="Z1117" s="105">
        <v>0</v>
      </c>
      <c r="AA1117" s="105">
        <v>0</v>
      </c>
      <c r="AB1117" s="105">
        <v>0</v>
      </c>
      <c r="AC1117" s="8">
        <f t="shared" si="119"/>
        <v>25000000</v>
      </c>
      <c r="AD1117" s="8">
        <f t="shared" si="120"/>
        <v>0</v>
      </c>
      <c r="AE1117" s="8">
        <f t="shared" si="121"/>
        <v>0</v>
      </c>
      <c r="AF1117" s="106">
        <f t="shared" si="122"/>
        <v>0</v>
      </c>
      <c r="AG1117" s="8">
        <f t="shared" si="123"/>
        <v>0</v>
      </c>
      <c r="AH1117" s="8">
        <f>IF($O1117="Aktif",MAX(0,MIN($AE1117,$AD1117-SUM($AG1117:AG1117))),0)</f>
        <v>0</v>
      </c>
      <c r="AI1117" s="8">
        <f>IF($O1117="Aktif",MAX(0,MIN($AE1117,$AD1117-SUM($AG1117:AH1117))),0)</f>
        <v>0</v>
      </c>
      <c r="AJ1117" s="8">
        <f>IF($O1117="Aktif",MAX(0,MIN($AE1117,$AD1117-SUM($AG1117:AI1117))),0)</f>
        <v>0</v>
      </c>
      <c r="AK1117" s="8">
        <f>IF($O1117="Aktif",MAX(0,MIN($AE1117,$AD1117-SUM($AG1117:AJ1117))),0)</f>
        <v>0</v>
      </c>
      <c r="AL1117" s="8">
        <f>IF($O1117="Aktif",MAX(0,MIN($AE1117,$AD1117-SUM($AG1117:AK1117))),0)</f>
        <v>0</v>
      </c>
      <c r="AM1117" s="8">
        <f>IF($O1117="Aktif",MAX(0,MIN($AE1117,$AD1117-SUM($AG1117:AL1117))),0)</f>
        <v>0</v>
      </c>
      <c r="AN1117" s="8">
        <f>IF($O1117="Aktif",MAX(0,MIN($AE1117,$AD1117-SUM($AG1117:AM1117))),0)</f>
        <v>0</v>
      </c>
      <c r="AO1117" s="8">
        <f>IF($O1117="Aktif",MAX(0,MIN($AE1117,$AD1117-SUM($AG1117:AN1117))),0)</f>
        <v>0</v>
      </c>
      <c r="AP1117" s="8">
        <f>IF($O1117="Aktif",MAX(0,MIN($AE1117,$AD1117-SUM($AG1117:AO1117))),0)</f>
        <v>0</v>
      </c>
      <c r="AQ1117" s="8">
        <f>IF($O1117="Aktif",MAX(0,MIN($AE1117,$AD1117-SUM($AG1117:AP1117))),0)</f>
        <v>0</v>
      </c>
      <c r="AR1117" s="8">
        <f>IF($O1117="Aktif",MAX(0,MIN($AE1117,$AD1117-SUM($AG1117:AQ1117))),0)</f>
        <v>0</v>
      </c>
      <c r="AS1117" s="8">
        <f>IF($O1117="Aktif",MAX(0,MIN($AE1117,$AD1117-SUM($AG1117:AR1117))),0)</f>
        <v>0</v>
      </c>
      <c r="AT1117" s="8">
        <f>IF($O1117="Aktif",MAX(0,MIN($AE1117,$AD1117-SUM($AG1117:AS1117))),0)</f>
        <v>0</v>
      </c>
      <c r="AU1117" s="8">
        <f>IF($O1117="Aktif",MAX(0,MIN($AE1117,$AD1117-SUM($AG1117:AT1117))),0)</f>
        <v>0</v>
      </c>
      <c r="AV1117" s="8">
        <f>IF($O1117="Aktif",MAX(0,MIN($AE1117,$AD1117-SUM($AG1117:AU1117))),0)</f>
        <v>0</v>
      </c>
      <c r="AW1117" s="8">
        <f t="shared" si="124"/>
        <v>0</v>
      </c>
      <c r="AX1117" s="8">
        <f t="shared" si="125"/>
        <v>0</v>
      </c>
    </row>
    <row r="1118" spans="1:50" ht="15" customHeight="1" x14ac:dyDescent="0.35">
      <c r="A1118" s="102">
        <v>1112</v>
      </c>
      <c r="B1118" s="102" t="s">
        <v>2815</v>
      </c>
      <c r="C1118" s="103">
        <v>134</v>
      </c>
      <c r="D1118" s="102" t="s">
        <v>186</v>
      </c>
      <c r="E1118" s="102" t="s">
        <v>587</v>
      </c>
      <c r="F1118" s="102" t="s">
        <v>2816</v>
      </c>
      <c r="G1118" s="102" t="s">
        <v>2817</v>
      </c>
      <c r="H1118" s="102" t="s">
        <v>2818</v>
      </c>
      <c r="I1118" s="102" t="s">
        <v>63</v>
      </c>
      <c r="J1118" s="102" t="s">
        <v>3113</v>
      </c>
      <c r="K1118" s="102" t="s">
        <v>591</v>
      </c>
      <c r="L1118" s="104">
        <v>42613</v>
      </c>
      <c r="M1118" s="102" t="s">
        <v>3114</v>
      </c>
      <c r="N1118" s="102" t="s">
        <v>3115</v>
      </c>
      <c r="O1118" s="102" t="s">
        <v>383</v>
      </c>
      <c r="P1118" s="103">
        <v>1</v>
      </c>
      <c r="Q1118" s="105">
        <v>575000000</v>
      </c>
      <c r="R1118" s="103">
        <v>48</v>
      </c>
      <c r="S1118" s="105">
        <v>11979166.6666667</v>
      </c>
      <c r="T1118" s="105">
        <v>575000000</v>
      </c>
      <c r="U1118" s="105">
        <v>0</v>
      </c>
      <c r="V1118" s="105">
        <v>0</v>
      </c>
      <c r="W1118" s="105">
        <v>0</v>
      </c>
      <c r="X1118" s="105">
        <v>0</v>
      </c>
      <c r="Y1118" s="105">
        <v>0</v>
      </c>
      <c r="Z1118" s="105">
        <v>0</v>
      </c>
      <c r="AA1118" s="105">
        <v>0</v>
      </c>
      <c r="AB1118" s="105">
        <v>0</v>
      </c>
      <c r="AC1118" s="8">
        <f t="shared" si="119"/>
        <v>575000000</v>
      </c>
      <c r="AD1118" s="8">
        <f t="shared" si="120"/>
        <v>0</v>
      </c>
      <c r="AE1118" s="8">
        <f t="shared" si="121"/>
        <v>0</v>
      </c>
      <c r="AF1118" s="106">
        <f t="shared" si="122"/>
        <v>0</v>
      </c>
      <c r="AG1118" s="8">
        <f t="shared" si="123"/>
        <v>0</v>
      </c>
      <c r="AH1118" s="8">
        <f>IF($O1118="Aktif",MAX(0,MIN($AE1118,$AD1118-SUM($AG1118:AG1118))),0)</f>
        <v>0</v>
      </c>
      <c r="AI1118" s="8">
        <f>IF($O1118="Aktif",MAX(0,MIN($AE1118,$AD1118-SUM($AG1118:AH1118))),0)</f>
        <v>0</v>
      </c>
      <c r="AJ1118" s="8">
        <f>IF($O1118="Aktif",MAX(0,MIN($AE1118,$AD1118-SUM($AG1118:AI1118))),0)</f>
        <v>0</v>
      </c>
      <c r="AK1118" s="8">
        <f>IF($O1118="Aktif",MAX(0,MIN($AE1118,$AD1118-SUM($AG1118:AJ1118))),0)</f>
        <v>0</v>
      </c>
      <c r="AL1118" s="8">
        <f>IF($O1118="Aktif",MAX(0,MIN($AE1118,$AD1118-SUM($AG1118:AK1118))),0)</f>
        <v>0</v>
      </c>
      <c r="AM1118" s="8">
        <f>IF($O1118="Aktif",MAX(0,MIN($AE1118,$AD1118-SUM($AG1118:AL1118))),0)</f>
        <v>0</v>
      </c>
      <c r="AN1118" s="8">
        <f>IF($O1118="Aktif",MAX(0,MIN($AE1118,$AD1118-SUM($AG1118:AM1118))),0)</f>
        <v>0</v>
      </c>
      <c r="AO1118" s="8">
        <f>IF($O1118="Aktif",MAX(0,MIN($AE1118,$AD1118-SUM($AG1118:AN1118))),0)</f>
        <v>0</v>
      </c>
      <c r="AP1118" s="8">
        <f>IF($O1118="Aktif",MAX(0,MIN($AE1118,$AD1118-SUM($AG1118:AO1118))),0)</f>
        <v>0</v>
      </c>
      <c r="AQ1118" s="8">
        <f>IF($O1118="Aktif",MAX(0,MIN($AE1118,$AD1118-SUM($AG1118:AP1118))),0)</f>
        <v>0</v>
      </c>
      <c r="AR1118" s="8">
        <f>IF($O1118="Aktif",MAX(0,MIN($AE1118,$AD1118-SUM($AG1118:AQ1118))),0)</f>
        <v>0</v>
      </c>
      <c r="AS1118" s="8">
        <f>IF($O1118="Aktif",MAX(0,MIN($AE1118,$AD1118-SUM($AG1118:AR1118))),0)</f>
        <v>0</v>
      </c>
      <c r="AT1118" s="8">
        <f>IF($O1118="Aktif",MAX(0,MIN($AE1118,$AD1118-SUM($AG1118:AS1118))),0)</f>
        <v>0</v>
      </c>
      <c r="AU1118" s="8">
        <f>IF($O1118="Aktif",MAX(0,MIN($AE1118,$AD1118-SUM($AG1118:AT1118))),0)</f>
        <v>0</v>
      </c>
      <c r="AV1118" s="8">
        <f>IF($O1118="Aktif",MAX(0,MIN($AE1118,$AD1118-SUM($AG1118:AU1118))),0)</f>
        <v>0</v>
      </c>
      <c r="AW1118" s="8">
        <f t="shared" si="124"/>
        <v>0</v>
      </c>
      <c r="AX1118" s="8">
        <f t="shared" si="125"/>
        <v>0</v>
      </c>
    </row>
    <row r="1119" spans="1:50" ht="15" customHeight="1" x14ac:dyDescent="0.35">
      <c r="A1119" s="102">
        <v>1113</v>
      </c>
      <c r="B1119" s="102" t="s">
        <v>2815</v>
      </c>
      <c r="C1119" s="103">
        <v>135</v>
      </c>
      <c r="D1119" s="102" t="s">
        <v>186</v>
      </c>
      <c r="E1119" s="102" t="s">
        <v>0</v>
      </c>
      <c r="F1119" s="102" t="s">
        <v>3116</v>
      </c>
      <c r="G1119" s="102" t="s">
        <v>3117</v>
      </c>
      <c r="H1119" s="102" t="s">
        <v>3118</v>
      </c>
      <c r="I1119" s="102" t="s">
        <v>63</v>
      </c>
      <c r="J1119" s="102"/>
      <c r="K1119" s="102"/>
      <c r="L1119" s="104">
        <v>46173</v>
      </c>
      <c r="M1119" s="102" t="s">
        <v>3114</v>
      </c>
      <c r="N1119" s="102" t="s">
        <v>3115</v>
      </c>
      <c r="O1119" s="102" t="s">
        <v>487</v>
      </c>
      <c r="P1119" s="103">
        <v>1</v>
      </c>
      <c r="Q1119" s="105">
        <v>-575000000</v>
      </c>
      <c r="R1119" s="102"/>
      <c r="S1119" s="105">
        <v>0</v>
      </c>
      <c r="T1119" s="105">
        <v>-575000000</v>
      </c>
      <c r="U1119" s="105">
        <v>0</v>
      </c>
      <c r="V1119" s="105">
        <v>0</v>
      </c>
      <c r="W1119" s="105">
        <v>0</v>
      </c>
      <c r="X1119" s="105">
        <v>0</v>
      </c>
      <c r="Y1119" s="105">
        <v>0</v>
      </c>
      <c r="Z1119" s="105">
        <v>0</v>
      </c>
      <c r="AA1119" s="105">
        <v>0</v>
      </c>
      <c r="AB1119" s="105">
        <v>0</v>
      </c>
      <c r="AC1119" s="8">
        <f t="shared" si="119"/>
        <v>-575000000</v>
      </c>
      <c r="AD1119" s="8">
        <f t="shared" si="120"/>
        <v>0</v>
      </c>
      <c r="AE1119" s="8">
        <f t="shared" si="121"/>
        <v>0</v>
      </c>
      <c r="AF1119" s="106">
        <f t="shared" si="122"/>
        <v>0</v>
      </c>
      <c r="AG1119" s="8">
        <f t="shared" si="123"/>
        <v>0</v>
      </c>
      <c r="AH1119" s="8">
        <f>IF($O1119="Aktif",MAX(0,MIN($AE1119,$AD1119-SUM($AG1119:AG1119))),0)</f>
        <v>0</v>
      </c>
      <c r="AI1119" s="8">
        <f>IF($O1119="Aktif",MAX(0,MIN($AE1119,$AD1119-SUM($AG1119:AH1119))),0)</f>
        <v>0</v>
      </c>
      <c r="AJ1119" s="8">
        <f>IF($O1119="Aktif",MAX(0,MIN($AE1119,$AD1119-SUM($AG1119:AI1119))),0)</f>
        <v>0</v>
      </c>
      <c r="AK1119" s="8">
        <f>IF($O1119="Aktif",MAX(0,MIN($AE1119,$AD1119-SUM($AG1119:AJ1119))),0)</f>
        <v>0</v>
      </c>
      <c r="AL1119" s="8">
        <f>IF($O1119="Aktif",MAX(0,MIN($AE1119,$AD1119-SUM($AG1119:AK1119))),0)</f>
        <v>0</v>
      </c>
      <c r="AM1119" s="8">
        <f>IF($O1119="Aktif",MAX(0,MIN($AE1119,$AD1119-SUM($AG1119:AL1119))),0)</f>
        <v>0</v>
      </c>
      <c r="AN1119" s="8">
        <f>IF($O1119="Aktif",MAX(0,MIN($AE1119,$AD1119-SUM($AG1119:AM1119))),0)</f>
        <v>0</v>
      </c>
      <c r="AO1119" s="8">
        <f>IF($O1119="Aktif",MAX(0,MIN($AE1119,$AD1119-SUM($AG1119:AN1119))),0)</f>
        <v>0</v>
      </c>
      <c r="AP1119" s="8">
        <f>IF($O1119="Aktif",MAX(0,MIN($AE1119,$AD1119-SUM($AG1119:AO1119))),0)</f>
        <v>0</v>
      </c>
      <c r="AQ1119" s="8">
        <f>IF($O1119="Aktif",MAX(0,MIN($AE1119,$AD1119-SUM($AG1119:AP1119))),0)</f>
        <v>0</v>
      </c>
      <c r="AR1119" s="8">
        <f>IF($O1119="Aktif",MAX(0,MIN($AE1119,$AD1119-SUM($AG1119:AQ1119))),0)</f>
        <v>0</v>
      </c>
      <c r="AS1119" s="8">
        <f>IF($O1119="Aktif",MAX(0,MIN($AE1119,$AD1119-SUM($AG1119:AR1119))),0)</f>
        <v>0</v>
      </c>
      <c r="AT1119" s="8">
        <f>IF($O1119="Aktif",MAX(0,MIN($AE1119,$AD1119-SUM($AG1119:AS1119))),0)</f>
        <v>0</v>
      </c>
      <c r="AU1119" s="8">
        <f>IF($O1119="Aktif",MAX(0,MIN($AE1119,$AD1119-SUM($AG1119:AT1119))),0)</f>
        <v>0</v>
      </c>
      <c r="AV1119" s="8">
        <f>IF($O1119="Aktif",MAX(0,MIN($AE1119,$AD1119-SUM($AG1119:AU1119))),0)</f>
        <v>0</v>
      </c>
      <c r="AW1119" s="8">
        <f t="shared" si="124"/>
        <v>0</v>
      </c>
      <c r="AX1119" s="8">
        <f t="shared" si="125"/>
        <v>0</v>
      </c>
    </row>
    <row r="1120" spans="1:50" ht="15" customHeight="1" x14ac:dyDescent="0.35">
      <c r="A1120" s="102">
        <v>1114</v>
      </c>
      <c r="B1120" s="102" t="s">
        <v>2815</v>
      </c>
      <c r="C1120" s="103">
        <v>136</v>
      </c>
      <c r="D1120" s="102" t="s">
        <v>186</v>
      </c>
      <c r="E1120" s="102" t="s">
        <v>587</v>
      </c>
      <c r="F1120" s="102" t="s">
        <v>2816</v>
      </c>
      <c r="G1120" s="102" t="s">
        <v>2817</v>
      </c>
      <c r="H1120" s="102" t="s">
        <v>2818</v>
      </c>
      <c r="I1120" s="102" t="s">
        <v>63</v>
      </c>
      <c r="J1120" s="102" t="s">
        <v>3119</v>
      </c>
      <c r="K1120" s="102" t="s">
        <v>591</v>
      </c>
      <c r="L1120" s="104">
        <v>42613</v>
      </c>
      <c r="M1120" s="102" t="s">
        <v>3120</v>
      </c>
      <c r="N1120" s="102" t="s">
        <v>3121</v>
      </c>
      <c r="O1120" s="102" t="s">
        <v>383</v>
      </c>
      <c r="P1120" s="103">
        <v>1</v>
      </c>
      <c r="Q1120" s="105">
        <v>15300000</v>
      </c>
      <c r="R1120" s="103">
        <v>48</v>
      </c>
      <c r="S1120" s="105">
        <v>318750</v>
      </c>
      <c r="T1120" s="105">
        <v>15300000</v>
      </c>
      <c r="U1120" s="105">
        <v>0</v>
      </c>
      <c r="V1120" s="105">
        <v>0</v>
      </c>
      <c r="W1120" s="105">
        <v>0</v>
      </c>
      <c r="X1120" s="105">
        <v>0</v>
      </c>
      <c r="Y1120" s="105">
        <v>0</v>
      </c>
      <c r="Z1120" s="105">
        <v>0</v>
      </c>
      <c r="AA1120" s="105">
        <v>0</v>
      </c>
      <c r="AB1120" s="105">
        <v>0</v>
      </c>
      <c r="AC1120" s="8">
        <f t="shared" si="119"/>
        <v>15300000</v>
      </c>
      <c r="AD1120" s="8">
        <f t="shared" si="120"/>
        <v>0</v>
      </c>
      <c r="AE1120" s="8">
        <f t="shared" si="121"/>
        <v>0</v>
      </c>
      <c r="AF1120" s="106">
        <f t="shared" si="122"/>
        <v>0</v>
      </c>
      <c r="AG1120" s="8">
        <f t="shared" si="123"/>
        <v>0</v>
      </c>
      <c r="AH1120" s="8">
        <f>IF($O1120="Aktif",MAX(0,MIN($AE1120,$AD1120-SUM($AG1120:AG1120))),0)</f>
        <v>0</v>
      </c>
      <c r="AI1120" s="8">
        <f>IF($O1120="Aktif",MAX(0,MIN($AE1120,$AD1120-SUM($AG1120:AH1120))),0)</f>
        <v>0</v>
      </c>
      <c r="AJ1120" s="8">
        <f>IF($O1120="Aktif",MAX(0,MIN($AE1120,$AD1120-SUM($AG1120:AI1120))),0)</f>
        <v>0</v>
      </c>
      <c r="AK1120" s="8">
        <f>IF($O1120="Aktif",MAX(0,MIN($AE1120,$AD1120-SUM($AG1120:AJ1120))),0)</f>
        <v>0</v>
      </c>
      <c r="AL1120" s="8">
        <f>IF($O1120="Aktif",MAX(0,MIN($AE1120,$AD1120-SUM($AG1120:AK1120))),0)</f>
        <v>0</v>
      </c>
      <c r="AM1120" s="8">
        <f>IF($O1120="Aktif",MAX(0,MIN($AE1120,$AD1120-SUM($AG1120:AL1120))),0)</f>
        <v>0</v>
      </c>
      <c r="AN1120" s="8">
        <f>IF($O1120="Aktif",MAX(0,MIN($AE1120,$AD1120-SUM($AG1120:AM1120))),0)</f>
        <v>0</v>
      </c>
      <c r="AO1120" s="8">
        <f>IF($O1120="Aktif",MAX(0,MIN($AE1120,$AD1120-SUM($AG1120:AN1120))),0)</f>
        <v>0</v>
      </c>
      <c r="AP1120" s="8">
        <f>IF($O1120="Aktif",MAX(0,MIN($AE1120,$AD1120-SUM($AG1120:AO1120))),0)</f>
        <v>0</v>
      </c>
      <c r="AQ1120" s="8">
        <f>IF($O1120="Aktif",MAX(0,MIN($AE1120,$AD1120-SUM($AG1120:AP1120))),0)</f>
        <v>0</v>
      </c>
      <c r="AR1120" s="8">
        <f>IF($O1120="Aktif",MAX(0,MIN($AE1120,$AD1120-SUM($AG1120:AQ1120))),0)</f>
        <v>0</v>
      </c>
      <c r="AS1120" s="8">
        <f>IF($O1120="Aktif",MAX(0,MIN($AE1120,$AD1120-SUM($AG1120:AR1120))),0)</f>
        <v>0</v>
      </c>
      <c r="AT1120" s="8">
        <f>IF($O1120="Aktif",MAX(0,MIN($AE1120,$AD1120-SUM($AG1120:AS1120))),0)</f>
        <v>0</v>
      </c>
      <c r="AU1120" s="8">
        <f>IF($O1120="Aktif",MAX(0,MIN($AE1120,$AD1120-SUM($AG1120:AT1120))),0)</f>
        <v>0</v>
      </c>
      <c r="AV1120" s="8">
        <f>IF($O1120="Aktif",MAX(0,MIN($AE1120,$AD1120-SUM($AG1120:AU1120))),0)</f>
        <v>0</v>
      </c>
      <c r="AW1120" s="8">
        <f t="shared" si="124"/>
        <v>0</v>
      </c>
      <c r="AX1120" s="8">
        <f t="shared" si="125"/>
        <v>0</v>
      </c>
    </row>
    <row r="1121" spans="1:50" ht="15" customHeight="1" x14ac:dyDescent="0.35">
      <c r="A1121" s="102">
        <v>1115</v>
      </c>
      <c r="B1121" s="102" t="s">
        <v>2815</v>
      </c>
      <c r="C1121" s="103">
        <v>137</v>
      </c>
      <c r="D1121" s="102" t="s">
        <v>186</v>
      </c>
      <c r="E1121" s="102" t="s">
        <v>587</v>
      </c>
      <c r="F1121" s="102" t="s">
        <v>2816</v>
      </c>
      <c r="G1121" s="102" t="s">
        <v>2817</v>
      </c>
      <c r="H1121" s="102" t="s">
        <v>2818</v>
      </c>
      <c r="I1121" s="102" t="s">
        <v>63</v>
      </c>
      <c r="J1121" s="102" t="s">
        <v>3122</v>
      </c>
      <c r="K1121" s="102" t="s">
        <v>591</v>
      </c>
      <c r="L1121" s="104">
        <v>42622</v>
      </c>
      <c r="M1121" s="102" t="s">
        <v>3123</v>
      </c>
      <c r="N1121" s="102" t="s">
        <v>3124</v>
      </c>
      <c r="O1121" s="102" t="s">
        <v>383</v>
      </c>
      <c r="P1121" s="103">
        <v>1</v>
      </c>
      <c r="Q1121" s="105">
        <v>40000000</v>
      </c>
      <c r="R1121" s="103">
        <v>48</v>
      </c>
      <c r="S1121" s="105">
        <v>833333.33333333302</v>
      </c>
      <c r="T1121" s="105">
        <v>40000000</v>
      </c>
      <c r="U1121" s="105">
        <v>0</v>
      </c>
      <c r="V1121" s="105">
        <v>0</v>
      </c>
      <c r="W1121" s="105">
        <v>0</v>
      </c>
      <c r="X1121" s="105">
        <v>0</v>
      </c>
      <c r="Y1121" s="105">
        <v>0</v>
      </c>
      <c r="Z1121" s="105">
        <v>0</v>
      </c>
      <c r="AA1121" s="105">
        <v>0</v>
      </c>
      <c r="AB1121" s="105">
        <v>0</v>
      </c>
      <c r="AC1121" s="8">
        <f t="shared" si="119"/>
        <v>40000000</v>
      </c>
      <c r="AD1121" s="8">
        <f t="shared" si="120"/>
        <v>0</v>
      </c>
      <c r="AE1121" s="8">
        <f t="shared" si="121"/>
        <v>0</v>
      </c>
      <c r="AF1121" s="106">
        <f t="shared" si="122"/>
        <v>0</v>
      </c>
      <c r="AG1121" s="8">
        <f t="shared" si="123"/>
        <v>0</v>
      </c>
      <c r="AH1121" s="8">
        <f>IF($O1121="Aktif",MAX(0,MIN($AE1121,$AD1121-SUM($AG1121:AG1121))),0)</f>
        <v>0</v>
      </c>
      <c r="AI1121" s="8">
        <f>IF($O1121="Aktif",MAX(0,MIN($AE1121,$AD1121-SUM($AG1121:AH1121))),0)</f>
        <v>0</v>
      </c>
      <c r="AJ1121" s="8">
        <f>IF($O1121="Aktif",MAX(0,MIN($AE1121,$AD1121-SUM($AG1121:AI1121))),0)</f>
        <v>0</v>
      </c>
      <c r="AK1121" s="8">
        <f>IF($O1121="Aktif",MAX(0,MIN($AE1121,$AD1121-SUM($AG1121:AJ1121))),0)</f>
        <v>0</v>
      </c>
      <c r="AL1121" s="8">
        <f>IF($O1121="Aktif",MAX(0,MIN($AE1121,$AD1121-SUM($AG1121:AK1121))),0)</f>
        <v>0</v>
      </c>
      <c r="AM1121" s="8">
        <f>IF($O1121="Aktif",MAX(0,MIN($AE1121,$AD1121-SUM($AG1121:AL1121))),0)</f>
        <v>0</v>
      </c>
      <c r="AN1121" s="8">
        <f>IF($O1121="Aktif",MAX(0,MIN($AE1121,$AD1121-SUM($AG1121:AM1121))),0)</f>
        <v>0</v>
      </c>
      <c r="AO1121" s="8">
        <f>IF($O1121="Aktif",MAX(0,MIN($AE1121,$AD1121-SUM($AG1121:AN1121))),0)</f>
        <v>0</v>
      </c>
      <c r="AP1121" s="8">
        <f>IF($O1121="Aktif",MAX(0,MIN($AE1121,$AD1121-SUM($AG1121:AO1121))),0)</f>
        <v>0</v>
      </c>
      <c r="AQ1121" s="8">
        <f>IF($O1121="Aktif",MAX(0,MIN($AE1121,$AD1121-SUM($AG1121:AP1121))),0)</f>
        <v>0</v>
      </c>
      <c r="AR1121" s="8">
        <f>IF($O1121="Aktif",MAX(0,MIN($AE1121,$AD1121-SUM($AG1121:AQ1121))),0)</f>
        <v>0</v>
      </c>
      <c r="AS1121" s="8">
        <f>IF($O1121="Aktif",MAX(0,MIN($AE1121,$AD1121-SUM($AG1121:AR1121))),0)</f>
        <v>0</v>
      </c>
      <c r="AT1121" s="8">
        <f>IF($O1121="Aktif",MAX(0,MIN($AE1121,$AD1121-SUM($AG1121:AS1121))),0)</f>
        <v>0</v>
      </c>
      <c r="AU1121" s="8">
        <f>IF($O1121="Aktif",MAX(0,MIN($AE1121,$AD1121-SUM($AG1121:AT1121))),0)</f>
        <v>0</v>
      </c>
      <c r="AV1121" s="8">
        <f>IF($O1121="Aktif",MAX(0,MIN($AE1121,$AD1121-SUM($AG1121:AU1121))),0)</f>
        <v>0</v>
      </c>
      <c r="AW1121" s="8">
        <f t="shared" si="124"/>
        <v>0</v>
      </c>
      <c r="AX1121" s="8">
        <f t="shared" si="125"/>
        <v>0</v>
      </c>
    </row>
    <row r="1122" spans="1:50" ht="15" customHeight="1" x14ac:dyDescent="0.35">
      <c r="A1122" s="102">
        <v>1116</v>
      </c>
      <c r="B1122" s="102" t="s">
        <v>2815</v>
      </c>
      <c r="C1122" s="103">
        <v>138</v>
      </c>
      <c r="D1122" s="102" t="s">
        <v>186</v>
      </c>
      <c r="E1122" s="102" t="s">
        <v>587</v>
      </c>
      <c r="F1122" s="102" t="s">
        <v>2816</v>
      </c>
      <c r="G1122" s="102" t="s">
        <v>2817</v>
      </c>
      <c r="H1122" s="102" t="s">
        <v>2818</v>
      </c>
      <c r="I1122" s="102" t="s">
        <v>63</v>
      </c>
      <c r="J1122" s="102" t="s">
        <v>3125</v>
      </c>
      <c r="K1122" s="102" t="s">
        <v>591</v>
      </c>
      <c r="L1122" s="104">
        <v>42704</v>
      </c>
      <c r="M1122" s="102" t="s">
        <v>3126</v>
      </c>
      <c r="N1122" s="102" t="s">
        <v>3127</v>
      </c>
      <c r="O1122" s="102" t="s">
        <v>383</v>
      </c>
      <c r="P1122" s="103">
        <v>1</v>
      </c>
      <c r="Q1122" s="105">
        <v>32500000</v>
      </c>
      <c r="R1122" s="103">
        <v>48</v>
      </c>
      <c r="S1122" s="105">
        <v>677083.33333333302</v>
      </c>
      <c r="T1122" s="105">
        <v>32500000</v>
      </c>
      <c r="U1122" s="105">
        <v>0</v>
      </c>
      <c r="V1122" s="105">
        <v>0</v>
      </c>
      <c r="W1122" s="105">
        <v>0</v>
      </c>
      <c r="X1122" s="105">
        <v>0</v>
      </c>
      <c r="Y1122" s="105">
        <v>0</v>
      </c>
      <c r="Z1122" s="105">
        <v>0</v>
      </c>
      <c r="AA1122" s="105">
        <v>0</v>
      </c>
      <c r="AB1122" s="105">
        <v>0</v>
      </c>
      <c r="AC1122" s="8">
        <f t="shared" si="119"/>
        <v>32500000</v>
      </c>
      <c r="AD1122" s="8">
        <f t="shared" si="120"/>
        <v>0</v>
      </c>
      <c r="AE1122" s="8">
        <f t="shared" si="121"/>
        <v>0</v>
      </c>
      <c r="AF1122" s="106">
        <f t="shared" si="122"/>
        <v>0</v>
      </c>
      <c r="AG1122" s="8">
        <f t="shared" si="123"/>
        <v>0</v>
      </c>
      <c r="AH1122" s="8">
        <f>IF($O1122="Aktif",MAX(0,MIN($AE1122,$AD1122-SUM($AG1122:AG1122))),0)</f>
        <v>0</v>
      </c>
      <c r="AI1122" s="8">
        <f>IF($O1122="Aktif",MAX(0,MIN($AE1122,$AD1122-SUM($AG1122:AH1122))),0)</f>
        <v>0</v>
      </c>
      <c r="AJ1122" s="8">
        <f>IF($O1122="Aktif",MAX(0,MIN($AE1122,$AD1122-SUM($AG1122:AI1122))),0)</f>
        <v>0</v>
      </c>
      <c r="AK1122" s="8">
        <f>IF($O1122="Aktif",MAX(0,MIN($AE1122,$AD1122-SUM($AG1122:AJ1122))),0)</f>
        <v>0</v>
      </c>
      <c r="AL1122" s="8">
        <f>IF($O1122="Aktif",MAX(0,MIN($AE1122,$AD1122-SUM($AG1122:AK1122))),0)</f>
        <v>0</v>
      </c>
      <c r="AM1122" s="8">
        <f>IF($O1122="Aktif",MAX(0,MIN($AE1122,$AD1122-SUM($AG1122:AL1122))),0)</f>
        <v>0</v>
      </c>
      <c r="AN1122" s="8">
        <f>IF($O1122="Aktif",MAX(0,MIN($AE1122,$AD1122-SUM($AG1122:AM1122))),0)</f>
        <v>0</v>
      </c>
      <c r="AO1122" s="8">
        <f>IF($O1122="Aktif",MAX(0,MIN($AE1122,$AD1122-SUM($AG1122:AN1122))),0)</f>
        <v>0</v>
      </c>
      <c r="AP1122" s="8">
        <f>IF($O1122="Aktif",MAX(0,MIN($AE1122,$AD1122-SUM($AG1122:AO1122))),0)</f>
        <v>0</v>
      </c>
      <c r="AQ1122" s="8">
        <f>IF($O1122="Aktif",MAX(0,MIN($AE1122,$AD1122-SUM($AG1122:AP1122))),0)</f>
        <v>0</v>
      </c>
      <c r="AR1122" s="8">
        <f>IF($O1122="Aktif",MAX(0,MIN($AE1122,$AD1122-SUM($AG1122:AQ1122))),0)</f>
        <v>0</v>
      </c>
      <c r="AS1122" s="8">
        <f>IF($O1122="Aktif",MAX(0,MIN($AE1122,$AD1122-SUM($AG1122:AR1122))),0)</f>
        <v>0</v>
      </c>
      <c r="AT1122" s="8">
        <f>IF($O1122="Aktif",MAX(0,MIN($AE1122,$AD1122-SUM($AG1122:AS1122))),0)</f>
        <v>0</v>
      </c>
      <c r="AU1122" s="8">
        <f>IF($O1122="Aktif",MAX(0,MIN($AE1122,$AD1122-SUM($AG1122:AT1122))),0)</f>
        <v>0</v>
      </c>
      <c r="AV1122" s="8">
        <f>IF($O1122="Aktif",MAX(0,MIN($AE1122,$AD1122-SUM($AG1122:AU1122))),0)</f>
        <v>0</v>
      </c>
      <c r="AW1122" s="8">
        <f t="shared" si="124"/>
        <v>0</v>
      </c>
      <c r="AX1122" s="8">
        <f t="shared" si="125"/>
        <v>0</v>
      </c>
    </row>
    <row r="1123" spans="1:50" ht="15" customHeight="1" x14ac:dyDescent="0.35">
      <c r="A1123" s="102">
        <v>1117</v>
      </c>
      <c r="B1123" s="102" t="s">
        <v>2815</v>
      </c>
      <c r="C1123" s="103">
        <v>139</v>
      </c>
      <c r="D1123" s="102" t="s">
        <v>186</v>
      </c>
      <c r="E1123" s="102" t="s">
        <v>587</v>
      </c>
      <c r="F1123" s="102" t="s">
        <v>2816</v>
      </c>
      <c r="G1123" s="102" t="s">
        <v>2817</v>
      </c>
      <c r="H1123" s="102" t="s">
        <v>2818</v>
      </c>
      <c r="I1123" s="102" t="s">
        <v>63</v>
      </c>
      <c r="J1123" s="102" t="s">
        <v>3128</v>
      </c>
      <c r="K1123" s="102" t="s">
        <v>591</v>
      </c>
      <c r="L1123" s="104">
        <v>42713</v>
      </c>
      <c r="M1123" s="102" t="s">
        <v>3129</v>
      </c>
      <c r="N1123" s="102" t="s">
        <v>3130</v>
      </c>
      <c r="O1123" s="102" t="s">
        <v>383</v>
      </c>
      <c r="P1123" s="103">
        <v>1</v>
      </c>
      <c r="Q1123" s="105">
        <v>42722500</v>
      </c>
      <c r="R1123" s="103">
        <v>48</v>
      </c>
      <c r="S1123" s="105">
        <v>890052.08333333302</v>
      </c>
      <c r="T1123" s="105">
        <v>42722500</v>
      </c>
      <c r="U1123" s="105">
        <v>0</v>
      </c>
      <c r="V1123" s="105">
        <v>0</v>
      </c>
      <c r="W1123" s="105">
        <v>0</v>
      </c>
      <c r="X1123" s="105">
        <v>0</v>
      </c>
      <c r="Y1123" s="105">
        <v>0</v>
      </c>
      <c r="Z1123" s="105">
        <v>0</v>
      </c>
      <c r="AA1123" s="105">
        <v>0</v>
      </c>
      <c r="AB1123" s="105">
        <v>0</v>
      </c>
      <c r="AC1123" s="8">
        <f t="shared" si="119"/>
        <v>42722500</v>
      </c>
      <c r="AD1123" s="8">
        <f t="shared" si="120"/>
        <v>0</v>
      </c>
      <c r="AE1123" s="8">
        <f t="shared" si="121"/>
        <v>0</v>
      </c>
      <c r="AF1123" s="106">
        <f t="shared" si="122"/>
        <v>0</v>
      </c>
      <c r="AG1123" s="8">
        <f t="shared" si="123"/>
        <v>0</v>
      </c>
      <c r="AH1123" s="8">
        <f>IF($O1123="Aktif",MAX(0,MIN($AE1123,$AD1123-SUM($AG1123:AG1123))),0)</f>
        <v>0</v>
      </c>
      <c r="AI1123" s="8">
        <f>IF($O1123="Aktif",MAX(0,MIN($AE1123,$AD1123-SUM($AG1123:AH1123))),0)</f>
        <v>0</v>
      </c>
      <c r="AJ1123" s="8">
        <f>IF($O1123="Aktif",MAX(0,MIN($AE1123,$AD1123-SUM($AG1123:AI1123))),0)</f>
        <v>0</v>
      </c>
      <c r="AK1123" s="8">
        <f>IF($O1123="Aktif",MAX(0,MIN($AE1123,$AD1123-SUM($AG1123:AJ1123))),0)</f>
        <v>0</v>
      </c>
      <c r="AL1123" s="8">
        <f>IF($O1123="Aktif",MAX(0,MIN($AE1123,$AD1123-SUM($AG1123:AK1123))),0)</f>
        <v>0</v>
      </c>
      <c r="AM1123" s="8">
        <f>IF($O1123="Aktif",MAX(0,MIN($AE1123,$AD1123-SUM($AG1123:AL1123))),0)</f>
        <v>0</v>
      </c>
      <c r="AN1123" s="8">
        <f>IF($O1123="Aktif",MAX(0,MIN($AE1123,$AD1123-SUM($AG1123:AM1123))),0)</f>
        <v>0</v>
      </c>
      <c r="AO1123" s="8">
        <f>IF($O1123="Aktif",MAX(0,MIN($AE1123,$AD1123-SUM($AG1123:AN1123))),0)</f>
        <v>0</v>
      </c>
      <c r="AP1123" s="8">
        <f>IF($O1123="Aktif",MAX(0,MIN($AE1123,$AD1123-SUM($AG1123:AO1123))),0)</f>
        <v>0</v>
      </c>
      <c r="AQ1123" s="8">
        <f>IF($O1123="Aktif",MAX(0,MIN($AE1123,$AD1123-SUM($AG1123:AP1123))),0)</f>
        <v>0</v>
      </c>
      <c r="AR1123" s="8">
        <f>IF($O1123="Aktif",MAX(0,MIN($AE1123,$AD1123-SUM($AG1123:AQ1123))),0)</f>
        <v>0</v>
      </c>
      <c r="AS1123" s="8">
        <f>IF($O1123="Aktif",MAX(0,MIN($AE1123,$AD1123-SUM($AG1123:AR1123))),0)</f>
        <v>0</v>
      </c>
      <c r="AT1123" s="8">
        <f>IF($O1123="Aktif",MAX(0,MIN($AE1123,$AD1123-SUM($AG1123:AS1123))),0)</f>
        <v>0</v>
      </c>
      <c r="AU1123" s="8">
        <f>IF($O1123="Aktif",MAX(0,MIN($AE1123,$AD1123-SUM($AG1123:AT1123))),0)</f>
        <v>0</v>
      </c>
      <c r="AV1123" s="8">
        <f>IF($O1123="Aktif",MAX(0,MIN($AE1123,$AD1123-SUM($AG1123:AU1123))),0)</f>
        <v>0</v>
      </c>
      <c r="AW1123" s="8">
        <f t="shared" si="124"/>
        <v>0</v>
      </c>
      <c r="AX1123" s="8">
        <f t="shared" si="125"/>
        <v>0</v>
      </c>
    </row>
    <row r="1124" spans="1:50" ht="15" customHeight="1" x14ac:dyDescent="0.35">
      <c r="A1124" s="102">
        <v>1118</v>
      </c>
      <c r="B1124" s="102" t="s">
        <v>2815</v>
      </c>
      <c r="C1124" s="103">
        <v>140</v>
      </c>
      <c r="D1124" s="102" t="s">
        <v>186</v>
      </c>
      <c r="E1124" s="102" t="s">
        <v>587</v>
      </c>
      <c r="F1124" s="102" t="s">
        <v>2816</v>
      </c>
      <c r="G1124" s="102" t="s">
        <v>2817</v>
      </c>
      <c r="H1124" s="102" t="s">
        <v>2818</v>
      </c>
      <c r="I1124" s="102" t="s">
        <v>63</v>
      </c>
      <c r="J1124" s="102" t="s">
        <v>3131</v>
      </c>
      <c r="K1124" s="102" t="s">
        <v>591</v>
      </c>
      <c r="L1124" s="104">
        <v>42731</v>
      </c>
      <c r="M1124" s="102" t="s">
        <v>3132</v>
      </c>
      <c r="N1124" s="102" t="s">
        <v>3133</v>
      </c>
      <c r="O1124" s="102" t="s">
        <v>383</v>
      </c>
      <c r="P1124" s="103">
        <v>1</v>
      </c>
      <c r="Q1124" s="105">
        <v>4730000</v>
      </c>
      <c r="R1124" s="103">
        <v>48</v>
      </c>
      <c r="S1124" s="105">
        <v>98541.666666666701</v>
      </c>
      <c r="T1124" s="105">
        <v>4730000</v>
      </c>
      <c r="U1124" s="105">
        <v>0</v>
      </c>
      <c r="V1124" s="105">
        <v>0</v>
      </c>
      <c r="W1124" s="105">
        <v>0</v>
      </c>
      <c r="X1124" s="105">
        <v>0</v>
      </c>
      <c r="Y1124" s="105">
        <v>0</v>
      </c>
      <c r="Z1124" s="105">
        <v>0</v>
      </c>
      <c r="AA1124" s="105">
        <v>0</v>
      </c>
      <c r="AB1124" s="105">
        <v>0</v>
      </c>
      <c r="AC1124" s="8">
        <f t="shared" si="119"/>
        <v>4730000</v>
      </c>
      <c r="AD1124" s="8">
        <f t="shared" si="120"/>
        <v>0</v>
      </c>
      <c r="AE1124" s="8">
        <f t="shared" si="121"/>
        <v>0</v>
      </c>
      <c r="AF1124" s="106">
        <f t="shared" si="122"/>
        <v>0</v>
      </c>
      <c r="AG1124" s="8">
        <f t="shared" si="123"/>
        <v>0</v>
      </c>
      <c r="AH1124" s="8">
        <f>IF($O1124="Aktif",MAX(0,MIN($AE1124,$AD1124-SUM($AG1124:AG1124))),0)</f>
        <v>0</v>
      </c>
      <c r="AI1124" s="8">
        <f>IF($O1124="Aktif",MAX(0,MIN($AE1124,$AD1124-SUM($AG1124:AH1124))),0)</f>
        <v>0</v>
      </c>
      <c r="AJ1124" s="8">
        <f>IF($O1124="Aktif",MAX(0,MIN($AE1124,$AD1124-SUM($AG1124:AI1124))),0)</f>
        <v>0</v>
      </c>
      <c r="AK1124" s="8">
        <f>IF($O1124="Aktif",MAX(0,MIN($AE1124,$AD1124-SUM($AG1124:AJ1124))),0)</f>
        <v>0</v>
      </c>
      <c r="AL1124" s="8">
        <f>IF($O1124="Aktif",MAX(0,MIN($AE1124,$AD1124-SUM($AG1124:AK1124))),0)</f>
        <v>0</v>
      </c>
      <c r="AM1124" s="8">
        <f>IF($O1124="Aktif",MAX(0,MIN($AE1124,$AD1124-SUM($AG1124:AL1124))),0)</f>
        <v>0</v>
      </c>
      <c r="AN1124" s="8">
        <f>IF($O1124="Aktif",MAX(0,MIN($AE1124,$AD1124-SUM($AG1124:AM1124))),0)</f>
        <v>0</v>
      </c>
      <c r="AO1124" s="8">
        <f>IF($O1124="Aktif",MAX(0,MIN($AE1124,$AD1124-SUM($AG1124:AN1124))),0)</f>
        <v>0</v>
      </c>
      <c r="AP1124" s="8">
        <f>IF($O1124="Aktif",MAX(0,MIN($AE1124,$AD1124-SUM($AG1124:AO1124))),0)</f>
        <v>0</v>
      </c>
      <c r="AQ1124" s="8">
        <f>IF($O1124="Aktif",MAX(0,MIN($AE1124,$AD1124-SUM($AG1124:AP1124))),0)</f>
        <v>0</v>
      </c>
      <c r="AR1124" s="8">
        <f>IF($O1124="Aktif",MAX(0,MIN($AE1124,$AD1124-SUM($AG1124:AQ1124))),0)</f>
        <v>0</v>
      </c>
      <c r="AS1124" s="8">
        <f>IF($O1124="Aktif",MAX(0,MIN($AE1124,$AD1124-SUM($AG1124:AR1124))),0)</f>
        <v>0</v>
      </c>
      <c r="AT1124" s="8">
        <f>IF($O1124="Aktif",MAX(0,MIN($AE1124,$AD1124-SUM($AG1124:AS1124))),0)</f>
        <v>0</v>
      </c>
      <c r="AU1124" s="8">
        <f>IF($O1124="Aktif",MAX(0,MIN($AE1124,$AD1124-SUM($AG1124:AT1124))),0)</f>
        <v>0</v>
      </c>
      <c r="AV1124" s="8">
        <f>IF($O1124="Aktif",MAX(0,MIN($AE1124,$AD1124-SUM($AG1124:AU1124))),0)</f>
        <v>0</v>
      </c>
      <c r="AW1124" s="8">
        <f t="shared" si="124"/>
        <v>0</v>
      </c>
      <c r="AX1124" s="8">
        <f t="shared" si="125"/>
        <v>0</v>
      </c>
    </row>
    <row r="1125" spans="1:50" ht="15" customHeight="1" x14ac:dyDescent="0.35">
      <c r="A1125" s="102">
        <v>1119</v>
      </c>
      <c r="B1125" s="102" t="s">
        <v>2815</v>
      </c>
      <c r="C1125" s="103">
        <v>141</v>
      </c>
      <c r="D1125" s="102" t="s">
        <v>186</v>
      </c>
      <c r="E1125" s="102" t="s">
        <v>587</v>
      </c>
      <c r="F1125" s="102" t="s">
        <v>2816</v>
      </c>
      <c r="G1125" s="102" t="s">
        <v>2817</v>
      </c>
      <c r="H1125" s="102" t="s">
        <v>2818</v>
      </c>
      <c r="I1125" s="102" t="s">
        <v>63</v>
      </c>
      <c r="J1125" s="102" t="s">
        <v>3134</v>
      </c>
      <c r="K1125" s="102" t="s">
        <v>591</v>
      </c>
      <c r="L1125" s="104">
        <v>42734</v>
      </c>
      <c r="M1125" s="102" t="s">
        <v>3135</v>
      </c>
      <c r="N1125" s="102" t="s">
        <v>3136</v>
      </c>
      <c r="O1125" s="102" t="s">
        <v>383</v>
      </c>
      <c r="P1125" s="103">
        <v>1</v>
      </c>
      <c r="Q1125" s="105">
        <v>2140000</v>
      </c>
      <c r="R1125" s="103">
        <v>48</v>
      </c>
      <c r="S1125" s="105">
        <v>44583.333333333299</v>
      </c>
      <c r="T1125" s="105">
        <v>2140000</v>
      </c>
      <c r="U1125" s="105">
        <v>0</v>
      </c>
      <c r="V1125" s="105">
        <v>0</v>
      </c>
      <c r="W1125" s="105">
        <v>0</v>
      </c>
      <c r="X1125" s="105">
        <v>0</v>
      </c>
      <c r="Y1125" s="105">
        <v>0</v>
      </c>
      <c r="Z1125" s="105">
        <v>0</v>
      </c>
      <c r="AA1125" s="105">
        <v>0</v>
      </c>
      <c r="AB1125" s="105">
        <v>0</v>
      </c>
      <c r="AC1125" s="8">
        <f t="shared" si="119"/>
        <v>2140000</v>
      </c>
      <c r="AD1125" s="8">
        <f t="shared" si="120"/>
        <v>0</v>
      </c>
      <c r="AE1125" s="8">
        <f t="shared" si="121"/>
        <v>0</v>
      </c>
      <c r="AF1125" s="106">
        <f t="shared" si="122"/>
        <v>0</v>
      </c>
      <c r="AG1125" s="8">
        <f t="shared" si="123"/>
        <v>0</v>
      </c>
      <c r="AH1125" s="8">
        <f>IF($O1125="Aktif",MAX(0,MIN($AE1125,$AD1125-SUM($AG1125:AG1125))),0)</f>
        <v>0</v>
      </c>
      <c r="AI1125" s="8">
        <f>IF($O1125="Aktif",MAX(0,MIN($AE1125,$AD1125-SUM($AG1125:AH1125))),0)</f>
        <v>0</v>
      </c>
      <c r="AJ1125" s="8">
        <f>IF($O1125="Aktif",MAX(0,MIN($AE1125,$AD1125-SUM($AG1125:AI1125))),0)</f>
        <v>0</v>
      </c>
      <c r="AK1125" s="8">
        <f>IF($O1125="Aktif",MAX(0,MIN($AE1125,$AD1125-SUM($AG1125:AJ1125))),0)</f>
        <v>0</v>
      </c>
      <c r="AL1125" s="8">
        <f>IF($O1125="Aktif",MAX(0,MIN($AE1125,$AD1125-SUM($AG1125:AK1125))),0)</f>
        <v>0</v>
      </c>
      <c r="AM1125" s="8">
        <f>IF($O1125="Aktif",MAX(0,MIN($AE1125,$AD1125-SUM($AG1125:AL1125))),0)</f>
        <v>0</v>
      </c>
      <c r="AN1125" s="8">
        <f>IF($O1125="Aktif",MAX(0,MIN($AE1125,$AD1125-SUM($AG1125:AM1125))),0)</f>
        <v>0</v>
      </c>
      <c r="AO1125" s="8">
        <f>IF($O1125="Aktif",MAX(0,MIN($AE1125,$AD1125-SUM($AG1125:AN1125))),0)</f>
        <v>0</v>
      </c>
      <c r="AP1125" s="8">
        <f>IF($O1125="Aktif",MAX(0,MIN($AE1125,$AD1125-SUM($AG1125:AO1125))),0)</f>
        <v>0</v>
      </c>
      <c r="AQ1125" s="8">
        <f>IF($O1125="Aktif",MAX(0,MIN($AE1125,$AD1125-SUM($AG1125:AP1125))),0)</f>
        <v>0</v>
      </c>
      <c r="AR1125" s="8">
        <f>IF($O1125="Aktif",MAX(0,MIN($AE1125,$AD1125-SUM($AG1125:AQ1125))),0)</f>
        <v>0</v>
      </c>
      <c r="AS1125" s="8">
        <f>IF($O1125="Aktif",MAX(0,MIN($AE1125,$AD1125-SUM($AG1125:AR1125))),0)</f>
        <v>0</v>
      </c>
      <c r="AT1125" s="8">
        <f>IF($O1125="Aktif",MAX(0,MIN($AE1125,$AD1125-SUM($AG1125:AS1125))),0)</f>
        <v>0</v>
      </c>
      <c r="AU1125" s="8">
        <f>IF($O1125="Aktif",MAX(0,MIN($AE1125,$AD1125-SUM($AG1125:AT1125))),0)</f>
        <v>0</v>
      </c>
      <c r="AV1125" s="8">
        <f>IF($O1125="Aktif",MAX(0,MIN($AE1125,$AD1125-SUM($AG1125:AU1125))),0)</f>
        <v>0</v>
      </c>
      <c r="AW1125" s="8">
        <f t="shared" si="124"/>
        <v>0</v>
      </c>
      <c r="AX1125" s="8">
        <f t="shared" si="125"/>
        <v>0</v>
      </c>
    </row>
    <row r="1126" spans="1:50" ht="15" customHeight="1" x14ac:dyDescent="0.35">
      <c r="A1126" s="102">
        <v>1120</v>
      </c>
      <c r="B1126" s="102" t="s">
        <v>2815</v>
      </c>
      <c r="C1126" s="103">
        <v>142</v>
      </c>
      <c r="D1126" s="102" t="s">
        <v>186</v>
      </c>
      <c r="E1126" s="102" t="s">
        <v>587</v>
      </c>
      <c r="F1126" s="102" t="s">
        <v>2816</v>
      </c>
      <c r="G1126" s="102" t="s">
        <v>2817</v>
      </c>
      <c r="H1126" s="102" t="s">
        <v>2818</v>
      </c>
      <c r="I1126" s="102" t="s">
        <v>63</v>
      </c>
      <c r="J1126" s="102" t="s">
        <v>3137</v>
      </c>
      <c r="K1126" s="102" t="s">
        <v>591</v>
      </c>
      <c r="L1126" s="104">
        <v>42738</v>
      </c>
      <c r="M1126" s="102" t="s">
        <v>3138</v>
      </c>
      <c r="N1126" s="102" t="s">
        <v>3139</v>
      </c>
      <c r="O1126" s="102" t="s">
        <v>383</v>
      </c>
      <c r="P1126" s="103">
        <v>1</v>
      </c>
      <c r="Q1126" s="105">
        <v>2115000</v>
      </c>
      <c r="R1126" s="103">
        <v>48</v>
      </c>
      <c r="S1126" s="105">
        <v>44062.5</v>
      </c>
      <c r="T1126" s="105">
        <v>2115000</v>
      </c>
      <c r="U1126" s="105">
        <v>0</v>
      </c>
      <c r="V1126" s="105">
        <v>0</v>
      </c>
      <c r="W1126" s="105">
        <v>0</v>
      </c>
      <c r="X1126" s="105">
        <v>0</v>
      </c>
      <c r="Y1126" s="105">
        <v>0</v>
      </c>
      <c r="Z1126" s="105">
        <v>0</v>
      </c>
      <c r="AA1126" s="105">
        <v>0</v>
      </c>
      <c r="AB1126" s="105">
        <v>0</v>
      </c>
      <c r="AC1126" s="8">
        <f t="shared" si="119"/>
        <v>2115000</v>
      </c>
      <c r="AD1126" s="8">
        <f t="shared" si="120"/>
        <v>0</v>
      </c>
      <c r="AE1126" s="8">
        <f t="shared" si="121"/>
        <v>0</v>
      </c>
      <c r="AF1126" s="106">
        <f t="shared" si="122"/>
        <v>0</v>
      </c>
      <c r="AG1126" s="8">
        <f t="shared" si="123"/>
        <v>0</v>
      </c>
      <c r="AH1126" s="8">
        <f>IF($O1126="Aktif",MAX(0,MIN($AE1126,$AD1126-SUM($AG1126:AG1126))),0)</f>
        <v>0</v>
      </c>
      <c r="AI1126" s="8">
        <f>IF($O1126="Aktif",MAX(0,MIN($AE1126,$AD1126-SUM($AG1126:AH1126))),0)</f>
        <v>0</v>
      </c>
      <c r="AJ1126" s="8">
        <f>IF($O1126="Aktif",MAX(0,MIN($AE1126,$AD1126-SUM($AG1126:AI1126))),0)</f>
        <v>0</v>
      </c>
      <c r="AK1126" s="8">
        <f>IF($O1126="Aktif",MAX(0,MIN($AE1126,$AD1126-SUM($AG1126:AJ1126))),0)</f>
        <v>0</v>
      </c>
      <c r="AL1126" s="8">
        <f>IF($O1126="Aktif",MAX(0,MIN($AE1126,$AD1126-SUM($AG1126:AK1126))),0)</f>
        <v>0</v>
      </c>
      <c r="AM1126" s="8">
        <f>IF($O1126="Aktif",MAX(0,MIN($AE1126,$AD1126-SUM($AG1126:AL1126))),0)</f>
        <v>0</v>
      </c>
      <c r="AN1126" s="8">
        <f>IF($O1126="Aktif",MAX(0,MIN($AE1126,$AD1126-SUM($AG1126:AM1126))),0)</f>
        <v>0</v>
      </c>
      <c r="AO1126" s="8">
        <f>IF($O1126="Aktif",MAX(0,MIN($AE1126,$AD1126-SUM($AG1126:AN1126))),0)</f>
        <v>0</v>
      </c>
      <c r="AP1126" s="8">
        <f>IF($O1126="Aktif",MAX(0,MIN($AE1126,$AD1126-SUM($AG1126:AO1126))),0)</f>
        <v>0</v>
      </c>
      <c r="AQ1126" s="8">
        <f>IF($O1126="Aktif",MAX(0,MIN($AE1126,$AD1126-SUM($AG1126:AP1126))),0)</f>
        <v>0</v>
      </c>
      <c r="AR1126" s="8">
        <f>IF($O1126="Aktif",MAX(0,MIN($AE1126,$AD1126-SUM($AG1126:AQ1126))),0)</f>
        <v>0</v>
      </c>
      <c r="AS1126" s="8">
        <f>IF($O1126="Aktif",MAX(0,MIN($AE1126,$AD1126-SUM($AG1126:AR1126))),0)</f>
        <v>0</v>
      </c>
      <c r="AT1126" s="8">
        <f>IF($O1126="Aktif",MAX(0,MIN($AE1126,$AD1126-SUM($AG1126:AS1126))),0)</f>
        <v>0</v>
      </c>
      <c r="AU1126" s="8">
        <f>IF($O1126="Aktif",MAX(0,MIN($AE1126,$AD1126-SUM($AG1126:AT1126))),0)</f>
        <v>0</v>
      </c>
      <c r="AV1126" s="8">
        <f>IF($O1126="Aktif",MAX(0,MIN($AE1126,$AD1126-SUM($AG1126:AU1126))),0)</f>
        <v>0</v>
      </c>
      <c r="AW1126" s="8">
        <f t="shared" si="124"/>
        <v>0</v>
      </c>
      <c r="AX1126" s="8">
        <f t="shared" si="125"/>
        <v>0</v>
      </c>
    </row>
    <row r="1127" spans="1:50" ht="15" customHeight="1" x14ac:dyDescent="0.35">
      <c r="A1127" s="102">
        <v>1121</v>
      </c>
      <c r="B1127" s="102" t="s">
        <v>2815</v>
      </c>
      <c r="C1127" s="103">
        <v>143</v>
      </c>
      <c r="D1127" s="102" t="s">
        <v>186</v>
      </c>
      <c r="E1127" s="102" t="s">
        <v>587</v>
      </c>
      <c r="F1127" s="102" t="s">
        <v>2816</v>
      </c>
      <c r="G1127" s="102" t="s">
        <v>2817</v>
      </c>
      <c r="H1127" s="102" t="s">
        <v>2818</v>
      </c>
      <c r="I1127" s="102" t="s">
        <v>63</v>
      </c>
      <c r="J1127" s="102" t="s">
        <v>3140</v>
      </c>
      <c r="K1127" s="102" t="s">
        <v>591</v>
      </c>
      <c r="L1127" s="104">
        <v>42773</v>
      </c>
      <c r="M1127" s="102" t="s">
        <v>3141</v>
      </c>
      <c r="N1127" s="102" t="s">
        <v>3142</v>
      </c>
      <c r="O1127" s="102" t="s">
        <v>383</v>
      </c>
      <c r="P1127" s="103">
        <v>1</v>
      </c>
      <c r="Q1127" s="105">
        <v>4000000</v>
      </c>
      <c r="R1127" s="103">
        <v>48</v>
      </c>
      <c r="S1127" s="105">
        <v>83333.333333333299</v>
      </c>
      <c r="T1127" s="105">
        <v>4000000</v>
      </c>
      <c r="U1127" s="105">
        <v>0</v>
      </c>
      <c r="V1127" s="105">
        <v>0</v>
      </c>
      <c r="W1127" s="105">
        <v>0</v>
      </c>
      <c r="X1127" s="105">
        <v>0</v>
      </c>
      <c r="Y1127" s="105">
        <v>0</v>
      </c>
      <c r="Z1127" s="105">
        <v>0</v>
      </c>
      <c r="AA1127" s="105">
        <v>0</v>
      </c>
      <c r="AB1127" s="105">
        <v>0</v>
      </c>
      <c r="AC1127" s="8">
        <f t="shared" si="119"/>
        <v>4000000</v>
      </c>
      <c r="AD1127" s="8">
        <f t="shared" si="120"/>
        <v>0</v>
      </c>
      <c r="AE1127" s="8">
        <f t="shared" si="121"/>
        <v>0</v>
      </c>
      <c r="AF1127" s="106">
        <f t="shared" si="122"/>
        <v>0</v>
      </c>
      <c r="AG1127" s="8">
        <f t="shared" si="123"/>
        <v>0</v>
      </c>
      <c r="AH1127" s="8">
        <f>IF($O1127="Aktif",MAX(0,MIN($AE1127,$AD1127-SUM($AG1127:AG1127))),0)</f>
        <v>0</v>
      </c>
      <c r="AI1127" s="8">
        <f>IF($O1127="Aktif",MAX(0,MIN($AE1127,$AD1127-SUM($AG1127:AH1127))),0)</f>
        <v>0</v>
      </c>
      <c r="AJ1127" s="8">
        <f>IF($O1127="Aktif",MAX(0,MIN($AE1127,$AD1127-SUM($AG1127:AI1127))),0)</f>
        <v>0</v>
      </c>
      <c r="AK1127" s="8">
        <f>IF($O1127="Aktif",MAX(0,MIN($AE1127,$AD1127-SUM($AG1127:AJ1127))),0)</f>
        <v>0</v>
      </c>
      <c r="AL1127" s="8">
        <f>IF($O1127="Aktif",MAX(0,MIN($AE1127,$AD1127-SUM($AG1127:AK1127))),0)</f>
        <v>0</v>
      </c>
      <c r="AM1127" s="8">
        <f>IF($O1127="Aktif",MAX(0,MIN($AE1127,$AD1127-SUM($AG1127:AL1127))),0)</f>
        <v>0</v>
      </c>
      <c r="AN1127" s="8">
        <f>IF($O1127="Aktif",MAX(0,MIN($AE1127,$AD1127-SUM($AG1127:AM1127))),0)</f>
        <v>0</v>
      </c>
      <c r="AO1127" s="8">
        <f>IF($O1127="Aktif",MAX(0,MIN($AE1127,$AD1127-SUM($AG1127:AN1127))),0)</f>
        <v>0</v>
      </c>
      <c r="AP1127" s="8">
        <f>IF($O1127="Aktif",MAX(0,MIN($AE1127,$AD1127-SUM($AG1127:AO1127))),0)</f>
        <v>0</v>
      </c>
      <c r="AQ1127" s="8">
        <f>IF($O1127="Aktif",MAX(0,MIN($AE1127,$AD1127-SUM($AG1127:AP1127))),0)</f>
        <v>0</v>
      </c>
      <c r="AR1127" s="8">
        <f>IF($O1127="Aktif",MAX(0,MIN($AE1127,$AD1127-SUM($AG1127:AQ1127))),0)</f>
        <v>0</v>
      </c>
      <c r="AS1127" s="8">
        <f>IF($O1127="Aktif",MAX(0,MIN($AE1127,$AD1127-SUM($AG1127:AR1127))),0)</f>
        <v>0</v>
      </c>
      <c r="AT1127" s="8">
        <f>IF($O1127="Aktif",MAX(0,MIN($AE1127,$AD1127-SUM($AG1127:AS1127))),0)</f>
        <v>0</v>
      </c>
      <c r="AU1127" s="8">
        <f>IF($O1127="Aktif",MAX(0,MIN($AE1127,$AD1127-SUM($AG1127:AT1127))),0)</f>
        <v>0</v>
      </c>
      <c r="AV1127" s="8">
        <f>IF($O1127="Aktif",MAX(0,MIN($AE1127,$AD1127-SUM($AG1127:AU1127))),0)</f>
        <v>0</v>
      </c>
      <c r="AW1127" s="8">
        <f t="shared" si="124"/>
        <v>0</v>
      </c>
      <c r="AX1127" s="8">
        <f t="shared" si="125"/>
        <v>0</v>
      </c>
    </row>
    <row r="1128" spans="1:50" ht="15" customHeight="1" x14ac:dyDescent="0.35">
      <c r="A1128" s="102">
        <v>1122</v>
      </c>
      <c r="B1128" s="102" t="s">
        <v>2815</v>
      </c>
      <c r="C1128" s="103">
        <v>144</v>
      </c>
      <c r="D1128" s="102" t="s">
        <v>186</v>
      </c>
      <c r="E1128" s="102" t="s">
        <v>587</v>
      </c>
      <c r="F1128" s="102" t="s">
        <v>2816</v>
      </c>
      <c r="G1128" s="102" t="s">
        <v>2817</v>
      </c>
      <c r="H1128" s="102" t="s">
        <v>2818</v>
      </c>
      <c r="I1128" s="102" t="s">
        <v>63</v>
      </c>
      <c r="J1128" s="102" t="s">
        <v>3143</v>
      </c>
      <c r="K1128" s="102" t="s">
        <v>591</v>
      </c>
      <c r="L1128" s="104">
        <v>42815</v>
      </c>
      <c r="M1128" s="102" t="s">
        <v>3144</v>
      </c>
      <c r="N1128" s="102" t="s">
        <v>3145</v>
      </c>
      <c r="O1128" s="102" t="s">
        <v>383</v>
      </c>
      <c r="P1128" s="103">
        <v>1</v>
      </c>
      <c r="Q1128" s="105">
        <v>5130000</v>
      </c>
      <c r="R1128" s="103">
        <v>48</v>
      </c>
      <c r="S1128" s="105">
        <v>106875</v>
      </c>
      <c r="T1128" s="105">
        <v>5130000</v>
      </c>
      <c r="U1128" s="105">
        <v>0</v>
      </c>
      <c r="V1128" s="105">
        <v>0</v>
      </c>
      <c r="W1128" s="105">
        <v>0</v>
      </c>
      <c r="X1128" s="105">
        <v>0</v>
      </c>
      <c r="Y1128" s="105">
        <v>0</v>
      </c>
      <c r="Z1128" s="105">
        <v>0</v>
      </c>
      <c r="AA1128" s="105">
        <v>0</v>
      </c>
      <c r="AB1128" s="105">
        <v>0</v>
      </c>
      <c r="AC1128" s="8">
        <f t="shared" si="119"/>
        <v>5130000</v>
      </c>
      <c r="AD1128" s="8">
        <f t="shared" si="120"/>
        <v>0</v>
      </c>
      <c r="AE1128" s="8">
        <f t="shared" si="121"/>
        <v>0</v>
      </c>
      <c r="AF1128" s="106">
        <f t="shared" si="122"/>
        <v>0</v>
      </c>
      <c r="AG1128" s="8">
        <f t="shared" si="123"/>
        <v>0</v>
      </c>
      <c r="AH1128" s="8">
        <f>IF($O1128="Aktif",MAX(0,MIN($AE1128,$AD1128-SUM($AG1128:AG1128))),0)</f>
        <v>0</v>
      </c>
      <c r="AI1128" s="8">
        <f>IF($O1128="Aktif",MAX(0,MIN($AE1128,$AD1128-SUM($AG1128:AH1128))),0)</f>
        <v>0</v>
      </c>
      <c r="AJ1128" s="8">
        <f>IF($O1128="Aktif",MAX(0,MIN($AE1128,$AD1128-SUM($AG1128:AI1128))),0)</f>
        <v>0</v>
      </c>
      <c r="AK1128" s="8">
        <f>IF($O1128="Aktif",MAX(0,MIN($AE1128,$AD1128-SUM($AG1128:AJ1128))),0)</f>
        <v>0</v>
      </c>
      <c r="AL1128" s="8">
        <f>IF($O1128="Aktif",MAX(0,MIN($AE1128,$AD1128-SUM($AG1128:AK1128))),0)</f>
        <v>0</v>
      </c>
      <c r="AM1128" s="8">
        <f>IF($O1128="Aktif",MAX(0,MIN($AE1128,$AD1128-SUM($AG1128:AL1128))),0)</f>
        <v>0</v>
      </c>
      <c r="AN1128" s="8">
        <f>IF($O1128="Aktif",MAX(0,MIN($AE1128,$AD1128-SUM($AG1128:AM1128))),0)</f>
        <v>0</v>
      </c>
      <c r="AO1128" s="8">
        <f>IF($O1128="Aktif",MAX(0,MIN($AE1128,$AD1128-SUM($AG1128:AN1128))),0)</f>
        <v>0</v>
      </c>
      <c r="AP1128" s="8">
        <f>IF($O1128="Aktif",MAX(0,MIN($AE1128,$AD1128-SUM($AG1128:AO1128))),0)</f>
        <v>0</v>
      </c>
      <c r="AQ1128" s="8">
        <f>IF($O1128="Aktif",MAX(0,MIN($AE1128,$AD1128-SUM($AG1128:AP1128))),0)</f>
        <v>0</v>
      </c>
      <c r="AR1128" s="8">
        <f>IF($O1128="Aktif",MAX(0,MIN($AE1128,$AD1128-SUM($AG1128:AQ1128))),0)</f>
        <v>0</v>
      </c>
      <c r="AS1128" s="8">
        <f>IF($O1128="Aktif",MAX(0,MIN($AE1128,$AD1128-SUM($AG1128:AR1128))),0)</f>
        <v>0</v>
      </c>
      <c r="AT1128" s="8">
        <f>IF($O1128="Aktif",MAX(0,MIN($AE1128,$AD1128-SUM($AG1128:AS1128))),0)</f>
        <v>0</v>
      </c>
      <c r="AU1128" s="8">
        <f>IF($O1128="Aktif",MAX(0,MIN($AE1128,$AD1128-SUM($AG1128:AT1128))),0)</f>
        <v>0</v>
      </c>
      <c r="AV1128" s="8">
        <f>IF($O1128="Aktif",MAX(0,MIN($AE1128,$AD1128-SUM($AG1128:AU1128))),0)</f>
        <v>0</v>
      </c>
      <c r="AW1128" s="8">
        <f t="shared" si="124"/>
        <v>0</v>
      </c>
      <c r="AX1128" s="8">
        <f t="shared" si="125"/>
        <v>0</v>
      </c>
    </row>
    <row r="1129" spans="1:50" ht="15" customHeight="1" x14ac:dyDescent="0.35">
      <c r="A1129" s="102">
        <v>1123</v>
      </c>
      <c r="B1129" s="102" t="s">
        <v>2815</v>
      </c>
      <c r="C1129" s="103">
        <v>145</v>
      </c>
      <c r="D1129" s="102" t="s">
        <v>186</v>
      </c>
      <c r="E1129" s="102" t="s">
        <v>587</v>
      </c>
      <c r="F1129" s="102" t="s">
        <v>2816</v>
      </c>
      <c r="G1129" s="102" t="s">
        <v>2817</v>
      </c>
      <c r="H1129" s="102" t="s">
        <v>2818</v>
      </c>
      <c r="I1129" s="102" t="s">
        <v>63</v>
      </c>
      <c r="J1129" s="102" t="s">
        <v>3146</v>
      </c>
      <c r="K1129" s="102" t="s">
        <v>591</v>
      </c>
      <c r="L1129" s="104">
        <v>42818</v>
      </c>
      <c r="M1129" s="102" t="s">
        <v>3147</v>
      </c>
      <c r="N1129" s="102" t="s">
        <v>3148</v>
      </c>
      <c r="O1129" s="102" t="s">
        <v>383</v>
      </c>
      <c r="P1129" s="103">
        <v>1</v>
      </c>
      <c r="Q1129" s="105">
        <v>5715500</v>
      </c>
      <c r="R1129" s="103">
        <v>48</v>
      </c>
      <c r="S1129" s="105">
        <v>119072.91666666701</v>
      </c>
      <c r="T1129" s="105">
        <v>5715500</v>
      </c>
      <c r="U1129" s="105">
        <v>0</v>
      </c>
      <c r="V1129" s="105">
        <v>0</v>
      </c>
      <c r="W1129" s="105">
        <v>0</v>
      </c>
      <c r="X1129" s="105">
        <v>0</v>
      </c>
      <c r="Y1129" s="105">
        <v>0</v>
      </c>
      <c r="Z1129" s="105">
        <v>0</v>
      </c>
      <c r="AA1129" s="105">
        <v>0</v>
      </c>
      <c r="AB1129" s="105">
        <v>0</v>
      </c>
      <c r="AC1129" s="8">
        <f t="shared" si="119"/>
        <v>5715500</v>
      </c>
      <c r="AD1129" s="8">
        <f t="shared" si="120"/>
        <v>0</v>
      </c>
      <c r="AE1129" s="8">
        <f t="shared" si="121"/>
        <v>0</v>
      </c>
      <c r="AF1129" s="106">
        <f t="shared" si="122"/>
        <v>0</v>
      </c>
      <c r="AG1129" s="8">
        <f t="shared" si="123"/>
        <v>0</v>
      </c>
      <c r="AH1129" s="8">
        <f>IF($O1129="Aktif",MAX(0,MIN($AE1129,$AD1129-SUM($AG1129:AG1129))),0)</f>
        <v>0</v>
      </c>
      <c r="AI1129" s="8">
        <f>IF($O1129="Aktif",MAX(0,MIN($AE1129,$AD1129-SUM($AG1129:AH1129))),0)</f>
        <v>0</v>
      </c>
      <c r="AJ1129" s="8">
        <f>IF($O1129="Aktif",MAX(0,MIN($AE1129,$AD1129-SUM($AG1129:AI1129))),0)</f>
        <v>0</v>
      </c>
      <c r="AK1129" s="8">
        <f>IF($O1129="Aktif",MAX(0,MIN($AE1129,$AD1129-SUM($AG1129:AJ1129))),0)</f>
        <v>0</v>
      </c>
      <c r="AL1129" s="8">
        <f>IF($O1129="Aktif",MAX(0,MIN($AE1129,$AD1129-SUM($AG1129:AK1129))),0)</f>
        <v>0</v>
      </c>
      <c r="AM1129" s="8">
        <f>IF($O1129="Aktif",MAX(0,MIN($AE1129,$AD1129-SUM($AG1129:AL1129))),0)</f>
        <v>0</v>
      </c>
      <c r="AN1129" s="8">
        <f>IF($O1129="Aktif",MAX(0,MIN($AE1129,$AD1129-SUM($AG1129:AM1129))),0)</f>
        <v>0</v>
      </c>
      <c r="AO1129" s="8">
        <f>IF($O1129="Aktif",MAX(0,MIN($AE1129,$AD1129-SUM($AG1129:AN1129))),0)</f>
        <v>0</v>
      </c>
      <c r="AP1129" s="8">
        <f>IF($O1129="Aktif",MAX(0,MIN($AE1129,$AD1129-SUM($AG1129:AO1129))),0)</f>
        <v>0</v>
      </c>
      <c r="AQ1129" s="8">
        <f>IF($O1129="Aktif",MAX(0,MIN($AE1129,$AD1129-SUM($AG1129:AP1129))),0)</f>
        <v>0</v>
      </c>
      <c r="AR1129" s="8">
        <f>IF($O1129="Aktif",MAX(0,MIN($AE1129,$AD1129-SUM($AG1129:AQ1129))),0)</f>
        <v>0</v>
      </c>
      <c r="AS1129" s="8">
        <f>IF($O1129="Aktif",MAX(0,MIN($AE1129,$AD1129-SUM($AG1129:AR1129))),0)</f>
        <v>0</v>
      </c>
      <c r="AT1129" s="8">
        <f>IF($O1129="Aktif",MAX(0,MIN($AE1129,$AD1129-SUM($AG1129:AS1129))),0)</f>
        <v>0</v>
      </c>
      <c r="AU1129" s="8">
        <f>IF($O1129="Aktif",MAX(0,MIN($AE1129,$AD1129-SUM($AG1129:AT1129))),0)</f>
        <v>0</v>
      </c>
      <c r="AV1129" s="8">
        <f>IF($O1129="Aktif",MAX(0,MIN($AE1129,$AD1129-SUM($AG1129:AU1129))),0)</f>
        <v>0</v>
      </c>
      <c r="AW1129" s="8">
        <f t="shared" si="124"/>
        <v>0</v>
      </c>
      <c r="AX1129" s="8">
        <f t="shared" si="125"/>
        <v>0</v>
      </c>
    </row>
    <row r="1130" spans="1:50" ht="15" customHeight="1" x14ac:dyDescent="0.35">
      <c r="A1130" s="102">
        <v>1124</v>
      </c>
      <c r="B1130" s="102" t="s">
        <v>2815</v>
      </c>
      <c r="C1130" s="103">
        <v>146</v>
      </c>
      <c r="D1130" s="102" t="s">
        <v>186</v>
      </c>
      <c r="E1130" s="102" t="s">
        <v>587</v>
      </c>
      <c r="F1130" s="102" t="s">
        <v>2816</v>
      </c>
      <c r="G1130" s="102" t="s">
        <v>2817</v>
      </c>
      <c r="H1130" s="102" t="s">
        <v>2818</v>
      </c>
      <c r="I1130" s="102" t="s">
        <v>63</v>
      </c>
      <c r="J1130" s="102" t="s">
        <v>3149</v>
      </c>
      <c r="K1130" s="102" t="s">
        <v>591</v>
      </c>
      <c r="L1130" s="104">
        <v>42818</v>
      </c>
      <c r="M1130" s="102" t="s">
        <v>3150</v>
      </c>
      <c r="N1130" s="102" t="s">
        <v>3151</v>
      </c>
      <c r="O1130" s="102" t="s">
        <v>383</v>
      </c>
      <c r="P1130" s="103">
        <v>3</v>
      </c>
      <c r="Q1130" s="105">
        <v>3272727</v>
      </c>
      <c r="R1130" s="103">
        <v>48</v>
      </c>
      <c r="S1130" s="105">
        <v>68181.8125</v>
      </c>
      <c r="T1130" s="105">
        <v>3272727</v>
      </c>
      <c r="U1130" s="105">
        <v>0</v>
      </c>
      <c r="V1130" s="105">
        <v>0</v>
      </c>
      <c r="W1130" s="105">
        <v>0</v>
      </c>
      <c r="X1130" s="105">
        <v>0</v>
      </c>
      <c r="Y1130" s="105">
        <v>0</v>
      </c>
      <c r="Z1130" s="105">
        <v>0</v>
      </c>
      <c r="AA1130" s="105">
        <v>0</v>
      </c>
      <c r="AB1130" s="105">
        <v>0</v>
      </c>
      <c r="AC1130" s="8">
        <f t="shared" si="119"/>
        <v>3272727</v>
      </c>
      <c r="AD1130" s="8">
        <f t="shared" si="120"/>
        <v>0</v>
      </c>
      <c r="AE1130" s="8">
        <f t="shared" si="121"/>
        <v>0</v>
      </c>
      <c r="AF1130" s="106">
        <f t="shared" si="122"/>
        <v>0</v>
      </c>
      <c r="AG1130" s="8">
        <f t="shared" si="123"/>
        <v>0</v>
      </c>
      <c r="AH1130" s="8">
        <f>IF($O1130="Aktif",MAX(0,MIN($AE1130,$AD1130-SUM($AG1130:AG1130))),0)</f>
        <v>0</v>
      </c>
      <c r="AI1130" s="8">
        <f>IF($O1130="Aktif",MAX(0,MIN($AE1130,$AD1130-SUM($AG1130:AH1130))),0)</f>
        <v>0</v>
      </c>
      <c r="AJ1130" s="8">
        <f>IF($O1130="Aktif",MAX(0,MIN($AE1130,$AD1130-SUM($AG1130:AI1130))),0)</f>
        <v>0</v>
      </c>
      <c r="AK1130" s="8">
        <f>IF($O1130="Aktif",MAX(0,MIN($AE1130,$AD1130-SUM($AG1130:AJ1130))),0)</f>
        <v>0</v>
      </c>
      <c r="AL1130" s="8">
        <f>IF($O1130="Aktif",MAX(0,MIN($AE1130,$AD1130-SUM($AG1130:AK1130))),0)</f>
        <v>0</v>
      </c>
      <c r="AM1130" s="8">
        <f>IF($O1130="Aktif",MAX(0,MIN($AE1130,$AD1130-SUM($AG1130:AL1130))),0)</f>
        <v>0</v>
      </c>
      <c r="AN1130" s="8">
        <f>IF($O1130="Aktif",MAX(0,MIN($AE1130,$AD1130-SUM($AG1130:AM1130))),0)</f>
        <v>0</v>
      </c>
      <c r="AO1130" s="8">
        <f>IF($O1130="Aktif",MAX(0,MIN($AE1130,$AD1130-SUM($AG1130:AN1130))),0)</f>
        <v>0</v>
      </c>
      <c r="AP1130" s="8">
        <f>IF($O1130="Aktif",MAX(0,MIN($AE1130,$AD1130-SUM($AG1130:AO1130))),0)</f>
        <v>0</v>
      </c>
      <c r="AQ1130" s="8">
        <f>IF($O1130="Aktif",MAX(0,MIN($AE1130,$AD1130-SUM($AG1130:AP1130))),0)</f>
        <v>0</v>
      </c>
      <c r="AR1130" s="8">
        <f>IF($O1130="Aktif",MAX(0,MIN($AE1130,$AD1130-SUM($AG1130:AQ1130))),0)</f>
        <v>0</v>
      </c>
      <c r="AS1130" s="8">
        <f>IF($O1130="Aktif",MAX(0,MIN($AE1130,$AD1130-SUM($AG1130:AR1130))),0)</f>
        <v>0</v>
      </c>
      <c r="AT1130" s="8">
        <f>IF($O1130="Aktif",MAX(0,MIN($AE1130,$AD1130-SUM($AG1130:AS1130))),0)</f>
        <v>0</v>
      </c>
      <c r="AU1130" s="8">
        <f>IF($O1130="Aktif",MAX(0,MIN($AE1130,$AD1130-SUM($AG1130:AT1130))),0)</f>
        <v>0</v>
      </c>
      <c r="AV1130" s="8">
        <f>IF($O1130="Aktif",MAX(0,MIN($AE1130,$AD1130-SUM($AG1130:AU1130))),0)</f>
        <v>0</v>
      </c>
      <c r="AW1130" s="8">
        <f t="shared" si="124"/>
        <v>0</v>
      </c>
      <c r="AX1130" s="8">
        <f t="shared" si="125"/>
        <v>0</v>
      </c>
    </row>
    <row r="1131" spans="1:50" ht="15" customHeight="1" x14ac:dyDescent="0.35">
      <c r="A1131" s="102">
        <v>1125</v>
      </c>
      <c r="B1131" s="102" t="s">
        <v>2815</v>
      </c>
      <c r="C1131" s="103">
        <v>147</v>
      </c>
      <c r="D1131" s="102" t="s">
        <v>186</v>
      </c>
      <c r="E1131" s="102" t="s">
        <v>587</v>
      </c>
      <c r="F1131" s="102" t="s">
        <v>2816</v>
      </c>
      <c r="G1131" s="102" t="s">
        <v>2817</v>
      </c>
      <c r="H1131" s="102" t="s">
        <v>2818</v>
      </c>
      <c r="I1131" s="102" t="s">
        <v>63</v>
      </c>
      <c r="J1131" s="102" t="s">
        <v>3152</v>
      </c>
      <c r="K1131" s="102" t="s">
        <v>591</v>
      </c>
      <c r="L1131" s="104">
        <v>42832</v>
      </c>
      <c r="M1131" s="102" t="s">
        <v>3153</v>
      </c>
      <c r="N1131" s="102" t="s">
        <v>3154</v>
      </c>
      <c r="O1131" s="102" t="s">
        <v>383</v>
      </c>
      <c r="P1131" s="103">
        <v>1</v>
      </c>
      <c r="Q1131" s="105">
        <v>2750000</v>
      </c>
      <c r="R1131" s="103">
        <v>48</v>
      </c>
      <c r="S1131" s="105">
        <v>57291.666666666701</v>
      </c>
      <c r="T1131" s="105">
        <v>2750000</v>
      </c>
      <c r="U1131" s="105">
        <v>0</v>
      </c>
      <c r="V1131" s="105">
        <v>0</v>
      </c>
      <c r="W1131" s="105">
        <v>0</v>
      </c>
      <c r="X1131" s="105">
        <v>0</v>
      </c>
      <c r="Y1131" s="105">
        <v>0</v>
      </c>
      <c r="Z1131" s="105">
        <v>0</v>
      </c>
      <c r="AA1131" s="105">
        <v>0</v>
      </c>
      <c r="AB1131" s="105">
        <v>0</v>
      </c>
      <c r="AC1131" s="8">
        <f t="shared" si="119"/>
        <v>2750000</v>
      </c>
      <c r="AD1131" s="8">
        <f t="shared" si="120"/>
        <v>0</v>
      </c>
      <c r="AE1131" s="8">
        <f t="shared" si="121"/>
        <v>0</v>
      </c>
      <c r="AF1131" s="106">
        <f t="shared" si="122"/>
        <v>0</v>
      </c>
      <c r="AG1131" s="8">
        <f t="shared" si="123"/>
        <v>0</v>
      </c>
      <c r="AH1131" s="8">
        <f>IF($O1131="Aktif",MAX(0,MIN($AE1131,$AD1131-SUM($AG1131:AG1131))),0)</f>
        <v>0</v>
      </c>
      <c r="AI1131" s="8">
        <f>IF($O1131="Aktif",MAX(0,MIN($AE1131,$AD1131-SUM($AG1131:AH1131))),0)</f>
        <v>0</v>
      </c>
      <c r="AJ1131" s="8">
        <f>IF($O1131="Aktif",MAX(0,MIN($AE1131,$AD1131-SUM($AG1131:AI1131))),0)</f>
        <v>0</v>
      </c>
      <c r="AK1131" s="8">
        <f>IF($O1131="Aktif",MAX(0,MIN($AE1131,$AD1131-SUM($AG1131:AJ1131))),0)</f>
        <v>0</v>
      </c>
      <c r="AL1131" s="8">
        <f>IF($O1131="Aktif",MAX(0,MIN($AE1131,$AD1131-SUM($AG1131:AK1131))),0)</f>
        <v>0</v>
      </c>
      <c r="AM1131" s="8">
        <f>IF($O1131="Aktif",MAX(0,MIN($AE1131,$AD1131-SUM($AG1131:AL1131))),0)</f>
        <v>0</v>
      </c>
      <c r="AN1131" s="8">
        <f>IF($O1131="Aktif",MAX(0,MIN($AE1131,$AD1131-SUM($AG1131:AM1131))),0)</f>
        <v>0</v>
      </c>
      <c r="AO1131" s="8">
        <f>IF($O1131="Aktif",MAX(0,MIN($AE1131,$AD1131-SUM($AG1131:AN1131))),0)</f>
        <v>0</v>
      </c>
      <c r="AP1131" s="8">
        <f>IF($O1131="Aktif",MAX(0,MIN($AE1131,$AD1131-SUM($AG1131:AO1131))),0)</f>
        <v>0</v>
      </c>
      <c r="AQ1131" s="8">
        <f>IF($O1131="Aktif",MAX(0,MIN($AE1131,$AD1131-SUM($AG1131:AP1131))),0)</f>
        <v>0</v>
      </c>
      <c r="AR1131" s="8">
        <f>IF($O1131="Aktif",MAX(0,MIN($AE1131,$AD1131-SUM($AG1131:AQ1131))),0)</f>
        <v>0</v>
      </c>
      <c r="AS1131" s="8">
        <f>IF($O1131="Aktif",MAX(0,MIN($AE1131,$AD1131-SUM($AG1131:AR1131))),0)</f>
        <v>0</v>
      </c>
      <c r="AT1131" s="8">
        <f>IF($O1131="Aktif",MAX(0,MIN($AE1131,$AD1131-SUM($AG1131:AS1131))),0)</f>
        <v>0</v>
      </c>
      <c r="AU1131" s="8">
        <f>IF($O1131="Aktif",MAX(0,MIN($AE1131,$AD1131-SUM($AG1131:AT1131))),0)</f>
        <v>0</v>
      </c>
      <c r="AV1131" s="8">
        <f>IF($O1131="Aktif",MAX(0,MIN($AE1131,$AD1131-SUM($AG1131:AU1131))),0)</f>
        <v>0</v>
      </c>
      <c r="AW1131" s="8">
        <f t="shared" si="124"/>
        <v>0</v>
      </c>
      <c r="AX1131" s="8">
        <f t="shared" si="125"/>
        <v>0</v>
      </c>
    </row>
    <row r="1132" spans="1:50" ht="15" customHeight="1" x14ac:dyDescent="0.35">
      <c r="A1132" s="102">
        <v>1126</v>
      </c>
      <c r="B1132" s="102" t="s">
        <v>2815</v>
      </c>
      <c r="C1132" s="103">
        <v>148</v>
      </c>
      <c r="D1132" s="102" t="s">
        <v>186</v>
      </c>
      <c r="E1132" s="102" t="s">
        <v>587</v>
      </c>
      <c r="F1132" s="102" t="s">
        <v>2816</v>
      </c>
      <c r="G1132" s="102" t="s">
        <v>2817</v>
      </c>
      <c r="H1132" s="102" t="s">
        <v>2818</v>
      </c>
      <c r="I1132" s="102" t="s">
        <v>63</v>
      </c>
      <c r="J1132" s="102" t="s">
        <v>3155</v>
      </c>
      <c r="K1132" s="102" t="s">
        <v>591</v>
      </c>
      <c r="L1132" s="104">
        <v>42874</v>
      </c>
      <c r="M1132" s="102" t="s">
        <v>3135</v>
      </c>
      <c r="N1132" s="102" t="s">
        <v>3156</v>
      </c>
      <c r="O1132" s="102" t="s">
        <v>383</v>
      </c>
      <c r="P1132" s="103">
        <v>1</v>
      </c>
      <c r="Q1132" s="105">
        <v>8312000</v>
      </c>
      <c r="R1132" s="103">
        <v>48</v>
      </c>
      <c r="S1132" s="105">
        <v>173166.66666666701</v>
      </c>
      <c r="T1132" s="105">
        <v>8312000</v>
      </c>
      <c r="U1132" s="105">
        <v>0</v>
      </c>
      <c r="V1132" s="105">
        <v>0</v>
      </c>
      <c r="W1132" s="105">
        <v>0</v>
      </c>
      <c r="X1132" s="105">
        <v>0</v>
      </c>
      <c r="Y1132" s="105">
        <v>0</v>
      </c>
      <c r="Z1132" s="105">
        <v>0</v>
      </c>
      <c r="AA1132" s="105">
        <v>0</v>
      </c>
      <c r="AB1132" s="105">
        <v>0</v>
      </c>
      <c r="AC1132" s="8">
        <f t="shared" si="119"/>
        <v>8312000</v>
      </c>
      <c r="AD1132" s="8">
        <f t="shared" si="120"/>
        <v>0</v>
      </c>
      <c r="AE1132" s="8">
        <f t="shared" si="121"/>
        <v>0</v>
      </c>
      <c r="AF1132" s="106">
        <f t="shared" si="122"/>
        <v>0</v>
      </c>
      <c r="AG1132" s="8">
        <f t="shared" si="123"/>
        <v>0</v>
      </c>
      <c r="AH1132" s="8">
        <f>IF($O1132="Aktif",MAX(0,MIN($AE1132,$AD1132-SUM($AG1132:AG1132))),0)</f>
        <v>0</v>
      </c>
      <c r="AI1132" s="8">
        <f>IF($O1132="Aktif",MAX(0,MIN($AE1132,$AD1132-SUM($AG1132:AH1132))),0)</f>
        <v>0</v>
      </c>
      <c r="AJ1132" s="8">
        <f>IF($O1132="Aktif",MAX(0,MIN($AE1132,$AD1132-SUM($AG1132:AI1132))),0)</f>
        <v>0</v>
      </c>
      <c r="AK1132" s="8">
        <f>IF($O1132="Aktif",MAX(0,MIN($AE1132,$AD1132-SUM($AG1132:AJ1132))),0)</f>
        <v>0</v>
      </c>
      <c r="AL1132" s="8">
        <f>IF($O1132="Aktif",MAX(0,MIN($AE1132,$AD1132-SUM($AG1132:AK1132))),0)</f>
        <v>0</v>
      </c>
      <c r="AM1132" s="8">
        <f>IF($O1132="Aktif",MAX(0,MIN($AE1132,$AD1132-SUM($AG1132:AL1132))),0)</f>
        <v>0</v>
      </c>
      <c r="AN1132" s="8">
        <f>IF($O1132="Aktif",MAX(0,MIN($AE1132,$AD1132-SUM($AG1132:AM1132))),0)</f>
        <v>0</v>
      </c>
      <c r="AO1132" s="8">
        <f>IF($O1132="Aktif",MAX(0,MIN($AE1132,$AD1132-SUM($AG1132:AN1132))),0)</f>
        <v>0</v>
      </c>
      <c r="AP1132" s="8">
        <f>IF($O1132="Aktif",MAX(0,MIN($AE1132,$AD1132-SUM($AG1132:AO1132))),0)</f>
        <v>0</v>
      </c>
      <c r="AQ1132" s="8">
        <f>IF($O1132="Aktif",MAX(0,MIN($AE1132,$AD1132-SUM($AG1132:AP1132))),0)</f>
        <v>0</v>
      </c>
      <c r="AR1132" s="8">
        <f>IF($O1132="Aktif",MAX(0,MIN($AE1132,$AD1132-SUM($AG1132:AQ1132))),0)</f>
        <v>0</v>
      </c>
      <c r="AS1132" s="8">
        <f>IF($O1132="Aktif",MAX(0,MIN($AE1132,$AD1132-SUM($AG1132:AR1132))),0)</f>
        <v>0</v>
      </c>
      <c r="AT1132" s="8">
        <f>IF($O1132="Aktif",MAX(0,MIN($AE1132,$AD1132-SUM($AG1132:AS1132))),0)</f>
        <v>0</v>
      </c>
      <c r="AU1132" s="8">
        <f>IF($O1132="Aktif",MAX(0,MIN($AE1132,$AD1132-SUM($AG1132:AT1132))),0)</f>
        <v>0</v>
      </c>
      <c r="AV1132" s="8">
        <f>IF($O1132="Aktif",MAX(0,MIN($AE1132,$AD1132-SUM($AG1132:AU1132))),0)</f>
        <v>0</v>
      </c>
      <c r="AW1132" s="8">
        <f t="shared" si="124"/>
        <v>0</v>
      </c>
      <c r="AX1132" s="8">
        <f t="shared" si="125"/>
        <v>0</v>
      </c>
    </row>
    <row r="1133" spans="1:50" ht="15" customHeight="1" x14ac:dyDescent="0.35">
      <c r="A1133" s="102">
        <v>1127</v>
      </c>
      <c r="B1133" s="102" t="s">
        <v>2815</v>
      </c>
      <c r="C1133" s="103">
        <v>149</v>
      </c>
      <c r="D1133" s="102" t="s">
        <v>186</v>
      </c>
      <c r="E1133" s="102" t="s">
        <v>587</v>
      </c>
      <c r="F1133" s="102" t="s">
        <v>2816</v>
      </c>
      <c r="G1133" s="102" t="s">
        <v>2817</v>
      </c>
      <c r="H1133" s="102" t="s">
        <v>2818</v>
      </c>
      <c r="I1133" s="102" t="s">
        <v>63</v>
      </c>
      <c r="J1133" s="102" t="s">
        <v>3157</v>
      </c>
      <c r="K1133" s="102" t="s">
        <v>591</v>
      </c>
      <c r="L1133" s="104">
        <v>42947</v>
      </c>
      <c r="M1133" s="102" t="s">
        <v>3158</v>
      </c>
      <c r="N1133" s="102" t="s">
        <v>3159</v>
      </c>
      <c r="O1133" s="102" t="s">
        <v>383</v>
      </c>
      <c r="P1133" s="103">
        <v>1</v>
      </c>
      <c r="Q1133" s="105">
        <v>70000000</v>
      </c>
      <c r="R1133" s="103">
        <v>48</v>
      </c>
      <c r="S1133" s="105">
        <v>1458333.33333333</v>
      </c>
      <c r="T1133" s="105">
        <v>70000000</v>
      </c>
      <c r="U1133" s="105">
        <v>0</v>
      </c>
      <c r="V1133" s="105">
        <v>0</v>
      </c>
      <c r="W1133" s="105">
        <v>0</v>
      </c>
      <c r="X1133" s="105">
        <v>0</v>
      </c>
      <c r="Y1133" s="105">
        <v>0</v>
      </c>
      <c r="Z1133" s="105">
        <v>0</v>
      </c>
      <c r="AA1133" s="105">
        <v>0</v>
      </c>
      <c r="AB1133" s="105">
        <v>0</v>
      </c>
      <c r="AC1133" s="8">
        <f t="shared" si="119"/>
        <v>70000000</v>
      </c>
      <c r="AD1133" s="8">
        <f t="shared" si="120"/>
        <v>0</v>
      </c>
      <c r="AE1133" s="8">
        <f t="shared" si="121"/>
        <v>0</v>
      </c>
      <c r="AF1133" s="106">
        <f t="shared" si="122"/>
        <v>0</v>
      </c>
      <c r="AG1133" s="8">
        <f t="shared" si="123"/>
        <v>0</v>
      </c>
      <c r="AH1133" s="8">
        <f>IF($O1133="Aktif",MAX(0,MIN($AE1133,$AD1133-SUM($AG1133:AG1133))),0)</f>
        <v>0</v>
      </c>
      <c r="AI1133" s="8">
        <f>IF($O1133="Aktif",MAX(0,MIN($AE1133,$AD1133-SUM($AG1133:AH1133))),0)</f>
        <v>0</v>
      </c>
      <c r="AJ1133" s="8">
        <f>IF($O1133="Aktif",MAX(0,MIN($AE1133,$AD1133-SUM($AG1133:AI1133))),0)</f>
        <v>0</v>
      </c>
      <c r="AK1133" s="8">
        <f>IF($O1133="Aktif",MAX(0,MIN($AE1133,$AD1133-SUM($AG1133:AJ1133))),0)</f>
        <v>0</v>
      </c>
      <c r="AL1133" s="8">
        <f>IF($O1133="Aktif",MAX(0,MIN($AE1133,$AD1133-SUM($AG1133:AK1133))),0)</f>
        <v>0</v>
      </c>
      <c r="AM1133" s="8">
        <f>IF($O1133="Aktif",MAX(0,MIN($AE1133,$AD1133-SUM($AG1133:AL1133))),0)</f>
        <v>0</v>
      </c>
      <c r="AN1133" s="8">
        <f>IF($O1133="Aktif",MAX(0,MIN($AE1133,$AD1133-SUM($AG1133:AM1133))),0)</f>
        <v>0</v>
      </c>
      <c r="AO1133" s="8">
        <f>IF($O1133="Aktif",MAX(0,MIN($AE1133,$AD1133-SUM($AG1133:AN1133))),0)</f>
        <v>0</v>
      </c>
      <c r="AP1133" s="8">
        <f>IF($O1133="Aktif",MAX(0,MIN($AE1133,$AD1133-SUM($AG1133:AO1133))),0)</f>
        <v>0</v>
      </c>
      <c r="AQ1133" s="8">
        <f>IF($O1133="Aktif",MAX(0,MIN($AE1133,$AD1133-SUM($AG1133:AP1133))),0)</f>
        <v>0</v>
      </c>
      <c r="AR1133" s="8">
        <f>IF($O1133="Aktif",MAX(0,MIN($AE1133,$AD1133-SUM($AG1133:AQ1133))),0)</f>
        <v>0</v>
      </c>
      <c r="AS1133" s="8">
        <f>IF($O1133="Aktif",MAX(0,MIN($AE1133,$AD1133-SUM($AG1133:AR1133))),0)</f>
        <v>0</v>
      </c>
      <c r="AT1133" s="8">
        <f>IF($O1133="Aktif",MAX(0,MIN($AE1133,$AD1133-SUM($AG1133:AS1133))),0)</f>
        <v>0</v>
      </c>
      <c r="AU1133" s="8">
        <f>IF($O1133="Aktif",MAX(0,MIN($AE1133,$AD1133-SUM($AG1133:AT1133))),0)</f>
        <v>0</v>
      </c>
      <c r="AV1133" s="8">
        <f>IF($O1133="Aktif",MAX(0,MIN($AE1133,$AD1133-SUM($AG1133:AU1133))),0)</f>
        <v>0</v>
      </c>
      <c r="AW1133" s="8">
        <f t="shared" si="124"/>
        <v>0</v>
      </c>
      <c r="AX1133" s="8">
        <f t="shared" si="125"/>
        <v>0</v>
      </c>
    </row>
    <row r="1134" spans="1:50" ht="15" customHeight="1" x14ac:dyDescent="0.35">
      <c r="A1134" s="102">
        <v>1128</v>
      </c>
      <c r="B1134" s="102" t="s">
        <v>2815</v>
      </c>
      <c r="C1134" s="103">
        <v>150</v>
      </c>
      <c r="D1134" s="102" t="s">
        <v>186</v>
      </c>
      <c r="E1134" s="102" t="s">
        <v>587</v>
      </c>
      <c r="F1134" s="102" t="s">
        <v>2816</v>
      </c>
      <c r="G1134" s="102" t="s">
        <v>2817</v>
      </c>
      <c r="H1134" s="102" t="s">
        <v>2818</v>
      </c>
      <c r="I1134" s="102" t="s">
        <v>63</v>
      </c>
      <c r="J1134" s="102" t="s">
        <v>3160</v>
      </c>
      <c r="K1134" s="102" t="s">
        <v>591</v>
      </c>
      <c r="L1134" s="104">
        <v>42978</v>
      </c>
      <c r="M1134" s="102" t="s">
        <v>3161</v>
      </c>
      <c r="N1134" s="102" t="s">
        <v>3162</v>
      </c>
      <c r="O1134" s="102" t="s">
        <v>383</v>
      </c>
      <c r="P1134" s="103">
        <v>1</v>
      </c>
      <c r="Q1134" s="105">
        <v>615000000</v>
      </c>
      <c r="R1134" s="103">
        <v>48</v>
      </c>
      <c r="S1134" s="105">
        <v>12812500</v>
      </c>
      <c r="T1134" s="105">
        <v>615000000</v>
      </c>
      <c r="U1134" s="105">
        <v>0</v>
      </c>
      <c r="V1134" s="105">
        <v>0</v>
      </c>
      <c r="W1134" s="105">
        <v>0</v>
      </c>
      <c r="X1134" s="105">
        <v>0</v>
      </c>
      <c r="Y1134" s="105">
        <v>0</v>
      </c>
      <c r="Z1134" s="105">
        <v>0</v>
      </c>
      <c r="AA1134" s="105">
        <v>0</v>
      </c>
      <c r="AB1134" s="105">
        <v>0</v>
      </c>
      <c r="AC1134" s="8">
        <f t="shared" si="119"/>
        <v>615000000</v>
      </c>
      <c r="AD1134" s="8">
        <f t="shared" si="120"/>
        <v>0</v>
      </c>
      <c r="AE1134" s="8">
        <f t="shared" si="121"/>
        <v>0</v>
      </c>
      <c r="AF1134" s="106">
        <f t="shared" si="122"/>
        <v>0</v>
      </c>
      <c r="AG1134" s="8">
        <f t="shared" si="123"/>
        <v>0</v>
      </c>
      <c r="AH1134" s="8">
        <f>IF($O1134="Aktif",MAX(0,MIN($AE1134,$AD1134-SUM($AG1134:AG1134))),0)</f>
        <v>0</v>
      </c>
      <c r="AI1134" s="8">
        <f>IF($O1134="Aktif",MAX(0,MIN($AE1134,$AD1134-SUM($AG1134:AH1134))),0)</f>
        <v>0</v>
      </c>
      <c r="AJ1134" s="8">
        <f>IF($O1134="Aktif",MAX(0,MIN($AE1134,$AD1134-SUM($AG1134:AI1134))),0)</f>
        <v>0</v>
      </c>
      <c r="AK1134" s="8">
        <f>IF($O1134="Aktif",MAX(0,MIN($AE1134,$AD1134-SUM($AG1134:AJ1134))),0)</f>
        <v>0</v>
      </c>
      <c r="AL1134" s="8">
        <f>IF($O1134="Aktif",MAX(0,MIN($AE1134,$AD1134-SUM($AG1134:AK1134))),0)</f>
        <v>0</v>
      </c>
      <c r="AM1134" s="8">
        <f>IF($O1134="Aktif",MAX(0,MIN($AE1134,$AD1134-SUM($AG1134:AL1134))),0)</f>
        <v>0</v>
      </c>
      <c r="AN1134" s="8">
        <f>IF($O1134="Aktif",MAX(0,MIN($AE1134,$AD1134-SUM($AG1134:AM1134))),0)</f>
        <v>0</v>
      </c>
      <c r="AO1134" s="8">
        <f>IF($O1134="Aktif",MAX(0,MIN($AE1134,$AD1134-SUM($AG1134:AN1134))),0)</f>
        <v>0</v>
      </c>
      <c r="AP1134" s="8">
        <f>IF($O1134="Aktif",MAX(0,MIN($AE1134,$AD1134-SUM($AG1134:AO1134))),0)</f>
        <v>0</v>
      </c>
      <c r="AQ1134" s="8">
        <f>IF($O1134="Aktif",MAX(0,MIN($AE1134,$AD1134-SUM($AG1134:AP1134))),0)</f>
        <v>0</v>
      </c>
      <c r="AR1134" s="8">
        <f>IF($O1134="Aktif",MAX(0,MIN($AE1134,$AD1134-SUM($AG1134:AQ1134))),0)</f>
        <v>0</v>
      </c>
      <c r="AS1134" s="8">
        <f>IF($O1134="Aktif",MAX(0,MIN($AE1134,$AD1134-SUM($AG1134:AR1134))),0)</f>
        <v>0</v>
      </c>
      <c r="AT1134" s="8">
        <f>IF($O1134="Aktif",MAX(0,MIN($AE1134,$AD1134-SUM($AG1134:AS1134))),0)</f>
        <v>0</v>
      </c>
      <c r="AU1134" s="8">
        <f>IF($O1134="Aktif",MAX(0,MIN($AE1134,$AD1134-SUM($AG1134:AT1134))),0)</f>
        <v>0</v>
      </c>
      <c r="AV1134" s="8">
        <f>IF($O1134="Aktif",MAX(0,MIN($AE1134,$AD1134-SUM($AG1134:AU1134))),0)</f>
        <v>0</v>
      </c>
      <c r="AW1134" s="8">
        <f t="shared" si="124"/>
        <v>0</v>
      </c>
      <c r="AX1134" s="8">
        <f t="shared" si="125"/>
        <v>0</v>
      </c>
    </row>
    <row r="1135" spans="1:50" ht="15" customHeight="1" x14ac:dyDescent="0.35">
      <c r="A1135" s="102">
        <v>1129</v>
      </c>
      <c r="B1135" s="102" t="s">
        <v>2815</v>
      </c>
      <c r="C1135" s="103">
        <v>151</v>
      </c>
      <c r="D1135" s="102" t="s">
        <v>186</v>
      </c>
      <c r="E1135" s="102" t="s">
        <v>479</v>
      </c>
      <c r="F1135" s="102" t="s">
        <v>3116</v>
      </c>
      <c r="G1135" s="102" t="s">
        <v>3117</v>
      </c>
      <c r="H1135" s="102" t="s">
        <v>3118</v>
      </c>
      <c r="I1135" s="102" t="s">
        <v>63</v>
      </c>
      <c r="J1135" s="102"/>
      <c r="K1135" s="102" t="s">
        <v>3163</v>
      </c>
      <c r="L1135" s="102"/>
      <c r="M1135" s="102" t="s">
        <v>3161</v>
      </c>
      <c r="N1135" s="102" t="s">
        <v>3162</v>
      </c>
      <c r="O1135" s="102" t="s">
        <v>487</v>
      </c>
      <c r="P1135" s="103">
        <v>1</v>
      </c>
      <c r="Q1135" s="105">
        <v>-615000000</v>
      </c>
      <c r="R1135" s="102"/>
      <c r="S1135" s="105">
        <v>0</v>
      </c>
      <c r="T1135" s="105">
        <v>0</v>
      </c>
      <c r="U1135" s="105">
        <v>0</v>
      </c>
      <c r="V1135" s="105">
        <v>0</v>
      </c>
      <c r="W1135" s="105">
        <v>0</v>
      </c>
      <c r="X1135" s="105">
        <v>0</v>
      </c>
      <c r="Y1135" s="105">
        <v>0</v>
      </c>
      <c r="Z1135" s="105">
        <v>0</v>
      </c>
      <c r="AA1135" s="105">
        <v>0</v>
      </c>
      <c r="AB1135" s="105">
        <v>0</v>
      </c>
      <c r="AC1135" s="8">
        <f t="shared" si="119"/>
        <v>0</v>
      </c>
      <c r="AD1135" s="8">
        <f t="shared" si="120"/>
        <v>-615000000</v>
      </c>
      <c r="AE1135" s="8">
        <f t="shared" si="121"/>
        <v>0</v>
      </c>
      <c r="AF1135" s="106">
        <f t="shared" si="122"/>
        <v>0</v>
      </c>
      <c r="AG1135" s="8">
        <f t="shared" si="123"/>
        <v>0</v>
      </c>
      <c r="AH1135" s="8">
        <f>IF($O1135="Aktif",MAX(0,MIN($AE1135,$AD1135-SUM($AG1135:AG1135))),0)</f>
        <v>0</v>
      </c>
      <c r="AI1135" s="8">
        <f>IF($O1135="Aktif",MAX(0,MIN($AE1135,$AD1135-SUM($AG1135:AH1135))),0)</f>
        <v>0</v>
      </c>
      <c r="AJ1135" s="8">
        <f>IF($O1135="Aktif",MAX(0,MIN($AE1135,$AD1135-SUM($AG1135:AI1135))),0)</f>
        <v>0</v>
      </c>
      <c r="AK1135" s="8">
        <f>IF($O1135="Aktif",MAX(0,MIN($AE1135,$AD1135-SUM($AG1135:AJ1135))),0)</f>
        <v>0</v>
      </c>
      <c r="AL1135" s="8">
        <f>IF($O1135="Aktif",MAX(0,MIN($AE1135,$AD1135-SUM($AG1135:AK1135))),0)</f>
        <v>0</v>
      </c>
      <c r="AM1135" s="8">
        <f>IF($O1135="Aktif",MAX(0,MIN($AE1135,$AD1135-SUM($AG1135:AL1135))),0)</f>
        <v>0</v>
      </c>
      <c r="AN1135" s="8">
        <f>IF($O1135="Aktif",MAX(0,MIN($AE1135,$AD1135-SUM($AG1135:AM1135))),0)</f>
        <v>0</v>
      </c>
      <c r="AO1135" s="8">
        <f>IF($O1135="Aktif",MAX(0,MIN($AE1135,$AD1135-SUM($AG1135:AN1135))),0)</f>
        <v>0</v>
      </c>
      <c r="AP1135" s="8">
        <f>IF($O1135="Aktif",MAX(0,MIN($AE1135,$AD1135-SUM($AG1135:AO1135))),0)</f>
        <v>0</v>
      </c>
      <c r="AQ1135" s="8">
        <f>IF($O1135="Aktif",MAX(0,MIN($AE1135,$AD1135-SUM($AG1135:AP1135))),0)</f>
        <v>0</v>
      </c>
      <c r="AR1135" s="8">
        <f>IF($O1135="Aktif",MAX(0,MIN($AE1135,$AD1135-SUM($AG1135:AQ1135))),0)</f>
        <v>0</v>
      </c>
      <c r="AS1135" s="8">
        <f>IF($O1135="Aktif",MAX(0,MIN($AE1135,$AD1135-SUM($AG1135:AR1135))),0)</f>
        <v>0</v>
      </c>
      <c r="AT1135" s="8">
        <f>IF($O1135="Aktif",MAX(0,MIN($AE1135,$AD1135-SUM($AG1135:AS1135))),0)</f>
        <v>0</v>
      </c>
      <c r="AU1135" s="8">
        <f>IF($O1135="Aktif",MAX(0,MIN($AE1135,$AD1135-SUM($AG1135:AT1135))),0)</f>
        <v>0</v>
      </c>
      <c r="AV1135" s="8">
        <f>IF($O1135="Aktif",MAX(0,MIN($AE1135,$AD1135-SUM($AG1135:AU1135))),0)</f>
        <v>0</v>
      </c>
      <c r="AW1135" s="8">
        <f t="shared" si="124"/>
        <v>0</v>
      </c>
      <c r="AX1135" s="8">
        <f t="shared" si="125"/>
        <v>-615000000</v>
      </c>
    </row>
    <row r="1136" spans="1:50" ht="15" customHeight="1" x14ac:dyDescent="0.35">
      <c r="A1136" s="102">
        <v>1130</v>
      </c>
      <c r="B1136" s="102" t="s">
        <v>2815</v>
      </c>
      <c r="C1136" s="103">
        <v>152</v>
      </c>
      <c r="D1136" s="102" t="s">
        <v>186</v>
      </c>
      <c r="E1136" s="102" t="s">
        <v>587</v>
      </c>
      <c r="F1136" s="102" t="s">
        <v>2816</v>
      </c>
      <c r="G1136" s="102" t="s">
        <v>2817</v>
      </c>
      <c r="H1136" s="102" t="s">
        <v>2818</v>
      </c>
      <c r="I1136" s="102" t="s">
        <v>63</v>
      </c>
      <c r="J1136" s="102" t="s">
        <v>3164</v>
      </c>
      <c r="K1136" s="102" t="s">
        <v>591</v>
      </c>
      <c r="L1136" s="104">
        <v>42978</v>
      </c>
      <c r="M1136" s="102" t="s">
        <v>3165</v>
      </c>
      <c r="N1136" s="102" t="s">
        <v>3166</v>
      </c>
      <c r="O1136" s="102" t="s">
        <v>383</v>
      </c>
      <c r="P1136" s="103">
        <v>1</v>
      </c>
      <c r="Q1136" s="105">
        <v>371500000</v>
      </c>
      <c r="R1136" s="103">
        <v>48</v>
      </c>
      <c r="S1136" s="105">
        <v>7739583.3333333302</v>
      </c>
      <c r="T1136" s="105">
        <v>371500000</v>
      </c>
      <c r="U1136" s="105">
        <v>0</v>
      </c>
      <c r="V1136" s="105">
        <v>0</v>
      </c>
      <c r="W1136" s="105">
        <v>0</v>
      </c>
      <c r="X1136" s="105">
        <v>0</v>
      </c>
      <c r="Y1136" s="105">
        <v>0</v>
      </c>
      <c r="Z1136" s="105">
        <v>0</v>
      </c>
      <c r="AA1136" s="105">
        <v>0</v>
      </c>
      <c r="AB1136" s="105">
        <v>0</v>
      </c>
      <c r="AC1136" s="8">
        <f t="shared" si="119"/>
        <v>371500000</v>
      </c>
      <c r="AD1136" s="8">
        <f t="shared" si="120"/>
        <v>0</v>
      </c>
      <c r="AE1136" s="8">
        <f t="shared" si="121"/>
        <v>0</v>
      </c>
      <c r="AF1136" s="106">
        <f t="shared" si="122"/>
        <v>0</v>
      </c>
      <c r="AG1136" s="8">
        <f t="shared" si="123"/>
        <v>0</v>
      </c>
      <c r="AH1136" s="8">
        <f>IF($O1136="Aktif",MAX(0,MIN($AE1136,$AD1136-SUM($AG1136:AG1136))),0)</f>
        <v>0</v>
      </c>
      <c r="AI1136" s="8">
        <f>IF($O1136="Aktif",MAX(0,MIN($AE1136,$AD1136-SUM($AG1136:AH1136))),0)</f>
        <v>0</v>
      </c>
      <c r="AJ1136" s="8">
        <f>IF($O1136="Aktif",MAX(0,MIN($AE1136,$AD1136-SUM($AG1136:AI1136))),0)</f>
        <v>0</v>
      </c>
      <c r="AK1136" s="8">
        <f>IF($O1136="Aktif",MAX(0,MIN($AE1136,$AD1136-SUM($AG1136:AJ1136))),0)</f>
        <v>0</v>
      </c>
      <c r="AL1136" s="8">
        <f>IF($O1136="Aktif",MAX(0,MIN($AE1136,$AD1136-SUM($AG1136:AK1136))),0)</f>
        <v>0</v>
      </c>
      <c r="AM1136" s="8">
        <f>IF($O1136="Aktif",MAX(0,MIN($AE1136,$AD1136-SUM($AG1136:AL1136))),0)</f>
        <v>0</v>
      </c>
      <c r="AN1136" s="8">
        <f>IF($O1136="Aktif",MAX(0,MIN($AE1136,$AD1136-SUM($AG1136:AM1136))),0)</f>
        <v>0</v>
      </c>
      <c r="AO1136" s="8">
        <f>IF($O1136="Aktif",MAX(0,MIN($AE1136,$AD1136-SUM($AG1136:AN1136))),0)</f>
        <v>0</v>
      </c>
      <c r="AP1136" s="8">
        <f>IF($O1136="Aktif",MAX(0,MIN($AE1136,$AD1136-SUM($AG1136:AO1136))),0)</f>
        <v>0</v>
      </c>
      <c r="AQ1136" s="8">
        <f>IF($O1136="Aktif",MAX(0,MIN($AE1136,$AD1136-SUM($AG1136:AP1136))),0)</f>
        <v>0</v>
      </c>
      <c r="AR1136" s="8">
        <f>IF($O1136="Aktif",MAX(0,MIN($AE1136,$AD1136-SUM($AG1136:AQ1136))),0)</f>
        <v>0</v>
      </c>
      <c r="AS1136" s="8">
        <f>IF($O1136="Aktif",MAX(0,MIN($AE1136,$AD1136-SUM($AG1136:AR1136))),0)</f>
        <v>0</v>
      </c>
      <c r="AT1136" s="8">
        <f>IF($O1136="Aktif",MAX(0,MIN($AE1136,$AD1136-SUM($AG1136:AS1136))),0)</f>
        <v>0</v>
      </c>
      <c r="AU1136" s="8">
        <f>IF($O1136="Aktif",MAX(0,MIN($AE1136,$AD1136-SUM($AG1136:AT1136))),0)</f>
        <v>0</v>
      </c>
      <c r="AV1136" s="8">
        <f>IF($O1136="Aktif",MAX(0,MIN($AE1136,$AD1136-SUM($AG1136:AU1136))),0)</f>
        <v>0</v>
      </c>
      <c r="AW1136" s="8">
        <f t="shared" si="124"/>
        <v>0</v>
      </c>
      <c r="AX1136" s="8">
        <f t="shared" si="125"/>
        <v>0</v>
      </c>
    </row>
    <row r="1137" spans="1:50" ht="15" customHeight="1" x14ac:dyDescent="0.35">
      <c r="A1137" s="102">
        <v>1131</v>
      </c>
      <c r="B1137" s="102" t="s">
        <v>2815</v>
      </c>
      <c r="C1137" s="103">
        <v>153</v>
      </c>
      <c r="D1137" s="102" t="s">
        <v>186</v>
      </c>
      <c r="E1137" s="102" t="s">
        <v>587</v>
      </c>
      <c r="F1137" s="102" t="s">
        <v>2816</v>
      </c>
      <c r="G1137" s="102" t="s">
        <v>2817</v>
      </c>
      <c r="H1137" s="102" t="s">
        <v>2818</v>
      </c>
      <c r="I1137" s="102" t="s">
        <v>63</v>
      </c>
      <c r="J1137" s="102"/>
      <c r="K1137" s="102" t="s">
        <v>591</v>
      </c>
      <c r="L1137" s="104">
        <v>44410</v>
      </c>
      <c r="M1137" s="102" t="s">
        <v>3167</v>
      </c>
      <c r="N1137" s="102" t="s">
        <v>3168</v>
      </c>
      <c r="O1137" s="102" t="s">
        <v>487</v>
      </c>
      <c r="P1137" s="103">
        <v>1</v>
      </c>
      <c r="Q1137" s="105">
        <v>-371500000</v>
      </c>
      <c r="R1137" s="102"/>
      <c r="S1137" s="105">
        <v>0</v>
      </c>
      <c r="T1137" s="105">
        <v>-371500000</v>
      </c>
      <c r="U1137" s="105">
        <v>0</v>
      </c>
      <c r="V1137" s="105">
        <v>0</v>
      </c>
      <c r="W1137" s="105">
        <v>0</v>
      </c>
      <c r="X1137" s="105">
        <v>0</v>
      </c>
      <c r="Y1137" s="105">
        <v>0</v>
      </c>
      <c r="Z1137" s="105">
        <v>0</v>
      </c>
      <c r="AA1137" s="105">
        <v>0</v>
      </c>
      <c r="AB1137" s="105">
        <v>0</v>
      </c>
      <c r="AC1137" s="8">
        <f t="shared" si="119"/>
        <v>-371500000</v>
      </c>
      <c r="AD1137" s="8">
        <f t="shared" si="120"/>
        <v>0</v>
      </c>
      <c r="AE1137" s="8">
        <f t="shared" si="121"/>
        <v>0</v>
      </c>
      <c r="AF1137" s="106">
        <f t="shared" si="122"/>
        <v>0</v>
      </c>
      <c r="AG1137" s="8">
        <f t="shared" si="123"/>
        <v>0</v>
      </c>
      <c r="AH1137" s="8">
        <f>IF($O1137="Aktif",MAX(0,MIN($AE1137,$AD1137-SUM($AG1137:AG1137))),0)</f>
        <v>0</v>
      </c>
      <c r="AI1137" s="8">
        <f>IF($O1137="Aktif",MAX(0,MIN($AE1137,$AD1137-SUM($AG1137:AH1137))),0)</f>
        <v>0</v>
      </c>
      <c r="AJ1137" s="8">
        <f>IF($O1137="Aktif",MAX(0,MIN($AE1137,$AD1137-SUM($AG1137:AI1137))),0)</f>
        <v>0</v>
      </c>
      <c r="AK1137" s="8">
        <f>IF($O1137="Aktif",MAX(0,MIN($AE1137,$AD1137-SUM($AG1137:AJ1137))),0)</f>
        <v>0</v>
      </c>
      <c r="AL1137" s="8">
        <f>IF($O1137="Aktif",MAX(0,MIN($AE1137,$AD1137-SUM($AG1137:AK1137))),0)</f>
        <v>0</v>
      </c>
      <c r="AM1137" s="8">
        <f>IF($O1137="Aktif",MAX(0,MIN($AE1137,$AD1137-SUM($AG1137:AL1137))),0)</f>
        <v>0</v>
      </c>
      <c r="AN1137" s="8">
        <f>IF($O1137="Aktif",MAX(0,MIN($AE1137,$AD1137-SUM($AG1137:AM1137))),0)</f>
        <v>0</v>
      </c>
      <c r="AO1137" s="8">
        <f>IF($O1137="Aktif",MAX(0,MIN($AE1137,$AD1137-SUM($AG1137:AN1137))),0)</f>
        <v>0</v>
      </c>
      <c r="AP1137" s="8">
        <f>IF($O1137="Aktif",MAX(0,MIN($AE1137,$AD1137-SUM($AG1137:AO1137))),0)</f>
        <v>0</v>
      </c>
      <c r="AQ1137" s="8">
        <f>IF($O1137="Aktif",MAX(0,MIN($AE1137,$AD1137-SUM($AG1137:AP1137))),0)</f>
        <v>0</v>
      </c>
      <c r="AR1137" s="8">
        <f>IF($O1137="Aktif",MAX(0,MIN($AE1137,$AD1137-SUM($AG1137:AQ1137))),0)</f>
        <v>0</v>
      </c>
      <c r="AS1137" s="8">
        <f>IF($O1137="Aktif",MAX(0,MIN($AE1137,$AD1137-SUM($AG1137:AR1137))),0)</f>
        <v>0</v>
      </c>
      <c r="AT1137" s="8">
        <f>IF($O1137="Aktif",MAX(0,MIN($AE1137,$AD1137-SUM($AG1137:AS1137))),0)</f>
        <v>0</v>
      </c>
      <c r="AU1137" s="8">
        <f>IF($O1137="Aktif",MAX(0,MIN($AE1137,$AD1137-SUM($AG1137:AT1137))),0)</f>
        <v>0</v>
      </c>
      <c r="AV1137" s="8">
        <f>IF($O1137="Aktif",MAX(0,MIN($AE1137,$AD1137-SUM($AG1137:AU1137))),0)</f>
        <v>0</v>
      </c>
      <c r="AW1137" s="8">
        <f t="shared" si="124"/>
        <v>0</v>
      </c>
      <c r="AX1137" s="8">
        <f t="shared" si="125"/>
        <v>0</v>
      </c>
    </row>
    <row r="1138" spans="1:50" ht="15" customHeight="1" x14ac:dyDescent="0.35">
      <c r="A1138" s="102">
        <v>1132</v>
      </c>
      <c r="B1138" s="102" t="s">
        <v>2815</v>
      </c>
      <c r="C1138" s="103">
        <v>154</v>
      </c>
      <c r="D1138" s="102" t="s">
        <v>186</v>
      </c>
      <c r="E1138" s="102" t="s">
        <v>587</v>
      </c>
      <c r="F1138" s="102" t="s">
        <v>2816</v>
      </c>
      <c r="G1138" s="102" t="s">
        <v>2817</v>
      </c>
      <c r="H1138" s="102" t="s">
        <v>2818</v>
      </c>
      <c r="I1138" s="102" t="s">
        <v>63</v>
      </c>
      <c r="J1138" s="102" t="s">
        <v>3169</v>
      </c>
      <c r="K1138" s="102" t="s">
        <v>591</v>
      </c>
      <c r="L1138" s="104">
        <v>42978</v>
      </c>
      <c r="M1138" s="102" t="s">
        <v>3170</v>
      </c>
      <c r="N1138" s="102" t="s">
        <v>3171</v>
      </c>
      <c r="O1138" s="102" t="s">
        <v>383</v>
      </c>
      <c r="P1138" s="103">
        <v>1</v>
      </c>
      <c r="Q1138" s="105">
        <v>415000000</v>
      </c>
      <c r="R1138" s="103">
        <v>48</v>
      </c>
      <c r="S1138" s="105">
        <v>8645833.3333333302</v>
      </c>
      <c r="T1138" s="105">
        <v>415000000</v>
      </c>
      <c r="U1138" s="105">
        <v>0</v>
      </c>
      <c r="V1138" s="105">
        <v>0</v>
      </c>
      <c r="W1138" s="105">
        <v>0</v>
      </c>
      <c r="X1138" s="105">
        <v>0</v>
      </c>
      <c r="Y1138" s="105">
        <v>0</v>
      </c>
      <c r="Z1138" s="105">
        <v>0</v>
      </c>
      <c r="AA1138" s="105">
        <v>0</v>
      </c>
      <c r="AB1138" s="105">
        <v>0</v>
      </c>
      <c r="AC1138" s="8">
        <f t="shared" si="119"/>
        <v>415000000</v>
      </c>
      <c r="AD1138" s="8">
        <f t="shared" si="120"/>
        <v>0</v>
      </c>
      <c r="AE1138" s="8">
        <f t="shared" si="121"/>
        <v>0</v>
      </c>
      <c r="AF1138" s="106">
        <f t="shared" si="122"/>
        <v>0</v>
      </c>
      <c r="AG1138" s="8">
        <f t="shared" si="123"/>
        <v>0</v>
      </c>
      <c r="AH1138" s="8">
        <f>IF($O1138="Aktif",MAX(0,MIN($AE1138,$AD1138-SUM($AG1138:AG1138))),0)</f>
        <v>0</v>
      </c>
      <c r="AI1138" s="8">
        <f>IF($O1138="Aktif",MAX(0,MIN($AE1138,$AD1138-SUM($AG1138:AH1138))),0)</f>
        <v>0</v>
      </c>
      <c r="AJ1138" s="8">
        <f>IF($O1138="Aktif",MAX(0,MIN($AE1138,$AD1138-SUM($AG1138:AI1138))),0)</f>
        <v>0</v>
      </c>
      <c r="AK1138" s="8">
        <f>IF($O1138="Aktif",MAX(0,MIN($AE1138,$AD1138-SUM($AG1138:AJ1138))),0)</f>
        <v>0</v>
      </c>
      <c r="AL1138" s="8">
        <f>IF($O1138="Aktif",MAX(0,MIN($AE1138,$AD1138-SUM($AG1138:AK1138))),0)</f>
        <v>0</v>
      </c>
      <c r="AM1138" s="8">
        <f>IF($O1138="Aktif",MAX(0,MIN($AE1138,$AD1138-SUM($AG1138:AL1138))),0)</f>
        <v>0</v>
      </c>
      <c r="AN1138" s="8">
        <f>IF($O1138="Aktif",MAX(0,MIN($AE1138,$AD1138-SUM($AG1138:AM1138))),0)</f>
        <v>0</v>
      </c>
      <c r="AO1138" s="8">
        <f>IF($O1138="Aktif",MAX(0,MIN($AE1138,$AD1138-SUM($AG1138:AN1138))),0)</f>
        <v>0</v>
      </c>
      <c r="AP1138" s="8">
        <f>IF($O1138="Aktif",MAX(0,MIN($AE1138,$AD1138-SUM($AG1138:AO1138))),0)</f>
        <v>0</v>
      </c>
      <c r="AQ1138" s="8">
        <f>IF($O1138="Aktif",MAX(0,MIN($AE1138,$AD1138-SUM($AG1138:AP1138))),0)</f>
        <v>0</v>
      </c>
      <c r="AR1138" s="8">
        <f>IF($O1138="Aktif",MAX(0,MIN($AE1138,$AD1138-SUM($AG1138:AQ1138))),0)</f>
        <v>0</v>
      </c>
      <c r="AS1138" s="8">
        <f>IF($O1138="Aktif",MAX(0,MIN($AE1138,$AD1138-SUM($AG1138:AR1138))),0)</f>
        <v>0</v>
      </c>
      <c r="AT1138" s="8">
        <f>IF($O1138="Aktif",MAX(0,MIN($AE1138,$AD1138-SUM($AG1138:AS1138))),0)</f>
        <v>0</v>
      </c>
      <c r="AU1138" s="8">
        <f>IF($O1138="Aktif",MAX(0,MIN($AE1138,$AD1138-SUM($AG1138:AT1138))),0)</f>
        <v>0</v>
      </c>
      <c r="AV1138" s="8">
        <f>IF($O1138="Aktif",MAX(0,MIN($AE1138,$AD1138-SUM($AG1138:AU1138))),0)</f>
        <v>0</v>
      </c>
      <c r="AW1138" s="8">
        <f t="shared" si="124"/>
        <v>0</v>
      </c>
      <c r="AX1138" s="8">
        <f t="shared" si="125"/>
        <v>0</v>
      </c>
    </row>
    <row r="1139" spans="1:50" ht="15" customHeight="1" x14ac:dyDescent="0.35">
      <c r="A1139" s="102">
        <v>1133</v>
      </c>
      <c r="B1139" s="102" t="s">
        <v>2815</v>
      </c>
      <c r="C1139" s="103">
        <v>155</v>
      </c>
      <c r="D1139" s="102" t="s">
        <v>186</v>
      </c>
      <c r="E1139" s="102" t="s">
        <v>540</v>
      </c>
      <c r="F1139" s="102" t="s">
        <v>3172</v>
      </c>
      <c r="G1139" s="102" t="s">
        <v>3173</v>
      </c>
      <c r="H1139" s="102" t="s">
        <v>3174</v>
      </c>
      <c r="I1139" s="102" t="s">
        <v>63</v>
      </c>
      <c r="J1139" s="102" t="s">
        <v>3175</v>
      </c>
      <c r="K1139" s="102" t="s">
        <v>3176</v>
      </c>
      <c r="L1139" s="104">
        <v>43131</v>
      </c>
      <c r="M1139" s="102" t="s">
        <v>3177</v>
      </c>
      <c r="N1139" s="102" t="s">
        <v>3178</v>
      </c>
      <c r="O1139" s="102" t="s">
        <v>383</v>
      </c>
      <c r="P1139" s="103">
        <v>1</v>
      </c>
      <c r="Q1139" s="105">
        <v>65000000</v>
      </c>
      <c r="R1139" s="103">
        <v>96</v>
      </c>
      <c r="S1139" s="105">
        <v>677083.33333333302</v>
      </c>
      <c r="T1139" s="105">
        <v>65000000</v>
      </c>
      <c r="U1139" s="105">
        <v>0</v>
      </c>
      <c r="V1139" s="105">
        <v>0</v>
      </c>
      <c r="W1139" s="105">
        <v>0</v>
      </c>
      <c r="X1139" s="105">
        <v>0</v>
      </c>
      <c r="Y1139" s="105">
        <v>0</v>
      </c>
      <c r="Z1139" s="105">
        <v>0</v>
      </c>
      <c r="AA1139" s="105">
        <v>0</v>
      </c>
      <c r="AB1139" s="105">
        <v>0</v>
      </c>
      <c r="AC1139" s="8">
        <f t="shared" si="119"/>
        <v>65000000</v>
      </c>
      <c r="AD1139" s="8">
        <f t="shared" si="120"/>
        <v>0</v>
      </c>
      <c r="AE1139" s="8">
        <f t="shared" si="121"/>
        <v>0</v>
      </c>
      <c r="AF1139" s="106">
        <f t="shared" si="122"/>
        <v>0</v>
      </c>
      <c r="AG1139" s="8">
        <f t="shared" si="123"/>
        <v>0</v>
      </c>
      <c r="AH1139" s="8">
        <f>IF($O1139="Aktif",MAX(0,MIN($AE1139,$AD1139-SUM($AG1139:AG1139))),0)</f>
        <v>0</v>
      </c>
      <c r="AI1139" s="8">
        <f>IF($O1139="Aktif",MAX(0,MIN($AE1139,$AD1139-SUM($AG1139:AH1139))),0)</f>
        <v>0</v>
      </c>
      <c r="AJ1139" s="8">
        <f>IF($O1139="Aktif",MAX(0,MIN($AE1139,$AD1139-SUM($AG1139:AI1139))),0)</f>
        <v>0</v>
      </c>
      <c r="AK1139" s="8">
        <f>IF($O1139="Aktif",MAX(0,MIN($AE1139,$AD1139-SUM($AG1139:AJ1139))),0)</f>
        <v>0</v>
      </c>
      <c r="AL1139" s="8">
        <f>IF($O1139="Aktif",MAX(0,MIN($AE1139,$AD1139-SUM($AG1139:AK1139))),0)</f>
        <v>0</v>
      </c>
      <c r="AM1139" s="8">
        <f>IF($O1139="Aktif",MAX(0,MIN($AE1139,$AD1139-SUM($AG1139:AL1139))),0)</f>
        <v>0</v>
      </c>
      <c r="AN1139" s="8">
        <f>IF($O1139="Aktif",MAX(0,MIN($AE1139,$AD1139-SUM($AG1139:AM1139))),0)</f>
        <v>0</v>
      </c>
      <c r="AO1139" s="8">
        <f>IF($O1139="Aktif",MAX(0,MIN($AE1139,$AD1139-SUM($AG1139:AN1139))),0)</f>
        <v>0</v>
      </c>
      <c r="AP1139" s="8">
        <f>IF($O1139="Aktif",MAX(0,MIN($AE1139,$AD1139-SUM($AG1139:AO1139))),0)</f>
        <v>0</v>
      </c>
      <c r="AQ1139" s="8">
        <f>IF($O1139="Aktif",MAX(0,MIN($AE1139,$AD1139-SUM($AG1139:AP1139))),0)</f>
        <v>0</v>
      </c>
      <c r="AR1139" s="8">
        <f>IF($O1139="Aktif",MAX(0,MIN($AE1139,$AD1139-SUM($AG1139:AQ1139))),0)</f>
        <v>0</v>
      </c>
      <c r="AS1139" s="8">
        <f>IF($O1139="Aktif",MAX(0,MIN($AE1139,$AD1139-SUM($AG1139:AR1139))),0)</f>
        <v>0</v>
      </c>
      <c r="AT1139" s="8">
        <f>IF($O1139="Aktif",MAX(0,MIN($AE1139,$AD1139-SUM($AG1139:AS1139))),0)</f>
        <v>0</v>
      </c>
      <c r="AU1139" s="8">
        <f>IF($O1139="Aktif",MAX(0,MIN($AE1139,$AD1139-SUM($AG1139:AT1139))),0)</f>
        <v>0</v>
      </c>
      <c r="AV1139" s="8">
        <f>IF($O1139="Aktif",MAX(0,MIN($AE1139,$AD1139-SUM($AG1139:AU1139))),0)</f>
        <v>0</v>
      </c>
      <c r="AW1139" s="8">
        <f t="shared" si="124"/>
        <v>0</v>
      </c>
      <c r="AX1139" s="8">
        <f t="shared" si="125"/>
        <v>0</v>
      </c>
    </row>
    <row r="1140" spans="1:50" ht="15" customHeight="1" x14ac:dyDescent="0.35">
      <c r="A1140" s="102">
        <v>1134</v>
      </c>
      <c r="B1140" s="102" t="s">
        <v>2815</v>
      </c>
      <c r="C1140" s="103">
        <v>156</v>
      </c>
      <c r="D1140" s="102" t="s">
        <v>186</v>
      </c>
      <c r="E1140" s="102" t="s">
        <v>540</v>
      </c>
      <c r="F1140" s="102" t="s">
        <v>3172</v>
      </c>
      <c r="G1140" s="102" t="s">
        <v>3173</v>
      </c>
      <c r="H1140" s="102" t="s">
        <v>3174</v>
      </c>
      <c r="I1140" s="102" t="s">
        <v>63</v>
      </c>
      <c r="J1140" s="102" t="s">
        <v>3179</v>
      </c>
      <c r="K1140" s="102" t="s">
        <v>3180</v>
      </c>
      <c r="L1140" s="104">
        <v>43220</v>
      </c>
      <c r="M1140" s="102" t="s">
        <v>3181</v>
      </c>
      <c r="N1140" s="102" t="s">
        <v>3182</v>
      </c>
      <c r="O1140" s="102" t="s">
        <v>383</v>
      </c>
      <c r="P1140" s="103">
        <v>3</v>
      </c>
      <c r="Q1140" s="105">
        <v>105000000</v>
      </c>
      <c r="R1140" s="103">
        <v>96</v>
      </c>
      <c r="S1140" s="105">
        <v>1093750</v>
      </c>
      <c r="T1140" s="105">
        <v>101718750</v>
      </c>
      <c r="U1140" s="105">
        <v>1093750</v>
      </c>
      <c r="V1140" s="105">
        <v>1093750</v>
      </c>
      <c r="W1140" s="105">
        <v>1093750</v>
      </c>
      <c r="X1140" s="105">
        <v>0</v>
      </c>
      <c r="Y1140" s="105">
        <v>0</v>
      </c>
      <c r="Z1140" s="105">
        <v>0</v>
      </c>
      <c r="AA1140" s="105">
        <v>0</v>
      </c>
      <c r="AB1140" s="105">
        <v>0</v>
      </c>
      <c r="AC1140" s="8">
        <f t="shared" si="119"/>
        <v>105000000</v>
      </c>
      <c r="AD1140" s="8">
        <f t="shared" si="120"/>
        <v>0</v>
      </c>
      <c r="AE1140" s="8">
        <f t="shared" si="121"/>
        <v>0</v>
      </c>
      <c r="AF1140" s="106">
        <f t="shared" si="122"/>
        <v>0</v>
      </c>
      <c r="AG1140" s="8">
        <f t="shared" si="123"/>
        <v>0</v>
      </c>
      <c r="AH1140" s="8">
        <f>IF($O1140="Aktif",MAX(0,MIN($AE1140,$AD1140-SUM($AG1140:AG1140))),0)</f>
        <v>0</v>
      </c>
      <c r="AI1140" s="8">
        <f>IF($O1140="Aktif",MAX(0,MIN($AE1140,$AD1140-SUM($AG1140:AH1140))),0)</f>
        <v>0</v>
      </c>
      <c r="AJ1140" s="8">
        <f>IF($O1140="Aktif",MAX(0,MIN($AE1140,$AD1140-SUM($AG1140:AI1140))),0)</f>
        <v>0</v>
      </c>
      <c r="AK1140" s="8">
        <f>IF($O1140="Aktif",MAX(0,MIN($AE1140,$AD1140-SUM($AG1140:AJ1140))),0)</f>
        <v>0</v>
      </c>
      <c r="AL1140" s="8">
        <f>IF($O1140="Aktif",MAX(0,MIN($AE1140,$AD1140-SUM($AG1140:AK1140))),0)</f>
        <v>0</v>
      </c>
      <c r="AM1140" s="8">
        <f>IF($O1140="Aktif",MAX(0,MIN($AE1140,$AD1140-SUM($AG1140:AL1140))),0)</f>
        <v>0</v>
      </c>
      <c r="AN1140" s="8">
        <f>IF($O1140="Aktif",MAX(0,MIN($AE1140,$AD1140-SUM($AG1140:AM1140))),0)</f>
        <v>0</v>
      </c>
      <c r="AO1140" s="8">
        <f>IF($O1140="Aktif",MAX(0,MIN($AE1140,$AD1140-SUM($AG1140:AN1140))),0)</f>
        <v>0</v>
      </c>
      <c r="AP1140" s="8">
        <f>IF($O1140="Aktif",MAX(0,MIN($AE1140,$AD1140-SUM($AG1140:AO1140))),0)</f>
        <v>0</v>
      </c>
      <c r="AQ1140" s="8">
        <f>IF($O1140="Aktif",MAX(0,MIN($AE1140,$AD1140-SUM($AG1140:AP1140))),0)</f>
        <v>0</v>
      </c>
      <c r="AR1140" s="8">
        <f>IF($O1140="Aktif",MAX(0,MIN($AE1140,$AD1140-SUM($AG1140:AQ1140))),0)</f>
        <v>0</v>
      </c>
      <c r="AS1140" s="8">
        <f>IF($O1140="Aktif",MAX(0,MIN($AE1140,$AD1140-SUM($AG1140:AR1140))),0)</f>
        <v>0</v>
      </c>
      <c r="AT1140" s="8">
        <f>IF($O1140="Aktif",MAX(0,MIN($AE1140,$AD1140-SUM($AG1140:AS1140))),0)</f>
        <v>0</v>
      </c>
      <c r="AU1140" s="8">
        <f>IF($O1140="Aktif",MAX(0,MIN($AE1140,$AD1140-SUM($AG1140:AT1140))),0)</f>
        <v>0</v>
      </c>
      <c r="AV1140" s="8">
        <f>IF($O1140="Aktif",MAX(0,MIN($AE1140,$AD1140-SUM($AG1140:AU1140))),0)</f>
        <v>0</v>
      </c>
      <c r="AW1140" s="8">
        <f t="shared" si="124"/>
        <v>0</v>
      </c>
      <c r="AX1140" s="8">
        <f t="shared" si="125"/>
        <v>0</v>
      </c>
    </row>
    <row r="1141" spans="1:50" ht="15" customHeight="1" x14ac:dyDescent="0.35">
      <c r="A1141" s="102">
        <v>1135</v>
      </c>
      <c r="B1141" s="102" t="s">
        <v>2815</v>
      </c>
      <c r="C1141" s="103">
        <v>157</v>
      </c>
      <c r="D1141" s="102" t="s">
        <v>186</v>
      </c>
      <c r="E1141" s="102" t="s">
        <v>479</v>
      </c>
      <c r="F1141" s="102" t="s">
        <v>3116</v>
      </c>
      <c r="G1141" s="102" t="s">
        <v>3117</v>
      </c>
      <c r="H1141" s="102" t="s">
        <v>3118</v>
      </c>
      <c r="I1141" s="102" t="s">
        <v>63</v>
      </c>
      <c r="J1141" s="102"/>
      <c r="K1141" s="102" t="s">
        <v>950</v>
      </c>
      <c r="L1141" s="104">
        <v>44144</v>
      </c>
      <c r="M1141" s="102" t="s">
        <v>3183</v>
      </c>
      <c r="N1141" s="102" t="s">
        <v>3184</v>
      </c>
      <c r="O1141" s="102" t="s">
        <v>383</v>
      </c>
      <c r="P1141" s="103">
        <v>1</v>
      </c>
      <c r="Q1141" s="105">
        <v>35000000</v>
      </c>
      <c r="R1141" s="103">
        <v>48</v>
      </c>
      <c r="S1141" s="105">
        <v>729166.66666666698</v>
      </c>
      <c r="T1141" s="105">
        <v>35000000</v>
      </c>
      <c r="U1141" s="105">
        <v>0</v>
      </c>
      <c r="V1141" s="105">
        <v>0</v>
      </c>
      <c r="W1141" s="105">
        <v>0</v>
      </c>
      <c r="X1141" s="105">
        <v>0</v>
      </c>
      <c r="Y1141" s="105">
        <v>0</v>
      </c>
      <c r="Z1141" s="105">
        <v>0</v>
      </c>
      <c r="AA1141" s="105">
        <v>0</v>
      </c>
      <c r="AB1141" s="105">
        <v>0</v>
      </c>
      <c r="AC1141" s="8">
        <f t="shared" si="119"/>
        <v>35000000</v>
      </c>
      <c r="AD1141" s="8">
        <f t="shared" si="120"/>
        <v>0</v>
      </c>
      <c r="AE1141" s="8">
        <f t="shared" si="121"/>
        <v>0</v>
      </c>
      <c r="AF1141" s="106">
        <f t="shared" si="122"/>
        <v>0</v>
      </c>
      <c r="AG1141" s="8">
        <f t="shared" si="123"/>
        <v>0</v>
      </c>
      <c r="AH1141" s="8">
        <f>IF($O1141="Aktif",MAX(0,MIN($AE1141,$AD1141-SUM($AG1141:AG1141))),0)</f>
        <v>0</v>
      </c>
      <c r="AI1141" s="8">
        <f>IF($O1141="Aktif",MAX(0,MIN($AE1141,$AD1141-SUM($AG1141:AH1141))),0)</f>
        <v>0</v>
      </c>
      <c r="AJ1141" s="8">
        <f>IF($O1141="Aktif",MAX(0,MIN($AE1141,$AD1141-SUM($AG1141:AI1141))),0)</f>
        <v>0</v>
      </c>
      <c r="AK1141" s="8">
        <f>IF($O1141="Aktif",MAX(0,MIN($AE1141,$AD1141-SUM($AG1141:AJ1141))),0)</f>
        <v>0</v>
      </c>
      <c r="AL1141" s="8">
        <f>IF($O1141="Aktif",MAX(0,MIN($AE1141,$AD1141-SUM($AG1141:AK1141))),0)</f>
        <v>0</v>
      </c>
      <c r="AM1141" s="8">
        <f>IF($O1141="Aktif",MAX(0,MIN($AE1141,$AD1141-SUM($AG1141:AL1141))),0)</f>
        <v>0</v>
      </c>
      <c r="AN1141" s="8">
        <f>IF($O1141="Aktif",MAX(0,MIN($AE1141,$AD1141-SUM($AG1141:AM1141))),0)</f>
        <v>0</v>
      </c>
      <c r="AO1141" s="8">
        <f>IF($O1141="Aktif",MAX(0,MIN($AE1141,$AD1141-SUM($AG1141:AN1141))),0)</f>
        <v>0</v>
      </c>
      <c r="AP1141" s="8">
        <f>IF($O1141="Aktif",MAX(0,MIN($AE1141,$AD1141-SUM($AG1141:AO1141))),0)</f>
        <v>0</v>
      </c>
      <c r="AQ1141" s="8">
        <f>IF($O1141="Aktif",MAX(0,MIN($AE1141,$AD1141-SUM($AG1141:AP1141))),0)</f>
        <v>0</v>
      </c>
      <c r="AR1141" s="8">
        <f>IF($O1141="Aktif",MAX(0,MIN($AE1141,$AD1141-SUM($AG1141:AQ1141))),0)</f>
        <v>0</v>
      </c>
      <c r="AS1141" s="8">
        <f>IF($O1141="Aktif",MAX(0,MIN($AE1141,$AD1141-SUM($AG1141:AR1141))),0)</f>
        <v>0</v>
      </c>
      <c r="AT1141" s="8">
        <f>IF($O1141="Aktif",MAX(0,MIN($AE1141,$AD1141-SUM($AG1141:AS1141))),0)</f>
        <v>0</v>
      </c>
      <c r="AU1141" s="8">
        <f>IF($O1141="Aktif",MAX(0,MIN($AE1141,$AD1141-SUM($AG1141:AT1141))),0)</f>
        <v>0</v>
      </c>
      <c r="AV1141" s="8">
        <f>IF($O1141="Aktif",MAX(0,MIN($AE1141,$AD1141-SUM($AG1141:AU1141))),0)</f>
        <v>0</v>
      </c>
      <c r="AW1141" s="8">
        <f t="shared" si="124"/>
        <v>0</v>
      </c>
      <c r="AX1141" s="8">
        <f t="shared" si="125"/>
        <v>0</v>
      </c>
    </row>
    <row r="1142" spans="1:50" ht="15" customHeight="1" x14ac:dyDescent="0.35">
      <c r="A1142" s="102">
        <v>1136</v>
      </c>
      <c r="B1142" s="102" t="s">
        <v>2815</v>
      </c>
      <c r="C1142" s="103">
        <v>158</v>
      </c>
      <c r="D1142" s="102" t="s">
        <v>186</v>
      </c>
      <c r="E1142" s="102" t="s">
        <v>479</v>
      </c>
      <c r="F1142" s="102" t="s">
        <v>3116</v>
      </c>
      <c r="G1142" s="102" t="s">
        <v>3117</v>
      </c>
      <c r="H1142" s="102" t="s">
        <v>3118</v>
      </c>
      <c r="I1142" s="102" t="s">
        <v>63</v>
      </c>
      <c r="J1142" s="102"/>
      <c r="K1142" s="102" t="s">
        <v>950</v>
      </c>
      <c r="L1142" s="104">
        <v>44147</v>
      </c>
      <c r="M1142" s="102" t="s">
        <v>3185</v>
      </c>
      <c r="N1142" s="102" t="s">
        <v>3186</v>
      </c>
      <c r="O1142" s="102" t="s">
        <v>383</v>
      </c>
      <c r="P1142" s="103">
        <v>1</v>
      </c>
      <c r="Q1142" s="105">
        <v>34000000</v>
      </c>
      <c r="R1142" s="103">
        <v>48</v>
      </c>
      <c r="S1142" s="105">
        <v>708333.33333333302</v>
      </c>
      <c r="T1142" s="105">
        <v>34000000</v>
      </c>
      <c r="U1142" s="105">
        <v>0</v>
      </c>
      <c r="V1142" s="105">
        <v>0</v>
      </c>
      <c r="W1142" s="105">
        <v>0</v>
      </c>
      <c r="X1142" s="105">
        <v>0</v>
      </c>
      <c r="Y1142" s="105">
        <v>0</v>
      </c>
      <c r="Z1142" s="105">
        <v>0</v>
      </c>
      <c r="AA1142" s="105">
        <v>0</v>
      </c>
      <c r="AB1142" s="105">
        <v>0</v>
      </c>
      <c r="AC1142" s="8">
        <f t="shared" si="119"/>
        <v>34000000</v>
      </c>
      <c r="AD1142" s="8">
        <f t="shared" si="120"/>
        <v>0</v>
      </c>
      <c r="AE1142" s="8">
        <f t="shared" si="121"/>
        <v>0</v>
      </c>
      <c r="AF1142" s="106">
        <f t="shared" si="122"/>
        <v>0</v>
      </c>
      <c r="AG1142" s="8">
        <f t="shared" si="123"/>
        <v>0</v>
      </c>
      <c r="AH1142" s="8">
        <f>IF($O1142="Aktif",MAX(0,MIN($AE1142,$AD1142-SUM($AG1142:AG1142))),0)</f>
        <v>0</v>
      </c>
      <c r="AI1142" s="8">
        <f>IF($O1142="Aktif",MAX(0,MIN($AE1142,$AD1142-SUM($AG1142:AH1142))),0)</f>
        <v>0</v>
      </c>
      <c r="AJ1142" s="8">
        <f>IF($O1142="Aktif",MAX(0,MIN($AE1142,$AD1142-SUM($AG1142:AI1142))),0)</f>
        <v>0</v>
      </c>
      <c r="AK1142" s="8">
        <f>IF($O1142="Aktif",MAX(0,MIN($AE1142,$AD1142-SUM($AG1142:AJ1142))),0)</f>
        <v>0</v>
      </c>
      <c r="AL1142" s="8">
        <f>IF($O1142="Aktif",MAX(0,MIN($AE1142,$AD1142-SUM($AG1142:AK1142))),0)</f>
        <v>0</v>
      </c>
      <c r="AM1142" s="8">
        <f>IF($O1142="Aktif",MAX(0,MIN($AE1142,$AD1142-SUM($AG1142:AL1142))),0)</f>
        <v>0</v>
      </c>
      <c r="AN1142" s="8">
        <f>IF($O1142="Aktif",MAX(0,MIN($AE1142,$AD1142-SUM($AG1142:AM1142))),0)</f>
        <v>0</v>
      </c>
      <c r="AO1142" s="8">
        <f>IF($O1142="Aktif",MAX(0,MIN($AE1142,$AD1142-SUM($AG1142:AN1142))),0)</f>
        <v>0</v>
      </c>
      <c r="AP1142" s="8">
        <f>IF($O1142="Aktif",MAX(0,MIN($AE1142,$AD1142-SUM($AG1142:AO1142))),0)</f>
        <v>0</v>
      </c>
      <c r="AQ1142" s="8">
        <f>IF($O1142="Aktif",MAX(0,MIN($AE1142,$AD1142-SUM($AG1142:AP1142))),0)</f>
        <v>0</v>
      </c>
      <c r="AR1142" s="8">
        <f>IF($O1142="Aktif",MAX(0,MIN($AE1142,$AD1142-SUM($AG1142:AQ1142))),0)</f>
        <v>0</v>
      </c>
      <c r="AS1142" s="8">
        <f>IF($O1142="Aktif",MAX(0,MIN($AE1142,$AD1142-SUM($AG1142:AR1142))),0)</f>
        <v>0</v>
      </c>
      <c r="AT1142" s="8">
        <f>IF($O1142="Aktif",MAX(0,MIN($AE1142,$AD1142-SUM($AG1142:AS1142))),0)</f>
        <v>0</v>
      </c>
      <c r="AU1142" s="8">
        <f>IF($O1142="Aktif",MAX(0,MIN($AE1142,$AD1142-SUM($AG1142:AT1142))),0)</f>
        <v>0</v>
      </c>
      <c r="AV1142" s="8">
        <f>IF($O1142="Aktif",MAX(0,MIN($AE1142,$AD1142-SUM($AG1142:AU1142))),0)</f>
        <v>0</v>
      </c>
      <c r="AW1142" s="8">
        <f t="shared" si="124"/>
        <v>0</v>
      </c>
      <c r="AX1142" s="8">
        <f t="shared" si="125"/>
        <v>0</v>
      </c>
    </row>
    <row r="1143" spans="1:50" ht="15" customHeight="1" x14ac:dyDescent="0.35">
      <c r="A1143" s="102">
        <v>1137</v>
      </c>
      <c r="B1143" s="102" t="s">
        <v>2815</v>
      </c>
      <c r="C1143" s="103">
        <v>159</v>
      </c>
      <c r="D1143" s="102" t="s">
        <v>186</v>
      </c>
      <c r="E1143" s="102" t="s">
        <v>479</v>
      </c>
      <c r="F1143" s="102" t="s">
        <v>3116</v>
      </c>
      <c r="G1143" s="102" t="s">
        <v>3117</v>
      </c>
      <c r="H1143" s="102" t="s">
        <v>3118</v>
      </c>
      <c r="I1143" s="102" t="s">
        <v>63</v>
      </c>
      <c r="J1143" s="102"/>
      <c r="K1143" s="102" t="s">
        <v>950</v>
      </c>
      <c r="L1143" s="104">
        <v>44196</v>
      </c>
      <c r="M1143" s="102" t="s">
        <v>3187</v>
      </c>
      <c r="N1143" s="102" t="s">
        <v>3188</v>
      </c>
      <c r="O1143" s="102" t="s">
        <v>383</v>
      </c>
      <c r="P1143" s="103">
        <v>1</v>
      </c>
      <c r="Q1143" s="105">
        <v>73878777.269999996</v>
      </c>
      <c r="R1143" s="103">
        <v>48</v>
      </c>
      <c r="S1143" s="105">
        <v>1539141.193125</v>
      </c>
      <c r="T1143" s="105">
        <v>73878777.269999996</v>
      </c>
      <c r="U1143" s="105">
        <v>0</v>
      </c>
      <c r="V1143" s="105">
        <v>0</v>
      </c>
      <c r="W1143" s="105">
        <v>0</v>
      </c>
      <c r="X1143" s="105">
        <v>0</v>
      </c>
      <c r="Y1143" s="105">
        <v>0</v>
      </c>
      <c r="Z1143" s="105">
        <v>0</v>
      </c>
      <c r="AA1143" s="105">
        <v>0</v>
      </c>
      <c r="AB1143" s="105">
        <v>0</v>
      </c>
      <c r="AC1143" s="8">
        <f t="shared" si="119"/>
        <v>73878777.269999996</v>
      </c>
      <c r="AD1143" s="8">
        <f t="shared" si="120"/>
        <v>0</v>
      </c>
      <c r="AE1143" s="8">
        <f t="shared" si="121"/>
        <v>0</v>
      </c>
      <c r="AF1143" s="106">
        <f t="shared" si="122"/>
        <v>0</v>
      </c>
      <c r="AG1143" s="8">
        <f t="shared" si="123"/>
        <v>0</v>
      </c>
      <c r="AH1143" s="8">
        <f>IF($O1143="Aktif",MAX(0,MIN($AE1143,$AD1143-SUM($AG1143:AG1143))),0)</f>
        <v>0</v>
      </c>
      <c r="AI1143" s="8">
        <f>IF($O1143="Aktif",MAX(0,MIN($AE1143,$AD1143-SUM($AG1143:AH1143))),0)</f>
        <v>0</v>
      </c>
      <c r="AJ1143" s="8">
        <f>IF($O1143="Aktif",MAX(0,MIN($AE1143,$AD1143-SUM($AG1143:AI1143))),0)</f>
        <v>0</v>
      </c>
      <c r="AK1143" s="8">
        <f>IF($O1143="Aktif",MAX(0,MIN($AE1143,$AD1143-SUM($AG1143:AJ1143))),0)</f>
        <v>0</v>
      </c>
      <c r="AL1143" s="8">
        <f>IF($O1143="Aktif",MAX(0,MIN($AE1143,$AD1143-SUM($AG1143:AK1143))),0)</f>
        <v>0</v>
      </c>
      <c r="AM1143" s="8">
        <f>IF($O1143="Aktif",MAX(0,MIN($AE1143,$AD1143-SUM($AG1143:AL1143))),0)</f>
        <v>0</v>
      </c>
      <c r="AN1143" s="8">
        <f>IF($O1143="Aktif",MAX(0,MIN($AE1143,$AD1143-SUM($AG1143:AM1143))),0)</f>
        <v>0</v>
      </c>
      <c r="AO1143" s="8">
        <f>IF($O1143="Aktif",MAX(0,MIN($AE1143,$AD1143-SUM($AG1143:AN1143))),0)</f>
        <v>0</v>
      </c>
      <c r="AP1143" s="8">
        <f>IF($O1143="Aktif",MAX(0,MIN($AE1143,$AD1143-SUM($AG1143:AO1143))),0)</f>
        <v>0</v>
      </c>
      <c r="AQ1143" s="8">
        <f>IF($O1143="Aktif",MAX(0,MIN($AE1143,$AD1143-SUM($AG1143:AP1143))),0)</f>
        <v>0</v>
      </c>
      <c r="AR1143" s="8">
        <f>IF($O1143="Aktif",MAX(0,MIN($AE1143,$AD1143-SUM($AG1143:AQ1143))),0)</f>
        <v>0</v>
      </c>
      <c r="AS1143" s="8">
        <f>IF($O1143="Aktif",MAX(0,MIN($AE1143,$AD1143-SUM($AG1143:AR1143))),0)</f>
        <v>0</v>
      </c>
      <c r="AT1143" s="8">
        <f>IF($O1143="Aktif",MAX(0,MIN($AE1143,$AD1143-SUM($AG1143:AS1143))),0)</f>
        <v>0</v>
      </c>
      <c r="AU1143" s="8">
        <f>IF($O1143="Aktif",MAX(0,MIN($AE1143,$AD1143-SUM($AG1143:AT1143))),0)</f>
        <v>0</v>
      </c>
      <c r="AV1143" s="8">
        <f>IF($O1143="Aktif",MAX(0,MIN($AE1143,$AD1143-SUM($AG1143:AU1143))),0)</f>
        <v>0</v>
      </c>
      <c r="AW1143" s="8">
        <f t="shared" si="124"/>
        <v>0</v>
      </c>
      <c r="AX1143" s="8">
        <f t="shared" si="125"/>
        <v>0</v>
      </c>
    </row>
    <row r="1144" spans="1:50" ht="15" customHeight="1" x14ac:dyDescent="0.35">
      <c r="A1144" s="102">
        <v>1138</v>
      </c>
      <c r="B1144" s="102" t="s">
        <v>2815</v>
      </c>
      <c r="C1144" s="103">
        <v>160</v>
      </c>
      <c r="D1144" s="102" t="s">
        <v>186</v>
      </c>
      <c r="E1144" s="102" t="s">
        <v>479</v>
      </c>
      <c r="F1144" s="102" t="s">
        <v>3116</v>
      </c>
      <c r="G1144" s="102" t="s">
        <v>3117</v>
      </c>
      <c r="H1144" s="102" t="s">
        <v>3118</v>
      </c>
      <c r="I1144" s="102" t="s">
        <v>63</v>
      </c>
      <c r="J1144" s="102"/>
      <c r="K1144" s="102" t="s">
        <v>3189</v>
      </c>
      <c r="L1144" s="104">
        <v>44204</v>
      </c>
      <c r="M1144" s="102" t="s">
        <v>3190</v>
      </c>
      <c r="N1144" s="102" t="s">
        <v>3191</v>
      </c>
      <c r="O1144" s="102" t="s">
        <v>383</v>
      </c>
      <c r="P1144" s="103">
        <v>1</v>
      </c>
      <c r="Q1144" s="105">
        <v>172500000</v>
      </c>
      <c r="R1144" s="103">
        <v>48</v>
      </c>
      <c r="S1144" s="105">
        <v>3593750</v>
      </c>
      <c r="T1144" s="105">
        <v>172500000</v>
      </c>
      <c r="U1144" s="105">
        <v>0</v>
      </c>
      <c r="V1144" s="105">
        <v>0</v>
      </c>
      <c r="W1144" s="105">
        <v>0</v>
      </c>
      <c r="X1144" s="105">
        <v>0</v>
      </c>
      <c r="Y1144" s="105">
        <v>0</v>
      </c>
      <c r="Z1144" s="105">
        <v>0</v>
      </c>
      <c r="AA1144" s="105">
        <v>0</v>
      </c>
      <c r="AB1144" s="105">
        <v>0</v>
      </c>
      <c r="AC1144" s="8">
        <f t="shared" si="119"/>
        <v>172500000</v>
      </c>
      <c r="AD1144" s="8">
        <f t="shared" si="120"/>
        <v>0</v>
      </c>
      <c r="AE1144" s="8">
        <f t="shared" si="121"/>
        <v>0</v>
      </c>
      <c r="AF1144" s="106">
        <f t="shared" si="122"/>
        <v>0</v>
      </c>
      <c r="AG1144" s="8">
        <f t="shared" si="123"/>
        <v>0</v>
      </c>
      <c r="AH1144" s="8">
        <f>IF($O1144="Aktif",MAX(0,MIN($AE1144,$AD1144-SUM($AG1144:AG1144))),0)</f>
        <v>0</v>
      </c>
      <c r="AI1144" s="8">
        <f>IF($O1144="Aktif",MAX(0,MIN($AE1144,$AD1144-SUM($AG1144:AH1144))),0)</f>
        <v>0</v>
      </c>
      <c r="AJ1144" s="8">
        <f>IF($O1144="Aktif",MAX(0,MIN($AE1144,$AD1144-SUM($AG1144:AI1144))),0)</f>
        <v>0</v>
      </c>
      <c r="AK1144" s="8">
        <f>IF($O1144="Aktif",MAX(0,MIN($AE1144,$AD1144-SUM($AG1144:AJ1144))),0)</f>
        <v>0</v>
      </c>
      <c r="AL1144" s="8">
        <f>IF($O1144="Aktif",MAX(0,MIN($AE1144,$AD1144-SUM($AG1144:AK1144))),0)</f>
        <v>0</v>
      </c>
      <c r="AM1144" s="8">
        <f>IF($O1144="Aktif",MAX(0,MIN($AE1144,$AD1144-SUM($AG1144:AL1144))),0)</f>
        <v>0</v>
      </c>
      <c r="AN1144" s="8">
        <f>IF($O1144="Aktif",MAX(0,MIN($AE1144,$AD1144-SUM($AG1144:AM1144))),0)</f>
        <v>0</v>
      </c>
      <c r="AO1144" s="8">
        <f>IF($O1144="Aktif",MAX(0,MIN($AE1144,$AD1144-SUM($AG1144:AN1144))),0)</f>
        <v>0</v>
      </c>
      <c r="AP1144" s="8">
        <f>IF($O1144="Aktif",MAX(0,MIN($AE1144,$AD1144-SUM($AG1144:AO1144))),0)</f>
        <v>0</v>
      </c>
      <c r="AQ1144" s="8">
        <f>IF($O1144="Aktif",MAX(0,MIN($AE1144,$AD1144-SUM($AG1144:AP1144))),0)</f>
        <v>0</v>
      </c>
      <c r="AR1144" s="8">
        <f>IF($O1144="Aktif",MAX(0,MIN($AE1144,$AD1144-SUM($AG1144:AQ1144))),0)</f>
        <v>0</v>
      </c>
      <c r="AS1144" s="8">
        <f>IF($O1144="Aktif",MAX(0,MIN($AE1144,$AD1144-SUM($AG1144:AR1144))),0)</f>
        <v>0</v>
      </c>
      <c r="AT1144" s="8">
        <f>IF($O1144="Aktif",MAX(0,MIN($AE1144,$AD1144-SUM($AG1144:AS1144))),0)</f>
        <v>0</v>
      </c>
      <c r="AU1144" s="8">
        <f>IF($O1144="Aktif",MAX(0,MIN($AE1144,$AD1144-SUM($AG1144:AT1144))),0)</f>
        <v>0</v>
      </c>
      <c r="AV1144" s="8">
        <f>IF($O1144="Aktif",MAX(0,MIN($AE1144,$AD1144-SUM($AG1144:AU1144))),0)</f>
        <v>0</v>
      </c>
      <c r="AW1144" s="8">
        <f t="shared" si="124"/>
        <v>0</v>
      </c>
      <c r="AX1144" s="8">
        <f t="shared" si="125"/>
        <v>0</v>
      </c>
    </row>
    <row r="1145" spans="1:50" ht="15" customHeight="1" x14ac:dyDescent="0.35">
      <c r="A1145" s="102">
        <v>1139</v>
      </c>
      <c r="B1145" s="102" t="s">
        <v>2815</v>
      </c>
      <c r="C1145" s="103">
        <v>161</v>
      </c>
      <c r="D1145" s="102" t="s">
        <v>186</v>
      </c>
      <c r="E1145" s="102" t="s">
        <v>540</v>
      </c>
      <c r="F1145" s="102" t="s">
        <v>3172</v>
      </c>
      <c r="G1145" s="102" t="s">
        <v>3173</v>
      </c>
      <c r="H1145" s="102" t="s">
        <v>3174</v>
      </c>
      <c r="I1145" s="102" t="s">
        <v>63</v>
      </c>
      <c r="J1145" s="102"/>
      <c r="K1145" s="102" t="s">
        <v>3192</v>
      </c>
      <c r="L1145" s="104">
        <v>44480</v>
      </c>
      <c r="M1145" s="102" t="s">
        <v>3193</v>
      </c>
      <c r="N1145" s="102" t="s">
        <v>3194</v>
      </c>
      <c r="O1145" s="102" t="s">
        <v>383</v>
      </c>
      <c r="P1145" s="103">
        <v>1</v>
      </c>
      <c r="Q1145" s="105">
        <v>450000000</v>
      </c>
      <c r="R1145" s="103">
        <v>96</v>
      </c>
      <c r="S1145" s="105">
        <v>4687500</v>
      </c>
      <c r="T1145" s="105">
        <v>239062500</v>
      </c>
      <c r="U1145" s="105">
        <v>4687500</v>
      </c>
      <c r="V1145" s="105">
        <v>4687500</v>
      </c>
      <c r="W1145" s="105">
        <v>4687500</v>
      </c>
      <c r="X1145" s="105">
        <v>4687500</v>
      </c>
      <c r="Y1145" s="105">
        <v>4687500</v>
      </c>
      <c r="Z1145" s="105">
        <v>4687500</v>
      </c>
      <c r="AA1145" s="105">
        <v>4687500</v>
      </c>
      <c r="AB1145" s="105">
        <v>4687500</v>
      </c>
      <c r="AC1145" s="8">
        <f t="shared" si="119"/>
        <v>276562500</v>
      </c>
      <c r="AD1145" s="8">
        <f t="shared" si="120"/>
        <v>173437500</v>
      </c>
      <c r="AE1145" s="8">
        <f t="shared" si="121"/>
        <v>4687500</v>
      </c>
      <c r="AF1145" s="106">
        <f t="shared" si="122"/>
        <v>37</v>
      </c>
      <c r="AG1145" s="8">
        <f t="shared" si="123"/>
        <v>4687500</v>
      </c>
      <c r="AH1145" s="8">
        <f>IF($O1145="Aktif",MAX(0,MIN($AE1145,$AD1145-SUM($AG1145:AG1145))),0)</f>
        <v>4687500</v>
      </c>
      <c r="AI1145" s="8">
        <f>IF($O1145="Aktif",MAX(0,MIN($AE1145,$AD1145-SUM($AG1145:AH1145))),0)</f>
        <v>4687500</v>
      </c>
      <c r="AJ1145" s="8">
        <f>IF($O1145="Aktif",MAX(0,MIN($AE1145,$AD1145-SUM($AG1145:AI1145))),0)</f>
        <v>4687500</v>
      </c>
      <c r="AK1145" s="8">
        <f>IF($O1145="Aktif",MAX(0,MIN($AE1145,$AD1145-SUM($AG1145:AJ1145))),0)</f>
        <v>4687500</v>
      </c>
      <c r="AL1145" s="8">
        <f>IF($O1145="Aktif",MAX(0,MIN($AE1145,$AD1145-SUM($AG1145:AK1145))),0)</f>
        <v>4687500</v>
      </c>
      <c r="AM1145" s="8">
        <f>IF($O1145="Aktif",MAX(0,MIN($AE1145,$AD1145-SUM($AG1145:AL1145))),0)</f>
        <v>4687500</v>
      </c>
      <c r="AN1145" s="8">
        <f>IF($O1145="Aktif",MAX(0,MIN($AE1145,$AD1145-SUM($AG1145:AM1145))),0)</f>
        <v>4687500</v>
      </c>
      <c r="AO1145" s="8">
        <f>IF($O1145="Aktif",MAX(0,MIN($AE1145,$AD1145-SUM($AG1145:AN1145))),0)</f>
        <v>4687500</v>
      </c>
      <c r="AP1145" s="8">
        <f>IF($O1145="Aktif",MAX(0,MIN($AE1145,$AD1145-SUM($AG1145:AO1145))),0)</f>
        <v>4687500</v>
      </c>
      <c r="AQ1145" s="8">
        <f>IF($O1145="Aktif",MAX(0,MIN($AE1145,$AD1145-SUM($AG1145:AP1145))),0)</f>
        <v>4687500</v>
      </c>
      <c r="AR1145" s="8">
        <f>IF($O1145="Aktif",MAX(0,MIN($AE1145,$AD1145-SUM($AG1145:AQ1145))),0)</f>
        <v>4687500</v>
      </c>
      <c r="AS1145" s="8">
        <f>IF($O1145="Aktif",MAX(0,MIN($AE1145,$AD1145-SUM($AG1145:AR1145))),0)</f>
        <v>4687500</v>
      </c>
      <c r="AT1145" s="8">
        <f>IF($O1145="Aktif",MAX(0,MIN($AE1145,$AD1145-SUM($AG1145:AS1145))),0)</f>
        <v>4687500</v>
      </c>
      <c r="AU1145" s="8">
        <f>IF($O1145="Aktif",MAX(0,MIN($AE1145,$AD1145-SUM($AG1145:AT1145))),0)</f>
        <v>4687500</v>
      </c>
      <c r="AV1145" s="8">
        <f>IF($O1145="Aktif",MAX(0,MIN($AE1145,$AD1145-SUM($AG1145:AU1145))),0)</f>
        <v>4687500</v>
      </c>
      <c r="AW1145" s="8">
        <f t="shared" si="124"/>
        <v>75000000</v>
      </c>
      <c r="AX1145" s="8">
        <f t="shared" si="125"/>
        <v>98437500</v>
      </c>
    </row>
    <row r="1146" spans="1:50" ht="15" customHeight="1" x14ac:dyDescent="0.35">
      <c r="A1146" s="102">
        <v>1140</v>
      </c>
      <c r="B1146" s="102" t="s">
        <v>2815</v>
      </c>
      <c r="C1146" s="103">
        <v>162</v>
      </c>
      <c r="D1146" s="102" t="s">
        <v>186</v>
      </c>
      <c r="E1146" s="102" t="s">
        <v>540</v>
      </c>
      <c r="F1146" s="102" t="s">
        <v>3172</v>
      </c>
      <c r="G1146" s="102" t="s">
        <v>3173</v>
      </c>
      <c r="H1146" s="102" t="s">
        <v>3174</v>
      </c>
      <c r="I1146" s="102" t="s">
        <v>63</v>
      </c>
      <c r="J1146" s="102"/>
      <c r="K1146" s="102" t="s">
        <v>3195</v>
      </c>
      <c r="L1146" s="104">
        <v>44502</v>
      </c>
      <c r="M1146" s="102" t="s">
        <v>3196</v>
      </c>
      <c r="N1146" s="102" t="s">
        <v>3197</v>
      </c>
      <c r="O1146" s="102" t="s">
        <v>383</v>
      </c>
      <c r="P1146" s="103">
        <v>1</v>
      </c>
      <c r="Q1146" s="105">
        <v>228325520</v>
      </c>
      <c r="R1146" s="103">
        <v>96</v>
      </c>
      <c r="S1146" s="105">
        <v>2378390.8333333302</v>
      </c>
      <c r="T1146" s="105">
        <v>118919541.666667</v>
      </c>
      <c r="U1146" s="105">
        <v>2378390.8333333302</v>
      </c>
      <c r="V1146" s="105">
        <v>2378390.8333333302</v>
      </c>
      <c r="W1146" s="105">
        <v>2378390.8333333302</v>
      </c>
      <c r="X1146" s="105">
        <v>2378390.8333333302</v>
      </c>
      <c r="Y1146" s="105">
        <v>2378390.8333333302</v>
      </c>
      <c r="Z1146" s="105">
        <v>2378390.8333333302</v>
      </c>
      <c r="AA1146" s="105">
        <v>2378390.8333333302</v>
      </c>
      <c r="AB1146" s="105">
        <v>2378390.8333333302</v>
      </c>
      <c r="AC1146" s="8">
        <f t="shared" si="119"/>
        <v>137946668.33333364</v>
      </c>
      <c r="AD1146" s="8">
        <f t="shared" si="120"/>
        <v>90378851.666666359</v>
      </c>
      <c r="AE1146" s="8">
        <f t="shared" si="121"/>
        <v>2378390.8333333302</v>
      </c>
      <c r="AF1146" s="106">
        <f t="shared" si="122"/>
        <v>37.999999999999922</v>
      </c>
      <c r="AG1146" s="8">
        <f t="shared" si="123"/>
        <v>2378390.8333333302</v>
      </c>
      <c r="AH1146" s="8">
        <f>IF($O1146="Aktif",MAX(0,MIN($AE1146,$AD1146-SUM($AG1146:AG1146))),0)</f>
        <v>2378390.8333333302</v>
      </c>
      <c r="AI1146" s="8">
        <f>IF($O1146="Aktif",MAX(0,MIN($AE1146,$AD1146-SUM($AG1146:AH1146))),0)</f>
        <v>2378390.8333333302</v>
      </c>
      <c r="AJ1146" s="8">
        <f>IF($O1146="Aktif",MAX(0,MIN($AE1146,$AD1146-SUM($AG1146:AI1146))),0)</f>
        <v>2378390.8333333302</v>
      </c>
      <c r="AK1146" s="8">
        <f>IF($O1146="Aktif",MAX(0,MIN($AE1146,$AD1146-SUM($AG1146:AJ1146))),0)</f>
        <v>2378390.8333333302</v>
      </c>
      <c r="AL1146" s="8">
        <f>IF($O1146="Aktif",MAX(0,MIN($AE1146,$AD1146-SUM($AG1146:AK1146))),0)</f>
        <v>2378390.8333333302</v>
      </c>
      <c r="AM1146" s="8">
        <f>IF($O1146="Aktif",MAX(0,MIN($AE1146,$AD1146-SUM($AG1146:AL1146))),0)</f>
        <v>2378390.8333333302</v>
      </c>
      <c r="AN1146" s="8">
        <f>IF($O1146="Aktif",MAX(0,MIN($AE1146,$AD1146-SUM($AG1146:AM1146))),0)</f>
        <v>2378390.8333333302</v>
      </c>
      <c r="AO1146" s="8">
        <f>IF($O1146="Aktif",MAX(0,MIN($AE1146,$AD1146-SUM($AG1146:AN1146))),0)</f>
        <v>2378390.8333333302</v>
      </c>
      <c r="AP1146" s="8">
        <f>IF($O1146="Aktif",MAX(0,MIN($AE1146,$AD1146-SUM($AG1146:AO1146))),0)</f>
        <v>2378390.8333333302</v>
      </c>
      <c r="AQ1146" s="8">
        <f>IF($O1146="Aktif",MAX(0,MIN($AE1146,$AD1146-SUM($AG1146:AP1146))),0)</f>
        <v>2378390.8333333302</v>
      </c>
      <c r="AR1146" s="8">
        <f>IF($O1146="Aktif",MAX(0,MIN($AE1146,$AD1146-SUM($AG1146:AQ1146))),0)</f>
        <v>2378390.8333333302</v>
      </c>
      <c r="AS1146" s="8">
        <f>IF($O1146="Aktif",MAX(0,MIN($AE1146,$AD1146-SUM($AG1146:AR1146))),0)</f>
        <v>2378390.8333333302</v>
      </c>
      <c r="AT1146" s="8">
        <f>IF($O1146="Aktif",MAX(0,MIN($AE1146,$AD1146-SUM($AG1146:AS1146))),0)</f>
        <v>2378390.8333333302</v>
      </c>
      <c r="AU1146" s="8">
        <f>IF($O1146="Aktif",MAX(0,MIN($AE1146,$AD1146-SUM($AG1146:AT1146))),0)</f>
        <v>2378390.8333333302</v>
      </c>
      <c r="AV1146" s="8">
        <f>IF($O1146="Aktif",MAX(0,MIN($AE1146,$AD1146-SUM($AG1146:AU1146))),0)</f>
        <v>2378390.8333333302</v>
      </c>
      <c r="AW1146" s="8">
        <f t="shared" si="124"/>
        <v>38054253.333333269</v>
      </c>
      <c r="AX1146" s="8">
        <f t="shared" si="125"/>
        <v>52324598.33333309</v>
      </c>
    </row>
    <row r="1147" spans="1:50" ht="15" customHeight="1" x14ac:dyDescent="0.35">
      <c r="A1147" s="102">
        <v>1141</v>
      </c>
      <c r="B1147" s="102" t="s">
        <v>2815</v>
      </c>
      <c r="C1147" s="103">
        <v>163</v>
      </c>
      <c r="D1147" s="102" t="s">
        <v>186</v>
      </c>
      <c r="E1147" s="102" t="s">
        <v>479</v>
      </c>
      <c r="F1147" s="102" t="s">
        <v>3116</v>
      </c>
      <c r="G1147" s="102" t="s">
        <v>3117</v>
      </c>
      <c r="H1147" s="102" t="s">
        <v>3118</v>
      </c>
      <c r="I1147" s="102" t="s">
        <v>63</v>
      </c>
      <c r="J1147" s="102"/>
      <c r="K1147" s="102" t="s">
        <v>3198</v>
      </c>
      <c r="L1147" s="104">
        <v>44659</v>
      </c>
      <c r="M1147" s="102" t="s">
        <v>3199</v>
      </c>
      <c r="N1147" s="102" t="s">
        <v>3200</v>
      </c>
      <c r="O1147" s="102" t="s">
        <v>383</v>
      </c>
      <c r="P1147" s="103">
        <v>1</v>
      </c>
      <c r="Q1147" s="105">
        <v>54454000</v>
      </c>
      <c r="R1147" s="103">
        <v>48</v>
      </c>
      <c r="S1147" s="105">
        <v>1134458.33333333</v>
      </c>
      <c r="T1147" s="105">
        <v>51050625</v>
      </c>
      <c r="U1147" s="105">
        <v>1134458.33333333</v>
      </c>
      <c r="V1147" s="105">
        <v>1134458.33333333</v>
      </c>
      <c r="W1147" s="105">
        <v>1134458.33333333</v>
      </c>
      <c r="X1147" s="105">
        <v>0</v>
      </c>
      <c r="Y1147" s="105">
        <v>0</v>
      </c>
      <c r="Z1147" s="105">
        <v>0</v>
      </c>
      <c r="AA1147" s="105">
        <v>0</v>
      </c>
      <c r="AB1147" s="105">
        <v>0</v>
      </c>
      <c r="AC1147" s="8">
        <f t="shared" si="119"/>
        <v>54453999.999999993</v>
      </c>
      <c r="AD1147" s="8">
        <f t="shared" si="120"/>
        <v>0</v>
      </c>
      <c r="AE1147" s="8">
        <f t="shared" si="121"/>
        <v>0</v>
      </c>
      <c r="AF1147" s="106">
        <f t="shared" si="122"/>
        <v>0</v>
      </c>
      <c r="AG1147" s="8">
        <f t="shared" si="123"/>
        <v>0</v>
      </c>
      <c r="AH1147" s="8">
        <f>IF($O1147="Aktif",MAX(0,MIN($AE1147,$AD1147-SUM($AG1147:AG1147))),0)</f>
        <v>0</v>
      </c>
      <c r="AI1147" s="8">
        <f>IF($O1147="Aktif",MAX(0,MIN($AE1147,$AD1147-SUM($AG1147:AH1147))),0)</f>
        <v>0</v>
      </c>
      <c r="AJ1147" s="8">
        <f>IF($O1147="Aktif",MAX(0,MIN($AE1147,$AD1147-SUM($AG1147:AI1147))),0)</f>
        <v>0</v>
      </c>
      <c r="AK1147" s="8">
        <f>IF($O1147="Aktif",MAX(0,MIN($AE1147,$AD1147-SUM($AG1147:AJ1147))),0)</f>
        <v>0</v>
      </c>
      <c r="AL1147" s="8">
        <f>IF($O1147="Aktif",MAX(0,MIN($AE1147,$AD1147-SUM($AG1147:AK1147))),0)</f>
        <v>0</v>
      </c>
      <c r="AM1147" s="8">
        <f>IF($O1147="Aktif",MAX(0,MIN($AE1147,$AD1147-SUM($AG1147:AL1147))),0)</f>
        <v>0</v>
      </c>
      <c r="AN1147" s="8">
        <f>IF($O1147="Aktif",MAX(0,MIN($AE1147,$AD1147-SUM($AG1147:AM1147))),0)</f>
        <v>0</v>
      </c>
      <c r="AO1147" s="8">
        <f>IF($O1147="Aktif",MAX(0,MIN($AE1147,$AD1147-SUM($AG1147:AN1147))),0)</f>
        <v>0</v>
      </c>
      <c r="AP1147" s="8">
        <f>IF($O1147="Aktif",MAX(0,MIN($AE1147,$AD1147-SUM($AG1147:AO1147))),0)</f>
        <v>0</v>
      </c>
      <c r="AQ1147" s="8">
        <f>IF($O1147="Aktif",MAX(0,MIN($AE1147,$AD1147-SUM($AG1147:AP1147))),0)</f>
        <v>0</v>
      </c>
      <c r="AR1147" s="8">
        <f>IF($O1147="Aktif",MAX(0,MIN($AE1147,$AD1147-SUM($AG1147:AQ1147))),0)</f>
        <v>0</v>
      </c>
      <c r="AS1147" s="8">
        <f>IF($O1147="Aktif",MAX(0,MIN($AE1147,$AD1147-SUM($AG1147:AR1147))),0)</f>
        <v>0</v>
      </c>
      <c r="AT1147" s="8">
        <f>IF($O1147="Aktif",MAX(0,MIN($AE1147,$AD1147-SUM($AG1147:AS1147))),0)</f>
        <v>0</v>
      </c>
      <c r="AU1147" s="8">
        <f>IF($O1147="Aktif",MAX(0,MIN($AE1147,$AD1147-SUM($AG1147:AT1147))),0)</f>
        <v>0</v>
      </c>
      <c r="AV1147" s="8">
        <f>IF($O1147="Aktif",MAX(0,MIN($AE1147,$AD1147-SUM($AG1147:AU1147))),0)</f>
        <v>0</v>
      </c>
      <c r="AW1147" s="8">
        <f t="shared" si="124"/>
        <v>0</v>
      </c>
      <c r="AX1147" s="8">
        <f t="shared" si="125"/>
        <v>0</v>
      </c>
    </row>
    <row r="1148" spans="1:50" ht="15" customHeight="1" x14ac:dyDescent="0.35">
      <c r="A1148" s="102">
        <v>1142</v>
      </c>
      <c r="B1148" s="102" t="s">
        <v>2815</v>
      </c>
      <c r="C1148" s="103">
        <v>164</v>
      </c>
      <c r="D1148" s="102" t="s">
        <v>186</v>
      </c>
      <c r="E1148" s="102" t="s">
        <v>540</v>
      </c>
      <c r="F1148" s="102" t="s">
        <v>3172</v>
      </c>
      <c r="G1148" s="102" t="s">
        <v>3173</v>
      </c>
      <c r="H1148" s="102" t="s">
        <v>3174</v>
      </c>
      <c r="I1148" s="102" t="s">
        <v>63</v>
      </c>
      <c r="J1148" s="102"/>
      <c r="K1148" s="102" t="s">
        <v>3201</v>
      </c>
      <c r="L1148" s="104">
        <v>44721</v>
      </c>
      <c r="M1148" s="102" t="s">
        <v>3202</v>
      </c>
      <c r="N1148" s="102" t="s">
        <v>3203</v>
      </c>
      <c r="O1148" s="102" t="s">
        <v>383</v>
      </c>
      <c r="P1148" s="103">
        <v>1</v>
      </c>
      <c r="Q1148" s="105">
        <v>365907955</v>
      </c>
      <c r="R1148" s="103">
        <v>96</v>
      </c>
      <c r="S1148" s="105">
        <v>3811541.1979166698</v>
      </c>
      <c r="T1148" s="105">
        <v>163896271.51041701</v>
      </c>
      <c r="U1148" s="105">
        <v>3811541.1979166698</v>
      </c>
      <c r="V1148" s="105">
        <v>3811541.1979166698</v>
      </c>
      <c r="W1148" s="105">
        <v>3811541.1979166698</v>
      </c>
      <c r="X1148" s="105">
        <v>3811541.1979166698</v>
      </c>
      <c r="Y1148" s="105">
        <v>3811541.1979166698</v>
      </c>
      <c r="Z1148" s="105">
        <v>3811541.1979166698</v>
      </c>
      <c r="AA1148" s="105">
        <v>3811541.1979166698</v>
      </c>
      <c r="AB1148" s="105">
        <v>3811541.1979166698</v>
      </c>
      <c r="AC1148" s="8">
        <f t="shared" si="119"/>
        <v>194388601.09375039</v>
      </c>
      <c r="AD1148" s="8">
        <f t="shared" si="120"/>
        <v>171519353.90624961</v>
      </c>
      <c r="AE1148" s="8">
        <f t="shared" si="121"/>
        <v>3811541.1979166698</v>
      </c>
      <c r="AF1148" s="106">
        <f t="shared" si="122"/>
        <v>44.999999999999865</v>
      </c>
      <c r="AG1148" s="8">
        <f t="shared" si="123"/>
        <v>3811541.1979166698</v>
      </c>
      <c r="AH1148" s="8">
        <f>IF($O1148="Aktif",MAX(0,MIN($AE1148,$AD1148-SUM($AG1148:AG1148))),0)</f>
        <v>3811541.1979166698</v>
      </c>
      <c r="AI1148" s="8">
        <f>IF($O1148="Aktif",MAX(0,MIN($AE1148,$AD1148-SUM($AG1148:AH1148))),0)</f>
        <v>3811541.1979166698</v>
      </c>
      <c r="AJ1148" s="8">
        <f>IF($O1148="Aktif",MAX(0,MIN($AE1148,$AD1148-SUM($AG1148:AI1148))),0)</f>
        <v>3811541.1979166698</v>
      </c>
      <c r="AK1148" s="8">
        <f>IF($O1148="Aktif",MAX(0,MIN($AE1148,$AD1148-SUM($AG1148:AJ1148))),0)</f>
        <v>3811541.1979166698</v>
      </c>
      <c r="AL1148" s="8">
        <f>IF($O1148="Aktif",MAX(0,MIN($AE1148,$AD1148-SUM($AG1148:AK1148))),0)</f>
        <v>3811541.1979166698</v>
      </c>
      <c r="AM1148" s="8">
        <f>IF($O1148="Aktif",MAX(0,MIN($AE1148,$AD1148-SUM($AG1148:AL1148))),0)</f>
        <v>3811541.1979166698</v>
      </c>
      <c r="AN1148" s="8">
        <f>IF($O1148="Aktif",MAX(0,MIN($AE1148,$AD1148-SUM($AG1148:AM1148))),0)</f>
        <v>3811541.1979166698</v>
      </c>
      <c r="AO1148" s="8">
        <f>IF($O1148="Aktif",MAX(0,MIN($AE1148,$AD1148-SUM($AG1148:AN1148))),0)</f>
        <v>3811541.1979166698</v>
      </c>
      <c r="AP1148" s="8">
        <f>IF($O1148="Aktif",MAX(0,MIN($AE1148,$AD1148-SUM($AG1148:AO1148))),0)</f>
        <v>3811541.1979166698</v>
      </c>
      <c r="AQ1148" s="8">
        <f>IF($O1148="Aktif",MAX(0,MIN($AE1148,$AD1148-SUM($AG1148:AP1148))),0)</f>
        <v>3811541.1979166698</v>
      </c>
      <c r="AR1148" s="8">
        <f>IF($O1148="Aktif",MAX(0,MIN($AE1148,$AD1148-SUM($AG1148:AQ1148))),0)</f>
        <v>3811541.1979166698</v>
      </c>
      <c r="AS1148" s="8">
        <f>IF($O1148="Aktif",MAX(0,MIN($AE1148,$AD1148-SUM($AG1148:AR1148))),0)</f>
        <v>3811541.1979166698</v>
      </c>
      <c r="AT1148" s="8">
        <f>IF($O1148="Aktif",MAX(0,MIN($AE1148,$AD1148-SUM($AG1148:AS1148))),0)</f>
        <v>3811541.1979166698</v>
      </c>
      <c r="AU1148" s="8">
        <f>IF($O1148="Aktif",MAX(0,MIN($AE1148,$AD1148-SUM($AG1148:AT1148))),0)</f>
        <v>3811541.1979166698</v>
      </c>
      <c r="AV1148" s="8">
        <f>IF($O1148="Aktif",MAX(0,MIN($AE1148,$AD1148-SUM($AG1148:AU1148))),0)</f>
        <v>3811541.1979166698</v>
      </c>
      <c r="AW1148" s="8">
        <f t="shared" si="124"/>
        <v>60984659.166666739</v>
      </c>
      <c r="AX1148" s="8">
        <f t="shared" si="125"/>
        <v>110534694.73958287</v>
      </c>
    </row>
    <row r="1149" spans="1:50" ht="15" customHeight="1" x14ac:dyDescent="0.35">
      <c r="A1149" s="102">
        <v>1143</v>
      </c>
      <c r="B1149" s="102" t="s">
        <v>2815</v>
      </c>
      <c r="C1149" s="103">
        <v>165</v>
      </c>
      <c r="D1149" s="102" t="s">
        <v>186</v>
      </c>
      <c r="E1149" s="102" t="s">
        <v>479</v>
      </c>
      <c r="F1149" s="102" t="s">
        <v>3116</v>
      </c>
      <c r="G1149" s="102" t="s">
        <v>3117</v>
      </c>
      <c r="H1149" s="102" t="s">
        <v>3118</v>
      </c>
      <c r="I1149" s="102" t="s">
        <v>63</v>
      </c>
      <c r="J1149" s="102"/>
      <c r="K1149" s="102" t="s">
        <v>3204</v>
      </c>
      <c r="L1149" s="104">
        <v>44902</v>
      </c>
      <c r="M1149" s="102" t="s">
        <v>3205</v>
      </c>
      <c r="N1149" s="102" t="s">
        <v>3206</v>
      </c>
      <c r="O1149" s="102" t="s">
        <v>383</v>
      </c>
      <c r="P1149" s="103">
        <v>1</v>
      </c>
      <c r="Q1149" s="105">
        <v>105000000</v>
      </c>
      <c r="R1149" s="103">
        <v>48</v>
      </c>
      <c r="S1149" s="105">
        <v>2187500</v>
      </c>
      <c r="T1149" s="105">
        <v>80937500</v>
      </c>
      <c r="U1149" s="105">
        <v>2187500</v>
      </c>
      <c r="V1149" s="105">
        <v>2187500</v>
      </c>
      <c r="W1149" s="105">
        <v>2187500</v>
      </c>
      <c r="X1149" s="105">
        <v>2187500</v>
      </c>
      <c r="Y1149" s="105">
        <v>2187500</v>
      </c>
      <c r="Z1149" s="105">
        <v>2187500</v>
      </c>
      <c r="AA1149" s="105">
        <v>2187500</v>
      </c>
      <c r="AB1149" s="105">
        <v>2187500</v>
      </c>
      <c r="AC1149" s="8">
        <f t="shared" si="119"/>
        <v>98437500</v>
      </c>
      <c r="AD1149" s="8">
        <f t="shared" si="120"/>
        <v>6562500</v>
      </c>
      <c r="AE1149" s="8">
        <f t="shared" si="121"/>
        <v>2187500</v>
      </c>
      <c r="AF1149" s="106">
        <f t="shared" si="122"/>
        <v>3</v>
      </c>
      <c r="AG1149" s="8">
        <f t="shared" si="123"/>
        <v>2187500</v>
      </c>
      <c r="AH1149" s="8">
        <f>IF($O1149="Aktif",MAX(0,MIN($AE1149,$AD1149-SUM($AG1149:AG1149))),0)</f>
        <v>2187500</v>
      </c>
      <c r="AI1149" s="8">
        <f>IF($O1149="Aktif",MAX(0,MIN($AE1149,$AD1149-SUM($AG1149:AH1149))),0)</f>
        <v>2187500</v>
      </c>
      <c r="AJ1149" s="8">
        <f>IF($O1149="Aktif",MAX(0,MIN($AE1149,$AD1149-SUM($AG1149:AI1149))),0)</f>
        <v>0</v>
      </c>
      <c r="AK1149" s="8">
        <f>IF($O1149="Aktif",MAX(0,MIN($AE1149,$AD1149-SUM($AG1149:AJ1149))),0)</f>
        <v>0</v>
      </c>
      <c r="AL1149" s="8">
        <f>IF($O1149="Aktif",MAX(0,MIN($AE1149,$AD1149-SUM($AG1149:AK1149))),0)</f>
        <v>0</v>
      </c>
      <c r="AM1149" s="8">
        <f>IF($O1149="Aktif",MAX(0,MIN($AE1149,$AD1149-SUM($AG1149:AL1149))),0)</f>
        <v>0</v>
      </c>
      <c r="AN1149" s="8">
        <f>IF($O1149="Aktif",MAX(0,MIN($AE1149,$AD1149-SUM($AG1149:AM1149))),0)</f>
        <v>0</v>
      </c>
      <c r="AO1149" s="8">
        <f>IF($O1149="Aktif",MAX(0,MIN($AE1149,$AD1149-SUM($AG1149:AN1149))),0)</f>
        <v>0</v>
      </c>
      <c r="AP1149" s="8">
        <f>IF($O1149="Aktif",MAX(0,MIN($AE1149,$AD1149-SUM($AG1149:AO1149))),0)</f>
        <v>0</v>
      </c>
      <c r="AQ1149" s="8">
        <f>IF($O1149="Aktif",MAX(0,MIN($AE1149,$AD1149-SUM($AG1149:AP1149))),0)</f>
        <v>0</v>
      </c>
      <c r="AR1149" s="8">
        <f>IF($O1149="Aktif",MAX(0,MIN($AE1149,$AD1149-SUM($AG1149:AQ1149))),0)</f>
        <v>0</v>
      </c>
      <c r="AS1149" s="8">
        <f>IF($O1149="Aktif",MAX(0,MIN($AE1149,$AD1149-SUM($AG1149:AR1149))),0)</f>
        <v>0</v>
      </c>
      <c r="AT1149" s="8">
        <f>IF($O1149="Aktif",MAX(0,MIN($AE1149,$AD1149-SUM($AG1149:AS1149))),0)</f>
        <v>0</v>
      </c>
      <c r="AU1149" s="8">
        <f>IF($O1149="Aktif",MAX(0,MIN($AE1149,$AD1149-SUM($AG1149:AT1149))),0)</f>
        <v>0</v>
      </c>
      <c r="AV1149" s="8">
        <f>IF($O1149="Aktif",MAX(0,MIN($AE1149,$AD1149-SUM($AG1149:AU1149))),0)</f>
        <v>0</v>
      </c>
      <c r="AW1149" s="8">
        <f t="shared" si="124"/>
        <v>6562500</v>
      </c>
      <c r="AX1149" s="8">
        <f t="shared" si="125"/>
        <v>0</v>
      </c>
    </row>
    <row r="1150" spans="1:50" ht="15" customHeight="1" x14ac:dyDescent="0.35">
      <c r="A1150" s="102">
        <v>1144</v>
      </c>
      <c r="B1150" s="102" t="s">
        <v>2815</v>
      </c>
      <c r="C1150" s="103">
        <v>166</v>
      </c>
      <c r="D1150" s="102" t="s">
        <v>186</v>
      </c>
      <c r="E1150" s="102" t="s">
        <v>540</v>
      </c>
      <c r="F1150" s="102" t="s">
        <v>3172</v>
      </c>
      <c r="G1150" s="102" t="s">
        <v>3173</v>
      </c>
      <c r="H1150" s="102" t="s">
        <v>3174</v>
      </c>
      <c r="I1150" s="102" t="s">
        <v>63</v>
      </c>
      <c r="J1150" s="102"/>
      <c r="K1150" s="102" t="s">
        <v>3207</v>
      </c>
      <c r="L1150" s="104">
        <v>44977</v>
      </c>
      <c r="M1150" s="102" t="s">
        <v>3208</v>
      </c>
      <c r="N1150" s="102" t="s">
        <v>3209</v>
      </c>
      <c r="O1150" s="102" t="s">
        <v>383</v>
      </c>
      <c r="P1150" s="103">
        <v>1</v>
      </c>
      <c r="Q1150" s="105">
        <v>17567567.57</v>
      </c>
      <c r="R1150" s="103">
        <v>96</v>
      </c>
      <c r="S1150" s="105">
        <v>182995.49552083301</v>
      </c>
      <c r="T1150" s="105">
        <v>6404842.34322917</v>
      </c>
      <c r="U1150" s="105">
        <v>182995.49552083301</v>
      </c>
      <c r="V1150" s="105">
        <v>182995.49552083301</v>
      </c>
      <c r="W1150" s="105">
        <v>182995.49552083301</v>
      </c>
      <c r="X1150" s="105">
        <v>182995.49552083301</v>
      </c>
      <c r="Y1150" s="105">
        <v>182995.49552083301</v>
      </c>
      <c r="Z1150" s="105">
        <v>182995.49552083301</v>
      </c>
      <c r="AA1150" s="105">
        <v>182995.49552083301</v>
      </c>
      <c r="AB1150" s="105">
        <v>182995.49552083301</v>
      </c>
      <c r="AC1150" s="8">
        <f t="shared" si="119"/>
        <v>7868806.3073958335</v>
      </c>
      <c r="AD1150" s="8">
        <f t="shared" si="120"/>
        <v>9698761.2626041658</v>
      </c>
      <c r="AE1150" s="8">
        <f t="shared" si="121"/>
        <v>182995.49552083301</v>
      </c>
      <c r="AF1150" s="106">
        <f t="shared" si="122"/>
        <v>53.000000000000092</v>
      </c>
      <c r="AG1150" s="8">
        <f t="shared" si="123"/>
        <v>182995.49552083301</v>
      </c>
      <c r="AH1150" s="8">
        <f>IF($O1150="Aktif",MAX(0,MIN($AE1150,$AD1150-SUM($AG1150:AG1150))),0)</f>
        <v>182995.49552083301</v>
      </c>
      <c r="AI1150" s="8">
        <f>IF($O1150="Aktif",MAX(0,MIN($AE1150,$AD1150-SUM($AG1150:AH1150))),0)</f>
        <v>182995.49552083301</v>
      </c>
      <c r="AJ1150" s="8">
        <f>IF($O1150="Aktif",MAX(0,MIN($AE1150,$AD1150-SUM($AG1150:AI1150))),0)</f>
        <v>182995.49552083301</v>
      </c>
      <c r="AK1150" s="8">
        <f>IF($O1150="Aktif",MAX(0,MIN($AE1150,$AD1150-SUM($AG1150:AJ1150))),0)</f>
        <v>182995.49552083301</v>
      </c>
      <c r="AL1150" s="8">
        <f>IF($O1150="Aktif",MAX(0,MIN($AE1150,$AD1150-SUM($AG1150:AK1150))),0)</f>
        <v>182995.49552083301</v>
      </c>
      <c r="AM1150" s="8">
        <f>IF($O1150="Aktif",MAX(0,MIN($AE1150,$AD1150-SUM($AG1150:AL1150))),0)</f>
        <v>182995.49552083301</v>
      </c>
      <c r="AN1150" s="8">
        <f>IF($O1150="Aktif",MAX(0,MIN($AE1150,$AD1150-SUM($AG1150:AM1150))),0)</f>
        <v>182995.49552083301</v>
      </c>
      <c r="AO1150" s="8">
        <f>IF($O1150="Aktif",MAX(0,MIN($AE1150,$AD1150-SUM($AG1150:AN1150))),0)</f>
        <v>182995.49552083301</v>
      </c>
      <c r="AP1150" s="8">
        <f>IF($O1150="Aktif",MAX(0,MIN($AE1150,$AD1150-SUM($AG1150:AO1150))),0)</f>
        <v>182995.49552083301</v>
      </c>
      <c r="AQ1150" s="8">
        <f>IF($O1150="Aktif",MAX(0,MIN($AE1150,$AD1150-SUM($AG1150:AP1150))),0)</f>
        <v>182995.49552083301</v>
      </c>
      <c r="AR1150" s="8">
        <f>IF($O1150="Aktif",MAX(0,MIN($AE1150,$AD1150-SUM($AG1150:AQ1150))),0)</f>
        <v>182995.49552083301</v>
      </c>
      <c r="AS1150" s="8">
        <f>IF($O1150="Aktif",MAX(0,MIN($AE1150,$AD1150-SUM($AG1150:AR1150))),0)</f>
        <v>182995.49552083301</v>
      </c>
      <c r="AT1150" s="8">
        <f>IF($O1150="Aktif",MAX(0,MIN($AE1150,$AD1150-SUM($AG1150:AS1150))),0)</f>
        <v>182995.49552083301</v>
      </c>
      <c r="AU1150" s="8">
        <f>IF($O1150="Aktif",MAX(0,MIN($AE1150,$AD1150-SUM($AG1150:AT1150))),0)</f>
        <v>182995.49552083301</v>
      </c>
      <c r="AV1150" s="8">
        <f>IF($O1150="Aktif",MAX(0,MIN($AE1150,$AD1150-SUM($AG1150:AU1150))),0)</f>
        <v>182995.49552083301</v>
      </c>
      <c r="AW1150" s="8">
        <f t="shared" si="124"/>
        <v>2927927.9283333276</v>
      </c>
      <c r="AX1150" s="8">
        <f t="shared" si="125"/>
        <v>6770833.3342708386</v>
      </c>
    </row>
    <row r="1151" spans="1:50" ht="15" customHeight="1" x14ac:dyDescent="0.35">
      <c r="A1151" s="102">
        <v>1145</v>
      </c>
      <c r="B1151" s="102" t="s">
        <v>2815</v>
      </c>
      <c r="C1151" s="103">
        <v>167</v>
      </c>
      <c r="D1151" s="102" t="s">
        <v>186</v>
      </c>
      <c r="E1151" s="102" t="s">
        <v>540</v>
      </c>
      <c r="F1151" s="102" t="s">
        <v>3172</v>
      </c>
      <c r="G1151" s="102" t="s">
        <v>3173</v>
      </c>
      <c r="H1151" s="102" t="s">
        <v>3174</v>
      </c>
      <c r="I1151" s="102" t="s">
        <v>63</v>
      </c>
      <c r="J1151" s="102"/>
      <c r="K1151" s="102" t="s">
        <v>3210</v>
      </c>
      <c r="L1151" s="104">
        <v>44977</v>
      </c>
      <c r="M1151" s="102" t="s">
        <v>3211</v>
      </c>
      <c r="N1151" s="102" t="s">
        <v>3212</v>
      </c>
      <c r="O1151" s="102" t="s">
        <v>383</v>
      </c>
      <c r="P1151" s="103">
        <v>1</v>
      </c>
      <c r="Q1151" s="105">
        <v>7074324.0300000003</v>
      </c>
      <c r="R1151" s="103">
        <v>96</v>
      </c>
      <c r="S1151" s="105">
        <v>73690.875312499993</v>
      </c>
      <c r="T1151" s="105">
        <v>2579180.6359374998</v>
      </c>
      <c r="U1151" s="105">
        <v>73690.875312499993</v>
      </c>
      <c r="V1151" s="105">
        <v>73690.875312499993</v>
      </c>
      <c r="W1151" s="105">
        <v>73690.875312499993</v>
      </c>
      <c r="X1151" s="105">
        <v>73690.875312499993</v>
      </c>
      <c r="Y1151" s="105">
        <v>73690.875312499993</v>
      </c>
      <c r="Z1151" s="105">
        <v>73690.875312499993</v>
      </c>
      <c r="AA1151" s="105">
        <v>73690.875312499993</v>
      </c>
      <c r="AB1151" s="105">
        <v>73690.875312499993</v>
      </c>
      <c r="AC1151" s="8">
        <f t="shared" si="119"/>
        <v>3168707.6384374998</v>
      </c>
      <c r="AD1151" s="8">
        <f t="shared" si="120"/>
        <v>3905616.3915625005</v>
      </c>
      <c r="AE1151" s="8">
        <f t="shared" si="121"/>
        <v>73690.875312499993</v>
      </c>
      <c r="AF1151" s="106">
        <f t="shared" si="122"/>
        <v>53.000000000000014</v>
      </c>
      <c r="AG1151" s="8">
        <f t="shared" si="123"/>
        <v>73690.875312499993</v>
      </c>
      <c r="AH1151" s="8">
        <f>IF($O1151="Aktif",MAX(0,MIN($AE1151,$AD1151-SUM($AG1151:AG1151))),0)</f>
        <v>73690.875312499993</v>
      </c>
      <c r="AI1151" s="8">
        <f>IF($O1151="Aktif",MAX(0,MIN($AE1151,$AD1151-SUM($AG1151:AH1151))),0)</f>
        <v>73690.875312499993</v>
      </c>
      <c r="AJ1151" s="8">
        <f>IF($O1151="Aktif",MAX(0,MIN($AE1151,$AD1151-SUM($AG1151:AI1151))),0)</f>
        <v>73690.875312499993</v>
      </c>
      <c r="AK1151" s="8">
        <f>IF($O1151="Aktif",MAX(0,MIN($AE1151,$AD1151-SUM($AG1151:AJ1151))),0)</f>
        <v>73690.875312499993</v>
      </c>
      <c r="AL1151" s="8">
        <f>IF($O1151="Aktif",MAX(0,MIN($AE1151,$AD1151-SUM($AG1151:AK1151))),0)</f>
        <v>73690.875312499993</v>
      </c>
      <c r="AM1151" s="8">
        <f>IF($O1151="Aktif",MAX(0,MIN($AE1151,$AD1151-SUM($AG1151:AL1151))),0)</f>
        <v>73690.875312499993</v>
      </c>
      <c r="AN1151" s="8">
        <f>IF($O1151="Aktif",MAX(0,MIN($AE1151,$AD1151-SUM($AG1151:AM1151))),0)</f>
        <v>73690.875312499993</v>
      </c>
      <c r="AO1151" s="8">
        <f>IF($O1151="Aktif",MAX(0,MIN($AE1151,$AD1151-SUM($AG1151:AN1151))),0)</f>
        <v>73690.875312499993</v>
      </c>
      <c r="AP1151" s="8">
        <f>IF($O1151="Aktif",MAX(0,MIN($AE1151,$AD1151-SUM($AG1151:AO1151))),0)</f>
        <v>73690.875312499993</v>
      </c>
      <c r="AQ1151" s="8">
        <f>IF($O1151="Aktif",MAX(0,MIN($AE1151,$AD1151-SUM($AG1151:AP1151))),0)</f>
        <v>73690.875312499993</v>
      </c>
      <c r="AR1151" s="8">
        <f>IF($O1151="Aktif",MAX(0,MIN($AE1151,$AD1151-SUM($AG1151:AQ1151))),0)</f>
        <v>73690.875312499993</v>
      </c>
      <c r="AS1151" s="8">
        <f>IF($O1151="Aktif",MAX(0,MIN($AE1151,$AD1151-SUM($AG1151:AR1151))),0)</f>
        <v>73690.875312499993</v>
      </c>
      <c r="AT1151" s="8">
        <f>IF($O1151="Aktif",MAX(0,MIN($AE1151,$AD1151-SUM($AG1151:AS1151))),0)</f>
        <v>73690.875312499993</v>
      </c>
      <c r="AU1151" s="8">
        <f>IF($O1151="Aktif",MAX(0,MIN($AE1151,$AD1151-SUM($AG1151:AT1151))),0)</f>
        <v>73690.875312499993</v>
      </c>
      <c r="AV1151" s="8">
        <f>IF($O1151="Aktif",MAX(0,MIN($AE1151,$AD1151-SUM($AG1151:AU1151))),0)</f>
        <v>73690.875312499993</v>
      </c>
      <c r="AW1151" s="8">
        <f t="shared" si="124"/>
        <v>1179054.0049999994</v>
      </c>
      <c r="AX1151" s="8">
        <f t="shared" si="125"/>
        <v>2726562.3865625011</v>
      </c>
    </row>
    <row r="1152" spans="1:50" ht="15" customHeight="1" x14ac:dyDescent="0.35">
      <c r="A1152" s="102">
        <v>1146</v>
      </c>
      <c r="B1152" s="102" t="s">
        <v>2815</v>
      </c>
      <c r="C1152" s="103">
        <v>168</v>
      </c>
      <c r="D1152" s="102" t="s">
        <v>186</v>
      </c>
      <c r="E1152" s="102" t="s">
        <v>479</v>
      </c>
      <c r="F1152" s="102" t="s">
        <v>3116</v>
      </c>
      <c r="G1152" s="102" t="s">
        <v>3117</v>
      </c>
      <c r="H1152" s="102" t="s">
        <v>3118</v>
      </c>
      <c r="I1152" s="102" t="s">
        <v>63</v>
      </c>
      <c r="J1152" s="102"/>
      <c r="K1152" s="102" t="s">
        <v>3213</v>
      </c>
      <c r="L1152" s="104">
        <v>45029</v>
      </c>
      <c r="M1152" s="102" t="s">
        <v>3214</v>
      </c>
      <c r="N1152" s="102" t="s">
        <v>3215</v>
      </c>
      <c r="O1152" s="102" t="s">
        <v>383</v>
      </c>
      <c r="P1152" s="103">
        <v>1</v>
      </c>
      <c r="Q1152" s="105">
        <v>89400000</v>
      </c>
      <c r="R1152" s="103">
        <v>48</v>
      </c>
      <c r="S1152" s="105">
        <v>1862500</v>
      </c>
      <c r="T1152" s="105">
        <v>61462500</v>
      </c>
      <c r="U1152" s="105">
        <v>1862500</v>
      </c>
      <c r="V1152" s="105">
        <v>1862500</v>
      </c>
      <c r="W1152" s="105">
        <v>1862500</v>
      </c>
      <c r="X1152" s="105">
        <v>1862500</v>
      </c>
      <c r="Y1152" s="105">
        <v>1862500</v>
      </c>
      <c r="Z1152" s="105">
        <v>1862500</v>
      </c>
      <c r="AA1152" s="105">
        <v>1862500</v>
      </c>
      <c r="AB1152" s="105">
        <v>1862500</v>
      </c>
      <c r="AC1152" s="8">
        <f t="shared" si="119"/>
        <v>76362500</v>
      </c>
      <c r="AD1152" s="8">
        <f t="shared" si="120"/>
        <v>13037500</v>
      </c>
      <c r="AE1152" s="8">
        <f t="shared" si="121"/>
        <v>1862500</v>
      </c>
      <c r="AF1152" s="106">
        <f t="shared" si="122"/>
        <v>7</v>
      </c>
      <c r="AG1152" s="8">
        <f t="shared" si="123"/>
        <v>1862500</v>
      </c>
      <c r="AH1152" s="8">
        <f>IF($O1152="Aktif",MAX(0,MIN($AE1152,$AD1152-SUM($AG1152:AG1152))),0)</f>
        <v>1862500</v>
      </c>
      <c r="AI1152" s="8">
        <f>IF($O1152="Aktif",MAX(0,MIN($AE1152,$AD1152-SUM($AG1152:AH1152))),0)</f>
        <v>1862500</v>
      </c>
      <c r="AJ1152" s="8">
        <f>IF($O1152="Aktif",MAX(0,MIN($AE1152,$AD1152-SUM($AG1152:AI1152))),0)</f>
        <v>1862500</v>
      </c>
      <c r="AK1152" s="8">
        <f>IF($O1152="Aktif",MAX(0,MIN($AE1152,$AD1152-SUM($AG1152:AJ1152))),0)</f>
        <v>1862500</v>
      </c>
      <c r="AL1152" s="8">
        <f>IF($O1152="Aktif",MAX(0,MIN($AE1152,$AD1152-SUM($AG1152:AK1152))),0)</f>
        <v>1862500</v>
      </c>
      <c r="AM1152" s="8">
        <f>IF($O1152="Aktif",MAX(0,MIN($AE1152,$AD1152-SUM($AG1152:AL1152))),0)</f>
        <v>1862500</v>
      </c>
      <c r="AN1152" s="8">
        <f>IF($O1152="Aktif",MAX(0,MIN($AE1152,$AD1152-SUM($AG1152:AM1152))),0)</f>
        <v>0</v>
      </c>
      <c r="AO1152" s="8">
        <f>IF($O1152="Aktif",MAX(0,MIN($AE1152,$AD1152-SUM($AG1152:AN1152))),0)</f>
        <v>0</v>
      </c>
      <c r="AP1152" s="8">
        <f>IF($O1152="Aktif",MAX(0,MIN($AE1152,$AD1152-SUM($AG1152:AO1152))),0)</f>
        <v>0</v>
      </c>
      <c r="AQ1152" s="8">
        <f>IF($O1152="Aktif",MAX(0,MIN($AE1152,$AD1152-SUM($AG1152:AP1152))),0)</f>
        <v>0</v>
      </c>
      <c r="AR1152" s="8">
        <f>IF($O1152="Aktif",MAX(0,MIN($AE1152,$AD1152-SUM($AG1152:AQ1152))),0)</f>
        <v>0</v>
      </c>
      <c r="AS1152" s="8">
        <f>IF($O1152="Aktif",MAX(0,MIN($AE1152,$AD1152-SUM($AG1152:AR1152))),0)</f>
        <v>0</v>
      </c>
      <c r="AT1152" s="8">
        <f>IF($O1152="Aktif",MAX(0,MIN($AE1152,$AD1152-SUM($AG1152:AS1152))),0)</f>
        <v>0</v>
      </c>
      <c r="AU1152" s="8">
        <f>IF($O1152="Aktif",MAX(0,MIN($AE1152,$AD1152-SUM($AG1152:AT1152))),0)</f>
        <v>0</v>
      </c>
      <c r="AV1152" s="8">
        <f>IF($O1152="Aktif",MAX(0,MIN($AE1152,$AD1152-SUM($AG1152:AU1152))),0)</f>
        <v>0</v>
      </c>
      <c r="AW1152" s="8">
        <f t="shared" si="124"/>
        <v>13037500</v>
      </c>
      <c r="AX1152" s="8">
        <f t="shared" si="125"/>
        <v>0</v>
      </c>
    </row>
    <row r="1153" spans="1:50" ht="15" customHeight="1" x14ac:dyDescent="0.35">
      <c r="A1153" s="102">
        <v>1147</v>
      </c>
      <c r="B1153" s="102" t="s">
        <v>2815</v>
      </c>
      <c r="C1153" s="103">
        <v>169</v>
      </c>
      <c r="D1153" s="102" t="s">
        <v>186</v>
      </c>
      <c r="E1153" s="102" t="s">
        <v>540</v>
      </c>
      <c r="F1153" s="102" t="s">
        <v>3172</v>
      </c>
      <c r="G1153" s="102" t="s">
        <v>3173</v>
      </c>
      <c r="H1153" s="102" t="s">
        <v>3174</v>
      </c>
      <c r="I1153" s="102" t="s">
        <v>63</v>
      </c>
      <c r="J1153" s="102"/>
      <c r="K1153" s="102" t="s">
        <v>3216</v>
      </c>
      <c r="L1153" s="104">
        <v>45022</v>
      </c>
      <c r="M1153" s="102" t="s">
        <v>3217</v>
      </c>
      <c r="N1153" s="102" t="s">
        <v>3218</v>
      </c>
      <c r="O1153" s="102" t="s">
        <v>383</v>
      </c>
      <c r="P1153" s="103">
        <v>1</v>
      </c>
      <c r="Q1153" s="105">
        <v>20000000</v>
      </c>
      <c r="R1153" s="103">
        <v>96</v>
      </c>
      <c r="S1153" s="105">
        <v>208333.33333333299</v>
      </c>
      <c r="T1153" s="105">
        <v>6875000</v>
      </c>
      <c r="U1153" s="105">
        <v>208333.33333333299</v>
      </c>
      <c r="V1153" s="105">
        <v>208333.33333333299</v>
      </c>
      <c r="W1153" s="105">
        <v>208333.33333333299</v>
      </c>
      <c r="X1153" s="105">
        <v>208333.33333333299</v>
      </c>
      <c r="Y1153" s="105">
        <v>208333.33333333299</v>
      </c>
      <c r="Z1153" s="105">
        <v>208333.33333333299</v>
      </c>
      <c r="AA1153" s="105">
        <v>208333.33333333299</v>
      </c>
      <c r="AB1153" s="105">
        <v>208333.33333333299</v>
      </c>
      <c r="AC1153" s="8">
        <f t="shared" si="119"/>
        <v>8541666.6666666642</v>
      </c>
      <c r="AD1153" s="8">
        <f t="shared" si="120"/>
        <v>11458333.333333336</v>
      </c>
      <c r="AE1153" s="8">
        <f t="shared" si="121"/>
        <v>208333.33333333299</v>
      </c>
      <c r="AF1153" s="106">
        <f t="shared" si="122"/>
        <v>55.000000000000099</v>
      </c>
      <c r="AG1153" s="8">
        <f t="shared" si="123"/>
        <v>208333.33333333299</v>
      </c>
      <c r="AH1153" s="8">
        <f>IF($O1153="Aktif",MAX(0,MIN($AE1153,$AD1153-SUM($AG1153:AG1153))),0)</f>
        <v>208333.33333333299</v>
      </c>
      <c r="AI1153" s="8">
        <f>IF($O1153="Aktif",MAX(0,MIN($AE1153,$AD1153-SUM($AG1153:AH1153))),0)</f>
        <v>208333.33333333299</v>
      </c>
      <c r="AJ1153" s="8">
        <f>IF($O1153="Aktif",MAX(0,MIN($AE1153,$AD1153-SUM($AG1153:AI1153))),0)</f>
        <v>208333.33333333299</v>
      </c>
      <c r="AK1153" s="8">
        <f>IF($O1153="Aktif",MAX(0,MIN($AE1153,$AD1153-SUM($AG1153:AJ1153))),0)</f>
        <v>208333.33333333299</v>
      </c>
      <c r="AL1153" s="8">
        <f>IF($O1153="Aktif",MAX(0,MIN($AE1153,$AD1153-SUM($AG1153:AK1153))),0)</f>
        <v>208333.33333333299</v>
      </c>
      <c r="AM1153" s="8">
        <f>IF($O1153="Aktif",MAX(0,MIN($AE1153,$AD1153-SUM($AG1153:AL1153))),0)</f>
        <v>208333.33333333299</v>
      </c>
      <c r="AN1153" s="8">
        <f>IF($O1153="Aktif",MAX(0,MIN($AE1153,$AD1153-SUM($AG1153:AM1153))),0)</f>
        <v>208333.33333333299</v>
      </c>
      <c r="AO1153" s="8">
        <f>IF($O1153="Aktif",MAX(0,MIN($AE1153,$AD1153-SUM($AG1153:AN1153))),0)</f>
        <v>208333.33333333299</v>
      </c>
      <c r="AP1153" s="8">
        <f>IF($O1153="Aktif",MAX(0,MIN($AE1153,$AD1153-SUM($AG1153:AO1153))),0)</f>
        <v>208333.33333333299</v>
      </c>
      <c r="AQ1153" s="8">
        <f>IF($O1153="Aktif",MAX(0,MIN($AE1153,$AD1153-SUM($AG1153:AP1153))),0)</f>
        <v>208333.33333333299</v>
      </c>
      <c r="AR1153" s="8">
        <f>IF($O1153="Aktif",MAX(0,MIN($AE1153,$AD1153-SUM($AG1153:AQ1153))),0)</f>
        <v>208333.33333333299</v>
      </c>
      <c r="AS1153" s="8">
        <f>IF($O1153="Aktif",MAX(0,MIN($AE1153,$AD1153-SUM($AG1153:AR1153))),0)</f>
        <v>208333.33333333299</v>
      </c>
      <c r="AT1153" s="8">
        <f>IF($O1153="Aktif",MAX(0,MIN($AE1153,$AD1153-SUM($AG1153:AS1153))),0)</f>
        <v>208333.33333333299</v>
      </c>
      <c r="AU1153" s="8">
        <f>IF($O1153="Aktif",MAX(0,MIN($AE1153,$AD1153-SUM($AG1153:AT1153))),0)</f>
        <v>208333.33333333299</v>
      </c>
      <c r="AV1153" s="8">
        <f>IF($O1153="Aktif",MAX(0,MIN($AE1153,$AD1153-SUM($AG1153:AU1153))),0)</f>
        <v>208333.33333333299</v>
      </c>
      <c r="AW1153" s="8">
        <f t="shared" si="124"/>
        <v>3333333.3333333279</v>
      </c>
      <c r="AX1153" s="8">
        <f t="shared" si="125"/>
        <v>8125000.0000000075</v>
      </c>
    </row>
    <row r="1154" spans="1:50" ht="15" customHeight="1" x14ac:dyDescent="0.35">
      <c r="A1154" s="102">
        <v>1148</v>
      </c>
      <c r="B1154" s="102" t="s">
        <v>2815</v>
      </c>
      <c r="C1154" s="103">
        <v>170</v>
      </c>
      <c r="D1154" s="102" t="s">
        <v>186</v>
      </c>
      <c r="E1154" s="102" t="s">
        <v>540</v>
      </c>
      <c r="F1154" s="102" t="s">
        <v>3172</v>
      </c>
      <c r="G1154" s="102" t="s">
        <v>3173</v>
      </c>
      <c r="H1154" s="102" t="s">
        <v>3174</v>
      </c>
      <c r="I1154" s="102" t="s">
        <v>63</v>
      </c>
      <c r="J1154" s="102"/>
      <c r="K1154" s="102" t="s">
        <v>3219</v>
      </c>
      <c r="L1154" s="104">
        <v>45054</v>
      </c>
      <c r="M1154" s="102" t="s">
        <v>3220</v>
      </c>
      <c r="N1154" s="102" t="s">
        <v>3221</v>
      </c>
      <c r="O1154" s="102" t="s">
        <v>383</v>
      </c>
      <c r="P1154" s="103">
        <v>1</v>
      </c>
      <c r="Q1154" s="105">
        <v>51975000</v>
      </c>
      <c r="R1154" s="103">
        <v>96</v>
      </c>
      <c r="S1154" s="105">
        <v>541406.25</v>
      </c>
      <c r="T1154" s="105">
        <v>17325000</v>
      </c>
      <c r="U1154" s="105">
        <v>541406.25</v>
      </c>
      <c r="V1154" s="105">
        <v>541406.25</v>
      </c>
      <c r="W1154" s="105">
        <v>541406.25</v>
      </c>
      <c r="X1154" s="105">
        <v>541406.25</v>
      </c>
      <c r="Y1154" s="105">
        <v>541406.25</v>
      </c>
      <c r="Z1154" s="105">
        <v>541406.25</v>
      </c>
      <c r="AA1154" s="105">
        <v>541406.25</v>
      </c>
      <c r="AB1154" s="105">
        <v>541406.25</v>
      </c>
      <c r="AC1154" s="8">
        <f t="shared" si="119"/>
        <v>21656250</v>
      </c>
      <c r="AD1154" s="8">
        <f t="shared" si="120"/>
        <v>30318750</v>
      </c>
      <c r="AE1154" s="8">
        <f t="shared" si="121"/>
        <v>541406.25</v>
      </c>
      <c r="AF1154" s="106">
        <f t="shared" si="122"/>
        <v>56</v>
      </c>
      <c r="AG1154" s="8">
        <f t="shared" si="123"/>
        <v>541406.25</v>
      </c>
      <c r="AH1154" s="8">
        <f>IF($O1154="Aktif",MAX(0,MIN($AE1154,$AD1154-SUM($AG1154:AG1154))),0)</f>
        <v>541406.25</v>
      </c>
      <c r="AI1154" s="8">
        <f>IF($O1154="Aktif",MAX(0,MIN($AE1154,$AD1154-SUM($AG1154:AH1154))),0)</f>
        <v>541406.25</v>
      </c>
      <c r="AJ1154" s="8">
        <f>IF($O1154="Aktif",MAX(0,MIN($AE1154,$AD1154-SUM($AG1154:AI1154))),0)</f>
        <v>541406.25</v>
      </c>
      <c r="AK1154" s="8">
        <f>IF($O1154="Aktif",MAX(0,MIN($AE1154,$AD1154-SUM($AG1154:AJ1154))),0)</f>
        <v>541406.25</v>
      </c>
      <c r="AL1154" s="8">
        <f>IF($O1154="Aktif",MAX(0,MIN($AE1154,$AD1154-SUM($AG1154:AK1154))),0)</f>
        <v>541406.25</v>
      </c>
      <c r="AM1154" s="8">
        <f>IF($O1154="Aktif",MAX(0,MIN($AE1154,$AD1154-SUM($AG1154:AL1154))),0)</f>
        <v>541406.25</v>
      </c>
      <c r="AN1154" s="8">
        <f>IF($O1154="Aktif",MAX(0,MIN($AE1154,$AD1154-SUM($AG1154:AM1154))),0)</f>
        <v>541406.25</v>
      </c>
      <c r="AO1154" s="8">
        <f>IF($O1154="Aktif",MAX(0,MIN($AE1154,$AD1154-SUM($AG1154:AN1154))),0)</f>
        <v>541406.25</v>
      </c>
      <c r="AP1154" s="8">
        <f>IF($O1154="Aktif",MAX(0,MIN($AE1154,$AD1154-SUM($AG1154:AO1154))),0)</f>
        <v>541406.25</v>
      </c>
      <c r="AQ1154" s="8">
        <f>IF($O1154="Aktif",MAX(0,MIN($AE1154,$AD1154-SUM($AG1154:AP1154))),0)</f>
        <v>541406.25</v>
      </c>
      <c r="AR1154" s="8">
        <f>IF($O1154="Aktif",MAX(0,MIN($AE1154,$AD1154-SUM($AG1154:AQ1154))),0)</f>
        <v>541406.25</v>
      </c>
      <c r="AS1154" s="8">
        <f>IF($O1154="Aktif",MAX(0,MIN($AE1154,$AD1154-SUM($AG1154:AR1154))),0)</f>
        <v>541406.25</v>
      </c>
      <c r="AT1154" s="8">
        <f>IF($O1154="Aktif",MAX(0,MIN($AE1154,$AD1154-SUM($AG1154:AS1154))),0)</f>
        <v>541406.25</v>
      </c>
      <c r="AU1154" s="8">
        <f>IF($O1154="Aktif",MAX(0,MIN($AE1154,$AD1154-SUM($AG1154:AT1154))),0)</f>
        <v>541406.25</v>
      </c>
      <c r="AV1154" s="8">
        <f>IF($O1154="Aktif",MAX(0,MIN($AE1154,$AD1154-SUM($AG1154:AU1154))),0)</f>
        <v>541406.25</v>
      </c>
      <c r="AW1154" s="8">
        <f t="shared" si="124"/>
        <v>8662500</v>
      </c>
      <c r="AX1154" s="8">
        <f t="shared" si="125"/>
        <v>21656250</v>
      </c>
    </row>
    <row r="1155" spans="1:50" ht="15" customHeight="1" x14ac:dyDescent="0.35">
      <c r="A1155" s="102">
        <v>1149</v>
      </c>
      <c r="B1155" s="102" t="s">
        <v>2815</v>
      </c>
      <c r="C1155" s="103">
        <v>171</v>
      </c>
      <c r="D1155" s="102" t="s">
        <v>186</v>
      </c>
      <c r="E1155" s="102" t="s">
        <v>540</v>
      </c>
      <c r="F1155" s="102" t="s">
        <v>3172</v>
      </c>
      <c r="G1155" s="102" t="s">
        <v>3173</v>
      </c>
      <c r="H1155" s="102" t="s">
        <v>3174</v>
      </c>
      <c r="I1155" s="102" t="s">
        <v>63</v>
      </c>
      <c r="J1155" s="102"/>
      <c r="K1155" s="102" t="s">
        <v>3222</v>
      </c>
      <c r="L1155" s="104">
        <v>45056</v>
      </c>
      <c r="M1155" s="102" t="s">
        <v>3223</v>
      </c>
      <c r="N1155" s="102" t="s">
        <v>3224</v>
      </c>
      <c r="O1155" s="102" t="s">
        <v>383</v>
      </c>
      <c r="P1155" s="103">
        <v>1</v>
      </c>
      <c r="Q1155" s="105">
        <v>175000000</v>
      </c>
      <c r="R1155" s="103">
        <v>96</v>
      </c>
      <c r="S1155" s="105">
        <v>1822916.66666667</v>
      </c>
      <c r="T1155" s="105">
        <v>58333333.333333299</v>
      </c>
      <c r="U1155" s="105">
        <v>1822916.66666667</v>
      </c>
      <c r="V1155" s="105">
        <v>1822916.66666667</v>
      </c>
      <c r="W1155" s="105">
        <v>1822916.66666667</v>
      </c>
      <c r="X1155" s="105">
        <v>1822916.66666667</v>
      </c>
      <c r="Y1155" s="105">
        <v>1822916.66666667</v>
      </c>
      <c r="Z1155" s="105">
        <v>1822916.66666667</v>
      </c>
      <c r="AA1155" s="105">
        <v>1822916.66666667</v>
      </c>
      <c r="AB1155" s="105">
        <v>1822916.66666667</v>
      </c>
      <c r="AC1155" s="8">
        <f t="shared" si="119"/>
        <v>72916666.666666657</v>
      </c>
      <c r="AD1155" s="8">
        <f t="shared" si="120"/>
        <v>102083333.33333334</v>
      </c>
      <c r="AE1155" s="8">
        <f t="shared" si="121"/>
        <v>1822916.66666667</v>
      </c>
      <c r="AF1155" s="106">
        <f t="shared" si="122"/>
        <v>55.999999999999901</v>
      </c>
      <c r="AG1155" s="8">
        <f t="shared" si="123"/>
        <v>1822916.66666667</v>
      </c>
      <c r="AH1155" s="8">
        <f>IF($O1155="Aktif",MAX(0,MIN($AE1155,$AD1155-SUM($AG1155:AG1155))),0)</f>
        <v>1822916.66666667</v>
      </c>
      <c r="AI1155" s="8">
        <f>IF($O1155="Aktif",MAX(0,MIN($AE1155,$AD1155-SUM($AG1155:AH1155))),0)</f>
        <v>1822916.66666667</v>
      </c>
      <c r="AJ1155" s="8">
        <f>IF($O1155="Aktif",MAX(0,MIN($AE1155,$AD1155-SUM($AG1155:AI1155))),0)</f>
        <v>1822916.66666667</v>
      </c>
      <c r="AK1155" s="8">
        <f>IF($O1155="Aktif",MAX(0,MIN($AE1155,$AD1155-SUM($AG1155:AJ1155))),0)</f>
        <v>1822916.66666667</v>
      </c>
      <c r="AL1155" s="8">
        <f>IF($O1155="Aktif",MAX(0,MIN($AE1155,$AD1155-SUM($AG1155:AK1155))),0)</f>
        <v>1822916.66666667</v>
      </c>
      <c r="AM1155" s="8">
        <f>IF($O1155="Aktif",MAX(0,MIN($AE1155,$AD1155-SUM($AG1155:AL1155))),0)</f>
        <v>1822916.66666667</v>
      </c>
      <c r="AN1155" s="8">
        <f>IF($O1155="Aktif",MAX(0,MIN($AE1155,$AD1155-SUM($AG1155:AM1155))),0)</f>
        <v>1822916.66666667</v>
      </c>
      <c r="AO1155" s="8">
        <f>IF($O1155="Aktif",MAX(0,MIN($AE1155,$AD1155-SUM($AG1155:AN1155))),0)</f>
        <v>1822916.66666667</v>
      </c>
      <c r="AP1155" s="8">
        <f>IF($O1155="Aktif",MAX(0,MIN($AE1155,$AD1155-SUM($AG1155:AO1155))),0)</f>
        <v>1822916.66666667</v>
      </c>
      <c r="AQ1155" s="8">
        <f>IF($O1155="Aktif",MAX(0,MIN($AE1155,$AD1155-SUM($AG1155:AP1155))),0)</f>
        <v>1822916.66666667</v>
      </c>
      <c r="AR1155" s="8">
        <f>IF($O1155="Aktif",MAX(0,MIN($AE1155,$AD1155-SUM($AG1155:AQ1155))),0)</f>
        <v>1822916.66666667</v>
      </c>
      <c r="AS1155" s="8">
        <f>IF($O1155="Aktif",MAX(0,MIN($AE1155,$AD1155-SUM($AG1155:AR1155))),0)</f>
        <v>1822916.66666667</v>
      </c>
      <c r="AT1155" s="8">
        <f>IF($O1155="Aktif",MAX(0,MIN($AE1155,$AD1155-SUM($AG1155:AS1155))),0)</f>
        <v>1822916.66666667</v>
      </c>
      <c r="AU1155" s="8">
        <f>IF($O1155="Aktif",MAX(0,MIN($AE1155,$AD1155-SUM($AG1155:AT1155))),0)</f>
        <v>1822916.66666667</v>
      </c>
      <c r="AV1155" s="8">
        <f>IF($O1155="Aktif",MAX(0,MIN($AE1155,$AD1155-SUM($AG1155:AU1155))),0)</f>
        <v>1822916.66666667</v>
      </c>
      <c r="AW1155" s="8">
        <f t="shared" si="124"/>
        <v>29166666.666666731</v>
      </c>
      <c r="AX1155" s="8">
        <f t="shared" si="125"/>
        <v>72916666.666666612</v>
      </c>
    </row>
    <row r="1156" spans="1:50" ht="15" customHeight="1" x14ac:dyDescent="0.35">
      <c r="A1156" s="102">
        <v>1150</v>
      </c>
      <c r="B1156" s="102" t="s">
        <v>2815</v>
      </c>
      <c r="C1156" s="103">
        <v>172</v>
      </c>
      <c r="D1156" s="102" t="s">
        <v>186</v>
      </c>
      <c r="E1156" s="102" t="s">
        <v>540</v>
      </c>
      <c r="F1156" s="102" t="s">
        <v>3172</v>
      </c>
      <c r="G1156" s="102" t="s">
        <v>3173</v>
      </c>
      <c r="H1156" s="102" t="s">
        <v>3174</v>
      </c>
      <c r="I1156" s="102" t="s">
        <v>63</v>
      </c>
      <c r="J1156" s="102"/>
      <c r="K1156" s="102" t="s">
        <v>3225</v>
      </c>
      <c r="L1156" s="104">
        <v>45061</v>
      </c>
      <c r="M1156" s="102" t="s">
        <v>3226</v>
      </c>
      <c r="N1156" s="102" t="s">
        <v>3227</v>
      </c>
      <c r="O1156" s="102" t="s">
        <v>383</v>
      </c>
      <c r="P1156" s="103">
        <v>1</v>
      </c>
      <c r="Q1156" s="105">
        <v>130000000</v>
      </c>
      <c r="R1156" s="103">
        <v>96</v>
      </c>
      <c r="S1156" s="105">
        <v>1354166.66666667</v>
      </c>
      <c r="T1156" s="105">
        <v>43333333.333333299</v>
      </c>
      <c r="U1156" s="105">
        <v>1354166.66666667</v>
      </c>
      <c r="V1156" s="105">
        <v>1354166.66666667</v>
      </c>
      <c r="W1156" s="105">
        <v>1354166.66666667</v>
      </c>
      <c r="X1156" s="105">
        <v>1354166.66666667</v>
      </c>
      <c r="Y1156" s="105">
        <v>1354166.66666667</v>
      </c>
      <c r="Z1156" s="105">
        <v>1354166.66666667</v>
      </c>
      <c r="AA1156" s="105">
        <v>1354166.66666667</v>
      </c>
      <c r="AB1156" s="105">
        <v>1354166.66666667</v>
      </c>
      <c r="AC1156" s="8">
        <f t="shared" si="119"/>
        <v>54166666.666666657</v>
      </c>
      <c r="AD1156" s="8">
        <f t="shared" si="120"/>
        <v>75833333.333333343</v>
      </c>
      <c r="AE1156" s="8">
        <f t="shared" si="121"/>
        <v>1354166.66666667</v>
      </c>
      <c r="AF1156" s="106">
        <f t="shared" si="122"/>
        <v>55.999999999999872</v>
      </c>
      <c r="AG1156" s="8">
        <f t="shared" si="123"/>
        <v>1354166.66666667</v>
      </c>
      <c r="AH1156" s="8">
        <f>IF($O1156="Aktif",MAX(0,MIN($AE1156,$AD1156-SUM($AG1156:AG1156))),0)</f>
        <v>1354166.66666667</v>
      </c>
      <c r="AI1156" s="8">
        <f>IF($O1156="Aktif",MAX(0,MIN($AE1156,$AD1156-SUM($AG1156:AH1156))),0)</f>
        <v>1354166.66666667</v>
      </c>
      <c r="AJ1156" s="8">
        <f>IF($O1156="Aktif",MAX(0,MIN($AE1156,$AD1156-SUM($AG1156:AI1156))),0)</f>
        <v>1354166.66666667</v>
      </c>
      <c r="AK1156" s="8">
        <f>IF($O1156="Aktif",MAX(0,MIN($AE1156,$AD1156-SUM($AG1156:AJ1156))),0)</f>
        <v>1354166.66666667</v>
      </c>
      <c r="AL1156" s="8">
        <f>IF($O1156="Aktif",MAX(0,MIN($AE1156,$AD1156-SUM($AG1156:AK1156))),0)</f>
        <v>1354166.66666667</v>
      </c>
      <c r="AM1156" s="8">
        <f>IF($O1156="Aktif",MAX(0,MIN($AE1156,$AD1156-SUM($AG1156:AL1156))),0)</f>
        <v>1354166.66666667</v>
      </c>
      <c r="AN1156" s="8">
        <f>IF($O1156="Aktif",MAX(0,MIN($AE1156,$AD1156-SUM($AG1156:AM1156))),0)</f>
        <v>1354166.66666667</v>
      </c>
      <c r="AO1156" s="8">
        <f>IF($O1156="Aktif",MAX(0,MIN($AE1156,$AD1156-SUM($AG1156:AN1156))),0)</f>
        <v>1354166.66666667</v>
      </c>
      <c r="AP1156" s="8">
        <f>IF($O1156="Aktif",MAX(0,MIN($AE1156,$AD1156-SUM($AG1156:AO1156))),0)</f>
        <v>1354166.66666667</v>
      </c>
      <c r="AQ1156" s="8">
        <f>IF($O1156="Aktif",MAX(0,MIN($AE1156,$AD1156-SUM($AG1156:AP1156))),0)</f>
        <v>1354166.66666667</v>
      </c>
      <c r="AR1156" s="8">
        <f>IF($O1156="Aktif",MAX(0,MIN($AE1156,$AD1156-SUM($AG1156:AQ1156))),0)</f>
        <v>1354166.66666667</v>
      </c>
      <c r="AS1156" s="8">
        <f>IF($O1156="Aktif",MAX(0,MIN($AE1156,$AD1156-SUM($AG1156:AR1156))),0)</f>
        <v>1354166.66666667</v>
      </c>
      <c r="AT1156" s="8">
        <f>IF($O1156="Aktif",MAX(0,MIN($AE1156,$AD1156-SUM($AG1156:AS1156))),0)</f>
        <v>1354166.66666667</v>
      </c>
      <c r="AU1156" s="8">
        <f>IF($O1156="Aktif",MAX(0,MIN($AE1156,$AD1156-SUM($AG1156:AT1156))),0)</f>
        <v>1354166.66666667</v>
      </c>
      <c r="AV1156" s="8">
        <f>IF($O1156="Aktif",MAX(0,MIN($AE1156,$AD1156-SUM($AG1156:AU1156))),0)</f>
        <v>1354166.66666667</v>
      </c>
      <c r="AW1156" s="8">
        <f t="shared" si="124"/>
        <v>21666666.666666724</v>
      </c>
      <c r="AX1156" s="8">
        <f t="shared" si="125"/>
        <v>54166666.666666619</v>
      </c>
    </row>
    <row r="1157" spans="1:50" ht="15" customHeight="1" x14ac:dyDescent="0.35">
      <c r="A1157" s="102">
        <v>1151</v>
      </c>
      <c r="B1157" s="102" t="s">
        <v>2815</v>
      </c>
      <c r="C1157" s="103">
        <v>173</v>
      </c>
      <c r="D1157" s="102" t="s">
        <v>186</v>
      </c>
      <c r="E1157" s="102" t="s">
        <v>540</v>
      </c>
      <c r="F1157" s="102" t="s">
        <v>3172</v>
      </c>
      <c r="G1157" s="102" t="s">
        <v>3173</v>
      </c>
      <c r="H1157" s="102" t="s">
        <v>3174</v>
      </c>
      <c r="I1157" s="102" t="s">
        <v>63</v>
      </c>
      <c r="J1157" s="102"/>
      <c r="K1157" s="102" t="s">
        <v>3228</v>
      </c>
      <c r="L1157" s="104">
        <v>45070</v>
      </c>
      <c r="M1157" s="102" t="s">
        <v>3229</v>
      </c>
      <c r="N1157" s="102" t="s">
        <v>3230</v>
      </c>
      <c r="O1157" s="102" t="s">
        <v>383</v>
      </c>
      <c r="P1157" s="103">
        <v>1</v>
      </c>
      <c r="Q1157" s="105">
        <v>112200000</v>
      </c>
      <c r="R1157" s="103">
        <v>96</v>
      </c>
      <c r="S1157" s="105">
        <v>1168750</v>
      </c>
      <c r="T1157" s="105">
        <v>37400000</v>
      </c>
      <c r="U1157" s="105">
        <v>1168750</v>
      </c>
      <c r="V1157" s="105">
        <v>1168750</v>
      </c>
      <c r="W1157" s="105">
        <v>1168750</v>
      </c>
      <c r="X1157" s="105">
        <v>1168750</v>
      </c>
      <c r="Y1157" s="105">
        <v>1168750</v>
      </c>
      <c r="Z1157" s="105">
        <v>1168750</v>
      </c>
      <c r="AA1157" s="105">
        <v>1168750</v>
      </c>
      <c r="AB1157" s="105">
        <v>1168750</v>
      </c>
      <c r="AC1157" s="8">
        <f t="shared" si="119"/>
        <v>46750000</v>
      </c>
      <c r="AD1157" s="8">
        <f t="shared" si="120"/>
        <v>65450000</v>
      </c>
      <c r="AE1157" s="8">
        <f t="shared" si="121"/>
        <v>1168750</v>
      </c>
      <c r="AF1157" s="106">
        <f t="shared" si="122"/>
        <v>56</v>
      </c>
      <c r="AG1157" s="8">
        <f t="shared" si="123"/>
        <v>1168750</v>
      </c>
      <c r="AH1157" s="8">
        <f>IF($O1157="Aktif",MAX(0,MIN($AE1157,$AD1157-SUM($AG1157:AG1157))),0)</f>
        <v>1168750</v>
      </c>
      <c r="AI1157" s="8">
        <f>IF($O1157="Aktif",MAX(0,MIN($AE1157,$AD1157-SUM($AG1157:AH1157))),0)</f>
        <v>1168750</v>
      </c>
      <c r="AJ1157" s="8">
        <f>IF($O1157="Aktif",MAX(0,MIN($AE1157,$AD1157-SUM($AG1157:AI1157))),0)</f>
        <v>1168750</v>
      </c>
      <c r="AK1157" s="8">
        <f>IF($O1157="Aktif",MAX(0,MIN($AE1157,$AD1157-SUM($AG1157:AJ1157))),0)</f>
        <v>1168750</v>
      </c>
      <c r="AL1157" s="8">
        <f>IF($O1157="Aktif",MAX(0,MIN($AE1157,$AD1157-SUM($AG1157:AK1157))),0)</f>
        <v>1168750</v>
      </c>
      <c r="AM1157" s="8">
        <f>IF($O1157="Aktif",MAX(0,MIN($AE1157,$AD1157-SUM($AG1157:AL1157))),0)</f>
        <v>1168750</v>
      </c>
      <c r="AN1157" s="8">
        <f>IF($O1157="Aktif",MAX(0,MIN($AE1157,$AD1157-SUM($AG1157:AM1157))),0)</f>
        <v>1168750</v>
      </c>
      <c r="AO1157" s="8">
        <f>IF($O1157="Aktif",MAX(0,MIN($AE1157,$AD1157-SUM($AG1157:AN1157))),0)</f>
        <v>1168750</v>
      </c>
      <c r="AP1157" s="8">
        <f>IF($O1157="Aktif",MAX(0,MIN($AE1157,$AD1157-SUM($AG1157:AO1157))),0)</f>
        <v>1168750</v>
      </c>
      <c r="AQ1157" s="8">
        <f>IF($O1157="Aktif",MAX(0,MIN($AE1157,$AD1157-SUM($AG1157:AP1157))),0)</f>
        <v>1168750</v>
      </c>
      <c r="AR1157" s="8">
        <f>IF($O1157="Aktif",MAX(0,MIN($AE1157,$AD1157-SUM($AG1157:AQ1157))),0)</f>
        <v>1168750</v>
      </c>
      <c r="AS1157" s="8">
        <f>IF($O1157="Aktif",MAX(0,MIN($AE1157,$AD1157-SUM($AG1157:AR1157))),0)</f>
        <v>1168750</v>
      </c>
      <c r="AT1157" s="8">
        <f>IF($O1157="Aktif",MAX(0,MIN($AE1157,$AD1157-SUM($AG1157:AS1157))),0)</f>
        <v>1168750</v>
      </c>
      <c r="AU1157" s="8">
        <f>IF($O1157="Aktif",MAX(0,MIN($AE1157,$AD1157-SUM($AG1157:AT1157))),0)</f>
        <v>1168750</v>
      </c>
      <c r="AV1157" s="8">
        <f>IF($O1157="Aktif",MAX(0,MIN($AE1157,$AD1157-SUM($AG1157:AU1157))),0)</f>
        <v>1168750</v>
      </c>
      <c r="AW1157" s="8">
        <f t="shared" si="124"/>
        <v>18700000</v>
      </c>
      <c r="AX1157" s="8">
        <f t="shared" si="125"/>
        <v>46750000</v>
      </c>
    </row>
    <row r="1158" spans="1:50" ht="15" customHeight="1" x14ac:dyDescent="0.35">
      <c r="A1158" s="102">
        <v>1152</v>
      </c>
      <c r="B1158" s="102" t="s">
        <v>2815</v>
      </c>
      <c r="C1158" s="103">
        <v>174</v>
      </c>
      <c r="D1158" s="102" t="s">
        <v>186</v>
      </c>
      <c r="E1158" s="102" t="s">
        <v>540</v>
      </c>
      <c r="F1158" s="102" t="s">
        <v>3172</v>
      </c>
      <c r="G1158" s="102" t="s">
        <v>3173</v>
      </c>
      <c r="H1158" s="102" t="s">
        <v>3174</v>
      </c>
      <c r="I1158" s="102" t="s">
        <v>63</v>
      </c>
      <c r="J1158" s="102"/>
      <c r="K1158" s="102" t="s">
        <v>3231</v>
      </c>
      <c r="L1158" s="104">
        <v>45070</v>
      </c>
      <c r="M1158" s="102" t="s">
        <v>3232</v>
      </c>
      <c r="N1158" s="102" t="s">
        <v>3233</v>
      </c>
      <c r="O1158" s="102" t="s">
        <v>383</v>
      </c>
      <c r="P1158" s="103">
        <v>1</v>
      </c>
      <c r="Q1158" s="105">
        <v>77900000</v>
      </c>
      <c r="R1158" s="103">
        <v>96</v>
      </c>
      <c r="S1158" s="105">
        <v>811458.33333333302</v>
      </c>
      <c r="T1158" s="105">
        <v>25966666.666666701</v>
      </c>
      <c r="U1158" s="105">
        <v>811458.33333333302</v>
      </c>
      <c r="V1158" s="105">
        <v>811458.33333333302</v>
      </c>
      <c r="W1158" s="105">
        <v>811458.33333333302</v>
      </c>
      <c r="X1158" s="105">
        <v>811458.33333333302</v>
      </c>
      <c r="Y1158" s="105">
        <v>811458.33333333302</v>
      </c>
      <c r="Z1158" s="105">
        <v>811458.33333333302</v>
      </c>
      <c r="AA1158" s="105">
        <v>811458.33333333302</v>
      </c>
      <c r="AB1158" s="105">
        <v>811458.33333333302</v>
      </c>
      <c r="AC1158" s="8">
        <f t="shared" si="119"/>
        <v>32458333.333333366</v>
      </c>
      <c r="AD1158" s="8">
        <f t="shared" si="120"/>
        <v>45441666.666666634</v>
      </c>
      <c r="AE1158" s="8">
        <f t="shared" si="121"/>
        <v>811458.33333333302</v>
      </c>
      <c r="AF1158" s="106">
        <f t="shared" si="122"/>
        <v>55.999999999999979</v>
      </c>
      <c r="AG1158" s="8">
        <f t="shared" si="123"/>
        <v>811458.33333333302</v>
      </c>
      <c r="AH1158" s="8">
        <f>IF($O1158="Aktif",MAX(0,MIN($AE1158,$AD1158-SUM($AG1158:AG1158))),0)</f>
        <v>811458.33333333302</v>
      </c>
      <c r="AI1158" s="8">
        <f>IF($O1158="Aktif",MAX(0,MIN($AE1158,$AD1158-SUM($AG1158:AH1158))),0)</f>
        <v>811458.33333333302</v>
      </c>
      <c r="AJ1158" s="8">
        <f>IF($O1158="Aktif",MAX(0,MIN($AE1158,$AD1158-SUM($AG1158:AI1158))),0)</f>
        <v>811458.33333333302</v>
      </c>
      <c r="AK1158" s="8">
        <f>IF($O1158="Aktif",MAX(0,MIN($AE1158,$AD1158-SUM($AG1158:AJ1158))),0)</f>
        <v>811458.33333333302</v>
      </c>
      <c r="AL1158" s="8">
        <f>IF($O1158="Aktif",MAX(0,MIN($AE1158,$AD1158-SUM($AG1158:AK1158))),0)</f>
        <v>811458.33333333302</v>
      </c>
      <c r="AM1158" s="8">
        <f>IF($O1158="Aktif",MAX(0,MIN($AE1158,$AD1158-SUM($AG1158:AL1158))),0)</f>
        <v>811458.33333333302</v>
      </c>
      <c r="AN1158" s="8">
        <f>IF($O1158="Aktif",MAX(0,MIN($AE1158,$AD1158-SUM($AG1158:AM1158))),0)</f>
        <v>811458.33333333302</v>
      </c>
      <c r="AO1158" s="8">
        <f>IF($O1158="Aktif",MAX(0,MIN($AE1158,$AD1158-SUM($AG1158:AN1158))),0)</f>
        <v>811458.33333333302</v>
      </c>
      <c r="AP1158" s="8">
        <f>IF($O1158="Aktif",MAX(0,MIN($AE1158,$AD1158-SUM($AG1158:AO1158))),0)</f>
        <v>811458.33333333302</v>
      </c>
      <c r="AQ1158" s="8">
        <f>IF($O1158="Aktif",MAX(0,MIN($AE1158,$AD1158-SUM($AG1158:AP1158))),0)</f>
        <v>811458.33333333302</v>
      </c>
      <c r="AR1158" s="8">
        <f>IF($O1158="Aktif",MAX(0,MIN($AE1158,$AD1158-SUM($AG1158:AQ1158))),0)</f>
        <v>811458.33333333302</v>
      </c>
      <c r="AS1158" s="8">
        <f>IF($O1158="Aktif",MAX(0,MIN($AE1158,$AD1158-SUM($AG1158:AR1158))),0)</f>
        <v>811458.33333333302</v>
      </c>
      <c r="AT1158" s="8">
        <f>IF($O1158="Aktif",MAX(0,MIN($AE1158,$AD1158-SUM($AG1158:AS1158))),0)</f>
        <v>811458.33333333302</v>
      </c>
      <c r="AU1158" s="8">
        <f>IF($O1158="Aktif",MAX(0,MIN($AE1158,$AD1158-SUM($AG1158:AT1158))),0)</f>
        <v>811458.33333333302</v>
      </c>
      <c r="AV1158" s="8">
        <f>IF($O1158="Aktif",MAX(0,MIN($AE1158,$AD1158-SUM($AG1158:AU1158))),0)</f>
        <v>811458.33333333302</v>
      </c>
      <c r="AW1158" s="8">
        <f t="shared" si="124"/>
        <v>12983333.333333325</v>
      </c>
      <c r="AX1158" s="8">
        <f t="shared" si="125"/>
        <v>32458333.33333331</v>
      </c>
    </row>
    <row r="1159" spans="1:50" ht="15" customHeight="1" x14ac:dyDescent="0.35">
      <c r="A1159" s="102">
        <v>1153</v>
      </c>
      <c r="B1159" s="102" t="s">
        <v>2815</v>
      </c>
      <c r="C1159" s="103">
        <v>175</v>
      </c>
      <c r="D1159" s="102" t="s">
        <v>186</v>
      </c>
      <c r="E1159" s="102" t="s">
        <v>540</v>
      </c>
      <c r="F1159" s="102" t="s">
        <v>3172</v>
      </c>
      <c r="G1159" s="102" t="s">
        <v>3173</v>
      </c>
      <c r="H1159" s="102" t="s">
        <v>3174</v>
      </c>
      <c r="I1159" s="102" t="s">
        <v>63</v>
      </c>
      <c r="J1159" s="102"/>
      <c r="K1159" s="102" t="s">
        <v>3234</v>
      </c>
      <c r="L1159" s="104">
        <v>45071</v>
      </c>
      <c r="M1159" s="102" t="s">
        <v>3235</v>
      </c>
      <c r="N1159" s="102" t="s">
        <v>3236</v>
      </c>
      <c r="O1159" s="102" t="s">
        <v>383</v>
      </c>
      <c r="P1159" s="103">
        <v>1</v>
      </c>
      <c r="Q1159" s="105">
        <v>1334665761</v>
      </c>
      <c r="R1159" s="103">
        <v>96</v>
      </c>
      <c r="S1159" s="105">
        <v>13902768.34375</v>
      </c>
      <c r="T1159" s="105">
        <v>444888587</v>
      </c>
      <c r="U1159" s="105">
        <v>13902768.34375</v>
      </c>
      <c r="V1159" s="105">
        <v>13902768.34375</v>
      </c>
      <c r="W1159" s="105">
        <v>13902768.34375</v>
      </c>
      <c r="X1159" s="105">
        <v>13902768.34375</v>
      </c>
      <c r="Y1159" s="105">
        <v>13902768.34375</v>
      </c>
      <c r="Z1159" s="105">
        <v>13902768.34375</v>
      </c>
      <c r="AA1159" s="105">
        <v>13902768.34375</v>
      </c>
      <c r="AB1159" s="105">
        <v>13902768.34375</v>
      </c>
      <c r="AC1159" s="8">
        <f t="shared" ref="AC1159:AC1222" si="126">T1159+SUM(U1159:AB1159)</f>
        <v>556110733.75</v>
      </c>
      <c r="AD1159" s="8">
        <f t="shared" ref="AD1159:AD1222" si="127">Q1159-AC1159</f>
        <v>778555027.25</v>
      </c>
      <c r="AE1159" s="8">
        <f t="shared" ref="AE1159:AE1222" si="128">IF(O1159="Aktif",AB1159,0)</f>
        <v>13902768.34375</v>
      </c>
      <c r="AF1159" s="106">
        <f t="shared" ref="AF1159:AF1222" si="129">IF(AE1159&gt;0,MAX(0,AD1159)/AE1159,0)</f>
        <v>56</v>
      </c>
      <c r="AG1159" s="8">
        <f t="shared" ref="AG1159:AG1222" si="130">IF($O1159="Aktif",MAX(0,MIN($AE1159,$AD1159-0)),0)</f>
        <v>13902768.34375</v>
      </c>
      <c r="AH1159" s="8">
        <f>IF($O1159="Aktif",MAX(0,MIN($AE1159,$AD1159-SUM($AG1159:AG1159))),0)</f>
        <v>13902768.34375</v>
      </c>
      <c r="AI1159" s="8">
        <f>IF($O1159="Aktif",MAX(0,MIN($AE1159,$AD1159-SUM($AG1159:AH1159))),0)</f>
        <v>13902768.34375</v>
      </c>
      <c r="AJ1159" s="8">
        <f>IF($O1159="Aktif",MAX(0,MIN($AE1159,$AD1159-SUM($AG1159:AI1159))),0)</f>
        <v>13902768.34375</v>
      </c>
      <c r="AK1159" s="8">
        <f>IF($O1159="Aktif",MAX(0,MIN($AE1159,$AD1159-SUM($AG1159:AJ1159))),0)</f>
        <v>13902768.34375</v>
      </c>
      <c r="AL1159" s="8">
        <f>IF($O1159="Aktif",MAX(0,MIN($AE1159,$AD1159-SUM($AG1159:AK1159))),0)</f>
        <v>13902768.34375</v>
      </c>
      <c r="AM1159" s="8">
        <f>IF($O1159="Aktif",MAX(0,MIN($AE1159,$AD1159-SUM($AG1159:AL1159))),0)</f>
        <v>13902768.34375</v>
      </c>
      <c r="AN1159" s="8">
        <f>IF($O1159="Aktif",MAX(0,MIN($AE1159,$AD1159-SUM($AG1159:AM1159))),0)</f>
        <v>13902768.34375</v>
      </c>
      <c r="AO1159" s="8">
        <f>IF($O1159="Aktif",MAX(0,MIN($AE1159,$AD1159-SUM($AG1159:AN1159))),0)</f>
        <v>13902768.34375</v>
      </c>
      <c r="AP1159" s="8">
        <f>IF($O1159="Aktif",MAX(0,MIN($AE1159,$AD1159-SUM($AG1159:AO1159))),0)</f>
        <v>13902768.34375</v>
      </c>
      <c r="AQ1159" s="8">
        <f>IF($O1159="Aktif",MAX(0,MIN($AE1159,$AD1159-SUM($AG1159:AP1159))),0)</f>
        <v>13902768.34375</v>
      </c>
      <c r="AR1159" s="8">
        <f>IF($O1159="Aktif",MAX(0,MIN($AE1159,$AD1159-SUM($AG1159:AQ1159))),0)</f>
        <v>13902768.34375</v>
      </c>
      <c r="AS1159" s="8">
        <f>IF($O1159="Aktif",MAX(0,MIN($AE1159,$AD1159-SUM($AG1159:AR1159))),0)</f>
        <v>13902768.34375</v>
      </c>
      <c r="AT1159" s="8">
        <f>IF($O1159="Aktif",MAX(0,MIN($AE1159,$AD1159-SUM($AG1159:AS1159))),0)</f>
        <v>13902768.34375</v>
      </c>
      <c r="AU1159" s="8">
        <f>IF($O1159="Aktif",MAX(0,MIN($AE1159,$AD1159-SUM($AG1159:AT1159))),0)</f>
        <v>13902768.34375</v>
      </c>
      <c r="AV1159" s="8">
        <f>IF($O1159="Aktif",MAX(0,MIN($AE1159,$AD1159-SUM($AG1159:AU1159))),0)</f>
        <v>13902768.34375</v>
      </c>
      <c r="AW1159" s="8">
        <f t="shared" ref="AW1159:AW1222" si="131">SUM(AG1159:AV1159)</f>
        <v>222444293.5</v>
      </c>
      <c r="AX1159" s="8">
        <f t="shared" ref="AX1159:AX1222" si="132">AD1159-AW1159</f>
        <v>556110733.75</v>
      </c>
    </row>
    <row r="1160" spans="1:50" ht="15" customHeight="1" x14ac:dyDescent="0.35">
      <c r="A1160" s="102">
        <v>1154</v>
      </c>
      <c r="B1160" s="102" t="s">
        <v>2815</v>
      </c>
      <c r="C1160" s="103">
        <v>176</v>
      </c>
      <c r="D1160" s="102" t="s">
        <v>186</v>
      </c>
      <c r="E1160" s="102" t="s">
        <v>540</v>
      </c>
      <c r="F1160" s="102" t="s">
        <v>3172</v>
      </c>
      <c r="G1160" s="102" t="s">
        <v>3173</v>
      </c>
      <c r="H1160" s="102" t="s">
        <v>3174</v>
      </c>
      <c r="I1160" s="102" t="s">
        <v>63</v>
      </c>
      <c r="J1160" s="102"/>
      <c r="K1160" s="102" t="s">
        <v>3237</v>
      </c>
      <c r="L1160" s="104">
        <v>45072</v>
      </c>
      <c r="M1160" s="102" t="s">
        <v>3238</v>
      </c>
      <c r="N1160" s="102" t="s">
        <v>3239</v>
      </c>
      <c r="O1160" s="102" t="s">
        <v>383</v>
      </c>
      <c r="P1160" s="103">
        <v>1</v>
      </c>
      <c r="Q1160" s="105">
        <v>1418466324.5</v>
      </c>
      <c r="R1160" s="103">
        <v>96</v>
      </c>
      <c r="S1160" s="105">
        <v>14775690.8802083</v>
      </c>
      <c r="T1160" s="105">
        <v>472822108.16666698</v>
      </c>
      <c r="U1160" s="105">
        <v>14775690.8802083</v>
      </c>
      <c r="V1160" s="105">
        <v>14775690.8802083</v>
      </c>
      <c r="W1160" s="105">
        <v>14775690.8802083</v>
      </c>
      <c r="X1160" s="105">
        <v>14775690.8802083</v>
      </c>
      <c r="Y1160" s="105">
        <v>14775690.8802083</v>
      </c>
      <c r="Z1160" s="105">
        <v>14775690.8802083</v>
      </c>
      <c r="AA1160" s="105">
        <v>14775690.8802083</v>
      </c>
      <c r="AB1160" s="105">
        <v>14775690.8802083</v>
      </c>
      <c r="AC1160" s="8">
        <f t="shared" si="126"/>
        <v>591027635.20833337</v>
      </c>
      <c r="AD1160" s="8">
        <f t="shared" si="127"/>
        <v>827438689.29166663</v>
      </c>
      <c r="AE1160" s="8">
        <f t="shared" si="128"/>
        <v>14775690.8802083</v>
      </c>
      <c r="AF1160" s="106">
        <f t="shared" si="129"/>
        <v>56.000000000000121</v>
      </c>
      <c r="AG1160" s="8">
        <f t="shared" si="130"/>
        <v>14775690.8802083</v>
      </c>
      <c r="AH1160" s="8">
        <f>IF($O1160="Aktif",MAX(0,MIN($AE1160,$AD1160-SUM($AG1160:AG1160))),0)</f>
        <v>14775690.8802083</v>
      </c>
      <c r="AI1160" s="8">
        <f>IF($O1160="Aktif",MAX(0,MIN($AE1160,$AD1160-SUM($AG1160:AH1160))),0)</f>
        <v>14775690.8802083</v>
      </c>
      <c r="AJ1160" s="8">
        <f>IF($O1160="Aktif",MAX(0,MIN($AE1160,$AD1160-SUM($AG1160:AI1160))),0)</f>
        <v>14775690.8802083</v>
      </c>
      <c r="AK1160" s="8">
        <f>IF($O1160="Aktif",MAX(0,MIN($AE1160,$AD1160-SUM($AG1160:AJ1160))),0)</f>
        <v>14775690.8802083</v>
      </c>
      <c r="AL1160" s="8">
        <f>IF($O1160="Aktif",MAX(0,MIN($AE1160,$AD1160-SUM($AG1160:AK1160))),0)</f>
        <v>14775690.8802083</v>
      </c>
      <c r="AM1160" s="8">
        <f>IF($O1160="Aktif",MAX(0,MIN($AE1160,$AD1160-SUM($AG1160:AL1160))),0)</f>
        <v>14775690.8802083</v>
      </c>
      <c r="AN1160" s="8">
        <f>IF($O1160="Aktif",MAX(0,MIN($AE1160,$AD1160-SUM($AG1160:AM1160))),0)</f>
        <v>14775690.8802083</v>
      </c>
      <c r="AO1160" s="8">
        <f>IF($O1160="Aktif",MAX(0,MIN($AE1160,$AD1160-SUM($AG1160:AN1160))),0)</f>
        <v>14775690.8802083</v>
      </c>
      <c r="AP1160" s="8">
        <f>IF($O1160="Aktif",MAX(0,MIN($AE1160,$AD1160-SUM($AG1160:AO1160))),0)</f>
        <v>14775690.8802083</v>
      </c>
      <c r="AQ1160" s="8">
        <f>IF($O1160="Aktif",MAX(0,MIN($AE1160,$AD1160-SUM($AG1160:AP1160))),0)</f>
        <v>14775690.8802083</v>
      </c>
      <c r="AR1160" s="8">
        <f>IF($O1160="Aktif",MAX(0,MIN($AE1160,$AD1160-SUM($AG1160:AQ1160))),0)</f>
        <v>14775690.8802083</v>
      </c>
      <c r="AS1160" s="8">
        <f>IF($O1160="Aktif",MAX(0,MIN($AE1160,$AD1160-SUM($AG1160:AR1160))),0)</f>
        <v>14775690.8802083</v>
      </c>
      <c r="AT1160" s="8">
        <f>IF($O1160="Aktif",MAX(0,MIN($AE1160,$AD1160-SUM($AG1160:AS1160))),0)</f>
        <v>14775690.8802083</v>
      </c>
      <c r="AU1160" s="8">
        <f>IF($O1160="Aktif",MAX(0,MIN($AE1160,$AD1160-SUM($AG1160:AT1160))),0)</f>
        <v>14775690.8802083</v>
      </c>
      <c r="AV1160" s="8">
        <f>IF($O1160="Aktif",MAX(0,MIN($AE1160,$AD1160-SUM($AG1160:AU1160))),0)</f>
        <v>14775690.8802083</v>
      </c>
      <c r="AW1160" s="8">
        <f t="shared" si="131"/>
        <v>236411054.0833329</v>
      </c>
      <c r="AX1160" s="8">
        <f t="shared" si="132"/>
        <v>591027635.20833373</v>
      </c>
    </row>
    <row r="1161" spans="1:50" ht="15" customHeight="1" x14ac:dyDescent="0.35">
      <c r="A1161" s="102">
        <v>1155</v>
      </c>
      <c r="B1161" s="102" t="s">
        <v>2815</v>
      </c>
      <c r="C1161" s="103">
        <v>177</v>
      </c>
      <c r="D1161" s="102" t="s">
        <v>186</v>
      </c>
      <c r="E1161" s="102" t="s">
        <v>540</v>
      </c>
      <c r="F1161" s="102" t="s">
        <v>3172</v>
      </c>
      <c r="G1161" s="102" t="s">
        <v>3173</v>
      </c>
      <c r="H1161" s="102" t="s">
        <v>3174</v>
      </c>
      <c r="I1161" s="102" t="s">
        <v>63</v>
      </c>
      <c r="J1161" s="102"/>
      <c r="K1161" s="102" t="s">
        <v>3240</v>
      </c>
      <c r="L1161" s="104">
        <v>45072</v>
      </c>
      <c r="M1161" s="102" t="s">
        <v>3241</v>
      </c>
      <c r="N1161" s="102" t="s">
        <v>3242</v>
      </c>
      <c r="O1161" s="102" t="s">
        <v>383</v>
      </c>
      <c r="P1161" s="103">
        <v>1</v>
      </c>
      <c r="Q1161" s="105">
        <v>182336421.59999999</v>
      </c>
      <c r="R1161" s="103">
        <v>96</v>
      </c>
      <c r="S1161" s="105">
        <v>1899337.7250000001</v>
      </c>
      <c r="T1161" s="105">
        <v>60778807.200000003</v>
      </c>
      <c r="U1161" s="105">
        <v>1899337.7250000001</v>
      </c>
      <c r="V1161" s="105">
        <v>1899337.7250000001</v>
      </c>
      <c r="W1161" s="105">
        <v>1899337.7250000001</v>
      </c>
      <c r="X1161" s="105">
        <v>1899337.7250000001</v>
      </c>
      <c r="Y1161" s="105">
        <v>1899337.7250000001</v>
      </c>
      <c r="Z1161" s="105">
        <v>1899337.7250000001</v>
      </c>
      <c r="AA1161" s="105">
        <v>1899337.7250000001</v>
      </c>
      <c r="AB1161" s="105">
        <v>1899337.7250000001</v>
      </c>
      <c r="AC1161" s="8">
        <f t="shared" si="126"/>
        <v>75973509</v>
      </c>
      <c r="AD1161" s="8">
        <f t="shared" si="127"/>
        <v>106362912.59999999</v>
      </c>
      <c r="AE1161" s="8">
        <f t="shared" si="128"/>
        <v>1899337.7250000001</v>
      </c>
      <c r="AF1161" s="106">
        <f t="shared" si="129"/>
        <v>55.999999999999993</v>
      </c>
      <c r="AG1161" s="8">
        <f t="shared" si="130"/>
        <v>1899337.7250000001</v>
      </c>
      <c r="AH1161" s="8">
        <f>IF($O1161="Aktif",MAX(0,MIN($AE1161,$AD1161-SUM($AG1161:AG1161))),0)</f>
        <v>1899337.7250000001</v>
      </c>
      <c r="AI1161" s="8">
        <f>IF($O1161="Aktif",MAX(0,MIN($AE1161,$AD1161-SUM($AG1161:AH1161))),0)</f>
        <v>1899337.7250000001</v>
      </c>
      <c r="AJ1161" s="8">
        <f>IF($O1161="Aktif",MAX(0,MIN($AE1161,$AD1161-SUM($AG1161:AI1161))),0)</f>
        <v>1899337.7250000001</v>
      </c>
      <c r="AK1161" s="8">
        <f>IF($O1161="Aktif",MAX(0,MIN($AE1161,$AD1161-SUM($AG1161:AJ1161))),0)</f>
        <v>1899337.7250000001</v>
      </c>
      <c r="AL1161" s="8">
        <f>IF($O1161="Aktif",MAX(0,MIN($AE1161,$AD1161-SUM($AG1161:AK1161))),0)</f>
        <v>1899337.7250000001</v>
      </c>
      <c r="AM1161" s="8">
        <f>IF($O1161="Aktif",MAX(0,MIN($AE1161,$AD1161-SUM($AG1161:AL1161))),0)</f>
        <v>1899337.7250000001</v>
      </c>
      <c r="AN1161" s="8">
        <f>IF($O1161="Aktif",MAX(0,MIN($AE1161,$AD1161-SUM($AG1161:AM1161))),0)</f>
        <v>1899337.7250000001</v>
      </c>
      <c r="AO1161" s="8">
        <f>IF($O1161="Aktif",MAX(0,MIN($AE1161,$AD1161-SUM($AG1161:AN1161))),0)</f>
        <v>1899337.7250000001</v>
      </c>
      <c r="AP1161" s="8">
        <f>IF($O1161="Aktif",MAX(0,MIN($AE1161,$AD1161-SUM($AG1161:AO1161))),0)</f>
        <v>1899337.7250000001</v>
      </c>
      <c r="AQ1161" s="8">
        <f>IF($O1161="Aktif",MAX(0,MIN($AE1161,$AD1161-SUM($AG1161:AP1161))),0)</f>
        <v>1899337.7250000001</v>
      </c>
      <c r="AR1161" s="8">
        <f>IF($O1161="Aktif",MAX(0,MIN($AE1161,$AD1161-SUM($AG1161:AQ1161))),0)</f>
        <v>1899337.7250000001</v>
      </c>
      <c r="AS1161" s="8">
        <f>IF($O1161="Aktif",MAX(0,MIN($AE1161,$AD1161-SUM($AG1161:AR1161))),0)</f>
        <v>1899337.7250000001</v>
      </c>
      <c r="AT1161" s="8">
        <f>IF($O1161="Aktif",MAX(0,MIN($AE1161,$AD1161-SUM($AG1161:AS1161))),0)</f>
        <v>1899337.7250000001</v>
      </c>
      <c r="AU1161" s="8">
        <f>IF($O1161="Aktif",MAX(0,MIN($AE1161,$AD1161-SUM($AG1161:AT1161))),0)</f>
        <v>1899337.7250000001</v>
      </c>
      <c r="AV1161" s="8">
        <f>IF($O1161="Aktif",MAX(0,MIN($AE1161,$AD1161-SUM($AG1161:AU1161))),0)</f>
        <v>1899337.7250000001</v>
      </c>
      <c r="AW1161" s="8">
        <f t="shared" si="131"/>
        <v>30389403.600000009</v>
      </c>
      <c r="AX1161" s="8">
        <f t="shared" si="132"/>
        <v>75973508.999999985</v>
      </c>
    </row>
    <row r="1162" spans="1:50" ht="15" customHeight="1" x14ac:dyDescent="0.35">
      <c r="A1162" s="102">
        <v>1156</v>
      </c>
      <c r="B1162" s="102" t="s">
        <v>2815</v>
      </c>
      <c r="C1162" s="103">
        <v>178</v>
      </c>
      <c r="D1162" s="102" t="s">
        <v>186</v>
      </c>
      <c r="E1162" s="102" t="s">
        <v>540</v>
      </c>
      <c r="F1162" s="102" t="s">
        <v>3172</v>
      </c>
      <c r="G1162" s="102" t="s">
        <v>3173</v>
      </c>
      <c r="H1162" s="102" t="s">
        <v>3174</v>
      </c>
      <c r="I1162" s="102" t="s">
        <v>63</v>
      </c>
      <c r="J1162" s="102"/>
      <c r="K1162" s="102" t="s">
        <v>3243</v>
      </c>
      <c r="L1162" s="104">
        <v>45072</v>
      </c>
      <c r="M1162" s="102" t="s">
        <v>3244</v>
      </c>
      <c r="N1162" s="102" t="s">
        <v>3245</v>
      </c>
      <c r="O1162" s="102" t="s">
        <v>383</v>
      </c>
      <c r="P1162" s="103">
        <v>1</v>
      </c>
      <c r="Q1162" s="105">
        <v>76361430</v>
      </c>
      <c r="R1162" s="103">
        <v>96</v>
      </c>
      <c r="S1162" s="105">
        <v>795431.5625</v>
      </c>
      <c r="T1162" s="105">
        <v>25453810</v>
      </c>
      <c r="U1162" s="105">
        <v>795431.5625</v>
      </c>
      <c r="V1162" s="105">
        <v>795431.5625</v>
      </c>
      <c r="W1162" s="105">
        <v>795431.5625</v>
      </c>
      <c r="X1162" s="105">
        <v>795431.5625</v>
      </c>
      <c r="Y1162" s="105">
        <v>795431.5625</v>
      </c>
      <c r="Z1162" s="105">
        <v>795431.5625</v>
      </c>
      <c r="AA1162" s="105">
        <v>795431.5625</v>
      </c>
      <c r="AB1162" s="105">
        <v>795431.5625</v>
      </c>
      <c r="AC1162" s="8">
        <f t="shared" si="126"/>
        <v>31817262.5</v>
      </c>
      <c r="AD1162" s="8">
        <f t="shared" si="127"/>
        <v>44544167.5</v>
      </c>
      <c r="AE1162" s="8">
        <f t="shared" si="128"/>
        <v>795431.5625</v>
      </c>
      <c r="AF1162" s="106">
        <f t="shared" si="129"/>
        <v>56</v>
      </c>
      <c r="AG1162" s="8">
        <f t="shared" si="130"/>
        <v>795431.5625</v>
      </c>
      <c r="AH1162" s="8">
        <f>IF($O1162="Aktif",MAX(0,MIN($AE1162,$AD1162-SUM($AG1162:AG1162))),0)</f>
        <v>795431.5625</v>
      </c>
      <c r="AI1162" s="8">
        <f>IF($O1162="Aktif",MAX(0,MIN($AE1162,$AD1162-SUM($AG1162:AH1162))),0)</f>
        <v>795431.5625</v>
      </c>
      <c r="AJ1162" s="8">
        <f>IF($O1162="Aktif",MAX(0,MIN($AE1162,$AD1162-SUM($AG1162:AI1162))),0)</f>
        <v>795431.5625</v>
      </c>
      <c r="AK1162" s="8">
        <f>IF($O1162="Aktif",MAX(0,MIN($AE1162,$AD1162-SUM($AG1162:AJ1162))),0)</f>
        <v>795431.5625</v>
      </c>
      <c r="AL1162" s="8">
        <f>IF($O1162="Aktif",MAX(0,MIN($AE1162,$AD1162-SUM($AG1162:AK1162))),0)</f>
        <v>795431.5625</v>
      </c>
      <c r="AM1162" s="8">
        <f>IF($O1162="Aktif",MAX(0,MIN($AE1162,$AD1162-SUM($AG1162:AL1162))),0)</f>
        <v>795431.5625</v>
      </c>
      <c r="AN1162" s="8">
        <f>IF($O1162="Aktif",MAX(0,MIN($AE1162,$AD1162-SUM($AG1162:AM1162))),0)</f>
        <v>795431.5625</v>
      </c>
      <c r="AO1162" s="8">
        <f>IF($O1162="Aktif",MAX(0,MIN($AE1162,$AD1162-SUM($AG1162:AN1162))),0)</f>
        <v>795431.5625</v>
      </c>
      <c r="AP1162" s="8">
        <f>IF($O1162="Aktif",MAX(0,MIN($AE1162,$AD1162-SUM($AG1162:AO1162))),0)</f>
        <v>795431.5625</v>
      </c>
      <c r="AQ1162" s="8">
        <f>IF($O1162="Aktif",MAX(0,MIN($AE1162,$AD1162-SUM($AG1162:AP1162))),0)</f>
        <v>795431.5625</v>
      </c>
      <c r="AR1162" s="8">
        <f>IF($O1162="Aktif",MAX(0,MIN($AE1162,$AD1162-SUM($AG1162:AQ1162))),0)</f>
        <v>795431.5625</v>
      </c>
      <c r="AS1162" s="8">
        <f>IF($O1162="Aktif",MAX(0,MIN($AE1162,$AD1162-SUM($AG1162:AR1162))),0)</f>
        <v>795431.5625</v>
      </c>
      <c r="AT1162" s="8">
        <f>IF($O1162="Aktif",MAX(0,MIN($AE1162,$AD1162-SUM($AG1162:AS1162))),0)</f>
        <v>795431.5625</v>
      </c>
      <c r="AU1162" s="8">
        <f>IF($O1162="Aktif",MAX(0,MIN($AE1162,$AD1162-SUM($AG1162:AT1162))),0)</f>
        <v>795431.5625</v>
      </c>
      <c r="AV1162" s="8">
        <f>IF($O1162="Aktif",MAX(0,MIN($AE1162,$AD1162-SUM($AG1162:AU1162))),0)</f>
        <v>795431.5625</v>
      </c>
      <c r="AW1162" s="8">
        <f t="shared" si="131"/>
        <v>12726905</v>
      </c>
      <c r="AX1162" s="8">
        <f t="shared" si="132"/>
        <v>31817262.5</v>
      </c>
    </row>
    <row r="1163" spans="1:50" ht="15" customHeight="1" x14ac:dyDescent="0.35">
      <c r="A1163" s="102">
        <v>1157</v>
      </c>
      <c r="B1163" s="102" t="s">
        <v>2815</v>
      </c>
      <c r="C1163" s="103">
        <v>179</v>
      </c>
      <c r="D1163" s="102" t="s">
        <v>186</v>
      </c>
      <c r="E1163" s="102" t="s">
        <v>540</v>
      </c>
      <c r="F1163" s="102" t="s">
        <v>3172</v>
      </c>
      <c r="G1163" s="102" t="s">
        <v>3173</v>
      </c>
      <c r="H1163" s="102" t="s">
        <v>3174</v>
      </c>
      <c r="I1163" s="102" t="s">
        <v>63</v>
      </c>
      <c r="J1163" s="102"/>
      <c r="K1163" s="102" t="s">
        <v>3246</v>
      </c>
      <c r="L1163" s="104">
        <v>45072</v>
      </c>
      <c r="M1163" s="102" t="s">
        <v>3247</v>
      </c>
      <c r="N1163" s="102" t="s">
        <v>3248</v>
      </c>
      <c r="O1163" s="102" t="s">
        <v>383</v>
      </c>
      <c r="P1163" s="103">
        <v>1</v>
      </c>
      <c r="Q1163" s="105">
        <v>70699486.200000003</v>
      </c>
      <c r="R1163" s="103">
        <v>96</v>
      </c>
      <c r="S1163" s="105">
        <v>736452.98124999995</v>
      </c>
      <c r="T1163" s="105">
        <v>23566495.399999999</v>
      </c>
      <c r="U1163" s="105">
        <v>736452.98124999995</v>
      </c>
      <c r="V1163" s="105">
        <v>736452.98124999995</v>
      </c>
      <c r="W1163" s="105">
        <v>736452.98124999995</v>
      </c>
      <c r="X1163" s="105">
        <v>736452.98124999995</v>
      </c>
      <c r="Y1163" s="105">
        <v>736452.98124999995</v>
      </c>
      <c r="Z1163" s="105">
        <v>736452.98124999995</v>
      </c>
      <c r="AA1163" s="105">
        <v>736452.98124999995</v>
      </c>
      <c r="AB1163" s="105">
        <v>736452.98124999995</v>
      </c>
      <c r="AC1163" s="8">
        <f t="shared" si="126"/>
        <v>29458119.25</v>
      </c>
      <c r="AD1163" s="8">
        <f t="shared" si="127"/>
        <v>41241366.950000003</v>
      </c>
      <c r="AE1163" s="8">
        <f t="shared" si="128"/>
        <v>736452.98124999995</v>
      </c>
      <c r="AF1163" s="106">
        <f t="shared" si="129"/>
        <v>56.000000000000007</v>
      </c>
      <c r="AG1163" s="8">
        <f t="shared" si="130"/>
        <v>736452.98124999995</v>
      </c>
      <c r="AH1163" s="8">
        <f>IF($O1163="Aktif",MAX(0,MIN($AE1163,$AD1163-SUM($AG1163:AG1163))),0)</f>
        <v>736452.98124999995</v>
      </c>
      <c r="AI1163" s="8">
        <f>IF($O1163="Aktif",MAX(0,MIN($AE1163,$AD1163-SUM($AG1163:AH1163))),0)</f>
        <v>736452.98124999995</v>
      </c>
      <c r="AJ1163" s="8">
        <f>IF($O1163="Aktif",MAX(0,MIN($AE1163,$AD1163-SUM($AG1163:AI1163))),0)</f>
        <v>736452.98124999995</v>
      </c>
      <c r="AK1163" s="8">
        <f>IF($O1163="Aktif",MAX(0,MIN($AE1163,$AD1163-SUM($AG1163:AJ1163))),0)</f>
        <v>736452.98124999995</v>
      </c>
      <c r="AL1163" s="8">
        <f>IF($O1163="Aktif",MAX(0,MIN($AE1163,$AD1163-SUM($AG1163:AK1163))),0)</f>
        <v>736452.98124999995</v>
      </c>
      <c r="AM1163" s="8">
        <f>IF($O1163="Aktif",MAX(0,MIN($AE1163,$AD1163-SUM($AG1163:AL1163))),0)</f>
        <v>736452.98124999995</v>
      </c>
      <c r="AN1163" s="8">
        <f>IF($O1163="Aktif",MAX(0,MIN($AE1163,$AD1163-SUM($AG1163:AM1163))),0)</f>
        <v>736452.98124999995</v>
      </c>
      <c r="AO1163" s="8">
        <f>IF($O1163="Aktif",MAX(0,MIN($AE1163,$AD1163-SUM($AG1163:AN1163))),0)</f>
        <v>736452.98124999995</v>
      </c>
      <c r="AP1163" s="8">
        <f>IF($O1163="Aktif",MAX(0,MIN($AE1163,$AD1163-SUM($AG1163:AO1163))),0)</f>
        <v>736452.98124999995</v>
      </c>
      <c r="AQ1163" s="8">
        <f>IF($O1163="Aktif",MAX(0,MIN($AE1163,$AD1163-SUM($AG1163:AP1163))),0)</f>
        <v>736452.98124999995</v>
      </c>
      <c r="AR1163" s="8">
        <f>IF($O1163="Aktif",MAX(0,MIN($AE1163,$AD1163-SUM($AG1163:AQ1163))),0)</f>
        <v>736452.98124999995</v>
      </c>
      <c r="AS1163" s="8">
        <f>IF($O1163="Aktif",MAX(0,MIN($AE1163,$AD1163-SUM($AG1163:AR1163))),0)</f>
        <v>736452.98124999995</v>
      </c>
      <c r="AT1163" s="8">
        <f>IF($O1163="Aktif",MAX(0,MIN($AE1163,$AD1163-SUM($AG1163:AS1163))),0)</f>
        <v>736452.98124999995</v>
      </c>
      <c r="AU1163" s="8">
        <f>IF($O1163="Aktif",MAX(0,MIN($AE1163,$AD1163-SUM($AG1163:AT1163))),0)</f>
        <v>736452.98124999995</v>
      </c>
      <c r="AV1163" s="8">
        <f>IF($O1163="Aktif",MAX(0,MIN($AE1163,$AD1163-SUM($AG1163:AU1163))),0)</f>
        <v>736452.98124999995</v>
      </c>
      <c r="AW1163" s="8">
        <f t="shared" si="131"/>
        <v>11783247.699999997</v>
      </c>
      <c r="AX1163" s="8">
        <f t="shared" si="132"/>
        <v>29458119.250000007</v>
      </c>
    </row>
    <row r="1164" spans="1:50" ht="15" customHeight="1" x14ac:dyDescent="0.35">
      <c r="A1164" s="102">
        <v>1158</v>
      </c>
      <c r="B1164" s="102" t="s">
        <v>2815</v>
      </c>
      <c r="C1164" s="103">
        <v>180</v>
      </c>
      <c r="D1164" s="102" t="s">
        <v>186</v>
      </c>
      <c r="E1164" s="102" t="s">
        <v>540</v>
      </c>
      <c r="F1164" s="102" t="s">
        <v>3172</v>
      </c>
      <c r="G1164" s="102" t="s">
        <v>3173</v>
      </c>
      <c r="H1164" s="102" t="s">
        <v>3174</v>
      </c>
      <c r="I1164" s="102" t="s">
        <v>63</v>
      </c>
      <c r="J1164" s="102"/>
      <c r="K1164" s="102" t="s">
        <v>3249</v>
      </c>
      <c r="L1164" s="104">
        <v>44876</v>
      </c>
      <c r="M1164" s="102" t="s">
        <v>3250</v>
      </c>
      <c r="N1164" s="102" t="s">
        <v>3251</v>
      </c>
      <c r="O1164" s="102" t="s">
        <v>383</v>
      </c>
      <c r="P1164" s="103">
        <v>1</v>
      </c>
      <c r="Q1164" s="105">
        <v>916482228</v>
      </c>
      <c r="R1164" s="103">
        <v>96</v>
      </c>
      <c r="S1164" s="105">
        <v>9546689.875</v>
      </c>
      <c r="T1164" s="105">
        <v>362774215.26999998</v>
      </c>
      <c r="U1164" s="105">
        <v>9546689.875</v>
      </c>
      <c r="V1164" s="105">
        <v>9546689.875</v>
      </c>
      <c r="W1164" s="105">
        <v>9546689.875</v>
      </c>
      <c r="X1164" s="105">
        <v>9546689.875</v>
      </c>
      <c r="Y1164" s="105">
        <v>9546689.875</v>
      </c>
      <c r="Z1164" s="105">
        <v>9546689.875</v>
      </c>
      <c r="AA1164" s="105">
        <v>9546689.875</v>
      </c>
      <c r="AB1164" s="105">
        <v>9546689.875</v>
      </c>
      <c r="AC1164" s="8">
        <f t="shared" si="126"/>
        <v>439147734.26999998</v>
      </c>
      <c r="AD1164" s="8">
        <f t="shared" si="127"/>
        <v>477334493.73000002</v>
      </c>
      <c r="AE1164" s="8">
        <f t="shared" si="128"/>
        <v>9546689.875</v>
      </c>
      <c r="AF1164" s="106">
        <f t="shared" si="129"/>
        <v>49.999999997905036</v>
      </c>
      <c r="AG1164" s="8">
        <f t="shared" si="130"/>
        <v>9546689.875</v>
      </c>
      <c r="AH1164" s="8">
        <f>IF($O1164="Aktif",MAX(0,MIN($AE1164,$AD1164-SUM($AG1164:AG1164))),0)</f>
        <v>9546689.875</v>
      </c>
      <c r="AI1164" s="8">
        <f>IF($O1164="Aktif",MAX(0,MIN($AE1164,$AD1164-SUM($AG1164:AH1164))),0)</f>
        <v>9546689.875</v>
      </c>
      <c r="AJ1164" s="8">
        <f>IF($O1164="Aktif",MAX(0,MIN($AE1164,$AD1164-SUM($AG1164:AI1164))),0)</f>
        <v>9546689.875</v>
      </c>
      <c r="AK1164" s="8">
        <f>IF($O1164="Aktif",MAX(0,MIN($AE1164,$AD1164-SUM($AG1164:AJ1164))),0)</f>
        <v>9546689.875</v>
      </c>
      <c r="AL1164" s="8">
        <f>IF($O1164="Aktif",MAX(0,MIN($AE1164,$AD1164-SUM($AG1164:AK1164))),0)</f>
        <v>9546689.875</v>
      </c>
      <c r="AM1164" s="8">
        <f>IF($O1164="Aktif",MAX(0,MIN($AE1164,$AD1164-SUM($AG1164:AL1164))),0)</f>
        <v>9546689.875</v>
      </c>
      <c r="AN1164" s="8">
        <f>IF($O1164="Aktif",MAX(0,MIN($AE1164,$AD1164-SUM($AG1164:AM1164))),0)</f>
        <v>9546689.875</v>
      </c>
      <c r="AO1164" s="8">
        <f>IF($O1164="Aktif",MAX(0,MIN($AE1164,$AD1164-SUM($AG1164:AN1164))),0)</f>
        <v>9546689.875</v>
      </c>
      <c r="AP1164" s="8">
        <f>IF($O1164="Aktif",MAX(0,MIN($AE1164,$AD1164-SUM($AG1164:AO1164))),0)</f>
        <v>9546689.875</v>
      </c>
      <c r="AQ1164" s="8">
        <f>IF($O1164="Aktif",MAX(0,MIN($AE1164,$AD1164-SUM($AG1164:AP1164))),0)</f>
        <v>9546689.875</v>
      </c>
      <c r="AR1164" s="8">
        <f>IF($O1164="Aktif",MAX(0,MIN($AE1164,$AD1164-SUM($AG1164:AQ1164))),0)</f>
        <v>9546689.875</v>
      </c>
      <c r="AS1164" s="8">
        <f>IF($O1164="Aktif",MAX(0,MIN($AE1164,$AD1164-SUM($AG1164:AR1164))),0)</f>
        <v>9546689.875</v>
      </c>
      <c r="AT1164" s="8">
        <f>IF($O1164="Aktif",MAX(0,MIN($AE1164,$AD1164-SUM($AG1164:AS1164))),0)</f>
        <v>9546689.875</v>
      </c>
      <c r="AU1164" s="8">
        <f>IF($O1164="Aktif",MAX(0,MIN($AE1164,$AD1164-SUM($AG1164:AT1164))),0)</f>
        <v>9546689.875</v>
      </c>
      <c r="AV1164" s="8">
        <f>IF($O1164="Aktif",MAX(0,MIN($AE1164,$AD1164-SUM($AG1164:AU1164))),0)</f>
        <v>9546689.875</v>
      </c>
      <c r="AW1164" s="8">
        <f t="shared" si="131"/>
        <v>152747038</v>
      </c>
      <c r="AX1164" s="8">
        <f t="shared" si="132"/>
        <v>324587455.73000002</v>
      </c>
    </row>
    <row r="1165" spans="1:50" ht="15" customHeight="1" x14ac:dyDescent="0.35">
      <c r="A1165" s="102">
        <v>1159</v>
      </c>
      <c r="B1165" s="102" t="s">
        <v>2815</v>
      </c>
      <c r="C1165" s="103">
        <v>181</v>
      </c>
      <c r="D1165" s="102" t="s">
        <v>186</v>
      </c>
      <c r="E1165" s="102" t="s">
        <v>540</v>
      </c>
      <c r="F1165" s="102" t="s">
        <v>3172</v>
      </c>
      <c r="G1165" s="102" t="s">
        <v>3173</v>
      </c>
      <c r="H1165" s="102" t="s">
        <v>3174</v>
      </c>
      <c r="I1165" s="102" t="s">
        <v>63</v>
      </c>
      <c r="J1165" s="102"/>
      <c r="K1165" s="102" t="s">
        <v>3252</v>
      </c>
      <c r="L1165" s="104">
        <v>45111</v>
      </c>
      <c r="M1165" s="102" t="s">
        <v>3253</v>
      </c>
      <c r="N1165" s="102" t="s">
        <v>3254</v>
      </c>
      <c r="O1165" s="102" t="s">
        <v>383</v>
      </c>
      <c r="P1165" s="103">
        <v>1</v>
      </c>
      <c r="Q1165" s="105">
        <v>17000000</v>
      </c>
      <c r="R1165" s="103">
        <v>96</v>
      </c>
      <c r="S1165" s="105">
        <v>177083.33333333299</v>
      </c>
      <c r="T1165" s="105">
        <v>5312500</v>
      </c>
      <c r="U1165" s="105">
        <v>177083.33333333299</v>
      </c>
      <c r="V1165" s="105">
        <v>177083.33333333299</v>
      </c>
      <c r="W1165" s="105">
        <v>177083.33333333299</v>
      </c>
      <c r="X1165" s="105">
        <v>177083.33333333299</v>
      </c>
      <c r="Y1165" s="105">
        <v>177083.33333333299</v>
      </c>
      <c r="Z1165" s="105">
        <v>177083.33333333299</v>
      </c>
      <c r="AA1165" s="105">
        <v>177083.33333333299</v>
      </c>
      <c r="AB1165" s="105">
        <v>177083.33333333299</v>
      </c>
      <c r="AC1165" s="8">
        <f t="shared" si="126"/>
        <v>6729166.6666666642</v>
      </c>
      <c r="AD1165" s="8">
        <f t="shared" si="127"/>
        <v>10270833.333333336</v>
      </c>
      <c r="AE1165" s="8">
        <f t="shared" si="128"/>
        <v>177083.33333333299</v>
      </c>
      <c r="AF1165" s="106">
        <f t="shared" si="129"/>
        <v>58.000000000000128</v>
      </c>
      <c r="AG1165" s="8">
        <f t="shared" si="130"/>
        <v>177083.33333333299</v>
      </c>
      <c r="AH1165" s="8">
        <f>IF($O1165="Aktif",MAX(0,MIN($AE1165,$AD1165-SUM($AG1165:AG1165))),0)</f>
        <v>177083.33333333299</v>
      </c>
      <c r="AI1165" s="8">
        <f>IF($O1165="Aktif",MAX(0,MIN($AE1165,$AD1165-SUM($AG1165:AH1165))),0)</f>
        <v>177083.33333333299</v>
      </c>
      <c r="AJ1165" s="8">
        <f>IF($O1165="Aktif",MAX(0,MIN($AE1165,$AD1165-SUM($AG1165:AI1165))),0)</f>
        <v>177083.33333333299</v>
      </c>
      <c r="AK1165" s="8">
        <f>IF($O1165="Aktif",MAX(0,MIN($AE1165,$AD1165-SUM($AG1165:AJ1165))),0)</f>
        <v>177083.33333333299</v>
      </c>
      <c r="AL1165" s="8">
        <f>IF($O1165="Aktif",MAX(0,MIN($AE1165,$AD1165-SUM($AG1165:AK1165))),0)</f>
        <v>177083.33333333299</v>
      </c>
      <c r="AM1165" s="8">
        <f>IF($O1165="Aktif",MAX(0,MIN($AE1165,$AD1165-SUM($AG1165:AL1165))),0)</f>
        <v>177083.33333333299</v>
      </c>
      <c r="AN1165" s="8">
        <f>IF($O1165="Aktif",MAX(0,MIN($AE1165,$AD1165-SUM($AG1165:AM1165))),0)</f>
        <v>177083.33333333299</v>
      </c>
      <c r="AO1165" s="8">
        <f>IF($O1165="Aktif",MAX(0,MIN($AE1165,$AD1165-SUM($AG1165:AN1165))),0)</f>
        <v>177083.33333333299</v>
      </c>
      <c r="AP1165" s="8">
        <f>IF($O1165="Aktif",MAX(0,MIN($AE1165,$AD1165-SUM($AG1165:AO1165))),0)</f>
        <v>177083.33333333299</v>
      </c>
      <c r="AQ1165" s="8">
        <f>IF($O1165="Aktif",MAX(0,MIN($AE1165,$AD1165-SUM($AG1165:AP1165))),0)</f>
        <v>177083.33333333299</v>
      </c>
      <c r="AR1165" s="8">
        <f>IF($O1165="Aktif",MAX(0,MIN($AE1165,$AD1165-SUM($AG1165:AQ1165))),0)</f>
        <v>177083.33333333299</v>
      </c>
      <c r="AS1165" s="8">
        <f>IF($O1165="Aktif",MAX(0,MIN($AE1165,$AD1165-SUM($AG1165:AR1165))),0)</f>
        <v>177083.33333333299</v>
      </c>
      <c r="AT1165" s="8">
        <f>IF($O1165="Aktif",MAX(0,MIN($AE1165,$AD1165-SUM($AG1165:AS1165))),0)</f>
        <v>177083.33333333299</v>
      </c>
      <c r="AU1165" s="8">
        <f>IF($O1165="Aktif",MAX(0,MIN($AE1165,$AD1165-SUM($AG1165:AT1165))),0)</f>
        <v>177083.33333333299</v>
      </c>
      <c r="AV1165" s="8">
        <f>IF($O1165="Aktif",MAX(0,MIN($AE1165,$AD1165-SUM($AG1165:AU1165))),0)</f>
        <v>177083.33333333299</v>
      </c>
      <c r="AW1165" s="8">
        <f t="shared" si="131"/>
        <v>2833333.3333333279</v>
      </c>
      <c r="AX1165" s="8">
        <f t="shared" si="132"/>
        <v>7437500.0000000075</v>
      </c>
    </row>
    <row r="1166" spans="1:50" ht="15" customHeight="1" x14ac:dyDescent="0.35">
      <c r="A1166" s="102">
        <v>1160</v>
      </c>
      <c r="B1166" s="102" t="s">
        <v>2815</v>
      </c>
      <c r="C1166" s="103">
        <v>182</v>
      </c>
      <c r="D1166" s="102" t="s">
        <v>186</v>
      </c>
      <c r="E1166" s="102" t="s">
        <v>479</v>
      </c>
      <c r="F1166" s="102" t="s">
        <v>3116</v>
      </c>
      <c r="G1166" s="102" t="s">
        <v>3117</v>
      </c>
      <c r="H1166" s="102" t="s">
        <v>3118</v>
      </c>
      <c r="I1166" s="102" t="s">
        <v>63</v>
      </c>
      <c r="J1166" s="102"/>
      <c r="K1166" s="102" t="s">
        <v>3255</v>
      </c>
      <c r="L1166" s="104">
        <v>45118</v>
      </c>
      <c r="M1166" s="102" t="s">
        <v>3256</v>
      </c>
      <c r="N1166" s="102" t="s">
        <v>3257</v>
      </c>
      <c r="O1166" s="102" t="s">
        <v>383</v>
      </c>
      <c r="P1166" s="103">
        <v>5</v>
      </c>
      <c r="Q1166" s="105">
        <v>8500000</v>
      </c>
      <c r="R1166" s="103">
        <v>48</v>
      </c>
      <c r="S1166" s="105">
        <v>177083.33333333299</v>
      </c>
      <c r="T1166" s="105">
        <v>5312500</v>
      </c>
      <c r="U1166" s="105">
        <v>177083.33333333299</v>
      </c>
      <c r="V1166" s="105">
        <v>177083.33333333299</v>
      </c>
      <c r="W1166" s="105">
        <v>177083.33333333299</v>
      </c>
      <c r="X1166" s="105">
        <v>177083.33333333299</v>
      </c>
      <c r="Y1166" s="105">
        <v>177083.33333333299</v>
      </c>
      <c r="Z1166" s="105">
        <v>177083.33333333299</v>
      </c>
      <c r="AA1166" s="105">
        <v>177083.33333333299</v>
      </c>
      <c r="AB1166" s="105">
        <v>177083.33333333299</v>
      </c>
      <c r="AC1166" s="8">
        <f t="shared" si="126"/>
        <v>6729166.6666666642</v>
      </c>
      <c r="AD1166" s="8">
        <f t="shared" si="127"/>
        <v>1770833.3333333358</v>
      </c>
      <c r="AE1166" s="8">
        <f t="shared" si="128"/>
        <v>177083.33333333299</v>
      </c>
      <c r="AF1166" s="106">
        <f t="shared" si="129"/>
        <v>10.000000000000034</v>
      </c>
      <c r="AG1166" s="8">
        <f t="shared" si="130"/>
        <v>177083.33333333299</v>
      </c>
      <c r="AH1166" s="8">
        <f>IF($O1166="Aktif",MAX(0,MIN($AE1166,$AD1166-SUM($AG1166:AG1166))),0)</f>
        <v>177083.33333333299</v>
      </c>
      <c r="AI1166" s="8">
        <f>IF($O1166="Aktif",MAX(0,MIN($AE1166,$AD1166-SUM($AG1166:AH1166))),0)</f>
        <v>177083.33333333299</v>
      </c>
      <c r="AJ1166" s="8">
        <f>IF($O1166="Aktif",MAX(0,MIN($AE1166,$AD1166-SUM($AG1166:AI1166))),0)</f>
        <v>177083.33333333299</v>
      </c>
      <c r="AK1166" s="8">
        <f>IF($O1166="Aktif",MAX(0,MIN($AE1166,$AD1166-SUM($AG1166:AJ1166))),0)</f>
        <v>177083.33333333299</v>
      </c>
      <c r="AL1166" s="8">
        <f>IF($O1166="Aktif",MAX(0,MIN($AE1166,$AD1166-SUM($AG1166:AK1166))),0)</f>
        <v>177083.33333333299</v>
      </c>
      <c r="AM1166" s="8">
        <f>IF($O1166="Aktif",MAX(0,MIN($AE1166,$AD1166-SUM($AG1166:AL1166))),0)</f>
        <v>177083.33333333299</v>
      </c>
      <c r="AN1166" s="8">
        <f>IF($O1166="Aktif",MAX(0,MIN($AE1166,$AD1166-SUM($AG1166:AM1166))),0)</f>
        <v>177083.33333333299</v>
      </c>
      <c r="AO1166" s="8">
        <f>IF($O1166="Aktif",MAX(0,MIN($AE1166,$AD1166-SUM($AG1166:AN1166))),0)</f>
        <v>177083.33333333299</v>
      </c>
      <c r="AP1166" s="8">
        <f>IF($O1166="Aktif",MAX(0,MIN($AE1166,$AD1166-SUM($AG1166:AO1166))),0)</f>
        <v>177083.33333333299</v>
      </c>
      <c r="AQ1166" s="8">
        <f>IF($O1166="Aktif",MAX(0,MIN($AE1166,$AD1166-SUM($AG1166:AP1166))),0)</f>
        <v>5.8207660913467407E-9</v>
      </c>
      <c r="AR1166" s="8">
        <f>IF($O1166="Aktif",MAX(0,MIN($AE1166,$AD1166-SUM($AG1166:AQ1166))),0)</f>
        <v>0</v>
      </c>
      <c r="AS1166" s="8">
        <f>IF($O1166="Aktif",MAX(0,MIN($AE1166,$AD1166-SUM($AG1166:AR1166))),0)</f>
        <v>0</v>
      </c>
      <c r="AT1166" s="8">
        <f>IF($O1166="Aktif",MAX(0,MIN($AE1166,$AD1166-SUM($AG1166:AS1166))),0)</f>
        <v>0</v>
      </c>
      <c r="AU1166" s="8">
        <f>IF($O1166="Aktif",MAX(0,MIN($AE1166,$AD1166-SUM($AG1166:AT1166))),0)</f>
        <v>0</v>
      </c>
      <c r="AV1166" s="8">
        <f>IF($O1166="Aktif",MAX(0,MIN($AE1166,$AD1166-SUM($AG1166:AU1166))),0)</f>
        <v>0</v>
      </c>
      <c r="AW1166" s="8">
        <f t="shared" si="131"/>
        <v>1770833.3333333358</v>
      </c>
      <c r="AX1166" s="8">
        <f t="shared" si="132"/>
        <v>0</v>
      </c>
    </row>
    <row r="1167" spans="1:50" ht="15" customHeight="1" x14ac:dyDescent="0.35">
      <c r="A1167" s="102">
        <v>1161</v>
      </c>
      <c r="B1167" s="102" t="s">
        <v>2815</v>
      </c>
      <c r="C1167" s="103">
        <v>183</v>
      </c>
      <c r="D1167" s="102" t="s">
        <v>186</v>
      </c>
      <c r="E1167" s="102" t="s">
        <v>540</v>
      </c>
      <c r="F1167" s="102" t="s">
        <v>3172</v>
      </c>
      <c r="G1167" s="102" t="s">
        <v>3173</v>
      </c>
      <c r="H1167" s="102" t="s">
        <v>3174</v>
      </c>
      <c r="I1167" s="102" t="s">
        <v>63</v>
      </c>
      <c r="J1167" s="102"/>
      <c r="K1167" s="102" t="s">
        <v>3258</v>
      </c>
      <c r="L1167" s="104">
        <v>45149</v>
      </c>
      <c r="M1167" s="102" t="s">
        <v>3259</v>
      </c>
      <c r="N1167" s="102" t="s">
        <v>3260</v>
      </c>
      <c r="O1167" s="102" t="s">
        <v>383</v>
      </c>
      <c r="P1167" s="103">
        <v>1</v>
      </c>
      <c r="Q1167" s="105">
        <v>156907500</v>
      </c>
      <c r="R1167" s="103">
        <v>96</v>
      </c>
      <c r="S1167" s="105">
        <v>1634453.125</v>
      </c>
      <c r="T1167" s="105">
        <v>47399140.625</v>
      </c>
      <c r="U1167" s="105">
        <v>1634453.125</v>
      </c>
      <c r="V1167" s="105">
        <v>1634453.125</v>
      </c>
      <c r="W1167" s="105">
        <v>1634453.125</v>
      </c>
      <c r="X1167" s="105">
        <v>1634453.125</v>
      </c>
      <c r="Y1167" s="105">
        <v>1634453.125</v>
      </c>
      <c r="Z1167" s="105">
        <v>1634453.125</v>
      </c>
      <c r="AA1167" s="105">
        <v>1634453.125</v>
      </c>
      <c r="AB1167" s="105">
        <v>1634453.125</v>
      </c>
      <c r="AC1167" s="8">
        <f t="shared" si="126"/>
        <v>60474765.625</v>
      </c>
      <c r="AD1167" s="8">
        <f t="shared" si="127"/>
        <v>96432734.375</v>
      </c>
      <c r="AE1167" s="8">
        <f t="shared" si="128"/>
        <v>1634453.125</v>
      </c>
      <c r="AF1167" s="106">
        <f t="shared" si="129"/>
        <v>59</v>
      </c>
      <c r="AG1167" s="8">
        <f t="shared" si="130"/>
        <v>1634453.125</v>
      </c>
      <c r="AH1167" s="8">
        <f>IF($O1167="Aktif",MAX(0,MIN($AE1167,$AD1167-SUM($AG1167:AG1167))),0)</f>
        <v>1634453.125</v>
      </c>
      <c r="AI1167" s="8">
        <f>IF($O1167="Aktif",MAX(0,MIN($AE1167,$AD1167-SUM($AG1167:AH1167))),0)</f>
        <v>1634453.125</v>
      </c>
      <c r="AJ1167" s="8">
        <f>IF($O1167="Aktif",MAX(0,MIN($AE1167,$AD1167-SUM($AG1167:AI1167))),0)</f>
        <v>1634453.125</v>
      </c>
      <c r="AK1167" s="8">
        <f>IF($O1167="Aktif",MAX(0,MIN($AE1167,$AD1167-SUM($AG1167:AJ1167))),0)</f>
        <v>1634453.125</v>
      </c>
      <c r="AL1167" s="8">
        <f>IF($O1167="Aktif",MAX(0,MIN($AE1167,$AD1167-SUM($AG1167:AK1167))),0)</f>
        <v>1634453.125</v>
      </c>
      <c r="AM1167" s="8">
        <f>IF($O1167="Aktif",MAX(0,MIN($AE1167,$AD1167-SUM($AG1167:AL1167))),0)</f>
        <v>1634453.125</v>
      </c>
      <c r="AN1167" s="8">
        <f>IF($O1167="Aktif",MAX(0,MIN($AE1167,$AD1167-SUM($AG1167:AM1167))),0)</f>
        <v>1634453.125</v>
      </c>
      <c r="AO1167" s="8">
        <f>IF($O1167="Aktif",MAX(0,MIN($AE1167,$AD1167-SUM($AG1167:AN1167))),0)</f>
        <v>1634453.125</v>
      </c>
      <c r="AP1167" s="8">
        <f>IF($O1167="Aktif",MAX(0,MIN($AE1167,$AD1167-SUM($AG1167:AO1167))),0)</f>
        <v>1634453.125</v>
      </c>
      <c r="AQ1167" s="8">
        <f>IF($O1167="Aktif",MAX(0,MIN($AE1167,$AD1167-SUM($AG1167:AP1167))),0)</f>
        <v>1634453.125</v>
      </c>
      <c r="AR1167" s="8">
        <f>IF($O1167="Aktif",MAX(0,MIN($AE1167,$AD1167-SUM($AG1167:AQ1167))),0)</f>
        <v>1634453.125</v>
      </c>
      <c r="AS1167" s="8">
        <f>IF($O1167="Aktif",MAX(0,MIN($AE1167,$AD1167-SUM($AG1167:AR1167))),0)</f>
        <v>1634453.125</v>
      </c>
      <c r="AT1167" s="8">
        <f>IF($O1167="Aktif",MAX(0,MIN($AE1167,$AD1167-SUM($AG1167:AS1167))),0)</f>
        <v>1634453.125</v>
      </c>
      <c r="AU1167" s="8">
        <f>IF($O1167="Aktif",MAX(0,MIN($AE1167,$AD1167-SUM($AG1167:AT1167))),0)</f>
        <v>1634453.125</v>
      </c>
      <c r="AV1167" s="8">
        <f>IF($O1167="Aktif",MAX(0,MIN($AE1167,$AD1167-SUM($AG1167:AU1167))),0)</f>
        <v>1634453.125</v>
      </c>
      <c r="AW1167" s="8">
        <f t="shared" si="131"/>
        <v>26151250</v>
      </c>
      <c r="AX1167" s="8">
        <f t="shared" si="132"/>
        <v>70281484.375</v>
      </c>
    </row>
    <row r="1168" spans="1:50" ht="15" customHeight="1" x14ac:dyDescent="0.35">
      <c r="A1168" s="102">
        <v>1162</v>
      </c>
      <c r="B1168" s="102" t="s">
        <v>2815</v>
      </c>
      <c r="C1168" s="103">
        <v>184</v>
      </c>
      <c r="D1168" s="102" t="s">
        <v>186</v>
      </c>
      <c r="E1168" s="102" t="s">
        <v>540</v>
      </c>
      <c r="F1168" s="102" t="s">
        <v>3172</v>
      </c>
      <c r="G1168" s="102" t="s">
        <v>3173</v>
      </c>
      <c r="H1168" s="102" t="s">
        <v>3174</v>
      </c>
      <c r="I1168" s="102" t="s">
        <v>63</v>
      </c>
      <c r="J1168" s="102"/>
      <c r="K1168" s="102" t="s">
        <v>3261</v>
      </c>
      <c r="L1168" s="104">
        <v>45149</v>
      </c>
      <c r="M1168" s="102" t="s">
        <v>3262</v>
      </c>
      <c r="N1168" s="102" t="s">
        <v>3263</v>
      </c>
      <c r="O1168" s="102" t="s">
        <v>383</v>
      </c>
      <c r="P1168" s="103">
        <v>1</v>
      </c>
      <c r="Q1168" s="105">
        <v>78000000</v>
      </c>
      <c r="R1168" s="103">
        <v>96</v>
      </c>
      <c r="S1168" s="105">
        <v>812500</v>
      </c>
      <c r="T1168" s="105">
        <v>23562500</v>
      </c>
      <c r="U1168" s="105">
        <v>812500</v>
      </c>
      <c r="V1168" s="105">
        <v>812500</v>
      </c>
      <c r="W1168" s="105">
        <v>812500</v>
      </c>
      <c r="X1168" s="105">
        <v>812500</v>
      </c>
      <c r="Y1168" s="105">
        <v>812500</v>
      </c>
      <c r="Z1168" s="105">
        <v>812500</v>
      </c>
      <c r="AA1168" s="105">
        <v>812500</v>
      </c>
      <c r="AB1168" s="105">
        <v>812500</v>
      </c>
      <c r="AC1168" s="8">
        <f t="shared" si="126"/>
        <v>30062500</v>
      </c>
      <c r="AD1168" s="8">
        <f t="shared" si="127"/>
        <v>47937500</v>
      </c>
      <c r="AE1168" s="8">
        <f t="shared" si="128"/>
        <v>812500</v>
      </c>
      <c r="AF1168" s="106">
        <f t="shared" si="129"/>
        <v>59</v>
      </c>
      <c r="AG1168" s="8">
        <f t="shared" si="130"/>
        <v>812500</v>
      </c>
      <c r="AH1168" s="8">
        <f>IF($O1168="Aktif",MAX(0,MIN($AE1168,$AD1168-SUM($AG1168:AG1168))),0)</f>
        <v>812500</v>
      </c>
      <c r="AI1168" s="8">
        <f>IF($O1168="Aktif",MAX(0,MIN($AE1168,$AD1168-SUM($AG1168:AH1168))),0)</f>
        <v>812500</v>
      </c>
      <c r="AJ1168" s="8">
        <f>IF($O1168="Aktif",MAX(0,MIN($AE1168,$AD1168-SUM($AG1168:AI1168))),0)</f>
        <v>812500</v>
      </c>
      <c r="AK1168" s="8">
        <f>IF($O1168="Aktif",MAX(0,MIN($AE1168,$AD1168-SUM($AG1168:AJ1168))),0)</f>
        <v>812500</v>
      </c>
      <c r="AL1168" s="8">
        <f>IF($O1168="Aktif",MAX(0,MIN($AE1168,$AD1168-SUM($AG1168:AK1168))),0)</f>
        <v>812500</v>
      </c>
      <c r="AM1168" s="8">
        <f>IF($O1168="Aktif",MAX(0,MIN($AE1168,$AD1168-SUM($AG1168:AL1168))),0)</f>
        <v>812500</v>
      </c>
      <c r="AN1168" s="8">
        <f>IF($O1168="Aktif",MAX(0,MIN($AE1168,$AD1168-SUM($AG1168:AM1168))),0)</f>
        <v>812500</v>
      </c>
      <c r="AO1168" s="8">
        <f>IF($O1168="Aktif",MAX(0,MIN($AE1168,$AD1168-SUM($AG1168:AN1168))),0)</f>
        <v>812500</v>
      </c>
      <c r="AP1168" s="8">
        <f>IF($O1168="Aktif",MAX(0,MIN($AE1168,$AD1168-SUM($AG1168:AO1168))),0)</f>
        <v>812500</v>
      </c>
      <c r="AQ1168" s="8">
        <f>IF($O1168="Aktif",MAX(0,MIN($AE1168,$AD1168-SUM($AG1168:AP1168))),0)</f>
        <v>812500</v>
      </c>
      <c r="AR1168" s="8">
        <f>IF($O1168="Aktif",MAX(0,MIN($AE1168,$AD1168-SUM($AG1168:AQ1168))),0)</f>
        <v>812500</v>
      </c>
      <c r="AS1168" s="8">
        <f>IF($O1168="Aktif",MAX(0,MIN($AE1168,$AD1168-SUM($AG1168:AR1168))),0)</f>
        <v>812500</v>
      </c>
      <c r="AT1168" s="8">
        <f>IF($O1168="Aktif",MAX(0,MIN($AE1168,$AD1168-SUM($AG1168:AS1168))),0)</f>
        <v>812500</v>
      </c>
      <c r="AU1168" s="8">
        <f>IF($O1168="Aktif",MAX(0,MIN($AE1168,$AD1168-SUM($AG1168:AT1168))),0)</f>
        <v>812500</v>
      </c>
      <c r="AV1168" s="8">
        <f>IF($O1168="Aktif",MAX(0,MIN($AE1168,$AD1168-SUM($AG1168:AU1168))),0)</f>
        <v>812500</v>
      </c>
      <c r="AW1168" s="8">
        <f t="shared" si="131"/>
        <v>13000000</v>
      </c>
      <c r="AX1168" s="8">
        <f t="shared" si="132"/>
        <v>34937500</v>
      </c>
    </row>
    <row r="1169" spans="1:50" ht="15" customHeight="1" x14ac:dyDescent="0.35">
      <c r="A1169" s="102">
        <v>1163</v>
      </c>
      <c r="B1169" s="102" t="s">
        <v>2815</v>
      </c>
      <c r="C1169" s="103">
        <v>185</v>
      </c>
      <c r="D1169" s="102" t="s">
        <v>186</v>
      </c>
      <c r="E1169" s="102" t="s">
        <v>540</v>
      </c>
      <c r="F1169" s="102" t="s">
        <v>3172</v>
      </c>
      <c r="G1169" s="102" t="s">
        <v>3173</v>
      </c>
      <c r="H1169" s="102" t="s">
        <v>3174</v>
      </c>
      <c r="I1169" s="102" t="s">
        <v>63</v>
      </c>
      <c r="J1169" s="102"/>
      <c r="K1169" s="102" t="s">
        <v>3264</v>
      </c>
      <c r="L1169" s="104">
        <v>45149</v>
      </c>
      <c r="M1169" s="102" t="s">
        <v>3265</v>
      </c>
      <c r="N1169" s="102" t="s">
        <v>3266</v>
      </c>
      <c r="O1169" s="102" t="s">
        <v>383</v>
      </c>
      <c r="P1169" s="103">
        <v>1</v>
      </c>
      <c r="Q1169" s="105">
        <v>42000000</v>
      </c>
      <c r="R1169" s="103">
        <v>96</v>
      </c>
      <c r="S1169" s="105">
        <v>437500</v>
      </c>
      <c r="T1169" s="105">
        <v>12687500</v>
      </c>
      <c r="U1169" s="105">
        <v>437500</v>
      </c>
      <c r="V1169" s="105">
        <v>437500</v>
      </c>
      <c r="W1169" s="105">
        <v>437500</v>
      </c>
      <c r="X1169" s="105">
        <v>437500</v>
      </c>
      <c r="Y1169" s="105">
        <v>437500</v>
      </c>
      <c r="Z1169" s="105">
        <v>437500</v>
      </c>
      <c r="AA1169" s="105">
        <v>437500</v>
      </c>
      <c r="AB1169" s="105">
        <v>437500</v>
      </c>
      <c r="AC1169" s="8">
        <f t="shared" si="126"/>
        <v>16187500</v>
      </c>
      <c r="AD1169" s="8">
        <f t="shared" si="127"/>
        <v>25812500</v>
      </c>
      <c r="AE1169" s="8">
        <f t="shared" si="128"/>
        <v>437500</v>
      </c>
      <c r="AF1169" s="106">
        <f t="shared" si="129"/>
        <v>59</v>
      </c>
      <c r="AG1169" s="8">
        <f t="shared" si="130"/>
        <v>437500</v>
      </c>
      <c r="AH1169" s="8">
        <f>IF($O1169="Aktif",MAX(0,MIN($AE1169,$AD1169-SUM($AG1169:AG1169))),0)</f>
        <v>437500</v>
      </c>
      <c r="AI1169" s="8">
        <f>IF($O1169="Aktif",MAX(0,MIN($AE1169,$AD1169-SUM($AG1169:AH1169))),0)</f>
        <v>437500</v>
      </c>
      <c r="AJ1169" s="8">
        <f>IF($O1169="Aktif",MAX(0,MIN($AE1169,$AD1169-SUM($AG1169:AI1169))),0)</f>
        <v>437500</v>
      </c>
      <c r="AK1169" s="8">
        <f>IF($O1169="Aktif",MAX(0,MIN($AE1169,$AD1169-SUM($AG1169:AJ1169))),0)</f>
        <v>437500</v>
      </c>
      <c r="AL1169" s="8">
        <f>IF($O1169="Aktif",MAX(0,MIN($AE1169,$AD1169-SUM($AG1169:AK1169))),0)</f>
        <v>437500</v>
      </c>
      <c r="AM1169" s="8">
        <f>IF($O1169="Aktif",MAX(0,MIN($AE1169,$AD1169-SUM($AG1169:AL1169))),0)</f>
        <v>437500</v>
      </c>
      <c r="AN1169" s="8">
        <f>IF($O1169="Aktif",MAX(0,MIN($AE1169,$AD1169-SUM($AG1169:AM1169))),0)</f>
        <v>437500</v>
      </c>
      <c r="AO1169" s="8">
        <f>IF($O1169="Aktif",MAX(0,MIN($AE1169,$AD1169-SUM($AG1169:AN1169))),0)</f>
        <v>437500</v>
      </c>
      <c r="AP1169" s="8">
        <f>IF($O1169="Aktif",MAX(0,MIN($AE1169,$AD1169-SUM($AG1169:AO1169))),0)</f>
        <v>437500</v>
      </c>
      <c r="AQ1169" s="8">
        <f>IF($O1169="Aktif",MAX(0,MIN($AE1169,$AD1169-SUM($AG1169:AP1169))),0)</f>
        <v>437500</v>
      </c>
      <c r="AR1169" s="8">
        <f>IF($O1169="Aktif",MAX(0,MIN($AE1169,$AD1169-SUM($AG1169:AQ1169))),0)</f>
        <v>437500</v>
      </c>
      <c r="AS1169" s="8">
        <f>IF($O1169="Aktif",MAX(0,MIN($AE1169,$AD1169-SUM($AG1169:AR1169))),0)</f>
        <v>437500</v>
      </c>
      <c r="AT1169" s="8">
        <f>IF($O1169="Aktif",MAX(0,MIN($AE1169,$AD1169-SUM($AG1169:AS1169))),0)</f>
        <v>437500</v>
      </c>
      <c r="AU1169" s="8">
        <f>IF($O1169="Aktif",MAX(0,MIN($AE1169,$AD1169-SUM($AG1169:AT1169))),0)</f>
        <v>437500</v>
      </c>
      <c r="AV1169" s="8">
        <f>IF($O1169="Aktif",MAX(0,MIN($AE1169,$AD1169-SUM($AG1169:AU1169))),0)</f>
        <v>437500</v>
      </c>
      <c r="AW1169" s="8">
        <f t="shared" si="131"/>
        <v>7000000</v>
      </c>
      <c r="AX1169" s="8">
        <f t="shared" si="132"/>
        <v>18812500</v>
      </c>
    </row>
    <row r="1170" spans="1:50" ht="15" customHeight="1" x14ac:dyDescent="0.35">
      <c r="A1170" s="102">
        <v>1164</v>
      </c>
      <c r="B1170" s="102" t="s">
        <v>2815</v>
      </c>
      <c r="C1170" s="103">
        <v>186</v>
      </c>
      <c r="D1170" s="102" t="s">
        <v>186</v>
      </c>
      <c r="E1170" s="102" t="s">
        <v>540</v>
      </c>
      <c r="F1170" s="102" t="s">
        <v>3172</v>
      </c>
      <c r="G1170" s="102" t="s">
        <v>3173</v>
      </c>
      <c r="H1170" s="102" t="s">
        <v>3174</v>
      </c>
      <c r="I1170" s="102" t="s">
        <v>63</v>
      </c>
      <c r="J1170" s="102"/>
      <c r="K1170" s="102" t="s">
        <v>3267</v>
      </c>
      <c r="L1170" s="104">
        <v>45156</v>
      </c>
      <c r="M1170" s="102" t="s">
        <v>3268</v>
      </c>
      <c r="N1170" s="102" t="s">
        <v>3269</v>
      </c>
      <c r="O1170" s="102" t="s">
        <v>383</v>
      </c>
      <c r="P1170" s="103">
        <v>1</v>
      </c>
      <c r="Q1170" s="105">
        <v>38500000</v>
      </c>
      <c r="R1170" s="103">
        <v>96</v>
      </c>
      <c r="S1170" s="105">
        <v>401041.66666666698</v>
      </c>
      <c r="T1170" s="105">
        <v>11630208.3333333</v>
      </c>
      <c r="U1170" s="105">
        <v>401041.66666666698</v>
      </c>
      <c r="V1170" s="105">
        <v>401041.66666666698</v>
      </c>
      <c r="W1170" s="105">
        <v>401041.66666666698</v>
      </c>
      <c r="X1170" s="105">
        <v>401041.66666666698</v>
      </c>
      <c r="Y1170" s="105">
        <v>401041.66666666698</v>
      </c>
      <c r="Z1170" s="105">
        <v>401041.66666666698</v>
      </c>
      <c r="AA1170" s="105">
        <v>401041.66666666698</v>
      </c>
      <c r="AB1170" s="105">
        <v>401041.66666666698</v>
      </c>
      <c r="AC1170" s="8">
        <f t="shared" si="126"/>
        <v>14838541.666666636</v>
      </c>
      <c r="AD1170" s="8">
        <f t="shared" si="127"/>
        <v>23661458.333333366</v>
      </c>
      <c r="AE1170" s="8">
        <f t="shared" si="128"/>
        <v>401041.66666666698</v>
      </c>
      <c r="AF1170" s="106">
        <f t="shared" si="129"/>
        <v>59.000000000000036</v>
      </c>
      <c r="AG1170" s="8">
        <f t="shared" si="130"/>
        <v>401041.66666666698</v>
      </c>
      <c r="AH1170" s="8">
        <f>IF($O1170="Aktif",MAX(0,MIN($AE1170,$AD1170-SUM($AG1170:AG1170))),0)</f>
        <v>401041.66666666698</v>
      </c>
      <c r="AI1170" s="8">
        <f>IF($O1170="Aktif",MAX(0,MIN($AE1170,$AD1170-SUM($AG1170:AH1170))),0)</f>
        <v>401041.66666666698</v>
      </c>
      <c r="AJ1170" s="8">
        <f>IF($O1170="Aktif",MAX(0,MIN($AE1170,$AD1170-SUM($AG1170:AI1170))),0)</f>
        <v>401041.66666666698</v>
      </c>
      <c r="AK1170" s="8">
        <f>IF($O1170="Aktif",MAX(0,MIN($AE1170,$AD1170-SUM($AG1170:AJ1170))),0)</f>
        <v>401041.66666666698</v>
      </c>
      <c r="AL1170" s="8">
        <f>IF($O1170="Aktif",MAX(0,MIN($AE1170,$AD1170-SUM($AG1170:AK1170))),0)</f>
        <v>401041.66666666698</v>
      </c>
      <c r="AM1170" s="8">
        <f>IF($O1170="Aktif",MAX(0,MIN($AE1170,$AD1170-SUM($AG1170:AL1170))),0)</f>
        <v>401041.66666666698</v>
      </c>
      <c r="AN1170" s="8">
        <f>IF($O1170="Aktif",MAX(0,MIN($AE1170,$AD1170-SUM($AG1170:AM1170))),0)</f>
        <v>401041.66666666698</v>
      </c>
      <c r="AO1170" s="8">
        <f>IF($O1170="Aktif",MAX(0,MIN($AE1170,$AD1170-SUM($AG1170:AN1170))),0)</f>
        <v>401041.66666666698</v>
      </c>
      <c r="AP1170" s="8">
        <f>IF($O1170="Aktif",MAX(0,MIN($AE1170,$AD1170-SUM($AG1170:AO1170))),0)</f>
        <v>401041.66666666698</v>
      </c>
      <c r="AQ1170" s="8">
        <f>IF($O1170="Aktif",MAX(0,MIN($AE1170,$AD1170-SUM($AG1170:AP1170))),0)</f>
        <v>401041.66666666698</v>
      </c>
      <c r="AR1170" s="8">
        <f>IF($O1170="Aktif",MAX(0,MIN($AE1170,$AD1170-SUM($AG1170:AQ1170))),0)</f>
        <v>401041.66666666698</v>
      </c>
      <c r="AS1170" s="8">
        <f>IF($O1170="Aktif",MAX(0,MIN($AE1170,$AD1170-SUM($AG1170:AR1170))),0)</f>
        <v>401041.66666666698</v>
      </c>
      <c r="AT1170" s="8">
        <f>IF($O1170="Aktif",MAX(0,MIN($AE1170,$AD1170-SUM($AG1170:AS1170))),0)</f>
        <v>401041.66666666698</v>
      </c>
      <c r="AU1170" s="8">
        <f>IF($O1170="Aktif",MAX(0,MIN($AE1170,$AD1170-SUM($AG1170:AT1170))),0)</f>
        <v>401041.66666666698</v>
      </c>
      <c r="AV1170" s="8">
        <f>IF($O1170="Aktif",MAX(0,MIN($AE1170,$AD1170-SUM($AG1170:AU1170))),0)</f>
        <v>401041.66666666698</v>
      </c>
      <c r="AW1170" s="8">
        <f t="shared" si="131"/>
        <v>6416666.6666666716</v>
      </c>
      <c r="AX1170" s="8">
        <f t="shared" si="132"/>
        <v>17244791.666666694</v>
      </c>
    </row>
    <row r="1171" spans="1:50" ht="15" customHeight="1" x14ac:dyDescent="0.35">
      <c r="A1171" s="102">
        <v>1165</v>
      </c>
      <c r="B1171" s="102" t="s">
        <v>2815</v>
      </c>
      <c r="C1171" s="103">
        <v>187</v>
      </c>
      <c r="D1171" s="102" t="s">
        <v>186</v>
      </c>
      <c r="E1171" s="102" t="s">
        <v>479</v>
      </c>
      <c r="F1171" s="102" t="s">
        <v>3116</v>
      </c>
      <c r="G1171" s="102" t="s">
        <v>3117</v>
      </c>
      <c r="H1171" s="102" t="s">
        <v>3118</v>
      </c>
      <c r="I1171" s="102" t="s">
        <v>63</v>
      </c>
      <c r="J1171" s="102"/>
      <c r="K1171" s="102" t="s">
        <v>3270</v>
      </c>
      <c r="L1171" s="104">
        <v>45156</v>
      </c>
      <c r="M1171" s="102" t="s">
        <v>3271</v>
      </c>
      <c r="N1171" s="102" t="s">
        <v>3272</v>
      </c>
      <c r="O1171" s="102" t="s">
        <v>383</v>
      </c>
      <c r="P1171" s="103">
        <v>1</v>
      </c>
      <c r="Q1171" s="105">
        <v>19000000</v>
      </c>
      <c r="R1171" s="103">
        <v>48</v>
      </c>
      <c r="S1171" s="105">
        <v>395833.33333333302</v>
      </c>
      <c r="T1171" s="105">
        <v>11479166.6666667</v>
      </c>
      <c r="U1171" s="105">
        <v>395833.33333333302</v>
      </c>
      <c r="V1171" s="105">
        <v>395833.33333333302</v>
      </c>
      <c r="W1171" s="105">
        <v>395833.33333333302</v>
      </c>
      <c r="X1171" s="105">
        <v>395833.33333333302</v>
      </c>
      <c r="Y1171" s="105">
        <v>395833.33333333302</v>
      </c>
      <c r="Z1171" s="105">
        <v>395833.33333333302</v>
      </c>
      <c r="AA1171" s="105">
        <v>395833.33333333302</v>
      </c>
      <c r="AB1171" s="105">
        <v>395833.33333333302</v>
      </c>
      <c r="AC1171" s="8">
        <f t="shared" si="126"/>
        <v>14645833.333333364</v>
      </c>
      <c r="AD1171" s="8">
        <f t="shared" si="127"/>
        <v>4354166.6666666362</v>
      </c>
      <c r="AE1171" s="8">
        <f t="shared" si="128"/>
        <v>395833.33333333302</v>
      </c>
      <c r="AF1171" s="106">
        <f t="shared" si="129"/>
        <v>10.999999999999932</v>
      </c>
      <c r="AG1171" s="8">
        <f t="shared" si="130"/>
        <v>395833.33333333302</v>
      </c>
      <c r="AH1171" s="8">
        <f>IF($O1171="Aktif",MAX(0,MIN($AE1171,$AD1171-SUM($AG1171:AG1171))),0)</f>
        <v>395833.33333333302</v>
      </c>
      <c r="AI1171" s="8">
        <f>IF($O1171="Aktif",MAX(0,MIN($AE1171,$AD1171-SUM($AG1171:AH1171))),0)</f>
        <v>395833.33333333302</v>
      </c>
      <c r="AJ1171" s="8">
        <f>IF($O1171="Aktif",MAX(0,MIN($AE1171,$AD1171-SUM($AG1171:AI1171))),0)</f>
        <v>395833.33333333302</v>
      </c>
      <c r="AK1171" s="8">
        <f>IF($O1171="Aktif",MAX(0,MIN($AE1171,$AD1171-SUM($AG1171:AJ1171))),0)</f>
        <v>395833.33333333302</v>
      </c>
      <c r="AL1171" s="8">
        <f>IF($O1171="Aktif",MAX(0,MIN($AE1171,$AD1171-SUM($AG1171:AK1171))),0)</f>
        <v>395833.33333333302</v>
      </c>
      <c r="AM1171" s="8">
        <f>IF($O1171="Aktif",MAX(0,MIN($AE1171,$AD1171-SUM($AG1171:AL1171))),0)</f>
        <v>395833.33333333302</v>
      </c>
      <c r="AN1171" s="8">
        <f>IF($O1171="Aktif",MAX(0,MIN($AE1171,$AD1171-SUM($AG1171:AM1171))),0)</f>
        <v>395833.33333333302</v>
      </c>
      <c r="AO1171" s="8">
        <f>IF($O1171="Aktif",MAX(0,MIN($AE1171,$AD1171-SUM($AG1171:AN1171))),0)</f>
        <v>395833.33333333302</v>
      </c>
      <c r="AP1171" s="8">
        <f>IF($O1171="Aktif",MAX(0,MIN($AE1171,$AD1171-SUM($AG1171:AO1171))),0)</f>
        <v>395833.33333333302</v>
      </c>
      <c r="AQ1171" s="8">
        <f>IF($O1171="Aktif",MAX(0,MIN($AE1171,$AD1171-SUM($AG1171:AP1171))),0)</f>
        <v>395833.33333330601</v>
      </c>
      <c r="AR1171" s="8">
        <f>IF($O1171="Aktif",MAX(0,MIN($AE1171,$AD1171-SUM($AG1171:AQ1171))),0)</f>
        <v>0</v>
      </c>
      <c r="AS1171" s="8">
        <f>IF($O1171="Aktif",MAX(0,MIN($AE1171,$AD1171-SUM($AG1171:AR1171))),0)</f>
        <v>0</v>
      </c>
      <c r="AT1171" s="8">
        <f>IF($O1171="Aktif",MAX(0,MIN($AE1171,$AD1171-SUM($AG1171:AS1171))),0)</f>
        <v>0</v>
      </c>
      <c r="AU1171" s="8">
        <f>IF($O1171="Aktif",MAX(0,MIN($AE1171,$AD1171-SUM($AG1171:AT1171))),0)</f>
        <v>0</v>
      </c>
      <c r="AV1171" s="8">
        <f>IF($O1171="Aktif",MAX(0,MIN($AE1171,$AD1171-SUM($AG1171:AU1171))),0)</f>
        <v>0</v>
      </c>
      <c r="AW1171" s="8">
        <f t="shared" si="131"/>
        <v>4354166.6666666362</v>
      </c>
      <c r="AX1171" s="8">
        <f t="shared" si="132"/>
        <v>0</v>
      </c>
    </row>
    <row r="1172" spans="1:50" ht="15" customHeight="1" x14ac:dyDescent="0.35">
      <c r="A1172" s="102">
        <v>1166</v>
      </c>
      <c r="B1172" s="102" t="s">
        <v>2815</v>
      </c>
      <c r="C1172" s="103">
        <v>188</v>
      </c>
      <c r="D1172" s="102" t="s">
        <v>186</v>
      </c>
      <c r="E1172" s="102" t="s">
        <v>540</v>
      </c>
      <c r="F1172" s="102" t="s">
        <v>3172</v>
      </c>
      <c r="G1172" s="102" t="s">
        <v>3173</v>
      </c>
      <c r="H1172" s="102" t="s">
        <v>3174</v>
      </c>
      <c r="I1172" s="102" t="s">
        <v>63</v>
      </c>
      <c r="J1172" s="102"/>
      <c r="K1172" s="102" t="s">
        <v>3273</v>
      </c>
      <c r="L1172" s="104">
        <v>45274</v>
      </c>
      <c r="M1172" s="102" t="s">
        <v>3274</v>
      </c>
      <c r="N1172" s="102" t="s">
        <v>3275</v>
      </c>
      <c r="O1172" s="102" t="s">
        <v>383</v>
      </c>
      <c r="P1172" s="103">
        <v>1</v>
      </c>
      <c r="Q1172" s="105">
        <v>49200000</v>
      </c>
      <c r="R1172" s="103">
        <v>96</v>
      </c>
      <c r="S1172" s="105">
        <v>512500</v>
      </c>
      <c r="T1172" s="105">
        <v>12812500</v>
      </c>
      <c r="U1172" s="105">
        <v>512500</v>
      </c>
      <c r="V1172" s="105">
        <v>512500</v>
      </c>
      <c r="W1172" s="105">
        <v>512500</v>
      </c>
      <c r="X1172" s="105">
        <v>512500</v>
      </c>
      <c r="Y1172" s="105">
        <v>512500</v>
      </c>
      <c r="Z1172" s="105">
        <v>512500</v>
      </c>
      <c r="AA1172" s="105">
        <v>512500</v>
      </c>
      <c r="AB1172" s="105">
        <v>512500</v>
      </c>
      <c r="AC1172" s="8">
        <f t="shared" si="126"/>
        <v>16912500</v>
      </c>
      <c r="AD1172" s="8">
        <f t="shared" si="127"/>
        <v>32287500</v>
      </c>
      <c r="AE1172" s="8">
        <f t="shared" si="128"/>
        <v>512500</v>
      </c>
      <c r="AF1172" s="106">
        <f t="shared" si="129"/>
        <v>63</v>
      </c>
      <c r="AG1172" s="8">
        <f t="shared" si="130"/>
        <v>512500</v>
      </c>
      <c r="AH1172" s="8">
        <f>IF($O1172="Aktif",MAX(0,MIN($AE1172,$AD1172-SUM($AG1172:AG1172))),0)</f>
        <v>512500</v>
      </c>
      <c r="AI1172" s="8">
        <f>IF($O1172="Aktif",MAX(0,MIN($AE1172,$AD1172-SUM($AG1172:AH1172))),0)</f>
        <v>512500</v>
      </c>
      <c r="AJ1172" s="8">
        <f>IF($O1172="Aktif",MAX(0,MIN($AE1172,$AD1172-SUM($AG1172:AI1172))),0)</f>
        <v>512500</v>
      </c>
      <c r="AK1172" s="8">
        <f>IF($O1172="Aktif",MAX(0,MIN($AE1172,$AD1172-SUM($AG1172:AJ1172))),0)</f>
        <v>512500</v>
      </c>
      <c r="AL1172" s="8">
        <f>IF($O1172="Aktif",MAX(0,MIN($AE1172,$AD1172-SUM($AG1172:AK1172))),0)</f>
        <v>512500</v>
      </c>
      <c r="AM1172" s="8">
        <f>IF($O1172="Aktif",MAX(0,MIN($AE1172,$AD1172-SUM($AG1172:AL1172))),0)</f>
        <v>512500</v>
      </c>
      <c r="AN1172" s="8">
        <f>IF($O1172="Aktif",MAX(0,MIN($AE1172,$AD1172-SUM($AG1172:AM1172))),0)</f>
        <v>512500</v>
      </c>
      <c r="AO1172" s="8">
        <f>IF($O1172="Aktif",MAX(0,MIN($AE1172,$AD1172-SUM($AG1172:AN1172))),0)</f>
        <v>512500</v>
      </c>
      <c r="AP1172" s="8">
        <f>IF($O1172="Aktif",MAX(0,MIN($AE1172,$AD1172-SUM($AG1172:AO1172))),0)</f>
        <v>512500</v>
      </c>
      <c r="AQ1172" s="8">
        <f>IF($O1172="Aktif",MAX(0,MIN($AE1172,$AD1172-SUM($AG1172:AP1172))),0)</f>
        <v>512500</v>
      </c>
      <c r="AR1172" s="8">
        <f>IF($O1172="Aktif",MAX(0,MIN($AE1172,$AD1172-SUM($AG1172:AQ1172))),0)</f>
        <v>512500</v>
      </c>
      <c r="AS1172" s="8">
        <f>IF($O1172="Aktif",MAX(0,MIN($AE1172,$AD1172-SUM($AG1172:AR1172))),0)</f>
        <v>512500</v>
      </c>
      <c r="AT1172" s="8">
        <f>IF($O1172="Aktif",MAX(0,MIN($AE1172,$AD1172-SUM($AG1172:AS1172))),0)</f>
        <v>512500</v>
      </c>
      <c r="AU1172" s="8">
        <f>IF($O1172="Aktif",MAX(0,MIN($AE1172,$AD1172-SUM($AG1172:AT1172))),0)</f>
        <v>512500</v>
      </c>
      <c r="AV1172" s="8">
        <f>IF($O1172="Aktif",MAX(0,MIN($AE1172,$AD1172-SUM($AG1172:AU1172))),0)</f>
        <v>512500</v>
      </c>
      <c r="AW1172" s="8">
        <f t="shared" si="131"/>
        <v>8200000</v>
      </c>
      <c r="AX1172" s="8">
        <f t="shared" si="132"/>
        <v>24087500</v>
      </c>
    </row>
    <row r="1173" spans="1:50" ht="15" customHeight="1" x14ac:dyDescent="0.35">
      <c r="A1173" s="102">
        <v>1167</v>
      </c>
      <c r="B1173" s="102" t="s">
        <v>2815</v>
      </c>
      <c r="C1173" s="103">
        <v>189</v>
      </c>
      <c r="D1173" s="102" t="s">
        <v>186</v>
      </c>
      <c r="E1173" s="102" t="s">
        <v>540</v>
      </c>
      <c r="F1173" s="102" t="s">
        <v>3172</v>
      </c>
      <c r="G1173" s="102" t="s">
        <v>3173</v>
      </c>
      <c r="H1173" s="102" t="s">
        <v>3174</v>
      </c>
      <c r="I1173" s="102" t="s">
        <v>63</v>
      </c>
      <c r="J1173" s="102"/>
      <c r="K1173" s="102" t="s">
        <v>3276</v>
      </c>
      <c r="L1173" s="104">
        <v>45274</v>
      </c>
      <c r="M1173" s="102" t="s">
        <v>3277</v>
      </c>
      <c r="N1173" s="102" t="s">
        <v>3278</v>
      </c>
      <c r="O1173" s="102" t="s">
        <v>383</v>
      </c>
      <c r="P1173" s="103">
        <v>1</v>
      </c>
      <c r="Q1173" s="105">
        <v>20000000</v>
      </c>
      <c r="R1173" s="103">
        <v>96</v>
      </c>
      <c r="S1173" s="105">
        <v>208333.33333333299</v>
      </c>
      <c r="T1173" s="105">
        <v>5208333.3333333302</v>
      </c>
      <c r="U1173" s="105">
        <v>208333.33333333299</v>
      </c>
      <c r="V1173" s="105">
        <v>208333.33333333299</v>
      </c>
      <c r="W1173" s="105">
        <v>208333.33333333299</v>
      </c>
      <c r="X1173" s="105">
        <v>208333.33333333299</v>
      </c>
      <c r="Y1173" s="105">
        <v>208333.33333333299</v>
      </c>
      <c r="Z1173" s="105">
        <v>208333.33333333299</v>
      </c>
      <c r="AA1173" s="105">
        <v>208333.33333333299</v>
      </c>
      <c r="AB1173" s="105">
        <v>208333.33333333299</v>
      </c>
      <c r="AC1173" s="8">
        <f t="shared" si="126"/>
        <v>6874999.9999999944</v>
      </c>
      <c r="AD1173" s="8">
        <f t="shared" si="127"/>
        <v>13125000.000000006</v>
      </c>
      <c r="AE1173" s="8">
        <f t="shared" si="128"/>
        <v>208333.33333333299</v>
      </c>
      <c r="AF1173" s="106">
        <f t="shared" si="129"/>
        <v>63.000000000000128</v>
      </c>
      <c r="AG1173" s="8">
        <f t="shared" si="130"/>
        <v>208333.33333333299</v>
      </c>
      <c r="AH1173" s="8">
        <f>IF($O1173="Aktif",MAX(0,MIN($AE1173,$AD1173-SUM($AG1173:AG1173))),0)</f>
        <v>208333.33333333299</v>
      </c>
      <c r="AI1173" s="8">
        <f>IF($O1173="Aktif",MAX(0,MIN($AE1173,$AD1173-SUM($AG1173:AH1173))),0)</f>
        <v>208333.33333333299</v>
      </c>
      <c r="AJ1173" s="8">
        <f>IF($O1173="Aktif",MAX(0,MIN($AE1173,$AD1173-SUM($AG1173:AI1173))),0)</f>
        <v>208333.33333333299</v>
      </c>
      <c r="AK1173" s="8">
        <f>IF($O1173="Aktif",MAX(0,MIN($AE1173,$AD1173-SUM($AG1173:AJ1173))),0)</f>
        <v>208333.33333333299</v>
      </c>
      <c r="AL1173" s="8">
        <f>IF($O1173="Aktif",MAX(0,MIN($AE1173,$AD1173-SUM($AG1173:AK1173))),0)</f>
        <v>208333.33333333299</v>
      </c>
      <c r="AM1173" s="8">
        <f>IF($O1173="Aktif",MAX(0,MIN($AE1173,$AD1173-SUM($AG1173:AL1173))),0)</f>
        <v>208333.33333333299</v>
      </c>
      <c r="AN1173" s="8">
        <f>IF($O1173="Aktif",MAX(0,MIN($AE1173,$AD1173-SUM($AG1173:AM1173))),0)</f>
        <v>208333.33333333299</v>
      </c>
      <c r="AO1173" s="8">
        <f>IF($O1173="Aktif",MAX(0,MIN($AE1173,$AD1173-SUM($AG1173:AN1173))),0)</f>
        <v>208333.33333333299</v>
      </c>
      <c r="AP1173" s="8">
        <f>IF($O1173="Aktif",MAX(0,MIN($AE1173,$AD1173-SUM($AG1173:AO1173))),0)</f>
        <v>208333.33333333299</v>
      </c>
      <c r="AQ1173" s="8">
        <f>IF($O1173="Aktif",MAX(0,MIN($AE1173,$AD1173-SUM($AG1173:AP1173))),0)</f>
        <v>208333.33333333299</v>
      </c>
      <c r="AR1173" s="8">
        <f>IF($O1173="Aktif",MAX(0,MIN($AE1173,$AD1173-SUM($AG1173:AQ1173))),0)</f>
        <v>208333.33333333299</v>
      </c>
      <c r="AS1173" s="8">
        <f>IF($O1173="Aktif",MAX(0,MIN($AE1173,$AD1173-SUM($AG1173:AR1173))),0)</f>
        <v>208333.33333333299</v>
      </c>
      <c r="AT1173" s="8">
        <f>IF($O1173="Aktif",MAX(0,MIN($AE1173,$AD1173-SUM($AG1173:AS1173))),0)</f>
        <v>208333.33333333299</v>
      </c>
      <c r="AU1173" s="8">
        <f>IF($O1173="Aktif",MAX(0,MIN($AE1173,$AD1173-SUM($AG1173:AT1173))),0)</f>
        <v>208333.33333333299</v>
      </c>
      <c r="AV1173" s="8">
        <f>IF($O1173="Aktif",MAX(0,MIN($AE1173,$AD1173-SUM($AG1173:AU1173))),0)</f>
        <v>208333.33333333299</v>
      </c>
      <c r="AW1173" s="8">
        <f t="shared" si="131"/>
        <v>3333333.3333333279</v>
      </c>
      <c r="AX1173" s="8">
        <f t="shared" si="132"/>
        <v>9791666.6666666772</v>
      </c>
    </row>
    <row r="1174" spans="1:50" ht="15" customHeight="1" x14ac:dyDescent="0.35">
      <c r="A1174" s="102">
        <v>1168</v>
      </c>
      <c r="B1174" s="102" t="s">
        <v>2815</v>
      </c>
      <c r="C1174" s="103">
        <v>190</v>
      </c>
      <c r="D1174" s="102" t="s">
        <v>186</v>
      </c>
      <c r="E1174" s="102" t="s">
        <v>540</v>
      </c>
      <c r="F1174" s="102" t="s">
        <v>3172</v>
      </c>
      <c r="G1174" s="102" t="s">
        <v>3173</v>
      </c>
      <c r="H1174" s="102" t="s">
        <v>3174</v>
      </c>
      <c r="I1174" s="102" t="s">
        <v>63</v>
      </c>
      <c r="J1174" s="102"/>
      <c r="K1174" s="102" t="s">
        <v>3279</v>
      </c>
      <c r="L1174" s="104">
        <v>45280</v>
      </c>
      <c r="M1174" s="102" t="s">
        <v>3280</v>
      </c>
      <c r="N1174" s="102" t="s">
        <v>3281</v>
      </c>
      <c r="O1174" s="102" t="s">
        <v>383</v>
      </c>
      <c r="P1174" s="103">
        <v>1</v>
      </c>
      <c r="Q1174" s="105">
        <v>1279493582.5</v>
      </c>
      <c r="R1174" s="103">
        <v>96</v>
      </c>
      <c r="S1174" s="105">
        <v>13328058.1510417</v>
      </c>
      <c r="T1174" s="105">
        <v>333201453.77604198</v>
      </c>
      <c r="U1174" s="105">
        <v>13328058.1510417</v>
      </c>
      <c r="V1174" s="105">
        <v>13328058.1510417</v>
      </c>
      <c r="W1174" s="105">
        <v>13328058.1510417</v>
      </c>
      <c r="X1174" s="105">
        <v>13328058.1510417</v>
      </c>
      <c r="Y1174" s="105">
        <v>13328058.1510417</v>
      </c>
      <c r="Z1174" s="105">
        <v>13328058.1510417</v>
      </c>
      <c r="AA1174" s="105">
        <v>13328058.1510417</v>
      </c>
      <c r="AB1174" s="105">
        <v>13328058.1510417</v>
      </c>
      <c r="AC1174" s="8">
        <f t="shared" si="126"/>
        <v>439825918.9843756</v>
      </c>
      <c r="AD1174" s="8">
        <f t="shared" si="127"/>
        <v>839667663.5156244</v>
      </c>
      <c r="AE1174" s="8">
        <f t="shared" si="128"/>
        <v>13328058.1510417</v>
      </c>
      <c r="AF1174" s="106">
        <f t="shared" si="129"/>
        <v>62.999999999999801</v>
      </c>
      <c r="AG1174" s="8">
        <f t="shared" si="130"/>
        <v>13328058.1510417</v>
      </c>
      <c r="AH1174" s="8">
        <f>IF($O1174="Aktif",MAX(0,MIN($AE1174,$AD1174-SUM($AG1174:AG1174))),0)</f>
        <v>13328058.1510417</v>
      </c>
      <c r="AI1174" s="8">
        <f>IF($O1174="Aktif",MAX(0,MIN($AE1174,$AD1174-SUM($AG1174:AH1174))),0)</f>
        <v>13328058.1510417</v>
      </c>
      <c r="AJ1174" s="8">
        <f>IF($O1174="Aktif",MAX(0,MIN($AE1174,$AD1174-SUM($AG1174:AI1174))),0)</f>
        <v>13328058.1510417</v>
      </c>
      <c r="AK1174" s="8">
        <f>IF($O1174="Aktif",MAX(0,MIN($AE1174,$AD1174-SUM($AG1174:AJ1174))),0)</f>
        <v>13328058.1510417</v>
      </c>
      <c r="AL1174" s="8">
        <f>IF($O1174="Aktif",MAX(0,MIN($AE1174,$AD1174-SUM($AG1174:AK1174))),0)</f>
        <v>13328058.1510417</v>
      </c>
      <c r="AM1174" s="8">
        <f>IF($O1174="Aktif",MAX(0,MIN($AE1174,$AD1174-SUM($AG1174:AL1174))),0)</f>
        <v>13328058.1510417</v>
      </c>
      <c r="AN1174" s="8">
        <f>IF($O1174="Aktif",MAX(0,MIN($AE1174,$AD1174-SUM($AG1174:AM1174))),0)</f>
        <v>13328058.1510417</v>
      </c>
      <c r="AO1174" s="8">
        <f>IF($O1174="Aktif",MAX(0,MIN($AE1174,$AD1174-SUM($AG1174:AN1174))),0)</f>
        <v>13328058.1510417</v>
      </c>
      <c r="AP1174" s="8">
        <f>IF($O1174="Aktif",MAX(0,MIN($AE1174,$AD1174-SUM($AG1174:AO1174))),0)</f>
        <v>13328058.1510417</v>
      </c>
      <c r="AQ1174" s="8">
        <f>IF($O1174="Aktif",MAX(0,MIN($AE1174,$AD1174-SUM($AG1174:AP1174))),0)</f>
        <v>13328058.1510417</v>
      </c>
      <c r="AR1174" s="8">
        <f>IF($O1174="Aktif",MAX(0,MIN($AE1174,$AD1174-SUM($AG1174:AQ1174))),0)</f>
        <v>13328058.1510417</v>
      </c>
      <c r="AS1174" s="8">
        <f>IF($O1174="Aktif",MAX(0,MIN($AE1174,$AD1174-SUM($AG1174:AR1174))),0)</f>
        <v>13328058.1510417</v>
      </c>
      <c r="AT1174" s="8">
        <f>IF($O1174="Aktif",MAX(0,MIN($AE1174,$AD1174-SUM($AG1174:AS1174))),0)</f>
        <v>13328058.1510417</v>
      </c>
      <c r="AU1174" s="8">
        <f>IF($O1174="Aktif",MAX(0,MIN($AE1174,$AD1174-SUM($AG1174:AT1174))),0)</f>
        <v>13328058.1510417</v>
      </c>
      <c r="AV1174" s="8">
        <f>IF($O1174="Aktif",MAX(0,MIN($AE1174,$AD1174-SUM($AG1174:AU1174))),0)</f>
        <v>13328058.1510417</v>
      </c>
      <c r="AW1174" s="8">
        <f t="shared" si="131"/>
        <v>213248930.41666713</v>
      </c>
      <c r="AX1174" s="8">
        <f t="shared" si="132"/>
        <v>626418733.0989573</v>
      </c>
    </row>
    <row r="1175" spans="1:50" ht="15" customHeight="1" x14ac:dyDescent="0.35">
      <c r="A1175" s="102">
        <v>1169</v>
      </c>
      <c r="B1175" s="102" t="s">
        <v>2815</v>
      </c>
      <c r="C1175" s="103">
        <v>191</v>
      </c>
      <c r="D1175" s="102" t="s">
        <v>186</v>
      </c>
      <c r="E1175" s="102" t="s">
        <v>540</v>
      </c>
      <c r="F1175" s="102" t="s">
        <v>3172</v>
      </c>
      <c r="G1175" s="102" t="s">
        <v>3173</v>
      </c>
      <c r="H1175" s="102" t="s">
        <v>3174</v>
      </c>
      <c r="I1175" s="102" t="s">
        <v>63</v>
      </c>
      <c r="J1175" s="102"/>
      <c r="K1175" s="102" t="s">
        <v>3282</v>
      </c>
      <c r="L1175" s="104">
        <v>45280</v>
      </c>
      <c r="M1175" s="102" t="s">
        <v>3283</v>
      </c>
      <c r="N1175" s="102" t="s">
        <v>3284</v>
      </c>
      <c r="O1175" s="102" t="s">
        <v>383</v>
      </c>
      <c r="P1175" s="103">
        <v>2</v>
      </c>
      <c r="Q1175" s="105">
        <v>161394972</v>
      </c>
      <c r="R1175" s="103">
        <v>96</v>
      </c>
      <c r="S1175" s="105">
        <v>1681197.625</v>
      </c>
      <c r="T1175" s="105">
        <v>42029940.625</v>
      </c>
      <c r="U1175" s="105">
        <v>1681197.625</v>
      </c>
      <c r="V1175" s="105">
        <v>1681197.625</v>
      </c>
      <c r="W1175" s="105">
        <v>1681197.625</v>
      </c>
      <c r="X1175" s="105">
        <v>1681197.625</v>
      </c>
      <c r="Y1175" s="105">
        <v>1681197.625</v>
      </c>
      <c r="Z1175" s="105">
        <v>1681197.625</v>
      </c>
      <c r="AA1175" s="105">
        <v>1681197.625</v>
      </c>
      <c r="AB1175" s="105">
        <v>1681197.625</v>
      </c>
      <c r="AC1175" s="8">
        <f t="shared" si="126"/>
        <v>55479521.625</v>
      </c>
      <c r="AD1175" s="8">
        <f t="shared" si="127"/>
        <v>105915450.375</v>
      </c>
      <c r="AE1175" s="8">
        <f t="shared" si="128"/>
        <v>1681197.625</v>
      </c>
      <c r="AF1175" s="106">
        <f t="shared" si="129"/>
        <v>63</v>
      </c>
      <c r="AG1175" s="8">
        <f t="shared" si="130"/>
        <v>1681197.625</v>
      </c>
      <c r="AH1175" s="8">
        <f>IF($O1175="Aktif",MAX(0,MIN($AE1175,$AD1175-SUM($AG1175:AG1175))),0)</f>
        <v>1681197.625</v>
      </c>
      <c r="AI1175" s="8">
        <f>IF($O1175="Aktif",MAX(0,MIN($AE1175,$AD1175-SUM($AG1175:AH1175))),0)</f>
        <v>1681197.625</v>
      </c>
      <c r="AJ1175" s="8">
        <f>IF($O1175="Aktif",MAX(0,MIN($AE1175,$AD1175-SUM($AG1175:AI1175))),0)</f>
        <v>1681197.625</v>
      </c>
      <c r="AK1175" s="8">
        <f>IF($O1175="Aktif",MAX(0,MIN($AE1175,$AD1175-SUM($AG1175:AJ1175))),0)</f>
        <v>1681197.625</v>
      </c>
      <c r="AL1175" s="8">
        <f>IF($O1175="Aktif",MAX(0,MIN($AE1175,$AD1175-SUM($AG1175:AK1175))),0)</f>
        <v>1681197.625</v>
      </c>
      <c r="AM1175" s="8">
        <f>IF($O1175="Aktif",MAX(0,MIN($AE1175,$AD1175-SUM($AG1175:AL1175))),0)</f>
        <v>1681197.625</v>
      </c>
      <c r="AN1175" s="8">
        <f>IF($O1175="Aktif",MAX(0,MIN($AE1175,$AD1175-SUM($AG1175:AM1175))),0)</f>
        <v>1681197.625</v>
      </c>
      <c r="AO1175" s="8">
        <f>IF($O1175="Aktif",MAX(0,MIN($AE1175,$AD1175-SUM($AG1175:AN1175))),0)</f>
        <v>1681197.625</v>
      </c>
      <c r="AP1175" s="8">
        <f>IF($O1175="Aktif",MAX(0,MIN($AE1175,$AD1175-SUM($AG1175:AO1175))),0)</f>
        <v>1681197.625</v>
      </c>
      <c r="AQ1175" s="8">
        <f>IF($O1175="Aktif",MAX(0,MIN($AE1175,$AD1175-SUM($AG1175:AP1175))),0)</f>
        <v>1681197.625</v>
      </c>
      <c r="AR1175" s="8">
        <f>IF($O1175="Aktif",MAX(0,MIN($AE1175,$AD1175-SUM($AG1175:AQ1175))),0)</f>
        <v>1681197.625</v>
      </c>
      <c r="AS1175" s="8">
        <f>IF($O1175="Aktif",MAX(0,MIN($AE1175,$AD1175-SUM($AG1175:AR1175))),0)</f>
        <v>1681197.625</v>
      </c>
      <c r="AT1175" s="8">
        <f>IF($O1175="Aktif",MAX(0,MIN($AE1175,$AD1175-SUM($AG1175:AS1175))),0)</f>
        <v>1681197.625</v>
      </c>
      <c r="AU1175" s="8">
        <f>IF($O1175="Aktif",MAX(0,MIN($AE1175,$AD1175-SUM($AG1175:AT1175))),0)</f>
        <v>1681197.625</v>
      </c>
      <c r="AV1175" s="8">
        <f>IF($O1175="Aktif",MAX(0,MIN($AE1175,$AD1175-SUM($AG1175:AU1175))),0)</f>
        <v>1681197.625</v>
      </c>
      <c r="AW1175" s="8">
        <f t="shared" si="131"/>
        <v>26899162</v>
      </c>
      <c r="AX1175" s="8">
        <f t="shared" si="132"/>
        <v>79016288.375</v>
      </c>
    </row>
    <row r="1176" spans="1:50" ht="15" customHeight="1" x14ac:dyDescent="0.35">
      <c r="A1176" s="102">
        <v>1170</v>
      </c>
      <c r="B1176" s="102" t="s">
        <v>2815</v>
      </c>
      <c r="C1176" s="103">
        <v>192</v>
      </c>
      <c r="D1176" s="102" t="s">
        <v>186</v>
      </c>
      <c r="E1176" s="102" t="s">
        <v>540</v>
      </c>
      <c r="F1176" s="102" t="s">
        <v>3172</v>
      </c>
      <c r="G1176" s="102" t="s">
        <v>3173</v>
      </c>
      <c r="H1176" s="102" t="s">
        <v>3174</v>
      </c>
      <c r="I1176" s="102" t="s">
        <v>63</v>
      </c>
      <c r="J1176" s="102"/>
      <c r="K1176" s="102" t="s">
        <v>3285</v>
      </c>
      <c r="L1176" s="104">
        <v>45280</v>
      </c>
      <c r="M1176" s="102" t="s">
        <v>3286</v>
      </c>
      <c r="N1176" s="102" t="s">
        <v>3287</v>
      </c>
      <c r="O1176" s="102" t="s">
        <v>383</v>
      </c>
      <c r="P1176" s="103">
        <v>3</v>
      </c>
      <c r="Q1176" s="105">
        <v>221226720</v>
      </c>
      <c r="R1176" s="103">
        <v>96</v>
      </c>
      <c r="S1176" s="105">
        <v>2304445</v>
      </c>
      <c r="T1176" s="105">
        <v>57611125</v>
      </c>
      <c r="U1176" s="105">
        <v>2304445</v>
      </c>
      <c r="V1176" s="105">
        <v>2304445</v>
      </c>
      <c r="W1176" s="105">
        <v>2304445</v>
      </c>
      <c r="X1176" s="105">
        <v>2304445</v>
      </c>
      <c r="Y1176" s="105">
        <v>2304445</v>
      </c>
      <c r="Z1176" s="105">
        <v>2304445</v>
      </c>
      <c r="AA1176" s="105">
        <v>2304445</v>
      </c>
      <c r="AB1176" s="105">
        <v>2304445</v>
      </c>
      <c r="AC1176" s="8">
        <f t="shared" si="126"/>
        <v>76046685</v>
      </c>
      <c r="AD1176" s="8">
        <f t="shared" si="127"/>
        <v>145180035</v>
      </c>
      <c r="AE1176" s="8">
        <f t="shared" si="128"/>
        <v>2304445</v>
      </c>
      <c r="AF1176" s="106">
        <f t="shared" si="129"/>
        <v>63</v>
      </c>
      <c r="AG1176" s="8">
        <f t="shared" si="130"/>
        <v>2304445</v>
      </c>
      <c r="AH1176" s="8">
        <f>IF($O1176="Aktif",MAX(0,MIN($AE1176,$AD1176-SUM($AG1176:AG1176))),0)</f>
        <v>2304445</v>
      </c>
      <c r="AI1176" s="8">
        <f>IF($O1176="Aktif",MAX(0,MIN($AE1176,$AD1176-SUM($AG1176:AH1176))),0)</f>
        <v>2304445</v>
      </c>
      <c r="AJ1176" s="8">
        <f>IF($O1176="Aktif",MAX(0,MIN($AE1176,$AD1176-SUM($AG1176:AI1176))),0)</f>
        <v>2304445</v>
      </c>
      <c r="AK1176" s="8">
        <f>IF($O1176="Aktif",MAX(0,MIN($AE1176,$AD1176-SUM($AG1176:AJ1176))),0)</f>
        <v>2304445</v>
      </c>
      <c r="AL1176" s="8">
        <f>IF($O1176="Aktif",MAX(0,MIN($AE1176,$AD1176-SUM($AG1176:AK1176))),0)</f>
        <v>2304445</v>
      </c>
      <c r="AM1176" s="8">
        <f>IF($O1176="Aktif",MAX(0,MIN($AE1176,$AD1176-SUM($AG1176:AL1176))),0)</f>
        <v>2304445</v>
      </c>
      <c r="AN1176" s="8">
        <f>IF($O1176="Aktif",MAX(0,MIN($AE1176,$AD1176-SUM($AG1176:AM1176))),0)</f>
        <v>2304445</v>
      </c>
      <c r="AO1176" s="8">
        <f>IF($O1176="Aktif",MAX(0,MIN($AE1176,$AD1176-SUM($AG1176:AN1176))),0)</f>
        <v>2304445</v>
      </c>
      <c r="AP1176" s="8">
        <f>IF($O1176="Aktif",MAX(0,MIN($AE1176,$AD1176-SUM($AG1176:AO1176))),0)</f>
        <v>2304445</v>
      </c>
      <c r="AQ1176" s="8">
        <f>IF($O1176="Aktif",MAX(0,MIN($AE1176,$AD1176-SUM($AG1176:AP1176))),0)</f>
        <v>2304445</v>
      </c>
      <c r="AR1176" s="8">
        <f>IF($O1176="Aktif",MAX(0,MIN($AE1176,$AD1176-SUM($AG1176:AQ1176))),0)</f>
        <v>2304445</v>
      </c>
      <c r="AS1176" s="8">
        <f>IF($O1176="Aktif",MAX(0,MIN($AE1176,$AD1176-SUM($AG1176:AR1176))),0)</f>
        <v>2304445</v>
      </c>
      <c r="AT1176" s="8">
        <f>IF($O1176="Aktif",MAX(0,MIN($AE1176,$AD1176-SUM($AG1176:AS1176))),0)</f>
        <v>2304445</v>
      </c>
      <c r="AU1176" s="8">
        <f>IF($O1176="Aktif",MAX(0,MIN($AE1176,$AD1176-SUM($AG1176:AT1176))),0)</f>
        <v>2304445</v>
      </c>
      <c r="AV1176" s="8">
        <f>IF($O1176="Aktif",MAX(0,MIN($AE1176,$AD1176-SUM($AG1176:AU1176))),0)</f>
        <v>2304445</v>
      </c>
      <c r="AW1176" s="8">
        <f t="shared" si="131"/>
        <v>36871120</v>
      </c>
      <c r="AX1176" s="8">
        <f t="shared" si="132"/>
        <v>108308915</v>
      </c>
    </row>
    <row r="1177" spans="1:50" ht="15" customHeight="1" x14ac:dyDescent="0.35">
      <c r="A1177" s="102">
        <v>1171</v>
      </c>
      <c r="B1177" s="102" t="s">
        <v>2815</v>
      </c>
      <c r="C1177" s="103">
        <v>193</v>
      </c>
      <c r="D1177" s="102" t="s">
        <v>186</v>
      </c>
      <c r="E1177" s="102" t="s">
        <v>540</v>
      </c>
      <c r="F1177" s="102" t="s">
        <v>3172</v>
      </c>
      <c r="G1177" s="102" t="s">
        <v>3173</v>
      </c>
      <c r="H1177" s="102" t="s">
        <v>3174</v>
      </c>
      <c r="I1177" s="102" t="s">
        <v>63</v>
      </c>
      <c r="J1177" s="102"/>
      <c r="K1177" s="102" t="s">
        <v>3288</v>
      </c>
      <c r="L1177" s="104">
        <v>45280</v>
      </c>
      <c r="M1177" s="102" t="s">
        <v>3289</v>
      </c>
      <c r="N1177" s="102" t="s">
        <v>3290</v>
      </c>
      <c r="O1177" s="102" t="s">
        <v>383</v>
      </c>
      <c r="P1177" s="103">
        <v>1</v>
      </c>
      <c r="Q1177" s="105">
        <v>136438380</v>
      </c>
      <c r="R1177" s="103">
        <v>96</v>
      </c>
      <c r="S1177" s="105">
        <v>1421233.125</v>
      </c>
      <c r="T1177" s="105">
        <v>35530828.125</v>
      </c>
      <c r="U1177" s="105">
        <v>1421233.125</v>
      </c>
      <c r="V1177" s="105">
        <v>1421233.125</v>
      </c>
      <c r="W1177" s="105">
        <v>1421233.125</v>
      </c>
      <c r="X1177" s="105">
        <v>1421233.125</v>
      </c>
      <c r="Y1177" s="105">
        <v>1421233.125</v>
      </c>
      <c r="Z1177" s="105">
        <v>1421233.125</v>
      </c>
      <c r="AA1177" s="105">
        <v>1421233.125</v>
      </c>
      <c r="AB1177" s="105">
        <v>1421233.125</v>
      </c>
      <c r="AC1177" s="8">
        <f t="shared" si="126"/>
        <v>46900693.125</v>
      </c>
      <c r="AD1177" s="8">
        <f t="shared" si="127"/>
        <v>89537686.875</v>
      </c>
      <c r="AE1177" s="8">
        <f t="shared" si="128"/>
        <v>1421233.125</v>
      </c>
      <c r="AF1177" s="106">
        <f t="shared" si="129"/>
        <v>63</v>
      </c>
      <c r="AG1177" s="8">
        <f t="shared" si="130"/>
        <v>1421233.125</v>
      </c>
      <c r="AH1177" s="8">
        <f>IF($O1177="Aktif",MAX(0,MIN($AE1177,$AD1177-SUM($AG1177:AG1177))),0)</f>
        <v>1421233.125</v>
      </c>
      <c r="AI1177" s="8">
        <f>IF($O1177="Aktif",MAX(0,MIN($AE1177,$AD1177-SUM($AG1177:AH1177))),0)</f>
        <v>1421233.125</v>
      </c>
      <c r="AJ1177" s="8">
        <f>IF($O1177="Aktif",MAX(0,MIN($AE1177,$AD1177-SUM($AG1177:AI1177))),0)</f>
        <v>1421233.125</v>
      </c>
      <c r="AK1177" s="8">
        <f>IF($O1177="Aktif",MAX(0,MIN($AE1177,$AD1177-SUM($AG1177:AJ1177))),0)</f>
        <v>1421233.125</v>
      </c>
      <c r="AL1177" s="8">
        <f>IF($O1177="Aktif",MAX(0,MIN($AE1177,$AD1177-SUM($AG1177:AK1177))),0)</f>
        <v>1421233.125</v>
      </c>
      <c r="AM1177" s="8">
        <f>IF($O1177="Aktif",MAX(0,MIN($AE1177,$AD1177-SUM($AG1177:AL1177))),0)</f>
        <v>1421233.125</v>
      </c>
      <c r="AN1177" s="8">
        <f>IF($O1177="Aktif",MAX(0,MIN($AE1177,$AD1177-SUM($AG1177:AM1177))),0)</f>
        <v>1421233.125</v>
      </c>
      <c r="AO1177" s="8">
        <f>IF($O1177="Aktif",MAX(0,MIN($AE1177,$AD1177-SUM($AG1177:AN1177))),0)</f>
        <v>1421233.125</v>
      </c>
      <c r="AP1177" s="8">
        <f>IF($O1177="Aktif",MAX(0,MIN($AE1177,$AD1177-SUM($AG1177:AO1177))),0)</f>
        <v>1421233.125</v>
      </c>
      <c r="AQ1177" s="8">
        <f>IF($O1177="Aktif",MAX(0,MIN($AE1177,$AD1177-SUM($AG1177:AP1177))),0)</f>
        <v>1421233.125</v>
      </c>
      <c r="AR1177" s="8">
        <f>IF($O1177="Aktif",MAX(0,MIN($AE1177,$AD1177-SUM($AG1177:AQ1177))),0)</f>
        <v>1421233.125</v>
      </c>
      <c r="AS1177" s="8">
        <f>IF($O1177="Aktif",MAX(0,MIN($AE1177,$AD1177-SUM($AG1177:AR1177))),0)</f>
        <v>1421233.125</v>
      </c>
      <c r="AT1177" s="8">
        <f>IF($O1177="Aktif",MAX(0,MIN($AE1177,$AD1177-SUM($AG1177:AS1177))),0)</f>
        <v>1421233.125</v>
      </c>
      <c r="AU1177" s="8">
        <f>IF($O1177="Aktif",MAX(0,MIN($AE1177,$AD1177-SUM($AG1177:AT1177))),0)</f>
        <v>1421233.125</v>
      </c>
      <c r="AV1177" s="8">
        <f>IF($O1177="Aktif",MAX(0,MIN($AE1177,$AD1177-SUM($AG1177:AU1177))),0)</f>
        <v>1421233.125</v>
      </c>
      <c r="AW1177" s="8">
        <f t="shared" si="131"/>
        <v>22739730</v>
      </c>
      <c r="AX1177" s="8">
        <f t="shared" si="132"/>
        <v>66797956.875</v>
      </c>
    </row>
    <row r="1178" spans="1:50" ht="15" customHeight="1" x14ac:dyDescent="0.35">
      <c r="A1178" s="102">
        <v>1172</v>
      </c>
      <c r="B1178" s="102" t="s">
        <v>2815</v>
      </c>
      <c r="C1178" s="103">
        <v>194</v>
      </c>
      <c r="D1178" s="102" t="s">
        <v>186</v>
      </c>
      <c r="E1178" s="102" t="s">
        <v>540</v>
      </c>
      <c r="F1178" s="102" t="s">
        <v>3172</v>
      </c>
      <c r="G1178" s="102" t="s">
        <v>3173</v>
      </c>
      <c r="H1178" s="102" t="s">
        <v>3174</v>
      </c>
      <c r="I1178" s="102" t="s">
        <v>63</v>
      </c>
      <c r="J1178" s="102"/>
      <c r="K1178" s="102" t="s">
        <v>3291</v>
      </c>
      <c r="L1178" s="104">
        <v>45282</v>
      </c>
      <c r="M1178" s="102" t="s">
        <v>3292</v>
      </c>
      <c r="N1178" s="102" t="s">
        <v>3293</v>
      </c>
      <c r="O1178" s="102" t="s">
        <v>383</v>
      </c>
      <c r="P1178" s="103">
        <v>1</v>
      </c>
      <c r="Q1178" s="105">
        <v>675675675</v>
      </c>
      <c r="R1178" s="103">
        <v>96</v>
      </c>
      <c r="S1178" s="105">
        <v>7038288.28125</v>
      </c>
      <c r="T1178" s="105">
        <v>175957207.03125</v>
      </c>
      <c r="U1178" s="105">
        <v>7038288.28125</v>
      </c>
      <c r="V1178" s="105">
        <v>7038288.28125</v>
      </c>
      <c r="W1178" s="105">
        <v>7038288.28125</v>
      </c>
      <c r="X1178" s="105">
        <v>7038288.28125</v>
      </c>
      <c r="Y1178" s="105">
        <v>7038288.28125</v>
      </c>
      <c r="Z1178" s="105">
        <v>7038288.28125</v>
      </c>
      <c r="AA1178" s="105">
        <v>7038288.28125</v>
      </c>
      <c r="AB1178" s="105">
        <v>7038288.28125</v>
      </c>
      <c r="AC1178" s="8">
        <f t="shared" si="126"/>
        <v>232263513.28125</v>
      </c>
      <c r="AD1178" s="8">
        <f t="shared" si="127"/>
        <v>443412161.71875</v>
      </c>
      <c r="AE1178" s="8">
        <f t="shared" si="128"/>
        <v>7038288.28125</v>
      </c>
      <c r="AF1178" s="106">
        <f t="shared" si="129"/>
        <v>63</v>
      </c>
      <c r="AG1178" s="8">
        <f t="shared" si="130"/>
        <v>7038288.28125</v>
      </c>
      <c r="AH1178" s="8">
        <f>IF($O1178="Aktif",MAX(0,MIN($AE1178,$AD1178-SUM($AG1178:AG1178))),0)</f>
        <v>7038288.28125</v>
      </c>
      <c r="AI1178" s="8">
        <f>IF($O1178="Aktif",MAX(0,MIN($AE1178,$AD1178-SUM($AG1178:AH1178))),0)</f>
        <v>7038288.28125</v>
      </c>
      <c r="AJ1178" s="8">
        <f>IF($O1178="Aktif",MAX(0,MIN($AE1178,$AD1178-SUM($AG1178:AI1178))),0)</f>
        <v>7038288.28125</v>
      </c>
      <c r="AK1178" s="8">
        <f>IF($O1178="Aktif",MAX(0,MIN($AE1178,$AD1178-SUM($AG1178:AJ1178))),0)</f>
        <v>7038288.28125</v>
      </c>
      <c r="AL1178" s="8">
        <f>IF($O1178="Aktif",MAX(0,MIN($AE1178,$AD1178-SUM($AG1178:AK1178))),0)</f>
        <v>7038288.28125</v>
      </c>
      <c r="AM1178" s="8">
        <f>IF($O1178="Aktif",MAX(0,MIN($AE1178,$AD1178-SUM($AG1178:AL1178))),0)</f>
        <v>7038288.28125</v>
      </c>
      <c r="AN1178" s="8">
        <f>IF($O1178="Aktif",MAX(0,MIN($AE1178,$AD1178-SUM($AG1178:AM1178))),0)</f>
        <v>7038288.28125</v>
      </c>
      <c r="AO1178" s="8">
        <f>IF($O1178="Aktif",MAX(0,MIN($AE1178,$AD1178-SUM($AG1178:AN1178))),0)</f>
        <v>7038288.28125</v>
      </c>
      <c r="AP1178" s="8">
        <f>IF($O1178="Aktif",MAX(0,MIN($AE1178,$AD1178-SUM($AG1178:AO1178))),0)</f>
        <v>7038288.28125</v>
      </c>
      <c r="AQ1178" s="8">
        <f>IF($O1178="Aktif",MAX(0,MIN($AE1178,$AD1178-SUM($AG1178:AP1178))),0)</f>
        <v>7038288.28125</v>
      </c>
      <c r="AR1178" s="8">
        <f>IF($O1178="Aktif",MAX(0,MIN($AE1178,$AD1178-SUM($AG1178:AQ1178))),0)</f>
        <v>7038288.28125</v>
      </c>
      <c r="AS1178" s="8">
        <f>IF($O1178="Aktif",MAX(0,MIN($AE1178,$AD1178-SUM($AG1178:AR1178))),0)</f>
        <v>7038288.28125</v>
      </c>
      <c r="AT1178" s="8">
        <f>IF($O1178="Aktif",MAX(0,MIN($AE1178,$AD1178-SUM($AG1178:AS1178))),0)</f>
        <v>7038288.28125</v>
      </c>
      <c r="AU1178" s="8">
        <f>IF($O1178="Aktif",MAX(0,MIN($AE1178,$AD1178-SUM($AG1178:AT1178))),0)</f>
        <v>7038288.28125</v>
      </c>
      <c r="AV1178" s="8">
        <f>IF($O1178="Aktif",MAX(0,MIN($AE1178,$AD1178-SUM($AG1178:AU1178))),0)</f>
        <v>7038288.28125</v>
      </c>
      <c r="AW1178" s="8">
        <f t="shared" si="131"/>
        <v>112612612.5</v>
      </c>
      <c r="AX1178" s="8">
        <f t="shared" si="132"/>
        <v>330799549.21875</v>
      </c>
    </row>
    <row r="1179" spans="1:50" ht="15" customHeight="1" x14ac:dyDescent="0.35">
      <c r="A1179" s="102">
        <v>1173</v>
      </c>
      <c r="B1179" s="102" t="s">
        <v>2815</v>
      </c>
      <c r="C1179" s="103">
        <v>195</v>
      </c>
      <c r="D1179" s="102" t="s">
        <v>186</v>
      </c>
      <c r="E1179" s="102" t="s">
        <v>540</v>
      </c>
      <c r="F1179" s="102" t="s">
        <v>3172</v>
      </c>
      <c r="G1179" s="102" t="s">
        <v>3173</v>
      </c>
      <c r="H1179" s="102" t="s">
        <v>3174</v>
      </c>
      <c r="I1179" s="102" t="s">
        <v>63</v>
      </c>
      <c r="J1179" s="102"/>
      <c r="K1179" s="102" t="s">
        <v>3294</v>
      </c>
      <c r="L1179" s="104">
        <v>45384</v>
      </c>
      <c r="M1179" s="102" t="s">
        <v>3295</v>
      </c>
      <c r="N1179" s="102"/>
      <c r="O1179" s="102" t="s">
        <v>383</v>
      </c>
      <c r="P1179" s="103">
        <v>1</v>
      </c>
      <c r="Q1179" s="105">
        <v>50000000</v>
      </c>
      <c r="R1179" s="103">
        <v>96</v>
      </c>
      <c r="S1179" s="105">
        <v>520833.33333333302</v>
      </c>
      <c r="T1179" s="105">
        <v>10937500</v>
      </c>
      <c r="U1179" s="105">
        <v>520833.33333333302</v>
      </c>
      <c r="V1179" s="105">
        <v>520833.33333333302</v>
      </c>
      <c r="W1179" s="105">
        <v>520833.33333333302</v>
      </c>
      <c r="X1179" s="105">
        <v>520833.33333333302</v>
      </c>
      <c r="Y1179" s="105">
        <v>520833.33333333302</v>
      </c>
      <c r="Z1179" s="105">
        <v>520833.33333333302</v>
      </c>
      <c r="AA1179" s="105">
        <v>520833.33333333302</v>
      </c>
      <c r="AB1179" s="105">
        <v>520833.33333333302</v>
      </c>
      <c r="AC1179" s="8">
        <f t="shared" si="126"/>
        <v>15104166.666666664</v>
      </c>
      <c r="AD1179" s="8">
        <f t="shared" si="127"/>
        <v>34895833.333333336</v>
      </c>
      <c r="AE1179" s="8">
        <f t="shared" si="128"/>
        <v>520833.33333333302</v>
      </c>
      <c r="AF1179" s="106">
        <f t="shared" si="129"/>
        <v>67.000000000000043</v>
      </c>
      <c r="AG1179" s="8">
        <f t="shared" si="130"/>
        <v>520833.33333333302</v>
      </c>
      <c r="AH1179" s="8">
        <f>IF($O1179="Aktif",MAX(0,MIN($AE1179,$AD1179-SUM($AG1179:AG1179))),0)</f>
        <v>520833.33333333302</v>
      </c>
      <c r="AI1179" s="8">
        <f>IF($O1179="Aktif",MAX(0,MIN($AE1179,$AD1179-SUM($AG1179:AH1179))),0)</f>
        <v>520833.33333333302</v>
      </c>
      <c r="AJ1179" s="8">
        <f>IF($O1179="Aktif",MAX(0,MIN($AE1179,$AD1179-SUM($AG1179:AI1179))),0)</f>
        <v>520833.33333333302</v>
      </c>
      <c r="AK1179" s="8">
        <f>IF($O1179="Aktif",MAX(0,MIN($AE1179,$AD1179-SUM($AG1179:AJ1179))),0)</f>
        <v>520833.33333333302</v>
      </c>
      <c r="AL1179" s="8">
        <f>IF($O1179="Aktif",MAX(0,MIN($AE1179,$AD1179-SUM($AG1179:AK1179))),0)</f>
        <v>520833.33333333302</v>
      </c>
      <c r="AM1179" s="8">
        <f>IF($O1179="Aktif",MAX(0,MIN($AE1179,$AD1179-SUM($AG1179:AL1179))),0)</f>
        <v>520833.33333333302</v>
      </c>
      <c r="AN1179" s="8">
        <f>IF($O1179="Aktif",MAX(0,MIN($AE1179,$AD1179-SUM($AG1179:AM1179))),0)</f>
        <v>520833.33333333302</v>
      </c>
      <c r="AO1179" s="8">
        <f>IF($O1179="Aktif",MAX(0,MIN($AE1179,$AD1179-SUM($AG1179:AN1179))),0)</f>
        <v>520833.33333333302</v>
      </c>
      <c r="AP1179" s="8">
        <f>IF($O1179="Aktif",MAX(0,MIN($AE1179,$AD1179-SUM($AG1179:AO1179))),0)</f>
        <v>520833.33333333302</v>
      </c>
      <c r="AQ1179" s="8">
        <f>IF($O1179="Aktif",MAX(0,MIN($AE1179,$AD1179-SUM($AG1179:AP1179))),0)</f>
        <v>520833.33333333302</v>
      </c>
      <c r="AR1179" s="8">
        <f>IF($O1179="Aktif",MAX(0,MIN($AE1179,$AD1179-SUM($AG1179:AQ1179))),0)</f>
        <v>520833.33333333302</v>
      </c>
      <c r="AS1179" s="8">
        <f>IF($O1179="Aktif",MAX(0,MIN($AE1179,$AD1179-SUM($AG1179:AR1179))),0)</f>
        <v>520833.33333333302</v>
      </c>
      <c r="AT1179" s="8">
        <f>IF($O1179="Aktif",MAX(0,MIN($AE1179,$AD1179-SUM($AG1179:AS1179))),0)</f>
        <v>520833.33333333302</v>
      </c>
      <c r="AU1179" s="8">
        <f>IF($O1179="Aktif",MAX(0,MIN($AE1179,$AD1179-SUM($AG1179:AT1179))),0)</f>
        <v>520833.33333333302</v>
      </c>
      <c r="AV1179" s="8">
        <f>IF($O1179="Aktif",MAX(0,MIN($AE1179,$AD1179-SUM($AG1179:AU1179))),0)</f>
        <v>520833.33333333302</v>
      </c>
      <c r="AW1179" s="8">
        <f t="shared" si="131"/>
        <v>8333333.3333333284</v>
      </c>
      <c r="AX1179" s="8">
        <f t="shared" si="132"/>
        <v>26562500.000000007</v>
      </c>
    </row>
    <row r="1180" spans="1:50" ht="15" customHeight="1" x14ac:dyDescent="0.35">
      <c r="A1180" s="102">
        <v>1174</v>
      </c>
      <c r="B1180" s="102" t="s">
        <v>2815</v>
      </c>
      <c r="C1180" s="103">
        <v>196</v>
      </c>
      <c r="D1180" s="102" t="s">
        <v>186</v>
      </c>
      <c r="E1180" s="102" t="s">
        <v>540</v>
      </c>
      <c r="F1180" s="102" t="s">
        <v>3172</v>
      </c>
      <c r="G1180" s="102" t="s">
        <v>3173</v>
      </c>
      <c r="H1180" s="102" t="s">
        <v>3174</v>
      </c>
      <c r="I1180" s="102" t="s">
        <v>63</v>
      </c>
      <c r="J1180" s="102"/>
      <c r="K1180" s="102" t="s">
        <v>3296</v>
      </c>
      <c r="L1180" s="104">
        <v>45384</v>
      </c>
      <c r="M1180" s="102" t="s">
        <v>3297</v>
      </c>
      <c r="N1180" s="102"/>
      <c r="O1180" s="102" t="s">
        <v>383</v>
      </c>
      <c r="P1180" s="103">
        <v>1</v>
      </c>
      <c r="Q1180" s="105">
        <v>50000000</v>
      </c>
      <c r="R1180" s="103">
        <v>96</v>
      </c>
      <c r="S1180" s="105">
        <v>520833.33333333302</v>
      </c>
      <c r="T1180" s="105">
        <v>10937500</v>
      </c>
      <c r="U1180" s="105">
        <v>520833.33333333302</v>
      </c>
      <c r="V1180" s="105">
        <v>520833.33333333302</v>
      </c>
      <c r="W1180" s="105">
        <v>520833.33333333302</v>
      </c>
      <c r="X1180" s="105">
        <v>520833.33333333302</v>
      </c>
      <c r="Y1180" s="105">
        <v>520833.33333333302</v>
      </c>
      <c r="Z1180" s="105">
        <v>520833.33333333302</v>
      </c>
      <c r="AA1180" s="105">
        <v>520833.33333333302</v>
      </c>
      <c r="AB1180" s="105">
        <v>520833.33333333302</v>
      </c>
      <c r="AC1180" s="8">
        <f t="shared" si="126"/>
        <v>15104166.666666664</v>
      </c>
      <c r="AD1180" s="8">
        <f t="shared" si="127"/>
        <v>34895833.333333336</v>
      </c>
      <c r="AE1180" s="8">
        <f t="shared" si="128"/>
        <v>520833.33333333302</v>
      </c>
      <c r="AF1180" s="106">
        <f t="shared" si="129"/>
        <v>67.000000000000043</v>
      </c>
      <c r="AG1180" s="8">
        <f t="shared" si="130"/>
        <v>520833.33333333302</v>
      </c>
      <c r="AH1180" s="8">
        <f>IF($O1180="Aktif",MAX(0,MIN($AE1180,$AD1180-SUM($AG1180:AG1180))),0)</f>
        <v>520833.33333333302</v>
      </c>
      <c r="AI1180" s="8">
        <f>IF($O1180="Aktif",MAX(0,MIN($AE1180,$AD1180-SUM($AG1180:AH1180))),0)</f>
        <v>520833.33333333302</v>
      </c>
      <c r="AJ1180" s="8">
        <f>IF($O1180="Aktif",MAX(0,MIN($AE1180,$AD1180-SUM($AG1180:AI1180))),0)</f>
        <v>520833.33333333302</v>
      </c>
      <c r="AK1180" s="8">
        <f>IF($O1180="Aktif",MAX(0,MIN($AE1180,$AD1180-SUM($AG1180:AJ1180))),0)</f>
        <v>520833.33333333302</v>
      </c>
      <c r="AL1180" s="8">
        <f>IF($O1180="Aktif",MAX(0,MIN($AE1180,$AD1180-SUM($AG1180:AK1180))),0)</f>
        <v>520833.33333333302</v>
      </c>
      <c r="AM1180" s="8">
        <f>IF($O1180="Aktif",MAX(0,MIN($AE1180,$AD1180-SUM($AG1180:AL1180))),0)</f>
        <v>520833.33333333302</v>
      </c>
      <c r="AN1180" s="8">
        <f>IF($O1180="Aktif",MAX(0,MIN($AE1180,$AD1180-SUM($AG1180:AM1180))),0)</f>
        <v>520833.33333333302</v>
      </c>
      <c r="AO1180" s="8">
        <f>IF($O1180="Aktif",MAX(0,MIN($AE1180,$AD1180-SUM($AG1180:AN1180))),0)</f>
        <v>520833.33333333302</v>
      </c>
      <c r="AP1180" s="8">
        <f>IF($O1180="Aktif",MAX(0,MIN($AE1180,$AD1180-SUM($AG1180:AO1180))),0)</f>
        <v>520833.33333333302</v>
      </c>
      <c r="AQ1180" s="8">
        <f>IF($O1180="Aktif",MAX(0,MIN($AE1180,$AD1180-SUM($AG1180:AP1180))),0)</f>
        <v>520833.33333333302</v>
      </c>
      <c r="AR1180" s="8">
        <f>IF($O1180="Aktif",MAX(0,MIN($AE1180,$AD1180-SUM($AG1180:AQ1180))),0)</f>
        <v>520833.33333333302</v>
      </c>
      <c r="AS1180" s="8">
        <f>IF($O1180="Aktif",MAX(0,MIN($AE1180,$AD1180-SUM($AG1180:AR1180))),0)</f>
        <v>520833.33333333302</v>
      </c>
      <c r="AT1180" s="8">
        <f>IF($O1180="Aktif",MAX(0,MIN($AE1180,$AD1180-SUM($AG1180:AS1180))),0)</f>
        <v>520833.33333333302</v>
      </c>
      <c r="AU1180" s="8">
        <f>IF($O1180="Aktif",MAX(0,MIN($AE1180,$AD1180-SUM($AG1180:AT1180))),0)</f>
        <v>520833.33333333302</v>
      </c>
      <c r="AV1180" s="8">
        <f>IF($O1180="Aktif",MAX(0,MIN($AE1180,$AD1180-SUM($AG1180:AU1180))),0)</f>
        <v>520833.33333333302</v>
      </c>
      <c r="AW1180" s="8">
        <f t="shared" si="131"/>
        <v>8333333.3333333284</v>
      </c>
      <c r="AX1180" s="8">
        <f t="shared" si="132"/>
        <v>26562500.000000007</v>
      </c>
    </row>
    <row r="1181" spans="1:50" ht="15" customHeight="1" x14ac:dyDescent="0.35">
      <c r="A1181" s="102">
        <v>1175</v>
      </c>
      <c r="B1181" s="102" t="s">
        <v>2815</v>
      </c>
      <c r="C1181" s="103">
        <v>197</v>
      </c>
      <c r="D1181" s="102" t="s">
        <v>186</v>
      </c>
      <c r="E1181" s="102" t="s">
        <v>479</v>
      </c>
      <c r="F1181" s="102" t="s">
        <v>3116</v>
      </c>
      <c r="G1181" s="102" t="s">
        <v>3117</v>
      </c>
      <c r="H1181" s="102" t="s">
        <v>3118</v>
      </c>
      <c r="I1181" s="102" t="s">
        <v>63</v>
      </c>
      <c r="J1181" s="102"/>
      <c r="K1181" s="102" t="s">
        <v>3298</v>
      </c>
      <c r="L1181" s="104">
        <v>45482</v>
      </c>
      <c r="M1181" s="102" t="s">
        <v>3299</v>
      </c>
      <c r="N1181" s="102" t="s">
        <v>3299</v>
      </c>
      <c r="O1181" s="102" t="s">
        <v>383</v>
      </c>
      <c r="P1181" s="103">
        <v>1</v>
      </c>
      <c r="Q1181" s="105">
        <v>32017500</v>
      </c>
      <c r="R1181" s="103">
        <v>48</v>
      </c>
      <c r="S1181" s="105">
        <v>667031.25</v>
      </c>
      <c r="T1181" s="105">
        <v>12006562.5</v>
      </c>
      <c r="U1181" s="105">
        <v>667031.25</v>
      </c>
      <c r="V1181" s="105">
        <v>667031.25</v>
      </c>
      <c r="W1181" s="105">
        <v>667031.25</v>
      </c>
      <c r="X1181" s="105">
        <v>667031.25</v>
      </c>
      <c r="Y1181" s="105">
        <v>667031.25</v>
      </c>
      <c r="Z1181" s="105">
        <v>667031.25</v>
      </c>
      <c r="AA1181" s="105">
        <v>667031.25</v>
      </c>
      <c r="AB1181" s="105">
        <v>667031.25</v>
      </c>
      <c r="AC1181" s="8">
        <f t="shared" si="126"/>
        <v>17342812.5</v>
      </c>
      <c r="AD1181" s="8">
        <f t="shared" si="127"/>
        <v>14674687.5</v>
      </c>
      <c r="AE1181" s="8">
        <f t="shared" si="128"/>
        <v>667031.25</v>
      </c>
      <c r="AF1181" s="106">
        <f t="shared" si="129"/>
        <v>22</v>
      </c>
      <c r="AG1181" s="8">
        <f t="shared" si="130"/>
        <v>667031.25</v>
      </c>
      <c r="AH1181" s="8">
        <f>IF($O1181="Aktif",MAX(0,MIN($AE1181,$AD1181-SUM($AG1181:AG1181))),0)</f>
        <v>667031.25</v>
      </c>
      <c r="AI1181" s="8">
        <f>IF($O1181="Aktif",MAX(0,MIN($AE1181,$AD1181-SUM($AG1181:AH1181))),0)</f>
        <v>667031.25</v>
      </c>
      <c r="AJ1181" s="8">
        <f>IF($O1181="Aktif",MAX(0,MIN($AE1181,$AD1181-SUM($AG1181:AI1181))),0)</f>
        <v>667031.25</v>
      </c>
      <c r="AK1181" s="8">
        <f>IF($O1181="Aktif",MAX(0,MIN($AE1181,$AD1181-SUM($AG1181:AJ1181))),0)</f>
        <v>667031.25</v>
      </c>
      <c r="AL1181" s="8">
        <f>IF($O1181="Aktif",MAX(0,MIN($AE1181,$AD1181-SUM($AG1181:AK1181))),0)</f>
        <v>667031.25</v>
      </c>
      <c r="AM1181" s="8">
        <f>IF($O1181="Aktif",MAX(0,MIN($AE1181,$AD1181-SUM($AG1181:AL1181))),0)</f>
        <v>667031.25</v>
      </c>
      <c r="AN1181" s="8">
        <f>IF($O1181="Aktif",MAX(0,MIN($AE1181,$AD1181-SUM($AG1181:AM1181))),0)</f>
        <v>667031.25</v>
      </c>
      <c r="AO1181" s="8">
        <f>IF($O1181="Aktif",MAX(0,MIN($AE1181,$AD1181-SUM($AG1181:AN1181))),0)</f>
        <v>667031.25</v>
      </c>
      <c r="AP1181" s="8">
        <f>IF($O1181="Aktif",MAX(0,MIN($AE1181,$AD1181-SUM($AG1181:AO1181))),0)</f>
        <v>667031.25</v>
      </c>
      <c r="AQ1181" s="8">
        <f>IF($O1181="Aktif",MAX(0,MIN($AE1181,$AD1181-SUM($AG1181:AP1181))),0)</f>
        <v>667031.25</v>
      </c>
      <c r="AR1181" s="8">
        <f>IF($O1181="Aktif",MAX(0,MIN($AE1181,$AD1181-SUM($AG1181:AQ1181))),0)</f>
        <v>667031.25</v>
      </c>
      <c r="AS1181" s="8">
        <f>IF($O1181="Aktif",MAX(0,MIN($AE1181,$AD1181-SUM($AG1181:AR1181))),0)</f>
        <v>667031.25</v>
      </c>
      <c r="AT1181" s="8">
        <f>IF($O1181="Aktif",MAX(0,MIN($AE1181,$AD1181-SUM($AG1181:AS1181))),0)</f>
        <v>667031.25</v>
      </c>
      <c r="AU1181" s="8">
        <f>IF($O1181="Aktif",MAX(0,MIN($AE1181,$AD1181-SUM($AG1181:AT1181))),0)</f>
        <v>667031.25</v>
      </c>
      <c r="AV1181" s="8">
        <f>IF($O1181="Aktif",MAX(0,MIN($AE1181,$AD1181-SUM($AG1181:AU1181))),0)</f>
        <v>667031.25</v>
      </c>
      <c r="AW1181" s="8">
        <f t="shared" si="131"/>
        <v>10672500</v>
      </c>
      <c r="AX1181" s="8">
        <f t="shared" si="132"/>
        <v>4002187.5</v>
      </c>
    </row>
    <row r="1182" spans="1:50" ht="15" customHeight="1" x14ac:dyDescent="0.35">
      <c r="A1182" s="102">
        <v>1176</v>
      </c>
      <c r="B1182" s="102" t="s">
        <v>2815</v>
      </c>
      <c r="C1182" s="103">
        <v>198</v>
      </c>
      <c r="D1182" s="102" t="s">
        <v>186</v>
      </c>
      <c r="E1182" s="102" t="s">
        <v>479</v>
      </c>
      <c r="F1182" s="102" t="s">
        <v>3116</v>
      </c>
      <c r="G1182" s="102" t="s">
        <v>3117</v>
      </c>
      <c r="H1182" s="102" t="s">
        <v>3118</v>
      </c>
      <c r="I1182" s="102" t="s">
        <v>63</v>
      </c>
      <c r="J1182" s="102"/>
      <c r="K1182" s="102" t="s">
        <v>3300</v>
      </c>
      <c r="L1182" s="104">
        <v>45488</v>
      </c>
      <c r="M1182" s="102" t="s">
        <v>3301</v>
      </c>
      <c r="N1182" s="102" t="s">
        <v>3301</v>
      </c>
      <c r="O1182" s="102" t="s">
        <v>383</v>
      </c>
      <c r="P1182" s="103">
        <v>1</v>
      </c>
      <c r="Q1182" s="105">
        <v>15000000</v>
      </c>
      <c r="R1182" s="103">
        <v>48</v>
      </c>
      <c r="S1182" s="105">
        <v>312500</v>
      </c>
      <c r="T1182" s="105">
        <v>5625000</v>
      </c>
      <c r="U1182" s="105">
        <v>312500</v>
      </c>
      <c r="V1182" s="105">
        <v>312500</v>
      </c>
      <c r="W1182" s="105">
        <v>312500</v>
      </c>
      <c r="X1182" s="105">
        <v>312500</v>
      </c>
      <c r="Y1182" s="105">
        <v>312500</v>
      </c>
      <c r="Z1182" s="105">
        <v>312500</v>
      </c>
      <c r="AA1182" s="105">
        <v>312500</v>
      </c>
      <c r="AB1182" s="105">
        <v>312500</v>
      </c>
      <c r="AC1182" s="8">
        <f t="shared" si="126"/>
        <v>8125000</v>
      </c>
      <c r="AD1182" s="8">
        <f t="shared" si="127"/>
        <v>6875000</v>
      </c>
      <c r="AE1182" s="8">
        <f t="shared" si="128"/>
        <v>312500</v>
      </c>
      <c r="AF1182" s="106">
        <f t="shared" si="129"/>
        <v>22</v>
      </c>
      <c r="AG1182" s="8">
        <f t="shared" si="130"/>
        <v>312500</v>
      </c>
      <c r="AH1182" s="8">
        <f>IF($O1182="Aktif",MAX(0,MIN($AE1182,$AD1182-SUM($AG1182:AG1182))),0)</f>
        <v>312500</v>
      </c>
      <c r="AI1182" s="8">
        <f>IF($O1182="Aktif",MAX(0,MIN($AE1182,$AD1182-SUM($AG1182:AH1182))),0)</f>
        <v>312500</v>
      </c>
      <c r="AJ1182" s="8">
        <f>IF($O1182="Aktif",MAX(0,MIN($AE1182,$AD1182-SUM($AG1182:AI1182))),0)</f>
        <v>312500</v>
      </c>
      <c r="AK1182" s="8">
        <f>IF($O1182="Aktif",MAX(0,MIN($AE1182,$AD1182-SUM($AG1182:AJ1182))),0)</f>
        <v>312500</v>
      </c>
      <c r="AL1182" s="8">
        <f>IF($O1182="Aktif",MAX(0,MIN($AE1182,$AD1182-SUM($AG1182:AK1182))),0)</f>
        <v>312500</v>
      </c>
      <c r="AM1182" s="8">
        <f>IF($O1182="Aktif",MAX(0,MIN($AE1182,$AD1182-SUM($AG1182:AL1182))),0)</f>
        <v>312500</v>
      </c>
      <c r="AN1182" s="8">
        <f>IF($O1182="Aktif",MAX(0,MIN($AE1182,$AD1182-SUM($AG1182:AM1182))),0)</f>
        <v>312500</v>
      </c>
      <c r="AO1182" s="8">
        <f>IF($O1182="Aktif",MAX(0,MIN($AE1182,$AD1182-SUM($AG1182:AN1182))),0)</f>
        <v>312500</v>
      </c>
      <c r="AP1182" s="8">
        <f>IF($O1182="Aktif",MAX(0,MIN($AE1182,$AD1182-SUM($AG1182:AO1182))),0)</f>
        <v>312500</v>
      </c>
      <c r="AQ1182" s="8">
        <f>IF($O1182="Aktif",MAX(0,MIN($AE1182,$AD1182-SUM($AG1182:AP1182))),0)</f>
        <v>312500</v>
      </c>
      <c r="AR1182" s="8">
        <f>IF($O1182="Aktif",MAX(0,MIN($AE1182,$AD1182-SUM($AG1182:AQ1182))),0)</f>
        <v>312500</v>
      </c>
      <c r="AS1182" s="8">
        <f>IF($O1182="Aktif",MAX(0,MIN($AE1182,$AD1182-SUM($AG1182:AR1182))),0)</f>
        <v>312500</v>
      </c>
      <c r="AT1182" s="8">
        <f>IF($O1182="Aktif",MAX(0,MIN($AE1182,$AD1182-SUM($AG1182:AS1182))),0)</f>
        <v>312500</v>
      </c>
      <c r="AU1182" s="8">
        <f>IF($O1182="Aktif",MAX(0,MIN($AE1182,$AD1182-SUM($AG1182:AT1182))),0)</f>
        <v>312500</v>
      </c>
      <c r="AV1182" s="8">
        <f>IF($O1182="Aktif",MAX(0,MIN($AE1182,$AD1182-SUM($AG1182:AU1182))),0)</f>
        <v>312500</v>
      </c>
      <c r="AW1182" s="8">
        <f t="shared" si="131"/>
        <v>5000000</v>
      </c>
      <c r="AX1182" s="8">
        <f t="shared" si="132"/>
        <v>1875000</v>
      </c>
    </row>
    <row r="1183" spans="1:50" ht="15" customHeight="1" x14ac:dyDescent="0.35">
      <c r="A1183" s="102">
        <v>1177</v>
      </c>
      <c r="B1183" s="102" t="s">
        <v>2815</v>
      </c>
      <c r="C1183" s="103">
        <v>199</v>
      </c>
      <c r="D1183" s="102" t="s">
        <v>186</v>
      </c>
      <c r="E1183" s="102" t="s">
        <v>479</v>
      </c>
      <c r="F1183" s="102" t="s">
        <v>3116</v>
      </c>
      <c r="G1183" s="102" t="s">
        <v>3117</v>
      </c>
      <c r="H1183" s="102" t="s">
        <v>3118</v>
      </c>
      <c r="I1183" s="102" t="s">
        <v>63</v>
      </c>
      <c r="J1183" s="102"/>
      <c r="K1183" s="102" t="s">
        <v>3302</v>
      </c>
      <c r="L1183" s="104">
        <v>45519</v>
      </c>
      <c r="M1183" s="102" t="s">
        <v>3303</v>
      </c>
      <c r="N1183" s="102" t="s">
        <v>3303</v>
      </c>
      <c r="O1183" s="102" t="s">
        <v>383</v>
      </c>
      <c r="P1183" s="103">
        <v>1</v>
      </c>
      <c r="Q1183" s="105">
        <v>91484100</v>
      </c>
      <c r="R1183" s="103">
        <v>48</v>
      </c>
      <c r="S1183" s="105">
        <v>1905918.75</v>
      </c>
      <c r="T1183" s="105">
        <v>32400618.75</v>
      </c>
      <c r="U1183" s="105">
        <v>1905918.75</v>
      </c>
      <c r="V1183" s="105">
        <v>1905918.75</v>
      </c>
      <c r="W1183" s="105">
        <v>1905918.75</v>
      </c>
      <c r="X1183" s="105">
        <v>1905918.75</v>
      </c>
      <c r="Y1183" s="105">
        <v>1905918.75</v>
      </c>
      <c r="Z1183" s="105">
        <v>1905918.75</v>
      </c>
      <c r="AA1183" s="105">
        <v>1905918.75</v>
      </c>
      <c r="AB1183" s="105">
        <v>1905918.75</v>
      </c>
      <c r="AC1183" s="8">
        <f t="shared" si="126"/>
        <v>47647968.75</v>
      </c>
      <c r="AD1183" s="8">
        <f t="shared" si="127"/>
        <v>43836131.25</v>
      </c>
      <c r="AE1183" s="8">
        <f t="shared" si="128"/>
        <v>1905918.75</v>
      </c>
      <c r="AF1183" s="106">
        <f t="shared" si="129"/>
        <v>23</v>
      </c>
      <c r="AG1183" s="8">
        <f t="shared" si="130"/>
        <v>1905918.75</v>
      </c>
      <c r="AH1183" s="8">
        <f>IF($O1183="Aktif",MAX(0,MIN($AE1183,$AD1183-SUM($AG1183:AG1183))),0)</f>
        <v>1905918.75</v>
      </c>
      <c r="AI1183" s="8">
        <f>IF($O1183="Aktif",MAX(0,MIN($AE1183,$AD1183-SUM($AG1183:AH1183))),0)</f>
        <v>1905918.75</v>
      </c>
      <c r="AJ1183" s="8">
        <f>IF($O1183="Aktif",MAX(0,MIN($AE1183,$AD1183-SUM($AG1183:AI1183))),0)</f>
        <v>1905918.75</v>
      </c>
      <c r="AK1183" s="8">
        <f>IF($O1183="Aktif",MAX(0,MIN($AE1183,$AD1183-SUM($AG1183:AJ1183))),0)</f>
        <v>1905918.75</v>
      </c>
      <c r="AL1183" s="8">
        <f>IF($O1183="Aktif",MAX(0,MIN($AE1183,$AD1183-SUM($AG1183:AK1183))),0)</f>
        <v>1905918.75</v>
      </c>
      <c r="AM1183" s="8">
        <f>IF($O1183="Aktif",MAX(0,MIN($AE1183,$AD1183-SUM($AG1183:AL1183))),0)</f>
        <v>1905918.75</v>
      </c>
      <c r="AN1183" s="8">
        <f>IF($O1183="Aktif",MAX(0,MIN($AE1183,$AD1183-SUM($AG1183:AM1183))),0)</f>
        <v>1905918.75</v>
      </c>
      <c r="AO1183" s="8">
        <f>IF($O1183="Aktif",MAX(0,MIN($AE1183,$AD1183-SUM($AG1183:AN1183))),0)</f>
        <v>1905918.75</v>
      </c>
      <c r="AP1183" s="8">
        <f>IF($O1183="Aktif",MAX(0,MIN($AE1183,$AD1183-SUM($AG1183:AO1183))),0)</f>
        <v>1905918.75</v>
      </c>
      <c r="AQ1183" s="8">
        <f>IF($O1183="Aktif",MAX(0,MIN($AE1183,$AD1183-SUM($AG1183:AP1183))),0)</f>
        <v>1905918.75</v>
      </c>
      <c r="AR1183" s="8">
        <f>IF($O1183="Aktif",MAX(0,MIN($AE1183,$AD1183-SUM($AG1183:AQ1183))),0)</f>
        <v>1905918.75</v>
      </c>
      <c r="AS1183" s="8">
        <f>IF($O1183="Aktif",MAX(0,MIN($AE1183,$AD1183-SUM($AG1183:AR1183))),0)</f>
        <v>1905918.75</v>
      </c>
      <c r="AT1183" s="8">
        <f>IF($O1183="Aktif",MAX(0,MIN($AE1183,$AD1183-SUM($AG1183:AS1183))),0)</f>
        <v>1905918.75</v>
      </c>
      <c r="AU1183" s="8">
        <f>IF($O1183="Aktif",MAX(0,MIN($AE1183,$AD1183-SUM($AG1183:AT1183))),0)</f>
        <v>1905918.75</v>
      </c>
      <c r="AV1183" s="8">
        <f>IF($O1183="Aktif",MAX(0,MIN($AE1183,$AD1183-SUM($AG1183:AU1183))),0)</f>
        <v>1905918.75</v>
      </c>
      <c r="AW1183" s="8">
        <f t="shared" si="131"/>
        <v>30494700</v>
      </c>
      <c r="AX1183" s="8">
        <f t="shared" si="132"/>
        <v>13341431.25</v>
      </c>
    </row>
    <row r="1184" spans="1:50" ht="15" customHeight="1" x14ac:dyDescent="0.35">
      <c r="A1184" s="102">
        <v>1178</v>
      </c>
      <c r="B1184" s="102" t="s">
        <v>2815</v>
      </c>
      <c r="C1184" s="103">
        <v>200</v>
      </c>
      <c r="D1184" s="102" t="s">
        <v>186</v>
      </c>
      <c r="E1184" s="102" t="s">
        <v>540</v>
      </c>
      <c r="F1184" s="102" t="s">
        <v>3172</v>
      </c>
      <c r="G1184" s="102" t="s">
        <v>3173</v>
      </c>
      <c r="H1184" s="102" t="s">
        <v>3174</v>
      </c>
      <c r="I1184" s="102" t="s">
        <v>63</v>
      </c>
      <c r="J1184" s="102"/>
      <c r="K1184" s="102" t="s">
        <v>3304</v>
      </c>
      <c r="L1184" s="104">
        <v>45519</v>
      </c>
      <c r="M1184" s="102" t="s">
        <v>3305</v>
      </c>
      <c r="N1184" s="102" t="s">
        <v>3305</v>
      </c>
      <c r="O1184" s="102" t="s">
        <v>383</v>
      </c>
      <c r="P1184" s="103">
        <v>1</v>
      </c>
      <c r="Q1184" s="105">
        <v>10000000</v>
      </c>
      <c r="R1184" s="103">
        <v>96</v>
      </c>
      <c r="S1184" s="105">
        <v>104166.66666666701</v>
      </c>
      <c r="T1184" s="105">
        <v>1770833.33333333</v>
      </c>
      <c r="U1184" s="105">
        <v>104166.66666666701</v>
      </c>
      <c r="V1184" s="105">
        <v>104166.66666666701</v>
      </c>
      <c r="W1184" s="105">
        <v>104166.66666666701</v>
      </c>
      <c r="X1184" s="105">
        <v>104166.66666666701</v>
      </c>
      <c r="Y1184" s="105">
        <v>104166.66666666701</v>
      </c>
      <c r="Z1184" s="105">
        <v>104166.66666666701</v>
      </c>
      <c r="AA1184" s="105">
        <v>104166.66666666701</v>
      </c>
      <c r="AB1184" s="105">
        <v>104166.66666666701</v>
      </c>
      <c r="AC1184" s="8">
        <f t="shared" si="126"/>
        <v>2604166.666666666</v>
      </c>
      <c r="AD1184" s="8">
        <f t="shared" si="127"/>
        <v>7395833.333333334</v>
      </c>
      <c r="AE1184" s="8">
        <f t="shared" si="128"/>
        <v>104166.66666666701</v>
      </c>
      <c r="AF1184" s="106">
        <f t="shared" si="129"/>
        <v>70.999999999999773</v>
      </c>
      <c r="AG1184" s="8">
        <f t="shared" si="130"/>
        <v>104166.66666666701</v>
      </c>
      <c r="AH1184" s="8">
        <f>IF($O1184="Aktif",MAX(0,MIN($AE1184,$AD1184-SUM($AG1184:AG1184))),0)</f>
        <v>104166.66666666701</v>
      </c>
      <c r="AI1184" s="8">
        <f>IF($O1184="Aktif",MAX(0,MIN($AE1184,$AD1184-SUM($AG1184:AH1184))),0)</f>
        <v>104166.66666666701</v>
      </c>
      <c r="AJ1184" s="8">
        <f>IF($O1184="Aktif",MAX(0,MIN($AE1184,$AD1184-SUM($AG1184:AI1184))),0)</f>
        <v>104166.66666666701</v>
      </c>
      <c r="AK1184" s="8">
        <f>IF($O1184="Aktif",MAX(0,MIN($AE1184,$AD1184-SUM($AG1184:AJ1184))),0)</f>
        <v>104166.66666666701</v>
      </c>
      <c r="AL1184" s="8">
        <f>IF($O1184="Aktif",MAX(0,MIN($AE1184,$AD1184-SUM($AG1184:AK1184))),0)</f>
        <v>104166.66666666701</v>
      </c>
      <c r="AM1184" s="8">
        <f>IF($O1184="Aktif",MAX(0,MIN($AE1184,$AD1184-SUM($AG1184:AL1184))),0)</f>
        <v>104166.66666666701</v>
      </c>
      <c r="AN1184" s="8">
        <f>IF($O1184="Aktif",MAX(0,MIN($AE1184,$AD1184-SUM($AG1184:AM1184))),0)</f>
        <v>104166.66666666701</v>
      </c>
      <c r="AO1184" s="8">
        <f>IF($O1184="Aktif",MAX(0,MIN($AE1184,$AD1184-SUM($AG1184:AN1184))),0)</f>
        <v>104166.66666666701</v>
      </c>
      <c r="AP1184" s="8">
        <f>IF($O1184="Aktif",MAX(0,MIN($AE1184,$AD1184-SUM($AG1184:AO1184))),0)</f>
        <v>104166.66666666701</v>
      </c>
      <c r="AQ1184" s="8">
        <f>IF($O1184="Aktif",MAX(0,MIN($AE1184,$AD1184-SUM($AG1184:AP1184))),0)</f>
        <v>104166.66666666701</v>
      </c>
      <c r="AR1184" s="8">
        <f>IF($O1184="Aktif",MAX(0,MIN($AE1184,$AD1184-SUM($AG1184:AQ1184))),0)</f>
        <v>104166.66666666701</v>
      </c>
      <c r="AS1184" s="8">
        <f>IF($O1184="Aktif",MAX(0,MIN($AE1184,$AD1184-SUM($AG1184:AR1184))),0)</f>
        <v>104166.66666666701</v>
      </c>
      <c r="AT1184" s="8">
        <f>IF($O1184="Aktif",MAX(0,MIN($AE1184,$AD1184-SUM($AG1184:AS1184))),0)</f>
        <v>104166.66666666701</v>
      </c>
      <c r="AU1184" s="8">
        <f>IF($O1184="Aktif",MAX(0,MIN($AE1184,$AD1184-SUM($AG1184:AT1184))),0)</f>
        <v>104166.66666666701</v>
      </c>
      <c r="AV1184" s="8">
        <f>IF($O1184="Aktif",MAX(0,MIN($AE1184,$AD1184-SUM($AG1184:AU1184))),0)</f>
        <v>104166.66666666701</v>
      </c>
      <c r="AW1184" s="8">
        <f t="shared" si="131"/>
        <v>1666666.6666666719</v>
      </c>
      <c r="AX1184" s="8">
        <f t="shared" si="132"/>
        <v>5729166.6666666623</v>
      </c>
    </row>
    <row r="1185" spans="1:50" ht="15" customHeight="1" x14ac:dyDescent="0.35">
      <c r="A1185" s="102">
        <v>1179</v>
      </c>
      <c r="B1185" s="102" t="s">
        <v>2815</v>
      </c>
      <c r="C1185" s="103">
        <v>201</v>
      </c>
      <c r="D1185" s="102" t="s">
        <v>186</v>
      </c>
      <c r="E1185" s="102" t="s">
        <v>540</v>
      </c>
      <c r="F1185" s="102" t="s">
        <v>3172</v>
      </c>
      <c r="G1185" s="102" t="s">
        <v>3173</v>
      </c>
      <c r="H1185" s="102" t="s">
        <v>3174</v>
      </c>
      <c r="I1185" s="102" t="s">
        <v>63</v>
      </c>
      <c r="J1185" s="102"/>
      <c r="K1185" s="102" t="s">
        <v>3306</v>
      </c>
      <c r="L1185" s="104">
        <v>45519</v>
      </c>
      <c r="M1185" s="102" t="s">
        <v>3307</v>
      </c>
      <c r="N1185" s="102" t="s">
        <v>3307</v>
      </c>
      <c r="O1185" s="102" t="s">
        <v>383</v>
      </c>
      <c r="P1185" s="103">
        <v>1</v>
      </c>
      <c r="Q1185" s="105">
        <v>16000000</v>
      </c>
      <c r="R1185" s="103">
        <v>96</v>
      </c>
      <c r="S1185" s="105">
        <v>166666.66666666701</v>
      </c>
      <c r="T1185" s="105">
        <v>2833333.3333333302</v>
      </c>
      <c r="U1185" s="105">
        <v>166666.66666666701</v>
      </c>
      <c r="V1185" s="105">
        <v>166666.66666666701</v>
      </c>
      <c r="W1185" s="105">
        <v>166666.66666666701</v>
      </c>
      <c r="X1185" s="105">
        <v>166666.66666666701</v>
      </c>
      <c r="Y1185" s="105">
        <v>166666.66666666701</v>
      </c>
      <c r="Z1185" s="105">
        <v>166666.66666666701</v>
      </c>
      <c r="AA1185" s="105">
        <v>166666.66666666701</v>
      </c>
      <c r="AB1185" s="105">
        <v>166666.66666666701</v>
      </c>
      <c r="AC1185" s="8">
        <f t="shared" si="126"/>
        <v>4166666.666666666</v>
      </c>
      <c r="AD1185" s="8">
        <f t="shared" si="127"/>
        <v>11833333.333333334</v>
      </c>
      <c r="AE1185" s="8">
        <f t="shared" si="128"/>
        <v>166666.66666666701</v>
      </c>
      <c r="AF1185" s="106">
        <f t="shared" si="129"/>
        <v>70.999999999999858</v>
      </c>
      <c r="AG1185" s="8">
        <f t="shared" si="130"/>
        <v>166666.66666666701</v>
      </c>
      <c r="AH1185" s="8">
        <f>IF($O1185="Aktif",MAX(0,MIN($AE1185,$AD1185-SUM($AG1185:AG1185))),0)</f>
        <v>166666.66666666701</v>
      </c>
      <c r="AI1185" s="8">
        <f>IF($O1185="Aktif",MAX(0,MIN($AE1185,$AD1185-SUM($AG1185:AH1185))),0)</f>
        <v>166666.66666666701</v>
      </c>
      <c r="AJ1185" s="8">
        <f>IF($O1185="Aktif",MAX(0,MIN($AE1185,$AD1185-SUM($AG1185:AI1185))),0)</f>
        <v>166666.66666666701</v>
      </c>
      <c r="AK1185" s="8">
        <f>IF($O1185="Aktif",MAX(0,MIN($AE1185,$AD1185-SUM($AG1185:AJ1185))),0)</f>
        <v>166666.66666666701</v>
      </c>
      <c r="AL1185" s="8">
        <f>IF($O1185="Aktif",MAX(0,MIN($AE1185,$AD1185-SUM($AG1185:AK1185))),0)</f>
        <v>166666.66666666701</v>
      </c>
      <c r="AM1185" s="8">
        <f>IF($O1185="Aktif",MAX(0,MIN($AE1185,$AD1185-SUM($AG1185:AL1185))),0)</f>
        <v>166666.66666666701</v>
      </c>
      <c r="AN1185" s="8">
        <f>IF($O1185="Aktif",MAX(0,MIN($AE1185,$AD1185-SUM($AG1185:AM1185))),0)</f>
        <v>166666.66666666701</v>
      </c>
      <c r="AO1185" s="8">
        <f>IF($O1185="Aktif",MAX(0,MIN($AE1185,$AD1185-SUM($AG1185:AN1185))),0)</f>
        <v>166666.66666666701</v>
      </c>
      <c r="AP1185" s="8">
        <f>IF($O1185="Aktif",MAX(0,MIN($AE1185,$AD1185-SUM($AG1185:AO1185))),0)</f>
        <v>166666.66666666701</v>
      </c>
      <c r="AQ1185" s="8">
        <f>IF($O1185="Aktif",MAX(0,MIN($AE1185,$AD1185-SUM($AG1185:AP1185))),0)</f>
        <v>166666.66666666701</v>
      </c>
      <c r="AR1185" s="8">
        <f>IF($O1185="Aktif",MAX(0,MIN($AE1185,$AD1185-SUM($AG1185:AQ1185))),0)</f>
        <v>166666.66666666701</v>
      </c>
      <c r="AS1185" s="8">
        <f>IF($O1185="Aktif",MAX(0,MIN($AE1185,$AD1185-SUM($AG1185:AR1185))),0)</f>
        <v>166666.66666666701</v>
      </c>
      <c r="AT1185" s="8">
        <f>IF($O1185="Aktif",MAX(0,MIN($AE1185,$AD1185-SUM($AG1185:AS1185))),0)</f>
        <v>166666.66666666701</v>
      </c>
      <c r="AU1185" s="8">
        <f>IF($O1185="Aktif",MAX(0,MIN($AE1185,$AD1185-SUM($AG1185:AT1185))),0)</f>
        <v>166666.66666666701</v>
      </c>
      <c r="AV1185" s="8">
        <f>IF($O1185="Aktif",MAX(0,MIN($AE1185,$AD1185-SUM($AG1185:AU1185))),0)</f>
        <v>166666.66666666701</v>
      </c>
      <c r="AW1185" s="8">
        <f t="shared" si="131"/>
        <v>2666666.6666666721</v>
      </c>
      <c r="AX1185" s="8">
        <f t="shared" si="132"/>
        <v>9166666.6666666623</v>
      </c>
    </row>
    <row r="1186" spans="1:50" ht="15" customHeight="1" x14ac:dyDescent="0.35">
      <c r="A1186" s="102">
        <v>1180</v>
      </c>
      <c r="B1186" s="102" t="s">
        <v>2815</v>
      </c>
      <c r="C1186" s="103">
        <v>202</v>
      </c>
      <c r="D1186" s="102" t="s">
        <v>186</v>
      </c>
      <c r="E1186" s="102" t="s">
        <v>540</v>
      </c>
      <c r="F1186" s="102" t="s">
        <v>3172</v>
      </c>
      <c r="G1186" s="102" t="s">
        <v>3173</v>
      </c>
      <c r="H1186" s="102" t="s">
        <v>3174</v>
      </c>
      <c r="I1186" s="102" t="s">
        <v>63</v>
      </c>
      <c r="J1186" s="102"/>
      <c r="K1186" s="102" t="s">
        <v>3308</v>
      </c>
      <c r="L1186" s="104">
        <v>45580</v>
      </c>
      <c r="M1186" s="102" t="s">
        <v>3309</v>
      </c>
      <c r="N1186" s="102" t="s">
        <v>3309</v>
      </c>
      <c r="O1186" s="102" t="s">
        <v>383</v>
      </c>
      <c r="P1186" s="103">
        <v>1</v>
      </c>
      <c r="Q1186" s="105">
        <v>312219375</v>
      </c>
      <c r="R1186" s="103">
        <v>96</v>
      </c>
      <c r="S1186" s="105">
        <v>3252285.15625</v>
      </c>
      <c r="T1186" s="105">
        <v>48784277.34375</v>
      </c>
      <c r="U1186" s="105">
        <v>3252285.15625</v>
      </c>
      <c r="V1186" s="105">
        <v>3252285.15625</v>
      </c>
      <c r="W1186" s="105">
        <v>3252285.15625</v>
      </c>
      <c r="X1186" s="105">
        <v>3252285.15625</v>
      </c>
      <c r="Y1186" s="105">
        <v>3252285.15625</v>
      </c>
      <c r="Z1186" s="105">
        <v>3252285.15625</v>
      </c>
      <c r="AA1186" s="105">
        <v>3252285.15625</v>
      </c>
      <c r="AB1186" s="105">
        <v>3252285.15625</v>
      </c>
      <c r="AC1186" s="8">
        <f t="shared" si="126"/>
        <v>74802558.59375</v>
      </c>
      <c r="AD1186" s="8">
        <f t="shared" si="127"/>
        <v>237416816.40625</v>
      </c>
      <c r="AE1186" s="8">
        <f t="shared" si="128"/>
        <v>3252285.15625</v>
      </c>
      <c r="AF1186" s="106">
        <f t="shared" si="129"/>
        <v>73</v>
      </c>
      <c r="AG1186" s="8">
        <f t="shared" si="130"/>
        <v>3252285.15625</v>
      </c>
      <c r="AH1186" s="8">
        <f>IF($O1186="Aktif",MAX(0,MIN($AE1186,$AD1186-SUM($AG1186:AG1186))),0)</f>
        <v>3252285.15625</v>
      </c>
      <c r="AI1186" s="8">
        <f>IF($O1186="Aktif",MAX(0,MIN($AE1186,$AD1186-SUM($AG1186:AH1186))),0)</f>
        <v>3252285.15625</v>
      </c>
      <c r="AJ1186" s="8">
        <f>IF($O1186="Aktif",MAX(0,MIN($AE1186,$AD1186-SUM($AG1186:AI1186))),0)</f>
        <v>3252285.15625</v>
      </c>
      <c r="AK1186" s="8">
        <f>IF($O1186="Aktif",MAX(0,MIN($AE1186,$AD1186-SUM($AG1186:AJ1186))),0)</f>
        <v>3252285.15625</v>
      </c>
      <c r="AL1186" s="8">
        <f>IF($O1186="Aktif",MAX(0,MIN($AE1186,$AD1186-SUM($AG1186:AK1186))),0)</f>
        <v>3252285.15625</v>
      </c>
      <c r="AM1186" s="8">
        <f>IF($O1186="Aktif",MAX(0,MIN($AE1186,$AD1186-SUM($AG1186:AL1186))),0)</f>
        <v>3252285.15625</v>
      </c>
      <c r="AN1186" s="8">
        <f>IF($O1186="Aktif",MAX(0,MIN($AE1186,$AD1186-SUM($AG1186:AM1186))),0)</f>
        <v>3252285.15625</v>
      </c>
      <c r="AO1186" s="8">
        <f>IF($O1186="Aktif",MAX(0,MIN($AE1186,$AD1186-SUM($AG1186:AN1186))),0)</f>
        <v>3252285.15625</v>
      </c>
      <c r="AP1186" s="8">
        <f>IF($O1186="Aktif",MAX(0,MIN($AE1186,$AD1186-SUM($AG1186:AO1186))),0)</f>
        <v>3252285.15625</v>
      </c>
      <c r="AQ1186" s="8">
        <f>IF($O1186="Aktif",MAX(0,MIN($AE1186,$AD1186-SUM($AG1186:AP1186))),0)</f>
        <v>3252285.15625</v>
      </c>
      <c r="AR1186" s="8">
        <f>IF($O1186="Aktif",MAX(0,MIN($AE1186,$AD1186-SUM($AG1186:AQ1186))),0)</f>
        <v>3252285.15625</v>
      </c>
      <c r="AS1186" s="8">
        <f>IF($O1186="Aktif",MAX(0,MIN($AE1186,$AD1186-SUM($AG1186:AR1186))),0)</f>
        <v>3252285.15625</v>
      </c>
      <c r="AT1186" s="8">
        <f>IF($O1186="Aktif",MAX(0,MIN($AE1186,$AD1186-SUM($AG1186:AS1186))),0)</f>
        <v>3252285.15625</v>
      </c>
      <c r="AU1186" s="8">
        <f>IF($O1186="Aktif",MAX(0,MIN($AE1186,$AD1186-SUM($AG1186:AT1186))),0)</f>
        <v>3252285.15625</v>
      </c>
      <c r="AV1186" s="8">
        <f>IF($O1186="Aktif",MAX(0,MIN($AE1186,$AD1186-SUM($AG1186:AU1186))),0)</f>
        <v>3252285.15625</v>
      </c>
      <c r="AW1186" s="8">
        <f t="shared" si="131"/>
        <v>52036562.5</v>
      </c>
      <c r="AX1186" s="8">
        <f t="shared" si="132"/>
        <v>185380253.90625</v>
      </c>
    </row>
    <row r="1187" spans="1:50" ht="15" customHeight="1" x14ac:dyDescent="0.35">
      <c r="A1187" s="102">
        <v>1181</v>
      </c>
      <c r="B1187" s="102" t="s">
        <v>2815</v>
      </c>
      <c r="C1187" s="103">
        <v>203</v>
      </c>
      <c r="D1187" s="102" t="s">
        <v>186</v>
      </c>
      <c r="E1187" s="102" t="s">
        <v>540</v>
      </c>
      <c r="F1187" s="102" t="s">
        <v>3172</v>
      </c>
      <c r="G1187" s="102" t="s">
        <v>3173</v>
      </c>
      <c r="H1187" s="102" t="s">
        <v>3174</v>
      </c>
      <c r="I1187" s="102" t="s">
        <v>63</v>
      </c>
      <c r="J1187" s="102"/>
      <c r="K1187" s="102" t="s">
        <v>3310</v>
      </c>
      <c r="L1187" s="104">
        <v>45580</v>
      </c>
      <c r="M1187" s="102" t="s">
        <v>3311</v>
      </c>
      <c r="N1187" s="102" t="s">
        <v>3311</v>
      </c>
      <c r="O1187" s="102" t="s">
        <v>383</v>
      </c>
      <c r="P1187" s="103">
        <v>1</v>
      </c>
      <c r="Q1187" s="105">
        <v>3302867800</v>
      </c>
      <c r="R1187" s="103">
        <v>96</v>
      </c>
      <c r="S1187" s="105">
        <v>34404872.916666701</v>
      </c>
      <c r="T1187" s="105">
        <v>516073093.75</v>
      </c>
      <c r="U1187" s="105">
        <v>34404872.916666701</v>
      </c>
      <c r="V1187" s="105">
        <v>34404872.916666701</v>
      </c>
      <c r="W1187" s="105">
        <v>34404872.916666701</v>
      </c>
      <c r="X1187" s="105">
        <v>34404872.916666701</v>
      </c>
      <c r="Y1187" s="105">
        <v>34404872.916666701</v>
      </c>
      <c r="Z1187" s="105">
        <v>34404872.916666701</v>
      </c>
      <c r="AA1187" s="105">
        <v>34404872.916666701</v>
      </c>
      <c r="AB1187" s="105">
        <v>34404872.916666701</v>
      </c>
      <c r="AC1187" s="8">
        <f t="shared" si="126"/>
        <v>791312077.08333349</v>
      </c>
      <c r="AD1187" s="8">
        <f t="shared" si="127"/>
        <v>2511555722.9166665</v>
      </c>
      <c r="AE1187" s="8">
        <f t="shared" si="128"/>
        <v>34404872.916666701</v>
      </c>
      <c r="AF1187" s="106">
        <f t="shared" si="129"/>
        <v>72.999999999999915</v>
      </c>
      <c r="AG1187" s="8">
        <f t="shared" si="130"/>
        <v>34404872.916666701</v>
      </c>
      <c r="AH1187" s="8">
        <f>IF($O1187="Aktif",MAX(0,MIN($AE1187,$AD1187-SUM($AG1187:AG1187))),0)</f>
        <v>34404872.916666701</v>
      </c>
      <c r="AI1187" s="8">
        <f>IF($O1187="Aktif",MAX(0,MIN($AE1187,$AD1187-SUM($AG1187:AH1187))),0)</f>
        <v>34404872.916666701</v>
      </c>
      <c r="AJ1187" s="8">
        <f>IF($O1187="Aktif",MAX(0,MIN($AE1187,$AD1187-SUM($AG1187:AI1187))),0)</f>
        <v>34404872.916666701</v>
      </c>
      <c r="AK1187" s="8">
        <f>IF($O1187="Aktif",MAX(0,MIN($AE1187,$AD1187-SUM($AG1187:AJ1187))),0)</f>
        <v>34404872.916666701</v>
      </c>
      <c r="AL1187" s="8">
        <f>IF($O1187="Aktif",MAX(0,MIN($AE1187,$AD1187-SUM($AG1187:AK1187))),0)</f>
        <v>34404872.916666701</v>
      </c>
      <c r="AM1187" s="8">
        <f>IF($O1187="Aktif",MAX(0,MIN($AE1187,$AD1187-SUM($AG1187:AL1187))),0)</f>
        <v>34404872.916666701</v>
      </c>
      <c r="AN1187" s="8">
        <f>IF($O1187="Aktif",MAX(0,MIN($AE1187,$AD1187-SUM($AG1187:AM1187))),0)</f>
        <v>34404872.916666701</v>
      </c>
      <c r="AO1187" s="8">
        <f>IF($O1187="Aktif",MAX(0,MIN($AE1187,$AD1187-SUM($AG1187:AN1187))),0)</f>
        <v>34404872.916666701</v>
      </c>
      <c r="AP1187" s="8">
        <f>IF($O1187="Aktif",MAX(0,MIN($AE1187,$AD1187-SUM($AG1187:AO1187))),0)</f>
        <v>34404872.916666701</v>
      </c>
      <c r="AQ1187" s="8">
        <f>IF($O1187="Aktif",MAX(0,MIN($AE1187,$AD1187-SUM($AG1187:AP1187))),0)</f>
        <v>34404872.916666701</v>
      </c>
      <c r="AR1187" s="8">
        <f>IF($O1187="Aktif",MAX(0,MIN($AE1187,$AD1187-SUM($AG1187:AQ1187))),0)</f>
        <v>34404872.916666701</v>
      </c>
      <c r="AS1187" s="8">
        <f>IF($O1187="Aktif",MAX(0,MIN($AE1187,$AD1187-SUM($AG1187:AR1187))),0)</f>
        <v>34404872.916666701</v>
      </c>
      <c r="AT1187" s="8">
        <f>IF($O1187="Aktif",MAX(0,MIN($AE1187,$AD1187-SUM($AG1187:AS1187))),0)</f>
        <v>34404872.916666701</v>
      </c>
      <c r="AU1187" s="8">
        <f>IF($O1187="Aktif",MAX(0,MIN($AE1187,$AD1187-SUM($AG1187:AT1187))),0)</f>
        <v>34404872.916666701</v>
      </c>
      <c r="AV1187" s="8">
        <f>IF($O1187="Aktif",MAX(0,MIN($AE1187,$AD1187-SUM($AG1187:AU1187))),0)</f>
        <v>34404872.916666701</v>
      </c>
      <c r="AW1187" s="8">
        <f t="shared" si="131"/>
        <v>550477966.6666671</v>
      </c>
      <c r="AX1187" s="8">
        <f t="shared" si="132"/>
        <v>1961077756.2499995</v>
      </c>
    </row>
    <row r="1188" spans="1:50" ht="15" customHeight="1" x14ac:dyDescent="0.35">
      <c r="A1188" s="102">
        <v>1182</v>
      </c>
      <c r="B1188" s="102" t="s">
        <v>2815</v>
      </c>
      <c r="C1188" s="103">
        <v>204</v>
      </c>
      <c r="D1188" s="102" t="s">
        <v>186</v>
      </c>
      <c r="E1188" s="102" t="s">
        <v>540</v>
      </c>
      <c r="F1188" s="102" t="s">
        <v>3172</v>
      </c>
      <c r="G1188" s="102" t="s">
        <v>3173</v>
      </c>
      <c r="H1188" s="102" t="s">
        <v>3174</v>
      </c>
      <c r="I1188" s="102" t="s">
        <v>63</v>
      </c>
      <c r="J1188" s="102"/>
      <c r="K1188" s="102" t="s">
        <v>3312</v>
      </c>
      <c r="L1188" s="104">
        <v>45641</v>
      </c>
      <c r="M1188" s="102" t="s">
        <v>3313</v>
      </c>
      <c r="N1188" s="102" t="s">
        <v>3313</v>
      </c>
      <c r="O1188" s="102" t="s">
        <v>383</v>
      </c>
      <c r="P1188" s="103">
        <v>1</v>
      </c>
      <c r="Q1188" s="105">
        <v>870000000</v>
      </c>
      <c r="R1188" s="103">
        <v>96</v>
      </c>
      <c r="S1188" s="105">
        <v>9062500</v>
      </c>
      <c r="T1188" s="105">
        <v>18125000</v>
      </c>
      <c r="U1188" s="105">
        <v>0</v>
      </c>
      <c r="V1188" s="105">
        <v>0</v>
      </c>
      <c r="W1188" s="105">
        <v>0</v>
      </c>
      <c r="X1188" s="105">
        <v>0</v>
      </c>
      <c r="Y1188" s="105">
        <v>0</v>
      </c>
      <c r="Z1188" s="105">
        <v>0</v>
      </c>
      <c r="AA1188" s="105">
        <v>0</v>
      </c>
      <c r="AB1188" s="105">
        <v>0</v>
      </c>
      <c r="AC1188" s="8">
        <f t="shared" si="126"/>
        <v>18125000</v>
      </c>
      <c r="AD1188" s="8">
        <f t="shared" si="127"/>
        <v>851875000</v>
      </c>
      <c r="AE1188" s="8">
        <f t="shared" si="128"/>
        <v>0</v>
      </c>
      <c r="AF1188" s="106">
        <f t="shared" si="129"/>
        <v>0</v>
      </c>
      <c r="AG1188" s="8">
        <f t="shared" si="130"/>
        <v>0</v>
      </c>
      <c r="AH1188" s="8">
        <f>IF($O1188="Aktif",MAX(0,MIN($AE1188,$AD1188-SUM($AG1188:AG1188))),0)</f>
        <v>0</v>
      </c>
      <c r="AI1188" s="8">
        <f>IF($O1188="Aktif",MAX(0,MIN($AE1188,$AD1188-SUM($AG1188:AH1188))),0)</f>
        <v>0</v>
      </c>
      <c r="AJ1188" s="8">
        <f>IF($O1188="Aktif",MAX(0,MIN($AE1188,$AD1188-SUM($AG1188:AI1188))),0)</f>
        <v>0</v>
      </c>
      <c r="AK1188" s="8">
        <f>IF($O1188="Aktif",MAX(0,MIN($AE1188,$AD1188-SUM($AG1188:AJ1188))),0)</f>
        <v>0</v>
      </c>
      <c r="AL1188" s="8">
        <f>IF($O1188="Aktif",MAX(0,MIN($AE1188,$AD1188-SUM($AG1188:AK1188))),0)</f>
        <v>0</v>
      </c>
      <c r="AM1188" s="8">
        <f>IF($O1188="Aktif",MAX(0,MIN($AE1188,$AD1188-SUM($AG1188:AL1188))),0)</f>
        <v>0</v>
      </c>
      <c r="AN1188" s="8">
        <f>IF($O1188="Aktif",MAX(0,MIN($AE1188,$AD1188-SUM($AG1188:AM1188))),0)</f>
        <v>0</v>
      </c>
      <c r="AO1188" s="8">
        <f>IF($O1188="Aktif",MAX(0,MIN($AE1188,$AD1188-SUM($AG1188:AN1188))),0)</f>
        <v>0</v>
      </c>
      <c r="AP1188" s="8">
        <f>IF($O1188="Aktif",MAX(0,MIN($AE1188,$AD1188-SUM($AG1188:AO1188))),0)</f>
        <v>0</v>
      </c>
      <c r="AQ1188" s="8">
        <f>IF($O1188="Aktif",MAX(0,MIN($AE1188,$AD1188-SUM($AG1188:AP1188))),0)</f>
        <v>0</v>
      </c>
      <c r="AR1188" s="8">
        <f>IF($O1188="Aktif",MAX(0,MIN($AE1188,$AD1188-SUM($AG1188:AQ1188))),0)</f>
        <v>0</v>
      </c>
      <c r="AS1188" s="8">
        <f>IF($O1188="Aktif",MAX(0,MIN($AE1188,$AD1188-SUM($AG1188:AR1188))),0)</f>
        <v>0</v>
      </c>
      <c r="AT1188" s="8">
        <f>IF($O1188="Aktif",MAX(0,MIN($AE1188,$AD1188-SUM($AG1188:AS1188))),0)</f>
        <v>0</v>
      </c>
      <c r="AU1188" s="8">
        <f>IF($O1188="Aktif",MAX(0,MIN($AE1188,$AD1188-SUM($AG1188:AT1188))),0)</f>
        <v>0</v>
      </c>
      <c r="AV1188" s="8">
        <f>IF($O1188="Aktif",MAX(0,MIN($AE1188,$AD1188-SUM($AG1188:AU1188))),0)</f>
        <v>0</v>
      </c>
      <c r="AW1188" s="8">
        <f t="shared" si="131"/>
        <v>0</v>
      </c>
      <c r="AX1188" s="8">
        <f t="shared" si="132"/>
        <v>851875000</v>
      </c>
    </row>
    <row r="1189" spans="1:50" ht="15" customHeight="1" x14ac:dyDescent="0.35">
      <c r="A1189" s="102">
        <v>1183</v>
      </c>
      <c r="B1189" s="102" t="s">
        <v>2815</v>
      </c>
      <c r="C1189" s="103">
        <v>205</v>
      </c>
      <c r="D1189" s="102" t="s">
        <v>186</v>
      </c>
      <c r="E1189" s="102" t="s">
        <v>540</v>
      </c>
      <c r="F1189" s="102" t="s">
        <v>3172</v>
      </c>
      <c r="G1189" s="102" t="s">
        <v>3173</v>
      </c>
      <c r="H1189" s="102" t="s">
        <v>3174</v>
      </c>
      <c r="I1189" s="102" t="s">
        <v>63</v>
      </c>
      <c r="J1189" s="102"/>
      <c r="K1189" s="102" t="s">
        <v>3312</v>
      </c>
      <c r="L1189" s="104">
        <v>45688</v>
      </c>
      <c r="M1189" s="102" t="s">
        <v>3313</v>
      </c>
      <c r="N1189" s="102" t="s">
        <v>3313</v>
      </c>
      <c r="O1189" s="102" t="s">
        <v>487</v>
      </c>
      <c r="P1189" s="103">
        <v>1</v>
      </c>
      <c r="Q1189" s="105">
        <v>-870000000</v>
      </c>
      <c r="R1189" s="102"/>
      <c r="S1189" s="105">
        <v>0</v>
      </c>
      <c r="T1189" s="105">
        <v>-18125000</v>
      </c>
      <c r="U1189" s="105">
        <v>0</v>
      </c>
      <c r="V1189" s="105">
        <v>0</v>
      </c>
      <c r="W1189" s="105">
        <v>0</v>
      </c>
      <c r="X1189" s="105">
        <v>0</v>
      </c>
      <c r="Y1189" s="105">
        <v>0</v>
      </c>
      <c r="Z1189" s="105">
        <v>0</v>
      </c>
      <c r="AA1189" s="105">
        <v>0</v>
      </c>
      <c r="AB1189" s="105">
        <v>0</v>
      </c>
      <c r="AC1189" s="8">
        <f t="shared" si="126"/>
        <v>-18125000</v>
      </c>
      <c r="AD1189" s="8">
        <f t="shared" si="127"/>
        <v>-851875000</v>
      </c>
      <c r="AE1189" s="8">
        <f t="shared" si="128"/>
        <v>0</v>
      </c>
      <c r="AF1189" s="106">
        <f t="shared" si="129"/>
        <v>0</v>
      </c>
      <c r="AG1189" s="8">
        <f t="shared" si="130"/>
        <v>0</v>
      </c>
      <c r="AH1189" s="8">
        <f>IF($O1189="Aktif",MAX(0,MIN($AE1189,$AD1189-SUM($AG1189:AG1189))),0)</f>
        <v>0</v>
      </c>
      <c r="AI1189" s="8">
        <f>IF($O1189="Aktif",MAX(0,MIN($AE1189,$AD1189-SUM($AG1189:AH1189))),0)</f>
        <v>0</v>
      </c>
      <c r="AJ1189" s="8">
        <f>IF($O1189="Aktif",MAX(0,MIN($AE1189,$AD1189-SUM($AG1189:AI1189))),0)</f>
        <v>0</v>
      </c>
      <c r="AK1189" s="8">
        <f>IF($O1189="Aktif",MAX(0,MIN($AE1189,$AD1189-SUM($AG1189:AJ1189))),0)</f>
        <v>0</v>
      </c>
      <c r="AL1189" s="8">
        <f>IF($O1189="Aktif",MAX(0,MIN($AE1189,$AD1189-SUM($AG1189:AK1189))),0)</f>
        <v>0</v>
      </c>
      <c r="AM1189" s="8">
        <f>IF($O1189="Aktif",MAX(0,MIN($AE1189,$AD1189-SUM($AG1189:AL1189))),0)</f>
        <v>0</v>
      </c>
      <c r="AN1189" s="8">
        <f>IF($O1189="Aktif",MAX(0,MIN($AE1189,$AD1189-SUM($AG1189:AM1189))),0)</f>
        <v>0</v>
      </c>
      <c r="AO1189" s="8">
        <f>IF($O1189="Aktif",MAX(0,MIN($AE1189,$AD1189-SUM($AG1189:AN1189))),0)</f>
        <v>0</v>
      </c>
      <c r="AP1189" s="8">
        <f>IF($O1189="Aktif",MAX(0,MIN($AE1189,$AD1189-SUM($AG1189:AO1189))),0)</f>
        <v>0</v>
      </c>
      <c r="AQ1189" s="8">
        <f>IF($O1189="Aktif",MAX(0,MIN($AE1189,$AD1189-SUM($AG1189:AP1189))),0)</f>
        <v>0</v>
      </c>
      <c r="AR1189" s="8">
        <f>IF($O1189="Aktif",MAX(0,MIN($AE1189,$AD1189-SUM($AG1189:AQ1189))),0)</f>
        <v>0</v>
      </c>
      <c r="AS1189" s="8">
        <f>IF($O1189="Aktif",MAX(0,MIN($AE1189,$AD1189-SUM($AG1189:AR1189))),0)</f>
        <v>0</v>
      </c>
      <c r="AT1189" s="8">
        <f>IF($O1189="Aktif",MAX(0,MIN($AE1189,$AD1189-SUM($AG1189:AS1189))),0)</f>
        <v>0</v>
      </c>
      <c r="AU1189" s="8">
        <f>IF($O1189="Aktif",MAX(0,MIN($AE1189,$AD1189-SUM($AG1189:AT1189))),0)</f>
        <v>0</v>
      </c>
      <c r="AV1189" s="8">
        <f>IF($O1189="Aktif",MAX(0,MIN($AE1189,$AD1189-SUM($AG1189:AU1189))),0)</f>
        <v>0</v>
      </c>
      <c r="AW1189" s="8">
        <f t="shared" si="131"/>
        <v>0</v>
      </c>
      <c r="AX1189" s="8">
        <f t="shared" si="132"/>
        <v>-851875000</v>
      </c>
    </row>
    <row r="1190" spans="1:50" ht="15" customHeight="1" x14ac:dyDescent="0.35">
      <c r="A1190" s="102">
        <v>1184</v>
      </c>
      <c r="B1190" s="102" t="s">
        <v>2815</v>
      </c>
      <c r="C1190" s="103">
        <v>206</v>
      </c>
      <c r="D1190" s="102" t="s">
        <v>186</v>
      </c>
      <c r="E1190" s="102" t="s">
        <v>540</v>
      </c>
      <c r="F1190" s="102" t="s">
        <v>3172</v>
      </c>
      <c r="G1190" s="102" t="s">
        <v>3173</v>
      </c>
      <c r="H1190" s="102" t="s">
        <v>3174</v>
      </c>
      <c r="I1190" s="102" t="s">
        <v>63</v>
      </c>
      <c r="J1190" s="102"/>
      <c r="K1190" s="102" t="s">
        <v>3314</v>
      </c>
      <c r="L1190" s="104">
        <v>45641</v>
      </c>
      <c r="M1190" s="102" t="s">
        <v>3315</v>
      </c>
      <c r="N1190" s="102" t="s">
        <v>3315</v>
      </c>
      <c r="O1190" s="102" t="s">
        <v>383</v>
      </c>
      <c r="P1190" s="103">
        <v>1</v>
      </c>
      <c r="Q1190" s="105">
        <v>870000000</v>
      </c>
      <c r="R1190" s="103">
        <v>96</v>
      </c>
      <c r="S1190" s="105">
        <v>9062500</v>
      </c>
      <c r="T1190" s="105">
        <v>18125000</v>
      </c>
      <c r="U1190" s="105">
        <v>0</v>
      </c>
      <c r="V1190" s="105">
        <v>0</v>
      </c>
      <c r="W1190" s="105">
        <v>0</v>
      </c>
      <c r="X1190" s="105">
        <v>0</v>
      </c>
      <c r="Y1190" s="105">
        <v>0</v>
      </c>
      <c r="Z1190" s="105">
        <v>0</v>
      </c>
      <c r="AA1190" s="105">
        <v>0</v>
      </c>
      <c r="AB1190" s="105">
        <v>0</v>
      </c>
      <c r="AC1190" s="8">
        <f t="shared" si="126"/>
        <v>18125000</v>
      </c>
      <c r="AD1190" s="8">
        <f t="shared" si="127"/>
        <v>851875000</v>
      </c>
      <c r="AE1190" s="8">
        <f t="shared" si="128"/>
        <v>0</v>
      </c>
      <c r="AF1190" s="106">
        <f t="shared" si="129"/>
        <v>0</v>
      </c>
      <c r="AG1190" s="8">
        <f t="shared" si="130"/>
        <v>0</v>
      </c>
      <c r="AH1190" s="8">
        <f>IF($O1190="Aktif",MAX(0,MIN($AE1190,$AD1190-SUM($AG1190:AG1190))),0)</f>
        <v>0</v>
      </c>
      <c r="AI1190" s="8">
        <f>IF($O1190="Aktif",MAX(0,MIN($AE1190,$AD1190-SUM($AG1190:AH1190))),0)</f>
        <v>0</v>
      </c>
      <c r="AJ1190" s="8">
        <f>IF($O1190="Aktif",MAX(0,MIN($AE1190,$AD1190-SUM($AG1190:AI1190))),0)</f>
        <v>0</v>
      </c>
      <c r="AK1190" s="8">
        <f>IF($O1190="Aktif",MAX(0,MIN($AE1190,$AD1190-SUM($AG1190:AJ1190))),0)</f>
        <v>0</v>
      </c>
      <c r="AL1190" s="8">
        <f>IF($O1190="Aktif",MAX(0,MIN($AE1190,$AD1190-SUM($AG1190:AK1190))),0)</f>
        <v>0</v>
      </c>
      <c r="AM1190" s="8">
        <f>IF($O1190="Aktif",MAX(0,MIN($AE1190,$AD1190-SUM($AG1190:AL1190))),0)</f>
        <v>0</v>
      </c>
      <c r="AN1190" s="8">
        <f>IF($O1190="Aktif",MAX(0,MIN($AE1190,$AD1190-SUM($AG1190:AM1190))),0)</f>
        <v>0</v>
      </c>
      <c r="AO1190" s="8">
        <f>IF($O1190="Aktif",MAX(0,MIN($AE1190,$AD1190-SUM($AG1190:AN1190))),0)</f>
        <v>0</v>
      </c>
      <c r="AP1190" s="8">
        <f>IF($O1190="Aktif",MAX(0,MIN($AE1190,$AD1190-SUM($AG1190:AO1190))),0)</f>
        <v>0</v>
      </c>
      <c r="AQ1190" s="8">
        <f>IF($O1190="Aktif",MAX(0,MIN($AE1190,$AD1190-SUM($AG1190:AP1190))),0)</f>
        <v>0</v>
      </c>
      <c r="AR1190" s="8">
        <f>IF($O1190="Aktif",MAX(0,MIN($AE1190,$AD1190-SUM($AG1190:AQ1190))),0)</f>
        <v>0</v>
      </c>
      <c r="AS1190" s="8">
        <f>IF($O1190="Aktif",MAX(0,MIN($AE1190,$AD1190-SUM($AG1190:AR1190))),0)</f>
        <v>0</v>
      </c>
      <c r="AT1190" s="8">
        <f>IF($O1190="Aktif",MAX(0,MIN($AE1190,$AD1190-SUM($AG1190:AS1190))),0)</f>
        <v>0</v>
      </c>
      <c r="AU1190" s="8">
        <f>IF($O1190="Aktif",MAX(0,MIN($AE1190,$AD1190-SUM($AG1190:AT1190))),0)</f>
        <v>0</v>
      </c>
      <c r="AV1190" s="8">
        <f>IF($O1190="Aktif",MAX(0,MIN($AE1190,$AD1190-SUM($AG1190:AU1190))),0)</f>
        <v>0</v>
      </c>
      <c r="AW1190" s="8">
        <f t="shared" si="131"/>
        <v>0</v>
      </c>
      <c r="AX1190" s="8">
        <f t="shared" si="132"/>
        <v>851875000</v>
      </c>
    </row>
    <row r="1191" spans="1:50" ht="15" customHeight="1" x14ac:dyDescent="0.35">
      <c r="A1191" s="102">
        <v>1185</v>
      </c>
      <c r="B1191" s="102" t="s">
        <v>2815</v>
      </c>
      <c r="C1191" s="103">
        <v>207</v>
      </c>
      <c r="D1191" s="102" t="s">
        <v>186</v>
      </c>
      <c r="E1191" s="102" t="s">
        <v>540</v>
      </c>
      <c r="F1191" s="102" t="s">
        <v>3172</v>
      </c>
      <c r="G1191" s="102" t="s">
        <v>3173</v>
      </c>
      <c r="H1191" s="102" t="s">
        <v>3174</v>
      </c>
      <c r="I1191" s="102" t="s">
        <v>63</v>
      </c>
      <c r="J1191" s="102"/>
      <c r="K1191" s="102" t="s">
        <v>3314</v>
      </c>
      <c r="L1191" s="104">
        <v>45688</v>
      </c>
      <c r="M1191" s="102" t="s">
        <v>3315</v>
      </c>
      <c r="N1191" s="102" t="s">
        <v>3315</v>
      </c>
      <c r="O1191" s="102" t="s">
        <v>487</v>
      </c>
      <c r="P1191" s="103">
        <v>1</v>
      </c>
      <c r="Q1191" s="105">
        <v>-870000000</v>
      </c>
      <c r="R1191" s="102"/>
      <c r="S1191" s="105">
        <v>0</v>
      </c>
      <c r="T1191" s="105">
        <v>-18125000</v>
      </c>
      <c r="U1191" s="105">
        <v>0</v>
      </c>
      <c r="V1191" s="105">
        <v>0</v>
      </c>
      <c r="W1191" s="105">
        <v>0</v>
      </c>
      <c r="X1191" s="105">
        <v>0</v>
      </c>
      <c r="Y1191" s="105">
        <v>0</v>
      </c>
      <c r="Z1191" s="105">
        <v>0</v>
      </c>
      <c r="AA1191" s="105">
        <v>0</v>
      </c>
      <c r="AB1191" s="105">
        <v>0</v>
      </c>
      <c r="AC1191" s="8">
        <f t="shared" si="126"/>
        <v>-18125000</v>
      </c>
      <c r="AD1191" s="8">
        <f t="shared" si="127"/>
        <v>-851875000</v>
      </c>
      <c r="AE1191" s="8">
        <f t="shared" si="128"/>
        <v>0</v>
      </c>
      <c r="AF1191" s="106">
        <f t="shared" si="129"/>
        <v>0</v>
      </c>
      <c r="AG1191" s="8">
        <f t="shared" si="130"/>
        <v>0</v>
      </c>
      <c r="AH1191" s="8">
        <f>IF($O1191="Aktif",MAX(0,MIN($AE1191,$AD1191-SUM($AG1191:AG1191))),0)</f>
        <v>0</v>
      </c>
      <c r="AI1191" s="8">
        <f>IF($O1191="Aktif",MAX(0,MIN($AE1191,$AD1191-SUM($AG1191:AH1191))),0)</f>
        <v>0</v>
      </c>
      <c r="AJ1191" s="8">
        <f>IF($O1191="Aktif",MAX(0,MIN($AE1191,$AD1191-SUM($AG1191:AI1191))),0)</f>
        <v>0</v>
      </c>
      <c r="AK1191" s="8">
        <f>IF($O1191="Aktif",MAX(0,MIN($AE1191,$AD1191-SUM($AG1191:AJ1191))),0)</f>
        <v>0</v>
      </c>
      <c r="AL1191" s="8">
        <f>IF($O1191="Aktif",MAX(0,MIN($AE1191,$AD1191-SUM($AG1191:AK1191))),0)</f>
        <v>0</v>
      </c>
      <c r="AM1191" s="8">
        <f>IF($O1191="Aktif",MAX(0,MIN($AE1191,$AD1191-SUM($AG1191:AL1191))),0)</f>
        <v>0</v>
      </c>
      <c r="AN1191" s="8">
        <f>IF($O1191="Aktif",MAX(0,MIN($AE1191,$AD1191-SUM($AG1191:AM1191))),0)</f>
        <v>0</v>
      </c>
      <c r="AO1191" s="8">
        <f>IF($O1191="Aktif",MAX(0,MIN($AE1191,$AD1191-SUM($AG1191:AN1191))),0)</f>
        <v>0</v>
      </c>
      <c r="AP1191" s="8">
        <f>IF($O1191="Aktif",MAX(0,MIN($AE1191,$AD1191-SUM($AG1191:AO1191))),0)</f>
        <v>0</v>
      </c>
      <c r="AQ1191" s="8">
        <f>IF($O1191="Aktif",MAX(0,MIN($AE1191,$AD1191-SUM($AG1191:AP1191))),0)</f>
        <v>0</v>
      </c>
      <c r="AR1191" s="8">
        <f>IF($O1191="Aktif",MAX(0,MIN($AE1191,$AD1191-SUM($AG1191:AQ1191))),0)</f>
        <v>0</v>
      </c>
      <c r="AS1191" s="8">
        <f>IF($O1191="Aktif",MAX(0,MIN($AE1191,$AD1191-SUM($AG1191:AR1191))),0)</f>
        <v>0</v>
      </c>
      <c r="AT1191" s="8">
        <f>IF($O1191="Aktif",MAX(0,MIN($AE1191,$AD1191-SUM($AG1191:AS1191))),0)</f>
        <v>0</v>
      </c>
      <c r="AU1191" s="8">
        <f>IF($O1191="Aktif",MAX(0,MIN($AE1191,$AD1191-SUM($AG1191:AT1191))),0)</f>
        <v>0</v>
      </c>
      <c r="AV1191" s="8">
        <f>IF($O1191="Aktif",MAX(0,MIN($AE1191,$AD1191-SUM($AG1191:AU1191))),0)</f>
        <v>0</v>
      </c>
      <c r="AW1191" s="8">
        <f t="shared" si="131"/>
        <v>0</v>
      </c>
      <c r="AX1191" s="8">
        <f t="shared" si="132"/>
        <v>-851875000</v>
      </c>
    </row>
    <row r="1192" spans="1:50" ht="15" customHeight="1" x14ac:dyDescent="0.35">
      <c r="A1192" s="102">
        <v>1186</v>
      </c>
      <c r="B1192" s="102" t="s">
        <v>2815</v>
      </c>
      <c r="C1192" s="103">
        <v>208</v>
      </c>
      <c r="D1192" s="102" t="s">
        <v>186</v>
      </c>
      <c r="E1192" s="102" t="s">
        <v>540</v>
      </c>
      <c r="F1192" s="102" t="s">
        <v>3172</v>
      </c>
      <c r="G1192" s="102" t="s">
        <v>3173</v>
      </c>
      <c r="H1192" s="102" t="s">
        <v>3174</v>
      </c>
      <c r="I1192" s="102" t="s">
        <v>63</v>
      </c>
      <c r="J1192" s="102"/>
      <c r="K1192" s="102" t="s">
        <v>3316</v>
      </c>
      <c r="L1192" s="104">
        <v>45641</v>
      </c>
      <c r="M1192" s="102" t="s">
        <v>3317</v>
      </c>
      <c r="N1192" s="102" t="s">
        <v>3317</v>
      </c>
      <c r="O1192" s="102" t="s">
        <v>383</v>
      </c>
      <c r="P1192" s="103">
        <v>1</v>
      </c>
      <c r="Q1192" s="105">
        <v>870000000</v>
      </c>
      <c r="R1192" s="103">
        <v>96</v>
      </c>
      <c r="S1192" s="105">
        <v>9062500</v>
      </c>
      <c r="T1192" s="105">
        <v>18125000</v>
      </c>
      <c r="U1192" s="105">
        <v>0</v>
      </c>
      <c r="V1192" s="105">
        <v>0</v>
      </c>
      <c r="W1192" s="105">
        <v>0</v>
      </c>
      <c r="X1192" s="105">
        <v>0</v>
      </c>
      <c r="Y1192" s="105">
        <v>0</v>
      </c>
      <c r="Z1192" s="105">
        <v>0</v>
      </c>
      <c r="AA1192" s="105">
        <v>0</v>
      </c>
      <c r="AB1192" s="105">
        <v>0</v>
      </c>
      <c r="AC1192" s="8">
        <f t="shared" si="126"/>
        <v>18125000</v>
      </c>
      <c r="AD1192" s="8">
        <f t="shared" si="127"/>
        <v>851875000</v>
      </c>
      <c r="AE1192" s="8">
        <f t="shared" si="128"/>
        <v>0</v>
      </c>
      <c r="AF1192" s="106">
        <f t="shared" si="129"/>
        <v>0</v>
      </c>
      <c r="AG1192" s="8">
        <f t="shared" si="130"/>
        <v>0</v>
      </c>
      <c r="AH1192" s="8">
        <f>IF($O1192="Aktif",MAX(0,MIN($AE1192,$AD1192-SUM($AG1192:AG1192))),0)</f>
        <v>0</v>
      </c>
      <c r="AI1192" s="8">
        <f>IF($O1192="Aktif",MAX(0,MIN($AE1192,$AD1192-SUM($AG1192:AH1192))),0)</f>
        <v>0</v>
      </c>
      <c r="AJ1192" s="8">
        <f>IF($O1192="Aktif",MAX(0,MIN($AE1192,$AD1192-SUM($AG1192:AI1192))),0)</f>
        <v>0</v>
      </c>
      <c r="AK1192" s="8">
        <f>IF($O1192="Aktif",MAX(0,MIN($AE1192,$AD1192-SUM($AG1192:AJ1192))),0)</f>
        <v>0</v>
      </c>
      <c r="AL1192" s="8">
        <f>IF($O1192="Aktif",MAX(0,MIN($AE1192,$AD1192-SUM($AG1192:AK1192))),0)</f>
        <v>0</v>
      </c>
      <c r="AM1192" s="8">
        <f>IF($O1192="Aktif",MAX(0,MIN($AE1192,$AD1192-SUM($AG1192:AL1192))),0)</f>
        <v>0</v>
      </c>
      <c r="AN1192" s="8">
        <f>IF($O1192="Aktif",MAX(0,MIN($AE1192,$AD1192-SUM($AG1192:AM1192))),0)</f>
        <v>0</v>
      </c>
      <c r="AO1192" s="8">
        <f>IF($O1192="Aktif",MAX(0,MIN($AE1192,$AD1192-SUM($AG1192:AN1192))),0)</f>
        <v>0</v>
      </c>
      <c r="AP1192" s="8">
        <f>IF($O1192="Aktif",MAX(0,MIN($AE1192,$AD1192-SUM($AG1192:AO1192))),0)</f>
        <v>0</v>
      </c>
      <c r="AQ1192" s="8">
        <f>IF($O1192="Aktif",MAX(0,MIN($AE1192,$AD1192-SUM($AG1192:AP1192))),0)</f>
        <v>0</v>
      </c>
      <c r="AR1192" s="8">
        <f>IF($O1192="Aktif",MAX(0,MIN($AE1192,$AD1192-SUM($AG1192:AQ1192))),0)</f>
        <v>0</v>
      </c>
      <c r="AS1192" s="8">
        <f>IF($O1192="Aktif",MAX(0,MIN($AE1192,$AD1192-SUM($AG1192:AR1192))),0)</f>
        <v>0</v>
      </c>
      <c r="AT1192" s="8">
        <f>IF($O1192="Aktif",MAX(0,MIN($AE1192,$AD1192-SUM($AG1192:AS1192))),0)</f>
        <v>0</v>
      </c>
      <c r="AU1192" s="8">
        <f>IF($O1192="Aktif",MAX(0,MIN($AE1192,$AD1192-SUM($AG1192:AT1192))),0)</f>
        <v>0</v>
      </c>
      <c r="AV1192" s="8">
        <f>IF($O1192="Aktif",MAX(0,MIN($AE1192,$AD1192-SUM($AG1192:AU1192))),0)</f>
        <v>0</v>
      </c>
      <c r="AW1192" s="8">
        <f t="shared" si="131"/>
        <v>0</v>
      </c>
      <c r="AX1192" s="8">
        <f t="shared" si="132"/>
        <v>851875000</v>
      </c>
    </row>
    <row r="1193" spans="1:50" ht="15" customHeight="1" x14ac:dyDescent="0.35">
      <c r="A1193" s="102">
        <v>1187</v>
      </c>
      <c r="B1193" s="102" t="s">
        <v>2815</v>
      </c>
      <c r="C1193" s="103">
        <v>209</v>
      </c>
      <c r="D1193" s="102" t="s">
        <v>186</v>
      </c>
      <c r="E1193" s="102" t="s">
        <v>540</v>
      </c>
      <c r="F1193" s="102" t="s">
        <v>3172</v>
      </c>
      <c r="G1193" s="102" t="s">
        <v>3173</v>
      </c>
      <c r="H1193" s="102" t="s">
        <v>3174</v>
      </c>
      <c r="I1193" s="102" t="s">
        <v>63</v>
      </c>
      <c r="J1193" s="102"/>
      <c r="K1193" s="102" t="s">
        <v>3316</v>
      </c>
      <c r="L1193" s="104">
        <v>45688</v>
      </c>
      <c r="M1193" s="102" t="s">
        <v>3317</v>
      </c>
      <c r="N1193" s="102" t="s">
        <v>3317</v>
      </c>
      <c r="O1193" s="102" t="s">
        <v>487</v>
      </c>
      <c r="P1193" s="103">
        <v>1</v>
      </c>
      <c r="Q1193" s="105">
        <v>-870000000</v>
      </c>
      <c r="R1193" s="102"/>
      <c r="S1193" s="105">
        <v>0</v>
      </c>
      <c r="T1193" s="105">
        <v>-18125000</v>
      </c>
      <c r="U1193" s="105">
        <v>0</v>
      </c>
      <c r="V1193" s="105">
        <v>0</v>
      </c>
      <c r="W1193" s="105">
        <v>0</v>
      </c>
      <c r="X1193" s="105">
        <v>0</v>
      </c>
      <c r="Y1193" s="105">
        <v>0</v>
      </c>
      <c r="Z1193" s="105">
        <v>0</v>
      </c>
      <c r="AA1193" s="105">
        <v>0</v>
      </c>
      <c r="AB1193" s="105">
        <v>0</v>
      </c>
      <c r="AC1193" s="8">
        <f t="shared" si="126"/>
        <v>-18125000</v>
      </c>
      <c r="AD1193" s="8">
        <f t="shared" si="127"/>
        <v>-851875000</v>
      </c>
      <c r="AE1193" s="8">
        <f t="shared" si="128"/>
        <v>0</v>
      </c>
      <c r="AF1193" s="106">
        <f t="shared" si="129"/>
        <v>0</v>
      </c>
      <c r="AG1193" s="8">
        <f t="shared" si="130"/>
        <v>0</v>
      </c>
      <c r="AH1193" s="8">
        <f>IF($O1193="Aktif",MAX(0,MIN($AE1193,$AD1193-SUM($AG1193:AG1193))),0)</f>
        <v>0</v>
      </c>
      <c r="AI1193" s="8">
        <f>IF($O1193="Aktif",MAX(0,MIN($AE1193,$AD1193-SUM($AG1193:AH1193))),0)</f>
        <v>0</v>
      </c>
      <c r="AJ1193" s="8">
        <f>IF($O1193="Aktif",MAX(0,MIN($AE1193,$AD1193-SUM($AG1193:AI1193))),0)</f>
        <v>0</v>
      </c>
      <c r="AK1193" s="8">
        <f>IF($O1193="Aktif",MAX(0,MIN($AE1193,$AD1193-SUM($AG1193:AJ1193))),0)</f>
        <v>0</v>
      </c>
      <c r="AL1193" s="8">
        <f>IF($O1193="Aktif",MAX(0,MIN($AE1193,$AD1193-SUM($AG1193:AK1193))),0)</f>
        <v>0</v>
      </c>
      <c r="AM1193" s="8">
        <f>IF($O1193="Aktif",MAX(0,MIN($AE1193,$AD1193-SUM($AG1193:AL1193))),0)</f>
        <v>0</v>
      </c>
      <c r="AN1193" s="8">
        <f>IF($O1193="Aktif",MAX(0,MIN($AE1193,$AD1193-SUM($AG1193:AM1193))),0)</f>
        <v>0</v>
      </c>
      <c r="AO1193" s="8">
        <f>IF($O1193="Aktif",MAX(0,MIN($AE1193,$AD1193-SUM($AG1193:AN1193))),0)</f>
        <v>0</v>
      </c>
      <c r="AP1193" s="8">
        <f>IF($O1193="Aktif",MAX(0,MIN($AE1193,$AD1193-SUM($AG1193:AO1193))),0)</f>
        <v>0</v>
      </c>
      <c r="AQ1193" s="8">
        <f>IF($O1193="Aktif",MAX(0,MIN($AE1193,$AD1193-SUM($AG1193:AP1193))),0)</f>
        <v>0</v>
      </c>
      <c r="AR1193" s="8">
        <f>IF($O1193="Aktif",MAX(0,MIN($AE1193,$AD1193-SUM($AG1193:AQ1193))),0)</f>
        <v>0</v>
      </c>
      <c r="AS1193" s="8">
        <f>IF($O1193="Aktif",MAX(0,MIN($AE1193,$AD1193-SUM($AG1193:AR1193))),0)</f>
        <v>0</v>
      </c>
      <c r="AT1193" s="8">
        <f>IF($O1193="Aktif",MAX(0,MIN($AE1193,$AD1193-SUM($AG1193:AS1193))),0)</f>
        <v>0</v>
      </c>
      <c r="AU1193" s="8">
        <f>IF($O1193="Aktif",MAX(0,MIN($AE1193,$AD1193-SUM($AG1193:AT1193))),0)</f>
        <v>0</v>
      </c>
      <c r="AV1193" s="8">
        <f>IF($O1193="Aktif",MAX(0,MIN($AE1193,$AD1193-SUM($AG1193:AU1193))),0)</f>
        <v>0</v>
      </c>
      <c r="AW1193" s="8">
        <f t="shared" si="131"/>
        <v>0</v>
      </c>
      <c r="AX1193" s="8">
        <f t="shared" si="132"/>
        <v>-851875000</v>
      </c>
    </row>
    <row r="1194" spans="1:50" ht="15" customHeight="1" x14ac:dyDescent="0.35">
      <c r="A1194" s="102">
        <v>1188</v>
      </c>
      <c r="B1194" s="102" t="s">
        <v>2815</v>
      </c>
      <c r="C1194" s="103">
        <v>210</v>
      </c>
      <c r="D1194" s="102" t="s">
        <v>186</v>
      </c>
      <c r="E1194" s="102" t="s">
        <v>540</v>
      </c>
      <c r="F1194" s="102" t="s">
        <v>3172</v>
      </c>
      <c r="G1194" s="102" t="s">
        <v>3173</v>
      </c>
      <c r="H1194" s="102" t="s">
        <v>3174</v>
      </c>
      <c r="I1194" s="102" t="s">
        <v>63</v>
      </c>
      <c r="J1194" s="102"/>
      <c r="K1194" s="102" t="s">
        <v>3318</v>
      </c>
      <c r="L1194" s="104">
        <v>45703</v>
      </c>
      <c r="M1194" s="102" t="s">
        <v>3319</v>
      </c>
      <c r="N1194" s="102" t="s">
        <v>3319</v>
      </c>
      <c r="O1194" s="102" t="s">
        <v>383</v>
      </c>
      <c r="P1194" s="103">
        <v>1</v>
      </c>
      <c r="Q1194" s="105">
        <v>50000000</v>
      </c>
      <c r="R1194" s="103">
        <v>96</v>
      </c>
      <c r="S1194" s="105">
        <v>520833.33333333302</v>
      </c>
      <c r="T1194" s="105">
        <v>5729166.6666666698</v>
      </c>
      <c r="U1194" s="105">
        <v>520833.33333333302</v>
      </c>
      <c r="V1194" s="105">
        <v>520833.33333333302</v>
      </c>
      <c r="W1194" s="105">
        <v>520833.33333333302</v>
      </c>
      <c r="X1194" s="105">
        <v>520833.33333333302</v>
      </c>
      <c r="Y1194" s="105">
        <v>520833.33333333302</v>
      </c>
      <c r="Z1194" s="105">
        <v>520833.33333333302</v>
      </c>
      <c r="AA1194" s="105">
        <v>520833.33333333302</v>
      </c>
      <c r="AB1194" s="105">
        <v>520833.33333333302</v>
      </c>
      <c r="AC1194" s="8">
        <f t="shared" si="126"/>
        <v>9895833.333333334</v>
      </c>
      <c r="AD1194" s="8">
        <f t="shared" si="127"/>
        <v>40104166.666666664</v>
      </c>
      <c r="AE1194" s="8">
        <f t="shared" si="128"/>
        <v>520833.33333333302</v>
      </c>
      <c r="AF1194" s="106">
        <f t="shared" si="129"/>
        <v>77.000000000000043</v>
      </c>
      <c r="AG1194" s="8">
        <f t="shared" si="130"/>
        <v>520833.33333333302</v>
      </c>
      <c r="AH1194" s="8">
        <f>IF($O1194="Aktif",MAX(0,MIN($AE1194,$AD1194-SUM($AG1194:AG1194))),0)</f>
        <v>520833.33333333302</v>
      </c>
      <c r="AI1194" s="8">
        <f>IF($O1194="Aktif",MAX(0,MIN($AE1194,$AD1194-SUM($AG1194:AH1194))),0)</f>
        <v>520833.33333333302</v>
      </c>
      <c r="AJ1194" s="8">
        <f>IF($O1194="Aktif",MAX(0,MIN($AE1194,$AD1194-SUM($AG1194:AI1194))),0)</f>
        <v>520833.33333333302</v>
      </c>
      <c r="AK1194" s="8">
        <f>IF($O1194="Aktif",MAX(0,MIN($AE1194,$AD1194-SUM($AG1194:AJ1194))),0)</f>
        <v>520833.33333333302</v>
      </c>
      <c r="AL1194" s="8">
        <f>IF($O1194="Aktif",MAX(0,MIN($AE1194,$AD1194-SUM($AG1194:AK1194))),0)</f>
        <v>520833.33333333302</v>
      </c>
      <c r="AM1194" s="8">
        <f>IF($O1194="Aktif",MAX(0,MIN($AE1194,$AD1194-SUM($AG1194:AL1194))),0)</f>
        <v>520833.33333333302</v>
      </c>
      <c r="AN1194" s="8">
        <f>IF($O1194="Aktif",MAX(0,MIN($AE1194,$AD1194-SUM($AG1194:AM1194))),0)</f>
        <v>520833.33333333302</v>
      </c>
      <c r="AO1194" s="8">
        <f>IF($O1194="Aktif",MAX(0,MIN($AE1194,$AD1194-SUM($AG1194:AN1194))),0)</f>
        <v>520833.33333333302</v>
      </c>
      <c r="AP1194" s="8">
        <f>IF($O1194="Aktif",MAX(0,MIN($AE1194,$AD1194-SUM($AG1194:AO1194))),0)</f>
        <v>520833.33333333302</v>
      </c>
      <c r="AQ1194" s="8">
        <f>IF($O1194="Aktif",MAX(0,MIN($AE1194,$AD1194-SUM($AG1194:AP1194))),0)</f>
        <v>520833.33333333302</v>
      </c>
      <c r="AR1194" s="8">
        <f>IF($O1194="Aktif",MAX(0,MIN($AE1194,$AD1194-SUM($AG1194:AQ1194))),0)</f>
        <v>520833.33333333302</v>
      </c>
      <c r="AS1194" s="8">
        <f>IF($O1194="Aktif",MAX(0,MIN($AE1194,$AD1194-SUM($AG1194:AR1194))),0)</f>
        <v>520833.33333333302</v>
      </c>
      <c r="AT1194" s="8">
        <f>IF($O1194="Aktif",MAX(0,MIN($AE1194,$AD1194-SUM($AG1194:AS1194))),0)</f>
        <v>520833.33333333302</v>
      </c>
      <c r="AU1194" s="8">
        <f>IF($O1194="Aktif",MAX(0,MIN($AE1194,$AD1194-SUM($AG1194:AT1194))),0)</f>
        <v>520833.33333333302</v>
      </c>
      <c r="AV1194" s="8">
        <f>IF($O1194="Aktif",MAX(0,MIN($AE1194,$AD1194-SUM($AG1194:AU1194))),0)</f>
        <v>520833.33333333302</v>
      </c>
      <c r="AW1194" s="8">
        <f t="shared" si="131"/>
        <v>8333333.3333333284</v>
      </c>
      <c r="AX1194" s="8">
        <f t="shared" si="132"/>
        <v>31770833.333333336</v>
      </c>
    </row>
    <row r="1195" spans="1:50" ht="15" customHeight="1" x14ac:dyDescent="0.35">
      <c r="A1195" s="102">
        <v>1189</v>
      </c>
      <c r="B1195" s="102" t="s">
        <v>2815</v>
      </c>
      <c r="C1195" s="103">
        <v>211</v>
      </c>
      <c r="D1195" s="102" t="s">
        <v>186</v>
      </c>
      <c r="E1195" s="102" t="s">
        <v>540</v>
      </c>
      <c r="F1195" s="102" t="s">
        <v>3172</v>
      </c>
      <c r="G1195" s="102" t="s">
        <v>3173</v>
      </c>
      <c r="H1195" s="102" t="s">
        <v>3174</v>
      </c>
      <c r="I1195" s="102" t="s">
        <v>63</v>
      </c>
      <c r="J1195" s="102"/>
      <c r="K1195" s="102" t="s">
        <v>3320</v>
      </c>
      <c r="L1195" s="104">
        <v>45812</v>
      </c>
      <c r="M1195" s="102" t="s">
        <v>3321</v>
      </c>
      <c r="N1195" s="102" t="s">
        <v>3321</v>
      </c>
      <c r="O1195" s="102" t="s">
        <v>383</v>
      </c>
      <c r="P1195" s="103">
        <v>1</v>
      </c>
      <c r="Q1195" s="105">
        <v>166207346.5</v>
      </c>
      <c r="R1195" s="103">
        <v>96</v>
      </c>
      <c r="S1195" s="105">
        <v>1731326.52604167</v>
      </c>
      <c r="T1195" s="105">
        <v>12119285.6822917</v>
      </c>
      <c r="U1195" s="105">
        <v>1731326.52604167</v>
      </c>
      <c r="V1195" s="105">
        <v>1731326.52604167</v>
      </c>
      <c r="W1195" s="105">
        <v>1731326.52604167</v>
      </c>
      <c r="X1195" s="105">
        <v>1731326.52604167</v>
      </c>
      <c r="Y1195" s="105">
        <v>1731326.52604167</v>
      </c>
      <c r="Z1195" s="105">
        <v>1731326.52604167</v>
      </c>
      <c r="AA1195" s="105">
        <v>1731326.52604167</v>
      </c>
      <c r="AB1195" s="105">
        <v>1731326.52604167</v>
      </c>
      <c r="AC1195" s="8">
        <f t="shared" si="126"/>
        <v>25969897.89062506</v>
      </c>
      <c r="AD1195" s="8">
        <f t="shared" si="127"/>
        <v>140237448.60937494</v>
      </c>
      <c r="AE1195" s="8">
        <f t="shared" si="128"/>
        <v>1731326.52604167</v>
      </c>
      <c r="AF1195" s="106">
        <f t="shared" si="129"/>
        <v>80.999999999999815</v>
      </c>
      <c r="AG1195" s="8">
        <f t="shared" si="130"/>
        <v>1731326.52604167</v>
      </c>
      <c r="AH1195" s="8">
        <f>IF($O1195="Aktif",MAX(0,MIN($AE1195,$AD1195-SUM($AG1195:AG1195))),0)</f>
        <v>1731326.52604167</v>
      </c>
      <c r="AI1195" s="8">
        <f>IF($O1195="Aktif",MAX(0,MIN($AE1195,$AD1195-SUM($AG1195:AH1195))),0)</f>
        <v>1731326.52604167</v>
      </c>
      <c r="AJ1195" s="8">
        <f>IF($O1195="Aktif",MAX(0,MIN($AE1195,$AD1195-SUM($AG1195:AI1195))),0)</f>
        <v>1731326.52604167</v>
      </c>
      <c r="AK1195" s="8">
        <f>IF($O1195="Aktif",MAX(0,MIN($AE1195,$AD1195-SUM($AG1195:AJ1195))),0)</f>
        <v>1731326.52604167</v>
      </c>
      <c r="AL1195" s="8">
        <f>IF($O1195="Aktif",MAX(0,MIN($AE1195,$AD1195-SUM($AG1195:AK1195))),0)</f>
        <v>1731326.52604167</v>
      </c>
      <c r="AM1195" s="8">
        <f>IF($O1195="Aktif",MAX(0,MIN($AE1195,$AD1195-SUM($AG1195:AL1195))),0)</f>
        <v>1731326.52604167</v>
      </c>
      <c r="AN1195" s="8">
        <f>IF($O1195="Aktif",MAX(0,MIN($AE1195,$AD1195-SUM($AG1195:AM1195))),0)</f>
        <v>1731326.52604167</v>
      </c>
      <c r="AO1195" s="8">
        <f>IF($O1195="Aktif",MAX(0,MIN($AE1195,$AD1195-SUM($AG1195:AN1195))),0)</f>
        <v>1731326.52604167</v>
      </c>
      <c r="AP1195" s="8">
        <f>IF($O1195="Aktif",MAX(0,MIN($AE1195,$AD1195-SUM($AG1195:AO1195))),0)</f>
        <v>1731326.52604167</v>
      </c>
      <c r="AQ1195" s="8">
        <f>IF($O1195="Aktif",MAX(0,MIN($AE1195,$AD1195-SUM($AG1195:AP1195))),0)</f>
        <v>1731326.52604167</v>
      </c>
      <c r="AR1195" s="8">
        <f>IF($O1195="Aktif",MAX(0,MIN($AE1195,$AD1195-SUM($AG1195:AQ1195))),0)</f>
        <v>1731326.52604167</v>
      </c>
      <c r="AS1195" s="8">
        <f>IF($O1195="Aktif",MAX(0,MIN($AE1195,$AD1195-SUM($AG1195:AR1195))),0)</f>
        <v>1731326.52604167</v>
      </c>
      <c r="AT1195" s="8">
        <f>IF($O1195="Aktif",MAX(0,MIN($AE1195,$AD1195-SUM($AG1195:AS1195))),0)</f>
        <v>1731326.52604167</v>
      </c>
      <c r="AU1195" s="8">
        <f>IF($O1195="Aktif",MAX(0,MIN($AE1195,$AD1195-SUM($AG1195:AT1195))),0)</f>
        <v>1731326.52604167</v>
      </c>
      <c r="AV1195" s="8">
        <f>IF($O1195="Aktif",MAX(0,MIN($AE1195,$AD1195-SUM($AG1195:AU1195))),0)</f>
        <v>1731326.52604167</v>
      </c>
      <c r="AW1195" s="8">
        <f t="shared" si="131"/>
        <v>27701224.416666731</v>
      </c>
      <c r="AX1195" s="8">
        <f t="shared" si="132"/>
        <v>112536224.19270821</v>
      </c>
    </row>
    <row r="1196" spans="1:50" ht="15" customHeight="1" x14ac:dyDescent="0.35">
      <c r="A1196" s="102">
        <v>1190</v>
      </c>
      <c r="B1196" s="102" t="s">
        <v>2815</v>
      </c>
      <c r="C1196" s="103">
        <v>212</v>
      </c>
      <c r="D1196" s="102" t="s">
        <v>186</v>
      </c>
      <c r="E1196" s="102" t="s">
        <v>540</v>
      </c>
      <c r="F1196" s="102" t="s">
        <v>3172</v>
      </c>
      <c r="G1196" s="102" t="s">
        <v>3173</v>
      </c>
      <c r="H1196" s="102" t="s">
        <v>3174</v>
      </c>
      <c r="I1196" s="102" t="s">
        <v>63</v>
      </c>
      <c r="J1196" s="102"/>
      <c r="K1196" s="102" t="s">
        <v>3322</v>
      </c>
      <c r="L1196" s="104">
        <v>45812</v>
      </c>
      <c r="M1196" s="102" t="s">
        <v>3323</v>
      </c>
      <c r="N1196" s="102" t="s">
        <v>3323</v>
      </c>
      <c r="O1196" s="102" t="s">
        <v>383</v>
      </c>
      <c r="P1196" s="103">
        <v>1</v>
      </c>
      <c r="Q1196" s="105">
        <v>126087752.5</v>
      </c>
      <c r="R1196" s="103">
        <v>96</v>
      </c>
      <c r="S1196" s="105">
        <v>1313414.08854167</v>
      </c>
      <c r="T1196" s="105">
        <v>9193898.6197916698</v>
      </c>
      <c r="U1196" s="105">
        <v>1313414.08854167</v>
      </c>
      <c r="V1196" s="105">
        <v>1313414.08854167</v>
      </c>
      <c r="W1196" s="105">
        <v>1313414.08854167</v>
      </c>
      <c r="X1196" s="105">
        <v>1313414.08854167</v>
      </c>
      <c r="Y1196" s="105">
        <v>1313414.08854167</v>
      </c>
      <c r="Z1196" s="105">
        <v>1313414.08854167</v>
      </c>
      <c r="AA1196" s="105">
        <v>1313414.08854167</v>
      </c>
      <c r="AB1196" s="105">
        <v>1313414.08854167</v>
      </c>
      <c r="AC1196" s="8">
        <f t="shared" si="126"/>
        <v>19701211.32812503</v>
      </c>
      <c r="AD1196" s="8">
        <f t="shared" si="127"/>
        <v>106386541.17187497</v>
      </c>
      <c r="AE1196" s="8">
        <f t="shared" si="128"/>
        <v>1313414.08854167</v>
      </c>
      <c r="AF1196" s="106">
        <f t="shared" si="129"/>
        <v>80.999999999999773</v>
      </c>
      <c r="AG1196" s="8">
        <f t="shared" si="130"/>
        <v>1313414.08854167</v>
      </c>
      <c r="AH1196" s="8">
        <f>IF($O1196="Aktif",MAX(0,MIN($AE1196,$AD1196-SUM($AG1196:AG1196))),0)</f>
        <v>1313414.08854167</v>
      </c>
      <c r="AI1196" s="8">
        <f>IF($O1196="Aktif",MAX(0,MIN($AE1196,$AD1196-SUM($AG1196:AH1196))),0)</f>
        <v>1313414.08854167</v>
      </c>
      <c r="AJ1196" s="8">
        <f>IF($O1196="Aktif",MAX(0,MIN($AE1196,$AD1196-SUM($AG1196:AI1196))),0)</f>
        <v>1313414.08854167</v>
      </c>
      <c r="AK1196" s="8">
        <f>IF($O1196="Aktif",MAX(0,MIN($AE1196,$AD1196-SUM($AG1196:AJ1196))),0)</f>
        <v>1313414.08854167</v>
      </c>
      <c r="AL1196" s="8">
        <f>IF($O1196="Aktif",MAX(0,MIN($AE1196,$AD1196-SUM($AG1196:AK1196))),0)</f>
        <v>1313414.08854167</v>
      </c>
      <c r="AM1196" s="8">
        <f>IF($O1196="Aktif",MAX(0,MIN($AE1196,$AD1196-SUM($AG1196:AL1196))),0)</f>
        <v>1313414.08854167</v>
      </c>
      <c r="AN1196" s="8">
        <f>IF($O1196="Aktif",MAX(0,MIN($AE1196,$AD1196-SUM($AG1196:AM1196))),0)</f>
        <v>1313414.08854167</v>
      </c>
      <c r="AO1196" s="8">
        <f>IF($O1196="Aktif",MAX(0,MIN($AE1196,$AD1196-SUM($AG1196:AN1196))),0)</f>
        <v>1313414.08854167</v>
      </c>
      <c r="AP1196" s="8">
        <f>IF($O1196="Aktif",MAX(0,MIN($AE1196,$AD1196-SUM($AG1196:AO1196))),0)</f>
        <v>1313414.08854167</v>
      </c>
      <c r="AQ1196" s="8">
        <f>IF($O1196="Aktif",MAX(0,MIN($AE1196,$AD1196-SUM($AG1196:AP1196))),0)</f>
        <v>1313414.08854167</v>
      </c>
      <c r="AR1196" s="8">
        <f>IF($O1196="Aktif",MAX(0,MIN($AE1196,$AD1196-SUM($AG1196:AQ1196))),0)</f>
        <v>1313414.08854167</v>
      </c>
      <c r="AS1196" s="8">
        <f>IF($O1196="Aktif",MAX(0,MIN($AE1196,$AD1196-SUM($AG1196:AR1196))),0)</f>
        <v>1313414.08854167</v>
      </c>
      <c r="AT1196" s="8">
        <f>IF($O1196="Aktif",MAX(0,MIN($AE1196,$AD1196-SUM($AG1196:AS1196))),0)</f>
        <v>1313414.08854167</v>
      </c>
      <c r="AU1196" s="8">
        <f>IF($O1196="Aktif",MAX(0,MIN($AE1196,$AD1196-SUM($AG1196:AT1196))),0)</f>
        <v>1313414.08854167</v>
      </c>
      <c r="AV1196" s="8">
        <f>IF($O1196="Aktif",MAX(0,MIN($AE1196,$AD1196-SUM($AG1196:AU1196))),0)</f>
        <v>1313414.08854167</v>
      </c>
      <c r="AW1196" s="8">
        <f t="shared" si="131"/>
        <v>21014625.416666724</v>
      </c>
      <c r="AX1196" s="8">
        <f t="shared" si="132"/>
        <v>85371915.755208254</v>
      </c>
    </row>
    <row r="1197" spans="1:50" ht="15" customHeight="1" x14ac:dyDescent="0.35">
      <c r="A1197" s="102">
        <v>1191</v>
      </c>
      <c r="B1197" s="102" t="s">
        <v>2815</v>
      </c>
      <c r="C1197" s="103">
        <v>213</v>
      </c>
      <c r="D1197" s="102" t="s">
        <v>186</v>
      </c>
      <c r="E1197" s="102" t="s">
        <v>540</v>
      </c>
      <c r="F1197" s="102" t="s">
        <v>3172</v>
      </c>
      <c r="G1197" s="102" t="s">
        <v>3173</v>
      </c>
      <c r="H1197" s="102" t="s">
        <v>3174</v>
      </c>
      <c r="I1197" s="102" t="s">
        <v>63</v>
      </c>
      <c r="J1197" s="102"/>
      <c r="K1197" s="102" t="s">
        <v>3324</v>
      </c>
      <c r="L1197" s="104">
        <v>45915</v>
      </c>
      <c r="M1197" s="102" t="s">
        <v>3325</v>
      </c>
      <c r="N1197" s="102" t="s">
        <v>3325</v>
      </c>
      <c r="O1197" s="102" t="s">
        <v>383</v>
      </c>
      <c r="P1197" s="103">
        <v>1</v>
      </c>
      <c r="Q1197" s="105">
        <v>16500000</v>
      </c>
      <c r="R1197" s="103">
        <v>96</v>
      </c>
      <c r="S1197" s="105">
        <v>171875</v>
      </c>
      <c r="T1197" s="105">
        <v>687500</v>
      </c>
      <c r="U1197" s="105">
        <v>171875</v>
      </c>
      <c r="V1197" s="105">
        <v>171875</v>
      </c>
      <c r="W1197" s="105">
        <v>171875</v>
      </c>
      <c r="X1197" s="105">
        <v>171875</v>
      </c>
      <c r="Y1197" s="105">
        <v>171875</v>
      </c>
      <c r="Z1197" s="105">
        <v>171875</v>
      </c>
      <c r="AA1197" s="105">
        <v>171875</v>
      </c>
      <c r="AB1197" s="105">
        <v>171875</v>
      </c>
      <c r="AC1197" s="8">
        <f t="shared" si="126"/>
        <v>2062500</v>
      </c>
      <c r="AD1197" s="8">
        <f t="shared" si="127"/>
        <v>14437500</v>
      </c>
      <c r="AE1197" s="8">
        <f t="shared" si="128"/>
        <v>171875</v>
      </c>
      <c r="AF1197" s="106">
        <f t="shared" si="129"/>
        <v>84</v>
      </c>
      <c r="AG1197" s="8">
        <f t="shared" si="130"/>
        <v>171875</v>
      </c>
      <c r="AH1197" s="8">
        <f>IF($O1197="Aktif",MAX(0,MIN($AE1197,$AD1197-SUM($AG1197:AG1197))),0)</f>
        <v>171875</v>
      </c>
      <c r="AI1197" s="8">
        <f>IF($O1197="Aktif",MAX(0,MIN($AE1197,$AD1197-SUM($AG1197:AH1197))),0)</f>
        <v>171875</v>
      </c>
      <c r="AJ1197" s="8">
        <f>IF($O1197="Aktif",MAX(0,MIN($AE1197,$AD1197-SUM($AG1197:AI1197))),0)</f>
        <v>171875</v>
      </c>
      <c r="AK1197" s="8">
        <f>IF($O1197="Aktif",MAX(0,MIN($AE1197,$AD1197-SUM($AG1197:AJ1197))),0)</f>
        <v>171875</v>
      </c>
      <c r="AL1197" s="8">
        <f>IF($O1197="Aktif",MAX(0,MIN($AE1197,$AD1197-SUM($AG1197:AK1197))),0)</f>
        <v>171875</v>
      </c>
      <c r="AM1197" s="8">
        <f>IF($O1197="Aktif",MAX(0,MIN($AE1197,$AD1197-SUM($AG1197:AL1197))),0)</f>
        <v>171875</v>
      </c>
      <c r="AN1197" s="8">
        <f>IF($O1197="Aktif",MAX(0,MIN($AE1197,$AD1197-SUM($AG1197:AM1197))),0)</f>
        <v>171875</v>
      </c>
      <c r="AO1197" s="8">
        <f>IF($O1197="Aktif",MAX(0,MIN($AE1197,$AD1197-SUM($AG1197:AN1197))),0)</f>
        <v>171875</v>
      </c>
      <c r="AP1197" s="8">
        <f>IF($O1197="Aktif",MAX(0,MIN($AE1197,$AD1197-SUM($AG1197:AO1197))),0)</f>
        <v>171875</v>
      </c>
      <c r="AQ1197" s="8">
        <f>IF($O1197="Aktif",MAX(0,MIN($AE1197,$AD1197-SUM($AG1197:AP1197))),0)</f>
        <v>171875</v>
      </c>
      <c r="AR1197" s="8">
        <f>IF($O1197="Aktif",MAX(0,MIN($AE1197,$AD1197-SUM($AG1197:AQ1197))),0)</f>
        <v>171875</v>
      </c>
      <c r="AS1197" s="8">
        <f>IF($O1197="Aktif",MAX(0,MIN($AE1197,$AD1197-SUM($AG1197:AR1197))),0)</f>
        <v>171875</v>
      </c>
      <c r="AT1197" s="8">
        <f>IF($O1197="Aktif",MAX(0,MIN($AE1197,$AD1197-SUM($AG1197:AS1197))),0)</f>
        <v>171875</v>
      </c>
      <c r="AU1197" s="8">
        <f>IF($O1197="Aktif",MAX(0,MIN($AE1197,$AD1197-SUM($AG1197:AT1197))),0)</f>
        <v>171875</v>
      </c>
      <c r="AV1197" s="8">
        <f>IF($O1197="Aktif",MAX(0,MIN($AE1197,$AD1197-SUM($AG1197:AU1197))),0)</f>
        <v>171875</v>
      </c>
      <c r="AW1197" s="8">
        <f t="shared" si="131"/>
        <v>2750000</v>
      </c>
      <c r="AX1197" s="8">
        <f t="shared" si="132"/>
        <v>11687500</v>
      </c>
    </row>
    <row r="1198" spans="1:50" ht="15" customHeight="1" x14ac:dyDescent="0.35">
      <c r="A1198" s="102">
        <v>1192</v>
      </c>
      <c r="B1198" s="102" t="s">
        <v>2815</v>
      </c>
      <c r="C1198" s="103">
        <v>214</v>
      </c>
      <c r="D1198" s="102" t="s">
        <v>186</v>
      </c>
      <c r="E1198" s="102" t="s">
        <v>540</v>
      </c>
      <c r="F1198" s="102" t="s">
        <v>3172</v>
      </c>
      <c r="G1198" s="102" t="s">
        <v>3173</v>
      </c>
      <c r="H1198" s="102" t="s">
        <v>3174</v>
      </c>
      <c r="I1198" s="102" t="s">
        <v>63</v>
      </c>
      <c r="J1198" s="102"/>
      <c r="K1198" s="102" t="s">
        <v>3326</v>
      </c>
      <c r="L1198" s="104">
        <v>45915</v>
      </c>
      <c r="M1198" s="102" t="s">
        <v>3327</v>
      </c>
      <c r="N1198" s="102" t="s">
        <v>3327</v>
      </c>
      <c r="O1198" s="102" t="s">
        <v>383</v>
      </c>
      <c r="P1198" s="103">
        <v>1</v>
      </c>
      <c r="Q1198" s="105">
        <v>16500000</v>
      </c>
      <c r="R1198" s="103">
        <v>96</v>
      </c>
      <c r="S1198" s="105">
        <v>171875</v>
      </c>
      <c r="T1198" s="105">
        <v>687500</v>
      </c>
      <c r="U1198" s="105">
        <v>171875</v>
      </c>
      <c r="V1198" s="105">
        <v>171875</v>
      </c>
      <c r="W1198" s="105">
        <v>171875</v>
      </c>
      <c r="X1198" s="105">
        <v>171875</v>
      </c>
      <c r="Y1198" s="105">
        <v>171875</v>
      </c>
      <c r="Z1198" s="105">
        <v>171875</v>
      </c>
      <c r="AA1198" s="105">
        <v>171875</v>
      </c>
      <c r="AB1198" s="105">
        <v>171875</v>
      </c>
      <c r="AC1198" s="8">
        <f t="shared" si="126"/>
        <v>2062500</v>
      </c>
      <c r="AD1198" s="8">
        <f t="shared" si="127"/>
        <v>14437500</v>
      </c>
      <c r="AE1198" s="8">
        <f t="shared" si="128"/>
        <v>171875</v>
      </c>
      <c r="AF1198" s="106">
        <f t="shared" si="129"/>
        <v>84</v>
      </c>
      <c r="AG1198" s="8">
        <f t="shared" si="130"/>
        <v>171875</v>
      </c>
      <c r="AH1198" s="8">
        <f>IF($O1198="Aktif",MAX(0,MIN($AE1198,$AD1198-SUM($AG1198:AG1198))),0)</f>
        <v>171875</v>
      </c>
      <c r="AI1198" s="8">
        <f>IF($O1198="Aktif",MAX(0,MIN($AE1198,$AD1198-SUM($AG1198:AH1198))),0)</f>
        <v>171875</v>
      </c>
      <c r="AJ1198" s="8">
        <f>IF($O1198="Aktif",MAX(0,MIN($AE1198,$AD1198-SUM($AG1198:AI1198))),0)</f>
        <v>171875</v>
      </c>
      <c r="AK1198" s="8">
        <f>IF($O1198="Aktif",MAX(0,MIN($AE1198,$AD1198-SUM($AG1198:AJ1198))),0)</f>
        <v>171875</v>
      </c>
      <c r="AL1198" s="8">
        <f>IF($O1198="Aktif",MAX(0,MIN($AE1198,$AD1198-SUM($AG1198:AK1198))),0)</f>
        <v>171875</v>
      </c>
      <c r="AM1198" s="8">
        <f>IF($O1198="Aktif",MAX(0,MIN($AE1198,$AD1198-SUM($AG1198:AL1198))),0)</f>
        <v>171875</v>
      </c>
      <c r="AN1198" s="8">
        <f>IF($O1198="Aktif",MAX(0,MIN($AE1198,$AD1198-SUM($AG1198:AM1198))),0)</f>
        <v>171875</v>
      </c>
      <c r="AO1198" s="8">
        <f>IF($O1198="Aktif",MAX(0,MIN($AE1198,$AD1198-SUM($AG1198:AN1198))),0)</f>
        <v>171875</v>
      </c>
      <c r="AP1198" s="8">
        <f>IF($O1198="Aktif",MAX(0,MIN($AE1198,$AD1198-SUM($AG1198:AO1198))),0)</f>
        <v>171875</v>
      </c>
      <c r="AQ1198" s="8">
        <f>IF($O1198="Aktif",MAX(0,MIN($AE1198,$AD1198-SUM($AG1198:AP1198))),0)</f>
        <v>171875</v>
      </c>
      <c r="AR1198" s="8">
        <f>IF($O1198="Aktif",MAX(0,MIN($AE1198,$AD1198-SUM($AG1198:AQ1198))),0)</f>
        <v>171875</v>
      </c>
      <c r="AS1198" s="8">
        <f>IF($O1198="Aktif",MAX(0,MIN($AE1198,$AD1198-SUM($AG1198:AR1198))),0)</f>
        <v>171875</v>
      </c>
      <c r="AT1198" s="8">
        <f>IF($O1198="Aktif",MAX(0,MIN($AE1198,$AD1198-SUM($AG1198:AS1198))),0)</f>
        <v>171875</v>
      </c>
      <c r="AU1198" s="8">
        <f>IF($O1198="Aktif",MAX(0,MIN($AE1198,$AD1198-SUM($AG1198:AT1198))),0)</f>
        <v>171875</v>
      </c>
      <c r="AV1198" s="8">
        <f>IF($O1198="Aktif",MAX(0,MIN($AE1198,$AD1198-SUM($AG1198:AU1198))),0)</f>
        <v>171875</v>
      </c>
      <c r="AW1198" s="8">
        <f t="shared" si="131"/>
        <v>2750000</v>
      </c>
      <c r="AX1198" s="8">
        <f t="shared" si="132"/>
        <v>11687500</v>
      </c>
    </row>
    <row r="1199" spans="1:50" ht="15" customHeight="1" x14ac:dyDescent="0.35">
      <c r="A1199" s="102">
        <v>1193</v>
      </c>
      <c r="B1199" s="102" t="s">
        <v>2815</v>
      </c>
      <c r="C1199" s="103">
        <v>215</v>
      </c>
      <c r="D1199" s="102" t="s">
        <v>186</v>
      </c>
      <c r="E1199" s="102" t="s">
        <v>479</v>
      </c>
      <c r="F1199" s="102" t="s">
        <v>3116</v>
      </c>
      <c r="G1199" s="102" t="s">
        <v>3117</v>
      </c>
      <c r="H1199" s="102" t="s">
        <v>3118</v>
      </c>
      <c r="I1199" s="102" t="s">
        <v>63</v>
      </c>
      <c r="J1199" s="102"/>
      <c r="K1199" s="102" t="s">
        <v>3328</v>
      </c>
      <c r="L1199" s="104">
        <v>45964</v>
      </c>
      <c r="M1199" s="102" t="s">
        <v>3329</v>
      </c>
      <c r="N1199" s="102" t="s">
        <v>3329</v>
      </c>
      <c r="O1199" s="102" t="s">
        <v>383</v>
      </c>
      <c r="P1199" s="103">
        <v>1</v>
      </c>
      <c r="Q1199" s="105">
        <v>25000000</v>
      </c>
      <c r="R1199" s="103">
        <v>48</v>
      </c>
      <c r="S1199" s="105">
        <v>520833.33333333302</v>
      </c>
      <c r="T1199" s="105">
        <v>1041666.66666667</v>
      </c>
      <c r="U1199" s="105">
        <v>520833.33333333302</v>
      </c>
      <c r="V1199" s="105">
        <v>520833.33333333302</v>
      </c>
      <c r="W1199" s="105">
        <v>520833.33333333302</v>
      </c>
      <c r="X1199" s="105">
        <v>520833.33333333302</v>
      </c>
      <c r="Y1199" s="105">
        <v>520833.33333333302</v>
      </c>
      <c r="Z1199" s="105">
        <v>520833.33333333302</v>
      </c>
      <c r="AA1199" s="105">
        <v>520833.33333333302</v>
      </c>
      <c r="AB1199" s="105">
        <v>520833.33333333302</v>
      </c>
      <c r="AC1199" s="8">
        <f t="shared" si="126"/>
        <v>5208333.333333334</v>
      </c>
      <c r="AD1199" s="8">
        <f t="shared" si="127"/>
        <v>19791666.666666664</v>
      </c>
      <c r="AE1199" s="8">
        <f t="shared" si="128"/>
        <v>520833.33333333302</v>
      </c>
      <c r="AF1199" s="106">
        <f t="shared" si="129"/>
        <v>38.000000000000021</v>
      </c>
      <c r="AG1199" s="8">
        <f t="shared" si="130"/>
        <v>520833.33333333302</v>
      </c>
      <c r="AH1199" s="8">
        <f>IF($O1199="Aktif",MAX(0,MIN($AE1199,$AD1199-SUM($AG1199:AG1199))),0)</f>
        <v>520833.33333333302</v>
      </c>
      <c r="AI1199" s="8">
        <f>IF($O1199="Aktif",MAX(0,MIN($AE1199,$AD1199-SUM($AG1199:AH1199))),0)</f>
        <v>520833.33333333302</v>
      </c>
      <c r="AJ1199" s="8">
        <f>IF($O1199="Aktif",MAX(0,MIN($AE1199,$AD1199-SUM($AG1199:AI1199))),0)</f>
        <v>520833.33333333302</v>
      </c>
      <c r="AK1199" s="8">
        <f>IF($O1199="Aktif",MAX(0,MIN($AE1199,$AD1199-SUM($AG1199:AJ1199))),0)</f>
        <v>520833.33333333302</v>
      </c>
      <c r="AL1199" s="8">
        <f>IF($O1199="Aktif",MAX(0,MIN($AE1199,$AD1199-SUM($AG1199:AK1199))),0)</f>
        <v>520833.33333333302</v>
      </c>
      <c r="AM1199" s="8">
        <f>IF($O1199="Aktif",MAX(0,MIN($AE1199,$AD1199-SUM($AG1199:AL1199))),0)</f>
        <v>520833.33333333302</v>
      </c>
      <c r="AN1199" s="8">
        <f>IF($O1199="Aktif",MAX(0,MIN($AE1199,$AD1199-SUM($AG1199:AM1199))),0)</f>
        <v>520833.33333333302</v>
      </c>
      <c r="AO1199" s="8">
        <f>IF($O1199="Aktif",MAX(0,MIN($AE1199,$AD1199-SUM($AG1199:AN1199))),0)</f>
        <v>520833.33333333302</v>
      </c>
      <c r="AP1199" s="8">
        <f>IF($O1199="Aktif",MAX(0,MIN($AE1199,$AD1199-SUM($AG1199:AO1199))),0)</f>
        <v>520833.33333333302</v>
      </c>
      <c r="AQ1199" s="8">
        <f>IF($O1199="Aktif",MAX(0,MIN($AE1199,$AD1199-SUM($AG1199:AP1199))),0)</f>
        <v>520833.33333333302</v>
      </c>
      <c r="AR1199" s="8">
        <f>IF($O1199="Aktif",MAX(0,MIN($AE1199,$AD1199-SUM($AG1199:AQ1199))),0)</f>
        <v>520833.33333333302</v>
      </c>
      <c r="AS1199" s="8">
        <f>IF($O1199="Aktif",MAX(0,MIN($AE1199,$AD1199-SUM($AG1199:AR1199))),0)</f>
        <v>520833.33333333302</v>
      </c>
      <c r="AT1199" s="8">
        <f>IF($O1199="Aktif",MAX(0,MIN($AE1199,$AD1199-SUM($AG1199:AS1199))),0)</f>
        <v>520833.33333333302</v>
      </c>
      <c r="AU1199" s="8">
        <f>IF($O1199="Aktif",MAX(0,MIN($AE1199,$AD1199-SUM($AG1199:AT1199))),0)</f>
        <v>520833.33333333302</v>
      </c>
      <c r="AV1199" s="8">
        <f>IF($O1199="Aktif",MAX(0,MIN($AE1199,$AD1199-SUM($AG1199:AU1199))),0)</f>
        <v>520833.33333333302</v>
      </c>
      <c r="AW1199" s="8">
        <f t="shared" si="131"/>
        <v>8333333.3333333284</v>
      </c>
      <c r="AX1199" s="8">
        <f t="shared" si="132"/>
        <v>11458333.333333336</v>
      </c>
    </row>
    <row r="1200" spans="1:50" ht="15" customHeight="1" x14ac:dyDescent="0.35">
      <c r="A1200" s="102">
        <v>1194</v>
      </c>
      <c r="B1200" s="102" t="s">
        <v>2815</v>
      </c>
      <c r="C1200" s="103">
        <v>216</v>
      </c>
      <c r="D1200" s="102" t="s">
        <v>186</v>
      </c>
      <c r="E1200" s="102" t="s">
        <v>540</v>
      </c>
      <c r="F1200" s="102" t="s">
        <v>3172</v>
      </c>
      <c r="G1200" s="102" t="s">
        <v>3173</v>
      </c>
      <c r="H1200" s="102" t="s">
        <v>3174</v>
      </c>
      <c r="I1200" s="102" t="s">
        <v>63</v>
      </c>
      <c r="J1200" s="102"/>
      <c r="K1200" s="102" t="s">
        <v>3330</v>
      </c>
      <c r="L1200" s="104">
        <v>46006</v>
      </c>
      <c r="M1200" s="102" t="s">
        <v>3331</v>
      </c>
      <c r="N1200" s="102" t="s">
        <v>3331</v>
      </c>
      <c r="O1200" s="102" t="s">
        <v>383</v>
      </c>
      <c r="P1200" s="103">
        <v>1</v>
      </c>
      <c r="Q1200" s="105">
        <v>1747000000</v>
      </c>
      <c r="R1200" s="103">
        <v>96</v>
      </c>
      <c r="S1200" s="105">
        <v>18197916.666666701</v>
      </c>
      <c r="T1200" s="105">
        <v>18197916.666666701</v>
      </c>
      <c r="U1200" s="105">
        <v>0</v>
      </c>
      <c r="V1200" s="105">
        <v>0</v>
      </c>
      <c r="W1200" s="105">
        <v>0</v>
      </c>
      <c r="X1200" s="105">
        <v>0</v>
      </c>
      <c r="Y1200" s="105">
        <v>0</v>
      </c>
      <c r="Z1200" s="105">
        <v>0</v>
      </c>
      <c r="AA1200" s="105">
        <v>0</v>
      </c>
      <c r="AB1200" s="105">
        <v>0</v>
      </c>
      <c r="AC1200" s="8">
        <f t="shared" si="126"/>
        <v>18197916.666666701</v>
      </c>
      <c r="AD1200" s="8">
        <f t="shared" si="127"/>
        <v>1728802083.3333333</v>
      </c>
      <c r="AE1200" s="8">
        <f t="shared" si="128"/>
        <v>0</v>
      </c>
      <c r="AF1200" s="106">
        <f t="shared" si="129"/>
        <v>0</v>
      </c>
      <c r="AG1200" s="8">
        <f t="shared" si="130"/>
        <v>0</v>
      </c>
      <c r="AH1200" s="8">
        <f>IF($O1200="Aktif",MAX(0,MIN($AE1200,$AD1200-SUM($AG1200:AG1200))),0)</f>
        <v>0</v>
      </c>
      <c r="AI1200" s="8">
        <f>IF($O1200="Aktif",MAX(0,MIN($AE1200,$AD1200-SUM($AG1200:AH1200))),0)</f>
        <v>0</v>
      </c>
      <c r="AJ1200" s="8">
        <f>IF($O1200="Aktif",MAX(0,MIN($AE1200,$AD1200-SUM($AG1200:AI1200))),0)</f>
        <v>0</v>
      </c>
      <c r="AK1200" s="8">
        <f>IF($O1200="Aktif",MAX(0,MIN($AE1200,$AD1200-SUM($AG1200:AJ1200))),0)</f>
        <v>0</v>
      </c>
      <c r="AL1200" s="8">
        <f>IF($O1200="Aktif",MAX(0,MIN($AE1200,$AD1200-SUM($AG1200:AK1200))),0)</f>
        <v>0</v>
      </c>
      <c r="AM1200" s="8">
        <f>IF($O1200="Aktif",MAX(0,MIN($AE1200,$AD1200-SUM($AG1200:AL1200))),0)</f>
        <v>0</v>
      </c>
      <c r="AN1200" s="8">
        <f>IF($O1200="Aktif",MAX(0,MIN($AE1200,$AD1200-SUM($AG1200:AM1200))),0)</f>
        <v>0</v>
      </c>
      <c r="AO1200" s="8">
        <f>IF($O1200="Aktif",MAX(0,MIN($AE1200,$AD1200-SUM($AG1200:AN1200))),0)</f>
        <v>0</v>
      </c>
      <c r="AP1200" s="8">
        <f>IF($O1200="Aktif",MAX(0,MIN($AE1200,$AD1200-SUM($AG1200:AO1200))),0)</f>
        <v>0</v>
      </c>
      <c r="AQ1200" s="8">
        <f>IF($O1200="Aktif",MAX(0,MIN($AE1200,$AD1200-SUM($AG1200:AP1200))),0)</f>
        <v>0</v>
      </c>
      <c r="AR1200" s="8">
        <f>IF($O1200="Aktif",MAX(0,MIN($AE1200,$AD1200-SUM($AG1200:AQ1200))),0)</f>
        <v>0</v>
      </c>
      <c r="AS1200" s="8">
        <f>IF($O1200="Aktif",MAX(0,MIN($AE1200,$AD1200-SUM($AG1200:AR1200))),0)</f>
        <v>0</v>
      </c>
      <c r="AT1200" s="8">
        <f>IF($O1200="Aktif",MAX(0,MIN($AE1200,$AD1200-SUM($AG1200:AS1200))),0)</f>
        <v>0</v>
      </c>
      <c r="AU1200" s="8">
        <f>IF($O1200="Aktif",MAX(0,MIN($AE1200,$AD1200-SUM($AG1200:AT1200))),0)</f>
        <v>0</v>
      </c>
      <c r="AV1200" s="8">
        <f>IF($O1200="Aktif",MAX(0,MIN($AE1200,$AD1200-SUM($AG1200:AU1200))),0)</f>
        <v>0</v>
      </c>
      <c r="AW1200" s="8">
        <f t="shared" si="131"/>
        <v>0</v>
      </c>
      <c r="AX1200" s="8">
        <f t="shared" si="132"/>
        <v>1728802083.3333333</v>
      </c>
    </row>
    <row r="1201" spans="1:50" ht="15" customHeight="1" x14ac:dyDescent="0.35">
      <c r="A1201" s="102">
        <v>1195</v>
      </c>
      <c r="B1201" s="102" t="s">
        <v>2815</v>
      </c>
      <c r="C1201" s="103">
        <v>217</v>
      </c>
      <c r="D1201" s="102" t="s">
        <v>186</v>
      </c>
      <c r="E1201" s="102" t="s">
        <v>540</v>
      </c>
      <c r="F1201" s="102" t="s">
        <v>3172</v>
      </c>
      <c r="G1201" s="102" t="s">
        <v>3173</v>
      </c>
      <c r="H1201" s="102" t="s">
        <v>3174</v>
      </c>
      <c r="I1201" s="102" t="s">
        <v>63</v>
      </c>
      <c r="J1201" s="102"/>
      <c r="K1201" s="102" t="s">
        <v>3330</v>
      </c>
      <c r="L1201" s="104">
        <v>46037</v>
      </c>
      <c r="M1201" s="102" t="s">
        <v>3331</v>
      </c>
      <c r="N1201" s="102" t="s">
        <v>3331</v>
      </c>
      <c r="O1201" s="102" t="s">
        <v>487</v>
      </c>
      <c r="P1201" s="103">
        <v>1</v>
      </c>
      <c r="Q1201" s="105">
        <v>-1747000000</v>
      </c>
      <c r="R1201" s="102"/>
      <c r="S1201" s="105">
        <v>0</v>
      </c>
      <c r="T1201" s="105">
        <v>0</v>
      </c>
      <c r="U1201" s="105">
        <v>0</v>
      </c>
      <c r="V1201" s="105">
        <v>0</v>
      </c>
      <c r="W1201" s="105">
        <v>0</v>
      </c>
      <c r="X1201" s="105">
        <v>0</v>
      </c>
      <c r="Y1201" s="105">
        <v>0</v>
      </c>
      <c r="Z1201" s="105">
        <v>0</v>
      </c>
      <c r="AA1201" s="105">
        <v>0</v>
      </c>
      <c r="AB1201" s="105">
        <v>0</v>
      </c>
      <c r="AC1201" s="8">
        <f t="shared" si="126"/>
        <v>0</v>
      </c>
      <c r="AD1201" s="8">
        <f t="shared" si="127"/>
        <v>-1747000000</v>
      </c>
      <c r="AE1201" s="8">
        <f t="shared" si="128"/>
        <v>0</v>
      </c>
      <c r="AF1201" s="106">
        <f t="shared" si="129"/>
        <v>0</v>
      </c>
      <c r="AG1201" s="8">
        <f t="shared" si="130"/>
        <v>0</v>
      </c>
      <c r="AH1201" s="8">
        <f>IF($O1201="Aktif",MAX(0,MIN($AE1201,$AD1201-SUM($AG1201:AG1201))),0)</f>
        <v>0</v>
      </c>
      <c r="AI1201" s="8">
        <f>IF($O1201="Aktif",MAX(0,MIN($AE1201,$AD1201-SUM($AG1201:AH1201))),0)</f>
        <v>0</v>
      </c>
      <c r="AJ1201" s="8">
        <f>IF($O1201="Aktif",MAX(0,MIN($AE1201,$AD1201-SUM($AG1201:AI1201))),0)</f>
        <v>0</v>
      </c>
      <c r="AK1201" s="8">
        <f>IF($O1201="Aktif",MAX(0,MIN($AE1201,$AD1201-SUM($AG1201:AJ1201))),0)</f>
        <v>0</v>
      </c>
      <c r="AL1201" s="8">
        <f>IF($O1201="Aktif",MAX(0,MIN($AE1201,$AD1201-SUM($AG1201:AK1201))),0)</f>
        <v>0</v>
      </c>
      <c r="AM1201" s="8">
        <f>IF($O1201="Aktif",MAX(0,MIN($AE1201,$AD1201-SUM($AG1201:AL1201))),0)</f>
        <v>0</v>
      </c>
      <c r="AN1201" s="8">
        <f>IF($O1201="Aktif",MAX(0,MIN($AE1201,$AD1201-SUM($AG1201:AM1201))),0)</f>
        <v>0</v>
      </c>
      <c r="AO1201" s="8">
        <f>IF($O1201="Aktif",MAX(0,MIN($AE1201,$AD1201-SUM($AG1201:AN1201))),0)</f>
        <v>0</v>
      </c>
      <c r="AP1201" s="8">
        <f>IF($O1201="Aktif",MAX(0,MIN($AE1201,$AD1201-SUM($AG1201:AO1201))),0)</f>
        <v>0</v>
      </c>
      <c r="AQ1201" s="8">
        <f>IF($O1201="Aktif",MAX(0,MIN($AE1201,$AD1201-SUM($AG1201:AP1201))),0)</f>
        <v>0</v>
      </c>
      <c r="AR1201" s="8">
        <f>IF($O1201="Aktif",MAX(0,MIN($AE1201,$AD1201-SUM($AG1201:AQ1201))),0)</f>
        <v>0</v>
      </c>
      <c r="AS1201" s="8">
        <f>IF($O1201="Aktif",MAX(0,MIN($AE1201,$AD1201-SUM($AG1201:AR1201))),0)</f>
        <v>0</v>
      </c>
      <c r="AT1201" s="8">
        <f>IF($O1201="Aktif",MAX(0,MIN($AE1201,$AD1201-SUM($AG1201:AS1201))),0)</f>
        <v>0</v>
      </c>
      <c r="AU1201" s="8">
        <f>IF($O1201="Aktif",MAX(0,MIN($AE1201,$AD1201-SUM($AG1201:AT1201))),0)</f>
        <v>0</v>
      </c>
      <c r="AV1201" s="8">
        <f>IF($O1201="Aktif",MAX(0,MIN($AE1201,$AD1201-SUM($AG1201:AU1201))),0)</f>
        <v>0</v>
      </c>
      <c r="AW1201" s="8">
        <f t="shared" si="131"/>
        <v>0</v>
      </c>
      <c r="AX1201" s="8">
        <f t="shared" si="132"/>
        <v>-1747000000</v>
      </c>
    </row>
    <row r="1202" spans="1:50" ht="15" customHeight="1" x14ac:dyDescent="0.35">
      <c r="A1202" s="102">
        <v>1196</v>
      </c>
      <c r="B1202" s="102" t="s">
        <v>2815</v>
      </c>
      <c r="C1202" s="103">
        <v>218</v>
      </c>
      <c r="D1202" s="102" t="s">
        <v>186</v>
      </c>
      <c r="E1202" s="102" t="s">
        <v>479</v>
      </c>
      <c r="F1202" s="102" t="s">
        <v>3116</v>
      </c>
      <c r="G1202" s="102" t="s">
        <v>3117</v>
      </c>
      <c r="H1202" s="102" t="s">
        <v>3118</v>
      </c>
      <c r="I1202" s="102" t="s">
        <v>63</v>
      </c>
      <c r="J1202" s="102"/>
      <c r="K1202" s="102" t="s">
        <v>3332</v>
      </c>
      <c r="L1202" s="104">
        <v>46064</v>
      </c>
      <c r="M1202" s="102" t="s">
        <v>3333</v>
      </c>
      <c r="N1202" s="102" t="s">
        <v>3333</v>
      </c>
      <c r="O1202" s="102" t="s">
        <v>383</v>
      </c>
      <c r="P1202" s="103">
        <v>1</v>
      </c>
      <c r="Q1202" s="105">
        <v>47076400</v>
      </c>
      <c r="R1202" s="103">
        <v>48</v>
      </c>
      <c r="S1202" s="105">
        <v>980758.33333333302</v>
      </c>
      <c r="T1202" s="105">
        <v>0</v>
      </c>
      <c r="U1202" s="105">
        <v>0</v>
      </c>
      <c r="V1202" s="105">
        <v>980758.33333333302</v>
      </c>
      <c r="W1202" s="105">
        <v>980758.33333333302</v>
      </c>
      <c r="X1202" s="105">
        <v>980758.33333333302</v>
      </c>
      <c r="Y1202" s="105">
        <v>980758.33333333302</v>
      </c>
      <c r="Z1202" s="105">
        <v>980758.33333333302</v>
      </c>
      <c r="AA1202" s="105">
        <v>980758.33333333302</v>
      </c>
      <c r="AB1202" s="105">
        <v>980758.33333333302</v>
      </c>
      <c r="AC1202" s="8">
        <f t="shared" si="126"/>
        <v>6865308.3333333312</v>
      </c>
      <c r="AD1202" s="8">
        <f t="shared" si="127"/>
        <v>40211091.666666672</v>
      </c>
      <c r="AE1202" s="8">
        <f t="shared" si="128"/>
        <v>980758.33333333302</v>
      </c>
      <c r="AF1202" s="106">
        <f t="shared" si="129"/>
        <v>41.000000000000021</v>
      </c>
      <c r="AG1202" s="8">
        <f t="shared" si="130"/>
        <v>980758.33333333302</v>
      </c>
      <c r="AH1202" s="8">
        <f>IF($O1202="Aktif",MAX(0,MIN($AE1202,$AD1202-SUM($AG1202:AG1202))),0)</f>
        <v>980758.33333333302</v>
      </c>
      <c r="AI1202" s="8">
        <f>IF($O1202="Aktif",MAX(0,MIN($AE1202,$AD1202-SUM($AG1202:AH1202))),0)</f>
        <v>980758.33333333302</v>
      </c>
      <c r="AJ1202" s="8">
        <f>IF($O1202="Aktif",MAX(0,MIN($AE1202,$AD1202-SUM($AG1202:AI1202))),0)</f>
        <v>980758.33333333302</v>
      </c>
      <c r="AK1202" s="8">
        <f>IF($O1202="Aktif",MAX(0,MIN($AE1202,$AD1202-SUM($AG1202:AJ1202))),0)</f>
        <v>980758.33333333302</v>
      </c>
      <c r="AL1202" s="8">
        <f>IF($O1202="Aktif",MAX(0,MIN($AE1202,$AD1202-SUM($AG1202:AK1202))),0)</f>
        <v>980758.33333333302</v>
      </c>
      <c r="AM1202" s="8">
        <f>IF($O1202="Aktif",MAX(0,MIN($AE1202,$AD1202-SUM($AG1202:AL1202))),0)</f>
        <v>980758.33333333302</v>
      </c>
      <c r="AN1202" s="8">
        <f>IF($O1202="Aktif",MAX(0,MIN($AE1202,$AD1202-SUM($AG1202:AM1202))),0)</f>
        <v>980758.33333333302</v>
      </c>
      <c r="AO1202" s="8">
        <f>IF($O1202="Aktif",MAX(0,MIN($AE1202,$AD1202-SUM($AG1202:AN1202))),0)</f>
        <v>980758.33333333302</v>
      </c>
      <c r="AP1202" s="8">
        <f>IF($O1202="Aktif",MAX(0,MIN($AE1202,$AD1202-SUM($AG1202:AO1202))),0)</f>
        <v>980758.33333333302</v>
      </c>
      <c r="AQ1202" s="8">
        <f>IF($O1202="Aktif",MAX(0,MIN($AE1202,$AD1202-SUM($AG1202:AP1202))),0)</f>
        <v>980758.33333333302</v>
      </c>
      <c r="AR1202" s="8">
        <f>IF($O1202="Aktif",MAX(0,MIN($AE1202,$AD1202-SUM($AG1202:AQ1202))),0)</f>
        <v>980758.33333333302</v>
      </c>
      <c r="AS1202" s="8">
        <f>IF($O1202="Aktif",MAX(0,MIN($AE1202,$AD1202-SUM($AG1202:AR1202))),0)</f>
        <v>980758.33333333302</v>
      </c>
      <c r="AT1202" s="8">
        <f>IF($O1202="Aktif",MAX(0,MIN($AE1202,$AD1202-SUM($AG1202:AS1202))),0)</f>
        <v>980758.33333333302</v>
      </c>
      <c r="AU1202" s="8">
        <f>IF($O1202="Aktif",MAX(0,MIN($AE1202,$AD1202-SUM($AG1202:AT1202))),0)</f>
        <v>980758.33333333302</v>
      </c>
      <c r="AV1202" s="8">
        <f>IF($O1202="Aktif",MAX(0,MIN($AE1202,$AD1202-SUM($AG1202:AU1202))),0)</f>
        <v>980758.33333333302</v>
      </c>
      <c r="AW1202" s="8">
        <f t="shared" si="131"/>
        <v>15692133.333333321</v>
      </c>
      <c r="AX1202" s="8">
        <f t="shared" si="132"/>
        <v>24518958.333333351</v>
      </c>
    </row>
    <row r="1203" spans="1:50" ht="15" customHeight="1" x14ac:dyDescent="0.35">
      <c r="A1203" s="102">
        <v>1197</v>
      </c>
      <c r="B1203" s="102" t="s">
        <v>2815</v>
      </c>
      <c r="C1203" s="103">
        <v>219</v>
      </c>
      <c r="D1203" s="102" t="s">
        <v>186</v>
      </c>
      <c r="E1203" s="102" t="s">
        <v>479</v>
      </c>
      <c r="F1203" s="102" t="s">
        <v>3116</v>
      </c>
      <c r="G1203" s="102" t="s">
        <v>3117</v>
      </c>
      <c r="H1203" s="102" t="s">
        <v>3118</v>
      </c>
      <c r="I1203" s="102" t="s">
        <v>63</v>
      </c>
      <c r="J1203" s="102"/>
      <c r="K1203" s="102" t="s">
        <v>3334</v>
      </c>
      <c r="L1203" s="104">
        <v>46064</v>
      </c>
      <c r="M1203" s="102" t="s">
        <v>3335</v>
      </c>
      <c r="N1203" s="102" t="s">
        <v>3335</v>
      </c>
      <c r="O1203" s="102" t="s">
        <v>383</v>
      </c>
      <c r="P1203" s="103">
        <v>1</v>
      </c>
      <c r="Q1203" s="105">
        <v>44386320</v>
      </c>
      <c r="R1203" s="103">
        <v>48</v>
      </c>
      <c r="S1203" s="105">
        <v>924715</v>
      </c>
      <c r="T1203" s="105">
        <v>0</v>
      </c>
      <c r="U1203" s="105">
        <v>0</v>
      </c>
      <c r="V1203" s="105">
        <v>924715</v>
      </c>
      <c r="W1203" s="105">
        <v>924715</v>
      </c>
      <c r="X1203" s="105">
        <v>924715</v>
      </c>
      <c r="Y1203" s="105">
        <v>924715</v>
      </c>
      <c r="Z1203" s="105">
        <v>924715</v>
      </c>
      <c r="AA1203" s="105">
        <v>924715</v>
      </c>
      <c r="AB1203" s="105">
        <v>924715</v>
      </c>
      <c r="AC1203" s="8">
        <f t="shared" si="126"/>
        <v>6473005</v>
      </c>
      <c r="AD1203" s="8">
        <f t="shared" si="127"/>
        <v>37913315</v>
      </c>
      <c r="AE1203" s="8">
        <f t="shared" si="128"/>
        <v>924715</v>
      </c>
      <c r="AF1203" s="106">
        <f t="shared" si="129"/>
        <v>41</v>
      </c>
      <c r="AG1203" s="8">
        <f t="shared" si="130"/>
        <v>924715</v>
      </c>
      <c r="AH1203" s="8">
        <f>IF($O1203="Aktif",MAX(0,MIN($AE1203,$AD1203-SUM($AG1203:AG1203))),0)</f>
        <v>924715</v>
      </c>
      <c r="AI1203" s="8">
        <f>IF($O1203="Aktif",MAX(0,MIN($AE1203,$AD1203-SUM($AG1203:AH1203))),0)</f>
        <v>924715</v>
      </c>
      <c r="AJ1203" s="8">
        <f>IF($O1203="Aktif",MAX(0,MIN($AE1203,$AD1203-SUM($AG1203:AI1203))),0)</f>
        <v>924715</v>
      </c>
      <c r="AK1203" s="8">
        <f>IF($O1203="Aktif",MAX(0,MIN($AE1203,$AD1203-SUM($AG1203:AJ1203))),0)</f>
        <v>924715</v>
      </c>
      <c r="AL1203" s="8">
        <f>IF($O1203="Aktif",MAX(0,MIN($AE1203,$AD1203-SUM($AG1203:AK1203))),0)</f>
        <v>924715</v>
      </c>
      <c r="AM1203" s="8">
        <f>IF($O1203="Aktif",MAX(0,MIN($AE1203,$AD1203-SUM($AG1203:AL1203))),0)</f>
        <v>924715</v>
      </c>
      <c r="AN1203" s="8">
        <f>IF($O1203="Aktif",MAX(0,MIN($AE1203,$AD1203-SUM($AG1203:AM1203))),0)</f>
        <v>924715</v>
      </c>
      <c r="AO1203" s="8">
        <f>IF($O1203="Aktif",MAX(0,MIN($AE1203,$AD1203-SUM($AG1203:AN1203))),0)</f>
        <v>924715</v>
      </c>
      <c r="AP1203" s="8">
        <f>IF($O1203="Aktif",MAX(0,MIN($AE1203,$AD1203-SUM($AG1203:AO1203))),0)</f>
        <v>924715</v>
      </c>
      <c r="AQ1203" s="8">
        <f>IF($O1203="Aktif",MAX(0,MIN($AE1203,$AD1203-SUM($AG1203:AP1203))),0)</f>
        <v>924715</v>
      </c>
      <c r="AR1203" s="8">
        <f>IF($O1203="Aktif",MAX(0,MIN($AE1203,$AD1203-SUM($AG1203:AQ1203))),0)</f>
        <v>924715</v>
      </c>
      <c r="AS1203" s="8">
        <f>IF($O1203="Aktif",MAX(0,MIN($AE1203,$AD1203-SUM($AG1203:AR1203))),0)</f>
        <v>924715</v>
      </c>
      <c r="AT1203" s="8">
        <f>IF($O1203="Aktif",MAX(0,MIN($AE1203,$AD1203-SUM($AG1203:AS1203))),0)</f>
        <v>924715</v>
      </c>
      <c r="AU1203" s="8">
        <f>IF($O1203="Aktif",MAX(0,MIN($AE1203,$AD1203-SUM($AG1203:AT1203))),0)</f>
        <v>924715</v>
      </c>
      <c r="AV1203" s="8">
        <f>IF($O1203="Aktif",MAX(0,MIN($AE1203,$AD1203-SUM($AG1203:AU1203))),0)</f>
        <v>924715</v>
      </c>
      <c r="AW1203" s="8">
        <f t="shared" si="131"/>
        <v>14795440</v>
      </c>
      <c r="AX1203" s="8">
        <f t="shared" si="132"/>
        <v>23117875</v>
      </c>
    </row>
    <row r="1204" spans="1:50" ht="15" customHeight="1" x14ac:dyDescent="0.35">
      <c r="A1204" s="102">
        <v>1198</v>
      </c>
      <c r="B1204" s="102" t="s">
        <v>2815</v>
      </c>
      <c r="C1204" s="103">
        <v>220</v>
      </c>
      <c r="D1204" s="102" t="s">
        <v>186</v>
      </c>
      <c r="E1204" s="102" t="s">
        <v>479</v>
      </c>
      <c r="F1204" s="102" t="s">
        <v>3116</v>
      </c>
      <c r="G1204" s="102" t="s">
        <v>3117</v>
      </c>
      <c r="H1204" s="102" t="s">
        <v>3118</v>
      </c>
      <c r="I1204" s="102" t="s">
        <v>63</v>
      </c>
      <c r="J1204" s="102"/>
      <c r="K1204" s="102" t="s">
        <v>3336</v>
      </c>
      <c r="L1204" s="104">
        <v>46064</v>
      </c>
      <c r="M1204" s="102" t="s">
        <v>3337</v>
      </c>
      <c r="N1204" s="102" t="s">
        <v>3337</v>
      </c>
      <c r="O1204" s="102" t="s">
        <v>383</v>
      </c>
      <c r="P1204" s="103">
        <v>1</v>
      </c>
      <c r="Q1204" s="105">
        <v>158165645</v>
      </c>
      <c r="R1204" s="103">
        <v>48</v>
      </c>
      <c r="S1204" s="105">
        <v>3295117.6041666698</v>
      </c>
      <c r="T1204" s="105">
        <v>0</v>
      </c>
      <c r="U1204" s="105">
        <v>0</v>
      </c>
      <c r="V1204" s="105">
        <v>3295117.6041666698</v>
      </c>
      <c r="W1204" s="105">
        <v>3295117.6041666698</v>
      </c>
      <c r="X1204" s="105">
        <v>3295117.6041666698</v>
      </c>
      <c r="Y1204" s="105">
        <v>3295117.6041666698</v>
      </c>
      <c r="Z1204" s="105">
        <v>3295117.6041666698</v>
      </c>
      <c r="AA1204" s="105">
        <v>3295117.6041666698</v>
      </c>
      <c r="AB1204" s="105">
        <v>3295117.6041666698</v>
      </c>
      <c r="AC1204" s="8">
        <f t="shared" si="126"/>
        <v>23065823.229166687</v>
      </c>
      <c r="AD1204" s="8">
        <f t="shared" si="127"/>
        <v>135099821.77083331</v>
      </c>
      <c r="AE1204" s="8">
        <f t="shared" si="128"/>
        <v>3295117.6041666698</v>
      </c>
      <c r="AF1204" s="106">
        <f t="shared" si="129"/>
        <v>40.999999999999957</v>
      </c>
      <c r="AG1204" s="8">
        <f t="shared" si="130"/>
        <v>3295117.6041666698</v>
      </c>
      <c r="AH1204" s="8">
        <f>IF($O1204="Aktif",MAX(0,MIN($AE1204,$AD1204-SUM($AG1204:AG1204))),0)</f>
        <v>3295117.6041666698</v>
      </c>
      <c r="AI1204" s="8">
        <f>IF($O1204="Aktif",MAX(0,MIN($AE1204,$AD1204-SUM($AG1204:AH1204))),0)</f>
        <v>3295117.6041666698</v>
      </c>
      <c r="AJ1204" s="8">
        <f>IF($O1204="Aktif",MAX(0,MIN($AE1204,$AD1204-SUM($AG1204:AI1204))),0)</f>
        <v>3295117.6041666698</v>
      </c>
      <c r="AK1204" s="8">
        <f>IF($O1204="Aktif",MAX(0,MIN($AE1204,$AD1204-SUM($AG1204:AJ1204))),0)</f>
        <v>3295117.6041666698</v>
      </c>
      <c r="AL1204" s="8">
        <f>IF($O1204="Aktif",MAX(0,MIN($AE1204,$AD1204-SUM($AG1204:AK1204))),0)</f>
        <v>3295117.6041666698</v>
      </c>
      <c r="AM1204" s="8">
        <f>IF($O1204="Aktif",MAX(0,MIN($AE1204,$AD1204-SUM($AG1204:AL1204))),0)</f>
        <v>3295117.6041666698</v>
      </c>
      <c r="AN1204" s="8">
        <f>IF($O1204="Aktif",MAX(0,MIN($AE1204,$AD1204-SUM($AG1204:AM1204))),0)</f>
        <v>3295117.6041666698</v>
      </c>
      <c r="AO1204" s="8">
        <f>IF($O1204="Aktif",MAX(0,MIN($AE1204,$AD1204-SUM($AG1204:AN1204))),0)</f>
        <v>3295117.6041666698</v>
      </c>
      <c r="AP1204" s="8">
        <f>IF($O1204="Aktif",MAX(0,MIN($AE1204,$AD1204-SUM($AG1204:AO1204))),0)</f>
        <v>3295117.6041666698</v>
      </c>
      <c r="AQ1204" s="8">
        <f>IF($O1204="Aktif",MAX(0,MIN($AE1204,$AD1204-SUM($AG1204:AP1204))),0)</f>
        <v>3295117.6041666698</v>
      </c>
      <c r="AR1204" s="8">
        <f>IF($O1204="Aktif",MAX(0,MIN($AE1204,$AD1204-SUM($AG1204:AQ1204))),0)</f>
        <v>3295117.6041666698</v>
      </c>
      <c r="AS1204" s="8">
        <f>IF($O1204="Aktif",MAX(0,MIN($AE1204,$AD1204-SUM($AG1204:AR1204))),0)</f>
        <v>3295117.6041666698</v>
      </c>
      <c r="AT1204" s="8">
        <f>IF($O1204="Aktif",MAX(0,MIN($AE1204,$AD1204-SUM($AG1204:AS1204))),0)</f>
        <v>3295117.6041666698</v>
      </c>
      <c r="AU1204" s="8">
        <f>IF($O1204="Aktif",MAX(0,MIN($AE1204,$AD1204-SUM($AG1204:AT1204))),0)</f>
        <v>3295117.6041666698</v>
      </c>
      <c r="AV1204" s="8">
        <f>IF($O1204="Aktif",MAX(0,MIN($AE1204,$AD1204-SUM($AG1204:AU1204))),0)</f>
        <v>3295117.6041666698</v>
      </c>
      <c r="AW1204" s="8">
        <f t="shared" si="131"/>
        <v>52721881.666666731</v>
      </c>
      <c r="AX1204" s="8">
        <f t="shared" si="132"/>
        <v>82377940.104166582</v>
      </c>
    </row>
    <row r="1205" spans="1:50" ht="15" customHeight="1" x14ac:dyDescent="0.35">
      <c r="A1205" s="102">
        <v>1199</v>
      </c>
      <c r="B1205" s="102" t="s">
        <v>2815</v>
      </c>
      <c r="C1205" s="103">
        <v>221</v>
      </c>
      <c r="D1205" s="102" t="s">
        <v>186</v>
      </c>
      <c r="E1205" s="102" t="s">
        <v>479</v>
      </c>
      <c r="F1205" s="102" t="s">
        <v>3116</v>
      </c>
      <c r="G1205" s="102" t="s">
        <v>3117</v>
      </c>
      <c r="H1205" s="102" t="s">
        <v>3118</v>
      </c>
      <c r="I1205" s="102" t="s">
        <v>63</v>
      </c>
      <c r="J1205" s="102"/>
      <c r="K1205" s="102" t="s">
        <v>3338</v>
      </c>
      <c r="L1205" s="104">
        <v>46064</v>
      </c>
      <c r="M1205" s="102" t="s">
        <v>3339</v>
      </c>
      <c r="N1205" s="102" t="s">
        <v>3339</v>
      </c>
      <c r="O1205" s="102" t="s">
        <v>383</v>
      </c>
      <c r="P1205" s="103">
        <v>1</v>
      </c>
      <c r="Q1205" s="105">
        <v>31252490</v>
      </c>
      <c r="R1205" s="103">
        <v>48</v>
      </c>
      <c r="S1205" s="105">
        <v>651093.54166666698</v>
      </c>
      <c r="T1205" s="105">
        <v>0</v>
      </c>
      <c r="U1205" s="105">
        <v>0</v>
      </c>
      <c r="V1205" s="105">
        <v>651093.54166666698</v>
      </c>
      <c r="W1205" s="105">
        <v>651093.54166666698</v>
      </c>
      <c r="X1205" s="105">
        <v>651093.54166666698</v>
      </c>
      <c r="Y1205" s="105">
        <v>651093.54166666698</v>
      </c>
      <c r="Z1205" s="105">
        <v>651093.54166666698</v>
      </c>
      <c r="AA1205" s="105">
        <v>651093.54166666698</v>
      </c>
      <c r="AB1205" s="105">
        <v>651093.54166666698</v>
      </c>
      <c r="AC1205" s="8">
        <f t="shared" si="126"/>
        <v>4557654.7916666688</v>
      </c>
      <c r="AD1205" s="8">
        <f t="shared" si="127"/>
        <v>26694835.208333332</v>
      </c>
      <c r="AE1205" s="8">
        <f t="shared" si="128"/>
        <v>651093.54166666698</v>
      </c>
      <c r="AF1205" s="106">
        <f t="shared" si="129"/>
        <v>40.999999999999979</v>
      </c>
      <c r="AG1205" s="8">
        <f t="shared" si="130"/>
        <v>651093.54166666698</v>
      </c>
      <c r="AH1205" s="8">
        <f>IF($O1205="Aktif",MAX(0,MIN($AE1205,$AD1205-SUM($AG1205:AG1205))),0)</f>
        <v>651093.54166666698</v>
      </c>
      <c r="AI1205" s="8">
        <f>IF($O1205="Aktif",MAX(0,MIN($AE1205,$AD1205-SUM($AG1205:AH1205))),0)</f>
        <v>651093.54166666698</v>
      </c>
      <c r="AJ1205" s="8">
        <f>IF($O1205="Aktif",MAX(0,MIN($AE1205,$AD1205-SUM($AG1205:AI1205))),0)</f>
        <v>651093.54166666698</v>
      </c>
      <c r="AK1205" s="8">
        <f>IF($O1205="Aktif",MAX(0,MIN($AE1205,$AD1205-SUM($AG1205:AJ1205))),0)</f>
        <v>651093.54166666698</v>
      </c>
      <c r="AL1205" s="8">
        <f>IF($O1205="Aktif",MAX(0,MIN($AE1205,$AD1205-SUM($AG1205:AK1205))),0)</f>
        <v>651093.54166666698</v>
      </c>
      <c r="AM1205" s="8">
        <f>IF($O1205="Aktif",MAX(0,MIN($AE1205,$AD1205-SUM($AG1205:AL1205))),0)</f>
        <v>651093.54166666698</v>
      </c>
      <c r="AN1205" s="8">
        <f>IF($O1205="Aktif",MAX(0,MIN($AE1205,$AD1205-SUM($AG1205:AM1205))),0)</f>
        <v>651093.54166666698</v>
      </c>
      <c r="AO1205" s="8">
        <f>IF($O1205="Aktif",MAX(0,MIN($AE1205,$AD1205-SUM($AG1205:AN1205))),0)</f>
        <v>651093.54166666698</v>
      </c>
      <c r="AP1205" s="8">
        <f>IF($O1205="Aktif",MAX(0,MIN($AE1205,$AD1205-SUM($AG1205:AO1205))),0)</f>
        <v>651093.54166666698</v>
      </c>
      <c r="AQ1205" s="8">
        <f>IF($O1205="Aktif",MAX(0,MIN($AE1205,$AD1205-SUM($AG1205:AP1205))),0)</f>
        <v>651093.54166666698</v>
      </c>
      <c r="AR1205" s="8">
        <f>IF($O1205="Aktif",MAX(0,MIN($AE1205,$AD1205-SUM($AG1205:AQ1205))),0)</f>
        <v>651093.54166666698</v>
      </c>
      <c r="AS1205" s="8">
        <f>IF($O1205="Aktif",MAX(0,MIN($AE1205,$AD1205-SUM($AG1205:AR1205))),0)</f>
        <v>651093.54166666698</v>
      </c>
      <c r="AT1205" s="8">
        <f>IF($O1205="Aktif",MAX(0,MIN($AE1205,$AD1205-SUM($AG1205:AS1205))),0)</f>
        <v>651093.54166666698</v>
      </c>
      <c r="AU1205" s="8">
        <f>IF($O1205="Aktif",MAX(0,MIN($AE1205,$AD1205-SUM($AG1205:AT1205))),0)</f>
        <v>651093.54166666698</v>
      </c>
      <c r="AV1205" s="8">
        <f>IF($O1205="Aktif",MAX(0,MIN($AE1205,$AD1205-SUM($AG1205:AU1205))),0)</f>
        <v>651093.54166666698</v>
      </c>
      <c r="AW1205" s="8">
        <f t="shared" si="131"/>
        <v>10417496.666666675</v>
      </c>
      <c r="AX1205" s="8">
        <f t="shared" si="132"/>
        <v>16277338.541666657</v>
      </c>
    </row>
    <row r="1206" spans="1:50" ht="15" customHeight="1" x14ac:dyDescent="0.35">
      <c r="A1206" s="102">
        <v>1200</v>
      </c>
      <c r="B1206" s="102" t="s">
        <v>2815</v>
      </c>
      <c r="C1206" s="103">
        <v>222</v>
      </c>
      <c r="D1206" s="102" t="s">
        <v>186</v>
      </c>
      <c r="E1206" s="102" t="s">
        <v>479</v>
      </c>
      <c r="F1206" s="102" t="s">
        <v>3116</v>
      </c>
      <c r="G1206" s="102" t="s">
        <v>3117</v>
      </c>
      <c r="H1206" s="102" t="s">
        <v>3118</v>
      </c>
      <c r="I1206" s="102" t="s">
        <v>63</v>
      </c>
      <c r="J1206" s="102"/>
      <c r="K1206" s="102" t="s">
        <v>3340</v>
      </c>
      <c r="L1206" s="104">
        <v>46064</v>
      </c>
      <c r="M1206" s="102" t="s">
        <v>3341</v>
      </c>
      <c r="N1206" s="102" t="s">
        <v>3341</v>
      </c>
      <c r="O1206" s="102" t="s">
        <v>383</v>
      </c>
      <c r="P1206" s="103">
        <v>1</v>
      </c>
      <c r="Q1206" s="105">
        <v>31252490</v>
      </c>
      <c r="R1206" s="103">
        <v>48</v>
      </c>
      <c r="S1206" s="105">
        <v>651093.54166666698</v>
      </c>
      <c r="T1206" s="105">
        <v>0</v>
      </c>
      <c r="U1206" s="105">
        <v>0</v>
      </c>
      <c r="V1206" s="105">
        <v>651093.54166666698</v>
      </c>
      <c r="W1206" s="105">
        <v>651093.54166666698</v>
      </c>
      <c r="X1206" s="105">
        <v>651093.54166666698</v>
      </c>
      <c r="Y1206" s="105">
        <v>651093.54166666698</v>
      </c>
      <c r="Z1206" s="105">
        <v>651093.54166666698</v>
      </c>
      <c r="AA1206" s="105">
        <v>651093.54166666698</v>
      </c>
      <c r="AB1206" s="105">
        <v>651093.54166666698</v>
      </c>
      <c r="AC1206" s="8">
        <f t="shared" si="126"/>
        <v>4557654.7916666688</v>
      </c>
      <c r="AD1206" s="8">
        <f t="shared" si="127"/>
        <v>26694835.208333332</v>
      </c>
      <c r="AE1206" s="8">
        <f t="shared" si="128"/>
        <v>651093.54166666698</v>
      </c>
      <c r="AF1206" s="106">
        <f t="shared" si="129"/>
        <v>40.999999999999979</v>
      </c>
      <c r="AG1206" s="8">
        <f t="shared" si="130"/>
        <v>651093.54166666698</v>
      </c>
      <c r="AH1206" s="8">
        <f>IF($O1206="Aktif",MAX(0,MIN($AE1206,$AD1206-SUM($AG1206:AG1206))),0)</f>
        <v>651093.54166666698</v>
      </c>
      <c r="AI1206" s="8">
        <f>IF($O1206="Aktif",MAX(0,MIN($AE1206,$AD1206-SUM($AG1206:AH1206))),0)</f>
        <v>651093.54166666698</v>
      </c>
      <c r="AJ1206" s="8">
        <f>IF($O1206="Aktif",MAX(0,MIN($AE1206,$AD1206-SUM($AG1206:AI1206))),0)</f>
        <v>651093.54166666698</v>
      </c>
      <c r="AK1206" s="8">
        <f>IF($O1206="Aktif",MAX(0,MIN($AE1206,$AD1206-SUM($AG1206:AJ1206))),0)</f>
        <v>651093.54166666698</v>
      </c>
      <c r="AL1206" s="8">
        <f>IF($O1206="Aktif",MAX(0,MIN($AE1206,$AD1206-SUM($AG1206:AK1206))),0)</f>
        <v>651093.54166666698</v>
      </c>
      <c r="AM1206" s="8">
        <f>IF($O1206="Aktif",MAX(0,MIN($AE1206,$AD1206-SUM($AG1206:AL1206))),0)</f>
        <v>651093.54166666698</v>
      </c>
      <c r="AN1206" s="8">
        <f>IF($O1206="Aktif",MAX(0,MIN($AE1206,$AD1206-SUM($AG1206:AM1206))),0)</f>
        <v>651093.54166666698</v>
      </c>
      <c r="AO1206" s="8">
        <f>IF($O1206="Aktif",MAX(0,MIN($AE1206,$AD1206-SUM($AG1206:AN1206))),0)</f>
        <v>651093.54166666698</v>
      </c>
      <c r="AP1206" s="8">
        <f>IF($O1206="Aktif",MAX(0,MIN($AE1206,$AD1206-SUM($AG1206:AO1206))),0)</f>
        <v>651093.54166666698</v>
      </c>
      <c r="AQ1206" s="8">
        <f>IF($O1206="Aktif",MAX(0,MIN($AE1206,$AD1206-SUM($AG1206:AP1206))),0)</f>
        <v>651093.54166666698</v>
      </c>
      <c r="AR1206" s="8">
        <f>IF($O1206="Aktif",MAX(0,MIN($AE1206,$AD1206-SUM($AG1206:AQ1206))),0)</f>
        <v>651093.54166666698</v>
      </c>
      <c r="AS1206" s="8">
        <f>IF($O1206="Aktif",MAX(0,MIN($AE1206,$AD1206-SUM($AG1206:AR1206))),0)</f>
        <v>651093.54166666698</v>
      </c>
      <c r="AT1206" s="8">
        <f>IF($O1206="Aktif",MAX(0,MIN($AE1206,$AD1206-SUM($AG1206:AS1206))),0)</f>
        <v>651093.54166666698</v>
      </c>
      <c r="AU1206" s="8">
        <f>IF($O1206="Aktif",MAX(0,MIN($AE1206,$AD1206-SUM($AG1206:AT1206))),0)</f>
        <v>651093.54166666698</v>
      </c>
      <c r="AV1206" s="8">
        <f>IF($O1206="Aktif",MAX(0,MIN($AE1206,$AD1206-SUM($AG1206:AU1206))),0)</f>
        <v>651093.54166666698</v>
      </c>
      <c r="AW1206" s="8">
        <f t="shared" si="131"/>
        <v>10417496.666666675</v>
      </c>
      <c r="AX1206" s="8">
        <f t="shared" si="132"/>
        <v>16277338.541666657</v>
      </c>
    </row>
    <row r="1207" spans="1:50" ht="15" customHeight="1" x14ac:dyDescent="0.35">
      <c r="A1207" s="102">
        <v>1201</v>
      </c>
      <c r="B1207" s="102" t="s">
        <v>2815</v>
      </c>
      <c r="C1207" s="103">
        <v>223</v>
      </c>
      <c r="D1207" s="102" t="s">
        <v>186</v>
      </c>
      <c r="E1207" s="102" t="s">
        <v>479</v>
      </c>
      <c r="F1207" s="102" t="s">
        <v>3116</v>
      </c>
      <c r="G1207" s="102" t="s">
        <v>3117</v>
      </c>
      <c r="H1207" s="102" t="s">
        <v>3118</v>
      </c>
      <c r="I1207" s="102" t="s">
        <v>63</v>
      </c>
      <c r="J1207" s="102"/>
      <c r="K1207" s="102" t="s">
        <v>3342</v>
      </c>
      <c r="L1207" s="104">
        <v>46154</v>
      </c>
      <c r="M1207" s="102" t="s">
        <v>2814</v>
      </c>
      <c r="N1207" s="102" t="s">
        <v>2814</v>
      </c>
      <c r="O1207" s="102" t="s">
        <v>383</v>
      </c>
      <c r="P1207" s="103">
        <v>1</v>
      </c>
      <c r="Q1207" s="105">
        <v>50000000</v>
      </c>
      <c r="R1207" s="103">
        <v>48</v>
      </c>
      <c r="S1207" s="105">
        <v>1041666.66666667</v>
      </c>
      <c r="T1207" s="105">
        <v>0</v>
      </c>
      <c r="U1207" s="105">
        <v>0</v>
      </c>
      <c r="V1207" s="105">
        <v>0</v>
      </c>
      <c r="W1207" s="105">
        <v>0</v>
      </c>
      <c r="X1207" s="105">
        <v>0</v>
      </c>
      <c r="Y1207" s="105">
        <v>1041666.66666667</v>
      </c>
      <c r="Z1207" s="105">
        <v>1041666.66666667</v>
      </c>
      <c r="AA1207" s="105">
        <v>1041666.66666667</v>
      </c>
      <c r="AB1207" s="105">
        <v>1041666.66666667</v>
      </c>
      <c r="AC1207" s="8">
        <f t="shared" si="126"/>
        <v>4166666.66666668</v>
      </c>
      <c r="AD1207" s="8">
        <f t="shared" si="127"/>
        <v>45833333.333333321</v>
      </c>
      <c r="AE1207" s="8">
        <f t="shared" si="128"/>
        <v>1041666.66666667</v>
      </c>
      <c r="AF1207" s="106">
        <f t="shared" si="129"/>
        <v>43.999999999999844</v>
      </c>
      <c r="AG1207" s="8">
        <f t="shared" si="130"/>
        <v>1041666.66666667</v>
      </c>
      <c r="AH1207" s="8">
        <f>IF($O1207="Aktif",MAX(0,MIN($AE1207,$AD1207-SUM($AG1207:AG1207))),0)</f>
        <v>1041666.66666667</v>
      </c>
      <c r="AI1207" s="8">
        <f>IF($O1207="Aktif",MAX(0,MIN($AE1207,$AD1207-SUM($AG1207:AH1207))),0)</f>
        <v>1041666.66666667</v>
      </c>
      <c r="AJ1207" s="8">
        <f>IF($O1207="Aktif",MAX(0,MIN($AE1207,$AD1207-SUM($AG1207:AI1207))),0)</f>
        <v>1041666.66666667</v>
      </c>
      <c r="AK1207" s="8">
        <f>IF($O1207="Aktif",MAX(0,MIN($AE1207,$AD1207-SUM($AG1207:AJ1207))),0)</f>
        <v>1041666.66666667</v>
      </c>
      <c r="AL1207" s="8">
        <f>IF($O1207="Aktif",MAX(0,MIN($AE1207,$AD1207-SUM($AG1207:AK1207))),0)</f>
        <v>1041666.66666667</v>
      </c>
      <c r="AM1207" s="8">
        <f>IF($O1207="Aktif",MAX(0,MIN($AE1207,$AD1207-SUM($AG1207:AL1207))),0)</f>
        <v>1041666.66666667</v>
      </c>
      <c r="AN1207" s="8">
        <f>IF($O1207="Aktif",MAX(0,MIN($AE1207,$AD1207-SUM($AG1207:AM1207))),0)</f>
        <v>1041666.66666667</v>
      </c>
      <c r="AO1207" s="8">
        <f>IF($O1207="Aktif",MAX(0,MIN($AE1207,$AD1207-SUM($AG1207:AN1207))),0)</f>
        <v>1041666.66666667</v>
      </c>
      <c r="AP1207" s="8">
        <f>IF($O1207="Aktif",MAX(0,MIN($AE1207,$AD1207-SUM($AG1207:AO1207))),0)</f>
        <v>1041666.66666667</v>
      </c>
      <c r="AQ1207" s="8">
        <f>IF($O1207="Aktif",MAX(0,MIN($AE1207,$AD1207-SUM($AG1207:AP1207))),0)</f>
        <v>1041666.66666667</v>
      </c>
      <c r="AR1207" s="8">
        <f>IF($O1207="Aktif",MAX(0,MIN($AE1207,$AD1207-SUM($AG1207:AQ1207))),0)</f>
        <v>1041666.66666667</v>
      </c>
      <c r="AS1207" s="8">
        <f>IF($O1207="Aktif",MAX(0,MIN($AE1207,$AD1207-SUM($AG1207:AR1207))),0)</f>
        <v>1041666.66666667</v>
      </c>
      <c r="AT1207" s="8">
        <f>IF($O1207="Aktif",MAX(0,MIN($AE1207,$AD1207-SUM($AG1207:AS1207))),0)</f>
        <v>1041666.66666667</v>
      </c>
      <c r="AU1207" s="8">
        <f>IF($O1207="Aktif",MAX(0,MIN($AE1207,$AD1207-SUM($AG1207:AT1207))),0)</f>
        <v>1041666.66666667</v>
      </c>
      <c r="AV1207" s="8">
        <f>IF($O1207="Aktif",MAX(0,MIN($AE1207,$AD1207-SUM($AG1207:AU1207))),0)</f>
        <v>1041666.66666667</v>
      </c>
      <c r="AW1207" s="8">
        <f t="shared" si="131"/>
        <v>16666666.666666718</v>
      </c>
      <c r="AX1207" s="8">
        <f t="shared" si="132"/>
        <v>29166666.666666605</v>
      </c>
    </row>
    <row r="1208" spans="1:50" ht="15" customHeight="1" x14ac:dyDescent="0.35">
      <c r="A1208" s="102">
        <v>1202</v>
      </c>
      <c r="B1208" s="102" t="s">
        <v>3343</v>
      </c>
      <c r="C1208" s="103">
        <v>9</v>
      </c>
      <c r="D1208" s="102" t="s">
        <v>186</v>
      </c>
      <c r="E1208" s="102" t="s">
        <v>0</v>
      </c>
      <c r="F1208" s="102" t="s">
        <v>3116</v>
      </c>
      <c r="G1208" s="102" t="s">
        <v>3117</v>
      </c>
      <c r="H1208" s="102" t="s">
        <v>3118</v>
      </c>
      <c r="I1208" s="102" t="s">
        <v>63</v>
      </c>
      <c r="J1208" s="102"/>
      <c r="K1208" s="102"/>
      <c r="L1208" s="104">
        <v>42633</v>
      </c>
      <c r="M1208" s="102" t="s">
        <v>3344</v>
      </c>
      <c r="N1208" s="102" t="s">
        <v>3345</v>
      </c>
      <c r="O1208" s="102" t="s">
        <v>383</v>
      </c>
      <c r="P1208" s="103">
        <v>1</v>
      </c>
      <c r="Q1208" s="105">
        <v>0</v>
      </c>
      <c r="R1208" s="102"/>
      <c r="S1208" s="105">
        <v>0</v>
      </c>
      <c r="T1208" s="105">
        <v>0</v>
      </c>
      <c r="U1208" s="105">
        <v>0</v>
      </c>
      <c r="V1208" s="105">
        <v>0</v>
      </c>
      <c r="W1208" s="105">
        <v>0</v>
      </c>
      <c r="X1208" s="105">
        <v>0</v>
      </c>
      <c r="Y1208" s="105">
        <v>0</v>
      </c>
      <c r="Z1208" s="105">
        <v>0</v>
      </c>
      <c r="AA1208" s="105">
        <v>0</v>
      </c>
      <c r="AB1208" s="105">
        <v>0</v>
      </c>
      <c r="AC1208" s="8">
        <f t="shared" si="126"/>
        <v>0</v>
      </c>
      <c r="AD1208" s="8">
        <f t="shared" si="127"/>
        <v>0</v>
      </c>
      <c r="AE1208" s="8">
        <f t="shared" si="128"/>
        <v>0</v>
      </c>
      <c r="AF1208" s="106">
        <f t="shared" si="129"/>
        <v>0</v>
      </c>
      <c r="AG1208" s="8">
        <f t="shared" si="130"/>
        <v>0</v>
      </c>
      <c r="AH1208" s="8">
        <f>IF($O1208="Aktif",MAX(0,MIN($AE1208,$AD1208-SUM($AG1208:AG1208))),0)</f>
        <v>0</v>
      </c>
      <c r="AI1208" s="8">
        <f>IF($O1208="Aktif",MAX(0,MIN($AE1208,$AD1208-SUM($AG1208:AH1208))),0)</f>
        <v>0</v>
      </c>
      <c r="AJ1208" s="8">
        <f>IF($O1208="Aktif",MAX(0,MIN($AE1208,$AD1208-SUM($AG1208:AI1208))),0)</f>
        <v>0</v>
      </c>
      <c r="AK1208" s="8">
        <f>IF($O1208="Aktif",MAX(0,MIN($AE1208,$AD1208-SUM($AG1208:AJ1208))),0)</f>
        <v>0</v>
      </c>
      <c r="AL1208" s="8">
        <f>IF($O1208="Aktif",MAX(0,MIN($AE1208,$AD1208-SUM($AG1208:AK1208))),0)</f>
        <v>0</v>
      </c>
      <c r="AM1208" s="8">
        <f>IF($O1208="Aktif",MAX(0,MIN($AE1208,$AD1208-SUM($AG1208:AL1208))),0)</f>
        <v>0</v>
      </c>
      <c r="AN1208" s="8">
        <f>IF($O1208="Aktif",MAX(0,MIN($AE1208,$AD1208-SUM($AG1208:AM1208))),0)</f>
        <v>0</v>
      </c>
      <c r="AO1208" s="8">
        <f>IF($O1208="Aktif",MAX(0,MIN($AE1208,$AD1208-SUM($AG1208:AN1208))),0)</f>
        <v>0</v>
      </c>
      <c r="AP1208" s="8">
        <f>IF($O1208="Aktif",MAX(0,MIN($AE1208,$AD1208-SUM($AG1208:AO1208))),0)</f>
        <v>0</v>
      </c>
      <c r="AQ1208" s="8">
        <f>IF($O1208="Aktif",MAX(0,MIN($AE1208,$AD1208-SUM($AG1208:AP1208))),0)</f>
        <v>0</v>
      </c>
      <c r="AR1208" s="8">
        <f>IF($O1208="Aktif",MAX(0,MIN($AE1208,$AD1208-SUM($AG1208:AQ1208))),0)</f>
        <v>0</v>
      </c>
      <c r="AS1208" s="8">
        <f>IF($O1208="Aktif",MAX(0,MIN($AE1208,$AD1208-SUM($AG1208:AR1208))),0)</f>
        <v>0</v>
      </c>
      <c r="AT1208" s="8">
        <f>IF($O1208="Aktif",MAX(0,MIN($AE1208,$AD1208-SUM($AG1208:AS1208))),0)</f>
        <v>0</v>
      </c>
      <c r="AU1208" s="8">
        <f>IF($O1208="Aktif",MAX(0,MIN($AE1208,$AD1208-SUM($AG1208:AT1208))),0)</f>
        <v>0</v>
      </c>
      <c r="AV1208" s="8">
        <f>IF($O1208="Aktif",MAX(0,MIN($AE1208,$AD1208-SUM($AG1208:AU1208))),0)</f>
        <v>0</v>
      </c>
      <c r="AW1208" s="8">
        <f t="shared" si="131"/>
        <v>0</v>
      </c>
      <c r="AX1208" s="8">
        <f t="shared" si="132"/>
        <v>0</v>
      </c>
    </row>
    <row r="1209" spans="1:50" ht="15" customHeight="1" x14ac:dyDescent="0.35">
      <c r="A1209" s="102">
        <v>1203</v>
      </c>
      <c r="B1209" s="102" t="s">
        <v>3343</v>
      </c>
      <c r="C1209" s="103">
        <v>10</v>
      </c>
      <c r="D1209" s="102" t="s">
        <v>186</v>
      </c>
      <c r="E1209" s="102" t="s">
        <v>0</v>
      </c>
      <c r="F1209" s="102" t="s">
        <v>3116</v>
      </c>
      <c r="G1209" s="102" t="s">
        <v>3117</v>
      </c>
      <c r="H1209" s="102" t="s">
        <v>3118</v>
      </c>
      <c r="I1209" s="102" t="s">
        <v>63</v>
      </c>
      <c r="J1209" s="102"/>
      <c r="K1209" s="102"/>
      <c r="L1209" s="104">
        <v>42643</v>
      </c>
      <c r="M1209" s="102" t="s">
        <v>3346</v>
      </c>
      <c r="N1209" s="102" t="s">
        <v>3347</v>
      </c>
      <c r="O1209" s="102" t="s">
        <v>383</v>
      </c>
      <c r="P1209" s="103">
        <v>1</v>
      </c>
      <c r="Q1209" s="105">
        <v>0</v>
      </c>
      <c r="R1209" s="102"/>
      <c r="S1209" s="105">
        <v>0</v>
      </c>
      <c r="T1209" s="105">
        <v>0</v>
      </c>
      <c r="U1209" s="105">
        <v>0</v>
      </c>
      <c r="V1209" s="105">
        <v>0</v>
      </c>
      <c r="W1209" s="105">
        <v>0</v>
      </c>
      <c r="X1209" s="105">
        <v>0</v>
      </c>
      <c r="Y1209" s="105">
        <v>0</v>
      </c>
      <c r="Z1209" s="105">
        <v>0</v>
      </c>
      <c r="AA1209" s="105">
        <v>0</v>
      </c>
      <c r="AB1209" s="105">
        <v>0</v>
      </c>
      <c r="AC1209" s="8">
        <f t="shared" si="126"/>
        <v>0</v>
      </c>
      <c r="AD1209" s="8">
        <f t="shared" si="127"/>
        <v>0</v>
      </c>
      <c r="AE1209" s="8">
        <f t="shared" si="128"/>
        <v>0</v>
      </c>
      <c r="AF1209" s="106">
        <f t="shared" si="129"/>
        <v>0</v>
      </c>
      <c r="AG1209" s="8">
        <f t="shared" si="130"/>
        <v>0</v>
      </c>
      <c r="AH1209" s="8">
        <f>IF($O1209="Aktif",MAX(0,MIN($AE1209,$AD1209-SUM($AG1209:AG1209))),0)</f>
        <v>0</v>
      </c>
      <c r="AI1209" s="8">
        <f>IF($O1209="Aktif",MAX(0,MIN($AE1209,$AD1209-SUM($AG1209:AH1209))),0)</f>
        <v>0</v>
      </c>
      <c r="AJ1209" s="8">
        <f>IF($O1209="Aktif",MAX(0,MIN($AE1209,$AD1209-SUM($AG1209:AI1209))),0)</f>
        <v>0</v>
      </c>
      <c r="AK1209" s="8">
        <f>IF($O1209="Aktif",MAX(0,MIN($AE1209,$AD1209-SUM($AG1209:AJ1209))),0)</f>
        <v>0</v>
      </c>
      <c r="AL1209" s="8">
        <f>IF($O1209="Aktif",MAX(0,MIN($AE1209,$AD1209-SUM($AG1209:AK1209))),0)</f>
        <v>0</v>
      </c>
      <c r="AM1209" s="8">
        <f>IF($O1209="Aktif",MAX(0,MIN($AE1209,$AD1209-SUM($AG1209:AL1209))),0)</f>
        <v>0</v>
      </c>
      <c r="AN1209" s="8">
        <f>IF($O1209="Aktif",MAX(0,MIN($AE1209,$AD1209-SUM($AG1209:AM1209))),0)</f>
        <v>0</v>
      </c>
      <c r="AO1209" s="8">
        <f>IF($O1209="Aktif",MAX(0,MIN($AE1209,$AD1209-SUM($AG1209:AN1209))),0)</f>
        <v>0</v>
      </c>
      <c r="AP1209" s="8">
        <f>IF($O1209="Aktif",MAX(0,MIN($AE1209,$AD1209-SUM($AG1209:AO1209))),0)</f>
        <v>0</v>
      </c>
      <c r="AQ1209" s="8">
        <f>IF($O1209="Aktif",MAX(0,MIN($AE1209,$AD1209-SUM($AG1209:AP1209))),0)</f>
        <v>0</v>
      </c>
      <c r="AR1209" s="8">
        <f>IF($O1209="Aktif",MAX(0,MIN($AE1209,$AD1209-SUM($AG1209:AQ1209))),0)</f>
        <v>0</v>
      </c>
      <c r="AS1209" s="8">
        <f>IF($O1209="Aktif",MAX(0,MIN($AE1209,$AD1209-SUM($AG1209:AR1209))),0)</f>
        <v>0</v>
      </c>
      <c r="AT1209" s="8">
        <f>IF($O1209="Aktif",MAX(0,MIN($AE1209,$AD1209-SUM($AG1209:AS1209))),0)</f>
        <v>0</v>
      </c>
      <c r="AU1209" s="8">
        <f>IF($O1209="Aktif",MAX(0,MIN($AE1209,$AD1209-SUM($AG1209:AT1209))),0)</f>
        <v>0</v>
      </c>
      <c r="AV1209" s="8">
        <f>IF($O1209="Aktif",MAX(0,MIN($AE1209,$AD1209-SUM($AG1209:AU1209))),0)</f>
        <v>0</v>
      </c>
      <c r="AW1209" s="8">
        <f t="shared" si="131"/>
        <v>0</v>
      </c>
      <c r="AX1209" s="8">
        <f t="shared" si="132"/>
        <v>0</v>
      </c>
    </row>
    <row r="1210" spans="1:50" ht="15" customHeight="1" x14ac:dyDescent="0.35">
      <c r="A1210" s="102">
        <v>1204</v>
      </c>
      <c r="B1210" s="102" t="s">
        <v>3343</v>
      </c>
      <c r="C1210" s="103">
        <v>11</v>
      </c>
      <c r="D1210" s="102" t="s">
        <v>186</v>
      </c>
      <c r="E1210" s="102" t="s">
        <v>0</v>
      </c>
      <c r="F1210" s="102" t="s">
        <v>3116</v>
      </c>
      <c r="G1210" s="102" t="s">
        <v>3117</v>
      </c>
      <c r="H1210" s="102" t="s">
        <v>3118</v>
      </c>
      <c r="I1210" s="102" t="s">
        <v>63</v>
      </c>
      <c r="J1210" s="102"/>
      <c r="K1210" s="102"/>
      <c r="L1210" s="104">
        <v>42675</v>
      </c>
      <c r="M1210" s="102" t="s">
        <v>3348</v>
      </c>
      <c r="N1210" s="102" t="s">
        <v>3349</v>
      </c>
      <c r="O1210" s="102" t="s">
        <v>383</v>
      </c>
      <c r="P1210" s="103">
        <v>1</v>
      </c>
      <c r="Q1210" s="105">
        <v>0</v>
      </c>
      <c r="R1210" s="102"/>
      <c r="S1210" s="105">
        <v>0</v>
      </c>
      <c r="T1210" s="105">
        <v>0</v>
      </c>
      <c r="U1210" s="105">
        <v>0</v>
      </c>
      <c r="V1210" s="105">
        <v>0</v>
      </c>
      <c r="W1210" s="105">
        <v>0</v>
      </c>
      <c r="X1210" s="105">
        <v>0</v>
      </c>
      <c r="Y1210" s="105">
        <v>0</v>
      </c>
      <c r="Z1210" s="105">
        <v>0</v>
      </c>
      <c r="AA1210" s="105">
        <v>0</v>
      </c>
      <c r="AB1210" s="105">
        <v>0</v>
      </c>
      <c r="AC1210" s="8">
        <f t="shared" si="126"/>
        <v>0</v>
      </c>
      <c r="AD1210" s="8">
        <f t="shared" si="127"/>
        <v>0</v>
      </c>
      <c r="AE1210" s="8">
        <f t="shared" si="128"/>
        <v>0</v>
      </c>
      <c r="AF1210" s="106">
        <f t="shared" si="129"/>
        <v>0</v>
      </c>
      <c r="AG1210" s="8">
        <f t="shared" si="130"/>
        <v>0</v>
      </c>
      <c r="AH1210" s="8">
        <f>IF($O1210="Aktif",MAX(0,MIN($AE1210,$AD1210-SUM($AG1210:AG1210))),0)</f>
        <v>0</v>
      </c>
      <c r="AI1210" s="8">
        <f>IF($O1210="Aktif",MAX(0,MIN($AE1210,$AD1210-SUM($AG1210:AH1210))),0)</f>
        <v>0</v>
      </c>
      <c r="AJ1210" s="8">
        <f>IF($O1210="Aktif",MAX(0,MIN($AE1210,$AD1210-SUM($AG1210:AI1210))),0)</f>
        <v>0</v>
      </c>
      <c r="AK1210" s="8">
        <f>IF($O1210="Aktif",MAX(0,MIN($AE1210,$AD1210-SUM($AG1210:AJ1210))),0)</f>
        <v>0</v>
      </c>
      <c r="AL1210" s="8">
        <f>IF($O1210="Aktif",MAX(0,MIN($AE1210,$AD1210-SUM($AG1210:AK1210))),0)</f>
        <v>0</v>
      </c>
      <c r="AM1210" s="8">
        <f>IF($O1210="Aktif",MAX(0,MIN($AE1210,$AD1210-SUM($AG1210:AL1210))),0)</f>
        <v>0</v>
      </c>
      <c r="AN1210" s="8">
        <f>IF($O1210="Aktif",MAX(0,MIN($AE1210,$AD1210-SUM($AG1210:AM1210))),0)</f>
        <v>0</v>
      </c>
      <c r="AO1210" s="8">
        <f>IF($O1210="Aktif",MAX(0,MIN($AE1210,$AD1210-SUM($AG1210:AN1210))),0)</f>
        <v>0</v>
      </c>
      <c r="AP1210" s="8">
        <f>IF($O1210="Aktif",MAX(0,MIN($AE1210,$AD1210-SUM($AG1210:AO1210))),0)</f>
        <v>0</v>
      </c>
      <c r="AQ1210" s="8">
        <f>IF($O1210="Aktif",MAX(0,MIN($AE1210,$AD1210-SUM($AG1210:AP1210))),0)</f>
        <v>0</v>
      </c>
      <c r="AR1210" s="8">
        <f>IF($O1210="Aktif",MAX(0,MIN($AE1210,$AD1210-SUM($AG1210:AQ1210))),0)</f>
        <v>0</v>
      </c>
      <c r="AS1210" s="8">
        <f>IF($O1210="Aktif",MAX(0,MIN($AE1210,$AD1210-SUM($AG1210:AR1210))),0)</f>
        <v>0</v>
      </c>
      <c r="AT1210" s="8">
        <f>IF($O1210="Aktif",MAX(0,MIN($AE1210,$AD1210-SUM($AG1210:AS1210))),0)</f>
        <v>0</v>
      </c>
      <c r="AU1210" s="8">
        <f>IF($O1210="Aktif",MAX(0,MIN($AE1210,$AD1210-SUM($AG1210:AT1210))),0)</f>
        <v>0</v>
      </c>
      <c r="AV1210" s="8">
        <f>IF($O1210="Aktif",MAX(0,MIN($AE1210,$AD1210-SUM($AG1210:AU1210))),0)</f>
        <v>0</v>
      </c>
      <c r="AW1210" s="8">
        <f t="shared" si="131"/>
        <v>0</v>
      </c>
      <c r="AX1210" s="8">
        <f t="shared" si="132"/>
        <v>0</v>
      </c>
    </row>
    <row r="1211" spans="1:50" ht="15" customHeight="1" x14ac:dyDescent="0.35">
      <c r="A1211" s="102">
        <v>1205</v>
      </c>
      <c r="B1211" s="102" t="s">
        <v>3343</v>
      </c>
      <c r="C1211" s="103">
        <v>12</v>
      </c>
      <c r="D1211" s="102" t="s">
        <v>186</v>
      </c>
      <c r="E1211" s="102" t="s">
        <v>0</v>
      </c>
      <c r="F1211" s="102" t="s">
        <v>3116</v>
      </c>
      <c r="G1211" s="102" t="s">
        <v>3117</v>
      </c>
      <c r="H1211" s="102" t="s">
        <v>3118</v>
      </c>
      <c r="I1211" s="102" t="s">
        <v>63</v>
      </c>
      <c r="J1211" s="102"/>
      <c r="K1211" s="102"/>
      <c r="L1211" s="104">
        <v>42675</v>
      </c>
      <c r="M1211" s="102" t="s">
        <v>1984</v>
      </c>
      <c r="N1211" s="102" t="s">
        <v>1985</v>
      </c>
      <c r="O1211" s="102" t="s">
        <v>383</v>
      </c>
      <c r="P1211" s="103">
        <v>1</v>
      </c>
      <c r="Q1211" s="105">
        <v>0</v>
      </c>
      <c r="R1211" s="102"/>
      <c r="S1211" s="105">
        <v>0</v>
      </c>
      <c r="T1211" s="105">
        <v>0</v>
      </c>
      <c r="U1211" s="105">
        <v>0</v>
      </c>
      <c r="V1211" s="105">
        <v>0</v>
      </c>
      <c r="W1211" s="105">
        <v>0</v>
      </c>
      <c r="X1211" s="105">
        <v>0</v>
      </c>
      <c r="Y1211" s="105">
        <v>0</v>
      </c>
      <c r="Z1211" s="105">
        <v>0</v>
      </c>
      <c r="AA1211" s="105">
        <v>0</v>
      </c>
      <c r="AB1211" s="105">
        <v>0</v>
      </c>
      <c r="AC1211" s="8">
        <f t="shared" si="126"/>
        <v>0</v>
      </c>
      <c r="AD1211" s="8">
        <f t="shared" si="127"/>
        <v>0</v>
      </c>
      <c r="AE1211" s="8">
        <f t="shared" si="128"/>
        <v>0</v>
      </c>
      <c r="AF1211" s="106">
        <f t="shared" si="129"/>
        <v>0</v>
      </c>
      <c r="AG1211" s="8">
        <f t="shared" si="130"/>
        <v>0</v>
      </c>
      <c r="AH1211" s="8">
        <f>IF($O1211="Aktif",MAX(0,MIN($AE1211,$AD1211-SUM($AG1211:AG1211))),0)</f>
        <v>0</v>
      </c>
      <c r="AI1211" s="8">
        <f>IF($O1211="Aktif",MAX(0,MIN($AE1211,$AD1211-SUM($AG1211:AH1211))),0)</f>
        <v>0</v>
      </c>
      <c r="AJ1211" s="8">
        <f>IF($O1211="Aktif",MAX(0,MIN($AE1211,$AD1211-SUM($AG1211:AI1211))),0)</f>
        <v>0</v>
      </c>
      <c r="AK1211" s="8">
        <f>IF($O1211="Aktif",MAX(0,MIN($AE1211,$AD1211-SUM($AG1211:AJ1211))),0)</f>
        <v>0</v>
      </c>
      <c r="AL1211" s="8">
        <f>IF($O1211="Aktif",MAX(0,MIN($AE1211,$AD1211-SUM($AG1211:AK1211))),0)</f>
        <v>0</v>
      </c>
      <c r="AM1211" s="8">
        <f>IF($O1211="Aktif",MAX(0,MIN($AE1211,$AD1211-SUM($AG1211:AL1211))),0)</f>
        <v>0</v>
      </c>
      <c r="AN1211" s="8">
        <f>IF($O1211="Aktif",MAX(0,MIN($AE1211,$AD1211-SUM($AG1211:AM1211))),0)</f>
        <v>0</v>
      </c>
      <c r="AO1211" s="8">
        <f>IF($O1211="Aktif",MAX(0,MIN($AE1211,$AD1211-SUM($AG1211:AN1211))),0)</f>
        <v>0</v>
      </c>
      <c r="AP1211" s="8">
        <f>IF($O1211="Aktif",MAX(0,MIN($AE1211,$AD1211-SUM($AG1211:AO1211))),0)</f>
        <v>0</v>
      </c>
      <c r="AQ1211" s="8">
        <f>IF($O1211="Aktif",MAX(0,MIN($AE1211,$AD1211-SUM($AG1211:AP1211))),0)</f>
        <v>0</v>
      </c>
      <c r="AR1211" s="8">
        <f>IF($O1211="Aktif",MAX(0,MIN($AE1211,$AD1211-SUM($AG1211:AQ1211))),0)</f>
        <v>0</v>
      </c>
      <c r="AS1211" s="8">
        <f>IF($O1211="Aktif",MAX(0,MIN($AE1211,$AD1211-SUM($AG1211:AR1211))),0)</f>
        <v>0</v>
      </c>
      <c r="AT1211" s="8">
        <f>IF($O1211="Aktif",MAX(0,MIN($AE1211,$AD1211-SUM($AG1211:AS1211))),0)</f>
        <v>0</v>
      </c>
      <c r="AU1211" s="8">
        <f>IF($O1211="Aktif",MAX(0,MIN($AE1211,$AD1211-SUM($AG1211:AT1211))),0)</f>
        <v>0</v>
      </c>
      <c r="AV1211" s="8">
        <f>IF($O1211="Aktif",MAX(0,MIN($AE1211,$AD1211-SUM($AG1211:AU1211))),0)</f>
        <v>0</v>
      </c>
      <c r="AW1211" s="8">
        <f t="shared" si="131"/>
        <v>0</v>
      </c>
      <c r="AX1211" s="8">
        <f t="shared" si="132"/>
        <v>0</v>
      </c>
    </row>
    <row r="1212" spans="1:50" ht="15" customHeight="1" x14ac:dyDescent="0.35">
      <c r="A1212" s="102">
        <v>1206</v>
      </c>
      <c r="B1212" s="102" t="s">
        <v>3343</v>
      </c>
      <c r="C1212" s="103">
        <v>13</v>
      </c>
      <c r="D1212" s="102" t="s">
        <v>186</v>
      </c>
      <c r="E1212" s="102" t="s">
        <v>479</v>
      </c>
      <c r="F1212" s="102" t="s">
        <v>3116</v>
      </c>
      <c r="G1212" s="102" t="s">
        <v>3117</v>
      </c>
      <c r="H1212" s="102" t="s">
        <v>3118</v>
      </c>
      <c r="I1212" s="102" t="s">
        <v>63</v>
      </c>
      <c r="J1212" s="102"/>
      <c r="K1212" s="102"/>
      <c r="L1212" s="104">
        <v>42684</v>
      </c>
      <c r="M1212" s="102" t="s">
        <v>3350</v>
      </c>
      <c r="N1212" s="102" t="s">
        <v>3351</v>
      </c>
      <c r="O1212" s="102" t="s">
        <v>383</v>
      </c>
      <c r="P1212" s="103">
        <v>1</v>
      </c>
      <c r="Q1212" s="105">
        <v>4700000</v>
      </c>
      <c r="R1212" s="103">
        <v>48</v>
      </c>
      <c r="S1212" s="105">
        <v>4700000</v>
      </c>
      <c r="T1212" s="105">
        <v>0</v>
      </c>
      <c r="U1212" s="105">
        <v>0</v>
      </c>
      <c r="V1212" s="105">
        <v>0</v>
      </c>
      <c r="W1212" s="105">
        <v>0</v>
      </c>
      <c r="X1212" s="105">
        <v>0</v>
      </c>
      <c r="Y1212" s="105">
        <v>0</v>
      </c>
      <c r="Z1212" s="105">
        <v>0</v>
      </c>
      <c r="AA1212" s="105">
        <v>0</v>
      </c>
      <c r="AB1212" s="105">
        <v>0</v>
      </c>
      <c r="AC1212" s="8">
        <f t="shared" si="126"/>
        <v>0</v>
      </c>
      <c r="AD1212" s="8">
        <f t="shared" si="127"/>
        <v>4700000</v>
      </c>
      <c r="AE1212" s="8">
        <f t="shared" si="128"/>
        <v>0</v>
      </c>
      <c r="AF1212" s="106">
        <f t="shared" si="129"/>
        <v>0</v>
      </c>
      <c r="AG1212" s="8">
        <f t="shared" si="130"/>
        <v>0</v>
      </c>
      <c r="AH1212" s="8">
        <f>IF($O1212="Aktif",MAX(0,MIN($AE1212,$AD1212-SUM($AG1212:AG1212))),0)</f>
        <v>0</v>
      </c>
      <c r="AI1212" s="8">
        <f>IF($O1212="Aktif",MAX(0,MIN($AE1212,$AD1212-SUM($AG1212:AH1212))),0)</f>
        <v>0</v>
      </c>
      <c r="AJ1212" s="8">
        <f>IF($O1212="Aktif",MAX(0,MIN($AE1212,$AD1212-SUM($AG1212:AI1212))),0)</f>
        <v>0</v>
      </c>
      <c r="AK1212" s="8">
        <f>IF($O1212="Aktif",MAX(0,MIN($AE1212,$AD1212-SUM($AG1212:AJ1212))),0)</f>
        <v>0</v>
      </c>
      <c r="AL1212" s="8">
        <f>IF($O1212="Aktif",MAX(0,MIN($AE1212,$AD1212-SUM($AG1212:AK1212))),0)</f>
        <v>0</v>
      </c>
      <c r="AM1212" s="8">
        <f>IF($O1212="Aktif",MAX(0,MIN($AE1212,$AD1212-SUM($AG1212:AL1212))),0)</f>
        <v>0</v>
      </c>
      <c r="AN1212" s="8">
        <f>IF($O1212="Aktif",MAX(0,MIN($AE1212,$AD1212-SUM($AG1212:AM1212))),0)</f>
        <v>0</v>
      </c>
      <c r="AO1212" s="8">
        <f>IF($O1212="Aktif",MAX(0,MIN($AE1212,$AD1212-SUM($AG1212:AN1212))),0)</f>
        <v>0</v>
      </c>
      <c r="AP1212" s="8">
        <f>IF($O1212="Aktif",MAX(0,MIN($AE1212,$AD1212-SUM($AG1212:AO1212))),0)</f>
        <v>0</v>
      </c>
      <c r="AQ1212" s="8">
        <f>IF($O1212="Aktif",MAX(0,MIN($AE1212,$AD1212-SUM($AG1212:AP1212))),0)</f>
        <v>0</v>
      </c>
      <c r="AR1212" s="8">
        <f>IF($O1212="Aktif",MAX(0,MIN($AE1212,$AD1212-SUM($AG1212:AQ1212))),0)</f>
        <v>0</v>
      </c>
      <c r="AS1212" s="8">
        <f>IF($O1212="Aktif",MAX(0,MIN($AE1212,$AD1212-SUM($AG1212:AR1212))),0)</f>
        <v>0</v>
      </c>
      <c r="AT1212" s="8">
        <f>IF($O1212="Aktif",MAX(0,MIN($AE1212,$AD1212-SUM($AG1212:AS1212))),0)</f>
        <v>0</v>
      </c>
      <c r="AU1212" s="8">
        <f>IF($O1212="Aktif",MAX(0,MIN($AE1212,$AD1212-SUM($AG1212:AT1212))),0)</f>
        <v>0</v>
      </c>
      <c r="AV1212" s="8">
        <f>IF($O1212="Aktif",MAX(0,MIN($AE1212,$AD1212-SUM($AG1212:AU1212))),0)</f>
        <v>0</v>
      </c>
      <c r="AW1212" s="8">
        <f t="shared" si="131"/>
        <v>0</v>
      </c>
      <c r="AX1212" s="8">
        <f t="shared" si="132"/>
        <v>4700000</v>
      </c>
    </row>
    <row r="1213" spans="1:50" ht="15" customHeight="1" x14ac:dyDescent="0.35">
      <c r="A1213" s="102">
        <v>1207</v>
      </c>
      <c r="B1213" s="102" t="s">
        <v>3343</v>
      </c>
      <c r="C1213" s="103">
        <v>14</v>
      </c>
      <c r="D1213" s="102" t="s">
        <v>186</v>
      </c>
      <c r="E1213" s="102" t="s">
        <v>0</v>
      </c>
      <c r="F1213" s="102" t="s">
        <v>3116</v>
      </c>
      <c r="G1213" s="102" t="s">
        <v>3117</v>
      </c>
      <c r="H1213" s="102" t="s">
        <v>3118</v>
      </c>
      <c r="I1213" s="102" t="s">
        <v>63</v>
      </c>
      <c r="J1213" s="102"/>
      <c r="K1213" s="102"/>
      <c r="L1213" s="104">
        <v>42695</v>
      </c>
      <c r="M1213" s="102" t="s">
        <v>3352</v>
      </c>
      <c r="N1213" s="102" t="s">
        <v>3353</v>
      </c>
      <c r="O1213" s="102" t="s">
        <v>383</v>
      </c>
      <c r="P1213" s="103">
        <v>1</v>
      </c>
      <c r="Q1213" s="105">
        <v>0</v>
      </c>
      <c r="R1213" s="102"/>
      <c r="S1213" s="105">
        <v>0</v>
      </c>
      <c r="T1213" s="105">
        <v>0</v>
      </c>
      <c r="U1213" s="105">
        <v>0</v>
      </c>
      <c r="V1213" s="105">
        <v>0</v>
      </c>
      <c r="W1213" s="105">
        <v>0</v>
      </c>
      <c r="X1213" s="105">
        <v>0</v>
      </c>
      <c r="Y1213" s="105">
        <v>0</v>
      </c>
      <c r="Z1213" s="105">
        <v>0</v>
      </c>
      <c r="AA1213" s="105">
        <v>0</v>
      </c>
      <c r="AB1213" s="105">
        <v>0</v>
      </c>
      <c r="AC1213" s="8">
        <f t="shared" si="126"/>
        <v>0</v>
      </c>
      <c r="AD1213" s="8">
        <f t="shared" si="127"/>
        <v>0</v>
      </c>
      <c r="AE1213" s="8">
        <f t="shared" si="128"/>
        <v>0</v>
      </c>
      <c r="AF1213" s="106">
        <f t="shared" si="129"/>
        <v>0</v>
      </c>
      <c r="AG1213" s="8">
        <f t="shared" si="130"/>
        <v>0</v>
      </c>
      <c r="AH1213" s="8">
        <f>IF($O1213="Aktif",MAX(0,MIN($AE1213,$AD1213-SUM($AG1213:AG1213))),0)</f>
        <v>0</v>
      </c>
      <c r="AI1213" s="8">
        <f>IF($O1213="Aktif",MAX(0,MIN($AE1213,$AD1213-SUM($AG1213:AH1213))),0)</f>
        <v>0</v>
      </c>
      <c r="AJ1213" s="8">
        <f>IF($O1213="Aktif",MAX(0,MIN($AE1213,$AD1213-SUM($AG1213:AI1213))),0)</f>
        <v>0</v>
      </c>
      <c r="AK1213" s="8">
        <f>IF($O1213="Aktif",MAX(0,MIN($AE1213,$AD1213-SUM($AG1213:AJ1213))),0)</f>
        <v>0</v>
      </c>
      <c r="AL1213" s="8">
        <f>IF($O1213="Aktif",MAX(0,MIN($AE1213,$AD1213-SUM($AG1213:AK1213))),0)</f>
        <v>0</v>
      </c>
      <c r="AM1213" s="8">
        <f>IF($O1213="Aktif",MAX(0,MIN($AE1213,$AD1213-SUM($AG1213:AL1213))),0)</f>
        <v>0</v>
      </c>
      <c r="AN1213" s="8">
        <f>IF($O1213="Aktif",MAX(0,MIN($AE1213,$AD1213-SUM($AG1213:AM1213))),0)</f>
        <v>0</v>
      </c>
      <c r="AO1213" s="8">
        <f>IF($O1213="Aktif",MAX(0,MIN($AE1213,$AD1213-SUM($AG1213:AN1213))),0)</f>
        <v>0</v>
      </c>
      <c r="AP1213" s="8">
        <f>IF($O1213="Aktif",MAX(0,MIN($AE1213,$AD1213-SUM($AG1213:AO1213))),0)</f>
        <v>0</v>
      </c>
      <c r="AQ1213" s="8">
        <f>IF($O1213="Aktif",MAX(0,MIN($AE1213,$AD1213-SUM($AG1213:AP1213))),0)</f>
        <v>0</v>
      </c>
      <c r="AR1213" s="8">
        <f>IF($O1213="Aktif",MAX(0,MIN($AE1213,$AD1213-SUM($AG1213:AQ1213))),0)</f>
        <v>0</v>
      </c>
      <c r="AS1213" s="8">
        <f>IF($O1213="Aktif",MAX(0,MIN($AE1213,$AD1213-SUM($AG1213:AR1213))),0)</f>
        <v>0</v>
      </c>
      <c r="AT1213" s="8">
        <f>IF($O1213="Aktif",MAX(0,MIN($AE1213,$AD1213-SUM($AG1213:AS1213))),0)</f>
        <v>0</v>
      </c>
      <c r="AU1213" s="8">
        <f>IF($O1213="Aktif",MAX(0,MIN($AE1213,$AD1213-SUM($AG1213:AT1213))),0)</f>
        <v>0</v>
      </c>
      <c r="AV1213" s="8">
        <f>IF($O1213="Aktif",MAX(0,MIN($AE1213,$AD1213-SUM($AG1213:AU1213))),0)</f>
        <v>0</v>
      </c>
      <c r="AW1213" s="8">
        <f t="shared" si="131"/>
        <v>0</v>
      </c>
      <c r="AX1213" s="8">
        <f t="shared" si="132"/>
        <v>0</v>
      </c>
    </row>
    <row r="1214" spans="1:50" ht="15" customHeight="1" x14ac:dyDescent="0.35">
      <c r="A1214" s="102">
        <v>1208</v>
      </c>
      <c r="B1214" s="102" t="s">
        <v>3343</v>
      </c>
      <c r="C1214" s="103">
        <v>15</v>
      </c>
      <c r="D1214" s="102" t="s">
        <v>186</v>
      </c>
      <c r="E1214" s="102" t="s">
        <v>479</v>
      </c>
      <c r="F1214" s="102" t="s">
        <v>3116</v>
      </c>
      <c r="G1214" s="102" t="s">
        <v>3117</v>
      </c>
      <c r="H1214" s="102" t="s">
        <v>3118</v>
      </c>
      <c r="I1214" s="102" t="s">
        <v>63</v>
      </c>
      <c r="J1214" s="102"/>
      <c r="K1214" s="102"/>
      <c r="L1214" s="104">
        <v>41973</v>
      </c>
      <c r="M1214" s="102" t="s">
        <v>3354</v>
      </c>
      <c r="N1214" s="102" t="s">
        <v>3355</v>
      </c>
      <c r="O1214" s="102" t="s">
        <v>383</v>
      </c>
      <c r="P1214" s="103">
        <v>1</v>
      </c>
      <c r="Q1214" s="105">
        <v>77700000</v>
      </c>
      <c r="R1214" s="103">
        <v>48</v>
      </c>
      <c r="S1214" s="105">
        <v>30756250</v>
      </c>
      <c r="T1214" s="105">
        <v>46943750</v>
      </c>
      <c r="U1214" s="105">
        <v>0</v>
      </c>
      <c r="V1214" s="105">
        <v>0</v>
      </c>
      <c r="W1214" s="105">
        <v>0</v>
      </c>
      <c r="X1214" s="105">
        <v>0</v>
      </c>
      <c r="Y1214" s="105">
        <v>0</v>
      </c>
      <c r="Z1214" s="105">
        <v>0</v>
      </c>
      <c r="AA1214" s="105">
        <v>0</v>
      </c>
      <c r="AB1214" s="105">
        <v>0</v>
      </c>
      <c r="AC1214" s="8">
        <f t="shared" si="126"/>
        <v>46943750</v>
      </c>
      <c r="AD1214" s="8">
        <f t="shared" si="127"/>
        <v>30756250</v>
      </c>
      <c r="AE1214" s="8">
        <f t="shared" si="128"/>
        <v>0</v>
      </c>
      <c r="AF1214" s="106">
        <f t="shared" si="129"/>
        <v>0</v>
      </c>
      <c r="AG1214" s="8">
        <f t="shared" si="130"/>
        <v>0</v>
      </c>
      <c r="AH1214" s="8">
        <f>IF($O1214="Aktif",MAX(0,MIN($AE1214,$AD1214-SUM($AG1214:AG1214))),0)</f>
        <v>0</v>
      </c>
      <c r="AI1214" s="8">
        <f>IF($O1214="Aktif",MAX(0,MIN($AE1214,$AD1214-SUM($AG1214:AH1214))),0)</f>
        <v>0</v>
      </c>
      <c r="AJ1214" s="8">
        <f>IF($O1214="Aktif",MAX(0,MIN($AE1214,$AD1214-SUM($AG1214:AI1214))),0)</f>
        <v>0</v>
      </c>
      <c r="AK1214" s="8">
        <f>IF($O1214="Aktif",MAX(0,MIN($AE1214,$AD1214-SUM($AG1214:AJ1214))),0)</f>
        <v>0</v>
      </c>
      <c r="AL1214" s="8">
        <f>IF($O1214="Aktif",MAX(0,MIN($AE1214,$AD1214-SUM($AG1214:AK1214))),0)</f>
        <v>0</v>
      </c>
      <c r="AM1214" s="8">
        <f>IF($O1214="Aktif",MAX(0,MIN($AE1214,$AD1214-SUM($AG1214:AL1214))),0)</f>
        <v>0</v>
      </c>
      <c r="AN1214" s="8">
        <f>IF($O1214="Aktif",MAX(0,MIN($AE1214,$AD1214-SUM($AG1214:AM1214))),0)</f>
        <v>0</v>
      </c>
      <c r="AO1214" s="8">
        <f>IF($O1214="Aktif",MAX(0,MIN($AE1214,$AD1214-SUM($AG1214:AN1214))),0)</f>
        <v>0</v>
      </c>
      <c r="AP1214" s="8">
        <f>IF($O1214="Aktif",MAX(0,MIN($AE1214,$AD1214-SUM($AG1214:AO1214))),0)</f>
        <v>0</v>
      </c>
      <c r="AQ1214" s="8">
        <f>IF($O1214="Aktif",MAX(0,MIN($AE1214,$AD1214-SUM($AG1214:AP1214))),0)</f>
        <v>0</v>
      </c>
      <c r="AR1214" s="8">
        <f>IF($O1214="Aktif",MAX(0,MIN($AE1214,$AD1214-SUM($AG1214:AQ1214))),0)</f>
        <v>0</v>
      </c>
      <c r="AS1214" s="8">
        <f>IF($O1214="Aktif",MAX(0,MIN($AE1214,$AD1214-SUM($AG1214:AR1214))),0)</f>
        <v>0</v>
      </c>
      <c r="AT1214" s="8">
        <f>IF($O1214="Aktif",MAX(0,MIN($AE1214,$AD1214-SUM($AG1214:AS1214))),0)</f>
        <v>0</v>
      </c>
      <c r="AU1214" s="8">
        <f>IF($O1214="Aktif",MAX(0,MIN($AE1214,$AD1214-SUM($AG1214:AT1214))),0)</f>
        <v>0</v>
      </c>
      <c r="AV1214" s="8">
        <f>IF($O1214="Aktif",MAX(0,MIN($AE1214,$AD1214-SUM($AG1214:AU1214))),0)</f>
        <v>0</v>
      </c>
      <c r="AW1214" s="8">
        <f t="shared" si="131"/>
        <v>0</v>
      </c>
      <c r="AX1214" s="8">
        <f t="shared" si="132"/>
        <v>30756250</v>
      </c>
    </row>
    <row r="1215" spans="1:50" ht="15" customHeight="1" x14ac:dyDescent="0.35">
      <c r="A1215" s="102">
        <v>1209</v>
      </c>
      <c r="B1215" s="102" t="s">
        <v>3343</v>
      </c>
      <c r="C1215" s="103">
        <v>16</v>
      </c>
      <c r="D1215" s="102" t="s">
        <v>186</v>
      </c>
      <c r="E1215" s="102" t="s">
        <v>479</v>
      </c>
      <c r="F1215" s="102" t="s">
        <v>3116</v>
      </c>
      <c r="G1215" s="102" t="s">
        <v>3117</v>
      </c>
      <c r="H1215" s="102" t="s">
        <v>3118</v>
      </c>
      <c r="I1215" s="102" t="s">
        <v>63</v>
      </c>
      <c r="J1215" s="102"/>
      <c r="K1215" s="102"/>
      <c r="L1215" s="104">
        <v>42838</v>
      </c>
      <c r="M1215" s="102" t="s">
        <v>3356</v>
      </c>
      <c r="N1215" s="102" t="s">
        <v>3357</v>
      </c>
      <c r="O1215" s="102" t="s">
        <v>487</v>
      </c>
      <c r="P1215" s="103">
        <v>1</v>
      </c>
      <c r="Q1215" s="105">
        <v>-77700000</v>
      </c>
      <c r="R1215" s="103">
        <v>48</v>
      </c>
      <c r="S1215" s="105">
        <v>0</v>
      </c>
      <c r="T1215" s="105">
        <v>-46943750</v>
      </c>
      <c r="U1215" s="105">
        <v>0</v>
      </c>
      <c r="V1215" s="105">
        <v>0</v>
      </c>
      <c r="W1215" s="105">
        <v>0</v>
      </c>
      <c r="X1215" s="105">
        <v>0</v>
      </c>
      <c r="Y1215" s="105">
        <v>0</v>
      </c>
      <c r="Z1215" s="105">
        <v>0</v>
      </c>
      <c r="AA1215" s="105">
        <v>0</v>
      </c>
      <c r="AB1215" s="105">
        <v>0</v>
      </c>
      <c r="AC1215" s="8">
        <f t="shared" si="126"/>
        <v>-46943750</v>
      </c>
      <c r="AD1215" s="8">
        <f t="shared" si="127"/>
        <v>-30756250</v>
      </c>
      <c r="AE1215" s="8">
        <f t="shared" si="128"/>
        <v>0</v>
      </c>
      <c r="AF1215" s="106">
        <f t="shared" si="129"/>
        <v>0</v>
      </c>
      <c r="AG1215" s="8">
        <f t="shared" si="130"/>
        <v>0</v>
      </c>
      <c r="AH1215" s="8">
        <f>IF($O1215="Aktif",MAX(0,MIN($AE1215,$AD1215-SUM($AG1215:AG1215))),0)</f>
        <v>0</v>
      </c>
      <c r="AI1215" s="8">
        <f>IF($O1215="Aktif",MAX(0,MIN($AE1215,$AD1215-SUM($AG1215:AH1215))),0)</f>
        <v>0</v>
      </c>
      <c r="AJ1215" s="8">
        <f>IF($O1215="Aktif",MAX(0,MIN($AE1215,$AD1215-SUM($AG1215:AI1215))),0)</f>
        <v>0</v>
      </c>
      <c r="AK1215" s="8">
        <f>IF($O1215="Aktif",MAX(0,MIN($AE1215,$AD1215-SUM($AG1215:AJ1215))),0)</f>
        <v>0</v>
      </c>
      <c r="AL1215" s="8">
        <f>IF($O1215="Aktif",MAX(0,MIN($AE1215,$AD1215-SUM($AG1215:AK1215))),0)</f>
        <v>0</v>
      </c>
      <c r="AM1215" s="8">
        <f>IF($O1215="Aktif",MAX(0,MIN($AE1215,$AD1215-SUM($AG1215:AL1215))),0)</f>
        <v>0</v>
      </c>
      <c r="AN1215" s="8">
        <f>IF($O1215="Aktif",MAX(0,MIN($AE1215,$AD1215-SUM($AG1215:AM1215))),0)</f>
        <v>0</v>
      </c>
      <c r="AO1215" s="8">
        <f>IF($O1215="Aktif",MAX(0,MIN($AE1215,$AD1215-SUM($AG1215:AN1215))),0)</f>
        <v>0</v>
      </c>
      <c r="AP1215" s="8">
        <f>IF($O1215="Aktif",MAX(0,MIN($AE1215,$AD1215-SUM($AG1215:AO1215))),0)</f>
        <v>0</v>
      </c>
      <c r="AQ1215" s="8">
        <f>IF($O1215="Aktif",MAX(0,MIN($AE1215,$AD1215-SUM($AG1215:AP1215))),0)</f>
        <v>0</v>
      </c>
      <c r="AR1215" s="8">
        <f>IF($O1215="Aktif",MAX(0,MIN($AE1215,$AD1215-SUM($AG1215:AQ1215))),0)</f>
        <v>0</v>
      </c>
      <c r="AS1215" s="8">
        <f>IF($O1215="Aktif",MAX(0,MIN($AE1215,$AD1215-SUM($AG1215:AR1215))),0)</f>
        <v>0</v>
      </c>
      <c r="AT1215" s="8">
        <f>IF($O1215="Aktif",MAX(0,MIN($AE1215,$AD1215-SUM($AG1215:AS1215))),0)</f>
        <v>0</v>
      </c>
      <c r="AU1215" s="8">
        <f>IF($O1215="Aktif",MAX(0,MIN($AE1215,$AD1215-SUM($AG1215:AT1215))),0)</f>
        <v>0</v>
      </c>
      <c r="AV1215" s="8">
        <f>IF($O1215="Aktif",MAX(0,MIN($AE1215,$AD1215-SUM($AG1215:AU1215))),0)</f>
        <v>0</v>
      </c>
      <c r="AW1215" s="8">
        <f t="shared" si="131"/>
        <v>0</v>
      </c>
      <c r="AX1215" s="8">
        <f t="shared" si="132"/>
        <v>-30756250</v>
      </c>
    </row>
    <row r="1216" spans="1:50" ht="15" customHeight="1" x14ac:dyDescent="0.35">
      <c r="A1216" s="102">
        <v>1210</v>
      </c>
      <c r="B1216" s="102" t="s">
        <v>3343</v>
      </c>
      <c r="C1216" s="103">
        <v>17</v>
      </c>
      <c r="D1216" s="102" t="s">
        <v>186</v>
      </c>
      <c r="E1216" s="102" t="s">
        <v>0</v>
      </c>
      <c r="F1216" s="102" t="s">
        <v>3116</v>
      </c>
      <c r="G1216" s="102" t="s">
        <v>3117</v>
      </c>
      <c r="H1216" s="102" t="s">
        <v>3118</v>
      </c>
      <c r="I1216" s="102" t="s">
        <v>63</v>
      </c>
      <c r="J1216" s="102"/>
      <c r="K1216" s="102"/>
      <c r="L1216" s="104">
        <v>43312</v>
      </c>
      <c r="M1216" s="102" t="s">
        <v>3358</v>
      </c>
      <c r="N1216" s="102" t="s">
        <v>3359</v>
      </c>
      <c r="O1216" s="102" t="s">
        <v>487</v>
      </c>
      <c r="P1216" s="103">
        <v>1</v>
      </c>
      <c r="Q1216" s="105">
        <v>-35000000</v>
      </c>
      <c r="R1216" s="102"/>
      <c r="S1216" s="105">
        <v>0</v>
      </c>
      <c r="T1216" s="105">
        <v>-16041666.6666667</v>
      </c>
      <c r="U1216" s="105">
        <v>0</v>
      </c>
      <c r="V1216" s="105">
        <v>0</v>
      </c>
      <c r="W1216" s="105">
        <v>0</v>
      </c>
      <c r="X1216" s="105">
        <v>0</v>
      </c>
      <c r="Y1216" s="105">
        <v>0</v>
      </c>
      <c r="Z1216" s="105">
        <v>0</v>
      </c>
      <c r="AA1216" s="105">
        <v>0</v>
      </c>
      <c r="AB1216" s="105">
        <v>0</v>
      </c>
      <c r="AC1216" s="8">
        <f t="shared" si="126"/>
        <v>-16041666.6666667</v>
      </c>
      <c r="AD1216" s="8">
        <f t="shared" si="127"/>
        <v>-18958333.333333299</v>
      </c>
      <c r="AE1216" s="8">
        <f t="shared" si="128"/>
        <v>0</v>
      </c>
      <c r="AF1216" s="106">
        <f t="shared" si="129"/>
        <v>0</v>
      </c>
      <c r="AG1216" s="8">
        <f t="shared" si="130"/>
        <v>0</v>
      </c>
      <c r="AH1216" s="8">
        <f>IF($O1216="Aktif",MAX(0,MIN($AE1216,$AD1216-SUM($AG1216:AG1216))),0)</f>
        <v>0</v>
      </c>
      <c r="AI1216" s="8">
        <f>IF($O1216="Aktif",MAX(0,MIN($AE1216,$AD1216-SUM($AG1216:AH1216))),0)</f>
        <v>0</v>
      </c>
      <c r="AJ1216" s="8">
        <f>IF($O1216="Aktif",MAX(0,MIN($AE1216,$AD1216-SUM($AG1216:AI1216))),0)</f>
        <v>0</v>
      </c>
      <c r="AK1216" s="8">
        <f>IF($O1216="Aktif",MAX(0,MIN($AE1216,$AD1216-SUM($AG1216:AJ1216))),0)</f>
        <v>0</v>
      </c>
      <c r="AL1216" s="8">
        <f>IF($O1216="Aktif",MAX(0,MIN($AE1216,$AD1216-SUM($AG1216:AK1216))),0)</f>
        <v>0</v>
      </c>
      <c r="AM1216" s="8">
        <f>IF($O1216="Aktif",MAX(0,MIN($AE1216,$AD1216-SUM($AG1216:AL1216))),0)</f>
        <v>0</v>
      </c>
      <c r="AN1216" s="8">
        <f>IF($O1216="Aktif",MAX(0,MIN($AE1216,$AD1216-SUM($AG1216:AM1216))),0)</f>
        <v>0</v>
      </c>
      <c r="AO1216" s="8">
        <f>IF($O1216="Aktif",MAX(0,MIN($AE1216,$AD1216-SUM($AG1216:AN1216))),0)</f>
        <v>0</v>
      </c>
      <c r="AP1216" s="8">
        <f>IF($O1216="Aktif",MAX(0,MIN($AE1216,$AD1216-SUM($AG1216:AO1216))),0)</f>
        <v>0</v>
      </c>
      <c r="AQ1216" s="8">
        <f>IF($O1216="Aktif",MAX(0,MIN($AE1216,$AD1216-SUM($AG1216:AP1216))),0)</f>
        <v>0</v>
      </c>
      <c r="AR1216" s="8">
        <f>IF($O1216="Aktif",MAX(0,MIN($AE1216,$AD1216-SUM($AG1216:AQ1216))),0)</f>
        <v>0</v>
      </c>
      <c r="AS1216" s="8">
        <f>IF($O1216="Aktif",MAX(0,MIN($AE1216,$AD1216-SUM($AG1216:AR1216))),0)</f>
        <v>0</v>
      </c>
      <c r="AT1216" s="8">
        <f>IF($O1216="Aktif",MAX(0,MIN($AE1216,$AD1216-SUM($AG1216:AS1216))),0)</f>
        <v>0</v>
      </c>
      <c r="AU1216" s="8">
        <f>IF($O1216="Aktif",MAX(0,MIN($AE1216,$AD1216-SUM($AG1216:AT1216))),0)</f>
        <v>0</v>
      </c>
      <c r="AV1216" s="8">
        <f>IF($O1216="Aktif",MAX(0,MIN($AE1216,$AD1216-SUM($AG1216:AU1216))),0)</f>
        <v>0</v>
      </c>
      <c r="AW1216" s="8">
        <f t="shared" si="131"/>
        <v>0</v>
      </c>
      <c r="AX1216" s="8">
        <f t="shared" si="132"/>
        <v>-18958333.333333299</v>
      </c>
    </row>
    <row r="1217" spans="1:50" ht="15" customHeight="1" x14ac:dyDescent="0.35">
      <c r="A1217" s="102">
        <v>1211</v>
      </c>
      <c r="B1217" s="102" t="s">
        <v>3343</v>
      </c>
      <c r="C1217" s="103">
        <v>18</v>
      </c>
      <c r="D1217" s="102" t="s">
        <v>186</v>
      </c>
      <c r="E1217" s="102" t="s">
        <v>479</v>
      </c>
      <c r="F1217" s="102" t="s">
        <v>3116</v>
      </c>
      <c r="G1217" s="102" t="s">
        <v>3117</v>
      </c>
      <c r="H1217" s="102" t="s">
        <v>3118</v>
      </c>
      <c r="I1217" s="102" t="s">
        <v>63</v>
      </c>
      <c r="J1217" s="102"/>
      <c r="K1217" s="102"/>
      <c r="L1217" s="104">
        <v>42622</v>
      </c>
      <c r="M1217" s="102" t="s">
        <v>3360</v>
      </c>
      <c r="N1217" s="102" t="s">
        <v>3361</v>
      </c>
      <c r="O1217" s="102" t="s">
        <v>383</v>
      </c>
      <c r="P1217" s="103">
        <v>1</v>
      </c>
      <c r="Q1217" s="105">
        <v>35000000</v>
      </c>
      <c r="R1217" s="103">
        <v>48</v>
      </c>
      <c r="S1217" s="105">
        <v>18958333.333333299</v>
      </c>
      <c r="T1217" s="105">
        <v>16041666.6666667</v>
      </c>
      <c r="U1217" s="105">
        <v>0</v>
      </c>
      <c r="V1217" s="105">
        <v>0</v>
      </c>
      <c r="W1217" s="105">
        <v>0</v>
      </c>
      <c r="X1217" s="105">
        <v>0</v>
      </c>
      <c r="Y1217" s="105">
        <v>0</v>
      </c>
      <c r="Z1217" s="105">
        <v>0</v>
      </c>
      <c r="AA1217" s="105">
        <v>0</v>
      </c>
      <c r="AB1217" s="105">
        <v>0</v>
      </c>
      <c r="AC1217" s="8">
        <f t="shared" si="126"/>
        <v>16041666.6666667</v>
      </c>
      <c r="AD1217" s="8">
        <f t="shared" si="127"/>
        <v>18958333.333333299</v>
      </c>
      <c r="AE1217" s="8">
        <f t="shared" si="128"/>
        <v>0</v>
      </c>
      <c r="AF1217" s="106">
        <f t="shared" si="129"/>
        <v>0</v>
      </c>
      <c r="AG1217" s="8">
        <f t="shared" si="130"/>
        <v>0</v>
      </c>
      <c r="AH1217" s="8">
        <f>IF($O1217="Aktif",MAX(0,MIN($AE1217,$AD1217-SUM($AG1217:AG1217))),0)</f>
        <v>0</v>
      </c>
      <c r="AI1217" s="8">
        <f>IF($O1217="Aktif",MAX(0,MIN($AE1217,$AD1217-SUM($AG1217:AH1217))),0)</f>
        <v>0</v>
      </c>
      <c r="AJ1217" s="8">
        <f>IF($O1217="Aktif",MAX(0,MIN($AE1217,$AD1217-SUM($AG1217:AI1217))),0)</f>
        <v>0</v>
      </c>
      <c r="AK1217" s="8">
        <f>IF($O1217="Aktif",MAX(0,MIN($AE1217,$AD1217-SUM($AG1217:AJ1217))),0)</f>
        <v>0</v>
      </c>
      <c r="AL1217" s="8">
        <f>IF($O1217="Aktif",MAX(0,MIN($AE1217,$AD1217-SUM($AG1217:AK1217))),0)</f>
        <v>0</v>
      </c>
      <c r="AM1217" s="8">
        <f>IF($O1217="Aktif",MAX(0,MIN($AE1217,$AD1217-SUM($AG1217:AL1217))),0)</f>
        <v>0</v>
      </c>
      <c r="AN1217" s="8">
        <f>IF($O1217="Aktif",MAX(0,MIN($AE1217,$AD1217-SUM($AG1217:AM1217))),0)</f>
        <v>0</v>
      </c>
      <c r="AO1217" s="8">
        <f>IF($O1217="Aktif",MAX(0,MIN($AE1217,$AD1217-SUM($AG1217:AN1217))),0)</f>
        <v>0</v>
      </c>
      <c r="AP1217" s="8">
        <f>IF($O1217="Aktif",MAX(0,MIN($AE1217,$AD1217-SUM($AG1217:AO1217))),0)</f>
        <v>0</v>
      </c>
      <c r="AQ1217" s="8">
        <f>IF($O1217="Aktif",MAX(0,MIN($AE1217,$AD1217-SUM($AG1217:AP1217))),0)</f>
        <v>0</v>
      </c>
      <c r="AR1217" s="8">
        <f>IF($O1217="Aktif",MAX(0,MIN($AE1217,$AD1217-SUM($AG1217:AQ1217))),0)</f>
        <v>0</v>
      </c>
      <c r="AS1217" s="8">
        <f>IF($O1217="Aktif",MAX(0,MIN($AE1217,$AD1217-SUM($AG1217:AR1217))),0)</f>
        <v>0</v>
      </c>
      <c r="AT1217" s="8">
        <f>IF($O1217="Aktif",MAX(0,MIN($AE1217,$AD1217-SUM($AG1217:AS1217))),0)</f>
        <v>0</v>
      </c>
      <c r="AU1217" s="8">
        <f>IF($O1217="Aktif",MAX(0,MIN($AE1217,$AD1217-SUM($AG1217:AT1217))),0)</f>
        <v>0</v>
      </c>
      <c r="AV1217" s="8">
        <f>IF($O1217="Aktif",MAX(0,MIN($AE1217,$AD1217-SUM($AG1217:AU1217))),0)</f>
        <v>0</v>
      </c>
      <c r="AW1217" s="8">
        <f t="shared" si="131"/>
        <v>0</v>
      </c>
      <c r="AX1217" s="8">
        <f t="shared" si="132"/>
        <v>18958333.333333299</v>
      </c>
    </row>
    <row r="1218" spans="1:50" ht="15" customHeight="1" x14ac:dyDescent="0.35">
      <c r="A1218" s="102">
        <v>1212</v>
      </c>
      <c r="B1218" s="102" t="s">
        <v>3343</v>
      </c>
      <c r="C1218" s="103">
        <v>19</v>
      </c>
      <c r="D1218" s="102" t="s">
        <v>186</v>
      </c>
      <c r="E1218" s="102" t="s">
        <v>479</v>
      </c>
      <c r="F1218" s="102" t="s">
        <v>3116</v>
      </c>
      <c r="G1218" s="102" t="s">
        <v>3117</v>
      </c>
      <c r="H1218" s="102" t="s">
        <v>3118</v>
      </c>
      <c r="I1218" s="102" t="s">
        <v>63</v>
      </c>
      <c r="J1218" s="102"/>
      <c r="K1218" s="102"/>
      <c r="L1218" s="104">
        <v>41240</v>
      </c>
      <c r="M1218" s="102" t="s">
        <v>3362</v>
      </c>
      <c r="N1218" s="102" t="s">
        <v>3363</v>
      </c>
      <c r="O1218" s="102" t="s">
        <v>383</v>
      </c>
      <c r="P1218" s="103">
        <v>1</v>
      </c>
      <c r="Q1218" s="105">
        <v>30000000</v>
      </c>
      <c r="R1218" s="103">
        <v>48</v>
      </c>
      <c r="S1218" s="105">
        <v>0</v>
      </c>
      <c r="T1218" s="105">
        <v>30000000</v>
      </c>
      <c r="U1218" s="105">
        <v>0</v>
      </c>
      <c r="V1218" s="105">
        <v>0</v>
      </c>
      <c r="W1218" s="105">
        <v>0</v>
      </c>
      <c r="X1218" s="105">
        <v>0</v>
      </c>
      <c r="Y1218" s="105">
        <v>0</v>
      </c>
      <c r="Z1218" s="105">
        <v>0</v>
      </c>
      <c r="AA1218" s="105">
        <v>0</v>
      </c>
      <c r="AB1218" s="105">
        <v>0</v>
      </c>
      <c r="AC1218" s="8">
        <f t="shared" si="126"/>
        <v>30000000</v>
      </c>
      <c r="AD1218" s="8">
        <f t="shared" si="127"/>
        <v>0</v>
      </c>
      <c r="AE1218" s="8">
        <f t="shared" si="128"/>
        <v>0</v>
      </c>
      <c r="AF1218" s="106">
        <f t="shared" si="129"/>
        <v>0</v>
      </c>
      <c r="AG1218" s="8">
        <f t="shared" si="130"/>
        <v>0</v>
      </c>
      <c r="AH1218" s="8">
        <f>IF($O1218="Aktif",MAX(0,MIN($AE1218,$AD1218-SUM($AG1218:AG1218))),0)</f>
        <v>0</v>
      </c>
      <c r="AI1218" s="8">
        <f>IF($O1218="Aktif",MAX(0,MIN($AE1218,$AD1218-SUM($AG1218:AH1218))),0)</f>
        <v>0</v>
      </c>
      <c r="AJ1218" s="8">
        <f>IF($O1218="Aktif",MAX(0,MIN($AE1218,$AD1218-SUM($AG1218:AI1218))),0)</f>
        <v>0</v>
      </c>
      <c r="AK1218" s="8">
        <f>IF($O1218="Aktif",MAX(0,MIN($AE1218,$AD1218-SUM($AG1218:AJ1218))),0)</f>
        <v>0</v>
      </c>
      <c r="AL1218" s="8">
        <f>IF($O1218="Aktif",MAX(0,MIN($AE1218,$AD1218-SUM($AG1218:AK1218))),0)</f>
        <v>0</v>
      </c>
      <c r="AM1218" s="8">
        <f>IF($O1218="Aktif",MAX(0,MIN($AE1218,$AD1218-SUM($AG1218:AL1218))),0)</f>
        <v>0</v>
      </c>
      <c r="AN1218" s="8">
        <f>IF($O1218="Aktif",MAX(0,MIN($AE1218,$AD1218-SUM($AG1218:AM1218))),0)</f>
        <v>0</v>
      </c>
      <c r="AO1218" s="8">
        <f>IF($O1218="Aktif",MAX(0,MIN($AE1218,$AD1218-SUM($AG1218:AN1218))),0)</f>
        <v>0</v>
      </c>
      <c r="AP1218" s="8">
        <f>IF($O1218="Aktif",MAX(0,MIN($AE1218,$AD1218-SUM($AG1218:AO1218))),0)</f>
        <v>0</v>
      </c>
      <c r="AQ1218" s="8">
        <f>IF($O1218="Aktif",MAX(0,MIN($AE1218,$AD1218-SUM($AG1218:AP1218))),0)</f>
        <v>0</v>
      </c>
      <c r="AR1218" s="8">
        <f>IF($O1218="Aktif",MAX(0,MIN($AE1218,$AD1218-SUM($AG1218:AQ1218))),0)</f>
        <v>0</v>
      </c>
      <c r="AS1218" s="8">
        <f>IF($O1218="Aktif",MAX(0,MIN($AE1218,$AD1218-SUM($AG1218:AR1218))),0)</f>
        <v>0</v>
      </c>
      <c r="AT1218" s="8">
        <f>IF($O1218="Aktif",MAX(0,MIN($AE1218,$AD1218-SUM($AG1218:AS1218))),0)</f>
        <v>0</v>
      </c>
      <c r="AU1218" s="8">
        <f>IF($O1218="Aktif",MAX(0,MIN($AE1218,$AD1218-SUM($AG1218:AT1218))),0)</f>
        <v>0</v>
      </c>
      <c r="AV1218" s="8">
        <f>IF($O1218="Aktif",MAX(0,MIN($AE1218,$AD1218-SUM($AG1218:AU1218))),0)</f>
        <v>0</v>
      </c>
      <c r="AW1218" s="8">
        <f t="shared" si="131"/>
        <v>0</v>
      </c>
      <c r="AX1218" s="8">
        <f t="shared" si="132"/>
        <v>0</v>
      </c>
    </row>
    <row r="1219" spans="1:50" ht="15" customHeight="1" x14ac:dyDescent="0.35">
      <c r="A1219" s="102">
        <v>1213</v>
      </c>
      <c r="B1219" s="102" t="s">
        <v>3343</v>
      </c>
      <c r="C1219" s="103">
        <v>20</v>
      </c>
      <c r="D1219" s="102" t="s">
        <v>186</v>
      </c>
      <c r="E1219" s="102" t="s">
        <v>0</v>
      </c>
      <c r="F1219" s="102" t="s">
        <v>3116</v>
      </c>
      <c r="G1219" s="102" t="s">
        <v>3117</v>
      </c>
      <c r="H1219" s="102" t="s">
        <v>3118</v>
      </c>
      <c r="I1219" s="102" t="s">
        <v>63</v>
      </c>
      <c r="J1219" s="102"/>
      <c r="K1219" s="102"/>
      <c r="L1219" s="104">
        <v>44179</v>
      </c>
      <c r="M1219" s="102" t="s">
        <v>3362</v>
      </c>
      <c r="N1219" s="102" t="s">
        <v>3364</v>
      </c>
      <c r="O1219" s="102" t="s">
        <v>487</v>
      </c>
      <c r="P1219" s="103">
        <v>1</v>
      </c>
      <c r="Q1219" s="105">
        <v>-30000000</v>
      </c>
      <c r="R1219" s="102"/>
      <c r="S1219" s="105">
        <v>0</v>
      </c>
      <c r="T1219" s="105">
        <v>-30000000</v>
      </c>
      <c r="U1219" s="105">
        <v>0</v>
      </c>
      <c r="V1219" s="105">
        <v>0</v>
      </c>
      <c r="W1219" s="105">
        <v>0</v>
      </c>
      <c r="X1219" s="105">
        <v>0</v>
      </c>
      <c r="Y1219" s="105">
        <v>0</v>
      </c>
      <c r="Z1219" s="105">
        <v>0</v>
      </c>
      <c r="AA1219" s="105">
        <v>0</v>
      </c>
      <c r="AB1219" s="105">
        <v>0</v>
      </c>
      <c r="AC1219" s="8">
        <f t="shared" si="126"/>
        <v>-30000000</v>
      </c>
      <c r="AD1219" s="8">
        <f t="shared" si="127"/>
        <v>0</v>
      </c>
      <c r="AE1219" s="8">
        <f t="shared" si="128"/>
        <v>0</v>
      </c>
      <c r="AF1219" s="106">
        <f t="shared" si="129"/>
        <v>0</v>
      </c>
      <c r="AG1219" s="8">
        <f t="shared" si="130"/>
        <v>0</v>
      </c>
      <c r="AH1219" s="8">
        <f>IF($O1219="Aktif",MAX(0,MIN($AE1219,$AD1219-SUM($AG1219:AG1219))),0)</f>
        <v>0</v>
      </c>
      <c r="AI1219" s="8">
        <f>IF($O1219="Aktif",MAX(0,MIN($AE1219,$AD1219-SUM($AG1219:AH1219))),0)</f>
        <v>0</v>
      </c>
      <c r="AJ1219" s="8">
        <f>IF($O1219="Aktif",MAX(0,MIN($AE1219,$AD1219-SUM($AG1219:AI1219))),0)</f>
        <v>0</v>
      </c>
      <c r="AK1219" s="8">
        <f>IF($O1219="Aktif",MAX(0,MIN($AE1219,$AD1219-SUM($AG1219:AJ1219))),0)</f>
        <v>0</v>
      </c>
      <c r="AL1219" s="8">
        <f>IF($O1219="Aktif",MAX(0,MIN($AE1219,$AD1219-SUM($AG1219:AK1219))),0)</f>
        <v>0</v>
      </c>
      <c r="AM1219" s="8">
        <f>IF($O1219="Aktif",MAX(0,MIN($AE1219,$AD1219-SUM($AG1219:AL1219))),0)</f>
        <v>0</v>
      </c>
      <c r="AN1219" s="8">
        <f>IF($O1219="Aktif",MAX(0,MIN($AE1219,$AD1219-SUM($AG1219:AM1219))),0)</f>
        <v>0</v>
      </c>
      <c r="AO1219" s="8">
        <f>IF($O1219="Aktif",MAX(0,MIN($AE1219,$AD1219-SUM($AG1219:AN1219))),0)</f>
        <v>0</v>
      </c>
      <c r="AP1219" s="8">
        <f>IF($O1219="Aktif",MAX(0,MIN($AE1219,$AD1219-SUM($AG1219:AO1219))),0)</f>
        <v>0</v>
      </c>
      <c r="AQ1219" s="8">
        <f>IF($O1219="Aktif",MAX(0,MIN($AE1219,$AD1219-SUM($AG1219:AP1219))),0)</f>
        <v>0</v>
      </c>
      <c r="AR1219" s="8">
        <f>IF($O1219="Aktif",MAX(0,MIN($AE1219,$AD1219-SUM($AG1219:AQ1219))),0)</f>
        <v>0</v>
      </c>
      <c r="AS1219" s="8">
        <f>IF($O1219="Aktif",MAX(0,MIN($AE1219,$AD1219-SUM($AG1219:AR1219))),0)</f>
        <v>0</v>
      </c>
      <c r="AT1219" s="8">
        <f>IF($O1219="Aktif",MAX(0,MIN($AE1219,$AD1219-SUM($AG1219:AS1219))),0)</f>
        <v>0</v>
      </c>
      <c r="AU1219" s="8">
        <f>IF($O1219="Aktif",MAX(0,MIN($AE1219,$AD1219-SUM($AG1219:AT1219))),0)</f>
        <v>0</v>
      </c>
      <c r="AV1219" s="8">
        <f>IF($O1219="Aktif",MAX(0,MIN($AE1219,$AD1219-SUM($AG1219:AU1219))),0)</f>
        <v>0</v>
      </c>
      <c r="AW1219" s="8">
        <f t="shared" si="131"/>
        <v>0</v>
      </c>
      <c r="AX1219" s="8">
        <f t="shared" si="132"/>
        <v>0</v>
      </c>
    </row>
    <row r="1220" spans="1:50" ht="15" customHeight="1" x14ac:dyDescent="0.35">
      <c r="A1220" s="102">
        <v>1214</v>
      </c>
      <c r="B1220" s="102" t="s">
        <v>3343</v>
      </c>
      <c r="C1220" s="103">
        <v>21</v>
      </c>
      <c r="D1220" s="102" t="s">
        <v>186</v>
      </c>
      <c r="E1220" s="102" t="s">
        <v>479</v>
      </c>
      <c r="F1220" s="102" t="s">
        <v>3116</v>
      </c>
      <c r="G1220" s="102" t="s">
        <v>3117</v>
      </c>
      <c r="H1220" s="102" t="s">
        <v>3118</v>
      </c>
      <c r="I1220" s="102" t="s">
        <v>63</v>
      </c>
      <c r="J1220" s="102" t="s">
        <v>3365</v>
      </c>
      <c r="K1220" s="102"/>
      <c r="L1220" s="104">
        <v>41971</v>
      </c>
      <c r="M1220" s="102" t="s">
        <v>3366</v>
      </c>
      <c r="N1220" s="102" t="s">
        <v>3367</v>
      </c>
      <c r="O1220" s="102" t="s">
        <v>383</v>
      </c>
      <c r="P1220" s="103">
        <v>1</v>
      </c>
      <c r="Q1220" s="105">
        <v>725000</v>
      </c>
      <c r="R1220" s="103">
        <v>48</v>
      </c>
      <c r="S1220" s="105">
        <v>0</v>
      </c>
      <c r="T1220" s="105">
        <v>725000</v>
      </c>
      <c r="U1220" s="105">
        <v>0</v>
      </c>
      <c r="V1220" s="105">
        <v>0</v>
      </c>
      <c r="W1220" s="105">
        <v>0</v>
      </c>
      <c r="X1220" s="105">
        <v>0</v>
      </c>
      <c r="Y1220" s="105">
        <v>0</v>
      </c>
      <c r="Z1220" s="105">
        <v>0</v>
      </c>
      <c r="AA1220" s="105">
        <v>0</v>
      </c>
      <c r="AB1220" s="105">
        <v>0</v>
      </c>
      <c r="AC1220" s="8">
        <f t="shared" si="126"/>
        <v>725000</v>
      </c>
      <c r="AD1220" s="8">
        <f t="shared" si="127"/>
        <v>0</v>
      </c>
      <c r="AE1220" s="8">
        <f t="shared" si="128"/>
        <v>0</v>
      </c>
      <c r="AF1220" s="106">
        <f t="shared" si="129"/>
        <v>0</v>
      </c>
      <c r="AG1220" s="8">
        <f t="shared" si="130"/>
        <v>0</v>
      </c>
      <c r="AH1220" s="8">
        <f>IF($O1220="Aktif",MAX(0,MIN($AE1220,$AD1220-SUM($AG1220:AG1220))),0)</f>
        <v>0</v>
      </c>
      <c r="AI1220" s="8">
        <f>IF($O1220="Aktif",MAX(0,MIN($AE1220,$AD1220-SUM($AG1220:AH1220))),0)</f>
        <v>0</v>
      </c>
      <c r="AJ1220" s="8">
        <f>IF($O1220="Aktif",MAX(0,MIN($AE1220,$AD1220-SUM($AG1220:AI1220))),0)</f>
        <v>0</v>
      </c>
      <c r="AK1220" s="8">
        <f>IF($O1220="Aktif",MAX(0,MIN($AE1220,$AD1220-SUM($AG1220:AJ1220))),0)</f>
        <v>0</v>
      </c>
      <c r="AL1220" s="8">
        <f>IF($O1220="Aktif",MAX(0,MIN($AE1220,$AD1220-SUM($AG1220:AK1220))),0)</f>
        <v>0</v>
      </c>
      <c r="AM1220" s="8">
        <f>IF($O1220="Aktif",MAX(0,MIN($AE1220,$AD1220-SUM($AG1220:AL1220))),0)</f>
        <v>0</v>
      </c>
      <c r="AN1220" s="8">
        <f>IF($O1220="Aktif",MAX(0,MIN($AE1220,$AD1220-SUM($AG1220:AM1220))),0)</f>
        <v>0</v>
      </c>
      <c r="AO1220" s="8">
        <f>IF($O1220="Aktif",MAX(0,MIN($AE1220,$AD1220-SUM($AG1220:AN1220))),0)</f>
        <v>0</v>
      </c>
      <c r="AP1220" s="8">
        <f>IF($O1220="Aktif",MAX(0,MIN($AE1220,$AD1220-SUM($AG1220:AO1220))),0)</f>
        <v>0</v>
      </c>
      <c r="AQ1220" s="8">
        <f>IF($O1220="Aktif",MAX(0,MIN($AE1220,$AD1220-SUM($AG1220:AP1220))),0)</f>
        <v>0</v>
      </c>
      <c r="AR1220" s="8">
        <f>IF($O1220="Aktif",MAX(0,MIN($AE1220,$AD1220-SUM($AG1220:AQ1220))),0)</f>
        <v>0</v>
      </c>
      <c r="AS1220" s="8">
        <f>IF($O1220="Aktif",MAX(0,MIN($AE1220,$AD1220-SUM($AG1220:AR1220))),0)</f>
        <v>0</v>
      </c>
      <c r="AT1220" s="8">
        <f>IF($O1220="Aktif",MAX(0,MIN($AE1220,$AD1220-SUM($AG1220:AS1220))),0)</f>
        <v>0</v>
      </c>
      <c r="AU1220" s="8">
        <f>IF($O1220="Aktif",MAX(0,MIN($AE1220,$AD1220-SUM($AG1220:AT1220))),0)</f>
        <v>0</v>
      </c>
      <c r="AV1220" s="8">
        <f>IF($O1220="Aktif",MAX(0,MIN($AE1220,$AD1220-SUM($AG1220:AU1220))),0)</f>
        <v>0</v>
      </c>
      <c r="AW1220" s="8">
        <f t="shared" si="131"/>
        <v>0</v>
      </c>
      <c r="AX1220" s="8">
        <f t="shared" si="132"/>
        <v>0</v>
      </c>
    </row>
    <row r="1221" spans="1:50" ht="15" customHeight="1" x14ac:dyDescent="0.35">
      <c r="A1221" s="102">
        <v>1215</v>
      </c>
      <c r="B1221" s="102" t="s">
        <v>3343</v>
      </c>
      <c r="C1221" s="103">
        <v>22</v>
      </c>
      <c r="D1221" s="102" t="s">
        <v>186</v>
      </c>
      <c r="E1221" s="102" t="s">
        <v>479</v>
      </c>
      <c r="F1221" s="102" t="s">
        <v>3116</v>
      </c>
      <c r="G1221" s="102" t="s">
        <v>3117</v>
      </c>
      <c r="H1221" s="102" t="s">
        <v>3118</v>
      </c>
      <c r="I1221" s="102" t="s">
        <v>63</v>
      </c>
      <c r="J1221" s="102" t="s">
        <v>3368</v>
      </c>
      <c r="K1221" s="102"/>
      <c r="L1221" s="104">
        <v>42063</v>
      </c>
      <c r="M1221" s="102" t="s">
        <v>3369</v>
      </c>
      <c r="N1221" s="102" t="s">
        <v>3370</v>
      </c>
      <c r="O1221" s="102" t="s">
        <v>383</v>
      </c>
      <c r="P1221" s="103">
        <v>1</v>
      </c>
      <c r="Q1221" s="105">
        <v>15000000</v>
      </c>
      <c r="R1221" s="103">
        <v>48</v>
      </c>
      <c r="S1221" s="105">
        <v>0</v>
      </c>
      <c r="T1221" s="105">
        <v>15000000</v>
      </c>
      <c r="U1221" s="105">
        <v>0</v>
      </c>
      <c r="V1221" s="105">
        <v>0</v>
      </c>
      <c r="W1221" s="105">
        <v>0</v>
      </c>
      <c r="X1221" s="105">
        <v>0</v>
      </c>
      <c r="Y1221" s="105">
        <v>0</v>
      </c>
      <c r="Z1221" s="105">
        <v>0</v>
      </c>
      <c r="AA1221" s="105">
        <v>0</v>
      </c>
      <c r="AB1221" s="105">
        <v>0</v>
      </c>
      <c r="AC1221" s="8">
        <f t="shared" si="126"/>
        <v>15000000</v>
      </c>
      <c r="AD1221" s="8">
        <f t="shared" si="127"/>
        <v>0</v>
      </c>
      <c r="AE1221" s="8">
        <f t="shared" si="128"/>
        <v>0</v>
      </c>
      <c r="AF1221" s="106">
        <f t="shared" si="129"/>
        <v>0</v>
      </c>
      <c r="AG1221" s="8">
        <f t="shared" si="130"/>
        <v>0</v>
      </c>
      <c r="AH1221" s="8">
        <f>IF($O1221="Aktif",MAX(0,MIN($AE1221,$AD1221-SUM($AG1221:AG1221))),0)</f>
        <v>0</v>
      </c>
      <c r="AI1221" s="8">
        <f>IF($O1221="Aktif",MAX(0,MIN($AE1221,$AD1221-SUM($AG1221:AH1221))),0)</f>
        <v>0</v>
      </c>
      <c r="AJ1221" s="8">
        <f>IF($O1221="Aktif",MAX(0,MIN($AE1221,$AD1221-SUM($AG1221:AI1221))),0)</f>
        <v>0</v>
      </c>
      <c r="AK1221" s="8">
        <f>IF($O1221="Aktif",MAX(0,MIN($AE1221,$AD1221-SUM($AG1221:AJ1221))),0)</f>
        <v>0</v>
      </c>
      <c r="AL1221" s="8">
        <f>IF($O1221="Aktif",MAX(0,MIN($AE1221,$AD1221-SUM($AG1221:AK1221))),0)</f>
        <v>0</v>
      </c>
      <c r="AM1221" s="8">
        <f>IF($O1221="Aktif",MAX(0,MIN($AE1221,$AD1221-SUM($AG1221:AL1221))),0)</f>
        <v>0</v>
      </c>
      <c r="AN1221" s="8">
        <f>IF($O1221="Aktif",MAX(0,MIN($AE1221,$AD1221-SUM($AG1221:AM1221))),0)</f>
        <v>0</v>
      </c>
      <c r="AO1221" s="8">
        <f>IF($O1221="Aktif",MAX(0,MIN($AE1221,$AD1221-SUM($AG1221:AN1221))),0)</f>
        <v>0</v>
      </c>
      <c r="AP1221" s="8">
        <f>IF($O1221="Aktif",MAX(0,MIN($AE1221,$AD1221-SUM($AG1221:AO1221))),0)</f>
        <v>0</v>
      </c>
      <c r="AQ1221" s="8">
        <f>IF($O1221="Aktif",MAX(0,MIN($AE1221,$AD1221-SUM($AG1221:AP1221))),0)</f>
        <v>0</v>
      </c>
      <c r="AR1221" s="8">
        <f>IF($O1221="Aktif",MAX(0,MIN($AE1221,$AD1221-SUM($AG1221:AQ1221))),0)</f>
        <v>0</v>
      </c>
      <c r="AS1221" s="8">
        <f>IF($O1221="Aktif",MAX(0,MIN($AE1221,$AD1221-SUM($AG1221:AR1221))),0)</f>
        <v>0</v>
      </c>
      <c r="AT1221" s="8">
        <f>IF($O1221="Aktif",MAX(0,MIN($AE1221,$AD1221-SUM($AG1221:AS1221))),0)</f>
        <v>0</v>
      </c>
      <c r="AU1221" s="8">
        <f>IF($O1221="Aktif",MAX(0,MIN($AE1221,$AD1221-SUM($AG1221:AT1221))),0)</f>
        <v>0</v>
      </c>
      <c r="AV1221" s="8">
        <f>IF($O1221="Aktif",MAX(0,MIN($AE1221,$AD1221-SUM($AG1221:AU1221))),0)</f>
        <v>0</v>
      </c>
      <c r="AW1221" s="8">
        <f t="shared" si="131"/>
        <v>0</v>
      </c>
      <c r="AX1221" s="8">
        <f t="shared" si="132"/>
        <v>0</v>
      </c>
    </row>
    <row r="1222" spans="1:50" ht="15" customHeight="1" x14ac:dyDescent="0.35">
      <c r="A1222" s="102">
        <v>1216</v>
      </c>
      <c r="B1222" s="102" t="s">
        <v>3343</v>
      </c>
      <c r="C1222" s="103">
        <v>23</v>
      </c>
      <c r="D1222" s="102" t="s">
        <v>186</v>
      </c>
      <c r="E1222" s="102" t="s">
        <v>479</v>
      </c>
      <c r="F1222" s="102" t="s">
        <v>3116</v>
      </c>
      <c r="G1222" s="102" t="s">
        <v>3117</v>
      </c>
      <c r="H1222" s="102" t="s">
        <v>3118</v>
      </c>
      <c r="I1222" s="102" t="s">
        <v>63</v>
      </c>
      <c r="J1222" s="102" t="s">
        <v>3371</v>
      </c>
      <c r="K1222" s="102"/>
      <c r="L1222" s="104">
        <v>42063</v>
      </c>
      <c r="M1222" s="102" t="s">
        <v>3372</v>
      </c>
      <c r="N1222" s="102" t="s">
        <v>3373</v>
      </c>
      <c r="O1222" s="102" t="s">
        <v>383</v>
      </c>
      <c r="P1222" s="103">
        <v>1</v>
      </c>
      <c r="Q1222" s="105">
        <v>30000000</v>
      </c>
      <c r="R1222" s="103">
        <v>48</v>
      </c>
      <c r="S1222" s="105">
        <v>0</v>
      </c>
      <c r="T1222" s="105">
        <v>30000000</v>
      </c>
      <c r="U1222" s="105">
        <v>0</v>
      </c>
      <c r="V1222" s="105">
        <v>0</v>
      </c>
      <c r="W1222" s="105">
        <v>0</v>
      </c>
      <c r="X1222" s="105">
        <v>0</v>
      </c>
      <c r="Y1222" s="105">
        <v>0</v>
      </c>
      <c r="Z1222" s="105">
        <v>0</v>
      </c>
      <c r="AA1222" s="105">
        <v>0</v>
      </c>
      <c r="AB1222" s="105">
        <v>0</v>
      </c>
      <c r="AC1222" s="8">
        <f t="shared" si="126"/>
        <v>30000000</v>
      </c>
      <c r="AD1222" s="8">
        <f t="shared" si="127"/>
        <v>0</v>
      </c>
      <c r="AE1222" s="8">
        <f t="shared" si="128"/>
        <v>0</v>
      </c>
      <c r="AF1222" s="106">
        <f t="shared" si="129"/>
        <v>0</v>
      </c>
      <c r="AG1222" s="8">
        <f t="shared" si="130"/>
        <v>0</v>
      </c>
      <c r="AH1222" s="8">
        <f>IF($O1222="Aktif",MAX(0,MIN($AE1222,$AD1222-SUM($AG1222:AG1222))),0)</f>
        <v>0</v>
      </c>
      <c r="AI1222" s="8">
        <f>IF($O1222="Aktif",MAX(0,MIN($AE1222,$AD1222-SUM($AG1222:AH1222))),0)</f>
        <v>0</v>
      </c>
      <c r="AJ1222" s="8">
        <f>IF($O1222="Aktif",MAX(0,MIN($AE1222,$AD1222-SUM($AG1222:AI1222))),0)</f>
        <v>0</v>
      </c>
      <c r="AK1222" s="8">
        <f>IF($O1222="Aktif",MAX(0,MIN($AE1222,$AD1222-SUM($AG1222:AJ1222))),0)</f>
        <v>0</v>
      </c>
      <c r="AL1222" s="8">
        <f>IF($O1222="Aktif",MAX(0,MIN($AE1222,$AD1222-SUM($AG1222:AK1222))),0)</f>
        <v>0</v>
      </c>
      <c r="AM1222" s="8">
        <f>IF($O1222="Aktif",MAX(0,MIN($AE1222,$AD1222-SUM($AG1222:AL1222))),0)</f>
        <v>0</v>
      </c>
      <c r="AN1222" s="8">
        <f>IF($O1222="Aktif",MAX(0,MIN($AE1222,$AD1222-SUM($AG1222:AM1222))),0)</f>
        <v>0</v>
      </c>
      <c r="AO1222" s="8">
        <f>IF($O1222="Aktif",MAX(0,MIN($AE1222,$AD1222-SUM($AG1222:AN1222))),0)</f>
        <v>0</v>
      </c>
      <c r="AP1222" s="8">
        <f>IF($O1222="Aktif",MAX(0,MIN($AE1222,$AD1222-SUM($AG1222:AO1222))),0)</f>
        <v>0</v>
      </c>
      <c r="AQ1222" s="8">
        <f>IF($O1222="Aktif",MAX(0,MIN($AE1222,$AD1222-SUM($AG1222:AP1222))),0)</f>
        <v>0</v>
      </c>
      <c r="AR1222" s="8">
        <f>IF($O1222="Aktif",MAX(0,MIN($AE1222,$AD1222-SUM($AG1222:AQ1222))),0)</f>
        <v>0</v>
      </c>
      <c r="AS1222" s="8">
        <f>IF($O1222="Aktif",MAX(0,MIN($AE1222,$AD1222-SUM($AG1222:AR1222))),0)</f>
        <v>0</v>
      </c>
      <c r="AT1222" s="8">
        <f>IF($O1222="Aktif",MAX(0,MIN($AE1222,$AD1222-SUM($AG1222:AS1222))),0)</f>
        <v>0</v>
      </c>
      <c r="AU1222" s="8">
        <f>IF($O1222="Aktif",MAX(0,MIN($AE1222,$AD1222-SUM($AG1222:AT1222))),0)</f>
        <v>0</v>
      </c>
      <c r="AV1222" s="8">
        <f>IF($O1222="Aktif",MAX(0,MIN($AE1222,$AD1222-SUM($AG1222:AU1222))),0)</f>
        <v>0</v>
      </c>
      <c r="AW1222" s="8">
        <f t="shared" si="131"/>
        <v>0</v>
      </c>
      <c r="AX1222" s="8">
        <f t="shared" si="132"/>
        <v>0</v>
      </c>
    </row>
    <row r="1223" spans="1:50" ht="15" customHeight="1" x14ac:dyDescent="0.35">
      <c r="A1223" s="102">
        <v>1217</v>
      </c>
      <c r="B1223" s="102" t="s">
        <v>3343</v>
      </c>
      <c r="C1223" s="103">
        <v>24</v>
      </c>
      <c r="D1223" s="102" t="s">
        <v>186</v>
      </c>
      <c r="E1223" s="102" t="s">
        <v>479</v>
      </c>
      <c r="F1223" s="102" t="s">
        <v>3116</v>
      </c>
      <c r="G1223" s="102" t="s">
        <v>3117</v>
      </c>
      <c r="H1223" s="102" t="s">
        <v>3118</v>
      </c>
      <c r="I1223" s="102" t="s">
        <v>63</v>
      </c>
      <c r="J1223" s="102" t="s">
        <v>3374</v>
      </c>
      <c r="K1223" s="102"/>
      <c r="L1223" s="104">
        <v>42063</v>
      </c>
      <c r="M1223" s="102" t="s">
        <v>3375</v>
      </c>
      <c r="N1223" s="102" t="s">
        <v>3376</v>
      </c>
      <c r="O1223" s="102" t="s">
        <v>383</v>
      </c>
      <c r="P1223" s="103">
        <v>1</v>
      </c>
      <c r="Q1223" s="105">
        <v>40000000</v>
      </c>
      <c r="R1223" s="103">
        <v>48</v>
      </c>
      <c r="S1223" s="105">
        <v>0</v>
      </c>
      <c r="T1223" s="105">
        <v>40000000</v>
      </c>
      <c r="U1223" s="105">
        <v>0</v>
      </c>
      <c r="V1223" s="105">
        <v>0</v>
      </c>
      <c r="W1223" s="105">
        <v>0</v>
      </c>
      <c r="X1223" s="105">
        <v>0</v>
      </c>
      <c r="Y1223" s="105">
        <v>0</v>
      </c>
      <c r="Z1223" s="105">
        <v>0</v>
      </c>
      <c r="AA1223" s="105">
        <v>0</v>
      </c>
      <c r="AB1223" s="105">
        <v>0</v>
      </c>
      <c r="AC1223" s="8">
        <f t="shared" ref="AC1223:AC1286" si="133">T1223+SUM(U1223:AB1223)</f>
        <v>40000000</v>
      </c>
      <c r="AD1223" s="8">
        <f t="shared" ref="AD1223:AD1286" si="134">Q1223-AC1223</f>
        <v>0</v>
      </c>
      <c r="AE1223" s="8">
        <f t="shared" ref="AE1223:AE1286" si="135">IF(O1223="Aktif",AB1223,0)</f>
        <v>0</v>
      </c>
      <c r="AF1223" s="106">
        <f t="shared" ref="AF1223:AF1286" si="136">IF(AE1223&gt;0,MAX(0,AD1223)/AE1223,0)</f>
        <v>0</v>
      </c>
      <c r="AG1223" s="8">
        <f t="shared" ref="AG1223:AG1286" si="137">IF($O1223="Aktif",MAX(0,MIN($AE1223,$AD1223-0)),0)</f>
        <v>0</v>
      </c>
      <c r="AH1223" s="8">
        <f>IF($O1223="Aktif",MAX(0,MIN($AE1223,$AD1223-SUM($AG1223:AG1223))),0)</f>
        <v>0</v>
      </c>
      <c r="AI1223" s="8">
        <f>IF($O1223="Aktif",MAX(0,MIN($AE1223,$AD1223-SUM($AG1223:AH1223))),0)</f>
        <v>0</v>
      </c>
      <c r="AJ1223" s="8">
        <f>IF($O1223="Aktif",MAX(0,MIN($AE1223,$AD1223-SUM($AG1223:AI1223))),0)</f>
        <v>0</v>
      </c>
      <c r="AK1223" s="8">
        <f>IF($O1223="Aktif",MAX(0,MIN($AE1223,$AD1223-SUM($AG1223:AJ1223))),0)</f>
        <v>0</v>
      </c>
      <c r="AL1223" s="8">
        <f>IF($O1223="Aktif",MAX(0,MIN($AE1223,$AD1223-SUM($AG1223:AK1223))),0)</f>
        <v>0</v>
      </c>
      <c r="AM1223" s="8">
        <f>IF($O1223="Aktif",MAX(0,MIN($AE1223,$AD1223-SUM($AG1223:AL1223))),0)</f>
        <v>0</v>
      </c>
      <c r="AN1223" s="8">
        <f>IF($O1223="Aktif",MAX(0,MIN($AE1223,$AD1223-SUM($AG1223:AM1223))),0)</f>
        <v>0</v>
      </c>
      <c r="AO1223" s="8">
        <f>IF($O1223="Aktif",MAX(0,MIN($AE1223,$AD1223-SUM($AG1223:AN1223))),0)</f>
        <v>0</v>
      </c>
      <c r="AP1223" s="8">
        <f>IF($O1223="Aktif",MAX(0,MIN($AE1223,$AD1223-SUM($AG1223:AO1223))),0)</f>
        <v>0</v>
      </c>
      <c r="AQ1223" s="8">
        <f>IF($O1223="Aktif",MAX(0,MIN($AE1223,$AD1223-SUM($AG1223:AP1223))),0)</f>
        <v>0</v>
      </c>
      <c r="AR1223" s="8">
        <f>IF($O1223="Aktif",MAX(0,MIN($AE1223,$AD1223-SUM($AG1223:AQ1223))),0)</f>
        <v>0</v>
      </c>
      <c r="AS1223" s="8">
        <f>IF($O1223="Aktif",MAX(0,MIN($AE1223,$AD1223-SUM($AG1223:AR1223))),0)</f>
        <v>0</v>
      </c>
      <c r="AT1223" s="8">
        <f>IF($O1223="Aktif",MAX(0,MIN($AE1223,$AD1223-SUM($AG1223:AS1223))),0)</f>
        <v>0</v>
      </c>
      <c r="AU1223" s="8">
        <f>IF($O1223="Aktif",MAX(0,MIN($AE1223,$AD1223-SUM($AG1223:AT1223))),0)</f>
        <v>0</v>
      </c>
      <c r="AV1223" s="8">
        <f>IF($O1223="Aktif",MAX(0,MIN($AE1223,$AD1223-SUM($AG1223:AU1223))),0)</f>
        <v>0</v>
      </c>
      <c r="AW1223" s="8">
        <f t="shared" ref="AW1223:AW1286" si="138">SUM(AG1223:AV1223)</f>
        <v>0</v>
      </c>
      <c r="AX1223" s="8">
        <f t="shared" ref="AX1223:AX1286" si="139">AD1223-AW1223</f>
        <v>0</v>
      </c>
    </row>
    <row r="1224" spans="1:50" ht="15" customHeight="1" x14ac:dyDescent="0.35">
      <c r="A1224" s="102">
        <v>1218</v>
      </c>
      <c r="B1224" s="102" t="s">
        <v>3343</v>
      </c>
      <c r="C1224" s="103">
        <v>25</v>
      </c>
      <c r="D1224" s="102" t="s">
        <v>186</v>
      </c>
      <c r="E1224" s="102" t="s">
        <v>479</v>
      </c>
      <c r="F1224" s="102" t="s">
        <v>3116</v>
      </c>
      <c r="G1224" s="102" t="s">
        <v>3117</v>
      </c>
      <c r="H1224" s="102" t="s">
        <v>3118</v>
      </c>
      <c r="I1224" s="102" t="s">
        <v>63</v>
      </c>
      <c r="J1224" s="102" t="s">
        <v>3377</v>
      </c>
      <c r="K1224" s="102"/>
      <c r="L1224" s="104">
        <v>42094</v>
      </c>
      <c r="M1224" s="102" t="s">
        <v>3378</v>
      </c>
      <c r="N1224" s="102" t="s">
        <v>3379</v>
      </c>
      <c r="O1224" s="102" t="s">
        <v>383</v>
      </c>
      <c r="P1224" s="103">
        <v>1</v>
      </c>
      <c r="Q1224" s="105">
        <v>17000000</v>
      </c>
      <c r="R1224" s="103">
        <v>48</v>
      </c>
      <c r="S1224" s="105">
        <v>0</v>
      </c>
      <c r="T1224" s="105">
        <v>17000000</v>
      </c>
      <c r="U1224" s="105">
        <v>0</v>
      </c>
      <c r="V1224" s="105">
        <v>0</v>
      </c>
      <c r="W1224" s="105">
        <v>0</v>
      </c>
      <c r="X1224" s="105">
        <v>0</v>
      </c>
      <c r="Y1224" s="105">
        <v>0</v>
      </c>
      <c r="Z1224" s="105">
        <v>0</v>
      </c>
      <c r="AA1224" s="105">
        <v>0</v>
      </c>
      <c r="AB1224" s="105">
        <v>0</v>
      </c>
      <c r="AC1224" s="8">
        <f t="shared" si="133"/>
        <v>17000000</v>
      </c>
      <c r="AD1224" s="8">
        <f t="shared" si="134"/>
        <v>0</v>
      </c>
      <c r="AE1224" s="8">
        <f t="shared" si="135"/>
        <v>0</v>
      </c>
      <c r="AF1224" s="106">
        <f t="shared" si="136"/>
        <v>0</v>
      </c>
      <c r="AG1224" s="8">
        <f t="shared" si="137"/>
        <v>0</v>
      </c>
      <c r="AH1224" s="8">
        <f>IF($O1224="Aktif",MAX(0,MIN($AE1224,$AD1224-SUM($AG1224:AG1224))),0)</f>
        <v>0</v>
      </c>
      <c r="AI1224" s="8">
        <f>IF($O1224="Aktif",MAX(0,MIN($AE1224,$AD1224-SUM($AG1224:AH1224))),0)</f>
        <v>0</v>
      </c>
      <c r="AJ1224" s="8">
        <f>IF($O1224="Aktif",MAX(0,MIN($AE1224,$AD1224-SUM($AG1224:AI1224))),0)</f>
        <v>0</v>
      </c>
      <c r="AK1224" s="8">
        <f>IF($O1224="Aktif",MAX(0,MIN($AE1224,$AD1224-SUM($AG1224:AJ1224))),0)</f>
        <v>0</v>
      </c>
      <c r="AL1224" s="8">
        <f>IF($O1224="Aktif",MAX(0,MIN($AE1224,$AD1224-SUM($AG1224:AK1224))),0)</f>
        <v>0</v>
      </c>
      <c r="AM1224" s="8">
        <f>IF($O1224="Aktif",MAX(0,MIN($AE1224,$AD1224-SUM($AG1224:AL1224))),0)</f>
        <v>0</v>
      </c>
      <c r="AN1224" s="8">
        <f>IF($O1224="Aktif",MAX(0,MIN($AE1224,$AD1224-SUM($AG1224:AM1224))),0)</f>
        <v>0</v>
      </c>
      <c r="AO1224" s="8">
        <f>IF($O1224="Aktif",MAX(0,MIN($AE1224,$AD1224-SUM($AG1224:AN1224))),0)</f>
        <v>0</v>
      </c>
      <c r="AP1224" s="8">
        <f>IF($O1224="Aktif",MAX(0,MIN($AE1224,$AD1224-SUM($AG1224:AO1224))),0)</f>
        <v>0</v>
      </c>
      <c r="AQ1224" s="8">
        <f>IF($O1224="Aktif",MAX(0,MIN($AE1224,$AD1224-SUM($AG1224:AP1224))),0)</f>
        <v>0</v>
      </c>
      <c r="AR1224" s="8">
        <f>IF($O1224="Aktif",MAX(0,MIN($AE1224,$AD1224-SUM($AG1224:AQ1224))),0)</f>
        <v>0</v>
      </c>
      <c r="AS1224" s="8">
        <f>IF($O1224="Aktif",MAX(0,MIN($AE1224,$AD1224-SUM($AG1224:AR1224))),0)</f>
        <v>0</v>
      </c>
      <c r="AT1224" s="8">
        <f>IF($O1224="Aktif",MAX(0,MIN($AE1224,$AD1224-SUM($AG1224:AS1224))),0)</f>
        <v>0</v>
      </c>
      <c r="AU1224" s="8">
        <f>IF($O1224="Aktif",MAX(0,MIN($AE1224,$AD1224-SUM($AG1224:AT1224))),0)</f>
        <v>0</v>
      </c>
      <c r="AV1224" s="8">
        <f>IF($O1224="Aktif",MAX(0,MIN($AE1224,$AD1224-SUM($AG1224:AU1224))),0)</f>
        <v>0</v>
      </c>
      <c r="AW1224" s="8">
        <f t="shared" si="138"/>
        <v>0</v>
      </c>
      <c r="AX1224" s="8">
        <f t="shared" si="139"/>
        <v>0</v>
      </c>
    </row>
    <row r="1225" spans="1:50" ht="15" customHeight="1" x14ac:dyDescent="0.35">
      <c r="A1225" s="102">
        <v>1219</v>
      </c>
      <c r="B1225" s="102" t="s">
        <v>3343</v>
      </c>
      <c r="C1225" s="103">
        <v>26</v>
      </c>
      <c r="D1225" s="102" t="s">
        <v>186</v>
      </c>
      <c r="E1225" s="102" t="s">
        <v>479</v>
      </c>
      <c r="F1225" s="102" t="s">
        <v>3116</v>
      </c>
      <c r="G1225" s="102" t="s">
        <v>3117</v>
      </c>
      <c r="H1225" s="102" t="s">
        <v>3118</v>
      </c>
      <c r="I1225" s="102" t="s">
        <v>63</v>
      </c>
      <c r="J1225" s="102" t="s">
        <v>3380</v>
      </c>
      <c r="K1225" s="102"/>
      <c r="L1225" s="104">
        <v>42094</v>
      </c>
      <c r="M1225" s="102" t="s">
        <v>3381</v>
      </c>
      <c r="N1225" s="102" t="s">
        <v>3382</v>
      </c>
      <c r="O1225" s="102" t="s">
        <v>383</v>
      </c>
      <c r="P1225" s="103">
        <v>1</v>
      </c>
      <c r="Q1225" s="105">
        <v>437000000</v>
      </c>
      <c r="R1225" s="103">
        <v>48</v>
      </c>
      <c r="S1225" s="105">
        <v>0</v>
      </c>
      <c r="T1225" s="105">
        <v>437000000</v>
      </c>
      <c r="U1225" s="105">
        <v>0</v>
      </c>
      <c r="V1225" s="105">
        <v>0</v>
      </c>
      <c r="W1225" s="105">
        <v>0</v>
      </c>
      <c r="X1225" s="105">
        <v>0</v>
      </c>
      <c r="Y1225" s="105">
        <v>0</v>
      </c>
      <c r="Z1225" s="105">
        <v>0</v>
      </c>
      <c r="AA1225" s="105">
        <v>0</v>
      </c>
      <c r="AB1225" s="105">
        <v>0</v>
      </c>
      <c r="AC1225" s="8">
        <f t="shared" si="133"/>
        <v>437000000</v>
      </c>
      <c r="AD1225" s="8">
        <f t="shared" si="134"/>
        <v>0</v>
      </c>
      <c r="AE1225" s="8">
        <f t="shared" si="135"/>
        <v>0</v>
      </c>
      <c r="AF1225" s="106">
        <f t="shared" si="136"/>
        <v>0</v>
      </c>
      <c r="AG1225" s="8">
        <f t="shared" si="137"/>
        <v>0</v>
      </c>
      <c r="AH1225" s="8">
        <f>IF($O1225="Aktif",MAX(0,MIN($AE1225,$AD1225-SUM($AG1225:AG1225))),0)</f>
        <v>0</v>
      </c>
      <c r="AI1225" s="8">
        <f>IF($O1225="Aktif",MAX(0,MIN($AE1225,$AD1225-SUM($AG1225:AH1225))),0)</f>
        <v>0</v>
      </c>
      <c r="AJ1225" s="8">
        <f>IF($O1225="Aktif",MAX(0,MIN($AE1225,$AD1225-SUM($AG1225:AI1225))),0)</f>
        <v>0</v>
      </c>
      <c r="AK1225" s="8">
        <f>IF($O1225="Aktif",MAX(0,MIN($AE1225,$AD1225-SUM($AG1225:AJ1225))),0)</f>
        <v>0</v>
      </c>
      <c r="AL1225" s="8">
        <f>IF($O1225="Aktif",MAX(0,MIN($AE1225,$AD1225-SUM($AG1225:AK1225))),0)</f>
        <v>0</v>
      </c>
      <c r="AM1225" s="8">
        <f>IF($O1225="Aktif",MAX(0,MIN($AE1225,$AD1225-SUM($AG1225:AL1225))),0)</f>
        <v>0</v>
      </c>
      <c r="AN1225" s="8">
        <f>IF($O1225="Aktif",MAX(0,MIN($AE1225,$AD1225-SUM($AG1225:AM1225))),0)</f>
        <v>0</v>
      </c>
      <c r="AO1225" s="8">
        <f>IF($O1225="Aktif",MAX(0,MIN($AE1225,$AD1225-SUM($AG1225:AN1225))),0)</f>
        <v>0</v>
      </c>
      <c r="AP1225" s="8">
        <f>IF($O1225="Aktif",MAX(0,MIN($AE1225,$AD1225-SUM($AG1225:AO1225))),0)</f>
        <v>0</v>
      </c>
      <c r="AQ1225" s="8">
        <f>IF($O1225="Aktif",MAX(0,MIN($AE1225,$AD1225-SUM($AG1225:AP1225))),0)</f>
        <v>0</v>
      </c>
      <c r="AR1225" s="8">
        <f>IF($O1225="Aktif",MAX(0,MIN($AE1225,$AD1225-SUM($AG1225:AQ1225))),0)</f>
        <v>0</v>
      </c>
      <c r="AS1225" s="8">
        <f>IF($O1225="Aktif",MAX(0,MIN($AE1225,$AD1225-SUM($AG1225:AR1225))),0)</f>
        <v>0</v>
      </c>
      <c r="AT1225" s="8">
        <f>IF($O1225="Aktif",MAX(0,MIN($AE1225,$AD1225-SUM($AG1225:AS1225))),0)</f>
        <v>0</v>
      </c>
      <c r="AU1225" s="8">
        <f>IF($O1225="Aktif",MAX(0,MIN($AE1225,$AD1225-SUM($AG1225:AT1225))),0)</f>
        <v>0</v>
      </c>
      <c r="AV1225" s="8">
        <f>IF($O1225="Aktif",MAX(0,MIN($AE1225,$AD1225-SUM($AG1225:AU1225))),0)</f>
        <v>0</v>
      </c>
      <c r="AW1225" s="8">
        <f t="shared" si="138"/>
        <v>0</v>
      </c>
      <c r="AX1225" s="8">
        <f t="shared" si="139"/>
        <v>0</v>
      </c>
    </row>
    <row r="1226" spans="1:50" ht="15" customHeight="1" x14ac:dyDescent="0.35">
      <c r="A1226" s="102">
        <v>1220</v>
      </c>
      <c r="B1226" s="102" t="s">
        <v>3343</v>
      </c>
      <c r="C1226" s="103">
        <v>27</v>
      </c>
      <c r="D1226" s="102" t="s">
        <v>186</v>
      </c>
      <c r="E1226" s="102" t="s">
        <v>479</v>
      </c>
      <c r="F1226" s="102" t="s">
        <v>3116</v>
      </c>
      <c r="G1226" s="102" t="s">
        <v>3117</v>
      </c>
      <c r="H1226" s="102" t="s">
        <v>3118</v>
      </c>
      <c r="I1226" s="102" t="s">
        <v>63</v>
      </c>
      <c r="J1226" s="102" t="s">
        <v>3383</v>
      </c>
      <c r="K1226" s="102"/>
      <c r="L1226" s="104">
        <v>42174</v>
      </c>
      <c r="M1226" s="102" t="s">
        <v>3384</v>
      </c>
      <c r="N1226" s="102" t="s">
        <v>3385</v>
      </c>
      <c r="O1226" s="102" t="s">
        <v>383</v>
      </c>
      <c r="P1226" s="103">
        <v>1</v>
      </c>
      <c r="Q1226" s="105">
        <v>4500000</v>
      </c>
      <c r="R1226" s="103">
        <v>48</v>
      </c>
      <c r="S1226" s="105">
        <v>0</v>
      </c>
      <c r="T1226" s="105">
        <v>4500000</v>
      </c>
      <c r="U1226" s="105">
        <v>0</v>
      </c>
      <c r="V1226" s="105">
        <v>0</v>
      </c>
      <c r="W1226" s="105">
        <v>0</v>
      </c>
      <c r="X1226" s="105">
        <v>0</v>
      </c>
      <c r="Y1226" s="105">
        <v>0</v>
      </c>
      <c r="Z1226" s="105">
        <v>0</v>
      </c>
      <c r="AA1226" s="105">
        <v>0</v>
      </c>
      <c r="AB1226" s="105">
        <v>0</v>
      </c>
      <c r="AC1226" s="8">
        <f t="shared" si="133"/>
        <v>4500000</v>
      </c>
      <c r="AD1226" s="8">
        <f t="shared" si="134"/>
        <v>0</v>
      </c>
      <c r="AE1226" s="8">
        <f t="shared" si="135"/>
        <v>0</v>
      </c>
      <c r="AF1226" s="106">
        <f t="shared" si="136"/>
        <v>0</v>
      </c>
      <c r="AG1226" s="8">
        <f t="shared" si="137"/>
        <v>0</v>
      </c>
      <c r="AH1226" s="8">
        <f>IF($O1226="Aktif",MAX(0,MIN($AE1226,$AD1226-SUM($AG1226:AG1226))),0)</f>
        <v>0</v>
      </c>
      <c r="AI1226" s="8">
        <f>IF($O1226="Aktif",MAX(0,MIN($AE1226,$AD1226-SUM($AG1226:AH1226))),0)</f>
        <v>0</v>
      </c>
      <c r="AJ1226" s="8">
        <f>IF($O1226="Aktif",MAX(0,MIN($AE1226,$AD1226-SUM($AG1226:AI1226))),0)</f>
        <v>0</v>
      </c>
      <c r="AK1226" s="8">
        <f>IF($O1226="Aktif",MAX(0,MIN($AE1226,$AD1226-SUM($AG1226:AJ1226))),0)</f>
        <v>0</v>
      </c>
      <c r="AL1226" s="8">
        <f>IF($O1226="Aktif",MAX(0,MIN($AE1226,$AD1226-SUM($AG1226:AK1226))),0)</f>
        <v>0</v>
      </c>
      <c r="AM1226" s="8">
        <f>IF($O1226="Aktif",MAX(0,MIN($AE1226,$AD1226-SUM($AG1226:AL1226))),0)</f>
        <v>0</v>
      </c>
      <c r="AN1226" s="8">
        <f>IF($O1226="Aktif",MAX(0,MIN($AE1226,$AD1226-SUM($AG1226:AM1226))),0)</f>
        <v>0</v>
      </c>
      <c r="AO1226" s="8">
        <f>IF($O1226="Aktif",MAX(0,MIN($AE1226,$AD1226-SUM($AG1226:AN1226))),0)</f>
        <v>0</v>
      </c>
      <c r="AP1226" s="8">
        <f>IF($O1226="Aktif",MAX(0,MIN($AE1226,$AD1226-SUM($AG1226:AO1226))),0)</f>
        <v>0</v>
      </c>
      <c r="AQ1226" s="8">
        <f>IF($O1226="Aktif",MAX(0,MIN($AE1226,$AD1226-SUM($AG1226:AP1226))),0)</f>
        <v>0</v>
      </c>
      <c r="AR1226" s="8">
        <f>IF($O1226="Aktif",MAX(0,MIN($AE1226,$AD1226-SUM($AG1226:AQ1226))),0)</f>
        <v>0</v>
      </c>
      <c r="AS1226" s="8">
        <f>IF($O1226="Aktif",MAX(0,MIN($AE1226,$AD1226-SUM($AG1226:AR1226))),0)</f>
        <v>0</v>
      </c>
      <c r="AT1226" s="8">
        <f>IF($O1226="Aktif",MAX(0,MIN($AE1226,$AD1226-SUM($AG1226:AS1226))),0)</f>
        <v>0</v>
      </c>
      <c r="AU1226" s="8">
        <f>IF($O1226="Aktif",MAX(0,MIN($AE1226,$AD1226-SUM($AG1226:AT1226))),0)</f>
        <v>0</v>
      </c>
      <c r="AV1226" s="8">
        <f>IF($O1226="Aktif",MAX(0,MIN($AE1226,$AD1226-SUM($AG1226:AU1226))),0)</f>
        <v>0</v>
      </c>
      <c r="AW1226" s="8">
        <f t="shared" si="138"/>
        <v>0</v>
      </c>
      <c r="AX1226" s="8">
        <f t="shared" si="139"/>
        <v>0</v>
      </c>
    </row>
    <row r="1227" spans="1:50" ht="15" customHeight="1" x14ac:dyDescent="0.35">
      <c r="A1227" s="102">
        <v>1221</v>
      </c>
      <c r="B1227" s="102" t="s">
        <v>3343</v>
      </c>
      <c r="C1227" s="103">
        <v>28</v>
      </c>
      <c r="D1227" s="102" t="s">
        <v>186</v>
      </c>
      <c r="E1227" s="102" t="s">
        <v>479</v>
      </c>
      <c r="F1227" s="102" t="s">
        <v>3116</v>
      </c>
      <c r="G1227" s="102" t="s">
        <v>3117</v>
      </c>
      <c r="H1227" s="102" t="s">
        <v>3118</v>
      </c>
      <c r="I1227" s="102" t="s">
        <v>63</v>
      </c>
      <c r="J1227" s="102" t="s">
        <v>3386</v>
      </c>
      <c r="K1227" s="102"/>
      <c r="L1227" s="104">
        <v>42460</v>
      </c>
      <c r="M1227" s="102" t="s">
        <v>3387</v>
      </c>
      <c r="N1227" s="102" t="s">
        <v>3388</v>
      </c>
      <c r="O1227" s="102" t="s">
        <v>383</v>
      </c>
      <c r="P1227" s="103">
        <v>1</v>
      </c>
      <c r="Q1227" s="105">
        <v>70000000</v>
      </c>
      <c r="R1227" s="103">
        <v>48</v>
      </c>
      <c r="S1227" s="105">
        <v>1458333.33333333</v>
      </c>
      <c r="T1227" s="105">
        <v>70000000</v>
      </c>
      <c r="U1227" s="105">
        <v>0</v>
      </c>
      <c r="V1227" s="105">
        <v>0</v>
      </c>
      <c r="W1227" s="105">
        <v>0</v>
      </c>
      <c r="X1227" s="105">
        <v>0</v>
      </c>
      <c r="Y1227" s="105">
        <v>0</v>
      </c>
      <c r="Z1227" s="105">
        <v>0</v>
      </c>
      <c r="AA1227" s="105">
        <v>0</v>
      </c>
      <c r="AB1227" s="105">
        <v>0</v>
      </c>
      <c r="AC1227" s="8">
        <f t="shared" si="133"/>
        <v>70000000</v>
      </c>
      <c r="AD1227" s="8">
        <f t="shared" si="134"/>
        <v>0</v>
      </c>
      <c r="AE1227" s="8">
        <f t="shared" si="135"/>
        <v>0</v>
      </c>
      <c r="AF1227" s="106">
        <f t="shared" si="136"/>
        <v>0</v>
      </c>
      <c r="AG1227" s="8">
        <f t="shared" si="137"/>
        <v>0</v>
      </c>
      <c r="AH1227" s="8">
        <f>IF($O1227="Aktif",MAX(0,MIN($AE1227,$AD1227-SUM($AG1227:AG1227))),0)</f>
        <v>0</v>
      </c>
      <c r="AI1227" s="8">
        <f>IF($O1227="Aktif",MAX(0,MIN($AE1227,$AD1227-SUM($AG1227:AH1227))),0)</f>
        <v>0</v>
      </c>
      <c r="AJ1227" s="8">
        <f>IF($O1227="Aktif",MAX(0,MIN($AE1227,$AD1227-SUM($AG1227:AI1227))),0)</f>
        <v>0</v>
      </c>
      <c r="AK1227" s="8">
        <f>IF($O1227="Aktif",MAX(0,MIN($AE1227,$AD1227-SUM($AG1227:AJ1227))),0)</f>
        <v>0</v>
      </c>
      <c r="AL1227" s="8">
        <f>IF($O1227="Aktif",MAX(0,MIN($AE1227,$AD1227-SUM($AG1227:AK1227))),0)</f>
        <v>0</v>
      </c>
      <c r="AM1227" s="8">
        <f>IF($O1227="Aktif",MAX(0,MIN($AE1227,$AD1227-SUM($AG1227:AL1227))),0)</f>
        <v>0</v>
      </c>
      <c r="AN1227" s="8">
        <f>IF($O1227="Aktif",MAX(0,MIN($AE1227,$AD1227-SUM($AG1227:AM1227))),0)</f>
        <v>0</v>
      </c>
      <c r="AO1227" s="8">
        <f>IF($O1227="Aktif",MAX(0,MIN($AE1227,$AD1227-SUM($AG1227:AN1227))),0)</f>
        <v>0</v>
      </c>
      <c r="AP1227" s="8">
        <f>IF($O1227="Aktif",MAX(0,MIN($AE1227,$AD1227-SUM($AG1227:AO1227))),0)</f>
        <v>0</v>
      </c>
      <c r="AQ1227" s="8">
        <f>IF($O1227="Aktif",MAX(0,MIN($AE1227,$AD1227-SUM($AG1227:AP1227))),0)</f>
        <v>0</v>
      </c>
      <c r="AR1227" s="8">
        <f>IF($O1227="Aktif",MAX(0,MIN($AE1227,$AD1227-SUM($AG1227:AQ1227))),0)</f>
        <v>0</v>
      </c>
      <c r="AS1227" s="8">
        <f>IF($O1227="Aktif",MAX(0,MIN($AE1227,$AD1227-SUM($AG1227:AR1227))),0)</f>
        <v>0</v>
      </c>
      <c r="AT1227" s="8">
        <f>IF($O1227="Aktif",MAX(0,MIN($AE1227,$AD1227-SUM($AG1227:AS1227))),0)</f>
        <v>0</v>
      </c>
      <c r="AU1227" s="8">
        <f>IF($O1227="Aktif",MAX(0,MIN($AE1227,$AD1227-SUM($AG1227:AT1227))),0)</f>
        <v>0</v>
      </c>
      <c r="AV1227" s="8">
        <f>IF($O1227="Aktif",MAX(0,MIN($AE1227,$AD1227-SUM($AG1227:AU1227))),0)</f>
        <v>0</v>
      </c>
      <c r="AW1227" s="8">
        <f t="shared" si="138"/>
        <v>0</v>
      </c>
      <c r="AX1227" s="8">
        <f t="shared" si="139"/>
        <v>0</v>
      </c>
    </row>
    <row r="1228" spans="1:50" ht="15" customHeight="1" x14ac:dyDescent="0.35">
      <c r="A1228" s="102">
        <v>1222</v>
      </c>
      <c r="B1228" s="102" t="s">
        <v>3343</v>
      </c>
      <c r="C1228" s="103">
        <v>29</v>
      </c>
      <c r="D1228" s="102" t="s">
        <v>186</v>
      </c>
      <c r="E1228" s="102" t="s">
        <v>479</v>
      </c>
      <c r="F1228" s="102" t="s">
        <v>3116</v>
      </c>
      <c r="G1228" s="102" t="s">
        <v>3117</v>
      </c>
      <c r="H1228" s="102" t="s">
        <v>3118</v>
      </c>
      <c r="I1228" s="102" t="s">
        <v>63</v>
      </c>
      <c r="J1228" s="102" t="s">
        <v>3389</v>
      </c>
      <c r="K1228" s="102"/>
      <c r="L1228" s="104">
        <v>42460</v>
      </c>
      <c r="M1228" s="102" t="s">
        <v>3390</v>
      </c>
      <c r="N1228" s="102" t="s">
        <v>3391</v>
      </c>
      <c r="O1228" s="102" t="s">
        <v>383</v>
      </c>
      <c r="P1228" s="103">
        <v>1</v>
      </c>
      <c r="Q1228" s="105">
        <v>40000000</v>
      </c>
      <c r="R1228" s="103">
        <v>48</v>
      </c>
      <c r="S1228" s="105">
        <v>833333.33333333302</v>
      </c>
      <c r="T1228" s="105">
        <v>40000000</v>
      </c>
      <c r="U1228" s="105">
        <v>0</v>
      </c>
      <c r="V1228" s="105">
        <v>0</v>
      </c>
      <c r="W1228" s="105">
        <v>0</v>
      </c>
      <c r="X1228" s="105">
        <v>0</v>
      </c>
      <c r="Y1228" s="105">
        <v>0</v>
      </c>
      <c r="Z1228" s="105">
        <v>0</v>
      </c>
      <c r="AA1228" s="105">
        <v>0</v>
      </c>
      <c r="AB1228" s="105">
        <v>0</v>
      </c>
      <c r="AC1228" s="8">
        <f t="shared" si="133"/>
        <v>40000000</v>
      </c>
      <c r="AD1228" s="8">
        <f t="shared" si="134"/>
        <v>0</v>
      </c>
      <c r="AE1228" s="8">
        <f t="shared" si="135"/>
        <v>0</v>
      </c>
      <c r="AF1228" s="106">
        <f t="shared" si="136"/>
        <v>0</v>
      </c>
      <c r="AG1228" s="8">
        <f t="shared" si="137"/>
        <v>0</v>
      </c>
      <c r="AH1228" s="8">
        <f>IF($O1228="Aktif",MAX(0,MIN($AE1228,$AD1228-SUM($AG1228:AG1228))),0)</f>
        <v>0</v>
      </c>
      <c r="AI1228" s="8">
        <f>IF($O1228="Aktif",MAX(0,MIN($AE1228,$AD1228-SUM($AG1228:AH1228))),0)</f>
        <v>0</v>
      </c>
      <c r="AJ1228" s="8">
        <f>IF($O1228="Aktif",MAX(0,MIN($AE1228,$AD1228-SUM($AG1228:AI1228))),0)</f>
        <v>0</v>
      </c>
      <c r="AK1228" s="8">
        <f>IF($O1228="Aktif",MAX(0,MIN($AE1228,$AD1228-SUM($AG1228:AJ1228))),0)</f>
        <v>0</v>
      </c>
      <c r="AL1228" s="8">
        <f>IF($O1228="Aktif",MAX(0,MIN($AE1228,$AD1228-SUM($AG1228:AK1228))),0)</f>
        <v>0</v>
      </c>
      <c r="AM1228" s="8">
        <f>IF($O1228="Aktif",MAX(0,MIN($AE1228,$AD1228-SUM($AG1228:AL1228))),0)</f>
        <v>0</v>
      </c>
      <c r="AN1228" s="8">
        <f>IF($O1228="Aktif",MAX(0,MIN($AE1228,$AD1228-SUM($AG1228:AM1228))),0)</f>
        <v>0</v>
      </c>
      <c r="AO1228" s="8">
        <f>IF($O1228="Aktif",MAX(0,MIN($AE1228,$AD1228-SUM($AG1228:AN1228))),0)</f>
        <v>0</v>
      </c>
      <c r="AP1228" s="8">
        <f>IF($O1228="Aktif",MAX(0,MIN($AE1228,$AD1228-SUM($AG1228:AO1228))),0)</f>
        <v>0</v>
      </c>
      <c r="AQ1228" s="8">
        <f>IF($O1228="Aktif",MAX(0,MIN($AE1228,$AD1228-SUM($AG1228:AP1228))),0)</f>
        <v>0</v>
      </c>
      <c r="AR1228" s="8">
        <f>IF($O1228="Aktif",MAX(0,MIN($AE1228,$AD1228-SUM($AG1228:AQ1228))),0)</f>
        <v>0</v>
      </c>
      <c r="AS1228" s="8">
        <f>IF($O1228="Aktif",MAX(0,MIN($AE1228,$AD1228-SUM($AG1228:AR1228))),0)</f>
        <v>0</v>
      </c>
      <c r="AT1228" s="8">
        <f>IF($O1228="Aktif",MAX(0,MIN($AE1228,$AD1228-SUM($AG1228:AS1228))),0)</f>
        <v>0</v>
      </c>
      <c r="AU1228" s="8">
        <f>IF($O1228="Aktif",MAX(0,MIN($AE1228,$AD1228-SUM($AG1228:AT1228))),0)</f>
        <v>0</v>
      </c>
      <c r="AV1228" s="8">
        <f>IF($O1228="Aktif",MAX(0,MIN($AE1228,$AD1228-SUM($AG1228:AU1228))),0)</f>
        <v>0</v>
      </c>
      <c r="AW1228" s="8">
        <f t="shared" si="138"/>
        <v>0</v>
      </c>
      <c r="AX1228" s="8">
        <f t="shared" si="139"/>
        <v>0</v>
      </c>
    </row>
    <row r="1229" spans="1:50" ht="15" customHeight="1" x14ac:dyDescent="0.35">
      <c r="A1229" s="102">
        <v>1223</v>
      </c>
      <c r="B1229" s="102" t="s">
        <v>3343</v>
      </c>
      <c r="C1229" s="103">
        <v>30</v>
      </c>
      <c r="D1229" s="102" t="s">
        <v>186</v>
      </c>
      <c r="E1229" s="102" t="s">
        <v>479</v>
      </c>
      <c r="F1229" s="102" t="s">
        <v>3116</v>
      </c>
      <c r="G1229" s="102" t="s">
        <v>3117</v>
      </c>
      <c r="H1229" s="102" t="s">
        <v>3118</v>
      </c>
      <c r="I1229" s="102" t="s">
        <v>63</v>
      </c>
      <c r="J1229" s="102" t="s">
        <v>3392</v>
      </c>
      <c r="K1229" s="102"/>
      <c r="L1229" s="104">
        <v>42478</v>
      </c>
      <c r="M1229" s="102" t="s">
        <v>3393</v>
      </c>
      <c r="N1229" s="102" t="s">
        <v>3394</v>
      </c>
      <c r="O1229" s="102" t="s">
        <v>383</v>
      </c>
      <c r="P1229" s="103">
        <v>1</v>
      </c>
      <c r="Q1229" s="105">
        <v>5000000</v>
      </c>
      <c r="R1229" s="103">
        <v>48</v>
      </c>
      <c r="S1229" s="105">
        <v>104166.66666666701</v>
      </c>
      <c r="T1229" s="105">
        <v>5000000</v>
      </c>
      <c r="U1229" s="105">
        <v>0</v>
      </c>
      <c r="V1229" s="105">
        <v>0</v>
      </c>
      <c r="W1229" s="105">
        <v>0</v>
      </c>
      <c r="X1229" s="105">
        <v>0</v>
      </c>
      <c r="Y1229" s="105">
        <v>0</v>
      </c>
      <c r="Z1229" s="105">
        <v>0</v>
      </c>
      <c r="AA1229" s="105">
        <v>0</v>
      </c>
      <c r="AB1229" s="105">
        <v>0</v>
      </c>
      <c r="AC1229" s="8">
        <f t="shared" si="133"/>
        <v>5000000</v>
      </c>
      <c r="AD1229" s="8">
        <f t="shared" si="134"/>
        <v>0</v>
      </c>
      <c r="AE1229" s="8">
        <f t="shared" si="135"/>
        <v>0</v>
      </c>
      <c r="AF1229" s="106">
        <f t="shared" si="136"/>
        <v>0</v>
      </c>
      <c r="AG1229" s="8">
        <f t="shared" si="137"/>
        <v>0</v>
      </c>
      <c r="AH1229" s="8">
        <f>IF($O1229="Aktif",MAX(0,MIN($AE1229,$AD1229-SUM($AG1229:AG1229))),0)</f>
        <v>0</v>
      </c>
      <c r="AI1229" s="8">
        <f>IF($O1229="Aktif",MAX(0,MIN($AE1229,$AD1229-SUM($AG1229:AH1229))),0)</f>
        <v>0</v>
      </c>
      <c r="AJ1229" s="8">
        <f>IF($O1229="Aktif",MAX(0,MIN($AE1229,$AD1229-SUM($AG1229:AI1229))),0)</f>
        <v>0</v>
      </c>
      <c r="AK1229" s="8">
        <f>IF($O1229="Aktif",MAX(0,MIN($AE1229,$AD1229-SUM($AG1229:AJ1229))),0)</f>
        <v>0</v>
      </c>
      <c r="AL1229" s="8">
        <f>IF($O1229="Aktif",MAX(0,MIN($AE1229,$AD1229-SUM($AG1229:AK1229))),0)</f>
        <v>0</v>
      </c>
      <c r="AM1229" s="8">
        <f>IF($O1229="Aktif",MAX(0,MIN($AE1229,$AD1229-SUM($AG1229:AL1229))),0)</f>
        <v>0</v>
      </c>
      <c r="AN1229" s="8">
        <f>IF($O1229="Aktif",MAX(0,MIN($AE1229,$AD1229-SUM($AG1229:AM1229))),0)</f>
        <v>0</v>
      </c>
      <c r="AO1229" s="8">
        <f>IF($O1229="Aktif",MAX(0,MIN($AE1229,$AD1229-SUM($AG1229:AN1229))),0)</f>
        <v>0</v>
      </c>
      <c r="AP1229" s="8">
        <f>IF($O1229="Aktif",MAX(0,MIN($AE1229,$AD1229-SUM($AG1229:AO1229))),0)</f>
        <v>0</v>
      </c>
      <c r="AQ1229" s="8">
        <f>IF($O1229="Aktif",MAX(0,MIN($AE1229,$AD1229-SUM($AG1229:AP1229))),0)</f>
        <v>0</v>
      </c>
      <c r="AR1229" s="8">
        <f>IF($O1229="Aktif",MAX(0,MIN($AE1229,$AD1229-SUM($AG1229:AQ1229))),0)</f>
        <v>0</v>
      </c>
      <c r="AS1229" s="8">
        <f>IF($O1229="Aktif",MAX(0,MIN($AE1229,$AD1229-SUM($AG1229:AR1229))),0)</f>
        <v>0</v>
      </c>
      <c r="AT1229" s="8">
        <f>IF($O1229="Aktif",MAX(0,MIN($AE1229,$AD1229-SUM($AG1229:AS1229))),0)</f>
        <v>0</v>
      </c>
      <c r="AU1229" s="8">
        <f>IF($O1229="Aktif",MAX(0,MIN($AE1229,$AD1229-SUM($AG1229:AT1229))),0)</f>
        <v>0</v>
      </c>
      <c r="AV1229" s="8">
        <f>IF($O1229="Aktif",MAX(0,MIN($AE1229,$AD1229-SUM($AG1229:AU1229))),0)</f>
        <v>0</v>
      </c>
      <c r="AW1229" s="8">
        <f t="shared" si="138"/>
        <v>0</v>
      </c>
      <c r="AX1229" s="8">
        <f t="shared" si="139"/>
        <v>0</v>
      </c>
    </row>
    <row r="1230" spans="1:50" ht="15" customHeight="1" x14ac:dyDescent="0.35">
      <c r="A1230" s="102">
        <v>1224</v>
      </c>
      <c r="B1230" s="102" t="s">
        <v>3343</v>
      </c>
      <c r="C1230" s="103">
        <v>31</v>
      </c>
      <c r="D1230" s="102" t="s">
        <v>186</v>
      </c>
      <c r="E1230" s="102" t="s">
        <v>479</v>
      </c>
      <c r="F1230" s="102" t="s">
        <v>3116</v>
      </c>
      <c r="G1230" s="102" t="s">
        <v>3117</v>
      </c>
      <c r="H1230" s="102" t="s">
        <v>3118</v>
      </c>
      <c r="I1230" s="102" t="s">
        <v>63</v>
      </c>
      <c r="J1230" s="102" t="s">
        <v>3395</v>
      </c>
      <c r="K1230" s="102"/>
      <c r="L1230" s="104">
        <v>42490</v>
      </c>
      <c r="M1230" s="102" t="s">
        <v>3396</v>
      </c>
      <c r="N1230" s="102" t="s">
        <v>3397</v>
      </c>
      <c r="O1230" s="102" t="s">
        <v>383</v>
      </c>
      <c r="P1230" s="103">
        <v>1</v>
      </c>
      <c r="Q1230" s="105">
        <v>73000000</v>
      </c>
      <c r="R1230" s="103">
        <v>48</v>
      </c>
      <c r="S1230" s="105">
        <v>1520833.33333333</v>
      </c>
      <c r="T1230" s="105">
        <v>73000000</v>
      </c>
      <c r="U1230" s="105">
        <v>0</v>
      </c>
      <c r="V1230" s="105">
        <v>0</v>
      </c>
      <c r="W1230" s="105">
        <v>0</v>
      </c>
      <c r="X1230" s="105">
        <v>0</v>
      </c>
      <c r="Y1230" s="105">
        <v>0</v>
      </c>
      <c r="Z1230" s="105">
        <v>0</v>
      </c>
      <c r="AA1230" s="105">
        <v>0</v>
      </c>
      <c r="AB1230" s="105">
        <v>0</v>
      </c>
      <c r="AC1230" s="8">
        <f t="shared" si="133"/>
        <v>73000000</v>
      </c>
      <c r="AD1230" s="8">
        <f t="shared" si="134"/>
        <v>0</v>
      </c>
      <c r="AE1230" s="8">
        <f t="shared" si="135"/>
        <v>0</v>
      </c>
      <c r="AF1230" s="106">
        <f t="shared" si="136"/>
        <v>0</v>
      </c>
      <c r="AG1230" s="8">
        <f t="shared" si="137"/>
        <v>0</v>
      </c>
      <c r="AH1230" s="8">
        <f>IF($O1230="Aktif",MAX(0,MIN($AE1230,$AD1230-SUM($AG1230:AG1230))),0)</f>
        <v>0</v>
      </c>
      <c r="AI1230" s="8">
        <f>IF($O1230="Aktif",MAX(0,MIN($AE1230,$AD1230-SUM($AG1230:AH1230))),0)</f>
        <v>0</v>
      </c>
      <c r="AJ1230" s="8">
        <f>IF($O1230="Aktif",MAX(0,MIN($AE1230,$AD1230-SUM($AG1230:AI1230))),0)</f>
        <v>0</v>
      </c>
      <c r="AK1230" s="8">
        <f>IF($O1230="Aktif",MAX(0,MIN($AE1230,$AD1230-SUM($AG1230:AJ1230))),0)</f>
        <v>0</v>
      </c>
      <c r="AL1230" s="8">
        <f>IF($O1230="Aktif",MAX(0,MIN($AE1230,$AD1230-SUM($AG1230:AK1230))),0)</f>
        <v>0</v>
      </c>
      <c r="AM1230" s="8">
        <f>IF($O1230="Aktif",MAX(0,MIN($AE1230,$AD1230-SUM($AG1230:AL1230))),0)</f>
        <v>0</v>
      </c>
      <c r="AN1230" s="8">
        <f>IF($O1230="Aktif",MAX(0,MIN($AE1230,$AD1230-SUM($AG1230:AM1230))),0)</f>
        <v>0</v>
      </c>
      <c r="AO1230" s="8">
        <f>IF($O1230="Aktif",MAX(0,MIN($AE1230,$AD1230-SUM($AG1230:AN1230))),0)</f>
        <v>0</v>
      </c>
      <c r="AP1230" s="8">
        <f>IF($O1230="Aktif",MAX(0,MIN($AE1230,$AD1230-SUM($AG1230:AO1230))),0)</f>
        <v>0</v>
      </c>
      <c r="AQ1230" s="8">
        <f>IF($O1230="Aktif",MAX(0,MIN($AE1230,$AD1230-SUM($AG1230:AP1230))),0)</f>
        <v>0</v>
      </c>
      <c r="AR1230" s="8">
        <f>IF($O1230="Aktif",MAX(0,MIN($AE1230,$AD1230-SUM($AG1230:AQ1230))),0)</f>
        <v>0</v>
      </c>
      <c r="AS1230" s="8">
        <f>IF($O1230="Aktif",MAX(0,MIN($AE1230,$AD1230-SUM($AG1230:AR1230))),0)</f>
        <v>0</v>
      </c>
      <c r="AT1230" s="8">
        <f>IF($O1230="Aktif",MAX(0,MIN($AE1230,$AD1230-SUM($AG1230:AS1230))),0)</f>
        <v>0</v>
      </c>
      <c r="AU1230" s="8">
        <f>IF($O1230="Aktif",MAX(0,MIN($AE1230,$AD1230-SUM($AG1230:AT1230))),0)</f>
        <v>0</v>
      </c>
      <c r="AV1230" s="8">
        <f>IF($O1230="Aktif",MAX(0,MIN($AE1230,$AD1230-SUM($AG1230:AU1230))),0)</f>
        <v>0</v>
      </c>
      <c r="AW1230" s="8">
        <f t="shared" si="138"/>
        <v>0</v>
      </c>
      <c r="AX1230" s="8">
        <f t="shared" si="139"/>
        <v>0</v>
      </c>
    </row>
    <row r="1231" spans="1:50" ht="15" customHeight="1" x14ac:dyDescent="0.35">
      <c r="A1231" s="102">
        <v>1225</v>
      </c>
      <c r="B1231" s="102" t="s">
        <v>3343</v>
      </c>
      <c r="C1231" s="103">
        <v>32</v>
      </c>
      <c r="D1231" s="102" t="s">
        <v>186</v>
      </c>
      <c r="E1231" s="102" t="s">
        <v>479</v>
      </c>
      <c r="F1231" s="102" t="s">
        <v>3116</v>
      </c>
      <c r="G1231" s="102" t="s">
        <v>3117</v>
      </c>
      <c r="H1231" s="102" t="s">
        <v>3118</v>
      </c>
      <c r="I1231" s="102" t="s">
        <v>63</v>
      </c>
      <c r="J1231" s="102" t="s">
        <v>3398</v>
      </c>
      <c r="K1231" s="102"/>
      <c r="L1231" s="104">
        <v>42521</v>
      </c>
      <c r="M1231" s="102" t="s">
        <v>3399</v>
      </c>
      <c r="N1231" s="102" t="s">
        <v>3400</v>
      </c>
      <c r="O1231" s="102" t="s">
        <v>383</v>
      </c>
      <c r="P1231" s="103">
        <v>1</v>
      </c>
      <c r="Q1231" s="105">
        <v>34125000</v>
      </c>
      <c r="R1231" s="103">
        <v>48</v>
      </c>
      <c r="S1231" s="105">
        <v>710937.5</v>
      </c>
      <c r="T1231" s="105">
        <v>34125000</v>
      </c>
      <c r="U1231" s="105">
        <v>0</v>
      </c>
      <c r="V1231" s="105">
        <v>0</v>
      </c>
      <c r="W1231" s="105">
        <v>0</v>
      </c>
      <c r="X1231" s="105">
        <v>0</v>
      </c>
      <c r="Y1231" s="105">
        <v>0</v>
      </c>
      <c r="Z1231" s="105">
        <v>0</v>
      </c>
      <c r="AA1231" s="105">
        <v>0</v>
      </c>
      <c r="AB1231" s="105">
        <v>0</v>
      </c>
      <c r="AC1231" s="8">
        <f t="shared" si="133"/>
        <v>34125000</v>
      </c>
      <c r="AD1231" s="8">
        <f t="shared" si="134"/>
        <v>0</v>
      </c>
      <c r="AE1231" s="8">
        <f t="shared" si="135"/>
        <v>0</v>
      </c>
      <c r="AF1231" s="106">
        <f t="shared" si="136"/>
        <v>0</v>
      </c>
      <c r="AG1231" s="8">
        <f t="shared" si="137"/>
        <v>0</v>
      </c>
      <c r="AH1231" s="8">
        <f>IF($O1231="Aktif",MAX(0,MIN($AE1231,$AD1231-SUM($AG1231:AG1231))),0)</f>
        <v>0</v>
      </c>
      <c r="AI1231" s="8">
        <f>IF($O1231="Aktif",MAX(0,MIN($AE1231,$AD1231-SUM($AG1231:AH1231))),0)</f>
        <v>0</v>
      </c>
      <c r="AJ1231" s="8">
        <f>IF($O1231="Aktif",MAX(0,MIN($AE1231,$AD1231-SUM($AG1231:AI1231))),0)</f>
        <v>0</v>
      </c>
      <c r="AK1231" s="8">
        <f>IF($O1231="Aktif",MAX(0,MIN($AE1231,$AD1231-SUM($AG1231:AJ1231))),0)</f>
        <v>0</v>
      </c>
      <c r="AL1231" s="8">
        <f>IF($O1231="Aktif",MAX(0,MIN($AE1231,$AD1231-SUM($AG1231:AK1231))),0)</f>
        <v>0</v>
      </c>
      <c r="AM1231" s="8">
        <f>IF($O1231="Aktif",MAX(0,MIN($AE1231,$AD1231-SUM($AG1231:AL1231))),0)</f>
        <v>0</v>
      </c>
      <c r="AN1231" s="8">
        <f>IF($O1231="Aktif",MAX(0,MIN($AE1231,$AD1231-SUM($AG1231:AM1231))),0)</f>
        <v>0</v>
      </c>
      <c r="AO1231" s="8">
        <f>IF($O1231="Aktif",MAX(0,MIN($AE1231,$AD1231-SUM($AG1231:AN1231))),0)</f>
        <v>0</v>
      </c>
      <c r="AP1231" s="8">
        <f>IF($O1231="Aktif",MAX(0,MIN($AE1231,$AD1231-SUM($AG1231:AO1231))),0)</f>
        <v>0</v>
      </c>
      <c r="AQ1231" s="8">
        <f>IF($O1231="Aktif",MAX(0,MIN($AE1231,$AD1231-SUM($AG1231:AP1231))),0)</f>
        <v>0</v>
      </c>
      <c r="AR1231" s="8">
        <f>IF($O1231="Aktif",MAX(0,MIN($AE1231,$AD1231-SUM($AG1231:AQ1231))),0)</f>
        <v>0</v>
      </c>
      <c r="AS1231" s="8">
        <f>IF($O1231="Aktif",MAX(0,MIN($AE1231,$AD1231-SUM($AG1231:AR1231))),0)</f>
        <v>0</v>
      </c>
      <c r="AT1231" s="8">
        <f>IF($O1231="Aktif",MAX(0,MIN($AE1231,$AD1231-SUM($AG1231:AS1231))),0)</f>
        <v>0</v>
      </c>
      <c r="AU1231" s="8">
        <f>IF($O1231="Aktif",MAX(0,MIN($AE1231,$AD1231-SUM($AG1231:AT1231))),0)</f>
        <v>0</v>
      </c>
      <c r="AV1231" s="8">
        <f>IF($O1231="Aktif",MAX(0,MIN($AE1231,$AD1231-SUM($AG1231:AU1231))),0)</f>
        <v>0</v>
      </c>
      <c r="AW1231" s="8">
        <f t="shared" si="138"/>
        <v>0</v>
      </c>
      <c r="AX1231" s="8">
        <f t="shared" si="139"/>
        <v>0</v>
      </c>
    </row>
    <row r="1232" spans="1:50" ht="15" customHeight="1" x14ac:dyDescent="0.35">
      <c r="A1232" s="102">
        <v>1226</v>
      </c>
      <c r="B1232" s="102" t="s">
        <v>3343</v>
      </c>
      <c r="C1232" s="103">
        <v>33</v>
      </c>
      <c r="D1232" s="102" t="s">
        <v>186</v>
      </c>
      <c r="E1232" s="102" t="s">
        <v>479</v>
      </c>
      <c r="F1232" s="102" t="s">
        <v>3116</v>
      </c>
      <c r="G1232" s="102" t="s">
        <v>3117</v>
      </c>
      <c r="H1232" s="102" t="s">
        <v>3118</v>
      </c>
      <c r="I1232" s="102" t="s">
        <v>63</v>
      </c>
      <c r="J1232" s="102" t="s">
        <v>3401</v>
      </c>
      <c r="K1232" s="102"/>
      <c r="L1232" s="104">
        <v>42534</v>
      </c>
      <c r="M1232" s="102" t="s">
        <v>3402</v>
      </c>
      <c r="N1232" s="102" t="s">
        <v>3403</v>
      </c>
      <c r="O1232" s="102" t="s">
        <v>383</v>
      </c>
      <c r="P1232" s="103">
        <v>1</v>
      </c>
      <c r="Q1232" s="105">
        <v>5200000</v>
      </c>
      <c r="R1232" s="103">
        <v>48</v>
      </c>
      <c r="S1232" s="105">
        <v>108333.33333333299</v>
      </c>
      <c r="T1232" s="105">
        <v>5200000</v>
      </c>
      <c r="U1232" s="105">
        <v>0</v>
      </c>
      <c r="V1232" s="105">
        <v>0</v>
      </c>
      <c r="W1232" s="105">
        <v>0</v>
      </c>
      <c r="X1232" s="105">
        <v>0</v>
      </c>
      <c r="Y1232" s="105">
        <v>0</v>
      </c>
      <c r="Z1232" s="105">
        <v>0</v>
      </c>
      <c r="AA1232" s="105">
        <v>0</v>
      </c>
      <c r="AB1232" s="105">
        <v>0</v>
      </c>
      <c r="AC1232" s="8">
        <f t="shared" si="133"/>
        <v>5200000</v>
      </c>
      <c r="AD1232" s="8">
        <f t="shared" si="134"/>
        <v>0</v>
      </c>
      <c r="AE1232" s="8">
        <f t="shared" si="135"/>
        <v>0</v>
      </c>
      <c r="AF1232" s="106">
        <f t="shared" si="136"/>
        <v>0</v>
      </c>
      <c r="AG1232" s="8">
        <f t="shared" si="137"/>
        <v>0</v>
      </c>
      <c r="AH1232" s="8">
        <f>IF($O1232="Aktif",MAX(0,MIN($AE1232,$AD1232-SUM($AG1232:AG1232))),0)</f>
        <v>0</v>
      </c>
      <c r="AI1232" s="8">
        <f>IF($O1232="Aktif",MAX(0,MIN($AE1232,$AD1232-SUM($AG1232:AH1232))),0)</f>
        <v>0</v>
      </c>
      <c r="AJ1232" s="8">
        <f>IF($O1232="Aktif",MAX(0,MIN($AE1232,$AD1232-SUM($AG1232:AI1232))),0)</f>
        <v>0</v>
      </c>
      <c r="AK1232" s="8">
        <f>IF($O1232="Aktif",MAX(0,MIN($AE1232,$AD1232-SUM($AG1232:AJ1232))),0)</f>
        <v>0</v>
      </c>
      <c r="AL1232" s="8">
        <f>IF($O1232="Aktif",MAX(0,MIN($AE1232,$AD1232-SUM($AG1232:AK1232))),0)</f>
        <v>0</v>
      </c>
      <c r="AM1232" s="8">
        <f>IF($O1232="Aktif",MAX(0,MIN($AE1232,$AD1232-SUM($AG1232:AL1232))),0)</f>
        <v>0</v>
      </c>
      <c r="AN1232" s="8">
        <f>IF($O1232="Aktif",MAX(0,MIN($AE1232,$AD1232-SUM($AG1232:AM1232))),0)</f>
        <v>0</v>
      </c>
      <c r="AO1232" s="8">
        <f>IF($O1232="Aktif",MAX(0,MIN($AE1232,$AD1232-SUM($AG1232:AN1232))),0)</f>
        <v>0</v>
      </c>
      <c r="AP1232" s="8">
        <f>IF($O1232="Aktif",MAX(0,MIN($AE1232,$AD1232-SUM($AG1232:AO1232))),0)</f>
        <v>0</v>
      </c>
      <c r="AQ1232" s="8">
        <f>IF($O1232="Aktif",MAX(0,MIN($AE1232,$AD1232-SUM($AG1232:AP1232))),0)</f>
        <v>0</v>
      </c>
      <c r="AR1232" s="8">
        <f>IF($O1232="Aktif",MAX(0,MIN($AE1232,$AD1232-SUM($AG1232:AQ1232))),0)</f>
        <v>0</v>
      </c>
      <c r="AS1232" s="8">
        <f>IF($O1232="Aktif",MAX(0,MIN($AE1232,$AD1232-SUM($AG1232:AR1232))),0)</f>
        <v>0</v>
      </c>
      <c r="AT1232" s="8">
        <f>IF($O1232="Aktif",MAX(0,MIN($AE1232,$AD1232-SUM($AG1232:AS1232))),0)</f>
        <v>0</v>
      </c>
      <c r="AU1232" s="8">
        <f>IF($O1232="Aktif",MAX(0,MIN($AE1232,$AD1232-SUM($AG1232:AT1232))),0)</f>
        <v>0</v>
      </c>
      <c r="AV1232" s="8">
        <f>IF($O1232="Aktif",MAX(0,MIN($AE1232,$AD1232-SUM($AG1232:AU1232))),0)</f>
        <v>0</v>
      </c>
      <c r="AW1232" s="8">
        <f t="shared" si="138"/>
        <v>0</v>
      </c>
      <c r="AX1232" s="8">
        <f t="shared" si="139"/>
        <v>0</v>
      </c>
    </row>
    <row r="1233" spans="1:50" ht="15" customHeight="1" x14ac:dyDescent="0.35">
      <c r="A1233" s="102">
        <v>1227</v>
      </c>
      <c r="B1233" s="102" t="s">
        <v>3343</v>
      </c>
      <c r="C1233" s="103">
        <v>34</v>
      </c>
      <c r="D1233" s="102" t="s">
        <v>186</v>
      </c>
      <c r="E1233" s="102" t="s">
        <v>479</v>
      </c>
      <c r="F1233" s="102" t="s">
        <v>3116</v>
      </c>
      <c r="G1233" s="102" t="s">
        <v>3117</v>
      </c>
      <c r="H1233" s="102" t="s">
        <v>3118</v>
      </c>
      <c r="I1233" s="102" t="s">
        <v>63</v>
      </c>
      <c r="J1233" s="102" t="s">
        <v>3404</v>
      </c>
      <c r="K1233" s="102"/>
      <c r="L1233" s="104">
        <v>42551</v>
      </c>
      <c r="M1233" s="102" t="s">
        <v>3405</v>
      </c>
      <c r="N1233" s="102" t="s">
        <v>3406</v>
      </c>
      <c r="O1233" s="102" t="s">
        <v>383</v>
      </c>
      <c r="P1233" s="103">
        <v>1</v>
      </c>
      <c r="Q1233" s="105">
        <v>73000000</v>
      </c>
      <c r="R1233" s="103">
        <v>48</v>
      </c>
      <c r="S1233" s="105">
        <v>1520833.33333333</v>
      </c>
      <c r="T1233" s="105">
        <v>73000000</v>
      </c>
      <c r="U1233" s="105">
        <v>0</v>
      </c>
      <c r="V1233" s="105">
        <v>0</v>
      </c>
      <c r="W1233" s="105">
        <v>0</v>
      </c>
      <c r="X1233" s="105">
        <v>0</v>
      </c>
      <c r="Y1233" s="105">
        <v>0</v>
      </c>
      <c r="Z1233" s="105">
        <v>0</v>
      </c>
      <c r="AA1233" s="105">
        <v>0</v>
      </c>
      <c r="AB1233" s="105">
        <v>0</v>
      </c>
      <c r="AC1233" s="8">
        <f t="shared" si="133"/>
        <v>73000000</v>
      </c>
      <c r="AD1233" s="8">
        <f t="shared" si="134"/>
        <v>0</v>
      </c>
      <c r="AE1233" s="8">
        <f t="shared" si="135"/>
        <v>0</v>
      </c>
      <c r="AF1233" s="106">
        <f t="shared" si="136"/>
        <v>0</v>
      </c>
      <c r="AG1233" s="8">
        <f t="shared" si="137"/>
        <v>0</v>
      </c>
      <c r="AH1233" s="8">
        <f>IF($O1233="Aktif",MAX(0,MIN($AE1233,$AD1233-SUM($AG1233:AG1233))),0)</f>
        <v>0</v>
      </c>
      <c r="AI1233" s="8">
        <f>IF($O1233="Aktif",MAX(0,MIN($AE1233,$AD1233-SUM($AG1233:AH1233))),0)</f>
        <v>0</v>
      </c>
      <c r="AJ1233" s="8">
        <f>IF($O1233="Aktif",MAX(0,MIN($AE1233,$AD1233-SUM($AG1233:AI1233))),0)</f>
        <v>0</v>
      </c>
      <c r="AK1233" s="8">
        <f>IF($O1233="Aktif",MAX(0,MIN($AE1233,$AD1233-SUM($AG1233:AJ1233))),0)</f>
        <v>0</v>
      </c>
      <c r="AL1233" s="8">
        <f>IF($O1233="Aktif",MAX(0,MIN($AE1233,$AD1233-SUM($AG1233:AK1233))),0)</f>
        <v>0</v>
      </c>
      <c r="AM1233" s="8">
        <f>IF($O1233="Aktif",MAX(0,MIN($AE1233,$AD1233-SUM($AG1233:AL1233))),0)</f>
        <v>0</v>
      </c>
      <c r="AN1233" s="8">
        <f>IF($O1233="Aktif",MAX(0,MIN($AE1233,$AD1233-SUM($AG1233:AM1233))),0)</f>
        <v>0</v>
      </c>
      <c r="AO1233" s="8">
        <f>IF($O1233="Aktif",MAX(0,MIN($AE1233,$AD1233-SUM($AG1233:AN1233))),0)</f>
        <v>0</v>
      </c>
      <c r="AP1233" s="8">
        <f>IF($O1233="Aktif",MAX(0,MIN($AE1233,$AD1233-SUM($AG1233:AO1233))),0)</f>
        <v>0</v>
      </c>
      <c r="AQ1233" s="8">
        <f>IF($O1233="Aktif",MAX(0,MIN($AE1233,$AD1233-SUM($AG1233:AP1233))),0)</f>
        <v>0</v>
      </c>
      <c r="AR1233" s="8">
        <f>IF($O1233="Aktif",MAX(0,MIN($AE1233,$AD1233-SUM($AG1233:AQ1233))),0)</f>
        <v>0</v>
      </c>
      <c r="AS1233" s="8">
        <f>IF($O1233="Aktif",MAX(0,MIN($AE1233,$AD1233-SUM($AG1233:AR1233))),0)</f>
        <v>0</v>
      </c>
      <c r="AT1233" s="8">
        <f>IF($O1233="Aktif",MAX(0,MIN($AE1233,$AD1233-SUM($AG1233:AS1233))),0)</f>
        <v>0</v>
      </c>
      <c r="AU1233" s="8">
        <f>IF($O1233="Aktif",MAX(0,MIN($AE1233,$AD1233-SUM($AG1233:AT1233))),0)</f>
        <v>0</v>
      </c>
      <c r="AV1233" s="8">
        <f>IF($O1233="Aktif",MAX(0,MIN($AE1233,$AD1233-SUM($AG1233:AU1233))),0)</f>
        <v>0</v>
      </c>
      <c r="AW1233" s="8">
        <f t="shared" si="138"/>
        <v>0</v>
      </c>
      <c r="AX1233" s="8">
        <f t="shared" si="139"/>
        <v>0</v>
      </c>
    </row>
    <row r="1234" spans="1:50" ht="15" customHeight="1" x14ac:dyDescent="0.35">
      <c r="A1234" s="102">
        <v>1228</v>
      </c>
      <c r="B1234" s="102" t="s">
        <v>3343</v>
      </c>
      <c r="C1234" s="103">
        <v>35</v>
      </c>
      <c r="D1234" s="102" t="s">
        <v>186</v>
      </c>
      <c r="E1234" s="102" t="s">
        <v>479</v>
      </c>
      <c r="F1234" s="102" t="s">
        <v>3116</v>
      </c>
      <c r="G1234" s="102" t="s">
        <v>3117</v>
      </c>
      <c r="H1234" s="102" t="s">
        <v>3118</v>
      </c>
      <c r="I1234" s="102" t="s">
        <v>63</v>
      </c>
      <c r="J1234" s="102" t="s">
        <v>3407</v>
      </c>
      <c r="K1234" s="102"/>
      <c r="L1234" s="104">
        <v>42582</v>
      </c>
      <c r="M1234" s="102" t="s">
        <v>3408</v>
      </c>
      <c r="N1234" s="102" t="s">
        <v>3409</v>
      </c>
      <c r="O1234" s="102" t="s">
        <v>383</v>
      </c>
      <c r="P1234" s="103">
        <v>1</v>
      </c>
      <c r="Q1234" s="105">
        <v>570000000</v>
      </c>
      <c r="R1234" s="103">
        <v>48</v>
      </c>
      <c r="S1234" s="105">
        <v>11875000</v>
      </c>
      <c r="T1234" s="105">
        <v>570000000</v>
      </c>
      <c r="U1234" s="105">
        <v>0</v>
      </c>
      <c r="V1234" s="105">
        <v>0</v>
      </c>
      <c r="W1234" s="105">
        <v>0</v>
      </c>
      <c r="X1234" s="105">
        <v>0</v>
      </c>
      <c r="Y1234" s="105">
        <v>0</v>
      </c>
      <c r="Z1234" s="105">
        <v>0</v>
      </c>
      <c r="AA1234" s="105">
        <v>0</v>
      </c>
      <c r="AB1234" s="105">
        <v>0</v>
      </c>
      <c r="AC1234" s="8">
        <f t="shared" si="133"/>
        <v>570000000</v>
      </c>
      <c r="AD1234" s="8">
        <f t="shared" si="134"/>
        <v>0</v>
      </c>
      <c r="AE1234" s="8">
        <f t="shared" si="135"/>
        <v>0</v>
      </c>
      <c r="AF1234" s="106">
        <f t="shared" si="136"/>
        <v>0</v>
      </c>
      <c r="AG1234" s="8">
        <f t="shared" si="137"/>
        <v>0</v>
      </c>
      <c r="AH1234" s="8">
        <f>IF($O1234="Aktif",MAX(0,MIN($AE1234,$AD1234-SUM($AG1234:AG1234))),0)</f>
        <v>0</v>
      </c>
      <c r="AI1234" s="8">
        <f>IF($O1234="Aktif",MAX(0,MIN($AE1234,$AD1234-SUM($AG1234:AH1234))),0)</f>
        <v>0</v>
      </c>
      <c r="AJ1234" s="8">
        <f>IF($O1234="Aktif",MAX(0,MIN($AE1234,$AD1234-SUM($AG1234:AI1234))),0)</f>
        <v>0</v>
      </c>
      <c r="AK1234" s="8">
        <f>IF($O1234="Aktif",MAX(0,MIN($AE1234,$AD1234-SUM($AG1234:AJ1234))),0)</f>
        <v>0</v>
      </c>
      <c r="AL1234" s="8">
        <f>IF($O1234="Aktif",MAX(0,MIN($AE1234,$AD1234-SUM($AG1234:AK1234))),0)</f>
        <v>0</v>
      </c>
      <c r="AM1234" s="8">
        <f>IF($O1234="Aktif",MAX(0,MIN($AE1234,$AD1234-SUM($AG1234:AL1234))),0)</f>
        <v>0</v>
      </c>
      <c r="AN1234" s="8">
        <f>IF($O1234="Aktif",MAX(0,MIN($AE1234,$AD1234-SUM($AG1234:AM1234))),0)</f>
        <v>0</v>
      </c>
      <c r="AO1234" s="8">
        <f>IF($O1234="Aktif",MAX(0,MIN($AE1234,$AD1234-SUM($AG1234:AN1234))),0)</f>
        <v>0</v>
      </c>
      <c r="AP1234" s="8">
        <f>IF($O1234="Aktif",MAX(0,MIN($AE1234,$AD1234-SUM($AG1234:AO1234))),0)</f>
        <v>0</v>
      </c>
      <c r="AQ1234" s="8">
        <f>IF($O1234="Aktif",MAX(0,MIN($AE1234,$AD1234-SUM($AG1234:AP1234))),0)</f>
        <v>0</v>
      </c>
      <c r="AR1234" s="8">
        <f>IF($O1234="Aktif",MAX(0,MIN($AE1234,$AD1234-SUM($AG1234:AQ1234))),0)</f>
        <v>0</v>
      </c>
      <c r="AS1234" s="8">
        <f>IF($O1234="Aktif",MAX(0,MIN($AE1234,$AD1234-SUM($AG1234:AR1234))),0)</f>
        <v>0</v>
      </c>
      <c r="AT1234" s="8">
        <f>IF($O1234="Aktif",MAX(0,MIN($AE1234,$AD1234-SUM($AG1234:AS1234))),0)</f>
        <v>0</v>
      </c>
      <c r="AU1234" s="8">
        <f>IF($O1234="Aktif",MAX(0,MIN($AE1234,$AD1234-SUM($AG1234:AT1234))),0)</f>
        <v>0</v>
      </c>
      <c r="AV1234" s="8">
        <f>IF($O1234="Aktif",MAX(0,MIN($AE1234,$AD1234-SUM($AG1234:AU1234))),0)</f>
        <v>0</v>
      </c>
      <c r="AW1234" s="8">
        <f t="shared" si="138"/>
        <v>0</v>
      </c>
      <c r="AX1234" s="8">
        <f t="shared" si="139"/>
        <v>0</v>
      </c>
    </row>
    <row r="1235" spans="1:50" ht="15" customHeight="1" x14ac:dyDescent="0.35">
      <c r="A1235" s="102">
        <v>1229</v>
      </c>
      <c r="B1235" s="102" t="s">
        <v>3343</v>
      </c>
      <c r="C1235" s="103">
        <v>36</v>
      </c>
      <c r="D1235" s="102" t="s">
        <v>186</v>
      </c>
      <c r="E1235" s="102" t="s">
        <v>479</v>
      </c>
      <c r="F1235" s="102" t="s">
        <v>3116</v>
      </c>
      <c r="G1235" s="102" t="s">
        <v>3117</v>
      </c>
      <c r="H1235" s="102" t="s">
        <v>3118</v>
      </c>
      <c r="I1235" s="102" t="s">
        <v>63</v>
      </c>
      <c r="J1235" s="102" t="s">
        <v>3410</v>
      </c>
      <c r="K1235" s="102"/>
      <c r="L1235" s="104">
        <v>42582</v>
      </c>
      <c r="M1235" s="102" t="s">
        <v>3411</v>
      </c>
      <c r="N1235" s="102" t="s">
        <v>3412</v>
      </c>
      <c r="O1235" s="102" t="s">
        <v>383</v>
      </c>
      <c r="P1235" s="103">
        <v>1</v>
      </c>
      <c r="Q1235" s="105">
        <v>40000000</v>
      </c>
      <c r="R1235" s="103">
        <v>48</v>
      </c>
      <c r="S1235" s="105">
        <v>833333.33333333302</v>
      </c>
      <c r="T1235" s="105">
        <v>40000000</v>
      </c>
      <c r="U1235" s="105">
        <v>0</v>
      </c>
      <c r="V1235" s="105">
        <v>0</v>
      </c>
      <c r="W1235" s="105">
        <v>0</v>
      </c>
      <c r="X1235" s="105">
        <v>0</v>
      </c>
      <c r="Y1235" s="105">
        <v>0</v>
      </c>
      <c r="Z1235" s="105">
        <v>0</v>
      </c>
      <c r="AA1235" s="105">
        <v>0</v>
      </c>
      <c r="AB1235" s="105">
        <v>0</v>
      </c>
      <c r="AC1235" s="8">
        <f t="shared" si="133"/>
        <v>40000000</v>
      </c>
      <c r="AD1235" s="8">
        <f t="shared" si="134"/>
        <v>0</v>
      </c>
      <c r="AE1235" s="8">
        <f t="shared" si="135"/>
        <v>0</v>
      </c>
      <c r="AF1235" s="106">
        <f t="shared" si="136"/>
        <v>0</v>
      </c>
      <c r="AG1235" s="8">
        <f t="shared" si="137"/>
        <v>0</v>
      </c>
      <c r="AH1235" s="8">
        <f>IF($O1235="Aktif",MAX(0,MIN($AE1235,$AD1235-SUM($AG1235:AG1235))),0)</f>
        <v>0</v>
      </c>
      <c r="AI1235" s="8">
        <f>IF($O1235="Aktif",MAX(0,MIN($AE1235,$AD1235-SUM($AG1235:AH1235))),0)</f>
        <v>0</v>
      </c>
      <c r="AJ1235" s="8">
        <f>IF($O1235="Aktif",MAX(0,MIN($AE1235,$AD1235-SUM($AG1235:AI1235))),0)</f>
        <v>0</v>
      </c>
      <c r="AK1235" s="8">
        <f>IF($O1235="Aktif",MAX(0,MIN($AE1235,$AD1235-SUM($AG1235:AJ1235))),0)</f>
        <v>0</v>
      </c>
      <c r="AL1235" s="8">
        <f>IF($O1235="Aktif",MAX(0,MIN($AE1235,$AD1235-SUM($AG1235:AK1235))),0)</f>
        <v>0</v>
      </c>
      <c r="AM1235" s="8">
        <f>IF($O1235="Aktif",MAX(0,MIN($AE1235,$AD1235-SUM($AG1235:AL1235))),0)</f>
        <v>0</v>
      </c>
      <c r="AN1235" s="8">
        <f>IF($O1235="Aktif",MAX(0,MIN($AE1235,$AD1235-SUM($AG1235:AM1235))),0)</f>
        <v>0</v>
      </c>
      <c r="AO1235" s="8">
        <f>IF($O1235="Aktif",MAX(0,MIN($AE1235,$AD1235-SUM($AG1235:AN1235))),0)</f>
        <v>0</v>
      </c>
      <c r="AP1235" s="8">
        <f>IF($O1235="Aktif",MAX(0,MIN($AE1235,$AD1235-SUM($AG1235:AO1235))),0)</f>
        <v>0</v>
      </c>
      <c r="AQ1235" s="8">
        <f>IF($O1235="Aktif",MAX(0,MIN($AE1235,$AD1235-SUM($AG1235:AP1235))),0)</f>
        <v>0</v>
      </c>
      <c r="AR1235" s="8">
        <f>IF($O1235="Aktif",MAX(0,MIN($AE1235,$AD1235-SUM($AG1235:AQ1235))),0)</f>
        <v>0</v>
      </c>
      <c r="AS1235" s="8">
        <f>IF($O1235="Aktif",MAX(0,MIN($AE1235,$AD1235-SUM($AG1235:AR1235))),0)</f>
        <v>0</v>
      </c>
      <c r="AT1235" s="8">
        <f>IF($O1235="Aktif",MAX(0,MIN($AE1235,$AD1235-SUM($AG1235:AS1235))),0)</f>
        <v>0</v>
      </c>
      <c r="AU1235" s="8">
        <f>IF($O1235="Aktif",MAX(0,MIN($AE1235,$AD1235-SUM($AG1235:AT1235))),0)</f>
        <v>0</v>
      </c>
      <c r="AV1235" s="8">
        <f>IF($O1235="Aktif",MAX(0,MIN($AE1235,$AD1235-SUM($AG1235:AU1235))),0)</f>
        <v>0</v>
      </c>
      <c r="AW1235" s="8">
        <f t="shared" si="138"/>
        <v>0</v>
      </c>
      <c r="AX1235" s="8">
        <f t="shared" si="139"/>
        <v>0</v>
      </c>
    </row>
    <row r="1236" spans="1:50" ht="15" customHeight="1" x14ac:dyDescent="0.35">
      <c r="A1236" s="102">
        <v>1230</v>
      </c>
      <c r="B1236" s="102" t="s">
        <v>3343</v>
      </c>
      <c r="C1236" s="103">
        <v>37</v>
      </c>
      <c r="D1236" s="102" t="s">
        <v>186</v>
      </c>
      <c r="E1236" s="102" t="s">
        <v>479</v>
      </c>
      <c r="F1236" s="102" t="s">
        <v>3116</v>
      </c>
      <c r="G1236" s="102" t="s">
        <v>3117</v>
      </c>
      <c r="H1236" s="102" t="s">
        <v>3118</v>
      </c>
      <c r="I1236" s="102" t="s">
        <v>63</v>
      </c>
      <c r="J1236" s="102" t="s">
        <v>3413</v>
      </c>
      <c r="K1236" s="102"/>
      <c r="L1236" s="104">
        <v>42587</v>
      </c>
      <c r="M1236" s="102" t="s">
        <v>3414</v>
      </c>
      <c r="N1236" s="102" t="s">
        <v>3415</v>
      </c>
      <c r="O1236" s="102" t="s">
        <v>383</v>
      </c>
      <c r="P1236" s="103">
        <v>1</v>
      </c>
      <c r="Q1236" s="105">
        <v>2350000</v>
      </c>
      <c r="R1236" s="103">
        <v>48</v>
      </c>
      <c r="S1236" s="105">
        <v>48958.333333333299</v>
      </c>
      <c r="T1236" s="105">
        <v>2350000</v>
      </c>
      <c r="U1236" s="105">
        <v>0</v>
      </c>
      <c r="V1236" s="105">
        <v>0</v>
      </c>
      <c r="W1236" s="105">
        <v>0</v>
      </c>
      <c r="X1236" s="105">
        <v>0</v>
      </c>
      <c r="Y1236" s="105">
        <v>0</v>
      </c>
      <c r="Z1236" s="105">
        <v>0</v>
      </c>
      <c r="AA1236" s="105">
        <v>0</v>
      </c>
      <c r="AB1236" s="105">
        <v>0</v>
      </c>
      <c r="AC1236" s="8">
        <f t="shared" si="133"/>
        <v>2350000</v>
      </c>
      <c r="AD1236" s="8">
        <f t="shared" si="134"/>
        <v>0</v>
      </c>
      <c r="AE1236" s="8">
        <f t="shared" si="135"/>
        <v>0</v>
      </c>
      <c r="AF1236" s="106">
        <f t="shared" si="136"/>
        <v>0</v>
      </c>
      <c r="AG1236" s="8">
        <f t="shared" si="137"/>
        <v>0</v>
      </c>
      <c r="AH1236" s="8">
        <f>IF($O1236="Aktif",MAX(0,MIN($AE1236,$AD1236-SUM($AG1236:AG1236))),0)</f>
        <v>0</v>
      </c>
      <c r="AI1236" s="8">
        <f>IF($O1236="Aktif",MAX(0,MIN($AE1236,$AD1236-SUM($AG1236:AH1236))),0)</f>
        <v>0</v>
      </c>
      <c r="AJ1236" s="8">
        <f>IF($O1236="Aktif",MAX(0,MIN($AE1236,$AD1236-SUM($AG1236:AI1236))),0)</f>
        <v>0</v>
      </c>
      <c r="AK1236" s="8">
        <f>IF($O1236="Aktif",MAX(0,MIN($AE1236,$AD1236-SUM($AG1236:AJ1236))),0)</f>
        <v>0</v>
      </c>
      <c r="AL1236" s="8">
        <f>IF($O1236="Aktif",MAX(0,MIN($AE1236,$AD1236-SUM($AG1236:AK1236))),0)</f>
        <v>0</v>
      </c>
      <c r="AM1236" s="8">
        <f>IF($O1236="Aktif",MAX(0,MIN($AE1236,$AD1236-SUM($AG1236:AL1236))),0)</f>
        <v>0</v>
      </c>
      <c r="AN1236" s="8">
        <f>IF($O1236="Aktif",MAX(0,MIN($AE1236,$AD1236-SUM($AG1236:AM1236))),0)</f>
        <v>0</v>
      </c>
      <c r="AO1236" s="8">
        <f>IF($O1236="Aktif",MAX(0,MIN($AE1236,$AD1236-SUM($AG1236:AN1236))),0)</f>
        <v>0</v>
      </c>
      <c r="AP1236" s="8">
        <f>IF($O1236="Aktif",MAX(0,MIN($AE1236,$AD1236-SUM($AG1236:AO1236))),0)</f>
        <v>0</v>
      </c>
      <c r="AQ1236" s="8">
        <f>IF($O1236="Aktif",MAX(0,MIN($AE1236,$AD1236-SUM($AG1236:AP1236))),0)</f>
        <v>0</v>
      </c>
      <c r="AR1236" s="8">
        <f>IF($O1236="Aktif",MAX(0,MIN($AE1236,$AD1236-SUM($AG1236:AQ1236))),0)</f>
        <v>0</v>
      </c>
      <c r="AS1236" s="8">
        <f>IF($O1236="Aktif",MAX(0,MIN($AE1236,$AD1236-SUM($AG1236:AR1236))),0)</f>
        <v>0</v>
      </c>
      <c r="AT1236" s="8">
        <f>IF($O1236="Aktif",MAX(0,MIN($AE1236,$AD1236-SUM($AG1236:AS1236))),0)</f>
        <v>0</v>
      </c>
      <c r="AU1236" s="8">
        <f>IF($O1236="Aktif",MAX(0,MIN($AE1236,$AD1236-SUM($AG1236:AT1236))),0)</f>
        <v>0</v>
      </c>
      <c r="AV1236" s="8">
        <f>IF($O1236="Aktif",MAX(0,MIN($AE1236,$AD1236-SUM($AG1236:AU1236))),0)</f>
        <v>0</v>
      </c>
      <c r="AW1236" s="8">
        <f t="shared" si="138"/>
        <v>0</v>
      </c>
      <c r="AX1236" s="8">
        <f t="shared" si="139"/>
        <v>0</v>
      </c>
    </row>
    <row r="1237" spans="1:50" ht="15" customHeight="1" x14ac:dyDescent="0.35">
      <c r="A1237" s="102">
        <v>1231</v>
      </c>
      <c r="B1237" s="102" t="s">
        <v>3343</v>
      </c>
      <c r="C1237" s="103">
        <v>38</v>
      </c>
      <c r="D1237" s="102" t="s">
        <v>186</v>
      </c>
      <c r="E1237" s="102" t="s">
        <v>479</v>
      </c>
      <c r="F1237" s="102" t="s">
        <v>3116</v>
      </c>
      <c r="G1237" s="102" t="s">
        <v>3117</v>
      </c>
      <c r="H1237" s="102" t="s">
        <v>3118</v>
      </c>
      <c r="I1237" s="102" t="s">
        <v>63</v>
      </c>
      <c r="J1237" s="102" t="s">
        <v>3416</v>
      </c>
      <c r="K1237" s="102"/>
      <c r="L1237" s="104">
        <v>42613</v>
      </c>
      <c r="M1237" s="102" t="s">
        <v>3417</v>
      </c>
      <c r="N1237" s="102" t="s">
        <v>3418</v>
      </c>
      <c r="O1237" s="102" t="s">
        <v>383</v>
      </c>
      <c r="P1237" s="103">
        <v>1</v>
      </c>
      <c r="Q1237" s="105">
        <v>975000000</v>
      </c>
      <c r="R1237" s="103">
        <v>48</v>
      </c>
      <c r="S1237" s="105">
        <v>20312500</v>
      </c>
      <c r="T1237" s="105">
        <v>975000000</v>
      </c>
      <c r="U1237" s="105">
        <v>0</v>
      </c>
      <c r="V1237" s="105">
        <v>0</v>
      </c>
      <c r="W1237" s="105">
        <v>0</v>
      </c>
      <c r="X1237" s="105">
        <v>0</v>
      </c>
      <c r="Y1237" s="105">
        <v>0</v>
      </c>
      <c r="Z1237" s="105">
        <v>0</v>
      </c>
      <c r="AA1237" s="105">
        <v>0</v>
      </c>
      <c r="AB1237" s="105">
        <v>0</v>
      </c>
      <c r="AC1237" s="8">
        <f t="shared" si="133"/>
        <v>975000000</v>
      </c>
      <c r="AD1237" s="8">
        <f t="shared" si="134"/>
        <v>0</v>
      </c>
      <c r="AE1237" s="8">
        <f t="shared" si="135"/>
        <v>0</v>
      </c>
      <c r="AF1237" s="106">
        <f t="shared" si="136"/>
        <v>0</v>
      </c>
      <c r="AG1237" s="8">
        <f t="shared" si="137"/>
        <v>0</v>
      </c>
      <c r="AH1237" s="8">
        <f>IF($O1237="Aktif",MAX(0,MIN($AE1237,$AD1237-SUM($AG1237:AG1237))),0)</f>
        <v>0</v>
      </c>
      <c r="AI1237" s="8">
        <f>IF($O1237="Aktif",MAX(0,MIN($AE1237,$AD1237-SUM($AG1237:AH1237))),0)</f>
        <v>0</v>
      </c>
      <c r="AJ1237" s="8">
        <f>IF($O1237="Aktif",MAX(0,MIN($AE1237,$AD1237-SUM($AG1237:AI1237))),0)</f>
        <v>0</v>
      </c>
      <c r="AK1237" s="8">
        <f>IF($O1237="Aktif",MAX(0,MIN($AE1237,$AD1237-SUM($AG1237:AJ1237))),0)</f>
        <v>0</v>
      </c>
      <c r="AL1237" s="8">
        <f>IF($O1237="Aktif",MAX(0,MIN($AE1237,$AD1237-SUM($AG1237:AK1237))),0)</f>
        <v>0</v>
      </c>
      <c r="AM1237" s="8">
        <f>IF($O1237="Aktif",MAX(0,MIN($AE1237,$AD1237-SUM($AG1237:AL1237))),0)</f>
        <v>0</v>
      </c>
      <c r="AN1237" s="8">
        <f>IF($O1237="Aktif",MAX(0,MIN($AE1237,$AD1237-SUM($AG1237:AM1237))),0)</f>
        <v>0</v>
      </c>
      <c r="AO1237" s="8">
        <f>IF($O1237="Aktif",MAX(0,MIN($AE1237,$AD1237-SUM($AG1237:AN1237))),0)</f>
        <v>0</v>
      </c>
      <c r="AP1237" s="8">
        <f>IF($O1237="Aktif",MAX(0,MIN($AE1237,$AD1237-SUM($AG1237:AO1237))),0)</f>
        <v>0</v>
      </c>
      <c r="AQ1237" s="8">
        <f>IF($O1237="Aktif",MAX(0,MIN($AE1237,$AD1237-SUM($AG1237:AP1237))),0)</f>
        <v>0</v>
      </c>
      <c r="AR1237" s="8">
        <f>IF($O1237="Aktif",MAX(0,MIN($AE1237,$AD1237-SUM($AG1237:AQ1237))),0)</f>
        <v>0</v>
      </c>
      <c r="AS1237" s="8">
        <f>IF($O1237="Aktif",MAX(0,MIN($AE1237,$AD1237-SUM($AG1237:AR1237))),0)</f>
        <v>0</v>
      </c>
      <c r="AT1237" s="8">
        <f>IF($O1237="Aktif",MAX(0,MIN($AE1237,$AD1237-SUM($AG1237:AS1237))),0)</f>
        <v>0</v>
      </c>
      <c r="AU1237" s="8">
        <f>IF($O1237="Aktif",MAX(0,MIN($AE1237,$AD1237-SUM($AG1237:AT1237))),0)</f>
        <v>0</v>
      </c>
      <c r="AV1237" s="8">
        <f>IF($O1237="Aktif",MAX(0,MIN($AE1237,$AD1237-SUM($AG1237:AU1237))),0)</f>
        <v>0</v>
      </c>
      <c r="AW1237" s="8">
        <f t="shared" si="138"/>
        <v>0</v>
      </c>
      <c r="AX1237" s="8">
        <f t="shared" si="139"/>
        <v>0</v>
      </c>
    </row>
    <row r="1238" spans="1:50" ht="15" customHeight="1" x14ac:dyDescent="0.35">
      <c r="A1238" s="102">
        <v>1232</v>
      </c>
      <c r="B1238" s="102" t="s">
        <v>3343</v>
      </c>
      <c r="C1238" s="103">
        <v>39</v>
      </c>
      <c r="D1238" s="102" t="s">
        <v>186</v>
      </c>
      <c r="E1238" s="102" t="s">
        <v>0</v>
      </c>
      <c r="F1238" s="102" t="s">
        <v>3116</v>
      </c>
      <c r="G1238" s="102" t="s">
        <v>3117</v>
      </c>
      <c r="H1238" s="102" t="s">
        <v>3118</v>
      </c>
      <c r="I1238" s="102" t="s">
        <v>63</v>
      </c>
      <c r="J1238" s="102"/>
      <c r="K1238" s="102"/>
      <c r="L1238" s="102" t="s">
        <v>2007</v>
      </c>
      <c r="M1238" s="102" t="s">
        <v>3419</v>
      </c>
      <c r="N1238" s="102" t="s">
        <v>3420</v>
      </c>
      <c r="O1238" s="102" t="s">
        <v>487</v>
      </c>
      <c r="P1238" s="103">
        <v>1</v>
      </c>
      <c r="Q1238" s="105">
        <v>-975000000</v>
      </c>
      <c r="R1238" s="102"/>
      <c r="S1238" s="105">
        <v>0</v>
      </c>
      <c r="T1238" s="105">
        <v>-975000000</v>
      </c>
      <c r="U1238" s="105">
        <v>0</v>
      </c>
      <c r="V1238" s="105">
        <v>0</v>
      </c>
      <c r="W1238" s="105">
        <v>0</v>
      </c>
      <c r="X1238" s="105">
        <v>0</v>
      </c>
      <c r="Y1238" s="105">
        <v>0</v>
      </c>
      <c r="Z1238" s="105">
        <v>0</v>
      </c>
      <c r="AA1238" s="105">
        <v>0</v>
      </c>
      <c r="AB1238" s="105">
        <v>0</v>
      </c>
      <c r="AC1238" s="8">
        <f t="shared" si="133"/>
        <v>-975000000</v>
      </c>
      <c r="AD1238" s="8">
        <f t="shared" si="134"/>
        <v>0</v>
      </c>
      <c r="AE1238" s="8">
        <f t="shared" si="135"/>
        <v>0</v>
      </c>
      <c r="AF1238" s="106">
        <f t="shared" si="136"/>
        <v>0</v>
      </c>
      <c r="AG1238" s="8">
        <f t="shared" si="137"/>
        <v>0</v>
      </c>
      <c r="AH1238" s="8">
        <f>IF($O1238="Aktif",MAX(0,MIN($AE1238,$AD1238-SUM($AG1238:AG1238))),0)</f>
        <v>0</v>
      </c>
      <c r="AI1238" s="8">
        <f>IF($O1238="Aktif",MAX(0,MIN($AE1238,$AD1238-SUM($AG1238:AH1238))),0)</f>
        <v>0</v>
      </c>
      <c r="AJ1238" s="8">
        <f>IF($O1238="Aktif",MAX(0,MIN($AE1238,$AD1238-SUM($AG1238:AI1238))),0)</f>
        <v>0</v>
      </c>
      <c r="AK1238" s="8">
        <f>IF($O1238="Aktif",MAX(0,MIN($AE1238,$AD1238-SUM($AG1238:AJ1238))),0)</f>
        <v>0</v>
      </c>
      <c r="AL1238" s="8">
        <f>IF($O1238="Aktif",MAX(0,MIN($AE1238,$AD1238-SUM($AG1238:AK1238))),0)</f>
        <v>0</v>
      </c>
      <c r="AM1238" s="8">
        <f>IF($O1238="Aktif",MAX(0,MIN($AE1238,$AD1238-SUM($AG1238:AL1238))),0)</f>
        <v>0</v>
      </c>
      <c r="AN1238" s="8">
        <f>IF($O1238="Aktif",MAX(0,MIN($AE1238,$AD1238-SUM($AG1238:AM1238))),0)</f>
        <v>0</v>
      </c>
      <c r="AO1238" s="8">
        <f>IF($O1238="Aktif",MAX(0,MIN($AE1238,$AD1238-SUM($AG1238:AN1238))),0)</f>
        <v>0</v>
      </c>
      <c r="AP1238" s="8">
        <f>IF($O1238="Aktif",MAX(0,MIN($AE1238,$AD1238-SUM($AG1238:AO1238))),0)</f>
        <v>0</v>
      </c>
      <c r="AQ1238" s="8">
        <f>IF($O1238="Aktif",MAX(0,MIN($AE1238,$AD1238-SUM($AG1238:AP1238))),0)</f>
        <v>0</v>
      </c>
      <c r="AR1238" s="8">
        <f>IF($O1238="Aktif",MAX(0,MIN($AE1238,$AD1238-SUM($AG1238:AQ1238))),0)</f>
        <v>0</v>
      </c>
      <c r="AS1238" s="8">
        <f>IF($O1238="Aktif",MAX(0,MIN($AE1238,$AD1238-SUM($AG1238:AR1238))),0)</f>
        <v>0</v>
      </c>
      <c r="AT1238" s="8">
        <f>IF($O1238="Aktif",MAX(0,MIN($AE1238,$AD1238-SUM($AG1238:AS1238))),0)</f>
        <v>0</v>
      </c>
      <c r="AU1238" s="8">
        <f>IF($O1238="Aktif",MAX(0,MIN($AE1238,$AD1238-SUM($AG1238:AT1238))),0)</f>
        <v>0</v>
      </c>
      <c r="AV1238" s="8">
        <f>IF($O1238="Aktif",MAX(0,MIN($AE1238,$AD1238-SUM($AG1238:AU1238))),0)</f>
        <v>0</v>
      </c>
      <c r="AW1238" s="8">
        <f t="shared" si="138"/>
        <v>0</v>
      </c>
      <c r="AX1238" s="8">
        <f t="shared" si="139"/>
        <v>0</v>
      </c>
    </row>
    <row r="1239" spans="1:50" ht="15" customHeight="1" x14ac:dyDescent="0.35">
      <c r="A1239" s="102">
        <v>1233</v>
      </c>
      <c r="B1239" s="102" t="s">
        <v>3343</v>
      </c>
      <c r="C1239" s="103">
        <v>40</v>
      </c>
      <c r="D1239" s="102" t="s">
        <v>186</v>
      </c>
      <c r="E1239" s="102" t="s">
        <v>479</v>
      </c>
      <c r="F1239" s="102" t="s">
        <v>3116</v>
      </c>
      <c r="G1239" s="102" t="s">
        <v>3117</v>
      </c>
      <c r="H1239" s="102" t="s">
        <v>3118</v>
      </c>
      <c r="I1239" s="102" t="s">
        <v>63</v>
      </c>
      <c r="J1239" s="102" t="s">
        <v>3421</v>
      </c>
      <c r="K1239" s="102"/>
      <c r="L1239" s="104">
        <v>42615</v>
      </c>
      <c r="M1239" s="102" t="s">
        <v>3422</v>
      </c>
      <c r="N1239" s="102" t="s">
        <v>3423</v>
      </c>
      <c r="O1239" s="102" t="s">
        <v>383</v>
      </c>
      <c r="P1239" s="103">
        <v>1</v>
      </c>
      <c r="Q1239" s="105">
        <v>24300000</v>
      </c>
      <c r="R1239" s="103">
        <v>48</v>
      </c>
      <c r="S1239" s="105">
        <v>506250</v>
      </c>
      <c r="T1239" s="105">
        <v>24300000</v>
      </c>
      <c r="U1239" s="105">
        <v>0</v>
      </c>
      <c r="V1239" s="105">
        <v>0</v>
      </c>
      <c r="W1239" s="105">
        <v>0</v>
      </c>
      <c r="X1239" s="105">
        <v>0</v>
      </c>
      <c r="Y1239" s="105">
        <v>0</v>
      </c>
      <c r="Z1239" s="105">
        <v>0</v>
      </c>
      <c r="AA1239" s="105">
        <v>0</v>
      </c>
      <c r="AB1239" s="105">
        <v>0</v>
      </c>
      <c r="AC1239" s="8">
        <f t="shared" si="133"/>
        <v>24300000</v>
      </c>
      <c r="AD1239" s="8">
        <f t="shared" si="134"/>
        <v>0</v>
      </c>
      <c r="AE1239" s="8">
        <f t="shared" si="135"/>
        <v>0</v>
      </c>
      <c r="AF1239" s="106">
        <f t="shared" si="136"/>
        <v>0</v>
      </c>
      <c r="AG1239" s="8">
        <f t="shared" si="137"/>
        <v>0</v>
      </c>
      <c r="AH1239" s="8">
        <f>IF($O1239="Aktif",MAX(0,MIN($AE1239,$AD1239-SUM($AG1239:AG1239))),0)</f>
        <v>0</v>
      </c>
      <c r="AI1239" s="8">
        <f>IF($O1239="Aktif",MAX(0,MIN($AE1239,$AD1239-SUM($AG1239:AH1239))),0)</f>
        <v>0</v>
      </c>
      <c r="AJ1239" s="8">
        <f>IF($O1239="Aktif",MAX(0,MIN($AE1239,$AD1239-SUM($AG1239:AI1239))),0)</f>
        <v>0</v>
      </c>
      <c r="AK1239" s="8">
        <f>IF($O1239="Aktif",MAX(0,MIN($AE1239,$AD1239-SUM($AG1239:AJ1239))),0)</f>
        <v>0</v>
      </c>
      <c r="AL1239" s="8">
        <f>IF($O1239="Aktif",MAX(0,MIN($AE1239,$AD1239-SUM($AG1239:AK1239))),0)</f>
        <v>0</v>
      </c>
      <c r="AM1239" s="8">
        <f>IF($O1239="Aktif",MAX(0,MIN($AE1239,$AD1239-SUM($AG1239:AL1239))),0)</f>
        <v>0</v>
      </c>
      <c r="AN1239" s="8">
        <f>IF($O1239="Aktif",MAX(0,MIN($AE1239,$AD1239-SUM($AG1239:AM1239))),0)</f>
        <v>0</v>
      </c>
      <c r="AO1239" s="8">
        <f>IF($O1239="Aktif",MAX(0,MIN($AE1239,$AD1239-SUM($AG1239:AN1239))),0)</f>
        <v>0</v>
      </c>
      <c r="AP1239" s="8">
        <f>IF($O1239="Aktif",MAX(0,MIN($AE1239,$AD1239-SUM($AG1239:AO1239))),0)</f>
        <v>0</v>
      </c>
      <c r="AQ1239" s="8">
        <f>IF($O1239="Aktif",MAX(0,MIN($AE1239,$AD1239-SUM($AG1239:AP1239))),0)</f>
        <v>0</v>
      </c>
      <c r="AR1239" s="8">
        <f>IF($O1239="Aktif",MAX(0,MIN($AE1239,$AD1239-SUM($AG1239:AQ1239))),0)</f>
        <v>0</v>
      </c>
      <c r="AS1239" s="8">
        <f>IF($O1239="Aktif",MAX(0,MIN($AE1239,$AD1239-SUM($AG1239:AR1239))),0)</f>
        <v>0</v>
      </c>
      <c r="AT1239" s="8">
        <f>IF($O1239="Aktif",MAX(0,MIN($AE1239,$AD1239-SUM($AG1239:AS1239))),0)</f>
        <v>0</v>
      </c>
      <c r="AU1239" s="8">
        <f>IF($O1239="Aktif",MAX(0,MIN($AE1239,$AD1239-SUM($AG1239:AT1239))),0)</f>
        <v>0</v>
      </c>
      <c r="AV1239" s="8">
        <f>IF($O1239="Aktif",MAX(0,MIN($AE1239,$AD1239-SUM($AG1239:AU1239))),0)</f>
        <v>0</v>
      </c>
      <c r="AW1239" s="8">
        <f t="shared" si="138"/>
        <v>0</v>
      </c>
      <c r="AX1239" s="8">
        <f t="shared" si="139"/>
        <v>0</v>
      </c>
    </row>
    <row r="1240" spans="1:50" ht="15" customHeight="1" x14ac:dyDescent="0.35">
      <c r="A1240" s="102">
        <v>1234</v>
      </c>
      <c r="B1240" s="102" t="s">
        <v>3343</v>
      </c>
      <c r="C1240" s="103">
        <v>41</v>
      </c>
      <c r="D1240" s="102" t="s">
        <v>186</v>
      </c>
      <c r="E1240" s="102" t="s">
        <v>479</v>
      </c>
      <c r="F1240" s="102" t="s">
        <v>3116</v>
      </c>
      <c r="G1240" s="102" t="s">
        <v>3117</v>
      </c>
      <c r="H1240" s="102" t="s">
        <v>3118</v>
      </c>
      <c r="I1240" s="102" t="s">
        <v>63</v>
      </c>
      <c r="J1240" s="102" t="s">
        <v>3424</v>
      </c>
      <c r="K1240" s="102"/>
      <c r="L1240" s="104">
        <v>42643</v>
      </c>
      <c r="M1240" s="102" t="s">
        <v>3425</v>
      </c>
      <c r="N1240" s="102" t="s">
        <v>3426</v>
      </c>
      <c r="O1240" s="102" t="s">
        <v>383</v>
      </c>
      <c r="P1240" s="103">
        <v>1</v>
      </c>
      <c r="Q1240" s="105">
        <v>477500000</v>
      </c>
      <c r="R1240" s="103">
        <v>48</v>
      </c>
      <c r="S1240" s="105">
        <v>9947916.6666666698</v>
      </c>
      <c r="T1240" s="105">
        <v>477500000</v>
      </c>
      <c r="U1240" s="105">
        <v>0</v>
      </c>
      <c r="V1240" s="105">
        <v>0</v>
      </c>
      <c r="W1240" s="105">
        <v>0</v>
      </c>
      <c r="X1240" s="105">
        <v>0</v>
      </c>
      <c r="Y1240" s="105">
        <v>0</v>
      </c>
      <c r="Z1240" s="105">
        <v>0</v>
      </c>
      <c r="AA1240" s="105">
        <v>0</v>
      </c>
      <c r="AB1240" s="105">
        <v>0</v>
      </c>
      <c r="AC1240" s="8">
        <f t="shared" si="133"/>
        <v>477500000</v>
      </c>
      <c r="AD1240" s="8">
        <f t="shared" si="134"/>
        <v>0</v>
      </c>
      <c r="AE1240" s="8">
        <f t="shared" si="135"/>
        <v>0</v>
      </c>
      <c r="AF1240" s="106">
        <f t="shared" si="136"/>
        <v>0</v>
      </c>
      <c r="AG1240" s="8">
        <f t="shared" si="137"/>
        <v>0</v>
      </c>
      <c r="AH1240" s="8">
        <f>IF($O1240="Aktif",MAX(0,MIN($AE1240,$AD1240-SUM($AG1240:AG1240))),0)</f>
        <v>0</v>
      </c>
      <c r="AI1240" s="8">
        <f>IF($O1240="Aktif",MAX(0,MIN($AE1240,$AD1240-SUM($AG1240:AH1240))),0)</f>
        <v>0</v>
      </c>
      <c r="AJ1240" s="8">
        <f>IF($O1240="Aktif",MAX(0,MIN($AE1240,$AD1240-SUM($AG1240:AI1240))),0)</f>
        <v>0</v>
      </c>
      <c r="AK1240" s="8">
        <f>IF($O1240="Aktif",MAX(0,MIN($AE1240,$AD1240-SUM($AG1240:AJ1240))),0)</f>
        <v>0</v>
      </c>
      <c r="AL1240" s="8">
        <f>IF($O1240="Aktif",MAX(0,MIN($AE1240,$AD1240-SUM($AG1240:AK1240))),0)</f>
        <v>0</v>
      </c>
      <c r="AM1240" s="8">
        <f>IF($O1240="Aktif",MAX(0,MIN($AE1240,$AD1240-SUM($AG1240:AL1240))),0)</f>
        <v>0</v>
      </c>
      <c r="AN1240" s="8">
        <f>IF($O1240="Aktif",MAX(0,MIN($AE1240,$AD1240-SUM($AG1240:AM1240))),0)</f>
        <v>0</v>
      </c>
      <c r="AO1240" s="8">
        <f>IF($O1240="Aktif",MAX(0,MIN($AE1240,$AD1240-SUM($AG1240:AN1240))),0)</f>
        <v>0</v>
      </c>
      <c r="AP1240" s="8">
        <f>IF($O1240="Aktif",MAX(0,MIN($AE1240,$AD1240-SUM($AG1240:AO1240))),0)</f>
        <v>0</v>
      </c>
      <c r="AQ1240" s="8">
        <f>IF($O1240="Aktif",MAX(0,MIN($AE1240,$AD1240-SUM($AG1240:AP1240))),0)</f>
        <v>0</v>
      </c>
      <c r="AR1240" s="8">
        <f>IF($O1240="Aktif",MAX(0,MIN($AE1240,$AD1240-SUM($AG1240:AQ1240))),0)</f>
        <v>0</v>
      </c>
      <c r="AS1240" s="8">
        <f>IF($O1240="Aktif",MAX(0,MIN($AE1240,$AD1240-SUM($AG1240:AR1240))),0)</f>
        <v>0</v>
      </c>
      <c r="AT1240" s="8">
        <f>IF($O1240="Aktif",MAX(0,MIN($AE1240,$AD1240-SUM($AG1240:AS1240))),0)</f>
        <v>0</v>
      </c>
      <c r="AU1240" s="8">
        <f>IF($O1240="Aktif",MAX(0,MIN($AE1240,$AD1240-SUM($AG1240:AT1240))),0)</f>
        <v>0</v>
      </c>
      <c r="AV1240" s="8">
        <f>IF($O1240="Aktif",MAX(0,MIN($AE1240,$AD1240-SUM($AG1240:AU1240))),0)</f>
        <v>0</v>
      </c>
      <c r="AW1240" s="8">
        <f t="shared" si="138"/>
        <v>0</v>
      </c>
      <c r="AX1240" s="8">
        <f t="shared" si="139"/>
        <v>0</v>
      </c>
    </row>
    <row r="1241" spans="1:50" ht="15" customHeight="1" x14ac:dyDescent="0.35">
      <c r="A1241" s="102">
        <v>1235</v>
      </c>
      <c r="B1241" s="102" t="s">
        <v>3343</v>
      </c>
      <c r="C1241" s="103">
        <v>42</v>
      </c>
      <c r="D1241" s="102" t="s">
        <v>186</v>
      </c>
      <c r="E1241" s="102" t="s">
        <v>0</v>
      </c>
      <c r="F1241" s="102" t="s">
        <v>3116</v>
      </c>
      <c r="G1241" s="102" t="s">
        <v>3117</v>
      </c>
      <c r="H1241" s="102" t="s">
        <v>3118</v>
      </c>
      <c r="I1241" s="102" t="s">
        <v>63</v>
      </c>
      <c r="J1241" s="102"/>
      <c r="K1241" s="102"/>
      <c r="L1241" s="104">
        <v>44109</v>
      </c>
      <c r="M1241" s="102" t="s">
        <v>3427</v>
      </c>
      <c r="N1241" s="102" t="s">
        <v>3428</v>
      </c>
      <c r="O1241" s="102" t="s">
        <v>487</v>
      </c>
      <c r="P1241" s="103">
        <v>1</v>
      </c>
      <c r="Q1241" s="105">
        <v>-477500000</v>
      </c>
      <c r="R1241" s="102"/>
      <c r="S1241" s="105">
        <v>0</v>
      </c>
      <c r="T1241" s="105">
        <v>-477500000</v>
      </c>
      <c r="U1241" s="105">
        <v>0</v>
      </c>
      <c r="V1241" s="105">
        <v>0</v>
      </c>
      <c r="W1241" s="105">
        <v>0</v>
      </c>
      <c r="X1241" s="105">
        <v>0</v>
      </c>
      <c r="Y1241" s="105">
        <v>0</v>
      </c>
      <c r="Z1241" s="105">
        <v>0</v>
      </c>
      <c r="AA1241" s="105">
        <v>0</v>
      </c>
      <c r="AB1241" s="105">
        <v>0</v>
      </c>
      <c r="AC1241" s="8">
        <f t="shared" si="133"/>
        <v>-477500000</v>
      </c>
      <c r="AD1241" s="8">
        <f t="shared" si="134"/>
        <v>0</v>
      </c>
      <c r="AE1241" s="8">
        <f t="shared" si="135"/>
        <v>0</v>
      </c>
      <c r="AF1241" s="106">
        <f t="shared" si="136"/>
        <v>0</v>
      </c>
      <c r="AG1241" s="8">
        <f t="shared" si="137"/>
        <v>0</v>
      </c>
      <c r="AH1241" s="8">
        <f>IF($O1241="Aktif",MAX(0,MIN($AE1241,$AD1241-SUM($AG1241:AG1241))),0)</f>
        <v>0</v>
      </c>
      <c r="AI1241" s="8">
        <f>IF($O1241="Aktif",MAX(0,MIN($AE1241,$AD1241-SUM($AG1241:AH1241))),0)</f>
        <v>0</v>
      </c>
      <c r="AJ1241" s="8">
        <f>IF($O1241="Aktif",MAX(0,MIN($AE1241,$AD1241-SUM($AG1241:AI1241))),0)</f>
        <v>0</v>
      </c>
      <c r="AK1241" s="8">
        <f>IF($O1241="Aktif",MAX(0,MIN($AE1241,$AD1241-SUM($AG1241:AJ1241))),0)</f>
        <v>0</v>
      </c>
      <c r="AL1241" s="8">
        <f>IF($O1241="Aktif",MAX(0,MIN($AE1241,$AD1241-SUM($AG1241:AK1241))),0)</f>
        <v>0</v>
      </c>
      <c r="AM1241" s="8">
        <f>IF($O1241="Aktif",MAX(0,MIN($AE1241,$AD1241-SUM($AG1241:AL1241))),0)</f>
        <v>0</v>
      </c>
      <c r="AN1241" s="8">
        <f>IF($O1241="Aktif",MAX(0,MIN($AE1241,$AD1241-SUM($AG1241:AM1241))),0)</f>
        <v>0</v>
      </c>
      <c r="AO1241" s="8">
        <f>IF($O1241="Aktif",MAX(0,MIN($AE1241,$AD1241-SUM($AG1241:AN1241))),0)</f>
        <v>0</v>
      </c>
      <c r="AP1241" s="8">
        <f>IF($O1241="Aktif",MAX(0,MIN($AE1241,$AD1241-SUM($AG1241:AO1241))),0)</f>
        <v>0</v>
      </c>
      <c r="AQ1241" s="8">
        <f>IF($O1241="Aktif",MAX(0,MIN($AE1241,$AD1241-SUM($AG1241:AP1241))),0)</f>
        <v>0</v>
      </c>
      <c r="AR1241" s="8">
        <f>IF($O1241="Aktif",MAX(0,MIN($AE1241,$AD1241-SUM($AG1241:AQ1241))),0)</f>
        <v>0</v>
      </c>
      <c r="AS1241" s="8">
        <f>IF($O1241="Aktif",MAX(0,MIN($AE1241,$AD1241-SUM($AG1241:AR1241))),0)</f>
        <v>0</v>
      </c>
      <c r="AT1241" s="8">
        <f>IF($O1241="Aktif",MAX(0,MIN($AE1241,$AD1241-SUM($AG1241:AS1241))),0)</f>
        <v>0</v>
      </c>
      <c r="AU1241" s="8">
        <f>IF($O1241="Aktif",MAX(0,MIN($AE1241,$AD1241-SUM($AG1241:AT1241))),0)</f>
        <v>0</v>
      </c>
      <c r="AV1241" s="8">
        <f>IF($O1241="Aktif",MAX(0,MIN($AE1241,$AD1241-SUM($AG1241:AU1241))),0)</f>
        <v>0</v>
      </c>
      <c r="AW1241" s="8">
        <f t="shared" si="138"/>
        <v>0</v>
      </c>
      <c r="AX1241" s="8">
        <f t="shared" si="139"/>
        <v>0</v>
      </c>
    </row>
    <row r="1242" spans="1:50" ht="15" customHeight="1" x14ac:dyDescent="0.35">
      <c r="A1242" s="102">
        <v>1236</v>
      </c>
      <c r="B1242" s="102" t="s">
        <v>3343</v>
      </c>
      <c r="C1242" s="103">
        <v>43</v>
      </c>
      <c r="D1242" s="102" t="s">
        <v>186</v>
      </c>
      <c r="E1242" s="102" t="s">
        <v>479</v>
      </c>
      <c r="F1242" s="102" t="s">
        <v>3116</v>
      </c>
      <c r="G1242" s="102" t="s">
        <v>3117</v>
      </c>
      <c r="H1242" s="102" t="s">
        <v>3118</v>
      </c>
      <c r="I1242" s="102" t="s">
        <v>63</v>
      </c>
      <c r="J1242" s="102" t="s">
        <v>3429</v>
      </c>
      <c r="K1242" s="102"/>
      <c r="L1242" s="104">
        <v>42643</v>
      </c>
      <c r="M1242" s="102" t="s">
        <v>3430</v>
      </c>
      <c r="N1242" s="102" t="s">
        <v>3431</v>
      </c>
      <c r="O1242" s="102" t="s">
        <v>383</v>
      </c>
      <c r="P1242" s="103">
        <v>1</v>
      </c>
      <c r="Q1242" s="105">
        <v>120000000</v>
      </c>
      <c r="R1242" s="103">
        <v>48</v>
      </c>
      <c r="S1242" s="105">
        <v>2500000</v>
      </c>
      <c r="T1242" s="105">
        <v>120000000</v>
      </c>
      <c r="U1242" s="105">
        <v>0</v>
      </c>
      <c r="V1242" s="105">
        <v>0</v>
      </c>
      <c r="W1242" s="105">
        <v>0</v>
      </c>
      <c r="X1242" s="105">
        <v>0</v>
      </c>
      <c r="Y1242" s="105">
        <v>0</v>
      </c>
      <c r="Z1242" s="105">
        <v>0</v>
      </c>
      <c r="AA1242" s="105">
        <v>0</v>
      </c>
      <c r="AB1242" s="105">
        <v>0</v>
      </c>
      <c r="AC1242" s="8">
        <f t="shared" si="133"/>
        <v>120000000</v>
      </c>
      <c r="AD1242" s="8">
        <f t="shared" si="134"/>
        <v>0</v>
      </c>
      <c r="AE1242" s="8">
        <f t="shared" si="135"/>
        <v>0</v>
      </c>
      <c r="AF1242" s="106">
        <f t="shared" si="136"/>
        <v>0</v>
      </c>
      <c r="AG1242" s="8">
        <f t="shared" si="137"/>
        <v>0</v>
      </c>
      <c r="AH1242" s="8">
        <f>IF($O1242="Aktif",MAX(0,MIN($AE1242,$AD1242-SUM($AG1242:AG1242))),0)</f>
        <v>0</v>
      </c>
      <c r="AI1242" s="8">
        <f>IF($O1242="Aktif",MAX(0,MIN($AE1242,$AD1242-SUM($AG1242:AH1242))),0)</f>
        <v>0</v>
      </c>
      <c r="AJ1242" s="8">
        <f>IF($O1242="Aktif",MAX(0,MIN($AE1242,$AD1242-SUM($AG1242:AI1242))),0)</f>
        <v>0</v>
      </c>
      <c r="AK1242" s="8">
        <f>IF($O1242="Aktif",MAX(0,MIN($AE1242,$AD1242-SUM($AG1242:AJ1242))),0)</f>
        <v>0</v>
      </c>
      <c r="AL1242" s="8">
        <f>IF($O1242="Aktif",MAX(0,MIN($AE1242,$AD1242-SUM($AG1242:AK1242))),0)</f>
        <v>0</v>
      </c>
      <c r="AM1242" s="8">
        <f>IF($O1242="Aktif",MAX(0,MIN($AE1242,$AD1242-SUM($AG1242:AL1242))),0)</f>
        <v>0</v>
      </c>
      <c r="AN1242" s="8">
        <f>IF($O1242="Aktif",MAX(0,MIN($AE1242,$AD1242-SUM($AG1242:AM1242))),0)</f>
        <v>0</v>
      </c>
      <c r="AO1242" s="8">
        <f>IF($O1242="Aktif",MAX(0,MIN($AE1242,$AD1242-SUM($AG1242:AN1242))),0)</f>
        <v>0</v>
      </c>
      <c r="AP1242" s="8">
        <f>IF($O1242="Aktif",MAX(0,MIN($AE1242,$AD1242-SUM($AG1242:AO1242))),0)</f>
        <v>0</v>
      </c>
      <c r="AQ1242" s="8">
        <f>IF($O1242="Aktif",MAX(0,MIN($AE1242,$AD1242-SUM($AG1242:AP1242))),0)</f>
        <v>0</v>
      </c>
      <c r="AR1242" s="8">
        <f>IF($O1242="Aktif",MAX(0,MIN($AE1242,$AD1242-SUM($AG1242:AQ1242))),0)</f>
        <v>0</v>
      </c>
      <c r="AS1242" s="8">
        <f>IF($O1242="Aktif",MAX(0,MIN($AE1242,$AD1242-SUM($AG1242:AR1242))),0)</f>
        <v>0</v>
      </c>
      <c r="AT1242" s="8">
        <f>IF($O1242="Aktif",MAX(0,MIN($AE1242,$AD1242-SUM($AG1242:AS1242))),0)</f>
        <v>0</v>
      </c>
      <c r="AU1242" s="8">
        <f>IF($O1242="Aktif",MAX(0,MIN($AE1242,$AD1242-SUM($AG1242:AT1242))),0)</f>
        <v>0</v>
      </c>
      <c r="AV1242" s="8">
        <f>IF($O1242="Aktif",MAX(0,MIN($AE1242,$AD1242-SUM($AG1242:AU1242))),0)</f>
        <v>0</v>
      </c>
      <c r="AW1242" s="8">
        <f t="shared" si="138"/>
        <v>0</v>
      </c>
      <c r="AX1242" s="8">
        <f t="shared" si="139"/>
        <v>0</v>
      </c>
    </row>
    <row r="1243" spans="1:50" ht="15" customHeight="1" x14ac:dyDescent="0.35">
      <c r="A1243" s="102">
        <v>1237</v>
      </c>
      <c r="B1243" s="102" t="s">
        <v>3343</v>
      </c>
      <c r="C1243" s="103">
        <v>44</v>
      </c>
      <c r="D1243" s="102" t="s">
        <v>186</v>
      </c>
      <c r="E1243" s="102" t="s">
        <v>0</v>
      </c>
      <c r="F1243" s="102" t="s">
        <v>3116</v>
      </c>
      <c r="G1243" s="102" t="s">
        <v>3117</v>
      </c>
      <c r="H1243" s="102" t="s">
        <v>3118</v>
      </c>
      <c r="I1243" s="102" t="s">
        <v>63</v>
      </c>
      <c r="J1243" s="102"/>
      <c r="K1243" s="102"/>
      <c r="L1243" s="104">
        <v>44179</v>
      </c>
      <c r="M1243" s="102" t="s">
        <v>3430</v>
      </c>
      <c r="N1243" s="102" t="s">
        <v>3432</v>
      </c>
      <c r="O1243" s="102" t="s">
        <v>487</v>
      </c>
      <c r="P1243" s="103">
        <v>1</v>
      </c>
      <c r="Q1243" s="105">
        <v>-120000000</v>
      </c>
      <c r="R1243" s="102"/>
      <c r="S1243" s="105">
        <v>0</v>
      </c>
      <c r="T1243" s="105">
        <v>-120000000</v>
      </c>
      <c r="U1243" s="105">
        <v>0</v>
      </c>
      <c r="V1243" s="105">
        <v>0</v>
      </c>
      <c r="W1243" s="105">
        <v>0</v>
      </c>
      <c r="X1243" s="105">
        <v>0</v>
      </c>
      <c r="Y1243" s="105">
        <v>0</v>
      </c>
      <c r="Z1243" s="105">
        <v>0</v>
      </c>
      <c r="AA1243" s="105">
        <v>0</v>
      </c>
      <c r="AB1243" s="105">
        <v>0</v>
      </c>
      <c r="AC1243" s="8">
        <f t="shared" si="133"/>
        <v>-120000000</v>
      </c>
      <c r="AD1243" s="8">
        <f t="shared" si="134"/>
        <v>0</v>
      </c>
      <c r="AE1243" s="8">
        <f t="shared" si="135"/>
        <v>0</v>
      </c>
      <c r="AF1243" s="106">
        <f t="shared" si="136"/>
        <v>0</v>
      </c>
      <c r="AG1243" s="8">
        <f t="shared" si="137"/>
        <v>0</v>
      </c>
      <c r="AH1243" s="8">
        <f>IF($O1243="Aktif",MAX(0,MIN($AE1243,$AD1243-SUM($AG1243:AG1243))),0)</f>
        <v>0</v>
      </c>
      <c r="AI1243" s="8">
        <f>IF($O1243="Aktif",MAX(0,MIN($AE1243,$AD1243-SUM($AG1243:AH1243))),0)</f>
        <v>0</v>
      </c>
      <c r="AJ1243" s="8">
        <f>IF($O1243="Aktif",MAX(0,MIN($AE1243,$AD1243-SUM($AG1243:AI1243))),0)</f>
        <v>0</v>
      </c>
      <c r="AK1243" s="8">
        <f>IF($O1243="Aktif",MAX(0,MIN($AE1243,$AD1243-SUM($AG1243:AJ1243))),0)</f>
        <v>0</v>
      </c>
      <c r="AL1243" s="8">
        <f>IF($O1243="Aktif",MAX(0,MIN($AE1243,$AD1243-SUM($AG1243:AK1243))),0)</f>
        <v>0</v>
      </c>
      <c r="AM1243" s="8">
        <f>IF($O1243="Aktif",MAX(0,MIN($AE1243,$AD1243-SUM($AG1243:AL1243))),0)</f>
        <v>0</v>
      </c>
      <c r="AN1243" s="8">
        <f>IF($O1243="Aktif",MAX(0,MIN($AE1243,$AD1243-SUM($AG1243:AM1243))),0)</f>
        <v>0</v>
      </c>
      <c r="AO1243" s="8">
        <f>IF($O1243="Aktif",MAX(0,MIN($AE1243,$AD1243-SUM($AG1243:AN1243))),0)</f>
        <v>0</v>
      </c>
      <c r="AP1243" s="8">
        <f>IF($O1243="Aktif",MAX(0,MIN($AE1243,$AD1243-SUM($AG1243:AO1243))),0)</f>
        <v>0</v>
      </c>
      <c r="AQ1243" s="8">
        <f>IF($O1243="Aktif",MAX(0,MIN($AE1243,$AD1243-SUM($AG1243:AP1243))),0)</f>
        <v>0</v>
      </c>
      <c r="AR1243" s="8">
        <f>IF($O1243="Aktif",MAX(0,MIN($AE1243,$AD1243-SUM($AG1243:AQ1243))),0)</f>
        <v>0</v>
      </c>
      <c r="AS1243" s="8">
        <f>IF($O1243="Aktif",MAX(0,MIN($AE1243,$AD1243-SUM($AG1243:AR1243))),0)</f>
        <v>0</v>
      </c>
      <c r="AT1243" s="8">
        <f>IF($O1243="Aktif",MAX(0,MIN($AE1243,$AD1243-SUM($AG1243:AS1243))),0)</f>
        <v>0</v>
      </c>
      <c r="AU1243" s="8">
        <f>IF($O1243="Aktif",MAX(0,MIN($AE1243,$AD1243-SUM($AG1243:AT1243))),0)</f>
        <v>0</v>
      </c>
      <c r="AV1243" s="8">
        <f>IF($O1243="Aktif",MAX(0,MIN($AE1243,$AD1243-SUM($AG1243:AU1243))),0)</f>
        <v>0</v>
      </c>
      <c r="AW1243" s="8">
        <f t="shared" si="138"/>
        <v>0</v>
      </c>
      <c r="AX1243" s="8">
        <f t="shared" si="139"/>
        <v>0</v>
      </c>
    </row>
    <row r="1244" spans="1:50" ht="15" customHeight="1" x14ac:dyDescent="0.35">
      <c r="A1244" s="102">
        <v>1238</v>
      </c>
      <c r="B1244" s="102" t="s">
        <v>3343</v>
      </c>
      <c r="C1244" s="103">
        <v>45</v>
      </c>
      <c r="D1244" s="102" t="s">
        <v>186</v>
      </c>
      <c r="E1244" s="102" t="s">
        <v>479</v>
      </c>
      <c r="F1244" s="102" t="s">
        <v>3116</v>
      </c>
      <c r="G1244" s="102" t="s">
        <v>3117</v>
      </c>
      <c r="H1244" s="102" t="s">
        <v>3118</v>
      </c>
      <c r="I1244" s="102" t="s">
        <v>63</v>
      </c>
      <c r="J1244" s="102" t="s">
        <v>3433</v>
      </c>
      <c r="K1244" s="102"/>
      <c r="L1244" s="104">
        <v>42674</v>
      </c>
      <c r="M1244" s="102" t="s">
        <v>3434</v>
      </c>
      <c r="N1244" s="102" t="s">
        <v>3435</v>
      </c>
      <c r="O1244" s="102" t="s">
        <v>383</v>
      </c>
      <c r="P1244" s="103">
        <v>1</v>
      </c>
      <c r="Q1244" s="105">
        <v>34100000</v>
      </c>
      <c r="R1244" s="103">
        <v>48</v>
      </c>
      <c r="S1244" s="105">
        <v>710416.66666666698</v>
      </c>
      <c r="T1244" s="105">
        <v>34100000</v>
      </c>
      <c r="U1244" s="105">
        <v>0</v>
      </c>
      <c r="V1244" s="105">
        <v>0</v>
      </c>
      <c r="W1244" s="105">
        <v>0</v>
      </c>
      <c r="X1244" s="105">
        <v>0</v>
      </c>
      <c r="Y1244" s="105">
        <v>0</v>
      </c>
      <c r="Z1244" s="105">
        <v>0</v>
      </c>
      <c r="AA1244" s="105">
        <v>0</v>
      </c>
      <c r="AB1244" s="105">
        <v>0</v>
      </c>
      <c r="AC1244" s="8">
        <f t="shared" si="133"/>
        <v>34100000</v>
      </c>
      <c r="AD1244" s="8">
        <f t="shared" si="134"/>
        <v>0</v>
      </c>
      <c r="AE1244" s="8">
        <f t="shared" si="135"/>
        <v>0</v>
      </c>
      <c r="AF1244" s="106">
        <f t="shared" si="136"/>
        <v>0</v>
      </c>
      <c r="AG1244" s="8">
        <f t="shared" si="137"/>
        <v>0</v>
      </c>
      <c r="AH1244" s="8">
        <f>IF($O1244="Aktif",MAX(0,MIN($AE1244,$AD1244-SUM($AG1244:AG1244))),0)</f>
        <v>0</v>
      </c>
      <c r="AI1244" s="8">
        <f>IF($O1244="Aktif",MAX(0,MIN($AE1244,$AD1244-SUM($AG1244:AH1244))),0)</f>
        <v>0</v>
      </c>
      <c r="AJ1244" s="8">
        <f>IF($O1244="Aktif",MAX(0,MIN($AE1244,$AD1244-SUM($AG1244:AI1244))),0)</f>
        <v>0</v>
      </c>
      <c r="AK1244" s="8">
        <f>IF($O1244="Aktif",MAX(0,MIN($AE1244,$AD1244-SUM($AG1244:AJ1244))),0)</f>
        <v>0</v>
      </c>
      <c r="AL1244" s="8">
        <f>IF($O1244="Aktif",MAX(0,MIN($AE1244,$AD1244-SUM($AG1244:AK1244))),0)</f>
        <v>0</v>
      </c>
      <c r="AM1244" s="8">
        <f>IF($O1244="Aktif",MAX(0,MIN($AE1244,$AD1244-SUM($AG1244:AL1244))),0)</f>
        <v>0</v>
      </c>
      <c r="AN1244" s="8">
        <f>IF($O1244="Aktif",MAX(0,MIN($AE1244,$AD1244-SUM($AG1244:AM1244))),0)</f>
        <v>0</v>
      </c>
      <c r="AO1244" s="8">
        <f>IF($O1244="Aktif",MAX(0,MIN($AE1244,$AD1244-SUM($AG1244:AN1244))),0)</f>
        <v>0</v>
      </c>
      <c r="AP1244" s="8">
        <f>IF($O1244="Aktif",MAX(0,MIN($AE1244,$AD1244-SUM($AG1244:AO1244))),0)</f>
        <v>0</v>
      </c>
      <c r="AQ1244" s="8">
        <f>IF($O1244="Aktif",MAX(0,MIN($AE1244,$AD1244-SUM($AG1244:AP1244))),0)</f>
        <v>0</v>
      </c>
      <c r="AR1244" s="8">
        <f>IF($O1244="Aktif",MAX(0,MIN($AE1244,$AD1244-SUM($AG1244:AQ1244))),0)</f>
        <v>0</v>
      </c>
      <c r="AS1244" s="8">
        <f>IF($O1244="Aktif",MAX(0,MIN($AE1244,$AD1244-SUM($AG1244:AR1244))),0)</f>
        <v>0</v>
      </c>
      <c r="AT1244" s="8">
        <f>IF($O1244="Aktif",MAX(0,MIN($AE1244,$AD1244-SUM($AG1244:AS1244))),0)</f>
        <v>0</v>
      </c>
      <c r="AU1244" s="8">
        <f>IF($O1244="Aktif",MAX(0,MIN($AE1244,$AD1244-SUM($AG1244:AT1244))),0)</f>
        <v>0</v>
      </c>
      <c r="AV1244" s="8">
        <f>IF($O1244="Aktif",MAX(0,MIN($AE1244,$AD1244-SUM($AG1244:AU1244))),0)</f>
        <v>0</v>
      </c>
      <c r="AW1244" s="8">
        <f t="shared" si="138"/>
        <v>0</v>
      </c>
      <c r="AX1244" s="8">
        <f t="shared" si="139"/>
        <v>0</v>
      </c>
    </row>
    <row r="1245" spans="1:50" ht="15" customHeight="1" x14ac:dyDescent="0.35">
      <c r="A1245" s="102">
        <v>1239</v>
      </c>
      <c r="B1245" s="102" t="s">
        <v>3343</v>
      </c>
      <c r="C1245" s="103">
        <v>46</v>
      </c>
      <c r="D1245" s="102" t="s">
        <v>186</v>
      </c>
      <c r="E1245" s="102" t="s">
        <v>479</v>
      </c>
      <c r="F1245" s="102" t="s">
        <v>3116</v>
      </c>
      <c r="G1245" s="102" t="s">
        <v>3117</v>
      </c>
      <c r="H1245" s="102" t="s">
        <v>3118</v>
      </c>
      <c r="I1245" s="102" t="s">
        <v>63</v>
      </c>
      <c r="J1245" s="102" t="s">
        <v>3436</v>
      </c>
      <c r="K1245" s="102"/>
      <c r="L1245" s="104">
        <v>42674</v>
      </c>
      <c r="M1245" s="102" t="s">
        <v>3437</v>
      </c>
      <c r="N1245" s="102" t="s">
        <v>3438</v>
      </c>
      <c r="O1245" s="102" t="s">
        <v>383</v>
      </c>
      <c r="P1245" s="103">
        <v>1</v>
      </c>
      <c r="Q1245" s="105">
        <v>150000000</v>
      </c>
      <c r="R1245" s="103">
        <v>48</v>
      </c>
      <c r="S1245" s="105">
        <v>3125000</v>
      </c>
      <c r="T1245" s="105">
        <v>150000000</v>
      </c>
      <c r="U1245" s="105">
        <v>0</v>
      </c>
      <c r="V1245" s="105">
        <v>0</v>
      </c>
      <c r="W1245" s="105">
        <v>0</v>
      </c>
      <c r="X1245" s="105">
        <v>0</v>
      </c>
      <c r="Y1245" s="105">
        <v>0</v>
      </c>
      <c r="Z1245" s="105">
        <v>0</v>
      </c>
      <c r="AA1245" s="105">
        <v>0</v>
      </c>
      <c r="AB1245" s="105">
        <v>0</v>
      </c>
      <c r="AC1245" s="8">
        <f t="shared" si="133"/>
        <v>150000000</v>
      </c>
      <c r="AD1245" s="8">
        <f t="shared" si="134"/>
        <v>0</v>
      </c>
      <c r="AE1245" s="8">
        <f t="shared" si="135"/>
        <v>0</v>
      </c>
      <c r="AF1245" s="106">
        <f t="shared" si="136"/>
        <v>0</v>
      </c>
      <c r="AG1245" s="8">
        <f t="shared" si="137"/>
        <v>0</v>
      </c>
      <c r="AH1245" s="8">
        <f>IF($O1245="Aktif",MAX(0,MIN($AE1245,$AD1245-SUM($AG1245:AG1245))),0)</f>
        <v>0</v>
      </c>
      <c r="AI1245" s="8">
        <f>IF($O1245="Aktif",MAX(0,MIN($AE1245,$AD1245-SUM($AG1245:AH1245))),0)</f>
        <v>0</v>
      </c>
      <c r="AJ1245" s="8">
        <f>IF($O1245="Aktif",MAX(0,MIN($AE1245,$AD1245-SUM($AG1245:AI1245))),0)</f>
        <v>0</v>
      </c>
      <c r="AK1245" s="8">
        <f>IF($O1245="Aktif",MAX(0,MIN($AE1245,$AD1245-SUM($AG1245:AJ1245))),0)</f>
        <v>0</v>
      </c>
      <c r="AL1245" s="8">
        <f>IF($O1245="Aktif",MAX(0,MIN($AE1245,$AD1245-SUM($AG1245:AK1245))),0)</f>
        <v>0</v>
      </c>
      <c r="AM1245" s="8">
        <f>IF($O1245="Aktif",MAX(0,MIN($AE1245,$AD1245-SUM($AG1245:AL1245))),0)</f>
        <v>0</v>
      </c>
      <c r="AN1245" s="8">
        <f>IF($O1245="Aktif",MAX(0,MIN($AE1245,$AD1245-SUM($AG1245:AM1245))),0)</f>
        <v>0</v>
      </c>
      <c r="AO1245" s="8">
        <f>IF($O1245="Aktif",MAX(0,MIN($AE1245,$AD1245-SUM($AG1245:AN1245))),0)</f>
        <v>0</v>
      </c>
      <c r="AP1245" s="8">
        <f>IF($O1245="Aktif",MAX(0,MIN($AE1245,$AD1245-SUM($AG1245:AO1245))),0)</f>
        <v>0</v>
      </c>
      <c r="AQ1245" s="8">
        <f>IF($O1245="Aktif",MAX(0,MIN($AE1245,$AD1245-SUM($AG1245:AP1245))),0)</f>
        <v>0</v>
      </c>
      <c r="AR1245" s="8">
        <f>IF($O1245="Aktif",MAX(0,MIN($AE1245,$AD1245-SUM($AG1245:AQ1245))),0)</f>
        <v>0</v>
      </c>
      <c r="AS1245" s="8">
        <f>IF($O1245="Aktif",MAX(0,MIN($AE1245,$AD1245-SUM($AG1245:AR1245))),0)</f>
        <v>0</v>
      </c>
      <c r="AT1245" s="8">
        <f>IF($O1245="Aktif",MAX(0,MIN($AE1245,$AD1245-SUM($AG1245:AS1245))),0)</f>
        <v>0</v>
      </c>
      <c r="AU1245" s="8">
        <f>IF($O1245="Aktif",MAX(0,MIN($AE1245,$AD1245-SUM($AG1245:AT1245))),0)</f>
        <v>0</v>
      </c>
      <c r="AV1245" s="8">
        <f>IF($O1245="Aktif",MAX(0,MIN($AE1245,$AD1245-SUM($AG1245:AU1245))),0)</f>
        <v>0</v>
      </c>
      <c r="AW1245" s="8">
        <f t="shared" si="138"/>
        <v>0</v>
      </c>
      <c r="AX1245" s="8">
        <f t="shared" si="139"/>
        <v>0</v>
      </c>
    </row>
    <row r="1246" spans="1:50" ht="15" customHeight="1" x14ac:dyDescent="0.35">
      <c r="A1246" s="102">
        <v>1240</v>
      </c>
      <c r="B1246" s="102" t="s">
        <v>3343</v>
      </c>
      <c r="C1246" s="103">
        <v>47</v>
      </c>
      <c r="D1246" s="102" t="s">
        <v>186</v>
      </c>
      <c r="E1246" s="102" t="s">
        <v>479</v>
      </c>
      <c r="F1246" s="102" t="s">
        <v>3116</v>
      </c>
      <c r="G1246" s="102" t="s">
        <v>3117</v>
      </c>
      <c r="H1246" s="102" t="s">
        <v>3118</v>
      </c>
      <c r="I1246" s="102" t="s">
        <v>63</v>
      </c>
      <c r="J1246" s="102" t="s">
        <v>3439</v>
      </c>
      <c r="K1246" s="102"/>
      <c r="L1246" s="104">
        <v>42684</v>
      </c>
      <c r="M1246" s="102" t="s">
        <v>1984</v>
      </c>
      <c r="N1246" s="102" t="s">
        <v>1985</v>
      </c>
      <c r="O1246" s="102" t="s">
        <v>383</v>
      </c>
      <c r="P1246" s="103">
        <v>1</v>
      </c>
      <c r="Q1246" s="105">
        <v>24336000</v>
      </c>
      <c r="R1246" s="103">
        <v>48</v>
      </c>
      <c r="S1246" s="105">
        <v>507000</v>
      </c>
      <c r="T1246" s="105">
        <v>24336000</v>
      </c>
      <c r="U1246" s="105">
        <v>0</v>
      </c>
      <c r="V1246" s="105">
        <v>0</v>
      </c>
      <c r="W1246" s="105">
        <v>0</v>
      </c>
      <c r="X1246" s="105">
        <v>0</v>
      </c>
      <c r="Y1246" s="105">
        <v>0</v>
      </c>
      <c r="Z1246" s="105">
        <v>0</v>
      </c>
      <c r="AA1246" s="105">
        <v>0</v>
      </c>
      <c r="AB1246" s="105">
        <v>0</v>
      </c>
      <c r="AC1246" s="8">
        <f t="shared" si="133"/>
        <v>24336000</v>
      </c>
      <c r="AD1246" s="8">
        <f t="shared" si="134"/>
        <v>0</v>
      </c>
      <c r="AE1246" s="8">
        <f t="shared" si="135"/>
        <v>0</v>
      </c>
      <c r="AF1246" s="106">
        <f t="shared" si="136"/>
        <v>0</v>
      </c>
      <c r="AG1246" s="8">
        <f t="shared" si="137"/>
        <v>0</v>
      </c>
      <c r="AH1246" s="8">
        <f>IF($O1246="Aktif",MAX(0,MIN($AE1246,$AD1246-SUM($AG1246:AG1246))),0)</f>
        <v>0</v>
      </c>
      <c r="AI1246" s="8">
        <f>IF($O1246="Aktif",MAX(0,MIN($AE1246,$AD1246-SUM($AG1246:AH1246))),0)</f>
        <v>0</v>
      </c>
      <c r="AJ1246" s="8">
        <f>IF($O1246="Aktif",MAX(0,MIN($AE1246,$AD1246-SUM($AG1246:AI1246))),0)</f>
        <v>0</v>
      </c>
      <c r="AK1246" s="8">
        <f>IF($O1246="Aktif",MAX(0,MIN($AE1246,$AD1246-SUM($AG1246:AJ1246))),0)</f>
        <v>0</v>
      </c>
      <c r="AL1246" s="8">
        <f>IF($O1246="Aktif",MAX(0,MIN($AE1246,$AD1246-SUM($AG1246:AK1246))),0)</f>
        <v>0</v>
      </c>
      <c r="AM1246" s="8">
        <f>IF($O1246="Aktif",MAX(0,MIN($AE1246,$AD1246-SUM($AG1246:AL1246))),0)</f>
        <v>0</v>
      </c>
      <c r="AN1246" s="8">
        <f>IF($O1246="Aktif",MAX(0,MIN($AE1246,$AD1246-SUM($AG1246:AM1246))),0)</f>
        <v>0</v>
      </c>
      <c r="AO1246" s="8">
        <f>IF($O1246="Aktif",MAX(0,MIN($AE1246,$AD1246-SUM($AG1246:AN1246))),0)</f>
        <v>0</v>
      </c>
      <c r="AP1246" s="8">
        <f>IF($O1246="Aktif",MAX(0,MIN($AE1246,$AD1246-SUM($AG1246:AO1246))),0)</f>
        <v>0</v>
      </c>
      <c r="AQ1246" s="8">
        <f>IF($O1246="Aktif",MAX(0,MIN($AE1246,$AD1246-SUM($AG1246:AP1246))),0)</f>
        <v>0</v>
      </c>
      <c r="AR1246" s="8">
        <f>IF($O1246="Aktif",MAX(0,MIN($AE1246,$AD1246-SUM($AG1246:AQ1246))),0)</f>
        <v>0</v>
      </c>
      <c r="AS1246" s="8">
        <f>IF($O1246="Aktif",MAX(0,MIN($AE1246,$AD1246-SUM($AG1246:AR1246))),0)</f>
        <v>0</v>
      </c>
      <c r="AT1246" s="8">
        <f>IF($O1246="Aktif",MAX(0,MIN($AE1246,$AD1246-SUM($AG1246:AS1246))),0)</f>
        <v>0</v>
      </c>
      <c r="AU1246" s="8">
        <f>IF($O1246="Aktif",MAX(0,MIN($AE1246,$AD1246-SUM($AG1246:AT1246))),0)</f>
        <v>0</v>
      </c>
      <c r="AV1246" s="8">
        <f>IF($O1246="Aktif",MAX(0,MIN($AE1246,$AD1246-SUM($AG1246:AU1246))),0)</f>
        <v>0</v>
      </c>
      <c r="AW1246" s="8">
        <f t="shared" si="138"/>
        <v>0</v>
      </c>
      <c r="AX1246" s="8">
        <f t="shared" si="139"/>
        <v>0</v>
      </c>
    </row>
    <row r="1247" spans="1:50" ht="15" customHeight="1" x14ac:dyDescent="0.35">
      <c r="A1247" s="102">
        <v>1241</v>
      </c>
      <c r="B1247" s="102" t="s">
        <v>3343</v>
      </c>
      <c r="C1247" s="103">
        <v>48</v>
      </c>
      <c r="D1247" s="102" t="s">
        <v>186</v>
      </c>
      <c r="E1247" s="102" t="s">
        <v>540</v>
      </c>
      <c r="F1247" s="102" t="s">
        <v>3172</v>
      </c>
      <c r="G1247" s="102" t="s">
        <v>3173</v>
      </c>
      <c r="H1247" s="102" t="s">
        <v>3174</v>
      </c>
      <c r="I1247" s="102" t="s">
        <v>63</v>
      </c>
      <c r="J1247" s="102" t="s">
        <v>3440</v>
      </c>
      <c r="K1247" s="102"/>
      <c r="L1247" s="104">
        <v>42684</v>
      </c>
      <c r="M1247" s="102" t="s">
        <v>3350</v>
      </c>
      <c r="N1247" s="102" t="s">
        <v>3351</v>
      </c>
      <c r="O1247" s="102" t="s">
        <v>383</v>
      </c>
      <c r="P1247" s="103">
        <v>1</v>
      </c>
      <c r="Q1247" s="105">
        <v>4700000</v>
      </c>
      <c r="R1247" s="103">
        <v>96</v>
      </c>
      <c r="S1247" s="105">
        <v>48958.333333333299</v>
      </c>
      <c r="T1247" s="105">
        <v>4700000</v>
      </c>
      <c r="U1247" s="105">
        <v>0</v>
      </c>
      <c r="V1247" s="105">
        <v>0</v>
      </c>
      <c r="W1247" s="105">
        <v>0</v>
      </c>
      <c r="X1247" s="105">
        <v>0</v>
      </c>
      <c r="Y1247" s="105">
        <v>0</v>
      </c>
      <c r="Z1247" s="105">
        <v>0</v>
      </c>
      <c r="AA1247" s="105">
        <v>0</v>
      </c>
      <c r="AB1247" s="105">
        <v>0</v>
      </c>
      <c r="AC1247" s="8">
        <f t="shared" si="133"/>
        <v>4700000</v>
      </c>
      <c r="AD1247" s="8">
        <f t="shared" si="134"/>
        <v>0</v>
      </c>
      <c r="AE1247" s="8">
        <f t="shared" si="135"/>
        <v>0</v>
      </c>
      <c r="AF1247" s="106">
        <f t="shared" si="136"/>
        <v>0</v>
      </c>
      <c r="AG1247" s="8">
        <f t="shared" si="137"/>
        <v>0</v>
      </c>
      <c r="AH1247" s="8">
        <f>IF($O1247="Aktif",MAX(0,MIN($AE1247,$AD1247-SUM($AG1247:AG1247))),0)</f>
        <v>0</v>
      </c>
      <c r="AI1247" s="8">
        <f>IF($O1247="Aktif",MAX(0,MIN($AE1247,$AD1247-SUM($AG1247:AH1247))),0)</f>
        <v>0</v>
      </c>
      <c r="AJ1247" s="8">
        <f>IF($O1247="Aktif",MAX(0,MIN($AE1247,$AD1247-SUM($AG1247:AI1247))),0)</f>
        <v>0</v>
      </c>
      <c r="AK1247" s="8">
        <f>IF($O1247="Aktif",MAX(0,MIN($AE1247,$AD1247-SUM($AG1247:AJ1247))),0)</f>
        <v>0</v>
      </c>
      <c r="AL1247" s="8">
        <f>IF($O1247="Aktif",MAX(0,MIN($AE1247,$AD1247-SUM($AG1247:AK1247))),0)</f>
        <v>0</v>
      </c>
      <c r="AM1247" s="8">
        <f>IF($O1247="Aktif",MAX(0,MIN($AE1247,$AD1247-SUM($AG1247:AL1247))),0)</f>
        <v>0</v>
      </c>
      <c r="AN1247" s="8">
        <f>IF($O1247="Aktif",MAX(0,MIN($AE1247,$AD1247-SUM($AG1247:AM1247))),0)</f>
        <v>0</v>
      </c>
      <c r="AO1247" s="8">
        <f>IF($O1247="Aktif",MAX(0,MIN($AE1247,$AD1247-SUM($AG1247:AN1247))),0)</f>
        <v>0</v>
      </c>
      <c r="AP1247" s="8">
        <f>IF($O1247="Aktif",MAX(0,MIN($AE1247,$AD1247-SUM($AG1247:AO1247))),0)</f>
        <v>0</v>
      </c>
      <c r="AQ1247" s="8">
        <f>IF($O1247="Aktif",MAX(0,MIN($AE1247,$AD1247-SUM($AG1247:AP1247))),0)</f>
        <v>0</v>
      </c>
      <c r="AR1247" s="8">
        <f>IF($O1247="Aktif",MAX(0,MIN($AE1247,$AD1247-SUM($AG1247:AQ1247))),0)</f>
        <v>0</v>
      </c>
      <c r="AS1247" s="8">
        <f>IF($O1247="Aktif",MAX(0,MIN($AE1247,$AD1247-SUM($AG1247:AR1247))),0)</f>
        <v>0</v>
      </c>
      <c r="AT1247" s="8">
        <f>IF($O1247="Aktif",MAX(0,MIN($AE1247,$AD1247-SUM($AG1247:AS1247))),0)</f>
        <v>0</v>
      </c>
      <c r="AU1247" s="8">
        <f>IF($O1247="Aktif",MAX(0,MIN($AE1247,$AD1247-SUM($AG1247:AT1247))),0)</f>
        <v>0</v>
      </c>
      <c r="AV1247" s="8">
        <f>IF($O1247="Aktif",MAX(0,MIN($AE1247,$AD1247-SUM($AG1247:AU1247))),0)</f>
        <v>0</v>
      </c>
      <c r="AW1247" s="8">
        <f t="shared" si="138"/>
        <v>0</v>
      </c>
      <c r="AX1247" s="8">
        <f t="shared" si="139"/>
        <v>0</v>
      </c>
    </row>
    <row r="1248" spans="1:50" ht="15" customHeight="1" x14ac:dyDescent="0.35">
      <c r="A1248" s="102">
        <v>1242</v>
      </c>
      <c r="B1248" s="102" t="s">
        <v>3343</v>
      </c>
      <c r="C1248" s="103">
        <v>49</v>
      </c>
      <c r="D1248" s="102" t="s">
        <v>186</v>
      </c>
      <c r="E1248" s="102" t="s">
        <v>479</v>
      </c>
      <c r="F1248" s="102" t="s">
        <v>3116</v>
      </c>
      <c r="G1248" s="102" t="s">
        <v>3117</v>
      </c>
      <c r="H1248" s="102" t="s">
        <v>3118</v>
      </c>
      <c r="I1248" s="102" t="s">
        <v>63</v>
      </c>
      <c r="J1248" s="102" t="s">
        <v>3441</v>
      </c>
      <c r="K1248" s="102"/>
      <c r="L1248" s="104">
        <v>42689</v>
      </c>
      <c r="M1248" s="102" t="s">
        <v>3442</v>
      </c>
      <c r="N1248" s="102" t="s">
        <v>3443</v>
      </c>
      <c r="O1248" s="102" t="s">
        <v>383</v>
      </c>
      <c r="P1248" s="103">
        <v>1</v>
      </c>
      <c r="Q1248" s="105">
        <v>1800000</v>
      </c>
      <c r="R1248" s="103">
        <v>48</v>
      </c>
      <c r="S1248" s="105">
        <v>37500</v>
      </c>
      <c r="T1248" s="105">
        <v>1800000</v>
      </c>
      <c r="U1248" s="105">
        <v>0</v>
      </c>
      <c r="V1248" s="105">
        <v>0</v>
      </c>
      <c r="W1248" s="105">
        <v>0</v>
      </c>
      <c r="X1248" s="105">
        <v>0</v>
      </c>
      <c r="Y1248" s="105">
        <v>0</v>
      </c>
      <c r="Z1248" s="105">
        <v>0</v>
      </c>
      <c r="AA1248" s="105">
        <v>0</v>
      </c>
      <c r="AB1248" s="105">
        <v>0</v>
      </c>
      <c r="AC1248" s="8">
        <f t="shared" si="133"/>
        <v>1800000</v>
      </c>
      <c r="AD1248" s="8">
        <f t="shared" si="134"/>
        <v>0</v>
      </c>
      <c r="AE1248" s="8">
        <f t="shared" si="135"/>
        <v>0</v>
      </c>
      <c r="AF1248" s="106">
        <f t="shared" si="136"/>
        <v>0</v>
      </c>
      <c r="AG1248" s="8">
        <f t="shared" si="137"/>
        <v>0</v>
      </c>
      <c r="AH1248" s="8">
        <f>IF($O1248="Aktif",MAX(0,MIN($AE1248,$AD1248-SUM($AG1248:AG1248))),0)</f>
        <v>0</v>
      </c>
      <c r="AI1248" s="8">
        <f>IF($O1248="Aktif",MAX(0,MIN($AE1248,$AD1248-SUM($AG1248:AH1248))),0)</f>
        <v>0</v>
      </c>
      <c r="AJ1248" s="8">
        <f>IF($O1248="Aktif",MAX(0,MIN($AE1248,$AD1248-SUM($AG1248:AI1248))),0)</f>
        <v>0</v>
      </c>
      <c r="AK1248" s="8">
        <f>IF($O1248="Aktif",MAX(0,MIN($AE1248,$AD1248-SUM($AG1248:AJ1248))),0)</f>
        <v>0</v>
      </c>
      <c r="AL1248" s="8">
        <f>IF($O1248="Aktif",MAX(0,MIN($AE1248,$AD1248-SUM($AG1248:AK1248))),0)</f>
        <v>0</v>
      </c>
      <c r="AM1248" s="8">
        <f>IF($O1248="Aktif",MAX(0,MIN($AE1248,$AD1248-SUM($AG1248:AL1248))),0)</f>
        <v>0</v>
      </c>
      <c r="AN1248" s="8">
        <f>IF($O1248="Aktif",MAX(0,MIN($AE1248,$AD1248-SUM($AG1248:AM1248))),0)</f>
        <v>0</v>
      </c>
      <c r="AO1248" s="8">
        <f>IF($O1248="Aktif",MAX(0,MIN($AE1248,$AD1248-SUM($AG1248:AN1248))),0)</f>
        <v>0</v>
      </c>
      <c r="AP1248" s="8">
        <f>IF($O1248="Aktif",MAX(0,MIN($AE1248,$AD1248-SUM($AG1248:AO1248))),0)</f>
        <v>0</v>
      </c>
      <c r="AQ1248" s="8">
        <f>IF($O1248="Aktif",MAX(0,MIN($AE1248,$AD1248-SUM($AG1248:AP1248))),0)</f>
        <v>0</v>
      </c>
      <c r="AR1248" s="8">
        <f>IF($O1248="Aktif",MAX(0,MIN($AE1248,$AD1248-SUM($AG1248:AQ1248))),0)</f>
        <v>0</v>
      </c>
      <c r="AS1248" s="8">
        <f>IF($O1248="Aktif",MAX(0,MIN($AE1248,$AD1248-SUM($AG1248:AR1248))),0)</f>
        <v>0</v>
      </c>
      <c r="AT1248" s="8">
        <f>IF($O1248="Aktif",MAX(0,MIN($AE1248,$AD1248-SUM($AG1248:AS1248))),0)</f>
        <v>0</v>
      </c>
      <c r="AU1248" s="8">
        <f>IF($O1248="Aktif",MAX(0,MIN($AE1248,$AD1248-SUM($AG1248:AT1248))),0)</f>
        <v>0</v>
      </c>
      <c r="AV1248" s="8">
        <f>IF($O1248="Aktif",MAX(0,MIN($AE1248,$AD1248-SUM($AG1248:AU1248))),0)</f>
        <v>0</v>
      </c>
      <c r="AW1248" s="8">
        <f t="shared" si="138"/>
        <v>0</v>
      </c>
      <c r="AX1248" s="8">
        <f t="shared" si="139"/>
        <v>0</v>
      </c>
    </row>
    <row r="1249" spans="1:50" ht="15" customHeight="1" x14ac:dyDescent="0.35">
      <c r="A1249" s="102">
        <v>1243</v>
      </c>
      <c r="B1249" s="102" t="s">
        <v>3343</v>
      </c>
      <c r="C1249" s="103">
        <v>50</v>
      </c>
      <c r="D1249" s="102" t="s">
        <v>186</v>
      </c>
      <c r="E1249" s="102" t="s">
        <v>479</v>
      </c>
      <c r="F1249" s="102" t="s">
        <v>3116</v>
      </c>
      <c r="G1249" s="102" t="s">
        <v>3117</v>
      </c>
      <c r="H1249" s="102" t="s">
        <v>3118</v>
      </c>
      <c r="I1249" s="102" t="s">
        <v>63</v>
      </c>
      <c r="J1249" s="102" t="s">
        <v>3444</v>
      </c>
      <c r="K1249" s="102"/>
      <c r="L1249" s="104">
        <v>42692</v>
      </c>
      <c r="M1249" s="102" t="s">
        <v>3445</v>
      </c>
      <c r="N1249" s="102" t="s">
        <v>3446</v>
      </c>
      <c r="O1249" s="102" t="s">
        <v>383</v>
      </c>
      <c r="P1249" s="103">
        <v>1</v>
      </c>
      <c r="Q1249" s="105">
        <v>6500000</v>
      </c>
      <c r="R1249" s="103">
        <v>48</v>
      </c>
      <c r="S1249" s="105">
        <v>135416.66666666701</v>
      </c>
      <c r="T1249" s="105">
        <v>6500000</v>
      </c>
      <c r="U1249" s="105">
        <v>0</v>
      </c>
      <c r="V1249" s="105">
        <v>0</v>
      </c>
      <c r="W1249" s="105">
        <v>0</v>
      </c>
      <c r="X1249" s="105">
        <v>0</v>
      </c>
      <c r="Y1249" s="105">
        <v>0</v>
      </c>
      <c r="Z1249" s="105">
        <v>0</v>
      </c>
      <c r="AA1249" s="105">
        <v>0</v>
      </c>
      <c r="AB1249" s="105">
        <v>0</v>
      </c>
      <c r="AC1249" s="8">
        <f t="shared" si="133"/>
        <v>6500000</v>
      </c>
      <c r="AD1249" s="8">
        <f t="shared" si="134"/>
        <v>0</v>
      </c>
      <c r="AE1249" s="8">
        <f t="shared" si="135"/>
        <v>0</v>
      </c>
      <c r="AF1249" s="106">
        <f t="shared" si="136"/>
        <v>0</v>
      </c>
      <c r="AG1249" s="8">
        <f t="shared" si="137"/>
        <v>0</v>
      </c>
      <c r="AH1249" s="8">
        <f>IF($O1249="Aktif",MAX(0,MIN($AE1249,$AD1249-SUM($AG1249:AG1249))),0)</f>
        <v>0</v>
      </c>
      <c r="AI1249" s="8">
        <f>IF($O1249="Aktif",MAX(0,MIN($AE1249,$AD1249-SUM($AG1249:AH1249))),0)</f>
        <v>0</v>
      </c>
      <c r="AJ1249" s="8">
        <f>IF($O1249="Aktif",MAX(0,MIN($AE1249,$AD1249-SUM($AG1249:AI1249))),0)</f>
        <v>0</v>
      </c>
      <c r="AK1249" s="8">
        <f>IF($O1249="Aktif",MAX(0,MIN($AE1249,$AD1249-SUM($AG1249:AJ1249))),0)</f>
        <v>0</v>
      </c>
      <c r="AL1249" s="8">
        <f>IF($O1249="Aktif",MAX(0,MIN($AE1249,$AD1249-SUM($AG1249:AK1249))),0)</f>
        <v>0</v>
      </c>
      <c r="AM1249" s="8">
        <f>IF($O1249="Aktif",MAX(0,MIN($AE1249,$AD1249-SUM($AG1249:AL1249))),0)</f>
        <v>0</v>
      </c>
      <c r="AN1249" s="8">
        <f>IF($O1249="Aktif",MAX(0,MIN($AE1249,$AD1249-SUM($AG1249:AM1249))),0)</f>
        <v>0</v>
      </c>
      <c r="AO1249" s="8">
        <f>IF($O1249="Aktif",MAX(0,MIN($AE1249,$AD1249-SUM($AG1249:AN1249))),0)</f>
        <v>0</v>
      </c>
      <c r="AP1249" s="8">
        <f>IF($O1249="Aktif",MAX(0,MIN($AE1249,$AD1249-SUM($AG1249:AO1249))),0)</f>
        <v>0</v>
      </c>
      <c r="AQ1249" s="8">
        <f>IF($O1249="Aktif",MAX(0,MIN($AE1249,$AD1249-SUM($AG1249:AP1249))),0)</f>
        <v>0</v>
      </c>
      <c r="AR1249" s="8">
        <f>IF($O1249="Aktif",MAX(0,MIN($AE1249,$AD1249-SUM($AG1249:AQ1249))),0)</f>
        <v>0</v>
      </c>
      <c r="AS1249" s="8">
        <f>IF($O1249="Aktif",MAX(0,MIN($AE1249,$AD1249-SUM($AG1249:AR1249))),0)</f>
        <v>0</v>
      </c>
      <c r="AT1249" s="8">
        <f>IF($O1249="Aktif",MAX(0,MIN($AE1249,$AD1249-SUM($AG1249:AS1249))),0)</f>
        <v>0</v>
      </c>
      <c r="AU1249" s="8">
        <f>IF($O1249="Aktif",MAX(0,MIN($AE1249,$AD1249-SUM($AG1249:AT1249))),0)</f>
        <v>0</v>
      </c>
      <c r="AV1249" s="8">
        <f>IF($O1249="Aktif",MAX(0,MIN($AE1249,$AD1249-SUM($AG1249:AU1249))),0)</f>
        <v>0</v>
      </c>
      <c r="AW1249" s="8">
        <f t="shared" si="138"/>
        <v>0</v>
      </c>
      <c r="AX1249" s="8">
        <f t="shared" si="139"/>
        <v>0</v>
      </c>
    </row>
    <row r="1250" spans="1:50" ht="15" customHeight="1" x14ac:dyDescent="0.35">
      <c r="A1250" s="102">
        <v>1244</v>
      </c>
      <c r="B1250" s="102" t="s">
        <v>3343</v>
      </c>
      <c r="C1250" s="103">
        <v>51</v>
      </c>
      <c r="D1250" s="102" t="s">
        <v>186</v>
      </c>
      <c r="E1250" s="102" t="s">
        <v>479</v>
      </c>
      <c r="F1250" s="102" t="s">
        <v>3116</v>
      </c>
      <c r="G1250" s="102" t="s">
        <v>3117</v>
      </c>
      <c r="H1250" s="102" t="s">
        <v>3118</v>
      </c>
      <c r="I1250" s="102" t="s">
        <v>63</v>
      </c>
      <c r="J1250" s="102" t="s">
        <v>3447</v>
      </c>
      <c r="K1250" s="102"/>
      <c r="L1250" s="104">
        <v>42703</v>
      </c>
      <c r="M1250" s="102" t="s">
        <v>3448</v>
      </c>
      <c r="N1250" s="102" t="s">
        <v>3449</v>
      </c>
      <c r="O1250" s="102" t="s">
        <v>383</v>
      </c>
      <c r="P1250" s="103">
        <v>1</v>
      </c>
      <c r="Q1250" s="105">
        <v>1900000</v>
      </c>
      <c r="R1250" s="103">
        <v>48</v>
      </c>
      <c r="S1250" s="105">
        <v>39583.333333333299</v>
      </c>
      <c r="T1250" s="105">
        <v>1900000</v>
      </c>
      <c r="U1250" s="105">
        <v>0</v>
      </c>
      <c r="V1250" s="105">
        <v>0</v>
      </c>
      <c r="W1250" s="105">
        <v>0</v>
      </c>
      <c r="X1250" s="105">
        <v>0</v>
      </c>
      <c r="Y1250" s="105">
        <v>0</v>
      </c>
      <c r="Z1250" s="105">
        <v>0</v>
      </c>
      <c r="AA1250" s="105">
        <v>0</v>
      </c>
      <c r="AB1250" s="105">
        <v>0</v>
      </c>
      <c r="AC1250" s="8">
        <f t="shared" si="133"/>
        <v>1900000</v>
      </c>
      <c r="AD1250" s="8">
        <f t="shared" si="134"/>
        <v>0</v>
      </c>
      <c r="AE1250" s="8">
        <f t="shared" si="135"/>
        <v>0</v>
      </c>
      <c r="AF1250" s="106">
        <f t="shared" si="136"/>
        <v>0</v>
      </c>
      <c r="AG1250" s="8">
        <f t="shared" si="137"/>
        <v>0</v>
      </c>
      <c r="AH1250" s="8">
        <f>IF($O1250="Aktif",MAX(0,MIN($AE1250,$AD1250-SUM($AG1250:AG1250))),0)</f>
        <v>0</v>
      </c>
      <c r="AI1250" s="8">
        <f>IF($O1250="Aktif",MAX(0,MIN($AE1250,$AD1250-SUM($AG1250:AH1250))),0)</f>
        <v>0</v>
      </c>
      <c r="AJ1250" s="8">
        <f>IF($O1250="Aktif",MAX(0,MIN($AE1250,$AD1250-SUM($AG1250:AI1250))),0)</f>
        <v>0</v>
      </c>
      <c r="AK1250" s="8">
        <f>IF($O1250="Aktif",MAX(0,MIN($AE1250,$AD1250-SUM($AG1250:AJ1250))),0)</f>
        <v>0</v>
      </c>
      <c r="AL1250" s="8">
        <f>IF($O1250="Aktif",MAX(0,MIN($AE1250,$AD1250-SUM($AG1250:AK1250))),0)</f>
        <v>0</v>
      </c>
      <c r="AM1250" s="8">
        <f>IF($O1250="Aktif",MAX(0,MIN($AE1250,$AD1250-SUM($AG1250:AL1250))),0)</f>
        <v>0</v>
      </c>
      <c r="AN1250" s="8">
        <f>IF($O1250="Aktif",MAX(0,MIN($AE1250,$AD1250-SUM($AG1250:AM1250))),0)</f>
        <v>0</v>
      </c>
      <c r="AO1250" s="8">
        <f>IF($O1250="Aktif",MAX(0,MIN($AE1250,$AD1250-SUM($AG1250:AN1250))),0)</f>
        <v>0</v>
      </c>
      <c r="AP1250" s="8">
        <f>IF($O1250="Aktif",MAX(0,MIN($AE1250,$AD1250-SUM($AG1250:AO1250))),0)</f>
        <v>0</v>
      </c>
      <c r="AQ1250" s="8">
        <f>IF($O1250="Aktif",MAX(0,MIN($AE1250,$AD1250-SUM($AG1250:AP1250))),0)</f>
        <v>0</v>
      </c>
      <c r="AR1250" s="8">
        <f>IF($O1250="Aktif",MAX(0,MIN($AE1250,$AD1250-SUM($AG1250:AQ1250))),0)</f>
        <v>0</v>
      </c>
      <c r="AS1250" s="8">
        <f>IF($O1250="Aktif",MAX(0,MIN($AE1250,$AD1250-SUM($AG1250:AR1250))),0)</f>
        <v>0</v>
      </c>
      <c r="AT1250" s="8">
        <f>IF($O1250="Aktif",MAX(0,MIN($AE1250,$AD1250-SUM($AG1250:AS1250))),0)</f>
        <v>0</v>
      </c>
      <c r="AU1250" s="8">
        <f>IF($O1250="Aktif",MAX(0,MIN($AE1250,$AD1250-SUM($AG1250:AT1250))),0)</f>
        <v>0</v>
      </c>
      <c r="AV1250" s="8">
        <f>IF($O1250="Aktif",MAX(0,MIN($AE1250,$AD1250-SUM($AG1250:AU1250))),0)</f>
        <v>0</v>
      </c>
      <c r="AW1250" s="8">
        <f t="shared" si="138"/>
        <v>0</v>
      </c>
      <c r="AX1250" s="8">
        <f t="shared" si="139"/>
        <v>0</v>
      </c>
    </row>
    <row r="1251" spans="1:50" ht="15" customHeight="1" x14ac:dyDescent="0.35">
      <c r="A1251" s="102">
        <v>1245</v>
      </c>
      <c r="B1251" s="102" t="s">
        <v>3343</v>
      </c>
      <c r="C1251" s="103">
        <v>52</v>
      </c>
      <c r="D1251" s="102" t="s">
        <v>186</v>
      </c>
      <c r="E1251" s="102" t="s">
        <v>479</v>
      </c>
      <c r="F1251" s="102" t="s">
        <v>3116</v>
      </c>
      <c r="G1251" s="102" t="s">
        <v>3117</v>
      </c>
      <c r="H1251" s="102" t="s">
        <v>3118</v>
      </c>
      <c r="I1251" s="102" t="s">
        <v>63</v>
      </c>
      <c r="J1251" s="102" t="s">
        <v>3450</v>
      </c>
      <c r="K1251" s="102"/>
      <c r="L1251" s="104">
        <v>42704</v>
      </c>
      <c r="M1251" s="102" t="s">
        <v>3451</v>
      </c>
      <c r="N1251" s="102" t="s">
        <v>3452</v>
      </c>
      <c r="O1251" s="102" t="s">
        <v>383</v>
      </c>
      <c r="P1251" s="103">
        <v>1</v>
      </c>
      <c r="Q1251" s="105">
        <v>18500000</v>
      </c>
      <c r="R1251" s="103">
        <v>48</v>
      </c>
      <c r="S1251" s="105">
        <v>385416.66666666698</v>
      </c>
      <c r="T1251" s="105">
        <v>18500000</v>
      </c>
      <c r="U1251" s="105">
        <v>0</v>
      </c>
      <c r="V1251" s="105">
        <v>0</v>
      </c>
      <c r="W1251" s="105">
        <v>0</v>
      </c>
      <c r="X1251" s="105">
        <v>0</v>
      </c>
      <c r="Y1251" s="105">
        <v>0</v>
      </c>
      <c r="Z1251" s="105">
        <v>0</v>
      </c>
      <c r="AA1251" s="105">
        <v>0</v>
      </c>
      <c r="AB1251" s="105">
        <v>0</v>
      </c>
      <c r="AC1251" s="8">
        <f t="shared" si="133"/>
        <v>18500000</v>
      </c>
      <c r="AD1251" s="8">
        <f t="shared" si="134"/>
        <v>0</v>
      </c>
      <c r="AE1251" s="8">
        <f t="shared" si="135"/>
        <v>0</v>
      </c>
      <c r="AF1251" s="106">
        <f t="shared" si="136"/>
        <v>0</v>
      </c>
      <c r="AG1251" s="8">
        <f t="shared" si="137"/>
        <v>0</v>
      </c>
      <c r="AH1251" s="8">
        <f>IF($O1251="Aktif",MAX(0,MIN($AE1251,$AD1251-SUM($AG1251:AG1251))),0)</f>
        <v>0</v>
      </c>
      <c r="AI1251" s="8">
        <f>IF($O1251="Aktif",MAX(0,MIN($AE1251,$AD1251-SUM($AG1251:AH1251))),0)</f>
        <v>0</v>
      </c>
      <c r="AJ1251" s="8">
        <f>IF($O1251="Aktif",MAX(0,MIN($AE1251,$AD1251-SUM($AG1251:AI1251))),0)</f>
        <v>0</v>
      </c>
      <c r="AK1251" s="8">
        <f>IF($O1251="Aktif",MAX(0,MIN($AE1251,$AD1251-SUM($AG1251:AJ1251))),0)</f>
        <v>0</v>
      </c>
      <c r="AL1251" s="8">
        <f>IF($O1251="Aktif",MAX(0,MIN($AE1251,$AD1251-SUM($AG1251:AK1251))),0)</f>
        <v>0</v>
      </c>
      <c r="AM1251" s="8">
        <f>IF($O1251="Aktif",MAX(0,MIN($AE1251,$AD1251-SUM($AG1251:AL1251))),0)</f>
        <v>0</v>
      </c>
      <c r="AN1251" s="8">
        <f>IF($O1251="Aktif",MAX(0,MIN($AE1251,$AD1251-SUM($AG1251:AM1251))),0)</f>
        <v>0</v>
      </c>
      <c r="AO1251" s="8">
        <f>IF($O1251="Aktif",MAX(0,MIN($AE1251,$AD1251-SUM($AG1251:AN1251))),0)</f>
        <v>0</v>
      </c>
      <c r="AP1251" s="8">
        <f>IF($O1251="Aktif",MAX(0,MIN($AE1251,$AD1251-SUM($AG1251:AO1251))),0)</f>
        <v>0</v>
      </c>
      <c r="AQ1251" s="8">
        <f>IF($O1251="Aktif",MAX(0,MIN($AE1251,$AD1251-SUM($AG1251:AP1251))),0)</f>
        <v>0</v>
      </c>
      <c r="AR1251" s="8">
        <f>IF($O1251="Aktif",MAX(0,MIN($AE1251,$AD1251-SUM($AG1251:AQ1251))),0)</f>
        <v>0</v>
      </c>
      <c r="AS1251" s="8">
        <f>IF($O1251="Aktif",MAX(0,MIN($AE1251,$AD1251-SUM($AG1251:AR1251))),0)</f>
        <v>0</v>
      </c>
      <c r="AT1251" s="8">
        <f>IF($O1251="Aktif",MAX(0,MIN($AE1251,$AD1251-SUM($AG1251:AS1251))),0)</f>
        <v>0</v>
      </c>
      <c r="AU1251" s="8">
        <f>IF($O1251="Aktif",MAX(0,MIN($AE1251,$AD1251-SUM($AG1251:AT1251))),0)</f>
        <v>0</v>
      </c>
      <c r="AV1251" s="8">
        <f>IF($O1251="Aktif",MAX(0,MIN($AE1251,$AD1251-SUM($AG1251:AU1251))),0)</f>
        <v>0</v>
      </c>
      <c r="AW1251" s="8">
        <f t="shared" si="138"/>
        <v>0</v>
      </c>
      <c r="AX1251" s="8">
        <f t="shared" si="139"/>
        <v>0</v>
      </c>
    </row>
    <row r="1252" spans="1:50" ht="15" customHeight="1" x14ac:dyDescent="0.35">
      <c r="A1252" s="102">
        <v>1246</v>
      </c>
      <c r="B1252" s="102" t="s">
        <v>3343</v>
      </c>
      <c r="C1252" s="103">
        <v>53</v>
      </c>
      <c r="D1252" s="102" t="s">
        <v>186</v>
      </c>
      <c r="E1252" s="102" t="s">
        <v>479</v>
      </c>
      <c r="F1252" s="102" t="s">
        <v>3116</v>
      </c>
      <c r="G1252" s="102" t="s">
        <v>3117</v>
      </c>
      <c r="H1252" s="102" t="s">
        <v>3118</v>
      </c>
      <c r="I1252" s="102" t="s">
        <v>63</v>
      </c>
      <c r="J1252" s="102" t="s">
        <v>3453</v>
      </c>
      <c r="K1252" s="102"/>
      <c r="L1252" s="104">
        <v>42720</v>
      </c>
      <c r="M1252" s="102" t="s">
        <v>3454</v>
      </c>
      <c r="N1252" s="102" t="s">
        <v>3455</v>
      </c>
      <c r="O1252" s="102" t="s">
        <v>383</v>
      </c>
      <c r="P1252" s="103">
        <v>1</v>
      </c>
      <c r="Q1252" s="105">
        <v>7700000</v>
      </c>
      <c r="R1252" s="103">
        <v>48</v>
      </c>
      <c r="S1252" s="105">
        <v>160416.66666666701</v>
      </c>
      <c r="T1252" s="105">
        <v>7700000</v>
      </c>
      <c r="U1252" s="105">
        <v>0</v>
      </c>
      <c r="V1252" s="105">
        <v>0</v>
      </c>
      <c r="W1252" s="105">
        <v>0</v>
      </c>
      <c r="X1252" s="105">
        <v>0</v>
      </c>
      <c r="Y1252" s="105">
        <v>0</v>
      </c>
      <c r="Z1252" s="105">
        <v>0</v>
      </c>
      <c r="AA1252" s="105">
        <v>0</v>
      </c>
      <c r="AB1252" s="105">
        <v>0</v>
      </c>
      <c r="AC1252" s="8">
        <f t="shared" si="133"/>
        <v>7700000</v>
      </c>
      <c r="AD1252" s="8">
        <f t="shared" si="134"/>
        <v>0</v>
      </c>
      <c r="AE1252" s="8">
        <f t="shared" si="135"/>
        <v>0</v>
      </c>
      <c r="AF1252" s="106">
        <f t="shared" si="136"/>
        <v>0</v>
      </c>
      <c r="AG1252" s="8">
        <f t="shared" si="137"/>
        <v>0</v>
      </c>
      <c r="AH1252" s="8">
        <f>IF($O1252="Aktif",MAX(0,MIN($AE1252,$AD1252-SUM($AG1252:AG1252))),0)</f>
        <v>0</v>
      </c>
      <c r="AI1252" s="8">
        <f>IF($O1252="Aktif",MAX(0,MIN($AE1252,$AD1252-SUM($AG1252:AH1252))),0)</f>
        <v>0</v>
      </c>
      <c r="AJ1252" s="8">
        <f>IF($O1252="Aktif",MAX(0,MIN($AE1252,$AD1252-SUM($AG1252:AI1252))),0)</f>
        <v>0</v>
      </c>
      <c r="AK1252" s="8">
        <f>IF($O1252="Aktif",MAX(0,MIN($AE1252,$AD1252-SUM($AG1252:AJ1252))),0)</f>
        <v>0</v>
      </c>
      <c r="AL1252" s="8">
        <f>IF($O1252="Aktif",MAX(0,MIN($AE1252,$AD1252-SUM($AG1252:AK1252))),0)</f>
        <v>0</v>
      </c>
      <c r="AM1252" s="8">
        <f>IF($O1252="Aktif",MAX(0,MIN($AE1252,$AD1252-SUM($AG1252:AL1252))),0)</f>
        <v>0</v>
      </c>
      <c r="AN1252" s="8">
        <f>IF($O1252="Aktif",MAX(0,MIN($AE1252,$AD1252-SUM($AG1252:AM1252))),0)</f>
        <v>0</v>
      </c>
      <c r="AO1252" s="8">
        <f>IF($O1252="Aktif",MAX(0,MIN($AE1252,$AD1252-SUM($AG1252:AN1252))),0)</f>
        <v>0</v>
      </c>
      <c r="AP1252" s="8">
        <f>IF($O1252="Aktif",MAX(0,MIN($AE1252,$AD1252-SUM($AG1252:AO1252))),0)</f>
        <v>0</v>
      </c>
      <c r="AQ1252" s="8">
        <f>IF($O1252="Aktif",MAX(0,MIN($AE1252,$AD1252-SUM($AG1252:AP1252))),0)</f>
        <v>0</v>
      </c>
      <c r="AR1252" s="8">
        <f>IF($O1252="Aktif",MAX(0,MIN($AE1252,$AD1252-SUM($AG1252:AQ1252))),0)</f>
        <v>0</v>
      </c>
      <c r="AS1252" s="8">
        <f>IF($O1252="Aktif",MAX(0,MIN($AE1252,$AD1252-SUM($AG1252:AR1252))),0)</f>
        <v>0</v>
      </c>
      <c r="AT1252" s="8">
        <f>IF($O1252="Aktif",MAX(0,MIN($AE1252,$AD1252-SUM($AG1252:AS1252))),0)</f>
        <v>0</v>
      </c>
      <c r="AU1252" s="8">
        <f>IF($O1252="Aktif",MAX(0,MIN($AE1252,$AD1252-SUM($AG1252:AT1252))),0)</f>
        <v>0</v>
      </c>
      <c r="AV1252" s="8">
        <f>IF($O1252="Aktif",MAX(0,MIN($AE1252,$AD1252-SUM($AG1252:AU1252))),0)</f>
        <v>0</v>
      </c>
      <c r="AW1252" s="8">
        <f t="shared" si="138"/>
        <v>0</v>
      </c>
      <c r="AX1252" s="8">
        <f t="shared" si="139"/>
        <v>0</v>
      </c>
    </row>
    <row r="1253" spans="1:50" ht="15" customHeight="1" x14ac:dyDescent="0.35">
      <c r="A1253" s="102">
        <v>1247</v>
      </c>
      <c r="B1253" s="102" t="s">
        <v>3343</v>
      </c>
      <c r="C1253" s="103">
        <v>54</v>
      </c>
      <c r="D1253" s="102" t="s">
        <v>186</v>
      </c>
      <c r="E1253" s="102" t="s">
        <v>479</v>
      </c>
      <c r="F1253" s="102" t="s">
        <v>3116</v>
      </c>
      <c r="G1253" s="102" t="s">
        <v>3117</v>
      </c>
      <c r="H1253" s="102" t="s">
        <v>3118</v>
      </c>
      <c r="I1253" s="102" t="s">
        <v>63</v>
      </c>
      <c r="J1253" s="102" t="s">
        <v>3456</v>
      </c>
      <c r="K1253" s="102"/>
      <c r="L1253" s="104">
        <v>42734</v>
      </c>
      <c r="M1253" s="102" t="s">
        <v>3457</v>
      </c>
      <c r="N1253" s="102" t="s">
        <v>3458</v>
      </c>
      <c r="O1253" s="102" t="s">
        <v>383</v>
      </c>
      <c r="P1253" s="103">
        <v>1</v>
      </c>
      <c r="Q1253" s="105">
        <v>12000000</v>
      </c>
      <c r="R1253" s="103">
        <v>48</v>
      </c>
      <c r="S1253" s="105">
        <v>250000</v>
      </c>
      <c r="T1253" s="105">
        <v>12000000</v>
      </c>
      <c r="U1253" s="105">
        <v>0</v>
      </c>
      <c r="V1253" s="105">
        <v>0</v>
      </c>
      <c r="W1253" s="105">
        <v>0</v>
      </c>
      <c r="X1253" s="105">
        <v>0</v>
      </c>
      <c r="Y1253" s="105">
        <v>0</v>
      </c>
      <c r="Z1253" s="105">
        <v>0</v>
      </c>
      <c r="AA1253" s="105">
        <v>0</v>
      </c>
      <c r="AB1253" s="105">
        <v>0</v>
      </c>
      <c r="AC1253" s="8">
        <f t="shared" si="133"/>
        <v>12000000</v>
      </c>
      <c r="AD1253" s="8">
        <f t="shared" si="134"/>
        <v>0</v>
      </c>
      <c r="AE1253" s="8">
        <f t="shared" si="135"/>
        <v>0</v>
      </c>
      <c r="AF1253" s="106">
        <f t="shared" si="136"/>
        <v>0</v>
      </c>
      <c r="AG1253" s="8">
        <f t="shared" si="137"/>
        <v>0</v>
      </c>
      <c r="AH1253" s="8">
        <f>IF($O1253="Aktif",MAX(0,MIN($AE1253,$AD1253-SUM($AG1253:AG1253))),0)</f>
        <v>0</v>
      </c>
      <c r="AI1253" s="8">
        <f>IF($O1253="Aktif",MAX(0,MIN($AE1253,$AD1253-SUM($AG1253:AH1253))),0)</f>
        <v>0</v>
      </c>
      <c r="AJ1253" s="8">
        <f>IF($O1253="Aktif",MAX(0,MIN($AE1253,$AD1253-SUM($AG1253:AI1253))),0)</f>
        <v>0</v>
      </c>
      <c r="AK1253" s="8">
        <f>IF($O1253="Aktif",MAX(0,MIN($AE1253,$AD1253-SUM($AG1253:AJ1253))),0)</f>
        <v>0</v>
      </c>
      <c r="AL1253" s="8">
        <f>IF($O1253="Aktif",MAX(0,MIN($AE1253,$AD1253-SUM($AG1253:AK1253))),0)</f>
        <v>0</v>
      </c>
      <c r="AM1253" s="8">
        <f>IF($O1253="Aktif",MAX(0,MIN($AE1253,$AD1253-SUM($AG1253:AL1253))),0)</f>
        <v>0</v>
      </c>
      <c r="AN1253" s="8">
        <f>IF($O1253="Aktif",MAX(0,MIN($AE1253,$AD1253-SUM($AG1253:AM1253))),0)</f>
        <v>0</v>
      </c>
      <c r="AO1253" s="8">
        <f>IF($O1253="Aktif",MAX(0,MIN($AE1253,$AD1253-SUM($AG1253:AN1253))),0)</f>
        <v>0</v>
      </c>
      <c r="AP1253" s="8">
        <f>IF($O1253="Aktif",MAX(0,MIN($AE1253,$AD1253-SUM($AG1253:AO1253))),0)</f>
        <v>0</v>
      </c>
      <c r="AQ1253" s="8">
        <f>IF($O1253="Aktif",MAX(0,MIN($AE1253,$AD1253-SUM($AG1253:AP1253))),0)</f>
        <v>0</v>
      </c>
      <c r="AR1253" s="8">
        <f>IF($O1253="Aktif",MAX(0,MIN($AE1253,$AD1253-SUM($AG1253:AQ1253))),0)</f>
        <v>0</v>
      </c>
      <c r="AS1253" s="8">
        <f>IF($O1253="Aktif",MAX(0,MIN($AE1253,$AD1253-SUM($AG1253:AR1253))),0)</f>
        <v>0</v>
      </c>
      <c r="AT1253" s="8">
        <f>IF($O1253="Aktif",MAX(0,MIN($AE1253,$AD1253-SUM($AG1253:AS1253))),0)</f>
        <v>0</v>
      </c>
      <c r="AU1253" s="8">
        <f>IF($O1253="Aktif",MAX(0,MIN($AE1253,$AD1253-SUM($AG1253:AT1253))),0)</f>
        <v>0</v>
      </c>
      <c r="AV1253" s="8">
        <f>IF($O1253="Aktif",MAX(0,MIN($AE1253,$AD1253-SUM($AG1253:AU1253))),0)</f>
        <v>0</v>
      </c>
      <c r="AW1253" s="8">
        <f t="shared" si="138"/>
        <v>0</v>
      </c>
      <c r="AX1253" s="8">
        <f t="shared" si="139"/>
        <v>0</v>
      </c>
    </row>
    <row r="1254" spans="1:50" ht="15" customHeight="1" x14ac:dyDescent="0.35">
      <c r="A1254" s="102">
        <v>1248</v>
      </c>
      <c r="B1254" s="102" t="s">
        <v>3343</v>
      </c>
      <c r="C1254" s="103">
        <v>55</v>
      </c>
      <c r="D1254" s="102" t="s">
        <v>186</v>
      </c>
      <c r="E1254" s="102" t="s">
        <v>479</v>
      </c>
      <c r="F1254" s="102" t="s">
        <v>3116</v>
      </c>
      <c r="G1254" s="102" t="s">
        <v>3117</v>
      </c>
      <c r="H1254" s="102" t="s">
        <v>3118</v>
      </c>
      <c r="I1254" s="102" t="s">
        <v>63</v>
      </c>
      <c r="J1254" s="102" t="s">
        <v>3459</v>
      </c>
      <c r="K1254" s="102"/>
      <c r="L1254" s="104">
        <v>42735</v>
      </c>
      <c r="M1254" s="102" t="s">
        <v>3460</v>
      </c>
      <c r="N1254" s="102" t="s">
        <v>3461</v>
      </c>
      <c r="O1254" s="102" t="s">
        <v>383</v>
      </c>
      <c r="P1254" s="103">
        <v>1</v>
      </c>
      <c r="Q1254" s="105">
        <v>26645087</v>
      </c>
      <c r="R1254" s="103">
        <v>48</v>
      </c>
      <c r="S1254" s="105">
        <v>555105.97916666698</v>
      </c>
      <c r="T1254" s="105">
        <v>26645087</v>
      </c>
      <c r="U1254" s="105">
        <v>0</v>
      </c>
      <c r="V1254" s="105">
        <v>0</v>
      </c>
      <c r="W1254" s="105">
        <v>0</v>
      </c>
      <c r="X1254" s="105">
        <v>0</v>
      </c>
      <c r="Y1254" s="105">
        <v>0</v>
      </c>
      <c r="Z1254" s="105">
        <v>0</v>
      </c>
      <c r="AA1254" s="105">
        <v>0</v>
      </c>
      <c r="AB1254" s="105">
        <v>0</v>
      </c>
      <c r="AC1254" s="8">
        <f t="shared" si="133"/>
        <v>26645087</v>
      </c>
      <c r="AD1254" s="8">
        <f t="shared" si="134"/>
        <v>0</v>
      </c>
      <c r="AE1254" s="8">
        <f t="shared" si="135"/>
        <v>0</v>
      </c>
      <c r="AF1254" s="106">
        <f t="shared" si="136"/>
        <v>0</v>
      </c>
      <c r="AG1254" s="8">
        <f t="shared" si="137"/>
        <v>0</v>
      </c>
      <c r="AH1254" s="8">
        <f>IF($O1254="Aktif",MAX(0,MIN($AE1254,$AD1254-SUM($AG1254:AG1254))),0)</f>
        <v>0</v>
      </c>
      <c r="AI1254" s="8">
        <f>IF($O1254="Aktif",MAX(0,MIN($AE1254,$AD1254-SUM($AG1254:AH1254))),0)</f>
        <v>0</v>
      </c>
      <c r="AJ1254" s="8">
        <f>IF($O1254="Aktif",MAX(0,MIN($AE1254,$AD1254-SUM($AG1254:AI1254))),0)</f>
        <v>0</v>
      </c>
      <c r="AK1254" s="8">
        <f>IF($O1254="Aktif",MAX(0,MIN($AE1254,$AD1254-SUM($AG1254:AJ1254))),0)</f>
        <v>0</v>
      </c>
      <c r="AL1254" s="8">
        <f>IF($O1254="Aktif",MAX(0,MIN($AE1254,$AD1254-SUM($AG1254:AK1254))),0)</f>
        <v>0</v>
      </c>
      <c r="AM1254" s="8">
        <f>IF($O1254="Aktif",MAX(0,MIN($AE1254,$AD1254-SUM($AG1254:AL1254))),0)</f>
        <v>0</v>
      </c>
      <c r="AN1254" s="8">
        <f>IF($O1254="Aktif",MAX(0,MIN($AE1254,$AD1254-SUM($AG1254:AM1254))),0)</f>
        <v>0</v>
      </c>
      <c r="AO1254" s="8">
        <f>IF($O1254="Aktif",MAX(0,MIN($AE1254,$AD1254-SUM($AG1254:AN1254))),0)</f>
        <v>0</v>
      </c>
      <c r="AP1254" s="8">
        <f>IF($O1254="Aktif",MAX(0,MIN($AE1254,$AD1254-SUM($AG1254:AO1254))),0)</f>
        <v>0</v>
      </c>
      <c r="AQ1254" s="8">
        <f>IF($O1254="Aktif",MAX(0,MIN($AE1254,$AD1254-SUM($AG1254:AP1254))),0)</f>
        <v>0</v>
      </c>
      <c r="AR1254" s="8">
        <f>IF($O1254="Aktif",MAX(0,MIN($AE1254,$AD1254-SUM($AG1254:AQ1254))),0)</f>
        <v>0</v>
      </c>
      <c r="AS1254" s="8">
        <f>IF($O1254="Aktif",MAX(0,MIN($AE1254,$AD1254-SUM($AG1254:AR1254))),0)</f>
        <v>0</v>
      </c>
      <c r="AT1254" s="8">
        <f>IF($O1254="Aktif",MAX(0,MIN($AE1254,$AD1254-SUM($AG1254:AS1254))),0)</f>
        <v>0</v>
      </c>
      <c r="AU1254" s="8">
        <f>IF($O1254="Aktif",MAX(0,MIN($AE1254,$AD1254-SUM($AG1254:AT1254))),0)</f>
        <v>0</v>
      </c>
      <c r="AV1254" s="8">
        <f>IF($O1254="Aktif",MAX(0,MIN($AE1254,$AD1254-SUM($AG1254:AU1254))),0)</f>
        <v>0</v>
      </c>
      <c r="AW1254" s="8">
        <f t="shared" si="138"/>
        <v>0</v>
      </c>
      <c r="AX1254" s="8">
        <f t="shared" si="139"/>
        <v>0</v>
      </c>
    </row>
    <row r="1255" spans="1:50" ht="15" customHeight="1" x14ac:dyDescent="0.35">
      <c r="A1255" s="102">
        <v>1249</v>
      </c>
      <c r="B1255" s="102" t="s">
        <v>3343</v>
      </c>
      <c r="C1255" s="103">
        <v>56</v>
      </c>
      <c r="D1255" s="102" t="s">
        <v>186</v>
      </c>
      <c r="E1255" s="102" t="s">
        <v>479</v>
      </c>
      <c r="F1255" s="102" t="s">
        <v>3116</v>
      </c>
      <c r="G1255" s="102" t="s">
        <v>3117</v>
      </c>
      <c r="H1255" s="102" t="s">
        <v>3118</v>
      </c>
      <c r="I1255" s="102" t="s">
        <v>63</v>
      </c>
      <c r="J1255" s="102" t="s">
        <v>3462</v>
      </c>
      <c r="K1255" s="102"/>
      <c r="L1255" s="104">
        <v>42745</v>
      </c>
      <c r="M1255" s="102" t="s">
        <v>3463</v>
      </c>
      <c r="N1255" s="102" t="s">
        <v>3464</v>
      </c>
      <c r="O1255" s="102" t="s">
        <v>383</v>
      </c>
      <c r="P1255" s="103">
        <v>1</v>
      </c>
      <c r="Q1255" s="105">
        <v>5898200</v>
      </c>
      <c r="R1255" s="103">
        <v>48</v>
      </c>
      <c r="S1255" s="105">
        <v>122879.16666666701</v>
      </c>
      <c r="T1255" s="105">
        <v>5898200</v>
      </c>
      <c r="U1255" s="105">
        <v>0</v>
      </c>
      <c r="V1255" s="105">
        <v>0</v>
      </c>
      <c r="W1255" s="105">
        <v>0</v>
      </c>
      <c r="X1255" s="105">
        <v>0</v>
      </c>
      <c r="Y1255" s="105">
        <v>0</v>
      </c>
      <c r="Z1255" s="105">
        <v>0</v>
      </c>
      <c r="AA1255" s="105">
        <v>0</v>
      </c>
      <c r="AB1255" s="105">
        <v>0</v>
      </c>
      <c r="AC1255" s="8">
        <f t="shared" si="133"/>
        <v>5898200</v>
      </c>
      <c r="AD1255" s="8">
        <f t="shared" si="134"/>
        <v>0</v>
      </c>
      <c r="AE1255" s="8">
        <f t="shared" si="135"/>
        <v>0</v>
      </c>
      <c r="AF1255" s="106">
        <f t="shared" si="136"/>
        <v>0</v>
      </c>
      <c r="AG1255" s="8">
        <f t="shared" si="137"/>
        <v>0</v>
      </c>
      <c r="AH1255" s="8">
        <f>IF($O1255="Aktif",MAX(0,MIN($AE1255,$AD1255-SUM($AG1255:AG1255))),0)</f>
        <v>0</v>
      </c>
      <c r="AI1255" s="8">
        <f>IF($O1255="Aktif",MAX(0,MIN($AE1255,$AD1255-SUM($AG1255:AH1255))),0)</f>
        <v>0</v>
      </c>
      <c r="AJ1255" s="8">
        <f>IF($O1255="Aktif",MAX(0,MIN($AE1255,$AD1255-SUM($AG1255:AI1255))),0)</f>
        <v>0</v>
      </c>
      <c r="AK1255" s="8">
        <f>IF($O1255="Aktif",MAX(0,MIN($AE1255,$AD1255-SUM($AG1255:AJ1255))),0)</f>
        <v>0</v>
      </c>
      <c r="AL1255" s="8">
        <f>IF($O1255="Aktif",MAX(0,MIN($AE1255,$AD1255-SUM($AG1255:AK1255))),0)</f>
        <v>0</v>
      </c>
      <c r="AM1255" s="8">
        <f>IF($O1255="Aktif",MAX(0,MIN($AE1255,$AD1255-SUM($AG1255:AL1255))),0)</f>
        <v>0</v>
      </c>
      <c r="AN1255" s="8">
        <f>IF($O1255="Aktif",MAX(0,MIN($AE1255,$AD1255-SUM($AG1255:AM1255))),0)</f>
        <v>0</v>
      </c>
      <c r="AO1255" s="8">
        <f>IF($O1255="Aktif",MAX(0,MIN($AE1255,$AD1255-SUM($AG1255:AN1255))),0)</f>
        <v>0</v>
      </c>
      <c r="AP1255" s="8">
        <f>IF($O1255="Aktif",MAX(0,MIN($AE1255,$AD1255-SUM($AG1255:AO1255))),0)</f>
        <v>0</v>
      </c>
      <c r="AQ1255" s="8">
        <f>IF($O1255="Aktif",MAX(0,MIN($AE1255,$AD1255-SUM($AG1255:AP1255))),0)</f>
        <v>0</v>
      </c>
      <c r="AR1255" s="8">
        <f>IF($O1255="Aktif",MAX(0,MIN($AE1255,$AD1255-SUM($AG1255:AQ1255))),0)</f>
        <v>0</v>
      </c>
      <c r="AS1255" s="8">
        <f>IF($O1255="Aktif",MAX(0,MIN($AE1255,$AD1255-SUM($AG1255:AR1255))),0)</f>
        <v>0</v>
      </c>
      <c r="AT1255" s="8">
        <f>IF($O1255="Aktif",MAX(0,MIN($AE1255,$AD1255-SUM($AG1255:AS1255))),0)</f>
        <v>0</v>
      </c>
      <c r="AU1255" s="8">
        <f>IF($O1255="Aktif",MAX(0,MIN($AE1255,$AD1255-SUM($AG1255:AT1255))),0)</f>
        <v>0</v>
      </c>
      <c r="AV1255" s="8">
        <f>IF($O1255="Aktif",MAX(0,MIN($AE1255,$AD1255-SUM($AG1255:AU1255))),0)</f>
        <v>0</v>
      </c>
      <c r="AW1255" s="8">
        <f t="shared" si="138"/>
        <v>0</v>
      </c>
      <c r="AX1255" s="8">
        <f t="shared" si="139"/>
        <v>0</v>
      </c>
    </row>
    <row r="1256" spans="1:50" ht="15" customHeight="1" x14ac:dyDescent="0.35">
      <c r="A1256" s="102">
        <v>1250</v>
      </c>
      <c r="B1256" s="102" t="s">
        <v>3343</v>
      </c>
      <c r="C1256" s="103">
        <v>57</v>
      </c>
      <c r="D1256" s="102" t="s">
        <v>186</v>
      </c>
      <c r="E1256" s="102" t="s">
        <v>479</v>
      </c>
      <c r="F1256" s="102" t="s">
        <v>3116</v>
      </c>
      <c r="G1256" s="102" t="s">
        <v>3117</v>
      </c>
      <c r="H1256" s="102" t="s">
        <v>3118</v>
      </c>
      <c r="I1256" s="102" t="s">
        <v>63</v>
      </c>
      <c r="J1256" s="102" t="s">
        <v>3465</v>
      </c>
      <c r="K1256" s="102"/>
      <c r="L1256" s="104">
        <v>42745</v>
      </c>
      <c r="M1256" s="102" t="s">
        <v>3466</v>
      </c>
      <c r="N1256" s="102" t="s">
        <v>3467</v>
      </c>
      <c r="O1256" s="102" t="s">
        <v>383</v>
      </c>
      <c r="P1256" s="103">
        <v>1</v>
      </c>
      <c r="Q1256" s="105">
        <v>12000000</v>
      </c>
      <c r="R1256" s="103">
        <v>48</v>
      </c>
      <c r="S1256" s="105">
        <v>250000</v>
      </c>
      <c r="T1256" s="105">
        <v>12000000</v>
      </c>
      <c r="U1256" s="105">
        <v>0</v>
      </c>
      <c r="V1256" s="105">
        <v>0</v>
      </c>
      <c r="W1256" s="105">
        <v>0</v>
      </c>
      <c r="X1256" s="105">
        <v>0</v>
      </c>
      <c r="Y1256" s="105">
        <v>0</v>
      </c>
      <c r="Z1256" s="105">
        <v>0</v>
      </c>
      <c r="AA1256" s="105">
        <v>0</v>
      </c>
      <c r="AB1256" s="105">
        <v>0</v>
      </c>
      <c r="AC1256" s="8">
        <f t="shared" si="133"/>
        <v>12000000</v>
      </c>
      <c r="AD1256" s="8">
        <f t="shared" si="134"/>
        <v>0</v>
      </c>
      <c r="AE1256" s="8">
        <f t="shared" si="135"/>
        <v>0</v>
      </c>
      <c r="AF1256" s="106">
        <f t="shared" si="136"/>
        <v>0</v>
      </c>
      <c r="AG1256" s="8">
        <f t="shared" si="137"/>
        <v>0</v>
      </c>
      <c r="AH1256" s="8">
        <f>IF($O1256="Aktif",MAX(0,MIN($AE1256,$AD1256-SUM($AG1256:AG1256))),0)</f>
        <v>0</v>
      </c>
      <c r="AI1256" s="8">
        <f>IF($O1256="Aktif",MAX(0,MIN($AE1256,$AD1256-SUM($AG1256:AH1256))),0)</f>
        <v>0</v>
      </c>
      <c r="AJ1256" s="8">
        <f>IF($O1256="Aktif",MAX(0,MIN($AE1256,$AD1256-SUM($AG1256:AI1256))),0)</f>
        <v>0</v>
      </c>
      <c r="AK1256" s="8">
        <f>IF($O1256="Aktif",MAX(0,MIN($AE1256,$AD1256-SUM($AG1256:AJ1256))),0)</f>
        <v>0</v>
      </c>
      <c r="AL1256" s="8">
        <f>IF($O1256="Aktif",MAX(0,MIN($AE1256,$AD1256-SUM($AG1256:AK1256))),0)</f>
        <v>0</v>
      </c>
      <c r="AM1256" s="8">
        <f>IF($O1256="Aktif",MAX(0,MIN($AE1256,$AD1256-SUM($AG1256:AL1256))),0)</f>
        <v>0</v>
      </c>
      <c r="AN1256" s="8">
        <f>IF($O1256="Aktif",MAX(0,MIN($AE1256,$AD1256-SUM($AG1256:AM1256))),0)</f>
        <v>0</v>
      </c>
      <c r="AO1256" s="8">
        <f>IF($O1256="Aktif",MAX(0,MIN($AE1256,$AD1256-SUM($AG1256:AN1256))),0)</f>
        <v>0</v>
      </c>
      <c r="AP1256" s="8">
        <f>IF($O1256="Aktif",MAX(0,MIN($AE1256,$AD1256-SUM($AG1256:AO1256))),0)</f>
        <v>0</v>
      </c>
      <c r="AQ1256" s="8">
        <f>IF($O1256="Aktif",MAX(0,MIN($AE1256,$AD1256-SUM($AG1256:AP1256))),0)</f>
        <v>0</v>
      </c>
      <c r="AR1256" s="8">
        <f>IF($O1256="Aktif",MAX(0,MIN($AE1256,$AD1256-SUM($AG1256:AQ1256))),0)</f>
        <v>0</v>
      </c>
      <c r="AS1256" s="8">
        <f>IF($O1256="Aktif",MAX(0,MIN($AE1256,$AD1256-SUM($AG1256:AR1256))),0)</f>
        <v>0</v>
      </c>
      <c r="AT1256" s="8">
        <f>IF($O1256="Aktif",MAX(0,MIN($AE1256,$AD1256-SUM($AG1256:AS1256))),0)</f>
        <v>0</v>
      </c>
      <c r="AU1256" s="8">
        <f>IF($O1256="Aktif",MAX(0,MIN($AE1256,$AD1256-SUM($AG1256:AT1256))),0)</f>
        <v>0</v>
      </c>
      <c r="AV1256" s="8">
        <f>IF($O1256="Aktif",MAX(0,MIN($AE1256,$AD1256-SUM($AG1256:AU1256))),0)</f>
        <v>0</v>
      </c>
      <c r="AW1256" s="8">
        <f t="shared" si="138"/>
        <v>0</v>
      </c>
      <c r="AX1256" s="8">
        <f t="shared" si="139"/>
        <v>0</v>
      </c>
    </row>
    <row r="1257" spans="1:50" ht="15" customHeight="1" x14ac:dyDescent="0.35">
      <c r="A1257" s="102">
        <v>1251</v>
      </c>
      <c r="B1257" s="102" t="s">
        <v>3343</v>
      </c>
      <c r="C1257" s="103">
        <v>58</v>
      </c>
      <c r="D1257" s="102" t="s">
        <v>186</v>
      </c>
      <c r="E1257" s="102" t="s">
        <v>479</v>
      </c>
      <c r="F1257" s="102" t="s">
        <v>3116</v>
      </c>
      <c r="G1257" s="102" t="s">
        <v>3117</v>
      </c>
      <c r="H1257" s="102" t="s">
        <v>3118</v>
      </c>
      <c r="I1257" s="102" t="s">
        <v>63</v>
      </c>
      <c r="J1257" s="102" t="s">
        <v>3468</v>
      </c>
      <c r="K1257" s="102"/>
      <c r="L1257" s="104">
        <v>42745</v>
      </c>
      <c r="M1257" s="102" t="s">
        <v>3469</v>
      </c>
      <c r="N1257" s="102" t="s">
        <v>3470</v>
      </c>
      <c r="O1257" s="102" t="s">
        <v>383</v>
      </c>
      <c r="P1257" s="103">
        <v>1</v>
      </c>
      <c r="Q1257" s="105">
        <v>12000000</v>
      </c>
      <c r="R1257" s="103">
        <v>48</v>
      </c>
      <c r="S1257" s="105">
        <v>250000</v>
      </c>
      <c r="T1257" s="105">
        <v>12000000</v>
      </c>
      <c r="U1257" s="105">
        <v>0</v>
      </c>
      <c r="V1257" s="105">
        <v>0</v>
      </c>
      <c r="W1257" s="105">
        <v>0</v>
      </c>
      <c r="X1257" s="105">
        <v>0</v>
      </c>
      <c r="Y1257" s="105">
        <v>0</v>
      </c>
      <c r="Z1257" s="105">
        <v>0</v>
      </c>
      <c r="AA1257" s="105">
        <v>0</v>
      </c>
      <c r="AB1257" s="105">
        <v>0</v>
      </c>
      <c r="AC1257" s="8">
        <f t="shared" si="133"/>
        <v>12000000</v>
      </c>
      <c r="AD1257" s="8">
        <f t="shared" si="134"/>
        <v>0</v>
      </c>
      <c r="AE1257" s="8">
        <f t="shared" si="135"/>
        <v>0</v>
      </c>
      <c r="AF1257" s="106">
        <f t="shared" si="136"/>
        <v>0</v>
      </c>
      <c r="AG1257" s="8">
        <f t="shared" si="137"/>
        <v>0</v>
      </c>
      <c r="AH1257" s="8">
        <f>IF($O1257="Aktif",MAX(0,MIN($AE1257,$AD1257-SUM($AG1257:AG1257))),0)</f>
        <v>0</v>
      </c>
      <c r="AI1257" s="8">
        <f>IF($O1257="Aktif",MAX(0,MIN($AE1257,$AD1257-SUM($AG1257:AH1257))),0)</f>
        <v>0</v>
      </c>
      <c r="AJ1257" s="8">
        <f>IF($O1257="Aktif",MAX(0,MIN($AE1257,$AD1257-SUM($AG1257:AI1257))),0)</f>
        <v>0</v>
      </c>
      <c r="AK1257" s="8">
        <f>IF($O1257="Aktif",MAX(0,MIN($AE1257,$AD1257-SUM($AG1257:AJ1257))),0)</f>
        <v>0</v>
      </c>
      <c r="AL1257" s="8">
        <f>IF($O1257="Aktif",MAX(0,MIN($AE1257,$AD1257-SUM($AG1257:AK1257))),0)</f>
        <v>0</v>
      </c>
      <c r="AM1257" s="8">
        <f>IF($O1257="Aktif",MAX(0,MIN($AE1257,$AD1257-SUM($AG1257:AL1257))),0)</f>
        <v>0</v>
      </c>
      <c r="AN1257" s="8">
        <f>IF($O1257="Aktif",MAX(0,MIN($AE1257,$AD1257-SUM($AG1257:AM1257))),0)</f>
        <v>0</v>
      </c>
      <c r="AO1257" s="8">
        <f>IF($O1257="Aktif",MAX(0,MIN($AE1257,$AD1257-SUM($AG1257:AN1257))),0)</f>
        <v>0</v>
      </c>
      <c r="AP1257" s="8">
        <f>IF($O1257="Aktif",MAX(0,MIN($AE1257,$AD1257-SUM($AG1257:AO1257))),0)</f>
        <v>0</v>
      </c>
      <c r="AQ1257" s="8">
        <f>IF($O1257="Aktif",MAX(0,MIN($AE1257,$AD1257-SUM($AG1257:AP1257))),0)</f>
        <v>0</v>
      </c>
      <c r="AR1257" s="8">
        <f>IF($O1257="Aktif",MAX(0,MIN($AE1257,$AD1257-SUM($AG1257:AQ1257))),0)</f>
        <v>0</v>
      </c>
      <c r="AS1257" s="8">
        <f>IF($O1257="Aktif",MAX(0,MIN($AE1257,$AD1257-SUM($AG1257:AR1257))),0)</f>
        <v>0</v>
      </c>
      <c r="AT1257" s="8">
        <f>IF($O1257="Aktif",MAX(0,MIN($AE1257,$AD1257-SUM($AG1257:AS1257))),0)</f>
        <v>0</v>
      </c>
      <c r="AU1257" s="8">
        <f>IF($O1257="Aktif",MAX(0,MIN($AE1257,$AD1257-SUM($AG1257:AT1257))),0)</f>
        <v>0</v>
      </c>
      <c r="AV1257" s="8">
        <f>IF($O1257="Aktif",MAX(0,MIN($AE1257,$AD1257-SUM($AG1257:AU1257))),0)</f>
        <v>0</v>
      </c>
      <c r="AW1257" s="8">
        <f t="shared" si="138"/>
        <v>0</v>
      </c>
      <c r="AX1257" s="8">
        <f t="shared" si="139"/>
        <v>0</v>
      </c>
    </row>
    <row r="1258" spans="1:50" ht="15" customHeight="1" x14ac:dyDescent="0.35">
      <c r="A1258" s="102">
        <v>1252</v>
      </c>
      <c r="B1258" s="102" t="s">
        <v>3343</v>
      </c>
      <c r="C1258" s="103">
        <v>59</v>
      </c>
      <c r="D1258" s="102" t="s">
        <v>186</v>
      </c>
      <c r="E1258" s="102" t="s">
        <v>479</v>
      </c>
      <c r="F1258" s="102" t="s">
        <v>3116</v>
      </c>
      <c r="G1258" s="102" t="s">
        <v>3117</v>
      </c>
      <c r="H1258" s="102" t="s">
        <v>3118</v>
      </c>
      <c r="I1258" s="102" t="s">
        <v>63</v>
      </c>
      <c r="J1258" s="102" t="s">
        <v>3471</v>
      </c>
      <c r="K1258" s="102"/>
      <c r="L1258" s="104">
        <v>42748</v>
      </c>
      <c r="M1258" s="102" t="s">
        <v>3472</v>
      </c>
      <c r="N1258" s="102" t="s">
        <v>3473</v>
      </c>
      <c r="O1258" s="102" t="s">
        <v>383</v>
      </c>
      <c r="P1258" s="103">
        <v>1</v>
      </c>
      <c r="Q1258" s="105">
        <v>1511000</v>
      </c>
      <c r="R1258" s="103">
        <v>48</v>
      </c>
      <c r="S1258" s="105">
        <v>31479.166666666701</v>
      </c>
      <c r="T1258" s="105">
        <v>1511000</v>
      </c>
      <c r="U1258" s="105">
        <v>0</v>
      </c>
      <c r="V1258" s="105">
        <v>0</v>
      </c>
      <c r="W1258" s="105">
        <v>0</v>
      </c>
      <c r="X1258" s="105">
        <v>0</v>
      </c>
      <c r="Y1258" s="105">
        <v>0</v>
      </c>
      <c r="Z1258" s="105">
        <v>0</v>
      </c>
      <c r="AA1258" s="105">
        <v>0</v>
      </c>
      <c r="AB1258" s="105">
        <v>0</v>
      </c>
      <c r="AC1258" s="8">
        <f t="shared" si="133"/>
        <v>1511000</v>
      </c>
      <c r="AD1258" s="8">
        <f t="shared" si="134"/>
        <v>0</v>
      </c>
      <c r="AE1258" s="8">
        <f t="shared" si="135"/>
        <v>0</v>
      </c>
      <c r="AF1258" s="106">
        <f t="shared" si="136"/>
        <v>0</v>
      </c>
      <c r="AG1258" s="8">
        <f t="shared" si="137"/>
        <v>0</v>
      </c>
      <c r="AH1258" s="8">
        <f>IF($O1258="Aktif",MAX(0,MIN($AE1258,$AD1258-SUM($AG1258:AG1258))),0)</f>
        <v>0</v>
      </c>
      <c r="AI1258" s="8">
        <f>IF($O1258="Aktif",MAX(0,MIN($AE1258,$AD1258-SUM($AG1258:AH1258))),0)</f>
        <v>0</v>
      </c>
      <c r="AJ1258" s="8">
        <f>IF($O1258="Aktif",MAX(0,MIN($AE1258,$AD1258-SUM($AG1258:AI1258))),0)</f>
        <v>0</v>
      </c>
      <c r="AK1258" s="8">
        <f>IF($O1258="Aktif",MAX(0,MIN($AE1258,$AD1258-SUM($AG1258:AJ1258))),0)</f>
        <v>0</v>
      </c>
      <c r="AL1258" s="8">
        <f>IF($O1258="Aktif",MAX(0,MIN($AE1258,$AD1258-SUM($AG1258:AK1258))),0)</f>
        <v>0</v>
      </c>
      <c r="AM1258" s="8">
        <f>IF($O1258="Aktif",MAX(0,MIN($AE1258,$AD1258-SUM($AG1258:AL1258))),0)</f>
        <v>0</v>
      </c>
      <c r="AN1258" s="8">
        <f>IF($O1258="Aktif",MAX(0,MIN($AE1258,$AD1258-SUM($AG1258:AM1258))),0)</f>
        <v>0</v>
      </c>
      <c r="AO1258" s="8">
        <f>IF($O1258="Aktif",MAX(0,MIN($AE1258,$AD1258-SUM($AG1258:AN1258))),0)</f>
        <v>0</v>
      </c>
      <c r="AP1258" s="8">
        <f>IF($O1258="Aktif",MAX(0,MIN($AE1258,$AD1258-SUM($AG1258:AO1258))),0)</f>
        <v>0</v>
      </c>
      <c r="AQ1258" s="8">
        <f>IF($O1258="Aktif",MAX(0,MIN($AE1258,$AD1258-SUM($AG1258:AP1258))),0)</f>
        <v>0</v>
      </c>
      <c r="AR1258" s="8">
        <f>IF($O1258="Aktif",MAX(0,MIN($AE1258,$AD1258-SUM($AG1258:AQ1258))),0)</f>
        <v>0</v>
      </c>
      <c r="AS1258" s="8">
        <f>IF($O1258="Aktif",MAX(0,MIN($AE1258,$AD1258-SUM($AG1258:AR1258))),0)</f>
        <v>0</v>
      </c>
      <c r="AT1258" s="8">
        <f>IF($O1258="Aktif",MAX(0,MIN($AE1258,$AD1258-SUM($AG1258:AS1258))),0)</f>
        <v>0</v>
      </c>
      <c r="AU1258" s="8">
        <f>IF($O1258="Aktif",MAX(0,MIN($AE1258,$AD1258-SUM($AG1258:AT1258))),0)</f>
        <v>0</v>
      </c>
      <c r="AV1258" s="8">
        <f>IF($O1258="Aktif",MAX(0,MIN($AE1258,$AD1258-SUM($AG1258:AU1258))),0)</f>
        <v>0</v>
      </c>
      <c r="AW1258" s="8">
        <f t="shared" si="138"/>
        <v>0</v>
      </c>
      <c r="AX1258" s="8">
        <f t="shared" si="139"/>
        <v>0</v>
      </c>
    </row>
    <row r="1259" spans="1:50" ht="15" customHeight="1" x14ac:dyDescent="0.35">
      <c r="A1259" s="102">
        <v>1253</v>
      </c>
      <c r="B1259" s="102" t="s">
        <v>3343</v>
      </c>
      <c r="C1259" s="103">
        <v>60</v>
      </c>
      <c r="D1259" s="102" t="s">
        <v>186</v>
      </c>
      <c r="E1259" s="102" t="s">
        <v>479</v>
      </c>
      <c r="F1259" s="102" t="s">
        <v>3116</v>
      </c>
      <c r="G1259" s="102" t="s">
        <v>3117</v>
      </c>
      <c r="H1259" s="102" t="s">
        <v>3118</v>
      </c>
      <c r="I1259" s="102" t="s">
        <v>63</v>
      </c>
      <c r="J1259" s="102" t="s">
        <v>3474</v>
      </c>
      <c r="K1259" s="102"/>
      <c r="L1259" s="104">
        <v>42769</v>
      </c>
      <c r="M1259" s="102" t="s">
        <v>3475</v>
      </c>
      <c r="N1259" s="102" t="s">
        <v>3476</v>
      </c>
      <c r="O1259" s="102" t="s">
        <v>383</v>
      </c>
      <c r="P1259" s="103">
        <v>1</v>
      </c>
      <c r="Q1259" s="105">
        <v>25000000</v>
      </c>
      <c r="R1259" s="103">
        <v>48</v>
      </c>
      <c r="S1259" s="105">
        <v>520833.33333333302</v>
      </c>
      <c r="T1259" s="105">
        <v>25000000</v>
      </c>
      <c r="U1259" s="105">
        <v>0</v>
      </c>
      <c r="V1259" s="105">
        <v>0</v>
      </c>
      <c r="W1259" s="105">
        <v>0</v>
      </c>
      <c r="X1259" s="105">
        <v>0</v>
      </c>
      <c r="Y1259" s="105">
        <v>0</v>
      </c>
      <c r="Z1259" s="105">
        <v>0</v>
      </c>
      <c r="AA1259" s="105">
        <v>0</v>
      </c>
      <c r="AB1259" s="105">
        <v>0</v>
      </c>
      <c r="AC1259" s="8">
        <f t="shared" si="133"/>
        <v>25000000</v>
      </c>
      <c r="AD1259" s="8">
        <f t="shared" si="134"/>
        <v>0</v>
      </c>
      <c r="AE1259" s="8">
        <f t="shared" si="135"/>
        <v>0</v>
      </c>
      <c r="AF1259" s="106">
        <f t="shared" si="136"/>
        <v>0</v>
      </c>
      <c r="AG1259" s="8">
        <f t="shared" si="137"/>
        <v>0</v>
      </c>
      <c r="AH1259" s="8">
        <f>IF($O1259="Aktif",MAX(0,MIN($AE1259,$AD1259-SUM($AG1259:AG1259))),0)</f>
        <v>0</v>
      </c>
      <c r="AI1259" s="8">
        <f>IF($O1259="Aktif",MAX(0,MIN($AE1259,$AD1259-SUM($AG1259:AH1259))),0)</f>
        <v>0</v>
      </c>
      <c r="AJ1259" s="8">
        <f>IF($O1259="Aktif",MAX(0,MIN($AE1259,$AD1259-SUM($AG1259:AI1259))),0)</f>
        <v>0</v>
      </c>
      <c r="AK1259" s="8">
        <f>IF($O1259="Aktif",MAX(0,MIN($AE1259,$AD1259-SUM($AG1259:AJ1259))),0)</f>
        <v>0</v>
      </c>
      <c r="AL1259" s="8">
        <f>IF($O1259="Aktif",MAX(0,MIN($AE1259,$AD1259-SUM($AG1259:AK1259))),0)</f>
        <v>0</v>
      </c>
      <c r="AM1259" s="8">
        <f>IF($O1259="Aktif",MAX(0,MIN($AE1259,$AD1259-SUM($AG1259:AL1259))),0)</f>
        <v>0</v>
      </c>
      <c r="AN1259" s="8">
        <f>IF($O1259="Aktif",MAX(0,MIN($AE1259,$AD1259-SUM($AG1259:AM1259))),0)</f>
        <v>0</v>
      </c>
      <c r="AO1259" s="8">
        <f>IF($O1259="Aktif",MAX(0,MIN($AE1259,$AD1259-SUM($AG1259:AN1259))),0)</f>
        <v>0</v>
      </c>
      <c r="AP1259" s="8">
        <f>IF($O1259="Aktif",MAX(0,MIN($AE1259,$AD1259-SUM($AG1259:AO1259))),0)</f>
        <v>0</v>
      </c>
      <c r="AQ1259" s="8">
        <f>IF($O1259="Aktif",MAX(0,MIN($AE1259,$AD1259-SUM($AG1259:AP1259))),0)</f>
        <v>0</v>
      </c>
      <c r="AR1259" s="8">
        <f>IF($O1259="Aktif",MAX(0,MIN($AE1259,$AD1259-SUM($AG1259:AQ1259))),0)</f>
        <v>0</v>
      </c>
      <c r="AS1259" s="8">
        <f>IF($O1259="Aktif",MAX(0,MIN($AE1259,$AD1259-SUM($AG1259:AR1259))),0)</f>
        <v>0</v>
      </c>
      <c r="AT1259" s="8">
        <f>IF($O1259="Aktif",MAX(0,MIN($AE1259,$AD1259-SUM($AG1259:AS1259))),0)</f>
        <v>0</v>
      </c>
      <c r="AU1259" s="8">
        <f>IF($O1259="Aktif",MAX(0,MIN($AE1259,$AD1259-SUM($AG1259:AT1259))),0)</f>
        <v>0</v>
      </c>
      <c r="AV1259" s="8">
        <f>IF($O1259="Aktif",MAX(0,MIN($AE1259,$AD1259-SUM($AG1259:AU1259))),0)</f>
        <v>0</v>
      </c>
      <c r="AW1259" s="8">
        <f t="shared" si="138"/>
        <v>0</v>
      </c>
      <c r="AX1259" s="8">
        <f t="shared" si="139"/>
        <v>0</v>
      </c>
    </row>
    <row r="1260" spans="1:50" ht="15" customHeight="1" x14ac:dyDescent="0.35">
      <c r="A1260" s="102">
        <v>1254</v>
      </c>
      <c r="B1260" s="102" t="s">
        <v>3343</v>
      </c>
      <c r="C1260" s="103">
        <v>61</v>
      </c>
      <c r="D1260" s="102" t="s">
        <v>186</v>
      </c>
      <c r="E1260" s="102" t="s">
        <v>479</v>
      </c>
      <c r="F1260" s="102" t="s">
        <v>3116</v>
      </c>
      <c r="G1260" s="102" t="s">
        <v>3117</v>
      </c>
      <c r="H1260" s="102" t="s">
        <v>3118</v>
      </c>
      <c r="I1260" s="102" t="s">
        <v>63</v>
      </c>
      <c r="J1260" s="102" t="s">
        <v>3477</v>
      </c>
      <c r="K1260" s="102"/>
      <c r="L1260" s="104">
        <v>42769</v>
      </c>
      <c r="M1260" s="102" t="s">
        <v>3475</v>
      </c>
      <c r="N1260" s="102" t="s">
        <v>3478</v>
      </c>
      <c r="O1260" s="102" t="s">
        <v>383</v>
      </c>
      <c r="P1260" s="103">
        <v>1</v>
      </c>
      <c r="Q1260" s="105">
        <v>15000000</v>
      </c>
      <c r="R1260" s="103">
        <v>48</v>
      </c>
      <c r="S1260" s="105">
        <v>312500</v>
      </c>
      <c r="T1260" s="105">
        <v>15000000</v>
      </c>
      <c r="U1260" s="105">
        <v>0</v>
      </c>
      <c r="V1260" s="105">
        <v>0</v>
      </c>
      <c r="W1260" s="105">
        <v>0</v>
      </c>
      <c r="X1260" s="105">
        <v>0</v>
      </c>
      <c r="Y1260" s="105">
        <v>0</v>
      </c>
      <c r="Z1260" s="105">
        <v>0</v>
      </c>
      <c r="AA1260" s="105">
        <v>0</v>
      </c>
      <c r="AB1260" s="105">
        <v>0</v>
      </c>
      <c r="AC1260" s="8">
        <f t="shared" si="133"/>
        <v>15000000</v>
      </c>
      <c r="AD1260" s="8">
        <f t="shared" si="134"/>
        <v>0</v>
      </c>
      <c r="AE1260" s="8">
        <f t="shared" si="135"/>
        <v>0</v>
      </c>
      <c r="AF1260" s="106">
        <f t="shared" si="136"/>
        <v>0</v>
      </c>
      <c r="AG1260" s="8">
        <f t="shared" si="137"/>
        <v>0</v>
      </c>
      <c r="AH1260" s="8">
        <f>IF($O1260="Aktif",MAX(0,MIN($AE1260,$AD1260-SUM($AG1260:AG1260))),0)</f>
        <v>0</v>
      </c>
      <c r="AI1260" s="8">
        <f>IF($O1260="Aktif",MAX(0,MIN($AE1260,$AD1260-SUM($AG1260:AH1260))),0)</f>
        <v>0</v>
      </c>
      <c r="AJ1260" s="8">
        <f>IF($O1260="Aktif",MAX(0,MIN($AE1260,$AD1260-SUM($AG1260:AI1260))),0)</f>
        <v>0</v>
      </c>
      <c r="AK1260" s="8">
        <f>IF($O1260="Aktif",MAX(0,MIN($AE1260,$AD1260-SUM($AG1260:AJ1260))),0)</f>
        <v>0</v>
      </c>
      <c r="AL1260" s="8">
        <f>IF($O1260="Aktif",MAX(0,MIN($AE1260,$AD1260-SUM($AG1260:AK1260))),0)</f>
        <v>0</v>
      </c>
      <c r="AM1260" s="8">
        <f>IF($O1260="Aktif",MAX(0,MIN($AE1260,$AD1260-SUM($AG1260:AL1260))),0)</f>
        <v>0</v>
      </c>
      <c r="AN1260" s="8">
        <f>IF($O1260="Aktif",MAX(0,MIN($AE1260,$AD1260-SUM($AG1260:AM1260))),0)</f>
        <v>0</v>
      </c>
      <c r="AO1260" s="8">
        <f>IF($O1260="Aktif",MAX(0,MIN($AE1260,$AD1260-SUM($AG1260:AN1260))),0)</f>
        <v>0</v>
      </c>
      <c r="AP1260" s="8">
        <f>IF($O1260="Aktif",MAX(0,MIN($AE1260,$AD1260-SUM($AG1260:AO1260))),0)</f>
        <v>0</v>
      </c>
      <c r="AQ1260" s="8">
        <f>IF($O1260="Aktif",MAX(0,MIN($AE1260,$AD1260-SUM($AG1260:AP1260))),0)</f>
        <v>0</v>
      </c>
      <c r="AR1260" s="8">
        <f>IF($O1260="Aktif",MAX(0,MIN($AE1260,$AD1260-SUM($AG1260:AQ1260))),0)</f>
        <v>0</v>
      </c>
      <c r="AS1260" s="8">
        <f>IF($O1260="Aktif",MAX(0,MIN($AE1260,$AD1260-SUM($AG1260:AR1260))),0)</f>
        <v>0</v>
      </c>
      <c r="AT1260" s="8">
        <f>IF($O1260="Aktif",MAX(0,MIN($AE1260,$AD1260-SUM($AG1260:AS1260))),0)</f>
        <v>0</v>
      </c>
      <c r="AU1260" s="8">
        <f>IF($O1260="Aktif",MAX(0,MIN($AE1260,$AD1260-SUM($AG1260:AT1260))),0)</f>
        <v>0</v>
      </c>
      <c r="AV1260" s="8">
        <f>IF($O1260="Aktif",MAX(0,MIN($AE1260,$AD1260-SUM($AG1260:AU1260))),0)</f>
        <v>0</v>
      </c>
      <c r="AW1260" s="8">
        <f t="shared" si="138"/>
        <v>0</v>
      </c>
      <c r="AX1260" s="8">
        <f t="shared" si="139"/>
        <v>0</v>
      </c>
    </row>
    <row r="1261" spans="1:50" ht="15" customHeight="1" x14ac:dyDescent="0.35">
      <c r="A1261" s="102">
        <v>1255</v>
      </c>
      <c r="B1261" s="102" t="s">
        <v>3343</v>
      </c>
      <c r="C1261" s="103">
        <v>62</v>
      </c>
      <c r="D1261" s="102" t="s">
        <v>186</v>
      </c>
      <c r="E1261" s="102" t="s">
        <v>479</v>
      </c>
      <c r="F1261" s="102" t="s">
        <v>3116</v>
      </c>
      <c r="G1261" s="102" t="s">
        <v>3117</v>
      </c>
      <c r="H1261" s="102" t="s">
        <v>3118</v>
      </c>
      <c r="I1261" s="102" t="s">
        <v>63</v>
      </c>
      <c r="J1261" s="102" t="s">
        <v>3479</v>
      </c>
      <c r="K1261" s="102"/>
      <c r="L1261" s="104">
        <v>42783</v>
      </c>
      <c r="M1261" s="102" t="s">
        <v>3480</v>
      </c>
      <c r="N1261" s="102" t="s">
        <v>3481</v>
      </c>
      <c r="O1261" s="102" t="s">
        <v>383</v>
      </c>
      <c r="P1261" s="103">
        <v>1</v>
      </c>
      <c r="Q1261" s="105">
        <v>2100000</v>
      </c>
      <c r="R1261" s="103">
        <v>48</v>
      </c>
      <c r="S1261" s="105">
        <v>43750</v>
      </c>
      <c r="T1261" s="105">
        <v>2100000</v>
      </c>
      <c r="U1261" s="105">
        <v>0</v>
      </c>
      <c r="V1261" s="105">
        <v>0</v>
      </c>
      <c r="W1261" s="105">
        <v>0</v>
      </c>
      <c r="X1261" s="105">
        <v>0</v>
      </c>
      <c r="Y1261" s="105">
        <v>0</v>
      </c>
      <c r="Z1261" s="105">
        <v>0</v>
      </c>
      <c r="AA1261" s="105">
        <v>0</v>
      </c>
      <c r="AB1261" s="105">
        <v>0</v>
      </c>
      <c r="AC1261" s="8">
        <f t="shared" si="133"/>
        <v>2100000</v>
      </c>
      <c r="AD1261" s="8">
        <f t="shared" si="134"/>
        <v>0</v>
      </c>
      <c r="AE1261" s="8">
        <f t="shared" si="135"/>
        <v>0</v>
      </c>
      <c r="AF1261" s="106">
        <f t="shared" si="136"/>
        <v>0</v>
      </c>
      <c r="AG1261" s="8">
        <f t="shared" si="137"/>
        <v>0</v>
      </c>
      <c r="AH1261" s="8">
        <f>IF($O1261="Aktif",MAX(0,MIN($AE1261,$AD1261-SUM($AG1261:AG1261))),0)</f>
        <v>0</v>
      </c>
      <c r="AI1261" s="8">
        <f>IF($O1261="Aktif",MAX(0,MIN($AE1261,$AD1261-SUM($AG1261:AH1261))),0)</f>
        <v>0</v>
      </c>
      <c r="AJ1261" s="8">
        <f>IF($O1261="Aktif",MAX(0,MIN($AE1261,$AD1261-SUM($AG1261:AI1261))),0)</f>
        <v>0</v>
      </c>
      <c r="AK1261" s="8">
        <f>IF($O1261="Aktif",MAX(0,MIN($AE1261,$AD1261-SUM($AG1261:AJ1261))),0)</f>
        <v>0</v>
      </c>
      <c r="AL1261" s="8">
        <f>IF($O1261="Aktif",MAX(0,MIN($AE1261,$AD1261-SUM($AG1261:AK1261))),0)</f>
        <v>0</v>
      </c>
      <c r="AM1261" s="8">
        <f>IF($O1261="Aktif",MAX(0,MIN($AE1261,$AD1261-SUM($AG1261:AL1261))),0)</f>
        <v>0</v>
      </c>
      <c r="AN1261" s="8">
        <f>IF($O1261="Aktif",MAX(0,MIN($AE1261,$AD1261-SUM($AG1261:AM1261))),0)</f>
        <v>0</v>
      </c>
      <c r="AO1261" s="8">
        <f>IF($O1261="Aktif",MAX(0,MIN($AE1261,$AD1261-SUM($AG1261:AN1261))),0)</f>
        <v>0</v>
      </c>
      <c r="AP1261" s="8">
        <f>IF($O1261="Aktif",MAX(0,MIN($AE1261,$AD1261-SUM($AG1261:AO1261))),0)</f>
        <v>0</v>
      </c>
      <c r="AQ1261" s="8">
        <f>IF($O1261="Aktif",MAX(0,MIN($AE1261,$AD1261-SUM($AG1261:AP1261))),0)</f>
        <v>0</v>
      </c>
      <c r="AR1261" s="8">
        <f>IF($O1261="Aktif",MAX(0,MIN($AE1261,$AD1261-SUM($AG1261:AQ1261))),0)</f>
        <v>0</v>
      </c>
      <c r="AS1261" s="8">
        <f>IF($O1261="Aktif",MAX(0,MIN($AE1261,$AD1261-SUM($AG1261:AR1261))),0)</f>
        <v>0</v>
      </c>
      <c r="AT1261" s="8">
        <f>IF($O1261="Aktif",MAX(0,MIN($AE1261,$AD1261-SUM($AG1261:AS1261))),0)</f>
        <v>0</v>
      </c>
      <c r="AU1261" s="8">
        <f>IF($O1261="Aktif",MAX(0,MIN($AE1261,$AD1261-SUM($AG1261:AT1261))),0)</f>
        <v>0</v>
      </c>
      <c r="AV1261" s="8">
        <f>IF($O1261="Aktif",MAX(0,MIN($AE1261,$AD1261-SUM($AG1261:AU1261))),0)</f>
        <v>0</v>
      </c>
      <c r="AW1261" s="8">
        <f t="shared" si="138"/>
        <v>0</v>
      </c>
      <c r="AX1261" s="8">
        <f t="shared" si="139"/>
        <v>0</v>
      </c>
    </row>
    <row r="1262" spans="1:50" ht="15" customHeight="1" x14ac:dyDescent="0.35">
      <c r="A1262" s="102">
        <v>1256</v>
      </c>
      <c r="B1262" s="102" t="s">
        <v>3343</v>
      </c>
      <c r="C1262" s="103">
        <v>63</v>
      </c>
      <c r="D1262" s="102" t="s">
        <v>186</v>
      </c>
      <c r="E1262" s="102" t="s">
        <v>479</v>
      </c>
      <c r="F1262" s="102" t="s">
        <v>3116</v>
      </c>
      <c r="G1262" s="102" t="s">
        <v>3117</v>
      </c>
      <c r="H1262" s="102" t="s">
        <v>3118</v>
      </c>
      <c r="I1262" s="102" t="s">
        <v>63</v>
      </c>
      <c r="J1262" s="102" t="s">
        <v>3482</v>
      </c>
      <c r="K1262" s="102"/>
      <c r="L1262" s="104">
        <v>42788</v>
      </c>
      <c r="M1262" s="102" t="s">
        <v>3483</v>
      </c>
      <c r="N1262" s="102" t="s">
        <v>3484</v>
      </c>
      <c r="O1262" s="102" t="s">
        <v>383</v>
      </c>
      <c r="P1262" s="103">
        <v>1</v>
      </c>
      <c r="Q1262" s="105">
        <v>5510000</v>
      </c>
      <c r="R1262" s="103">
        <v>48</v>
      </c>
      <c r="S1262" s="105">
        <v>114791.66666666701</v>
      </c>
      <c r="T1262" s="105">
        <v>5510000</v>
      </c>
      <c r="U1262" s="105">
        <v>0</v>
      </c>
      <c r="V1262" s="105">
        <v>0</v>
      </c>
      <c r="W1262" s="105">
        <v>0</v>
      </c>
      <c r="X1262" s="105">
        <v>0</v>
      </c>
      <c r="Y1262" s="105">
        <v>0</v>
      </c>
      <c r="Z1262" s="105">
        <v>0</v>
      </c>
      <c r="AA1262" s="105">
        <v>0</v>
      </c>
      <c r="AB1262" s="105">
        <v>0</v>
      </c>
      <c r="AC1262" s="8">
        <f t="shared" si="133"/>
        <v>5510000</v>
      </c>
      <c r="AD1262" s="8">
        <f t="shared" si="134"/>
        <v>0</v>
      </c>
      <c r="AE1262" s="8">
        <f t="shared" si="135"/>
        <v>0</v>
      </c>
      <c r="AF1262" s="106">
        <f t="shared" si="136"/>
        <v>0</v>
      </c>
      <c r="AG1262" s="8">
        <f t="shared" si="137"/>
        <v>0</v>
      </c>
      <c r="AH1262" s="8">
        <f>IF($O1262="Aktif",MAX(0,MIN($AE1262,$AD1262-SUM($AG1262:AG1262))),0)</f>
        <v>0</v>
      </c>
      <c r="AI1262" s="8">
        <f>IF($O1262="Aktif",MAX(0,MIN($AE1262,$AD1262-SUM($AG1262:AH1262))),0)</f>
        <v>0</v>
      </c>
      <c r="AJ1262" s="8">
        <f>IF($O1262="Aktif",MAX(0,MIN($AE1262,$AD1262-SUM($AG1262:AI1262))),0)</f>
        <v>0</v>
      </c>
      <c r="AK1262" s="8">
        <f>IF($O1262="Aktif",MAX(0,MIN($AE1262,$AD1262-SUM($AG1262:AJ1262))),0)</f>
        <v>0</v>
      </c>
      <c r="AL1262" s="8">
        <f>IF($O1262="Aktif",MAX(0,MIN($AE1262,$AD1262-SUM($AG1262:AK1262))),0)</f>
        <v>0</v>
      </c>
      <c r="AM1262" s="8">
        <f>IF($O1262="Aktif",MAX(0,MIN($AE1262,$AD1262-SUM($AG1262:AL1262))),0)</f>
        <v>0</v>
      </c>
      <c r="AN1262" s="8">
        <f>IF($O1262="Aktif",MAX(0,MIN($AE1262,$AD1262-SUM($AG1262:AM1262))),0)</f>
        <v>0</v>
      </c>
      <c r="AO1262" s="8">
        <f>IF($O1262="Aktif",MAX(0,MIN($AE1262,$AD1262-SUM($AG1262:AN1262))),0)</f>
        <v>0</v>
      </c>
      <c r="AP1262" s="8">
        <f>IF($O1262="Aktif",MAX(0,MIN($AE1262,$AD1262-SUM($AG1262:AO1262))),0)</f>
        <v>0</v>
      </c>
      <c r="AQ1262" s="8">
        <f>IF($O1262="Aktif",MAX(0,MIN($AE1262,$AD1262-SUM($AG1262:AP1262))),0)</f>
        <v>0</v>
      </c>
      <c r="AR1262" s="8">
        <f>IF($O1262="Aktif",MAX(0,MIN($AE1262,$AD1262-SUM($AG1262:AQ1262))),0)</f>
        <v>0</v>
      </c>
      <c r="AS1262" s="8">
        <f>IF($O1262="Aktif",MAX(0,MIN($AE1262,$AD1262-SUM($AG1262:AR1262))),0)</f>
        <v>0</v>
      </c>
      <c r="AT1262" s="8">
        <f>IF($O1262="Aktif",MAX(0,MIN($AE1262,$AD1262-SUM($AG1262:AS1262))),0)</f>
        <v>0</v>
      </c>
      <c r="AU1262" s="8">
        <f>IF($O1262="Aktif",MAX(0,MIN($AE1262,$AD1262-SUM($AG1262:AT1262))),0)</f>
        <v>0</v>
      </c>
      <c r="AV1262" s="8">
        <f>IF($O1262="Aktif",MAX(0,MIN($AE1262,$AD1262-SUM($AG1262:AU1262))),0)</f>
        <v>0</v>
      </c>
      <c r="AW1262" s="8">
        <f t="shared" si="138"/>
        <v>0</v>
      </c>
      <c r="AX1262" s="8">
        <f t="shared" si="139"/>
        <v>0</v>
      </c>
    </row>
    <row r="1263" spans="1:50" ht="15" customHeight="1" x14ac:dyDescent="0.35">
      <c r="A1263" s="102">
        <v>1257</v>
      </c>
      <c r="B1263" s="102" t="s">
        <v>3343</v>
      </c>
      <c r="C1263" s="103">
        <v>64</v>
      </c>
      <c r="D1263" s="102" t="s">
        <v>186</v>
      </c>
      <c r="E1263" s="102" t="s">
        <v>479</v>
      </c>
      <c r="F1263" s="102" t="s">
        <v>3116</v>
      </c>
      <c r="G1263" s="102" t="s">
        <v>3117</v>
      </c>
      <c r="H1263" s="102" t="s">
        <v>3118</v>
      </c>
      <c r="I1263" s="102" t="s">
        <v>63</v>
      </c>
      <c r="J1263" s="102" t="s">
        <v>3485</v>
      </c>
      <c r="K1263" s="102"/>
      <c r="L1263" s="104">
        <v>42788</v>
      </c>
      <c r="M1263" s="102" t="s">
        <v>3486</v>
      </c>
      <c r="N1263" s="102" t="s">
        <v>3487</v>
      </c>
      <c r="O1263" s="102" t="s">
        <v>383</v>
      </c>
      <c r="P1263" s="103">
        <v>1</v>
      </c>
      <c r="Q1263" s="105">
        <v>5200000</v>
      </c>
      <c r="R1263" s="103">
        <v>48</v>
      </c>
      <c r="S1263" s="105">
        <v>108333.33333333299</v>
      </c>
      <c r="T1263" s="105">
        <v>5200000</v>
      </c>
      <c r="U1263" s="105">
        <v>0</v>
      </c>
      <c r="V1263" s="105">
        <v>0</v>
      </c>
      <c r="W1263" s="105">
        <v>0</v>
      </c>
      <c r="X1263" s="105">
        <v>0</v>
      </c>
      <c r="Y1263" s="105">
        <v>0</v>
      </c>
      <c r="Z1263" s="105">
        <v>0</v>
      </c>
      <c r="AA1263" s="105">
        <v>0</v>
      </c>
      <c r="AB1263" s="105">
        <v>0</v>
      </c>
      <c r="AC1263" s="8">
        <f t="shared" si="133"/>
        <v>5200000</v>
      </c>
      <c r="AD1263" s="8">
        <f t="shared" si="134"/>
        <v>0</v>
      </c>
      <c r="AE1263" s="8">
        <f t="shared" si="135"/>
        <v>0</v>
      </c>
      <c r="AF1263" s="106">
        <f t="shared" si="136"/>
        <v>0</v>
      </c>
      <c r="AG1263" s="8">
        <f t="shared" si="137"/>
        <v>0</v>
      </c>
      <c r="AH1263" s="8">
        <f>IF($O1263="Aktif",MAX(0,MIN($AE1263,$AD1263-SUM($AG1263:AG1263))),0)</f>
        <v>0</v>
      </c>
      <c r="AI1263" s="8">
        <f>IF($O1263="Aktif",MAX(0,MIN($AE1263,$AD1263-SUM($AG1263:AH1263))),0)</f>
        <v>0</v>
      </c>
      <c r="AJ1263" s="8">
        <f>IF($O1263="Aktif",MAX(0,MIN($AE1263,$AD1263-SUM($AG1263:AI1263))),0)</f>
        <v>0</v>
      </c>
      <c r="AK1263" s="8">
        <f>IF($O1263="Aktif",MAX(0,MIN($AE1263,$AD1263-SUM($AG1263:AJ1263))),0)</f>
        <v>0</v>
      </c>
      <c r="AL1263" s="8">
        <f>IF($O1263="Aktif",MAX(0,MIN($AE1263,$AD1263-SUM($AG1263:AK1263))),0)</f>
        <v>0</v>
      </c>
      <c r="AM1263" s="8">
        <f>IF($O1263="Aktif",MAX(0,MIN($AE1263,$AD1263-SUM($AG1263:AL1263))),0)</f>
        <v>0</v>
      </c>
      <c r="AN1263" s="8">
        <f>IF($O1263="Aktif",MAX(0,MIN($AE1263,$AD1263-SUM($AG1263:AM1263))),0)</f>
        <v>0</v>
      </c>
      <c r="AO1263" s="8">
        <f>IF($O1263="Aktif",MAX(0,MIN($AE1263,$AD1263-SUM($AG1263:AN1263))),0)</f>
        <v>0</v>
      </c>
      <c r="AP1263" s="8">
        <f>IF($O1263="Aktif",MAX(0,MIN($AE1263,$AD1263-SUM($AG1263:AO1263))),0)</f>
        <v>0</v>
      </c>
      <c r="AQ1263" s="8">
        <f>IF($O1263="Aktif",MAX(0,MIN($AE1263,$AD1263-SUM($AG1263:AP1263))),0)</f>
        <v>0</v>
      </c>
      <c r="AR1263" s="8">
        <f>IF($O1263="Aktif",MAX(0,MIN($AE1263,$AD1263-SUM($AG1263:AQ1263))),0)</f>
        <v>0</v>
      </c>
      <c r="AS1263" s="8">
        <f>IF($O1263="Aktif",MAX(0,MIN($AE1263,$AD1263-SUM($AG1263:AR1263))),0)</f>
        <v>0</v>
      </c>
      <c r="AT1263" s="8">
        <f>IF($O1263="Aktif",MAX(0,MIN($AE1263,$AD1263-SUM($AG1263:AS1263))),0)</f>
        <v>0</v>
      </c>
      <c r="AU1263" s="8">
        <f>IF($O1263="Aktif",MAX(0,MIN($AE1263,$AD1263-SUM($AG1263:AT1263))),0)</f>
        <v>0</v>
      </c>
      <c r="AV1263" s="8">
        <f>IF($O1263="Aktif",MAX(0,MIN($AE1263,$AD1263-SUM($AG1263:AU1263))),0)</f>
        <v>0</v>
      </c>
      <c r="AW1263" s="8">
        <f t="shared" si="138"/>
        <v>0</v>
      </c>
      <c r="AX1263" s="8">
        <f t="shared" si="139"/>
        <v>0</v>
      </c>
    </row>
    <row r="1264" spans="1:50" ht="15" customHeight="1" x14ac:dyDescent="0.35">
      <c r="A1264" s="102">
        <v>1258</v>
      </c>
      <c r="B1264" s="102" t="s">
        <v>3343</v>
      </c>
      <c r="C1264" s="103">
        <v>65</v>
      </c>
      <c r="D1264" s="102" t="s">
        <v>186</v>
      </c>
      <c r="E1264" s="102" t="s">
        <v>479</v>
      </c>
      <c r="F1264" s="102" t="s">
        <v>3116</v>
      </c>
      <c r="G1264" s="102" t="s">
        <v>3117</v>
      </c>
      <c r="H1264" s="102" t="s">
        <v>3118</v>
      </c>
      <c r="I1264" s="102" t="s">
        <v>63</v>
      </c>
      <c r="J1264" s="102" t="s">
        <v>3488</v>
      </c>
      <c r="K1264" s="102"/>
      <c r="L1264" s="104">
        <v>42794</v>
      </c>
      <c r="M1264" s="102" t="s">
        <v>3489</v>
      </c>
      <c r="N1264" s="102" t="s">
        <v>3490</v>
      </c>
      <c r="O1264" s="102" t="s">
        <v>383</v>
      </c>
      <c r="P1264" s="103">
        <v>1</v>
      </c>
      <c r="Q1264" s="105">
        <v>33000000</v>
      </c>
      <c r="R1264" s="103">
        <v>48</v>
      </c>
      <c r="S1264" s="105">
        <v>687500</v>
      </c>
      <c r="T1264" s="105">
        <v>33000000</v>
      </c>
      <c r="U1264" s="105">
        <v>0</v>
      </c>
      <c r="V1264" s="105">
        <v>0</v>
      </c>
      <c r="W1264" s="105">
        <v>0</v>
      </c>
      <c r="X1264" s="105">
        <v>0</v>
      </c>
      <c r="Y1264" s="105">
        <v>0</v>
      </c>
      <c r="Z1264" s="105">
        <v>0</v>
      </c>
      <c r="AA1264" s="105">
        <v>0</v>
      </c>
      <c r="AB1264" s="105">
        <v>0</v>
      </c>
      <c r="AC1264" s="8">
        <f t="shared" si="133"/>
        <v>33000000</v>
      </c>
      <c r="AD1264" s="8">
        <f t="shared" si="134"/>
        <v>0</v>
      </c>
      <c r="AE1264" s="8">
        <f t="shared" si="135"/>
        <v>0</v>
      </c>
      <c r="AF1264" s="106">
        <f t="shared" si="136"/>
        <v>0</v>
      </c>
      <c r="AG1264" s="8">
        <f t="shared" si="137"/>
        <v>0</v>
      </c>
      <c r="AH1264" s="8">
        <f>IF($O1264="Aktif",MAX(0,MIN($AE1264,$AD1264-SUM($AG1264:AG1264))),0)</f>
        <v>0</v>
      </c>
      <c r="AI1264" s="8">
        <f>IF($O1264="Aktif",MAX(0,MIN($AE1264,$AD1264-SUM($AG1264:AH1264))),0)</f>
        <v>0</v>
      </c>
      <c r="AJ1264" s="8">
        <f>IF($O1264="Aktif",MAX(0,MIN($AE1264,$AD1264-SUM($AG1264:AI1264))),0)</f>
        <v>0</v>
      </c>
      <c r="AK1264" s="8">
        <f>IF($O1264="Aktif",MAX(0,MIN($AE1264,$AD1264-SUM($AG1264:AJ1264))),0)</f>
        <v>0</v>
      </c>
      <c r="AL1264" s="8">
        <f>IF($O1264="Aktif",MAX(0,MIN($AE1264,$AD1264-SUM($AG1264:AK1264))),0)</f>
        <v>0</v>
      </c>
      <c r="AM1264" s="8">
        <f>IF($O1264="Aktif",MAX(0,MIN($AE1264,$AD1264-SUM($AG1264:AL1264))),0)</f>
        <v>0</v>
      </c>
      <c r="AN1264" s="8">
        <f>IF($O1264="Aktif",MAX(0,MIN($AE1264,$AD1264-SUM($AG1264:AM1264))),0)</f>
        <v>0</v>
      </c>
      <c r="AO1264" s="8">
        <f>IF($O1264="Aktif",MAX(0,MIN($AE1264,$AD1264-SUM($AG1264:AN1264))),0)</f>
        <v>0</v>
      </c>
      <c r="AP1264" s="8">
        <f>IF($O1264="Aktif",MAX(0,MIN($AE1264,$AD1264-SUM($AG1264:AO1264))),0)</f>
        <v>0</v>
      </c>
      <c r="AQ1264" s="8">
        <f>IF($O1264="Aktif",MAX(0,MIN($AE1264,$AD1264-SUM($AG1264:AP1264))),0)</f>
        <v>0</v>
      </c>
      <c r="AR1264" s="8">
        <f>IF($O1264="Aktif",MAX(0,MIN($AE1264,$AD1264-SUM($AG1264:AQ1264))),0)</f>
        <v>0</v>
      </c>
      <c r="AS1264" s="8">
        <f>IF($O1264="Aktif",MAX(0,MIN($AE1264,$AD1264-SUM($AG1264:AR1264))),0)</f>
        <v>0</v>
      </c>
      <c r="AT1264" s="8">
        <f>IF($O1264="Aktif",MAX(0,MIN($AE1264,$AD1264-SUM($AG1264:AS1264))),0)</f>
        <v>0</v>
      </c>
      <c r="AU1264" s="8">
        <f>IF($O1264="Aktif",MAX(0,MIN($AE1264,$AD1264-SUM($AG1264:AT1264))),0)</f>
        <v>0</v>
      </c>
      <c r="AV1264" s="8">
        <f>IF($O1264="Aktif",MAX(0,MIN($AE1264,$AD1264-SUM($AG1264:AU1264))),0)</f>
        <v>0</v>
      </c>
      <c r="AW1264" s="8">
        <f t="shared" si="138"/>
        <v>0</v>
      </c>
      <c r="AX1264" s="8">
        <f t="shared" si="139"/>
        <v>0</v>
      </c>
    </row>
    <row r="1265" spans="1:50" ht="15" customHeight="1" x14ac:dyDescent="0.35">
      <c r="A1265" s="102">
        <v>1259</v>
      </c>
      <c r="B1265" s="102" t="s">
        <v>3343</v>
      </c>
      <c r="C1265" s="103">
        <v>66</v>
      </c>
      <c r="D1265" s="102" t="s">
        <v>186</v>
      </c>
      <c r="E1265" s="102" t="s">
        <v>479</v>
      </c>
      <c r="F1265" s="102" t="s">
        <v>3116</v>
      </c>
      <c r="G1265" s="102" t="s">
        <v>3117</v>
      </c>
      <c r="H1265" s="102" t="s">
        <v>3118</v>
      </c>
      <c r="I1265" s="102" t="s">
        <v>63</v>
      </c>
      <c r="J1265" s="102" t="s">
        <v>3491</v>
      </c>
      <c r="K1265" s="102"/>
      <c r="L1265" s="104">
        <v>42794</v>
      </c>
      <c r="M1265" s="102" t="s">
        <v>3492</v>
      </c>
      <c r="N1265" s="102" t="s">
        <v>3493</v>
      </c>
      <c r="O1265" s="102" t="s">
        <v>383</v>
      </c>
      <c r="P1265" s="103">
        <v>1</v>
      </c>
      <c r="Q1265" s="105">
        <v>40000000</v>
      </c>
      <c r="R1265" s="103">
        <v>48</v>
      </c>
      <c r="S1265" s="105">
        <v>833333.33333333302</v>
      </c>
      <c r="T1265" s="105">
        <v>40000000</v>
      </c>
      <c r="U1265" s="105">
        <v>0</v>
      </c>
      <c r="V1265" s="105">
        <v>0</v>
      </c>
      <c r="W1265" s="105">
        <v>0</v>
      </c>
      <c r="X1265" s="105">
        <v>0</v>
      </c>
      <c r="Y1265" s="105">
        <v>0</v>
      </c>
      <c r="Z1265" s="105">
        <v>0</v>
      </c>
      <c r="AA1265" s="105">
        <v>0</v>
      </c>
      <c r="AB1265" s="105">
        <v>0</v>
      </c>
      <c r="AC1265" s="8">
        <f t="shared" si="133"/>
        <v>40000000</v>
      </c>
      <c r="AD1265" s="8">
        <f t="shared" si="134"/>
        <v>0</v>
      </c>
      <c r="AE1265" s="8">
        <f t="shared" si="135"/>
        <v>0</v>
      </c>
      <c r="AF1265" s="106">
        <f t="shared" si="136"/>
        <v>0</v>
      </c>
      <c r="AG1265" s="8">
        <f t="shared" si="137"/>
        <v>0</v>
      </c>
      <c r="AH1265" s="8">
        <f>IF($O1265="Aktif",MAX(0,MIN($AE1265,$AD1265-SUM($AG1265:AG1265))),0)</f>
        <v>0</v>
      </c>
      <c r="AI1265" s="8">
        <f>IF($O1265="Aktif",MAX(0,MIN($AE1265,$AD1265-SUM($AG1265:AH1265))),0)</f>
        <v>0</v>
      </c>
      <c r="AJ1265" s="8">
        <f>IF($O1265="Aktif",MAX(0,MIN($AE1265,$AD1265-SUM($AG1265:AI1265))),0)</f>
        <v>0</v>
      </c>
      <c r="AK1265" s="8">
        <f>IF($O1265="Aktif",MAX(0,MIN($AE1265,$AD1265-SUM($AG1265:AJ1265))),0)</f>
        <v>0</v>
      </c>
      <c r="AL1265" s="8">
        <f>IF($O1265="Aktif",MAX(0,MIN($AE1265,$AD1265-SUM($AG1265:AK1265))),0)</f>
        <v>0</v>
      </c>
      <c r="AM1265" s="8">
        <f>IF($O1265="Aktif",MAX(0,MIN($AE1265,$AD1265-SUM($AG1265:AL1265))),0)</f>
        <v>0</v>
      </c>
      <c r="AN1265" s="8">
        <f>IF($O1265="Aktif",MAX(0,MIN($AE1265,$AD1265-SUM($AG1265:AM1265))),0)</f>
        <v>0</v>
      </c>
      <c r="AO1265" s="8">
        <f>IF($O1265="Aktif",MAX(0,MIN($AE1265,$AD1265-SUM($AG1265:AN1265))),0)</f>
        <v>0</v>
      </c>
      <c r="AP1265" s="8">
        <f>IF($O1265="Aktif",MAX(0,MIN($AE1265,$AD1265-SUM($AG1265:AO1265))),0)</f>
        <v>0</v>
      </c>
      <c r="AQ1265" s="8">
        <f>IF($O1265="Aktif",MAX(0,MIN($AE1265,$AD1265-SUM($AG1265:AP1265))),0)</f>
        <v>0</v>
      </c>
      <c r="AR1265" s="8">
        <f>IF($O1265="Aktif",MAX(0,MIN($AE1265,$AD1265-SUM($AG1265:AQ1265))),0)</f>
        <v>0</v>
      </c>
      <c r="AS1265" s="8">
        <f>IF($O1265="Aktif",MAX(0,MIN($AE1265,$AD1265-SUM($AG1265:AR1265))),0)</f>
        <v>0</v>
      </c>
      <c r="AT1265" s="8">
        <f>IF($O1265="Aktif",MAX(0,MIN($AE1265,$AD1265-SUM($AG1265:AS1265))),0)</f>
        <v>0</v>
      </c>
      <c r="AU1265" s="8">
        <f>IF($O1265="Aktif",MAX(0,MIN($AE1265,$AD1265-SUM($AG1265:AT1265))),0)</f>
        <v>0</v>
      </c>
      <c r="AV1265" s="8">
        <f>IF($O1265="Aktif",MAX(0,MIN($AE1265,$AD1265-SUM($AG1265:AU1265))),0)</f>
        <v>0</v>
      </c>
      <c r="AW1265" s="8">
        <f t="shared" si="138"/>
        <v>0</v>
      </c>
      <c r="AX1265" s="8">
        <f t="shared" si="139"/>
        <v>0</v>
      </c>
    </row>
    <row r="1266" spans="1:50" ht="15" customHeight="1" x14ac:dyDescent="0.35">
      <c r="A1266" s="102">
        <v>1260</v>
      </c>
      <c r="B1266" s="102" t="s">
        <v>3343</v>
      </c>
      <c r="C1266" s="103">
        <v>67</v>
      </c>
      <c r="D1266" s="102" t="s">
        <v>186</v>
      </c>
      <c r="E1266" s="102" t="s">
        <v>479</v>
      </c>
      <c r="F1266" s="102" t="s">
        <v>3116</v>
      </c>
      <c r="G1266" s="102" t="s">
        <v>3117</v>
      </c>
      <c r="H1266" s="102" t="s">
        <v>3118</v>
      </c>
      <c r="I1266" s="102" t="s">
        <v>63</v>
      </c>
      <c r="J1266" s="102" t="s">
        <v>3494</v>
      </c>
      <c r="K1266" s="102"/>
      <c r="L1266" s="104">
        <v>42794</v>
      </c>
      <c r="M1266" s="102" t="s">
        <v>2264</v>
      </c>
      <c r="N1266" s="102" t="s">
        <v>3495</v>
      </c>
      <c r="O1266" s="102" t="s">
        <v>383</v>
      </c>
      <c r="P1266" s="103">
        <v>1</v>
      </c>
      <c r="Q1266" s="105">
        <v>13500000</v>
      </c>
      <c r="R1266" s="103">
        <v>48</v>
      </c>
      <c r="S1266" s="105">
        <v>281250</v>
      </c>
      <c r="T1266" s="105">
        <v>13500000</v>
      </c>
      <c r="U1266" s="105">
        <v>0</v>
      </c>
      <c r="V1266" s="105">
        <v>0</v>
      </c>
      <c r="W1266" s="105">
        <v>0</v>
      </c>
      <c r="X1266" s="105">
        <v>0</v>
      </c>
      <c r="Y1266" s="105">
        <v>0</v>
      </c>
      <c r="Z1266" s="105">
        <v>0</v>
      </c>
      <c r="AA1266" s="105">
        <v>0</v>
      </c>
      <c r="AB1266" s="105">
        <v>0</v>
      </c>
      <c r="AC1266" s="8">
        <f t="shared" si="133"/>
        <v>13500000</v>
      </c>
      <c r="AD1266" s="8">
        <f t="shared" si="134"/>
        <v>0</v>
      </c>
      <c r="AE1266" s="8">
        <f t="shared" si="135"/>
        <v>0</v>
      </c>
      <c r="AF1266" s="106">
        <f t="shared" si="136"/>
        <v>0</v>
      </c>
      <c r="AG1266" s="8">
        <f t="shared" si="137"/>
        <v>0</v>
      </c>
      <c r="AH1266" s="8">
        <f>IF($O1266="Aktif",MAX(0,MIN($AE1266,$AD1266-SUM($AG1266:AG1266))),0)</f>
        <v>0</v>
      </c>
      <c r="AI1266" s="8">
        <f>IF($O1266="Aktif",MAX(0,MIN($AE1266,$AD1266-SUM($AG1266:AH1266))),0)</f>
        <v>0</v>
      </c>
      <c r="AJ1266" s="8">
        <f>IF($O1266="Aktif",MAX(0,MIN($AE1266,$AD1266-SUM($AG1266:AI1266))),0)</f>
        <v>0</v>
      </c>
      <c r="AK1266" s="8">
        <f>IF($O1266="Aktif",MAX(0,MIN($AE1266,$AD1266-SUM($AG1266:AJ1266))),0)</f>
        <v>0</v>
      </c>
      <c r="AL1266" s="8">
        <f>IF($O1266="Aktif",MAX(0,MIN($AE1266,$AD1266-SUM($AG1266:AK1266))),0)</f>
        <v>0</v>
      </c>
      <c r="AM1266" s="8">
        <f>IF($O1266="Aktif",MAX(0,MIN($AE1266,$AD1266-SUM($AG1266:AL1266))),0)</f>
        <v>0</v>
      </c>
      <c r="AN1266" s="8">
        <f>IF($O1266="Aktif",MAX(0,MIN($AE1266,$AD1266-SUM($AG1266:AM1266))),0)</f>
        <v>0</v>
      </c>
      <c r="AO1266" s="8">
        <f>IF($O1266="Aktif",MAX(0,MIN($AE1266,$AD1266-SUM($AG1266:AN1266))),0)</f>
        <v>0</v>
      </c>
      <c r="AP1266" s="8">
        <f>IF($O1266="Aktif",MAX(0,MIN($AE1266,$AD1266-SUM($AG1266:AO1266))),0)</f>
        <v>0</v>
      </c>
      <c r="AQ1266" s="8">
        <f>IF($O1266="Aktif",MAX(0,MIN($AE1266,$AD1266-SUM($AG1266:AP1266))),0)</f>
        <v>0</v>
      </c>
      <c r="AR1266" s="8">
        <f>IF($O1266="Aktif",MAX(0,MIN($AE1266,$AD1266-SUM($AG1266:AQ1266))),0)</f>
        <v>0</v>
      </c>
      <c r="AS1266" s="8">
        <f>IF($O1266="Aktif",MAX(0,MIN($AE1266,$AD1266-SUM($AG1266:AR1266))),0)</f>
        <v>0</v>
      </c>
      <c r="AT1266" s="8">
        <f>IF($O1266="Aktif",MAX(0,MIN($AE1266,$AD1266-SUM($AG1266:AS1266))),0)</f>
        <v>0</v>
      </c>
      <c r="AU1266" s="8">
        <f>IF($O1266="Aktif",MAX(0,MIN($AE1266,$AD1266-SUM($AG1266:AT1266))),0)</f>
        <v>0</v>
      </c>
      <c r="AV1266" s="8">
        <f>IF($O1266="Aktif",MAX(0,MIN($AE1266,$AD1266-SUM($AG1266:AU1266))),0)</f>
        <v>0</v>
      </c>
      <c r="AW1266" s="8">
        <f t="shared" si="138"/>
        <v>0</v>
      </c>
      <c r="AX1266" s="8">
        <f t="shared" si="139"/>
        <v>0</v>
      </c>
    </row>
    <row r="1267" spans="1:50" ht="15" customHeight="1" x14ac:dyDescent="0.35">
      <c r="A1267" s="102">
        <v>1261</v>
      </c>
      <c r="B1267" s="102" t="s">
        <v>3343</v>
      </c>
      <c r="C1267" s="103">
        <v>68</v>
      </c>
      <c r="D1267" s="102" t="s">
        <v>186</v>
      </c>
      <c r="E1267" s="102" t="s">
        <v>479</v>
      </c>
      <c r="F1267" s="102" t="s">
        <v>3116</v>
      </c>
      <c r="G1267" s="102" t="s">
        <v>3117</v>
      </c>
      <c r="H1267" s="102" t="s">
        <v>3118</v>
      </c>
      <c r="I1267" s="102" t="s">
        <v>63</v>
      </c>
      <c r="J1267" s="102" t="s">
        <v>3496</v>
      </c>
      <c r="K1267" s="102"/>
      <c r="L1267" s="104">
        <v>42823</v>
      </c>
      <c r="M1267" s="102" t="s">
        <v>3497</v>
      </c>
      <c r="N1267" s="102" t="s">
        <v>3498</v>
      </c>
      <c r="O1267" s="102" t="s">
        <v>383</v>
      </c>
      <c r="P1267" s="103">
        <v>1</v>
      </c>
      <c r="Q1267" s="105">
        <v>2650000</v>
      </c>
      <c r="R1267" s="103">
        <v>48</v>
      </c>
      <c r="S1267" s="105">
        <v>55208.333333333299</v>
      </c>
      <c r="T1267" s="105">
        <v>2650000</v>
      </c>
      <c r="U1267" s="105">
        <v>0</v>
      </c>
      <c r="V1267" s="105">
        <v>0</v>
      </c>
      <c r="W1267" s="105">
        <v>0</v>
      </c>
      <c r="X1267" s="105">
        <v>0</v>
      </c>
      <c r="Y1267" s="105">
        <v>0</v>
      </c>
      <c r="Z1267" s="105">
        <v>0</v>
      </c>
      <c r="AA1267" s="105">
        <v>0</v>
      </c>
      <c r="AB1267" s="105">
        <v>0</v>
      </c>
      <c r="AC1267" s="8">
        <f t="shared" si="133"/>
        <v>2650000</v>
      </c>
      <c r="AD1267" s="8">
        <f t="shared" si="134"/>
        <v>0</v>
      </c>
      <c r="AE1267" s="8">
        <f t="shared" si="135"/>
        <v>0</v>
      </c>
      <c r="AF1267" s="106">
        <f t="shared" si="136"/>
        <v>0</v>
      </c>
      <c r="AG1267" s="8">
        <f t="shared" si="137"/>
        <v>0</v>
      </c>
      <c r="AH1267" s="8">
        <f>IF($O1267="Aktif",MAX(0,MIN($AE1267,$AD1267-SUM($AG1267:AG1267))),0)</f>
        <v>0</v>
      </c>
      <c r="AI1267" s="8">
        <f>IF($O1267="Aktif",MAX(0,MIN($AE1267,$AD1267-SUM($AG1267:AH1267))),0)</f>
        <v>0</v>
      </c>
      <c r="AJ1267" s="8">
        <f>IF($O1267="Aktif",MAX(0,MIN($AE1267,$AD1267-SUM($AG1267:AI1267))),0)</f>
        <v>0</v>
      </c>
      <c r="AK1267" s="8">
        <f>IF($O1267="Aktif",MAX(0,MIN($AE1267,$AD1267-SUM($AG1267:AJ1267))),0)</f>
        <v>0</v>
      </c>
      <c r="AL1267" s="8">
        <f>IF($O1267="Aktif",MAX(0,MIN($AE1267,$AD1267-SUM($AG1267:AK1267))),0)</f>
        <v>0</v>
      </c>
      <c r="AM1267" s="8">
        <f>IF($O1267="Aktif",MAX(0,MIN($AE1267,$AD1267-SUM($AG1267:AL1267))),0)</f>
        <v>0</v>
      </c>
      <c r="AN1267" s="8">
        <f>IF($O1267="Aktif",MAX(0,MIN($AE1267,$AD1267-SUM($AG1267:AM1267))),0)</f>
        <v>0</v>
      </c>
      <c r="AO1267" s="8">
        <f>IF($O1267="Aktif",MAX(0,MIN($AE1267,$AD1267-SUM($AG1267:AN1267))),0)</f>
        <v>0</v>
      </c>
      <c r="AP1267" s="8">
        <f>IF($O1267="Aktif",MAX(0,MIN($AE1267,$AD1267-SUM($AG1267:AO1267))),0)</f>
        <v>0</v>
      </c>
      <c r="AQ1267" s="8">
        <f>IF($O1267="Aktif",MAX(0,MIN($AE1267,$AD1267-SUM($AG1267:AP1267))),0)</f>
        <v>0</v>
      </c>
      <c r="AR1267" s="8">
        <f>IF($O1267="Aktif",MAX(0,MIN($AE1267,$AD1267-SUM($AG1267:AQ1267))),0)</f>
        <v>0</v>
      </c>
      <c r="AS1267" s="8">
        <f>IF($O1267="Aktif",MAX(0,MIN($AE1267,$AD1267-SUM($AG1267:AR1267))),0)</f>
        <v>0</v>
      </c>
      <c r="AT1267" s="8">
        <f>IF($O1267="Aktif",MAX(0,MIN($AE1267,$AD1267-SUM($AG1267:AS1267))),0)</f>
        <v>0</v>
      </c>
      <c r="AU1267" s="8">
        <f>IF($O1267="Aktif",MAX(0,MIN($AE1267,$AD1267-SUM($AG1267:AT1267))),0)</f>
        <v>0</v>
      </c>
      <c r="AV1267" s="8">
        <f>IF($O1267="Aktif",MAX(0,MIN($AE1267,$AD1267-SUM($AG1267:AU1267))),0)</f>
        <v>0</v>
      </c>
      <c r="AW1267" s="8">
        <f t="shared" si="138"/>
        <v>0</v>
      </c>
      <c r="AX1267" s="8">
        <f t="shared" si="139"/>
        <v>0</v>
      </c>
    </row>
    <row r="1268" spans="1:50" ht="15" customHeight="1" x14ac:dyDescent="0.35">
      <c r="A1268" s="102">
        <v>1262</v>
      </c>
      <c r="B1268" s="102" t="s">
        <v>3343</v>
      </c>
      <c r="C1268" s="103">
        <v>69</v>
      </c>
      <c r="D1268" s="102" t="s">
        <v>186</v>
      </c>
      <c r="E1268" s="102" t="s">
        <v>479</v>
      </c>
      <c r="F1268" s="102" t="s">
        <v>3116</v>
      </c>
      <c r="G1268" s="102" t="s">
        <v>3117</v>
      </c>
      <c r="H1268" s="102" t="s">
        <v>3118</v>
      </c>
      <c r="I1268" s="102" t="s">
        <v>63</v>
      </c>
      <c r="J1268" s="102" t="s">
        <v>3499</v>
      </c>
      <c r="K1268" s="102"/>
      <c r="L1268" s="104">
        <v>42850</v>
      </c>
      <c r="M1268" s="102" t="s">
        <v>3500</v>
      </c>
      <c r="N1268" s="102" t="s">
        <v>3501</v>
      </c>
      <c r="O1268" s="102" t="s">
        <v>383</v>
      </c>
      <c r="P1268" s="103">
        <v>1</v>
      </c>
      <c r="Q1268" s="105">
        <v>1750000</v>
      </c>
      <c r="R1268" s="103">
        <v>48</v>
      </c>
      <c r="S1268" s="105">
        <v>36458.333333333299</v>
      </c>
      <c r="T1268" s="105">
        <v>1750000</v>
      </c>
      <c r="U1268" s="105">
        <v>0</v>
      </c>
      <c r="V1268" s="105">
        <v>0</v>
      </c>
      <c r="W1268" s="105">
        <v>0</v>
      </c>
      <c r="X1268" s="105">
        <v>0</v>
      </c>
      <c r="Y1268" s="105">
        <v>0</v>
      </c>
      <c r="Z1268" s="105">
        <v>0</v>
      </c>
      <c r="AA1268" s="105">
        <v>0</v>
      </c>
      <c r="AB1268" s="105">
        <v>0</v>
      </c>
      <c r="AC1268" s="8">
        <f t="shared" si="133"/>
        <v>1750000</v>
      </c>
      <c r="AD1268" s="8">
        <f t="shared" si="134"/>
        <v>0</v>
      </c>
      <c r="AE1268" s="8">
        <f t="shared" si="135"/>
        <v>0</v>
      </c>
      <c r="AF1268" s="106">
        <f t="shared" si="136"/>
        <v>0</v>
      </c>
      <c r="AG1268" s="8">
        <f t="shared" si="137"/>
        <v>0</v>
      </c>
      <c r="AH1268" s="8">
        <f>IF($O1268="Aktif",MAX(0,MIN($AE1268,$AD1268-SUM($AG1268:AG1268))),0)</f>
        <v>0</v>
      </c>
      <c r="AI1268" s="8">
        <f>IF($O1268="Aktif",MAX(0,MIN($AE1268,$AD1268-SUM($AG1268:AH1268))),0)</f>
        <v>0</v>
      </c>
      <c r="AJ1268" s="8">
        <f>IF($O1268="Aktif",MAX(0,MIN($AE1268,$AD1268-SUM($AG1268:AI1268))),0)</f>
        <v>0</v>
      </c>
      <c r="AK1268" s="8">
        <f>IF($O1268="Aktif",MAX(0,MIN($AE1268,$AD1268-SUM($AG1268:AJ1268))),0)</f>
        <v>0</v>
      </c>
      <c r="AL1268" s="8">
        <f>IF($O1268="Aktif",MAX(0,MIN($AE1268,$AD1268-SUM($AG1268:AK1268))),0)</f>
        <v>0</v>
      </c>
      <c r="AM1268" s="8">
        <f>IF($O1268="Aktif",MAX(0,MIN($AE1268,$AD1268-SUM($AG1268:AL1268))),0)</f>
        <v>0</v>
      </c>
      <c r="AN1268" s="8">
        <f>IF($O1268="Aktif",MAX(0,MIN($AE1268,$AD1268-SUM($AG1268:AM1268))),0)</f>
        <v>0</v>
      </c>
      <c r="AO1268" s="8">
        <f>IF($O1268="Aktif",MAX(0,MIN($AE1268,$AD1268-SUM($AG1268:AN1268))),0)</f>
        <v>0</v>
      </c>
      <c r="AP1268" s="8">
        <f>IF($O1268="Aktif",MAX(0,MIN($AE1268,$AD1268-SUM($AG1268:AO1268))),0)</f>
        <v>0</v>
      </c>
      <c r="AQ1268" s="8">
        <f>IF($O1268="Aktif",MAX(0,MIN($AE1268,$AD1268-SUM($AG1268:AP1268))),0)</f>
        <v>0</v>
      </c>
      <c r="AR1268" s="8">
        <f>IF($O1268="Aktif",MAX(0,MIN($AE1268,$AD1268-SUM($AG1268:AQ1268))),0)</f>
        <v>0</v>
      </c>
      <c r="AS1268" s="8">
        <f>IF($O1268="Aktif",MAX(0,MIN($AE1268,$AD1268-SUM($AG1268:AR1268))),0)</f>
        <v>0</v>
      </c>
      <c r="AT1268" s="8">
        <f>IF($O1268="Aktif",MAX(0,MIN($AE1268,$AD1268-SUM($AG1268:AS1268))),0)</f>
        <v>0</v>
      </c>
      <c r="AU1268" s="8">
        <f>IF($O1268="Aktif",MAX(0,MIN($AE1268,$AD1268-SUM($AG1268:AT1268))),0)</f>
        <v>0</v>
      </c>
      <c r="AV1268" s="8">
        <f>IF($O1268="Aktif",MAX(0,MIN($AE1268,$AD1268-SUM($AG1268:AU1268))),0)</f>
        <v>0</v>
      </c>
      <c r="AW1268" s="8">
        <f t="shared" si="138"/>
        <v>0</v>
      </c>
      <c r="AX1268" s="8">
        <f t="shared" si="139"/>
        <v>0</v>
      </c>
    </row>
    <row r="1269" spans="1:50" ht="15" customHeight="1" x14ac:dyDescent="0.35">
      <c r="A1269" s="102">
        <v>1263</v>
      </c>
      <c r="B1269" s="102" t="s">
        <v>3343</v>
      </c>
      <c r="C1269" s="103">
        <v>70</v>
      </c>
      <c r="D1269" s="102" t="s">
        <v>186</v>
      </c>
      <c r="E1269" s="102" t="s">
        <v>479</v>
      </c>
      <c r="F1269" s="102" t="s">
        <v>3116</v>
      </c>
      <c r="G1269" s="102" t="s">
        <v>3117</v>
      </c>
      <c r="H1269" s="102" t="s">
        <v>3118</v>
      </c>
      <c r="I1269" s="102" t="s">
        <v>63</v>
      </c>
      <c r="J1269" s="102" t="s">
        <v>3502</v>
      </c>
      <c r="K1269" s="102"/>
      <c r="L1269" s="104">
        <v>42850</v>
      </c>
      <c r="M1269" s="102" t="s">
        <v>3503</v>
      </c>
      <c r="N1269" s="102" t="s">
        <v>3504</v>
      </c>
      <c r="O1269" s="102" t="s">
        <v>383</v>
      </c>
      <c r="P1269" s="103">
        <v>1</v>
      </c>
      <c r="Q1269" s="105">
        <v>5700000</v>
      </c>
      <c r="R1269" s="103">
        <v>48</v>
      </c>
      <c r="S1269" s="105">
        <v>118750</v>
      </c>
      <c r="T1269" s="105">
        <v>5700000</v>
      </c>
      <c r="U1269" s="105">
        <v>0</v>
      </c>
      <c r="V1269" s="105">
        <v>0</v>
      </c>
      <c r="W1269" s="105">
        <v>0</v>
      </c>
      <c r="X1269" s="105">
        <v>0</v>
      </c>
      <c r="Y1269" s="105">
        <v>0</v>
      </c>
      <c r="Z1269" s="105">
        <v>0</v>
      </c>
      <c r="AA1269" s="105">
        <v>0</v>
      </c>
      <c r="AB1269" s="105">
        <v>0</v>
      </c>
      <c r="AC1269" s="8">
        <f t="shared" si="133"/>
        <v>5700000</v>
      </c>
      <c r="AD1269" s="8">
        <f t="shared" si="134"/>
        <v>0</v>
      </c>
      <c r="AE1269" s="8">
        <f t="shared" si="135"/>
        <v>0</v>
      </c>
      <c r="AF1269" s="106">
        <f t="shared" si="136"/>
        <v>0</v>
      </c>
      <c r="AG1269" s="8">
        <f t="shared" si="137"/>
        <v>0</v>
      </c>
      <c r="AH1269" s="8">
        <f>IF($O1269="Aktif",MAX(0,MIN($AE1269,$AD1269-SUM($AG1269:AG1269))),0)</f>
        <v>0</v>
      </c>
      <c r="AI1269" s="8">
        <f>IF($O1269="Aktif",MAX(0,MIN($AE1269,$AD1269-SUM($AG1269:AH1269))),0)</f>
        <v>0</v>
      </c>
      <c r="AJ1269" s="8">
        <f>IF($O1269="Aktif",MAX(0,MIN($AE1269,$AD1269-SUM($AG1269:AI1269))),0)</f>
        <v>0</v>
      </c>
      <c r="AK1269" s="8">
        <f>IF($O1269="Aktif",MAX(0,MIN($AE1269,$AD1269-SUM($AG1269:AJ1269))),0)</f>
        <v>0</v>
      </c>
      <c r="AL1269" s="8">
        <f>IF($O1269="Aktif",MAX(0,MIN($AE1269,$AD1269-SUM($AG1269:AK1269))),0)</f>
        <v>0</v>
      </c>
      <c r="AM1269" s="8">
        <f>IF($O1269="Aktif",MAX(0,MIN($AE1269,$AD1269-SUM($AG1269:AL1269))),0)</f>
        <v>0</v>
      </c>
      <c r="AN1269" s="8">
        <f>IF($O1269="Aktif",MAX(0,MIN($AE1269,$AD1269-SUM($AG1269:AM1269))),0)</f>
        <v>0</v>
      </c>
      <c r="AO1269" s="8">
        <f>IF($O1269="Aktif",MAX(0,MIN($AE1269,$AD1269-SUM($AG1269:AN1269))),0)</f>
        <v>0</v>
      </c>
      <c r="AP1269" s="8">
        <f>IF($O1269="Aktif",MAX(0,MIN($AE1269,$AD1269-SUM($AG1269:AO1269))),0)</f>
        <v>0</v>
      </c>
      <c r="AQ1269" s="8">
        <f>IF($O1269="Aktif",MAX(0,MIN($AE1269,$AD1269-SUM($AG1269:AP1269))),0)</f>
        <v>0</v>
      </c>
      <c r="AR1269" s="8">
        <f>IF($O1269="Aktif",MAX(0,MIN($AE1269,$AD1269-SUM($AG1269:AQ1269))),0)</f>
        <v>0</v>
      </c>
      <c r="AS1269" s="8">
        <f>IF($O1269="Aktif",MAX(0,MIN($AE1269,$AD1269-SUM($AG1269:AR1269))),0)</f>
        <v>0</v>
      </c>
      <c r="AT1269" s="8">
        <f>IF($O1269="Aktif",MAX(0,MIN($AE1269,$AD1269-SUM($AG1269:AS1269))),0)</f>
        <v>0</v>
      </c>
      <c r="AU1269" s="8">
        <f>IF($O1269="Aktif",MAX(0,MIN($AE1269,$AD1269-SUM($AG1269:AT1269))),0)</f>
        <v>0</v>
      </c>
      <c r="AV1269" s="8">
        <f>IF($O1269="Aktif",MAX(0,MIN($AE1269,$AD1269-SUM($AG1269:AU1269))),0)</f>
        <v>0</v>
      </c>
      <c r="AW1269" s="8">
        <f t="shared" si="138"/>
        <v>0</v>
      </c>
      <c r="AX1269" s="8">
        <f t="shared" si="139"/>
        <v>0</v>
      </c>
    </row>
    <row r="1270" spans="1:50" ht="15" customHeight="1" x14ac:dyDescent="0.35">
      <c r="A1270" s="102">
        <v>1264</v>
      </c>
      <c r="B1270" s="102" t="s">
        <v>3343</v>
      </c>
      <c r="C1270" s="103">
        <v>71</v>
      </c>
      <c r="D1270" s="102" t="s">
        <v>186</v>
      </c>
      <c r="E1270" s="102" t="s">
        <v>479</v>
      </c>
      <c r="F1270" s="102" t="s">
        <v>3116</v>
      </c>
      <c r="G1270" s="102" t="s">
        <v>3117</v>
      </c>
      <c r="H1270" s="102" t="s">
        <v>3118</v>
      </c>
      <c r="I1270" s="102" t="s">
        <v>63</v>
      </c>
      <c r="J1270" s="102" t="s">
        <v>3505</v>
      </c>
      <c r="K1270" s="102"/>
      <c r="L1270" s="104">
        <v>42855</v>
      </c>
      <c r="M1270" s="102" t="s">
        <v>3506</v>
      </c>
      <c r="N1270" s="102" t="s">
        <v>3506</v>
      </c>
      <c r="O1270" s="102" t="s">
        <v>383</v>
      </c>
      <c r="P1270" s="103">
        <v>1</v>
      </c>
      <c r="Q1270" s="105">
        <v>44000000</v>
      </c>
      <c r="R1270" s="103">
        <v>48</v>
      </c>
      <c r="S1270" s="105">
        <v>916666.66666666698</v>
      </c>
      <c r="T1270" s="105">
        <v>44000000</v>
      </c>
      <c r="U1270" s="105">
        <v>0</v>
      </c>
      <c r="V1270" s="105">
        <v>0</v>
      </c>
      <c r="W1270" s="105">
        <v>0</v>
      </c>
      <c r="X1270" s="105">
        <v>0</v>
      </c>
      <c r="Y1270" s="105">
        <v>0</v>
      </c>
      <c r="Z1270" s="105">
        <v>0</v>
      </c>
      <c r="AA1270" s="105">
        <v>0</v>
      </c>
      <c r="AB1270" s="105">
        <v>0</v>
      </c>
      <c r="AC1270" s="8">
        <f t="shared" si="133"/>
        <v>44000000</v>
      </c>
      <c r="AD1270" s="8">
        <f t="shared" si="134"/>
        <v>0</v>
      </c>
      <c r="AE1270" s="8">
        <f t="shared" si="135"/>
        <v>0</v>
      </c>
      <c r="AF1270" s="106">
        <f t="shared" si="136"/>
        <v>0</v>
      </c>
      <c r="AG1270" s="8">
        <f t="shared" si="137"/>
        <v>0</v>
      </c>
      <c r="AH1270" s="8">
        <f>IF($O1270="Aktif",MAX(0,MIN($AE1270,$AD1270-SUM($AG1270:AG1270))),0)</f>
        <v>0</v>
      </c>
      <c r="AI1270" s="8">
        <f>IF($O1270="Aktif",MAX(0,MIN($AE1270,$AD1270-SUM($AG1270:AH1270))),0)</f>
        <v>0</v>
      </c>
      <c r="AJ1270" s="8">
        <f>IF($O1270="Aktif",MAX(0,MIN($AE1270,$AD1270-SUM($AG1270:AI1270))),0)</f>
        <v>0</v>
      </c>
      <c r="AK1270" s="8">
        <f>IF($O1270="Aktif",MAX(0,MIN($AE1270,$AD1270-SUM($AG1270:AJ1270))),0)</f>
        <v>0</v>
      </c>
      <c r="AL1270" s="8">
        <f>IF($O1270="Aktif",MAX(0,MIN($AE1270,$AD1270-SUM($AG1270:AK1270))),0)</f>
        <v>0</v>
      </c>
      <c r="AM1270" s="8">
        <f>IF($O1270="Aktif",MAX(0,MIN($AE1270,$AD1270-SUM($AG1270:AL1270))),0)</f>
        <v>0</v>
      </c>
      <c r="AN1270" s="8">
        <f>IF($O1270="Aktif",MAX(0,MIN($AE1270,$AD1270-SUM($AG1270:AM1270))),0)</f>
        <v>0</v>
      </c>
      <c r="AO1270" s="8">
        <f>IF($O1270="Aktif",MAX(0,MIN($AE1270,$AD1270-SUM($AG1270:AN1270))),0)</f>
        <v>0</v>
      </c>
      <c r="AP1270" s="8">
        <f>IF($O1270="Aktif",MAX(0,MIN($AE1270,$AD1270-SUM($AG1270:AO1270))),0)</f>
        <v>0</v>
      </c>
      <c r="AQ1270" s="8">
        <f>IF($O1270="Aktif",MAX(0,MIN($AE1270,$AD1270-SUM($AG1270:AP1270))),0)</f>
        <v>0</v>
      </c>
      <c r="AR1270" s="8">
        <f>IF($O1270="Aktif",MAX(0,MIN($AE1270,$AD1270-SUM($AG1270:AQ1270))),0)</f>
        <v>0</v>
      </c>
      <c r="AS1270" s="8">
        <f>IF($O1270="Aktif",MAX(0,MIN($AE1270,$AD1270-SUM($AG1270:AR1270))),0)</f>
        <v>0</v>
      </c>
      <c r="AT1270" s="8">
        <f>IF($O1270="Aktif",MAX(0,MIN($AE1270,$AD1270-SUM($AG1270:AS1270))),0)</f>
        <v>0</v>
      </c>
      <c r="AU1270" s="8">
        <f>IF($O1270="Aktif",MAX(0,MIN($AE1270,$AD1270-SUM($AG1270:AT1270))),0)</f>
        <v>0</v>
      </c>
      <c r="AV1270" s="8">
        <f>IF($O1270="Aktif",MAX(0,MIN($AE1270,$AD1270-SUM($AG1270:AU1270))),0)</f>
        <v>0</v>
      </c>
      <c r="AW1270" s="8">
        <f t="shared" si="138"/>
        <v>0</v>
      </c>
      <c r="AX1270" s="8">
        <f t="shared" si="139"/>
        <v>0</v>
      </c>
    </row>
    <row r="1271" spans="1:50" ht="15" customHeight="1" x14ac:dyDescent="0.35">
      <c r="A1271" s="102">
        <v>1265</v>
      </c>
      <c r="B1271" s="102" t="s">
        <v>3343</v>
      </c>
      <c r="C1271" s="103">
        <v>72</v>
      </c>
      <c r="D1271" s="102" t="s">
        <v>186</v>
      </c>
      <c r="E1271" s="102" t="s">
        <v>479</v>
      </c>
      <c r="F1271" s="102" t="s">
        <v>3116</v>
      </c>
      <c r="G1271" s="102" t="s">
        <v>3117</v>
      </c>
      <c r="H1271" s="102" t="s">
        <v>3118</v>
      </c>
      <c r="I1271" s="102" t="s">
        <v>63</v>
      </c>
      <c r="J1271" s="102" t="s">
        <v>3507</v>
      </c>
      <c r="K1271" s="102"/>
      <c r="L1271" s="104">
        <v>42855</v>
      </c>
      <c r="M1271" s="102" t="s">
        <v>3508</v>
      </c>
      <c r="N1271" s="102" t="s">
        <v>3509</v>
      </c>
      <c r="O1271" s="102" t="s">
        <v>383</v>
      </c>
      <c r="P1271" s="103">
        <v>1</v>
      </c>
      <c r="Q1271" s="105">
        <v>80000000</v>
      </c>
      <c r="R1271" s="103">
        <v>48</v>
      </c>
      <c r="S1271" s="105">
        <v>1666666.66666667</v>
      </c>
      <c r="T1271" s="105">
        <v>80000000</v>
      </c>
      <c r="U1271" s="105">
        <v>0</v>
      </c>
      <c r="V1271" s="105">
        <v>0</v>
      </c>
      <c r="W1271" s="105">
        <v>0</v>
      </c>
      <c r="X1271" s="105">
        <v>0</v>
      </c>
      <c r="Y1271" s="105">
        <v>0</v>
      </c>
      <c r="Z1271" s="105">
        <v>0</v>
      </c>
      <c r="AA1271" s="105">
        <v>0</v>
      </c>
      <c r="AB1271" s="105">
        <v>0</v>
      </c>
      <c r="AC1271" s="8">
        <f t="shared" si="133"/>
        <v>80000000</v>
      </c>
      <c r="AD1271" s="8">
        <f t="shared" si="134"/>
        <v>0</v>
      </c>
      <c r="AE1271" s="8">
        <f t="shared" si="135"/>
        <v>0</v>
      </c>
      <c r="AF1271" s="106">
        <f t="shared" si="136"/>
        <v>0</v>
      </c>
      <c r="AG1271" s="8">
        <f t="shared" si="137"/>
        <v>0</v>
      </c>
      <c r="AH1271" s="8">
        <f>IF($O1271="Aktif",MAX(0,MIN($AE1271,$AD1271-SUM($AG1271:AG1271))),0)</f>
        <v>0</v>
      </c>
      <c r="AI1271" s="8">
        <f>IF($O1271="Aktif",MAX(0,MIN($AE1271,$AD1271-SUM($AG1271:AH1271))),0)</f>
        <v>0</v>
      </c>
      <c r="AJ1271" s="8">
        <f>IF($O1271="Aktif",MAX(0,MIN($AE1271,$AD1271-SUM($AG1271:AI1271))),0)</f>
        <v>0</v>
      </c>
      <c r="AK1271" s="8">
        <f>IF($O1271="Aktif",MAX(0,MIN($AE1271,$AD1271-SUM($AG1271:AJ1271))),0)</f>
        <v>0</v>
      </c>
      <c r="AL1271" s="8">
        <f>IF($O1271="Aktif",MAX(0,MIN($AE1271,$AD1271-SUM($AG1271:AK1271))),0)</f>
        <v>0</v>
      </c>
      <c r="AM1271" s="8">
        <f>IF($O1271="Aktif",MAX(0,MIN($AE1271,$AD1271-SUM($AG1271:AL1271))),0)</f>
        <v>0</v>
      </c>
      <c r="AN1271" s="8">
        <f>IF($O1271="Aktif",MAX(0,MIN($AE1271,$AD1271-SUM($AG1271:AM1271))),0)</f>
        <v>0</v>
      </c>
      <c r="AO1271" s="8">
        <f>IF($O1271="Aktif",MAX(0,MIN($AE1271,$AD1271-SUM($AG1271:AN1271))),0)</f>
        <v>0</v>
      </c>
      <c r="AP1271" s="8">
        <f>IF($O1271="Aktif",MAX(0,MIN($AE1271,$AD1271-SUM($AG1271:AO1271))),0)</f>
        <v>0</v>
      </c>
      <c r="AQ1271" s="8">
        <f>IF($O1271="Aktif",MAX(0,MIN($AE1271,$AD1271-SUM($AG1271:AP1271))),0)</f>
        <v>0</v>
      </c>
      <c r="AR1271" s="8">
        <f>IF($O1271="Aktif",MAX(0,MIN($AE1271,$AD1271-SUM($AG1271:AQ1271))),0)</f>
        <v>0</v>
      </c>
      <c r="AS1271" s="8">
        <f>IF($O1271="Aktif",MAX(0,MIN($AE1271,$AD1271-SUM($AG1271:AR1271))),0)</f>
        <v>0</v>
      </c>
      <c r="AT1271" s="8">
        <f>IF($O1271="Aktif",MAX(0,MIN($AE1271,$AD1271-SUM($AG1271:AS1271))),0)</f>
        <v>0</v>
      </c>
      <c r="AU1271" s="8">
        <f>IF($O1271="Aktif",MAX(0,MIN($AE1271,$AD1271-SUM($AG1271:AT1271))),0)</f>
        <v>0</v>
      </c>
      <c r="AV1271" s="8">
        <f>IF($O1271="Aktif",MAX(0,MIN($AE1271,$AD1271-SUM($AG1271:AU1271))),0)</f>
        <v>0</v>
      </c>
      <c r="AW1271" s="8">
        <f t="shared" si="138"/>
        <v>0</v>
      </c>
      <c r="AX1271" s="8">
        <f t="shared" si="139"/>
        <v>0</v>
      </c>
    </row>
    <row r="1272" spans="1:50" ht="15" customHeight="1" x14ac:dyDescent="0.35">
      <c r="A1272" s="102">
        <v>1266</v>
      </c>
      <c r="B1272" s="102" t="s">
        <v>3343</v>
      </c>
      <c r="C1272" s="103">
        <v>73</v>
      </c>
      <c r="D1272" s="102" t="s">
        <v>186</v>
      </c>
      <c r="E1272" s="102" t="s">
        <v>479</v>
      </c>
      <c r="F1272" s="102" t="s">
        <v>3116</v>
      </c>
      <c r="G1272" s="102" t="s">
        <v>3117</v>
      </c>
      <c r="H1272" s="102" t="s">
        <v>3118</v>
      </c>
      <c r="I1272" s="102" t="s">
        <v>63</v>
      </c>
      <c r="J1272" s="102" t="s">
        <v>3510</v>
      </c>
      <c r="K1272" s="102"/>
      <c r="L1272" s="104">
        <v>42871</v>
      </c>
      <c r="M1272" s="102" t="s">
        <v>3511</v>
      </c>
      <c r="N1272" s="102" t="s">
        <v>3512</v>
      </c>
      <c r="O1272" s="102" t="s">
        <v>383</v>
      </c>
      <c r="P1272" s="103">
        <v>1</v>
      </c>
      <c r="Q1272" s="105">
        <v>25500000</v>
      </c>
      <c r="R1272" s="103">
        <v>48</v>
      </c>
      <c r="S1272" s="105">
        <v>531250</v>
      </c>
      <c r="T1272" s="105">
        <v>25500000</v>
      </c>
      <c r="U1272" s="105">
        <v>0</v>
      </c>
      <c r="V1272" s="105">
        <v>0</v>
      </c>
      <c r="W1272" s="105">
        <v>0</v>
      </c>
      <c r="X1272" s="105">
        <v>0</v>
      </c>
      <c r="Y1272" s="105">
        <v>0</v>
      </c>
      <c r="Z1272" s="105">
        <v>0</v>
      </c>
      <c r="AA1272" s="105">
        <v>0</v>
      </c>
      <c r="AB1272" s="105">
        <v>0</v>
      </c>
      <c r="AC1272" s="8">
        <f t="shared" si="133"/>
        <v>25500000</v>
      </c>
      <c r="AD1272" s="8">
        <f t="shared" si="134"/>
        <v>0</v>
      </c>
      <c r="AE1272" s="8">
        <f t="shared" si="135"/>
        <v>0</v>
      </c>
      <c r="AF1272" s="106">
        <f t="shared" si="136"/>
        <v>0</v>
      </c>
      <c r="AG1272" s="8">
        <f t="shared" si="137"/>
        <v>0</v>
      </c>
      <c r="AH1272" s="8">
        <f>IF($O1272="Aktif",MAX(0,MIN($AE1272,$AD1272-SUM($AG1272:AG1272))),0)</f>
        <v>0</v>
      </c>
      <c r="AI1272" s="8">
        <f>IF($O1272="Aktif",MAX(0,MIN($AE1272,$AD1272-SUM($AG1272:AH1272))),0)</f>
        <v>0</v>
      </c>
      <c r="AJ1272" s="8">
        <f>IF($O1272="Aktif",MAX(0,MIN($AE1272,$AD1272-SUM($AG1272:AI1272))),0)</f>
        <v>0</v>
      </c>
      <c r="AK1272" s="8">
        <f>IF($O1272="Aktif",MAX(0,MIN($AE1272,$AD1272-SUM($AG1272:AJ1272))),0)</f>
        <v>0</v>
      </c>
      <c r="AL1272" s="8">
        <f>IF($O1272="Aktif",MAX(0,MIN($AE1272,$AD1272-SUM($AG1272:AK1272))),0)</f>
        <v>0</v>
      </c>
      <c r="AM1272" s="8">
        <f>IF($O1272="Aktif",MAX(0,MIN($AE1272,$AD1272-SUM($AG1272:AL1272))),0)</f>
        <v>0</v>
      </c>
      <c r="AN1272" s="8">
        <f>IF($O1272="Aktif",MAX(0,MIN($AE1272,$AD1272-SUM($AG1272:AM1272))),0)</f>
        <v>0</v>
      </c>
      <c r="AO1272" s="8">
        <f>IF($O1272="Aktif",MAX(0,MIN($AE1272,$AD1272-SUM($AG1272:AN1272))),0)</f>
        <v>0</v>
      </c>
      <c r="AP1272" s="8">
        <f>IF($O1272="Aktif",MAX(0,MIN($AE1272,$AD1272-SUM($AG1272:AO1272))),0)</f>
        <v>0</v>
      </c>
      <c r="AQ1272" s="8">
        <f>IF($O1272="Aktif",MAX(0,MIN($AE1272,$AD1272-SUM($AG1272:AP1272))),0)</f>
        <v>0</v>
      </c>
      <c r="AR1272" s="8">
        <f>IF($O1272="Aktif",MAX(0,MIN($AE1272,$AD1272-SUM($AG1272:AQ1272))),0)</f>
        <v>0</v>
      </c>
      <c r="AS1272" s="8">
        <f>IF($O1272="Aktif",MAX(0,MIN($AE1272,$AD1272-SUM($AG1272:AR1272))),0)</f>
        <v>0</v>
      </c>
      <c r="AT1272" s="8">
        <f>IF($O1272="Aktif",MAX(0,MIN($AE1272,$AD1272-SUM($AG1272:AS1272))),0)</f>
        <v>0</v>
      </c>
      <c r="AU1272" s="8">
        <f>IF($O1272="Aktif",MAX(0,MIN($AE1272,$AD1272-SUM($AG1272:AT1272))),0)</f>
        <v>0</v>
      </c>
      <c r="AV1272" s="8">
        <f>IF($O1272="Aktif",MAX(0,MIN($AE1272,$AD1272-SUM($AG1272:AU1272))),0)</f>
        <v>0</v>
      </c>
      <c r="AW1272" s="8">
        <f t="shared" si="138"/>
        <v>0</v>
      </c>
      <c r="AX1272" s="8">
        <f t="shared" si="139"/>
        <v>0</v>
      </c>
    </row>
    <row r="1273" spans="1:50" ht="15" customHeight="1" x14ac:dyDescent="0.35">
      <c r="A1273" s="102">
        <v>1267</v>
      </c>
      <c r="B1273" s="102" t="s">
        <v>3343</v>
      </c>
      <c r="C1273" s="103">
        <v>74</v>
      </c>
      <c r="D1273" s="102" t="s">
        <v>186</v>
      </c>
      <c r="E1273" s="102" t="s">
        <v>479</v>
      </c>
      <c r="F1273" s="102" t="s">
        <v>3116</v>
      </c>
      <c r="G1273" s="102" t="s">
        <v>3117</v>
      </c>
      <c r="H1273" s="102" t="s">
        <v>3118</v>
      </c>
      <c r="I1273" s="102" t="s">
        <v>63</v>
      </c>
      <c r="J1273" s="102" t="s">
        <v>3513</v>
      </c>
      <c r="K1273" s="102"/>
      <c r="L1273" s="104">
        <v>42874</v>
      </c>
      <c r="M1273" s="102" t="s">
        <v>3514</v>
      </c>
      <c r="N1273" s="102" t="s">
        <v>3515</v>
      </c>
      <c r="O1273" s="102" t="s">
        <v>383</v>
      </c>
      <c r="P1273" s="103">
        <v>1</v>
      </c>
      <c r="Q1273" s="105">
        <v>3055000</v>
      </c>
      <c r="R1273" s="103">
        <v>48</v>
      </c>
      <c r="S1273" s="105">
        <v>63645.833333333299</v>
      </c>
      <c r="T1273" s="105">
        <v>3055000</v>
      </c>
      <c r="U1273" s="105">
        <v>0</v>
      </c>
      <c r="V1273" s="105">
        <v>0</v>
      </c>
      <c r="W1273" s="105">
        <v>0</v>
      </c>
      <c r="X1273" s="105">
        <v>0</v>
      </c>
      <c r="Y1273" s="105">
        <v>0</v>
      </c>
      <c r="Z1273" s="105">
        <v>0</v>
      </c>
      <c r="AA1273" s="105">
        <v>0</v>
      </c>
      <c r="AB1273" s="105">
        <v>0</v>
      </c>
      <c r="AC1273" s="8">
        <f t="shared" si="133"/>
        <v>3055000</v>
      </c>
      <c r="AD1273" s="8">
        <f t="shared" si="134"/>
        <v>0</v>
      </c>
      <c r="AE1273" s="8">
        <f t="shared" si="135"/>
        <v>0</v>
      </c>
      <c r="AF1273" s="106">
        <f t="shared" si="136"/>
        <v>0</v>
      </c>
      <c r="AG1273" s="8">
        <f t="shared" si="137"/>
        <v>0</v>
      </c>
      <c r="AH1273" s="8">
        <f>IF($O1273="Aktif",MAX(0,MIN($AE1273,$AD1273-SUM($AG1273:AG1273))),0)</f>
        <v>0</v>
      </c>
      <c r="AI1273" s="8">
        <f>IF($O1273="Aktif",MAX(0,MIN($AE1273,$AD1273-SUM($AG1273:AH1273))),0)</f>
        <v>0</v>
      </c>
      <c r="AJ1273" s="8">
        <f>IF($O1273="Aktif",MAX(0,MIN($AE1273,$AD1273-SUM($AG1273:AI1273))),0)</f>
        <v>0</v>
      </c>
      <c r="AK1273" s="8">
        <f>IF($O1273="Aktif",MAX(0,MIN($AE1273,$AD1273-SUM($AG1273:AJ1273))),0)</f>
        <v>0</v>
      </c>
      <c r="AL1273" s="8">
        <f>IF($O1273="Aktif",MAX(0,MIN($AE1273,$AD1273-SUM($AG1273:AK1273))),0)</f>
        <v>0</v>
      </c>
      <c r="AM1273" s="8">
        <f>IF($O1273="Aktif",MAX(0,MIN($AE1273,$AD1273-SUM($AG1273:AL1273))),0)</f>
        <v>0</v>
      </c>
      <c r="AN1273" s="8">
        <f>IF($O1273="Aktif",MAX(0,MIN($AE1273,$AD1273-SUM($AG1273:AM1273))),0)</f>
        <v>0</v>
      </c>
      <c r="AO1273" s="8">
        <f>IF($O1273="Aktif",MAX(0,MIN($AE1273,$AD1273-SUM($AG1273:AN1273))),0)</f>
        <v>0</v>
      </c>
      <c r="AP1273" s="8">
        <f>IF($O1273="Aktif",MAX(0,MIN($AE1273,$AD1273-SUM($AG1273:AO1273))),0)</f>
        <v>0</v>
      </c>
      <c r="AQ1273" s="8">
        <f>IF($O1273="Aktif",MAX(0,MIN($AE1273,$AD1273-SUM($AG1273:AP1273))),0)</f>
        <v>0</v>
      </c>
      <c r="AR1273" s="8">
        <f>IF($O1273="Aktif",MAX(0,MIN($AE1273,$AD1273-SUM($AG1273:AQ1273))),0)</f>
        <v>0</v>
      </c>
      <c r="AS1273" s="8">
        <f>IF($O1273="Aktif",MAX(0,MIN($AE1273,$AD1273-SUM($AG1273:AR1273))),0)</f>
        <v>0</v>
      </c>
      <c r="AT1273" s="8">
        <f>IF($O1273="Aktif",MAX(0,MIN($AE1273,$AD1273-SUM($AG1273:AS1273))),0)</f>
        <v>0</v>
      </c>
      <c r="AU1273" s="8">
        <f>IF($O1273="Aktif",MAX(0,MIN($AE1273,$AD1273-SUM($AG1273:AT1273))),0)</f>
        <v>0</v>
      </c>
      <c r="AV1273" s="8">
        <f>IF($O1273="Aktif",MAX(0,MIN($AE1273,$AD1273-SUM($AG1273:AU1273))),0)</f>
        <v>0</v>
      </c>
      <c r="AW1273" s="8">
        <f t="shared" si="138"/>
        <v>0</v>
      </c>
      <c r="AX1273" s="8">
        <f t="shared" si="139"/>
        <v>0</v>
      </c>
    </row>
    <row r="1274" spans="1:50" ht="15" customHeight="1" x14ac:dyDescent="0.35">
      <c r="A1274" s="102">
        <v>1268</v>
      </c>
      <c r="B1274" s="102" t="s">
        <v>3343</v>
      </c>
      <c r="C1274" s="103">
        <v>75</v>
      </c>
      <c r="D1274" s="102" t="s">
        <v>186</v>
      </c>
      <c r="E1274" s="102" t="s">
        <v>479</v>
      </c>
      <c r="F1274" s="102" t="s">
        <v>3116</v>
      </c>
      <c r="G1274" s="102" t="s">
        <v>3117</v>
      </c>
      <c r="H1274" s="102" t="s">
        <v>3118</v>
      </c>
      <c r="I1274" s="102" t="s">
        <v>63</v>
      </c>
      <c r="J1274" s="102" t="s">
        <v>3516</v>
      </c>
      <c r="K1274" s="102"/>
      <c r="L1274" s="104">
        <v>42878</v>
      </c>
      <c r="M1274" s="102" t="s">
        <v>3517</v>
      </c>
      <c r="N1274" s="102" t="s">
        <v>3518</v>
      </c>
      <c r="O1274" s="102" t="s">
        <v>383</v>
      </c>
      <c r="P1274" s="103">
        <v>1</v>
      </c>
      <c r="Q1274" s="105">
        <v>4545455</v>
      </c>
      <c r="R1274" s="103">
        <v>48</v>
      </c>
      <c r="S1274" s="105">
        <v>94696.979166666701</v>
      </c>
      <c r="T1274" s="105">
        <v>4545455</v>
      </c>
      <c r="U1274" s="105">
        <v>0</v>
      </c>
      <c r="V1274" s="105">
        <v>0</v>
      </c>
      <c r="W1274" s="105">
        <v>0</v>
      </c>
      <c r="X1274" s="105">
        <v>0</v>
      </c>
      <c r="Y1274" s="105">
        <v>0</v>
      </c>
      <c r="Z1274" s="105">
        <v>0</v>
      </c>
      <c r="AA1274" s="105">
        <v>0</v>
      </c>
      <c r="AB1274" s="105">
        <v>0</v>
      </c>
      <c r="AC1274" s="8">
        <f t="shared" si="133"/>
        <v>4545455</v>
      </c>
      <c r="AD1274" s="8">
        <f t="shared" si="134"/>
        <v>0</v>
      </c>
      <c r="AE1274" s="8">
        <f t="shared" si="135"/>
        <v>0</v>
      </c>
      <c r="AF1274" s="106">
        <f t="shared" si="136"/>
        <v>0</v>
      </c>
      <c r="AG1274" s="8">
        <f t="shared" si="137"/>
        <v>0</v>
      </c>
      <c r="AH1274" s="8">
        <f>IF($O1274="Aktif",MAX(0,MIN($AE1274,$AD1274-SUM($AG1274:AG1274))),0)</f>
        <v>0</v>
      </c>
      <c r="AI1274" s="8">
        <f>IF($O1274="Aktif",MAX(0,MIN($AE1274,$AD1274-SUM($AG1274:AH1274))),0)</f>
        <v>0</v>
      </c>
      <c r="AJ1274" s="8">
        <f>IF($O1274="Aktif",MAX(0,MIN($AE1274,$AD1274-SUM($AG1274:AI1274))),0)</f>
        <v>0</v>
      </c>
      <c r="AK1274" s="8">
        <f>IF($O1274="Aktif",MAX(0,MIN($AE1274,$AD1274-SUM($AG1274:AJ1274))),0)</f>
        <v>0</v>
      </c>
      <c r="AL1274" s="8">
        <f>IF($O1274="Aktif",MAX(0,MIN($AE1274,$AD1274-SUM($AG1274:AK1274))),0)</f>
        <v>0</v>
      </c>
      <c r="AM1274" s="8">
        <f>IF($O1274="Aktif",MAX(0,MIN($AE1274,$AD1274-SUM($AG1274:AL1274))),0)</f>
        <v>0</v>
      </c>
      <c r="AN1274" s="8">
        <f>IF($O1274="Aktif",MAX(0,MIN($AE1274,$AD1274-SUM($AG1274:AM1274))),0)</f>
        <v>0</v>
      </c>
      <c r="AO1274" s="8">
        <f>IF($O1274="Aktif",MAX(0,MIN($AE1274,$AD1274-SUM($AG1274:AN1274))),0)</f>
        <v>0</v>
      </c>
      <c r="AP1274" s="8">
        <f>IF($O1274="Aktif",MAX(0,MIN($AE1274,$AD1274-SUM($AG1274:AO1274))),0)</f>
        <v>0</v>
      </c>
      <c r="AQ1274" s="8">
        <f>IF($O1274="Aktif",MAX(0,MIN($AE1274,$AD1274-SUM($AG1274:AP1274))),0)</f>
        <v>0</v>
      </c>
      <c r="AR1274" s="8">
        <f>IF($O1274="Aktif",MAX(0,MIN($AE1274,$AD1274-SUM($AG1274:AQ1274))),0)</f>
        <v>0</v>
      </c>
      <c r="AS1274" s="8">
        <f>IF($O1274="Aktif",MAX(0,MIN($AE1274,$AD1274-SUM($AG1274:AR1274))),0)</f>
        <v>0</v>
      </c>
      <c r="AT1274" s="8">
        <f>IF($O1274="Aktif",MAX(0,MIN($AE1274,$AD1274-SUM($AG1274:AS1274))),0)</f>
        <v>0</v>
      </c>
      <c r="AU1274" s="8">
        <f>IF($O1274="Aktif",MAX(0,MIN($AE1274,$AD1274-SUM($AG1274:AT1274))),0)</f>
        <v>0</v>
      </c>
      <c r="AV1274" s="8">
        <f>IF($O1274="Aktif",MAX(0,MIN($AE1274,$AD1274-SUM($AG1274:AU1274))),0)</f>
        <v>0</v>
      </c>
      <c r="AW1274" s="8">
        <f t="shared" si="138"/>
        <v>0</v>
      </c>
      <c r="AX1274" s="8">
        <f t="shared" si="139"/>
        <v>0</v>
      </c>
    </row>
    <row r="1275" spans="1:50" ht="15" customHeight="1" x14ac:dyDescent="0.35">
      <c r="A1275" s="102">
        <v>1269</v>
      </c>
      <c r="B1275" s="102" t="s">
        <v>3343</v>
      </c>
      <c r="C1275" s="103">
        <v>76</v>
      </c>
      <c r="D1275" s="102" t="s">
        <v>186</v>
      </c>
      <c r="E1275" s="102" t="s">
        <v>479</v>
      </c>
      <c r="F1275" s="102" t="s">
        <v>3116</v>
      </c>
      <c r="G1275" s="102" t="s">
        <v>3117</v>
      </c>
      <c r="H1275" s="102" t="s">
        <v>3118</v>
      </c>
      <c r="I1275" s="102" t="s">
        <v>63</v>
      </c>
      <c r="J1275" s="102" t="s">
        <v>3519</v>
      </c>
      <c r="K1275" s="102"/>
      <c r="L1275" s="104">
        <v>42885</v>
      </c>
      <c r="M1275" s="102" t="s">
        <v>3520</v>
      </c>
      <c r="N1275" s="102" t="s">
        <v>3521</v>
      </c>
      <c r="O1275" s="102" t="s">
        <v>383</v>
      </c>
      <c r="P1275" s="103">
        <v>1</v>
      </c>
      <c r="Q1275" s="105">
        <v>109250000</v>
      </c>
      <c r="R1275" s="103">
        <v>48</v>
      </c>
      <c r="S1275" s="105">
        <v>2276041.6666666698</v>
      </c>
      <c r="T1275" s="105">
        <v>109250000</v>
      </c>
      <c r="U1275" s="105">
        <v>0</v>
      </c>
      <c r="V1275" s="105">
        <v>0</v>
      </c>
      <c r="W1275" s="105">
        <v>0</v>
      </c>
      <c r="X1275" s="105">
        <v>0</v>
      </c>
      <c r="Y1275" s="105">
        <v>0</v>
      </c>
      <c r="Z1275" s="105">
        <v>0</v>
      </c>
      <c r="AA1275" s="105">
        <v>0</v>
      </c>
      <c r="AB1275" s="105">
        <v>0</v>
      </c>
      <c r="AC1275" s="8">
        <f t="shared" si="133"/>
        <v>109250000</v>
      </c>
      <c r="AD1275" s="8">
        <f t="shared" si="134"/>
        <v>0</v>
      </c>
      <c r="AE1275" s="8">
        <f t="shared" si="135"/>
        <v>0</v>
      </c>
      <c r="AF1275" s="106">
        <f t="shared" si="136"/>
        <v>0</v>
      </c>
      <c r="AG1275" s="8">
        <f t="shared" si="137"/>
        <v>0</v>
      </c>
      <c r="AH1275" s="8">
        <f>IF($O1275="Aktif",MAX(0,MIN($AE1275,$AD1275-SUM($AG1275:AG1275))),0)</f>
        <v>0</v>
      </c>
      <c r="AI1275" s="8">
        <f>IF($O1275="Aktif",MAX(0,MIN($AE1275,$AD1275-SUM($AG1275:AH1275))),0)</f>
        <v>0</v>
      </c>
      <c r="AJ1275" s="8">
        <f>IF($O1275="Aktif",MAX(0,MIN($AE1275,$AD1275-SUM($AG1275:AI1275))),0)</f>
        <v>0</v>
      </c>
      <c r="AK1275" s="8">
        <f>IF($O1275="Aktif",MAX(0,MIN($AE1275,$AD1275-SUM($AG1275:AJ1275))),0)</f>
        <v>0</v>
      </c>
      <c r="AL1275" s="8">
        <f>IF($O1275="Aktif",MAX(0,MIN($AE1275,$AD1275-SUM($AG1275:AK1275))),0)</f>
        <v>0</v>
      </c>
      <c r="AM1275" s="8">
        <f>IF($O1275="Aktif",MAX(0,MIN($AE1275,$AD1275-SUM($AG1275:AL1275))),0)</f>
        <v>0</v>
      </c>
      <c r="AN1275" s="8">
        <f>IF($O1275="Aktif",MAX(0,MIN($AE1275,$AD1275-SUM($AG1275:AM1275))),0)</f>
        <v>0</v>
      </c>
      <c r="AO1275" s="8">
        <f>IF($O1275="Aktif",MAX(0,MIN($AE1275,$AD1275-SUM($AG1275:AN1275))),0)</f>
        <v>0</v>
      </c>
      <c r="AP1275" s="8">
        <f>IF($O1275="Aktif",MAX(0,MIN($AE1275,$AD1275-SUM($AG1275:AO1275))),0)</f>
        <v>0</v>
      </c>
      <c r="AQ1275" s="8">
        <f>IF($O1275="Aktif",MAX(0,MIN($AE1275,$AD1275-SUM($AG1275:AP1275))),0)</f>
        <v>0</v>
      </c>
      <c r="AR1275" s="8">
        <f>IF($O1275="Aktif",MAX(0,MIN($AE1275,$AD1275-SUM($AG1275:AQ1275))),0)</f>
        <v>0</v>
      </c>
      <c r="AS1275" s="8">
        <f>IF($O1275="Aktif",MAX(0,MIN($AE1275,$AD1275-SUM($AG1275:AR1275))),0)</f>
        <v>0</v>
      </c>
      <c r="AT1275" s="8">
        <f>IF($O1275="Aktif",MAX(0,MIN($AE1275,$AD1275-SUM($AG1275:AS1275))),0)</f>
        <v>0</v>
      </c>
      <c r="AU1275" s="8">
        <f>IF($O1275="Aktif",MAX(0,MIN($AE1275,$AD1275-SUM($AG1275:AT1275))),0)</f>
        <v>0</v>
      </c>
      <c r="AV1275" s="8">
        <f>IF($O1275="Aktif",MAX(0,MIN($AE1275,$AD1275-SUM($AG1275:AU1275))),0)</f>
        <v>0</v>
      </c>
      <c r="AW1275" s="8">
        <f t="shared" si="138"/>
        <v>0</v>
      </c>
      <c r="AX1275" s="8">
        <f t="shared" si="139"/>
        <v>0</v>
      </c>
    </row>
    <row r="1276" spans="1:50" ht="15" customHeight="1" x14ac:dyDescent="0.35">
      <c r="A1276" s="102">
        <v>1270</v>
      </c>
      <c r="B1276" s="102" t="s">
        <v>3343</v>
      </c>
      <c r="C1276" s="103">
        <v>77</v>
      </c>
      <c r="D1276" s="102" t="s">
        <v>186</v>
      </c>
      <c r="E1276" s="102" t="s">
        <v>479</v>
      </c>
      <c r="F1276" s="102" t="s">
        <v>3116</v>
      </c>
      <c r="G1276" s="102" t="s">
        <v>3117</v>
      </c>
      <c r="H1276" s="102" t="s">
        <v>3118</v>
      </c>
      <c r="I1276" s="102" t="s">
        <v>63</v>
      </c>
      <c r="J1276" s="102" t="s">
        <v>3522</v>
      </c>
      <c r="K1276" s="102"/>
      <c r="L1276" s="104">
        <v>42888</v>
      </c>
      <c r="M1276" s="102" t="s">
        <v>3523</v>
      </c>
      <c r="N1276" s="102" t="s">
        <v>3524</v>
      </c>
      <c r="O1276" s="102" t="s">
        <v>383</v>
      </c>
      <c r="P1276" s="103">
        <v>1</v>
      </c>
      <c r="Q1276" s="105">
        <v>3460000</v>
      </c>
      <c r="R1276" s="103">
        <v>48</v>
      </c>
      <c r="S1276" s="105">
        <v>72083.333333333299</v>
      </c>
      <c r="T1276" s="105">
        <v>3460000</v>
      </c>
      <c r="U1276" s="105">
        <v>0</v>
      </c>
      <c r="V1276" s="105">
        <v>0</v>
      </c>
      <c r="W1276" s="105">
        <v>0</v>
      </c>
      <c r="X1276" s="105">
        <v>0</v>
      </c>
      <c r="Y1276" s="105">
        <v>0</v>
      </c>
      <c r="Z1276" s="105">
        <v>0</v>
      </c>
      <c r="AA1276" s="105">
        <v>0</v>
      </c>
      <c r="AB1276" s="105">
        <v>0</v>
      </c>
      <c r="AC1276" s="8">
        <f t="shared" si="133"/>
        <v>3460000</v>
      </c>
      <c r="AD1276" s="8">
        <f t="shared" si="134"/>
        <v>0</v>
      </c>
      <c r="AE1276" s="8">
        <f t="shared" si="135"/>
        <v>0</v>
      </c>
      <c r="AF1276" s="106">
        <f t="shared" si="136"/>
        <v>0</v>
      </c>
      <c r="AG1276" s="8">
        <f t="shared" si="137"/>
        <v>0</v>
      </c>
      <c r="AH1276" s="8">
        <f>IF($O1276="Aktif",MAX(0,MIN($AE1276,$AD1276-SUM($AG1276:AG1276))),0)</f>
        <v>0</v>
      </c>
      <c r="AI1276" s="8">
        <f>IF($O1276="Aktif",MAX(0,MIN($AE1276,$AD1276-SUM($AG1276:AH1276))),0)</f>
        <v>0</v>
      </c>
      <c r="AJ1276" s="8">
        <f>IF($O1276="Aktif",MAX(0,MIN($AE1276,$AD1276-SUM($AG1276:AI1276))),0)</f>
        <v>0</v>
      </c>
      <c r="AK1276" s="8">
        <f>IF($O1276="Aktif",MAX(0,MIN($AE1276,$AD1276-SUM($AG1276:AJ1276))),0)</f>
        <v>0</v>
      </c>
      <c r="AL1276" s="8">
        <f>IF($O1276="Aktif",MAX(0,MIN($AE1276,$AD1276-SUM($AG1276:AK1276))),0)</f>
        <v>0</v>
      </c>
      <c r="AM1276" s="8">
        <f>IF($O1276="Aktif",MAX(0,MIN($AE1276,$AD1276-SUM($AG1276:AL1276))),0)</f>
        <v>0</v>
      </c>
      <c r="AN1276" s="8">
        <f>IF($O1276="Aktif",MAX(0,MIN($AE1276,$AD1276-SUM($AG1276:AM1276))),0)</f>
        <v>0</v>
      </c>
      <c r="AO1276" s="8">
        <f>IF($O1276="Aktif",MAX(0,MIN($AE1276,$AD1276-SUM($AG1276:AN1276))),0)</f>
        <v>0</v>
      </c>
      <c r="AP1276" s="8">
        <f>IF($O1276="Aktif",MAX(0,MIN($AE1276,$AD1276-SUM($AG1276:AO1276))),0)</f>
        <v>0</v>
      </c>
      <c r="AQ1276" s="8">
        <f>IF($O1276="Aktif",MAX(0,MIN($AE1276,$AD1276-SUM($AG1276:AP1276))),0)</f>
        <v>0</v>
      </c>
      <c r="AR1276" s="8">
        <f>IF($O1276="Aktif",MAX(0,MIN($AE1276,$AD1276-SUM($AG1276:AQ1276))),0)</f>
        <v>0</v>
      </c>
      <c r="AS1276" s="8">
        <f>IF($O1276="Aktif",MAX(0,MIN($AE1276,$AD1276-SUM($AG1276:AR1276))),0)</f>
        <v>0</v>
      </c>
      <c r="AT1276" s="8">
        <f>IF($O1276="Aktif",MAX(0,MIN($AE1276,$AD1276-SUM($AG1276:AS1276))),0)</f>
        <v>0</v>
      </c>
      <c r="AU1276" s="8">
        <f>IF($O1276="Aktif",MAX(0,MIN($AE1276,$AD1276-SUM($AG1276:AT1276))),0)</f>
        <v>0</v>
      </c>
      <c r="AV1276" s="8">
        <f>IF($O1276="Aktif",MAX(0,MIN($AE1276,$AD1276-SUM($AG1276:AU1276))),0)</f>
        <v>0</v>
      </c>
      <c r="AW1276" s="8">
        <f t="shared" si="138"/>
        <v>0</v>
      </c>
      <c r="AX1276" s="8">
        <f t="shared" si="139"/>
        <v>0</v>
      </c>
    </row>
    <row r="1277" spans="1:50" ht="15" customHeight="1" x14ac:dyDescent="0.35">
      <c r="A1277" s="102">
        <v>1271</v>
      </c>
      <c r="B1277" s="102" t="s">
        <v>3343</v>
      </c>
      <c r="C1277" s="103">
        <v>78</v>
      </c>
      <c r="D1277" s="102" t="s">
        <v>186</v>
      </c>
      <c r="E1277" s="102" t="s">
        <v>479</v>
      </c>
      <c r="F1277" s="102" t="s">
        <v>3116</v>
      </c>
      <c r="G1277" s="102" t="s">
        <v>3117</v>
      </c>
      <c r="H1277" s="102" t="s">
        <v>3118</v>
      </c>
      <c r="I1277" s="102" t="s">
        <v>63</v>
      </c>
      <c r="J1277" s="102" t="s">
        <v>3525</v>
      </c>
      <c r="K1277" s="102"/>
      <c r="L1277" s="104">
        <v>42888</v>
      </c>
      <c r="M1277" s="102" t="s">
        <v>3526</v>
      </c>
      <c r="N1277" s="102" t="s">
        <v>3527</v>
      </c>
      <c r="O1277" s="102" t="s">
        <v>383</v>
      </c>
      <c r="P1277" s="103">
        <v>1</v>
      </c>
      <c r="Q1277" s="105">
        <v>3620000</v>
      </c>
      <c r="R1277" s="103">
        <v>48</v>
      </c>
      <c r="S1277" s="105">
        <v>75416.666666666701</v>
      </c>
      <c r="T1277" s="105">
        <v>3620000</v>
      </c>
      <c r="U1277" s="105">
        <v>0</v>
      </c>
      <c r="V1277" s="105">
        <v>0</v>
      </c>
      <c r="W1277" s="105">
        <v>0</v>
      </c>
      <c r="X1277" s="105">
        <v>0</v>
      </c>
      <c r="Y1277" s="105">
        <v>0</v>
      </c>
      <c r="Z1277" s="105">
        <v>0</v>
      </c>
      <c r="AA1277" s="105">
        <v>0</v>
      </c>
      <c r="AB1277" s="105">
        <v>0</v>
      </c>
      <c r="AC1277" s="8">
        <f t="shared" si="133"/>
        <v>3620000</v>
      </c>
      <c r="AD1277" s="8">
        <f t="shared" si="134"/>
        <v>0</v>
      </c>
      <c r="AE1277" s="8">
        <f t="shared" si="135"/>
        <v>0</v>
      </c>
      <c r="AF1277" s="106">
        <f t="shared" si="136"/>
        <v>0</v>
      </c>
      <c r="AG1277" s="8">
        <f t="shared" si="137"/>
        <v>0</v>
      </c>
      <c r="AH1277" s="8">
        <f>IF($O1277="Aktif",MAX(0,MIN($AE1277,$AD1277-SUM($AG1277:AG1277))),0)</f>
        <v>0</v>
      </c>
      <c r="AI1277" s="8">
        <f>IF($O1277="Aktif",MAX(0,MIN($AE1277,$AD1277-SUM($AG1277:AH1277))),0)</f>
        <v>0</v>
      </c>
      <c r="AJ1277" s="8">
        <f>IF($O1277="Aktif",MAX(0,MIN($AE1277,$AD1277-SUM($AG1277:AI1277))),0)</f>
        <v>0</v>
      </c>
      <c r="AK1277" s="8">
        <f>IF($O1277="Aktif",MAX(0,MIN($AE1277,$AD1277-SUM($AG1277:AJ1277))),0)</f>
        <v>0</v>
      </c>
      <c r="AL1277" s="8">
        <f>IF($O1277="Aktif",MAX(0,MIN($AE1277,$AD1277-SUM($AG1277:AK1277))),0)</f>
        <v>0</v>
      </c>
      <c r="AM1277" s="8">
        <f>IF($O1277="Aktif",MAX(0,MIN($AE1277,$AD1277-SUM($AG1277:AL1277))),0)</f>
        <v>0</v>
      </c>
      <c r="AN1277" s="8">
        <f>IF($O1277="Aktif",MAX(0,MIN($AE1277,$AD1277-SUM($AG1277:AM1277))),0)</f>
        <v>0</v>
      </c>
      <c r="AO1277" s="8">
        <f>IF($O1277="Aktif",MAX(0,MIN($AE1277,$AD1277-SUM($AG1277:AN1277))),0)</f>
        <v>0</v>
      </c>
      <c r="AP1277" s="8">
        <f>IF($O1277="Aktif",MAX(0,MIN($AE1277,$AD1277-SUM($AG1277:AO1277))),0)</f>
        <v>0</v>
      </c>
      <c r="AQ1277" s="8">
        <f>IF($O1277="Aktif",MAX(0,MIN($AE1277,$AD1277-SUM($AG1277:AP1277))),0)</f>
        <v>0</v>
      </c>
      <c r="AR1277" s="8">
        <f>IF($O1277="Aktif",MAX(0,MIN($AE1277,$AD1277-SUM($AG1277:AQ1277))),0)</f>
        <v>0</v>
      </c>
      <c r="AS1277" s="8">
        <f>IF($O1277="Aktif",MAX(0,MIN($AE1277,$AD1277-SUM($AG1277:AR1277))),0)</f>
        <v>0</v>
      </c>
      <c r="AT1277" s="8">
        <f>IF($O1277="Aktif",MAX(0,MIN($AE1277,$AD1277-SUM($AG1277:AS1277))),0)</f>
        <v>0</v>
      </c>
      <c r="AU1277" s="8">
        <f>IF($O1277="Aktif",MAX(0,MIN($AE1277,$AD1277-SUM($AG1277:AT1277))),0)</f>
        <v>0</v>
      </c>
      <c r="AV1277" s="8">
        <f>IF($O1277="Aktif",MAX(0,MIN($AE1277,$AD1277-SUM($AG1277:AU1277))),0)</f>
        <v>0</v>
      </c>
      <c r="AW1277" s="8">
        <f t="shared" si="138"/>
        <v>0</v>
      </c>
      <c r="AX1277" s="8">
        <f t="shared" si="139"/>
        <v>0</v>
      </c>
    </row>
    <row r="1278" spans="1:50" ht="15" customHeight="1" x14ac:dyDescent="0.35">
      <c r="A1278" s="102">
        <v>1272</v>
      </c>
      <c r="B1278" s="102" t="s">
        <v>3343</v>
      </c>
      <c r="C1278" s="103">
        <v>79</v>
      </c>
      <c r="D1278" s="102" t="s">
        <v>186</v>
      </c>
      <c r="E1278" s="102" t="s">
        <v>479</v>
      </c>
      <c r="F1278" s="102" t="s">
        <v>3116</v>
      </c>
      <c r="G1278" s="102" t="s">
        <v>3117</v>
      </c>
      <c r="H1278" s="102" t="s">
        <v>3118</v>
      </c>
      <c r="I1278" s="102" t="s">
        <v>63</v>
      </c>
      <c r="J1278" s="102" t="s">
        <v>3528</v>
      </c>
      <c r="K1278" s="102"/>
      <c r="L1278" s="104">
        <v>42888</v>
      </c>
      <c r="M1278" s="102" t="s">
        <v>3529</v>
      </c>
      <c r="N1278" s="102" t="s">
        <v>3530</v>
      </c>
      <c r="O1278" s="102" t="s">
        <v>383</v>
      </c>
      <c r="P1278" s="103">
        <v>1</v>
      </c>
      <c r="Q1278" s="105">
        <v>3000000</v>
      </c>
      <c r="R1278" s="103">
        <v>48</v>
      </c>
      <c r="S1278" s="105">
        <v>62500</v>
      </c>
      <c r="T1278" s="105">
        <v>3000000</v>
      </c>
      <c r="U1278" s="105">
        <v>0</v>
      </c>
      <c r="V1278" s="105">
        <v>0</v>
      </c>
      <c r="W1278" s="105">
        <v>0</v>
      </c>
      <c r="X1278" s="105">
        <v>0</v>
      </c>
      <c r="Y1278" s="105">
        <v>0</v>
      </c>
      <c r="Z1278" s="105">
        <v>0</v>
      </c>
      <c r="AA1278" s="105">
        <v>0</v>
      </c>
      <c r="AB1278" s="105">
        <v>0</v>
      </c>
      <c r="AC1278" s="8">
        <f t="shared" si="133"/>
        <v>3000000</v>
      </c>
      <c r="AD1278" s="8">
        <f t="shared" si="134"/>
        <v>0</v>
      </c>
      <c r="AE1278" s="8">
        <f t="shared" si="135"/>
        <v>0</v>
      </c>
      <c r="AF1278" s="106">
        <f t="shared" si="136"/>
        <v>0</v>
      </c>
      <c r="AG1278" s="8">
        <f t="shared" si="137"/>
        <v>0</v>
      </c>
      <c r="AH1278" s="8">
        <f>IF($O1278="Aktif",MAX(0,MIN($AE1278,$AD1278-SUM($AG1278:AG1278))),0)</f>
        <v>0</v>
      </c>
      <c r="AI1278" s="8">
        <f>IF($O1278="Aktif",MAX(0,MIN($AE1278,$AD1278-SUM($AG1278:AH1278))),0)</f>
        <v>0</v>
      </c>
      <c r="AJ1278" s="8">
        <f>IF($O1278="Aktif",MAX(0,MIN($AE1278,$AD1278-SUM($AG1278:AI1278))),0)</f>
        <v>0</v>
      </c>
      <c r="AK1278" s="8">
        <f>IF($O1278="Aktif",MAX(0,MIN($AE1278,$AD1278-SUM($AG1278:AJ1278))),0)</f>
        <v>0</v>
      </c>
      <c r="AL1278" s="8">
        <f>IF($O1278="Aktif",MAX(0,MIN($AE1278,$AD1278-SUM($AG1278:AK1278))),0)</f>
        <v>0</v>
      </c>
      <c r="AM1278" s="8">
        <f>IF($O1278="Aktif",MAX(0,MIN($AE1278,$AD1278-SUM($AG1278:AL1278))),0)</f>
        <v>0</v>
      </c>
      <c r="AN1278" s="8">
        <f>IF($O1278="Aktif",MAX(0,MIN($AE1278,$AD1278-SUM($AG1278:AM1278))),0)</f>
        <v>0</v>
      </c>
      <c r="AO1278" s="8">
        <f>IF($O1278="Aktif",MAX(0,MIN($AE1278,$AD1278-SUM($AG1278:AN1278))),0)</f>
        <v>0</v>
      </c>
      <c r="AP1278" s="8">
        <f>IF($O1278="Aktif",MAX(0,MIN($AE1278,$AD1278-SUM($AG1278:AO1278))),0)</f>
        <v>0</v>
      </c>
      <c r="AQ1278" s="8">
        <f>IF($O1278="Aktif",MAX(0,MIN($AE1278,$AD1278-SUM($AG1278:AP1278))),0)</f>
        <v>0</v>
      </c>
      <c r="AR1278" s="8">
        <f>IF($O1278="Aktif",MAX(0,MIN($AE1278,$AD1278-SUM($AG1278:AQ1278))),0)</f>
        <v>0</v>
      </c>
      <c r="AS1278" s="8">
        <f>IF($O1278="Aktif",MAX(0,MIN($AE1278,$AD1278-SUM($AG1278:AR1278))),0)</f>
        <v>0</v>
      </c>
      <c r="AT1278" s="8">
        <f>IF($O1278="Aktif",MAX(0,MIN($AE1278,$AD1278-SUM($AG1278:AS1278))),0)</f>
        <v>0</v>
      </c>
      <c r="AU1278" s="8">
        <f>IF($O1278="Aktif",MAX(0,MIN($AE1278,$AD1278-SUM($AG1278:AT1278))),0)</f>
        <v>0</v>
      </c>
      <c r="AV1278" s="8">
        <f>IF($O1278="Aktif",MAX(0,MIN($AE1278,$AD1278-SUM($AG1278:AU1278))),0)</f>
        <v>0</v>
      </c>
      <c r="AW1278" s="8">
        <f t="shared" si="138"/>
        <v>0</v>
      </c>
      <c r="AX1278" s="8">
        <f t="shared" si="139"/>
        <v>0</v>
      </c>
    </row>
    <row r="1279" spans="1:50" ht="15" customHeight="1" x14ac:dyDescent="0.35">
      <c r="A1279" s="102">
        <v>1273</v>
      </c>
      <c r="B1279" s="102" t="s">
        <v>3343</v>
      </c>
      <c r="C1279" s="103">
        <v>80</v>
      </c>
      <c r="D1279" s="102" t="s">
        <v>186</v>
      </c>
      <c r="E1279" s="102" t="s">
        <v>479</v>
      </c>
      <c r="F1279" s="102" t="s">
        <v>3116</v>
      </c>
      <c r="G1279" s="102" t="s">
        <v>3117</v>
      </c>
      <c r="H1279" s="102" t="s">
        <v>3118</v>
      </c>
      <c r="I1279" s="102" t="s">
        <v>63</v>
      </c>
      <c r="J1279" s="102" t="s">
        <v>3531</v>
      </c>
      <c r="K1279" s="102"/>
      <c r="L1279" s="104">
        <v>42892</v>
      </c>
      <c r="M1279" s="102" t="s">
        <v>3532</v>
      </c>
      <c r="N1279" s="102" t="s">
        <v>3533</v>
      </c>
      <c r="O1279" s="102" t="s">
        <v>383</v>
      </c>
      <c r="P1279" s="103">
        <v>1</v>
      </c>
      <c r="Q1279" s="105">
        <v>80000000</v>
      </c>
      <c r="R1279" s="103">
        <v>48</v>
      </c>
      <c r="S1279" s="105">
        <v>1666666.66666667</v>
      </c>
      <c r="T1279" s="105">
        <v>80000000</v>
      </c>
      <c r="U1279" s="105">
        <v>0</v>
      </c>
      <c r="V1279" s="105">
        <v>0</v>
      </c>
      <c r="W1279" s="105">
        <v>0</v>
      </c>
      <c r="X1279" s="105">
        <v>0</v>
      </c>
      <c r="Y1279" s="105">
        <v>0</v>
      </c>
      <c r="Z1279" s="105">
        <v>0</v>
      </c>
      <c r="AA1279" s="105">
        <v>0</v>
      </c>
      <c r="AB1279" s="105">
        <v>0</v>
      </c>
      <c r="AC1279" s="8">
        <f t="shared" si="133"/>
        <v>80000000</v>
      </c>
      <c r="AD1279" s="8">
        <f t="shared" si="134"/>
        <v>0</v>
      </c>
      <c r="AE1279" s="8">
        <f t="shared" si="135"/>
        <v>0</v>
      </c>
      <c r="AF1279" s="106">
        <f t="shared" si="136"/>
        <v>0</v>
      </c>
      <c r="AG1279" s="8">
        <f t="shared" si="137"/>
        <v>0</v>
      </c>
      <c r="AH1279" s="8">
        <f>IF($O1279="Aktif",MAX(0,MIN($AE1279,$AD1279-SUM($AG1279:AG1279))),0)</f>
        <v>0</v>
      </c>
      <c r="AI1279" s="8">
        <f>IF($O1279="Aktif",MAX(0,MIN($AE1279,$AD1279-SUM($AG1279:AH1279))),0)</f>
        <v>0</v>
      </c>
      <c r="AJ1279" s="8">
        <f>IF($O1279="Aktif",MAX(0,MIN($AE1279,$AD1279-SUM($AG1279:AI1279))),0)</f>
        <v>0</v>
      </c>
      <c r="AK1279" s="8">
        <f>IF($O1279="Aktif",MAX(0,MIN($AE1279,$AD1279-SUM($AG1279:AJ1279))),0)</f>
        <v>0</v>
      </c>
      <c r="AL1279" s="8">
        <f>IF($O1279="Aktif",MAX(0,MIN($AE1279,$AD1279-SUM($AG1279:AK1279))),0)</f>
        <v>0</v>
      </c>
      <c r="AM1279" s="8">
        <f>IF($O1279="Aktif",MAX(0,MIN($AE1279,$AD1279-SUM($AG1279:AL1279))),0)</f>
        <v>0</v>
      </c>
      <c r="AN1279" s="8">
        <f>IF($O1279="Aktif",MAX(0,MIN($AE1279,$AD1279-SUM($AG1279:AM1279))),0)</f>
        <v>0</v>
      </c>
      <c r="AO1279" s="8">
        <f>IF($O1279="Aktif",MAX(0,MIN($AE1279,$AD1279-SUM($AG1279:AN1279))),0)</f>
        <v>0</v>
      </c>
      <c r="AP1279" s="8">
        <f>IF($O1279="Aktif",MAX(0,MIN($AE1279,$AD1279-SUM($AG1279:AO1279))),0)</f>
        <v>0</v>
      </c>
      <c r="AQ1279" s="8">
        <f>IF($O1279="Aktif",MAX(0,MIN($AE1279,$AD1279-SUM($AG1279:AP1279))),0)</f>
        <v>0</v>
      </c>
      <c r="AR1279" s="8">
        <f>IF($O1279="Aktif",MAX(0,MIN($AE1279,$AD1279-SUM($AG1279:AQ1279))),0)</f>
        <v>0</v>
      </c>
      <c r="AS1279" s="8">
        <f>IF($O1279="Aktif",MAX(0,MIN($AE1279,$AD1279-SUM($AG1279:AR1279))),0)</f>
        <v>0</v>
      </c>
      <c r="AT1279" s="8">
        <f>IF($O1279="Aktif",MAX(0,MIN($AE1279,$AD1279-SUM($AG1279:AS1279))),0)</f>
        <v>0</v>
      </c>
      <c r="AU1279" s="8">
        <f>IF($O1279="Aktif",MAX(0,MIN($AE1279,$AD1279-SUM($AG1279:AT1279))),0)</f>
        <v>0</v>
      </c>
      <c r="AV1279" s="8">
        <f>IF($O1279="Aktif",MAX(0,MIN($AE1279,$AD1279-SUM($AG1279:AU1279))),0)</f>
        <v>0</v>
      </c>
      <c r="AW1279" s="8">
        <f t="shared" si="138"/>
        <v>0</v>
      </c>
      <c r="AX1279" s="8">
        <f t="shared" si="139"/>
        <v>0</v>
      </c>
    </row>
    <row r="1280" spans="1:50" ht="15" customHeight="1" x14ac:dyDescent="0.35">
      <c r="A1280" s="102">
        <v>1274</v>
      </c>
      <c r="B1280" s="102" t="s">
        <v>3343</v>
      </c>
      <c r="C1280" s="103">
        <v>81</v>
      </c>
      <c r="D1280" s="102" t="s">
        <v>186</v>
      </c>
      <c r="E1280" s="102" t="s">
        <v>479</v>
      </c>
      <c r="F1280" s="102" t="s">
        <v>3116</v>
      </c>
      <c r="G1280" s="102" t="s">
        <v>3117</v>
      </c>
      <c r="H1280" s="102" t="s">
        <v>3118</v>
      </c>
      <c r="I1280" s="102" t="s">
        <v>63</v>
      </c>
      <c r="J1280" s="102" t="s">
        <v>3534</v>
      </c>
      <c r="K1280" s="102"/>
      <c r="L1280" s="104">
        <v>42895</v>
      </c>
      <c r="M1280" s="102" t="s">
        <v>3535</v>
      </c>
      <c r="N1280" s="102" t="s">
        <v>3536</v>
      </c>
      <c r="O1280" s="102" t="s">
        <v>383</v>
      </c>
      <c r="P1280" s="103">
        <v>1</v>
      </c>
      <c r="Q1280" s="105">
        <v>3600000</v>
      </c>
      <c r="R1280" s="103">
        <v>48</v>
      </c>
      <c r="S1280" s="105">
        <v>75000</v>
      </c>
      <c r="T1280" s="105">
        <v>3600000</v>
      </c>
      <c r="U1280" s="105">
        <v>0</v>
      </c>
      <c r="V1280" s="105">
        <v>0</v>
      </c>
      <c r="W1280" s="105">
        <v>0</v>
      </c>
      <c r="X1280" s="105">
        <v>0</v>
      </c>
      <c r="Y1280" s="105">
        <v>0</v>
      </c>
      <c r="Z1280" s="105">
        <v>0</v>
      </c>
      <c r="AA1280" s="105">
        <v>0</v>
      </c>
      <c r="AB1280" s="105">
        <v>0</v>
      </c>
      <c r="AC1280" s="8">
        <f t="shared" si="133"/>
        <v>3600000</v>
      </c>
      <c r="AD1280" s="8">
        <f t="shared" si="134"/>
        <v>0</v>
      </c>
      <c r="AE1280" s="8">
        <f t="shared" si="135"/>
        <v>0</v>
      </c>
      <c r="AF1280" s="106">
        <f t="shared" si="136"/>
        <v>0</v>
      </c>
      <c r="AG1280" s="8">
        <f t="shared" si="137"/>
        <v>0</v>
      </c>
      <c r="AH1280" s="8">
        <f>IF($O1280="Aktif",MAX(0,MIN($AE1280,$AD1280-SUM($AG1280:AG1280))),0)</f>
        <v>0</v>
      </c>
      <c r="AI1280" s="8">
        <f>IF($O1280="Aktif",MAX(0,MIN($AE1280,$AD1280-SUM($AG1280:AH1280))),0)</f>
        <v>0</v>
      </c>
      <c r="AJ1280" s="8">
        <f>IF($O1280="Aktif",MAX(0,MIN($AE1280,$AD1280-SUM($AG1280:AI1280))),0)</f>
        <v>0</v>
      </c>
      <c r="AK1280" s="8">
        <f>IF($O1280="Aktif",MAX(0,MIN($AE1280,$AD1280-SUM($AG1280:AJ1280))),0)</f>
        <v>0</v>
      </c>
      <c r="AL1280" s="8">
        <f>IF($O1280="Aktif",MAX(0,MIN($AE1280,$AD1280-SUM($AG1280:AK1280))),0)</f>
        <v>0</v>
      </c>
      <c r="AM1280" s="8">
        <f>IF($O1280="Aktif",MAX(0,MIN($AE1280,$AD1280-SUM($AG1280:AL1280))),0)</f>
        <v>0</v>
      </c>
      <c r="AN1280" s="8">
        <f>IF($O1280="Aktif",MAX(0,MIN($AE1280,$AD1280-SUM($AG1280:AM1280))),0)</f>
        <v>0</v>
      </c>
      <c r="AO1280" s="8">
        <f>IF($O1280="Aktif",MAX(0,MIN($AE1280,$AD1280-SUM($AG1280:AN1280))),0)</f>
        <v>0</v>
      </c>
      <c r="AP1280" s="8">
        <f>IF($O1280="Aktif",MAX(0,MIN($AE1280,$AD1280-SUM($AG1280:AO1280))),0)</f>
        <v>0</v>
      </c>
      <c r="AQ1280" s="8">
        <f>IF($O1280="Aktif",MAX(0,MIN($AE1280,$AD1280-SUM($AG1280:AP1280))),0)</f>
        <v>0</v>
      </c>
      <c r="AR1280" s="8">
        <f>IF($O1280="Aktif",MAX(0,MIN($AE1280,$AD1280-SUM($AG1280:AQ1280))),0)</f>
        <v>0</v>
      </c>
      <c r="AS1280" s="8">
        <f>IF($O1280="Aktif",MAX(0,MIN($AE1280,$AD1280-SUM($AG1280:AR1280))),0)</f>
        <v>0</v>
      </c>
      <c r="AT1280" s="8">
        <f>IF($O1280="Aktif",MAX(0,MIN($AE1280,$AD1280-SUM($AG1280:AS1280))),0)</f>
        <v>0</v>
      </c>
      <c r="AU1280" s="8">
        <f>IF($O1280="Aktif",MAX(0,MIN($AE1280,$AD1280-SUM($AG1280:AT1280))),0)</f>
        <v>0</v>
      </c>
      <c r="AV1280" s="8">
        <f>IF($O1280="Aktif",MAX(0,MIN($AE1280,$AD1280-SUM($AG1280:AU1280))),0)</f>
        <v>0</v>
      </c>
      <c r="AW1280" s="8">
        <f t="shared" si="138"/>
        <v>0</v>
      </c>
      <c r="AX1280" s="8">
        <f t="shared" si="139"/>
        <v>0</v>
      </c>
    </row>
    <row r="1281" spans="1:50" ht="15" customHeight="1" x14ac:dyDescent="0.35">
      <c r="A1281" s="102">
        <v>1275</v>
      </c>
      <c r="B1281" s="102" t="s">
        <v>3343</v>
      </c>
      <c r="C1281" s="103">
        <v>82</v>
      </c>
      <c r="D1281" s="102" t="s">
        <v>186</v>
      </c>
      <c r="E1281" s="102" t="s">
        <v>479</v>
      </c>
      <c r="F1281" s="102" t="s">
        <v>3116</v>
      </c>
      <c r="G1281" s="102" t="s">
        <v>3117</v>
      </c>
      <c r="H1281" s="102" t="s">
        <v>3118</v>
      </c>
      <c r="I1281" s="102" t="s">
        <v>63</v>
      </c>
      <c r="J1281" s="102" t="s">
        <v>3537</v>
      </c>
      <c r="K1281" s="102"/>
      <c r="L1281" s="104">
        <v>42899</v>
      </c>
      <c r="M1281" s="102" t="s">
        <v>3538</v>
      </c>
      <c r="N1281" s="102" t="s">
        <v>3539</v>
      </c>
      <c r="O1281" s="102" t="s">
        <v>383</v>
      </c>
      <c r="P1281" s="103">
        <v>1</v>
      </c>
      <c r="Q1281" s="105">
        <v>2650000</v>
      </c>
      <c r="R1281" s="103">
        <v>48</v>
      </c>
      <c r="S1281" s="105">
        <v>55208.333333333299</v>
      </c>
      <c r="T1281" s="105">
        <v>2650000</v>
      </c>
      <c r="U1281" s="105">
        <v>0</v>
      </c>
      <c r="V1281" s="105">
        <v>0</v>
      </c>
      <c r="W1281" s="105">
        <v>0</v>
      </c>
      <c r="X1281" s="105">
        <v>0</v>
      </c>
      <c r="Y1281" s="105">
        <v>0</v>
      </c>
      <c r="Z1281" s="105">
        <v>0</v>
      </c>
      <c r="AA1281" s="105">
        <v>0</v>
      </c>
      <c r="AB1281" s="105">
        <v>0</v>
      </c>
      <c r="AC1281" s="8">
        <f t="shared" si="133"/>
        <v>2650000</v>
      </c>
      <c r="AD1281" s="8">
        <f t="shared" si="134"/>
        <v>0</v>
      </c>
      <c r="AE1281" s="8">
        <f t="shared" si="135"/>
        <v>0</v>
      </c>
      <c r="AF1281" s="106">
        <f t="shared" si="136"/>
        <v>0</v>
      </c>
      <c r="AG1281" s="8">
        <f t="shared" si="137"/>
        <v>0</v>
      </c>
      <c r="AH1281" s="8">
        <f>IF($O1281="Aktif",MAX(0,MIN($AE1281,$AD1281-SUM($AG1281:AG1281))),0)</f>
        <v>0</v>
      </c>
      <c r="AI1281" s="8">
        <f>IF($O1281="Aktif",MAX(0,MIN($AE1281,$AD1281-SUM($AG1281:AH1281))),0)</f>
        <v>0</v>
      </c>
      <c r="AJ1281" s="8">
        <f>IF($O1281="Aktif",MAX(0,MIN($AE1281,$AD1281-SUM($AG1281:AI1281))),0)</f>
        <v>0</v>
      </c>
      <c r="AK1281" s="8">
        <f>IF($O1281="Aktif",MAX(0,MIN($AE1281,$AD1281-SUM($AG1281:AJ1281))),0)</f>
        <v>0</v>
      </c>
      <c r="AL1281" s="8">
        <f>IF($O1281="Aktif",MAX(0,MIN($AE1281,$AD1281-SUM($AG1281:AK1281))),0)</f>
        <v>0</v>
      </c>
      <c r="AM1281" s="8">
        <f>IF($O1281="Aktif",MAX(0,MIN($AE1281,$AD1281-SUM($AG1281:AL1281))),0)</f>
        <v>0</v>
      </c>
      <c r="AN1281" s="8">
        <f>IF($O1281="Aktif",MAX(0,MIN($AE1281,$AD1281-SUM($AG1281:AM1281))),0)</f>
        <v>0</v>
      </c>
      <c r="AO1281" s="8">
        <f>IF($O1281="Aktif",MAX(0,MIN($AE1281,$AD1281-SUM($AG1281:AN1281))),0)</f>
        <v>0</v>
      </c>
      <c r="AP1281" s="8">
        <f>IF($O1281="Aktif",MAX(0,MIN($AE1281,$AD1281-SUM($AG1281:AO1281))),0)</f>
        <v>0</v>
      </c>
      <c r="AQ1281" s="8">
        <f>IF($O1281="Aktif",MAX(0,MIN($AE1281,$AD1281-SUM($AG1281:AP1281))),0)</f>
        <v>0</v>
      </c>
      <c r="AR1281" s="8">
        <f>IF($O1281="Aktif",MAX(0,MIN($AE1281,$AD1281-SUM($AG1281:AQ1281))),0)</f>
        <v>0</v>
      </c>
      <c r="AS1281" s="8">
        <f>IF($O1281="Aktif",MAX(0,MIN($AE1281,$AD1281-SUM($AG1281:AR1281))),0)</f>
        <v>0</v>
      </c>
      <c r="AT1281" s="8">
        <f>IF($O1281="Aktif",MAX(0,MIN($AE1281,$AD1281-SUM($AG1281:AS1281))),0)</f>
        <v>0</v>
      </c>
      <c r="AU1281" s="8">
        <f>IF($O1281="Aktif",MAX(0,MIN($AE1281,$AD1281-SUM($AG1281:AT1281))),0)</f>
        <v>0</v>
      </c>
      <c r="AV1281" s="8">
        <f>IF($O1281="Aktif",MAX(0,MIN($AE1281,$AD1281-SUM($AG1281:AU1281))),0)</f>
        <v>0</v>
      </c>
      <c r="AW1281" s="8">
        <f t="shared" si="138"/>
        <v>0</v>
      </c>
      <c r="AX1281" s="8">
        <f t="shared" si="139"/>
        <v>0</v>
      </c>
    </row>
    <row r="1282" spans="1:50" ht="15" customHeight="1" x14ac:dyDescent="0.35">
      <c r="A1282" s="102">
        <v>1276</v>
      </c>
      <c r="B1282" s="102" t="s">
        <v>3343</v>
      </c>
      <c r="C1282" s="103">
        <v>83</v>
      </c>
      <c r="D1282" s="102" t="s">
        <v>186</v>
      </c>
      <c r="E1282" s="102" t="s">
        <v>479</v>
      </c>
      <c r="F1282" s="102" t="s">
        <v>3116</v>
      </c>
      <c r="G1282" s="102" t="s">
        <v>3117</v>
      </c>
      <c r="H1282" s="102" t="s">
        <v>3118</v>
      </c>
      <c r="I1282" s="102" t="s">
        <v>63</v>
      </c>
      <c r="J1282" s="102" t="s">
        <v>3540</v>
      </c>
      <c r="K1282" s="102"/>
      <c r="L1282" s="104">
        <v>42902</v>
      </c>
      <c r="M1282" s="102" t="s">
        <v>3541</v>
      </c>
      <c r="N1282" s="102" t="s">
        <v>3542</v>
      </c>
      <c r="O1282" s="102" t="s">
        <v>383</v>
      </c>
      <c r="P1282" s="103">
        <v>1</v>
      </c>
      <c r="Q1282" s="105">
        <v>14000000</v>
      </c>
      <c r="R1282" s="103">
        <v>48</v>
      </c>
      <c r="S1282" s="105">
        <v>291666.66666666698</v>
      </c>
      <c r="T1282" s="105">
        <v>14000000</v>
      </c>
      <c r="U1282" s="105">
        <v>0</v>
      </c>
      <c r="V1282" s="105">
        <v>0</v>
      </c>
      <c r="W1282" s="105">
        <v>0</v>
      </c>
      <c r="X1282" s="105">
        <v>0</v>
      </c>
      <c r="Y1282" s="105">
        <v>0</v>
      </c>
      <c r="Z1282" s="105">
        <v>0</v>
      </c>
      <c r="AA1282" s="105">
        <v>0</v>
      </c>
      <c r="AB1282" s="105">
        <v>0</v>
      </c>
      <c r="AC1282" s="8">
        <f t="shared" si="133"/>
        <v>14000000</v>
      </c>
      <c r="AD1282" s="8">
        <f t="shared" si="134"/>
        <v>0</v>
      </c>
      <c r="AE1282" s="8">
        <f t="shared" si="135"/>
        <v>0</v>
      </c>
      <c r="AF1282" s="106">
        <f t="shared" si="136"/>
        <v>0</v>
      </c>
      <c r="AG1282" s="8">
        <f t="shared" si="137"/>
        <v>0</v>
      </c>
      <c r="AH1282" s="8">
        <f>IF($O1282="Aktif",MAX(0,MIN($AE1282,$AD1282-SUM($AG1282:AG1282))),0)</f>
        <v>0</v>
      </c>
      <c r="AI1282" s="8">
        <f>IF($O1282="Aktif",MAX(0,MIN($AE1282,$AD1282-SUM($AG1282:AH1282))),0)</f>
        <v>0</v>
      </c>
      <c r="AJ1282" s="8">
        <f>IF($O1282="Aktif",MAX(0,MIN($AE1282,$AD1282-SUM($AG1282:AI1282))),0)</f>
        <v>0</v>
      </c>
      <c r="AK1282" s="8">
        <f>IF($O1282="Aktif",MAX(0,MIN($AE1282,$AD1282-SUM($AG1282:AJ1282))),0)</f>
        <v>0</v>
      </c>
      <c r="AL1282" s="8">
        <f>IF($O1282="Aktif",MAX(0,MIN($AE1282,$AD1282-SUM($AG1282:AK1282))),0)</f>
        <v>0</v>
      </c>
      <c r="AM1282" s="8">
        <f>IF($O1282="Aktif",MAX(0,MIN($AE1282,$AD1282-SUM($AG1282:AL1282))),0)</f>
        <v>0</v>
      </c>
      <c r="AN1282" s="8">
        <f>IF($O1282="Aktif",MAX(0,MIN($AE1282,$AD1282-SUM($AG1282:AM1282))),0)</f>
        <v>0</v>
      </c>
      <c r="AO1282" s="8">
        <f>IF($O1282="Aktif",MAX(0,MIN($AE1282,$AD1282-SUM($AG1282:AN1282))),0)</f>
        <v>0</v>
      </c>
      <c r="AP1282" s="8">
        <f>IF($O1282="Aktif",MAX(0,MIN($AE1282,$AD1282-SUM($AG1282:AO1282))),0)</f>
        <v>0</v>
      </c>
      <c r="AQ1282" s="8">
        <f>IF($O1282="Aktif",MAX(0,MIN($AE1282,$AD1282-SUM($AG1282:AP1282))),0)</f>
        <v>0</v>
      </c>
      <c r="AR1282" s="8">
        <f>IF($O1282="Aktif",MAX(0,MIN($AE1282,$AD1282-SUM($AG1282:AQ1282))),0)</f>
        <v>0</v>
      </c>
      <c r="AS1282" s="8">
        <f>IF($O1282="Aktif",MAX(0,MIN($AE1282,$AD1282-SUM($AG1282:AR1282))),0)</f>
        <v>0</v>
      </c>
      <c r="AT1282" s="8">
        <f>IF($O1282="Aktif",MAX(0,MIN($AE1282,$AD1282-SUM($AG1282:AS1282))),0)</f>
        <v>0</v>
      </c>
      <c r="AU1282" s="8">
        <f>IF($O1282="Aktif",MAX(0,MIN($AE1282,$AD1282-SUM($AG1282:AT1282))),0)</f>
        <v>0</v>
      </c>
      <c r="AV1282" s="8">
        <f>IF($O1282="Aktif",MAX(0,MIN($AE1282,$AD1282-SUM($AG1282:AU1282))),0)</f>
        <v>0</v>
      </c>
      <c r="AW1282" s="8">
        <f t="shared" si="138"/>
        <v>0</v>
      </c>
      <c r="AX1282" s="8">
        <f t="shared" si="139"/>
        <v>0</v>
      </c>
    </row>
    <row r="1283" spans="1:50" ht="15" customHeight="1" x14ac:dyDescent="0.35">
      <c r="A1283" s="102">
        <v>1277</v>
      </c>
      <c r="B1283" s="102" t="s">
        <v>3343</v>
      </c>
      <c r="C1283" s="103">
        <v>84</v>
      </c>
      <c r="D1283" s="102" t="s">
        <v>186</v>
      </c>
      <c r="E1283" s="102" t="s">
        <v>479</v>
      </c>
      <c r="F1283" s="102" t="s">
        <v>3116</v>
      </c>
      <c r="G1283" s="102" t="s">
        <v>3117</v>
      </c>
      <c r="H1283" s="102" t="s">
        <v>3118</v>
      </c>
      <c r="I1283" s="102" t="s">
        <v>63</v>
      </c>
      <c r="J1283" s="102" t="s">
        <v>3543</v>
      </c>
      <c r="K1283" s="102"/>
      <c r="L1283" s="104">
        <v>42902</v>
      </c>
      <c r="M1283" s="102" t="s">
        <v>3544</v>
      </c>
      <c r="N1283" s="102" t="s">
        <v>3545</v>
      </c>
      <c r="O1283" s="102" t="s">
        <v>383</v>
      </c>
      <c r="P1283" s="103">
        <v>1</v>
      </c>
      <c r="Q1283" s="105">
        <v>30150000</v>
      </c>
      <c r="R1283" s="103">
        <v>48</v>
      </c>
      <c r="S1283" s="105">
        <v>628125</v>
      </c>
      <c r="T1283" s="105">
        <v>30150000</v>
      </c>
      <c r="U1283" s="105">
        <v>0</v>
      </c>
      <c r="V1283" s="105">
        <v>0</v>
      </c>
      <c r="W1283" s="105">
        <v>0</v>
      </c>
      <c r="X1283" s="105">
        <v>0</v>
      </c>
      <c r="Y1283" s="105">
        <v>0</v>
      </c>
      <c r="Z1283" s="105">
        <v>0</v>
      </c>
      <c r="AA1283" s="105">
        <v>0</v>
      </c>
      <c r="AB1283" s="105">
        <v>0</v>
      </c>
      <c r="AC1283" s="8">
        <f t="shared" si="133"/>
        <v>30150000</v>
      </c>
      <c r="AD1283" s="8">
        <f t="shared" si="134"/>
        <v>0</v>
      </c>
      <c r="AE1283" s="8">
        <f t="shared" si="135"/>
        <v>0</v>
      </c>
      <c r="AF1283" s="106">
        <f t="shared" si="136"/>
        <v>0</v>
      </c>
      <c r="AG1283" s="8">
        <f t="shared" si="137"/>
        <v>0</v>
      </c>
      <c r="AH1283" s="8">
        <f>IF($O1283="Aktif",MAX(0,MIN($AE1283,$AD1283-SUM($AG1283:AG1283))),0)</f>
        <v>0</v>
      </c>
      <c r="AI1283" s="8">
        <f>IF($O1283="Aktif",MAX(0,MIN($AE1283,$AD1283-SUM($AG1283:AH1283))),0)</f>
        <v>0</v>
      </c>
      <c r="AJ1283" s="8">
        <f>IF($O1283="Aktif",MAX(0,MIN($AE1283,$AD1283-SUM($AG1283:AI1283))),0)</f>
        <v>0</v>
      </c>
      <c r="AK1283" s="8">
        <f>IF($O1283="Aktif",MAX(0,MIN($AE1283,$AD1283-SUM($AG1283:AJ1283))),0)</f>
        <v>0</v>
      </c>
      <c r="AL1283" s="8">
        <f>IF($O1283="Aktif",MAX(0,MIN($AE1283,$AD1283-SUM($AG1283:AK1283))),0)</f>
        <v>0</v>
      </c>
      <c r="AM1283" s="8">
        <f>IF($O1283="Aktif",MAX(0,MIN($AE1283,$AD1283-SUM($AG1283:AL1283))),0)</f>
        <v>0</v>
      </c>
      <c r="AN1283" s="8">
        <f>IF($O1283="Aktif",MAX(0,MIN($AE1283,$AD1283-SUM($AG1283:AM1283))),0)</f>
        <v>0</v>
      </c>
      <c r="AO1283" s="8">
        <f>IF($O1283="Aktif",MAX(0,MIN($AE1283,$AD1283-SUM($AG1283:AN1283))),0)</f>
        <v>0</v>
      </c>
      <c r="AP1283" s="8">
        <f>IF($O1283="Aktif",MAX(0,MIN($AE1283,$AD1283-SUM($AG1283:AO1283))),0)</f>
        <v>0</v>
      </c>
      <c r="AQ1283" s="8">
        <f>IF($O1283="Aktif",MAX(0,MIN($AE1283,$AD1283-SUM($AG1283:AP1283))),0)</f>
        <v>0</v>
      </c>
      <c r="AR1283" s="8">
        <f>IF($O1283="Aktif",MAX(0,MIN($AE1283,$AD1283-SUM($AG1283:AQ1283))),0)</f>
        <v>0</v>
      </c>
      <c r="AS1283" s="8">
        <f>IF($O1283="Aktif",MAX(0,MIN($AE1283,$AD1283-SUM($AG1283:AR1283))),0)</f>
        <v>0</v>
      </c>
      <c r="AT1283" s="8">
        <f>IF($O1283="Aktif",MAX(0,MIN($AE1283,$AD1283-SUM($AG1283:AS1283))),0)</f>
        <v>0</v>
      </c>
      <c r="AU1283" s="8">
        <f>IF($O1283="Aktif",MAX(0,MIN($AE1283,$AD1283-SUM($AG1283:AT1283))),0)</f>
        <v>0</v>
      </c>
      <c r="AV1283" s="8">
        <f>IF($O1283="Aktif",MAX(0,MIN($AE1283,$AD1283-SUM($AG1283:AU1283))),0)</f>
        <v>0</v>
      </c>
      <c r="AW1283" s="8">
        <f t="shared" si="138"/>
        <v>0</v>
      </c>
      <c r="AX1283" s="8">
        <f t="shared" si="139"/>
        <v>0</v>
      </c>
    </row>
    <row r="1284" spans="1:50" ht="15" customHeight="1" x14ac:dyDescent="0.35">
      <c r="A1284" s="102">
        <v>1278</v>
      </c>
      <c r="B1284" s="102" t="s">
        <v>3343</v>
      </c>
      <c r="C1284" s="103">
        <v>85</v>
      </c>
      <c r="D1284" s="102" t="s">
        <v>186</v>
      </c>
      <c r="E1284" s="102" t="s">
        <v>479</v>
      </c>
      <c r="F1284" s="102" t="s">
        <v>3116</v>
      </c>
      <c r="G1284" s="102" t="s">
        <v>3117</v>
      </c>
      <c r="H1284" s="102" t="s">
        <v>3118</v>
      </c>
      <c r="I1284" s="102" t="s">
        <v>63</v>
      </c>
      <c r="J1284" s="102" t="s">
        <v>3546</v>
      </c>
      <c r="K1284" s="102"/>
      <c r="L1284" s="104">
        <v>42902</v>
      </c>
      <c r="M1284" s="102" t="s">
        <v>3547</v>
      </c>
      <c r="N1284" s="102" t="s">
        <v>3548</v>
      </c>
      <c r="O1284" s="102" t="s">
        <v>383</v>
      </c>
      <c r="P1284" s="103">
        <v>1</v>
      </c>
      <c r="Q1284" s="105">
        <v>3150000</v>
      </c>
      <c r="R1284" s="103">
        <v>48</v>
      </c>
      <c r="S1284" s="105">
        <v>65625</v>
      </c>
      <c r="T1284" s="105">
        <v>3150000</v>
      </c>
      <c r="U1284" s="105">
        <v>0</v>
      </c>
      <c r="V1284" s="105">
        <v>0</v>
      </c>
      <c r="W1284" s="105">
        <v>0</v>
      </c>
      <c r="X1284" s="105">
        <v>0</v>
      </c>
      <c r="Y1284" s="105">
        <v>0</v>
      </c>
      <c r="Z1284" s="105">
        <v>0</v>
      </c>
      <c r="AA1284" s="105">
        <v>0</v>
      </c>
      <c r="AB1284" s="105">
        <v>0</v>
      </c>
      <c r="AC1284" s="8">
        <f t="shared" si="133"/>
        <v>3150000</v>
      </c>
      <c r="AD1284" s="8">
        <f t="shared" si="134"/>
        <v>0</v>
      </c>
      <c r="AE1284" s="8">
        <f t="shared" si="135"/>
        <v>0</v>
      </c>
      <c r="AF1284" s="106">
        <f t="shared" si="136"/>
        <v>0</v>
      </c>
      <c r="AG1284" s="8">
        <f t="shared" si="137"/>
        <v>0</v>
      </c>
      <c r="AH1284" s="8">
        <f>IF($O1284="Aktif",MAX(0,MIN($AE1284,$AD1284-SUM($AG1284:AG1284))),0)</f>
        <v>0</v>
      </c>
      <c r="AI1284" s="8">
        <f>IF($O1284="Aktif",MAX(0,MIN($AE1284,$AD1284-SUM($AG1284:AH1284))),0)</f>
        <v>0</v>
      </c>
      <c r="AJ1284" s="8">
        <f>IF($O1284="Aktif",MAX(0,MIN($AE1284,$AD1284-SUM($AG1284:AI1284))),0)</f>
        <v>0</v>
      </c>
      <c r="AK1284" s="8">
        <f>IF($O1284="Aktif",MAX(0,MIN($AE1284,$AD1284-SUM($AG1284:AJ1284))),0)</f>
        <v>0</v>
      </c>
      <c r="AL1284" s="8">
        <f>IF($O1284="Aktif",MAX(0,MIN($AE1284,$AD1284-SUM($AG1284:AK1284))),0)</f>
        <v>0</v>
      </c>
      <c r="AM1284" s="8">
        <f>IF($O1284="Aktif",MAX(0,MIN($AE1284,$AD1284-SUM($AG1284:AL1284))),0)</f>
        <v>0</v>
      </c>
      <c r="AN1284" s="8">
        <f>IF($O1284="Aktif",MAX(0,MIN($AE1284,$AD1284-SUM($AG1284:AM1284))),0)</f>
        <v>0</v>
      </c>
      <c r="AO1284" s="8">
        <f>IF($O1284="Aktif",MAX(0,MIN($AE1284,$AD1284-SUM($AG1284:AN1284))),0)</f>
        <v>0</v>
      </c>
      <c r="AP1284" s="8">
        <f>IF($O1284="Aktif",MAX(0,MIN($AE1284,$AD1284-SUM($AG1284:AO1284))),0)</f>
        <v>0</v>
      </c>
      <c r="AQ1284" s="8">
        <f>IF($O1284="Aktif",MAX(0,MIN($AE1284,$AD1284-SUM($AG1284:AP1284))),0)</f>
        <v>0</v>
      </c>
      <c r="AR1284" s="8">
        <f>IF($O1284="Aktif",MAX(0,MIN($AE1284,$AD1284-SUM($AG1284:AQ1284))),0)</f>
        <v>0</v>
      </c>
      <c r="AS1284" s="8">
        <f>IF($O1284="Aktif",MAX(0,MIN($AE1284,$AD1284-SUM($AG1284:AR1284))),0)</f>
        <v>0</v>
      </c>
      <c r="AT1284" s="8">
        <f>IF($O1284="Aktif",MAX(0,MIN($AE1284,$AD1284-SUM($AG1284:AS1284))),0)</f>
        <v>0</v>
      </c>
      <c r="AU1284" s="8">
        <f>IF($O1284="Aktif",MAX(0,MIN($AE1284,$AD1284-SUM($AG1284:AT1284))),0)</f>
        <v>0</v>
      </c>
      <c r="AV1284" s="8">
        <f>IF($O1284="Aktif",MAX(0,MIN($AE1284,$AD1284-SUM($AG1284:AU1284))),0)</f>
        <v>0</v>
      </c>
      <c r="AW1284" s="8">
        <f t="shared" si="138"/>
        <v>0</v>
      </c>
      <c r="AX1284" s="8">
        <f t="shared" si="139"/>
        <v>0</v>
      </c>
    </row>
    <row r="1285" spans="1:50" ht="15" customHeight="1" x14ac:dyDescent="0.35">
      <c r="A1285" s="102">
        <v>1279</v>
      </c>
      <c r="B1285" s="102" t="s">
        <v>3343</v>
      </c>
      <c r="C1285" s="103">
        <v>86</v>
      </c>
      <c r="D1285" s="102" t="s">
        <v>186</v>
      </c>
      <c r="E1285" s="102" t="s">
        <v>479</v>
      </c>
      <c r="F1285" s="102" t="s">
        <v>3116</v>
      </c>
      <c r="G1285" s="102" t="s">
        <v>3117</v>
      </c>
      <c r="H1285" s="102" t="s">
        <v>3118</v>
      </c>
      <c r="I1285" s="102" t="s">
        <v>63</v>
      </c>
      <c r="J1285" s="102" t="s">
        <v>3549</v>
      </c>
      <c r="K1285" s="102"/>
      <c r="L1285" s="104">
        <v>42902</v>
      </c>
      <c r="M1285" s="102" t="s">
        <v>3550</v>
      </c>
      <c r="N1285" s="102" t="s">
        <v>3551</v>
      </c>
      <c r="O1285" s="102" t="s">
        <v>383</v>
      </c>
      <c r="P1285" s="103">
        <v>1</v>
      </c>
      <c r="Q1285" s="105">
        <v>3055000</v>
      </c>
      <c r="R1285" s="103">
        <v>48</v>
      </c>
      <c r="S1285" s="105">
        <v>63645.833333333299</v>
      </c>
      <c r="T1285" s="105">
        <v>3055000</v>
      </c>
      <c r="U1285" s="105">
        <v>0</v>
      </c>
      <c r="V1285" s="105">
        <v>0</v>
      </c>
      <c r="W1285" s="105">
        <v>0</v>
      </c>
      <c r="X1285" s="105">
        <v>0</v>
      </c>
      <c r="Y1285" s="105">
        <v>0</v>
      </c>
      <c r="Z1285" s="105">
        <v>0</v>
      </c>
      <c r="AA1285" s="105">
        <v>0</v>
      </c>
      <c r="AB1285" s="105">
        <v>0</v>
      </c>
      <c r="AC1285" s="8">
        <f t="shared" si="133"/>
        <v>3055000</v>
      </c>
      <c r="AD1285" s="8">
        <f t="shared" si="134"/>
        <v>0</v>
      </c>
      <c r="AE1285" s="8">
        <f t="shared" si="135"/>
        <v>0</v>
      </c>
      <c r="AF1285" s="106">
        <f t="shared" si="136"/>
        <v>0</v>
      </c>
      <c r="AG1285" s="8">
        <f t="shared" si="137"/>
        <v>0</v>
      </c>
      <c r="AH1285" s="8">
        <f>IF($O1285="Aktif",MAX(0,MIN($AE1285,$AD1285-SUM($AG1285:AG1285))),0)</f>
        <v>0</v>
      </c>
      <c r="AI1285" s="8">
        <f>IF($O1285="Aktif",MAX(0,MIN($AE1285,$AD1285-SUM($AG1285:AH1285))),0)</f>
        <v>0</v>
      </c>
      <c r="AJ1285" s="8">
        <f>IF($O1285="Aktif",MAX(0,MIN($AE1285,$AD1285-SUM($AG1285:AI1285))),0)</f>
        <v>0</v>
      </c>
      <c r="AK1285" s="8">
        <f>IF($O1285="Aktif",MAX(0,MIN($AE1285,$AD1285-SUM($AG1285:AJ1285))),0)</f>
        <v>0</v>
      </c>
      <c r="AL1285" s="8">
        <f>IF($O1285="Aktif",MAX(0,MIN($AE1285,$AD1285-SUM($AG1285:AK1285))),0)</f>
        <v>0</v>
      </c>
      <c r="AM1285" s="8">
        <f>IF($O1285="Aktif",MAX(0,MIN($AE1285,$AD1285-SUM($AG1285:AL1285))),0)</f>
        <v>0</v>
      </c>
      <c r="AN1285" s="8">
        <f>IF($O1285="Aktif",MAX(0,MIN($AE1285,$AD1285-SUM($AG1285:AM1285))),0)</f>
        <v>0</v>
      </c>
      <c r="AO1285" s="8">
        <f>IF($O1285="Aktif",MAX(0,MIN($AE1285,$AD1285-SUM($AG1285:AN1285))),0)</f>
        <v>0</v>
      </c>
      <c r="AP1285" s="8">
        <f>IF($O1285="Aktif",MAX(0,MIN($AE1285,$AD1285-SUM($AG1285:AO1285))),0)</f>
        <v>0</v>
      </c>
      <c r="AQ1285" s="8">
        <f>IF($O1285="Aktif",MAX(0,MIN($AE1285,$AD1285-SUM($AG1285:AP1285))),0)</f>
        <v>0</v>
      </c>
      <c r="AR1285" s="8">
        <f>IF($O1285="Aktif",MAX(0,MIN($AE1285,$AD1285-SUM($AG1285:AQ1285))),0)</f>
        <v>0</v>
      </c>
      <c r="AS1285" s="8">
        <f>IF($O1285="Aktif",MAX(0,MIN($AE1285,$AD1285-SUM($AG1285:AR1285))),0)</f>
        <v>0</v>
      </c>
      <c r="AT1285" s="8">
        <f>IF($O1285="Aktif",MAX(0,MIN($AE1285,$AD1285-SUM($AG1285:AS1285))),0)</f>
        <v>0</v>
      </c>
      <c r="AU1285" s="8">
        <f>IF($O1285="Aktif",MAX(0,MIN($AE1285,$AD1285-SUM($AG1285:AT1285))),0)</f>
        <v>0</v>
      </c>
      <c r="AV1285" s="8">
        <f>IF($O1285="Aktif",MAX(0,MIN($AE1285,$AD1285-SUM($AG1285:AU1285))),0)</f>
        <v>0</v>
      </c>
      <c r="AW1285" s="8">
        <f t="shared" si="138"/>
        <v>0</v>
      </c>
      <c r="AX1285" s="8">
        <f t="shared" si="139"/>
        <v>0</v>
      </c>
    </row>
    <row r="1286" spans="1:50" ht="15" customHeight="1" x14ac:dyDescent="0.35">
      <c r="A1286" s="102">
        <v>1280</v>
      </c>
      <c r="B1286" s="102" t="s">
        <v>3343</v>
      </c>
      <c r="C1286" s="103">
        <v>87</v>
      </c>
      <c r="D1286" s="102" t="s">
        <v>186</v>
      </c>
      <c r="E1286" s="102" t="s">
        <v>479</v>
      </c>
      <c r="F1286" s="102" t="s">
        <v>3116</v>
      </c>
      <c r="G1286" s="102" t="s">
        <v>3117</v>
      </c>
      <c r="H1286" s="102" t="s">
        <v>3118</v>
      </c>
      <c r="I1286" s="102" t="s">
        <v>63</v>
      </c>
      <c r="J1286" s="102" t="s">
        <v>3552</v>
      </c>
      <c r="K1286" s="102"/>
      <c r="L1286" s="104">
        <v>42916</v>
      </c>
      <c r="M1286" s="102" t="s">
        <v>3553</v>
      </c>
      <c r="N1286" s="102" t="s">
        <v>3554</v>
      </c>
      <c r="O1286" s="102" t="s">
        <v>383</v>
      </c>
      <c r="P1286" s="103">
        <v>1</v>
      </c>
      <c r="Q1286" s="105">
        <v>510000000</v>
      </c>
      <c r="R1286" s="103">
        <v>48</v>
      </c>
      <c r="S1286" s="105">
        <v>10625000</v>
      </c>
      <c r="T1286" s="105">
        <v>456875000</v>
      </c>
      <c r="U1286" s="105">
        <v>0</v>
      </c>
      <c r="V1286" s="105">
        <v>0</v>
      </c>
      <c r="W1286" s="105">
        <v>0</v>
      </c>
      <c r="X1286" s="105">
        <v>0</v>
      </c>
      <c r="Y1286" s="105">
        <v>0</v>
      </c>
      <c r="Z1286" s="105">
        <v>0</v>
      </c>
      <c r="AA1286" s="105">
        <v>0</v>
      </c>
      <c r="AB1286" s="105">
        <v>0</v>
      </c>
      <c r="AC1286" s="8">
        <f t="shared" si="133"/>
        <v>456875000</v>
      </c>
      <c r="AD1286" s="8">
        <f t="shared" si="134"/>
        <v>53125000</v>
      </c>
      <c r="AE1286" s="8">
        <f t="shared" si="135"/>
        <v>0</v>
      </c>
      <c r="AF1286" s="106">
        <f t="shared" si="136"/>
        <v>0</v>
      </c>
      <c r="AG1286" s="8">
        <f t="shared" si="137"/>
        <v>0</v>
      </c>
      <c r="AH1286" s="8">
        <f>IF($O1286="Aktif",MAX(0,MIN($AE1286,$AD1286-SUM($AG1286:AG1286))),0)</f>
        <v>0</v>
      </c>
      <c r="AI1286" s="8">
        <f>IF($O1286="Aktif",MAX(0,MIN($AE1286,$AD1286-SUM($AG1286:AH1286))),0)</f>
        <v>0</v>
      </c>
      <c r="AJ1286" s="8">
        <f>IF($O1286="Aktif",MAX(0,MIN($AE1286,$AD1286-SUM($AG1286:AI1286))),0)</f>
        <v>0</v>
      </c>
      <c r="AK1286" s="8">
        <f>IF($O1286="Aktif",MAX(0,MIN($AE1286,$AD1286-SUM($AG1286:AJ1286))),0)</f>
        <v>0</v>
      </c>
      <c r="AL1286" s="8">
        <f>IF($O1286="Aktif",MAX(0,MIN($AE1286,$AD1286-SUM($AG1286:AK1286))),0)</f>
        <v>0</v>
      </c>
      <c r="AM1286" s="8">
        <f>IF($O1286="Aktif",MAX(0,MIN($AE1286,$AD1286-SUM($AG1286:AL1286))),0)</f>
        <v>0</v>
      </c>
      <c r="AN1286" s="8">
        <f>IF($O1286="Aktif",MAX(0,MIN($AE1286,$AD1286-SUM($AG1286:AM1286))),0)</f>
        <v>0</v>
      </c>
      <c r="AO1286" s="8">
        <f>IF($O1286="Aktif",MAX(0,MIN($AE1286,$AD1286-SUM($AG1286:AN1286))),0)</f>
        <v>0</v>
      </c>
      <c r="AP1286" s="8">
        <f>IF($O1286="Aktif",MAX(0,MIN($AE1286,$AD1286-SUM($AG1286:AO1286))),0)</f>
        <v>0</v>
      </c>
      <c r="AQ1286" s="8">
        <f>IF($O1286="Aktif",MAX(0,MIN($AE1286,$AD1286-SUM($AG1286:AP1286))),0)</f>
        <v>0</v>
      </c>
      <c r="AR1286" s="8">
        <f>IF($O1286="Aktif",MAX(0,MIN($AE1286,$AD1286-SUM($AG1286:AQ1286))),0)</f>
        <v>0</v>
      </c>
      <c r="AS1286" s="8">
        <f>IF($O1286="Aktif",MAX(0,MIN($AE1286,$AD1286-SUM($AG1286:AR1286))),0)</f>
        <v>0</v>
      </c>
      <c r="AT1286" s="8">
        <f>IF($O1286="Aktif",MAX(0,MIN($AE1286,$AD1286-SUM($AG1286:AS1286))),0)</f>
        <v>0</v>
      </c>
      <c r="AU1286" s="8">
        <f>IF($O1286="Aktif",MAX(0,MIN($AE1286,$AD1286-SUM($AG1286:AT1286))),0)</f>
        <v>0</v>
      </c>
      <c r="AV1286" s="8">
        <f>IF($O1286="Aktif",MAX(0,MIN($AE1286,$AD1286-SUM($AG1286:AU1286))),0)</f>
        <v>0</v>
      </c>
      <c r="AW1286" s="8">
        <f t="shared" si="138"/>
        <v>0</v>
      </c>
      <c r="AX1286" s="8">
        <f t="shared" si="139"/>
        <v>53125000</v>
      </c>
    </row>
    <row r="1287" spans="1:50" ht="15" customHeight="1" x14ac:dyDescent="0.35">
      <c r="A1287" s="102">
        <v>1281</v>
      </c>
      <c r="B1287" s="102" t="s">
        <v>3343</v>
      </c>
      <c r="C1287" s="103">
        <v>88</v>
      </c>
      <c r="D1287" s="102" t="s">
        <v>186</v>
      </c>
      <c r="E1287" s="102" t="s">
        <v>479</v>
      </c>
      <c r="F1287" s="102" t="s">
        <v>3116</v>
      </c>
      <c r="G1287" s="102" t="s">
        <v>3117</v>
      </c>
      <c r="H1287" s="102" t="s">
        <v>3118</v>
      </c>
      <c r="I1287" s="102" t="s">
        <v>63</v>
      </c>
      <c r="J1287" s="102"/>
      <c r="K1287" s="102"/>
      <c r="L1287" s="102" t="s">
        <v>2007</v>
      </c>
      <c r="M1287" s="102" t="s">
        <v>3555</v>
      </c>
      <c r="N1287" s="102" t="s">
        <v>3556</v>
      </c>
      <c r="O1287" s="102" t="s">
        <v>487</v>
      </c>
      <c r="P1287" s="103">
        <v>1</v>
      </c>
      <c r="Q1287" s="105">
        <v>-510000000</v>
      </c>
      <c r="R1287" s="103">
        <v>48</v>
      </c>
      <c r="S1287" s="105">
        <v>0</v>
      </c>
      <c r="T1287" s="105">
        <v>-456875000</v>
      </c>
      <c r="U1287" s="105">
        <v>0</v>
      </c>
      <c r="V1287" s="105">
        <v>0</v>
      </c>
      <c r="W1287" s="105">
        <v>0</v>
      </c>
      <c r="X1287" s="105">
        <v>0</v>
      </c>
      <c r="Y1287" s="105">
        <v>0</v>
      </c>
      <c r="Z1287" s="105">
        <v>0</v>
      </c>
      <c r="AA1287" s="105">
        <v>0</v>
      </c>
      <c r="AB1287" s="105">
        <v>0</v>
      </c>
      <c r="AC1287" s="8">
        <f t="shared" ref="AC1287:AC1350" si="140">T1287+SUM(U1287:AB1287)</f>
        <v>-456875000</v>
      </c>
      <c r="AD1287" s="8">
        <f t="shared" ref="AD1287:AD1350" si="141">Q1287-AC1287</f>
        <v>-53125000</v>
      </c>
      <c r="AE1287" s="8">
        <f t="shared" ref="AE1287:AE1350" si="142">IF(O1287="Aktif",AB1287,0)</f>
        <v>0</v>
      </c>
      <c r="AF1287" s="106">
        <f t="shared" ref="AF1287:AF1350" si="143">IF(AE1287&gt;0,MAX(0,AD1287)/AE1287,0)</f>
        <v>0</v>
      </c>
      <c r="AG1287" s="8">
        <f t="shared" ref="AG1287:AG1350" si="144">IF($O1287="Aktif",MAX(0,MIN($AE1287,$AD1287-0)),0)</f>
        <v>0</v>
      </c>
      <c r="AH1287" s="8">
        <f>IF($O1287="Aktif",MAX(0,MIN($AE1287,$AD1287-SUM($AG1287:AG1287))),0)</f>
        <v>0</v>
      </c>
      <c r="AI1287" s="8">
        <f>IF($O1287="Aktif",MAX(0,MIN($AE1287,$AD1287-SUM($AG1287:AH1287))),0)</f>
        <v>0</v>
      </c>
      <c r="AJ1287" s="8">
        <f>IF($O1287="Aktif",MAX(0,MIN($AE1287,$AD1287-SUM($AG1287:AI1287))),0)</f>
        <v>0</v>
      </c>
      <c r="AK1287" s="8">
        <f>IF($O1287="Aktif",MAX(0,MIN($AE1287,$AD1287-SUM($AG1287:AJ1287))),0)</f>
        <v>0</v>
      </c>
      <c r="AL1287" s="8">
        <f>IF($O1287="Aktif",MAX(0,MIN($AE1287,$AD1287-SUM($AG1287:AK1287))),0)</f>
        <v>0</v>
      </c>
      <c r="AM1287" s="8">
        <f>IF($O1287="Aktif",MAX(0,MIN($AE1287,$AD1287-SUM($AG1287:AL1287))),0)</f>
        <v>0</v>
      </c>
      <c r="AN1287" s="8">
        <f>IF($O1287="Aktif",MAX(0,MIN($AE1287,$AD1287-SUM($AG1287:AM1287))),0)</f>
        <v>0</v>
      </c>
      <c r="AO1287" s="8">
        <f>IF($O1287="Aktif",MAX(0,MIN($AE1287,$AD1287-SUM($AG1287:AN1287))),0)</f>
        <v>0</v>
      </c>
      <c r="AP1287" s="8">
        <f>IF($O1287="Aktif",MAX(0,MIN($AE1287,$AD1287-SUM($AG1287:AO1287))),0)</f>
        <v>0</v>
      </c>
      <c r="AQ1287" s="8">
        <f>IF($O1287="Aktif",MAX(0,MIN($AE1287,$AD1287-SUM($AG1287:AP1287))),0)</f>
        <v>0</v>
      </c>
      <c r="AR1287" s="8">
        <f>IF($O1287="Aktif",MAX(0,MIN($AE1287,$AD1287-SUM($AG1287:AQ1287))),0)</f>
        <v>0</v>
      </c>
      <c r="AS1287" s="8">
        <f>IF($O1287="Aktif",MAX(0,MIN($AE1287,$AD1287-SUM($AG1287:AR1287))),0)</f>
        <v>0</v>
      </c>
      <c r="AT1287" s="8">
        <f>IF($O1287="Aktif",MAX(0,MIN($AE1287,$AD1287-SUM($AG1287:AS1287))),0)</f>
        <v>0</v>
      </c>
      <c r="AU1287" s="8">
        <f>IF($O1287="Aktif",MAX(0,MIN($AE1287,$AD1287-SUM($AG1287:AT1287))),0)</f>
        <v>0</v>
      </c>
      <c r="AV1287" s="8">
        <f>IF($O1287="Aktif",MAX(0,MIN($AE1287,$AD1287-SUM($AG1287:AU1287))),0)</f>
        <v>0</v>
      </c>
      <c r="AW1287" s="8">
        <f t="shared" ref="AW1287:AW1350" si="145">SUM(AG1287:AV1287)</f>
        <v>0</v>
      </c>
      <c r="AX1287" s="8">
        <f t="shared" ref="AX1287:AX1350" si="146">AD1287-AW1287</f>
        <v>-53125000</v>
      </c>
    </row>
    <row r="1288" spans="1:50" ht="15" customHeight="1" x14ac:dyDescent="0.35">
      <c r="A1288" s="102">
        <v>1282</v>
      </c>
      <c r="B1288" s="102" t="s">
        <v>3343</v>
      </c>
      <c r="C1288" s="103">
        <v>89</v>
      </c>
      <c r="D1288" s="102" t="s">
        <v>186</v>
      </c>
      <c r="E1288" s="102" t="s">
        <v>479</v>
      </c>
      <c r="F1288" s="102" t="s">
        <v>3116</v>
      </c>
      <c r="G1288" s="102" t="s">
        <v>3117</v>
      </c>
      <c r="H1288" s="102" t="s">
        <v>3118</v>
      </c>
      <c r="I1288" s="102" t="s">
        <v>63</v>
      </c>
      <c r="J1288" s="102" t="s">
        <v>3557</v>
      </c>
      <c r="K1288" s="102"/>
      <c r="L1288" s="104">
        <v>42916</v>
      </c>
      <c r="M1288" s="102" t="s">
        <v>3558</v>
      </c>
      <c r="N1288" s="102" t="s">
        <v>3559</v>
      </c>
      <c r="O1288" s="102" t="s">
        <v>383</v>
      </c>
      <c r="P1288" s="103">
        <v>1</v>
      </c>
      <c r="Q1288" s="105">
        <v>325000000</v>
      </c>
      <c r="R1288" s="103">
        <v>48</v>
      </c>
      <c r="S1288" s="105">
        <v>6770833.3333333302</v>
      </c>
      <c r="T1288" s="105">
        <v>325000000</v>
      </c>
      <c r="U1288" s="105">
        <v>0</v>
      </c>
      <c r="V1288" s="105">
        <v>0</v>
      </c>
      <c r="W1288" s="105">
        <v>0</v>
      </c>
      <c r="X1288" s="105">
        <v>0</v>
      </c>
      <c r="Y1288" s="105">
        <v>0</v>
      </c>
      <c r="Z1288" s="105">
        <v>0</v>
      </c>
      <c r="AA1288" s="105">
        <v>0</v>
      </c>
      <c r="AB1288" s="105">
        <v>0</v>
      </c>
      <c r="AC1288" s="8">
        <f t="shared" si="140"/>
        <v>325000000</v>
      </c>
      <c r="AD1288" s="8">
        <f t="shared" si="141"/>
        <v>0</v>
      </c>
      <c r="AE1288" s="8">
        <f t="shared" si="142"/>
        <v>0</v>
      </c>
      <c r="AF1288" s="106">
        <f t="shared" si="143"/>
        <v>0</v>
      </c>
      <c r="AG1288" s="8">
        <f t="shared" si="144"/>
        <v>0</v>
      </c>
      <c r="AH1288" s="8">
        <f>IF($O1288="Aktif",MAX(0,MIN($AE1288,$AD1288-SUM($AG1288:AG1288))),0)</f>
        <v>0</v>
      </c>
      <c r="AI1288" s="8">
        <f>IF($O1288="Aktif",MAX(0,MIN($AE1288,$AD1288-SUM($AG1288:AH1288))),0)</f>
        <v>0</v>
      </c>
      <c r="AJ1288" s="8">
        <f>IF($O1288="Aktif",MAX(0,MIN($AE1288,$AD1288-SUM($AG1288:AI1288))),0)</f>
        <v>0</v>
      </c>
      <c r="AK1288" s="8">
        <f>IF($O1288="Aktif",MAX(0,MIN($AE1288,$AD1288-SUM($AG1288:AJ1288))),0)</f>
        <v>0</v>
      </c>
      <c r="AL1288" s="8">
        <f>IF($O1288="Aktif",MAX(0,MIN($AE1288,$AD1288-SUM($AG1288:AK1288))),0)</f>
        <v>0</v>
      </c>
      <c r="AM1288" s="8">
        <f>IF($O1288="Aktif",MAX(0,MIN($AE1288,$AD1288-SUM($AG1288:AL1288))),0)</f>
        <v>0</v>
      </c>
      <c r="AN1288" s="8">
        <f>IF($O1288="Aktif",MAX(0,MIN($AE1288,$AD1288-SUM($AG1288:AM1288))),0)</f>
        <v>0</v>
      </c>
      <c r="AO1288" s="8">
        <f>IF($O1288="Aktif",MAX(0,MIN($AE1288,$AD1288-SUM($AG1288:AN1288))),0)</f>
        <v>0</v>
      </c>
      <c r="AP1288" s="8">
        <f>IF($O1288="Aktif",MAX(0,MIN($AE1288,$AD1288-SUM($AG1288:AO1288))),0)</f>
        <v>0</v>
      </c>
      <c r="AQ1288" s="8">
        <f>IF($O1288="Aktif",MAX(0,MIN($AE1288,$AD1288-SUM($AG1288:AP1288))),0)</f>
        <v>0</v>
      </c>
      <c r="AR1288" s="8">
        <f>IF($O1288="Aktif",MAX(0,MIN($AE1288,$AD1288-SUM($AG1288:AQ1288))),0)</f>
        <v>0</v>
      </c>
      <c r="AS1288" s="8">
        <f>IF($O1288="Aktif",MAX(0,MIN($AE1288,$AD1288-SUM($AG1288:AR1288))),0)</f>
        <v>0</v>
      </c>
      <c r="AT1288" s="8">
        <f>IF($O1288="Aktif",MAX(0,MIN($AE1288,$AD1288-SUM($AG1288:AS1288))),0)</f>
        <v>0</v>
      </c>
      <c r="AU1288" s="8">
        <f>IF($O1288="Aktif",MAX(0,MIN($AE1288,$AD1288-SUM($AG1288:AT1288))),0)</f>
        <v>0</v>
      </c>
      <c r="AV1288" s="8">
        <f>IF($O1288="Aktif",MAX(0,MIN($AE1288,$AD1288-SUM($AG1288:AU1288))),0)</f>
        <v>0</v>
      </c>
      <c r="AW1288" s="8">
        <f t="shared" si="145"/>
        <v>0</v>
      </c>
      <c r="AX1288" s="8">
        <f t="shared" si="146"/>
        <v>0</v>
      </c>
    </row>
    <row r="1289" spans="1:50" ht="15" customHeight="1" x14ac:dyDescent="0.35">
      <c r="A1289" s="102">
        <v>1283</v>
      </c>
      <c r="B1289" s="102" t="s">
        <v>3343</v>
      </c>
      <c r="C1289" s="103">
        <v>90</v>
      </c>
      <c r="D1289" s="102" t="s">
        <v>186</v>
      </c>
      <c r="E1289" s="102" t="s">
        <v>0</v>
      </c>
      <c r="F1289" s="102" t="s">
        <v>3116</v>
      </c>
      <c r="G1289" s="102" t="s">
        <v>3117</v>
      </c>
      <c r="H1289" s="102" t="s">
        <v>3118</v>
      </c>
      <c r="I1289" s="102" t="s">
        <v>63</v>
      </c>
      <c r="J1289" s="102"/>
      <c r="K1289" s="102"/>
      <c r="L1289" s="104">
        <v>45049</v>
      </c>
      <c r="M1289" s="102" t="s">
        <v>3558</v>
      </c>
      <c r="N1289" s="102" t="s">
        <v>3559</v>
      </c>
      <c r="O1289" s="102" t="s">
        <v>487</v>
      </c>
      <c r="P1289" s="103"/>
      <c r="Q1289" s="105">
        <v>-325000000</v>
      </c>
      <c r="R1289" s="102"/>
      <c r="S1289" s="105">
        <v>0</v>
      </c>
      <c r="T1289" s="105">
        <v>-325000000</v>
      </c>
      <c r="U1289" s="105">
        <v>0</v>
      </c>
      <c r="V1289" s="105">
        <v>0</v>
      </c>
      <c r="W1289" s="105">
        <v>0</v>
      </c>
      <c r="X1289" s="105">
        <v>0</v>
      </c>
      <c r="Y1289" s="105">
        <v>0</v>
      </c>
      <c r="Z1289" s="105">
        <v>0</v>
      </c>
      <c r="AA1289" s="105">
        <v>0</v>
      </c>
      <c r="AB1289" s="105">
        <v>0</v>
      </c>
      <c r="AC1289" s="8">
        <f t="shared" si="140"/>
        <v>-325000000</v>
      </c>
      <c r="AD1289" s="8">
        <f t="shared" si="141"/>
        <v>0</v>
      </c>
      <c r="AE1289" s="8">
        <f t="shared" si="142"/>
        <v>0</v>
      </c>
      <c r="AF1289" s="106">
        <f t="shared" si="143"/>
        <v>0</v>
      </c>
      <c r="AG1289" s="8">
        <f t="shared" si="144"/>
        <v>0</v>
      </c>
      <c r="AH1289" s="8">
        <f>IF($O1289="Aktif",MAX(0,MIN($AE1289,$AD1289-SUM($AG1289:AG1289))),0)</f>
        <v>0</v>
      </c>
      <c r="AI1289" s="8">
        <f>IF($O1289="Aktif",MAX(0,MIN($AE1289,$AD1289-SUM($AG1289:AH1289))),0)</f>
        <v>0</v>
      </c>
      <c r="AJ1289" s="8">
        <f>IF($O1289="Aktif",MAX(0,MIN($AE1289,$AD1289-SUM($AG1289:AI1289))),0)</f>
        <v>0</v>
      </c>
      <c r="AK1289" s="8">
        <f>IF($O1289="Aktif",MAX(0,MIN($AE1289,$AD1289-SUM($AG1289:AJ1289))),0)</f>
        <v>0</v>
      </c>
      <c r="AL1289" s="8">
        <f>IF($O1289="Aktif",MAX(0,MIN($AE1289,$AD1289-SUM($AG1289:AK1289))),0)</f>
        <v>0</v>
      </c>
      <c r="AM1289" s="8">
        <f>IF($O1289="Aktif",MAX(0,MIN($AE1289,$AD1289-SUM($AG1289:AL1289))),0)</f>
        <v>0</v>
      </c>
      <c r="AN1289" s="8">
        <f>IF($O1289="Aktif",MAX(0,MIN($AE1289,$AD1289-SUM($AG1289:AM1289))),0)</f>
        <v>0</v>
      </c>
      <c r="AO1289" s="8">
        <f>IF($O1289="Aktif",MAX(0,MIN($AE1289,$AD1289-SUM($AG1289:AN1289))),0)</f>
        <v>0</v>
      </c>
      <c r="AP1289" s="8">
        <f>IF($O1289="Aktif",MAX(0,MIN($AE1289,$AD1289-SUM($AG1289:AO1289))),0)</f>
        <v>0</v>
      </c>
      <c r="AQ1289" s="8">
        <f>IF($O1289="Aktif",MAX(0,MIN($AE1289,$AD1289-SUM($AG1289:AP1289))),0)</f>
        <v>0</v>
      </c>
      <c r="AR1289" s="8">
        <f>IF($O1289="Aktif",MAX(0,MIN($AE1289,$AD1289-SUM($AG1289:AQ1289))),0)</f>
        <v>0</v>
      </c>
      <c r="AS1289" s="8">
        <f>IF($O1289="Aktif",MAX(0,MIN($AE1289,$AD1289-SUM($AG1289:AR1289))),0)</f>
        <v>0</v>
      </c>
      <c r="AT1289" s="8">
        <f>IF($O1289="Aktif",MAX(0,MIN($AE1289,$AD1289-SUM($AG1289:AS1289))),0)</f>
        <v>0</v>
      </c>
      <c r="AU1289" s="8">
        <f>IF($O1289="Aktif",MAX(0,MIN($AE1289,$AD1289-SUM($AG1289:AT1289))),0)</f>
        <v>0</v>
      </c>
      <c r="AV1289" s="8">
        <f>IF($O1289="Aktif",MAX(0,MIN($AE1289,$AD1289-SUM($AG1289:AU1289))),0)</f>
        <v>0</v>
      </c>
      <c r="AW1289" s="8">
        <f t="shared" si="145"/>
        <v>0</v>
      </c>
      <c r="AX1289" s="8">
        <f t="shared" si="146"/>
        <v>0</v>
      </c>
    </row>
    <row r="1290" spans="1:50" ht="15" customHeight="1" x14ac:dyDescent="0.35">
      <c r="A1290" s="102">
        <v>1284</v>
      </c>
      <c r="B1290" s="102" t="s">
        <v>3343</v>
      </c>
      <c r="C1290" s="103">
        <v>91</v>
      </c>
      <c r="D1290" s="102" t="s">
        <v>186</v>
      </c>
      <c r="E1290" s="102" t="s">
        <v>479</v>
      </c>
      <c r="F1290" s="102" t="s">
        <v>3116</v>
      </c>
      <c r="G1290" s="102" t="s">
        <v>3117</v>
      </c>
      <c r="H1290" s="102" t="s">
        <v>3118</v>
      </c>
      <c r="I1290" s="102" t="s">
        <v>63</v>
      </c>
      <c r="J1290" s="102" t="s">
        <v>3560</v>
      </c>
      <c r="K1290" s="102"/>
      <c r="L1290" s="104">
        <v>42920</v>
      </c>
      <c r="M1290" s="102" t="s">
        <v>3561</v>
      </c>
      <c r="N1290" s="102" t="s">
        <v>3562</v>
      </c>
      <c r="O1290" s="102" t="s">
        <v>383</v>
      </c>
      <c r="P1290" s="103">
        <v>1</v>
      </c>
      <c r="Q1290" s="105">
        <v>17438000</v>
      </c>
      <c r="R1290" s="103">
        <v>48</v>
      </c>
      <c r="S1290" s="105">
        <v>363291.66666666698</v>
      </c>
      <c r="T1290" s="105">
        <v>17438000</v>
      </c>
      <c r="U1290" s="105">
        <v>0</v>
      </c>
      <c r="V1290" s="105">
        <v>0</v>
      </c>
      <c r="W1290" s="105">
        <v>0</v>
      </c>
      <c r="X1290" s="105">
        <v>0</v>
      </c>
      <c r="Y1290" s="105">
        <v>0</v>
      </c>
      <c r="Z1290" s="105">
        <v>0</v>
      </c>
      <c r="AA1290" s="105">
        <v>0</v>
      </c>
      <c r="AB1290" s="105">
        <v>0</v>
      </c>
      <c r="AC1290" s="8">
        <f t="shared" si="140"/>
        <v>17438000</v>
      </c>
      <c r="AD1290" s="8">
        <f t="shared" si="141"/>
        <v>0</v>
      </c>
      <c r="AE1290" s="8">
        <f t="shared" si="142"/>
        <v>0</v>
      </c>
      <c r="AF1290" s="106">
        <f t="shared" si="143"/>
        <v>0</v>
      </c>
      <c r="AG1290" s="8">
        <f t="shared" si="144"/>
        <v>0</v>
      </c>
      <c r="AH1290" s="8">
        <f>IF($O1290="Aktif",MAX(0,MIN($AE1290,$AD1290-SUM($AG1290:AG1290))),0)</f>
        <v>0</v>
      </c>
      <c r="AI1290" s="8">
        <f>IF($O1290="Aktif",MAX(0,MIN($AE1290,$AD1290-SUM($AG1290:AH1290))),0)</f>
        <v>0</v>
      </c>
      <c r="AJ1290" s="8">
        <f>IF($O1290="Aktif",MAX(0,MIN($AE1290,$AD1290-SUM($AG1290:AI1290))),0)</f>
        <v>0</v>
      </c>
      <c r="AK1290" s="8">
        <f>IF($O1290="Aktif",MAX(0,MIN($AE1290,$AD1290-SUM($AG1290:AJ1290))),0)</f>
        <v>0</v>
      </c>
      <c r="AL1290" s="8">
        <f>IF($O1290="Aktif",MAX(0,MIN($AE1290,$AD1290-SUM($AG1290:AK1290))),0)</f>
        <v>0</v>
      </c>
      <c r="AM1290" s="8">
        <f>IF($O1290="Aktif",MAX(0,MIN($AE1290,$AD1290-SUM($AG1290:AL1290))),0)</f>
        <v>0</v>
      </c>
      <c r="AN1290" s="8">
        <f>IF($O1290="Aktif",MAX(0,MIN($AE1290,$AD1290-SUM($AG1290:AM1290))),0)</f>
        <v>0</v>
      </c>
      <c r="AO1290" s="8">
        <f>IF($O1290="Aktif",MAX(0,MIN($AE1290,$AD1290-SUM($AG1290:AN1290))),0)</f>
        <v>0</v>
      </c>
      <c r="AP1290" s="8">
        <f>IF($O1290="Aktif",MAX(0,MIN($AE1290,$AD1290-SUM($AG1290:AO1290))),0)</f>
        <v>0</v>
      </c>
      <c r="AQ1290" s="8">
        <f>IF($O1290="Aktif",MAX(0,MIN($AE1290,$AD1290-SUM($AG1290:AP1290))),0)</f>
        <v>0</v>
      </c>
      <c r="AR1290" s="8">
        <f>IF($O1290="Aktif",MAX(0,MIN($AE1290,$AD1290-SUM($AG1290:AQ1290))),0)</f>
        <v>0</v>
      </c>
      <c r="AS1290" s="8">
        <f>IF($O1290="Aktif",MAX(0,MIN($AE1290,$AD1290-SUM($AG1290:AR1290))),0)</f>
        <v>0</v>
      </c>
      <c r="AT1290" s="8">
        <f>IF($O1290="Aktif",MAX(0,MIN($AE1290,$AD1290-SUM($AG1290:AS1290))),0)</f>
        <v>0</v>
      </c>
      <c r="AU1290" s="8">
        <f>IF($O1290="Aktif",MAX(0,MIN($AE1290,$AD1290-SUM($AG1290:AT1290))),0)</f>
        <v>0</v>
      </c>
      <c r="AV1290" s="8">
        <f>IF($O1290="Aktif",MAX(0,MIN($AE1290,$AD1290-SUM($AG1290:AU1290))),0)</f>
        <v>0</v>
      </c>
      <c r="AW1290" s="8">
        <f t="shared" si="145"/>
        <v>0</v>
      </c>
      <c r="AX1290" s="8">
        <f t="shared" si="146"/>
        <v>0</v>
      </c>
    </row>
    <row r="1291" spans="1:50" ht="15" customHeight="1" x14ac:dyDescent="0.35">
      <c r="A1291" s="102">
        <v>1285</v>
      </c>
      <c r="B1291" s="102" t="s">
        <v>3343</v>
      </c>
      <c r="C1291" s="103">
        <v>92</v>
      </c>
      <c r="D1291" s="102" t="s">
        <v>186</v>
      </c>
      <c r="E1291" s="102" t="s">
        <v>479</v>
      </c>
      <c r="F1291" s="102" t="s">
        <v>3116</v>
      </c>
      <c r="G1291" s="102" t="s">
        <v>3117</v>
      </c>
      <c r="H1291" s="102" t="s">
        <v>3118</v>
      </c>
      <c r="I1291" s="102" t="s">
        <v>63</v>
      </c>
      <c r="J1291" s="102" t="s">
        <v>3563</v>
      </c>
      <c r="K1291" s="102"/>
      <c r="L1291" s="104">
        <v>42920</v>
      </c>
      <c r="M1291" s="102" t="s">
        <v>3564</v>
      </c>
      <c r="N1291" s="102" t="s">
        <v>3565</v>
      </c>
      <c r="O1291" s="102" t="s">
        <v>383</v>
      </c>
      <c r="P1291" s="103">
        <v>1</v>
      </c>
      <c r="Q1291" s="105">
        <v>6636364</v>
      </c>
      <c r="R1291" s="103">
        <v>48</v>
      </c>
      <c r="S1291" s="105">
        <v>138257.58333333299</v>
      </c>
      <c r="T1291" s="105">
        <v>6636364</v>
      </c>
      <c r="U1291" s="105">
        <v>0</v>
      </c>
      <c r="V1291" s="105">
        <v>0</v>
      </c>
      <c r="W1291" s="105">
        <v>0</v>
      </c>
      <c r="X1291" s="105">
        <v>0</v>
      </c>
      <c r="Y1291" s="105">
        <v>0</v>
      </c>
      <c r="Z1291" s="105">
        <v>0</v>
      </c>
      <c r="AA1291" s="105">
        <v>0</v>
      </c>
      <c r="AB1291" s="105">
        <v>0</v>
      </c>
      <c r="AC1291" s="8">
        <f t="shared" si="140"/>
        <v>6636364</v>
      </c>
      <c r="AD1291" s="8">
        <f t="shared" si="141"/>
        <v>0</v>
      </c>
      <c r="AE1291" s="8">
        <f t="shared" si="142"/>
        <v>0</v>
      </c>
      <c r="AF1291" s="106">
        <f t="shared" si="143"/>
        <v>0</v>
      </c>
      <c r="AG1291" s="8">
        <f t="shared" si="144"/>
        <v>0</v>
      </c>
      <c r="AH1291" s="8">
        <f>IF($O1291="Aktif",MAX(0,MIN($AE1291,$AD1291-SUM($AG1291:AG1291))),0)</f>
        <v>0</v>
      </c>
      <c r="AI1291" s="8">
        <f>IF($O1291="Aktif",MAX(0,MIN($AE1291,$AD1291-SUM($AG1291:AH1291))),0)</f>
        <v>0</v>
      </c>
      <c r="AJ1291" s="8">
        <f>IF($O1291="Aktif",MAX(0,MIN($AE1291,$AD1291-SUM($AG1291:AI1291))),0)</f>
        <v>0</v>
      </c>
      <c r="AK1291" s="8">
        <f>IF($O1291="Aktif",MAX(0,MIN($AE1291,$AD1291-SUM($AG1291:AJ1291))),0)</f>
        <v>0</v>
      </c>
      <c r="AL1291" s="8">
        <f>IF($O1291="Aktif",MAX(0,MIN($AE1291,$AD1291-SUM($AG1291:AK1291))),0)</f>
        <v>0</v>
      </c>
      <c r="AM1291" s="8">
        <f>IF($O1291="Aktif",MAX(0,MIN($AE1291,$AD1291-SUM($AG1291:AL1291))),0)</f>
        <v>0</v>
      </c>
      <c r="AN1291" s="8">
        <f>IF($O1291="Aktif",MAX(0,MIN($AE1291,$AD1291-SUM($AG1291:AM1291))),0)</f>
        <v>0</v>
      </c>
      <c r="AO1291" s="8">
        <f>IF($O1291="Aktif",MAX(0,MIN($AE1291,$AD1291-SUM($AG1291:AN1291))),0)</f>
        <v>0</v>
      </c>
      <c r="AP1291" s="8">
        <f>IF($O1291="Aktif",MAX(0,MIN($AE1291,$AD1291-SUM($AG1291:AO1291))),0)</f>
        <v>0</v>
      </c>
      <c r="AQ1291" s="8">
        <f>IF($O1291="Aktif",MAX(0,MIN($AE1291,$AD1291-SUM($AG1291:AP1291))),0)</f>
        <v>0</v>
      </c>
      <c r="AR1291" s="8">
        <f>IF($O1291="Aktif",MAX(0,MIN($AE1291,$AD1291-SUM($AG1291:AQ1291))),0)</f>
        <v>0</v>
      </c>
      <c r="AS1291" s="8">
        <f>IF($O1291="Aktif",MAX(0,MIN($AE1291,$AD1291-SUM($AG1291:AR1291))),0)</f>
        <v>0</v>
      </c>
      <c r="AT1291" s="8">
        <f>IF($O1291="Aktif",MAX(0,MIN($AE1291,$AD1291-SUM($AG1291:AS1291))),0)</f>
        <v>0</v>
      </c>
      <c r="AU1291" s="8">
        <f>IF($O1291="Aktif",MAX(0,MIN($AE1291,$AD1291-SUM($AG1291:AT1291))),0)</f>
        <v>0</v>
      </c>
      <c r="AV1291" s="8">
        <f>IF($O1291="Aktif",MAX(0,MIN($AE1291,$AD1291-SUM($AG1291:AU1291))),0)</f>
        <v>0</v>
      </c>
      <c r="AW1291" s="8">
        <f t="shared" si="145"/>
        <v>0</v>
      </c>
      <c r="AX1291" s="8">
        <f t="shared" si="146"/>
        <v>0</v>
      </c>
    </row>
    <row r="1292" spans="1:50" ht="15" customHeight="1" x14ac:dyDescent="0.35">
      <c r="A1292" s="102">
        <v>1286</v>
      </c>
      <c r="B1292" s="102" t="s">
        <v>3343</v>
      </c>
      <c r="C1292" s="103">
        <v>93</v>
      </c>
      <c r="D1292" s="102" t="s">
        <v>186</v>
      </c>
      <c r="E1292" s="102" t="s">
        <v>479</v>
      </c>
      <c r="F1292" s="102" t="s">
        <v>3116</v>
      </c>
      <c r="G1292" s="102" t="s">
        <v>3117</v>
      </c>
      <c r="H1292" s="102" t="s">
        <v>3118</v>
      </c>
      <c r="I1292" s="102" t="s">
        <v>63</v>
      </c>
      <c r="J1292" s="102" t="s">
        <v>3566</v>
      </c>
      <c r="K1292" s="102"/>
      <c r="L1292" s="104">
        <v>42920</v>
      </c>
      <c r="M1292" s="102" t="s">
        <v>3567</v>
      </c>
      <c r="N1292" s="102" t="s">
        <v>3568</v>
      </c>
      <c r="O1292" s="102" t="s">
        <v>383</v>
      </c>
      <c r="P1292" s="103">
        <v>1</v>
      </c>
      <c r="Q1292" s="105">
        <v>9090909</v>
      </c>
      <c r="R1292" s="103">
        <v>48</v>
      </c>
      <c r="S1292" s="105">
        <v>189393.9375</v>
      </c>
      <c r="T1292" s="105">
        <v>9090909</v>
      </c>
      <c r="U1292" s="105">
        <v>0</v>
      </c>
      <c r="V1292" s="105">
        <v>0</v>
      </c>
      <c r="W1292" s="105">
        <v>0</v>
      </c>
      <c r="X1292" s="105">
        <v>0</v>
      </c>
      <c r="Y1292" s="105">
        <v>0</v>
      </c>
      <c r="Z1292" s="105">
        <v>0</v>
      </c>
      <c r="AA1292" s="105">
        <v>0</v>
      </c>
      <c r="AB1292" s="105">
        <v>0</v>
      </c>
      <c r="AC1292" s="8">
        <f t="shared" si="140"/>
        <v>9090909</v>
      </c>
      <c r="AD1292" s="8">
        <f t="shared" si="141"/>
        <v>0</v>
      </c>
      <c r="AE1292" s="8">
        <f t="shared" si="142"/>
        <v>0</v>
      </c>
      <c r="AF1292" s="106">
        <f t="shared" si="143"/>
        <v>0</v>
      </c>
      <c r="AG1292" s="8">
        <f t="shared" si="144"/>
        <v>0</v>
      </c>
      <c r="AH1292" s="8">
        <f>IF($O1292="Aktif",MAX(0,MIN($AE1292,$AD1292-SUM($AG1292:AG1292))),0)</f>
        <v>0</v>
      </c>
      <c r="AI1292" s="8">
        <f>IF($O1292="Aktif",MAX(0,MIN($AE1292,$AD1292-SUM($AG1292:AH1292))),0)</f>
        <v>0</v>
      </c>
      <c r="AJ1292" s="8">
        <f>IF($O1292="Aktif",MAX(0,MIN($AE1292,$AD1292-SUM($AG1292:AI1292))),0)</f>
        <v>0</v>
      </c>
      <c r="AK1292" s="8">
        <f>IF($O1292="Aktif",MAX(0,MIN($AE1292,$AD1292-SUM($AG1292:AJ1292))),0)</f>
        <v>0</v>
      </c>
      <c r="AL1292" s="8">
        <f>IF($O1292="Aktif",MAX(0,MIN($AE1292,$AD1292-SUM($AG1292:AK1292))),0)</f>
        <v>0</v>
      </c>
      <c r="AM1292" s="8">
        <f>IF($O1292="Aktif",MAX(0,MIN($AE1292,$AD1292-SUM($AG1292:AL1292))),0)</f>
        <v>0</v>
      </c>
      <c r="AN1292" s="8">
        <f>IF($O1292="Aktif",MAX(0,MIN($AE1292,$AD1292-SUM($AG1292:AM1292))),0)</f>
        <v>0</v>
      </c>
      <c r="AO1292" s="8">
        <f>IF($O1292="Aktif",MAX(0,MIN($AE1292,$AD1292-SUM($AG1292:AN1292))),0)</f>
        <v>0</v>
      </c>
      <c r="AP1292" s="8">
        <f>IF($O1292="Aktif",MAX(0,MIN($AE1292,$AD1292-SUM($AG1292:AO1292))),0)</f>
        <v>0</v>
      </c>
      <c r="AQ1292" s="8">
        <f>IF($O1292="Aktif",MAX(0,MIN($AE1292,$AD1292-SUM($AG1292:AP1292))),0)</f>
        <v>0</v>
      </c>
      <c r="AR1292" s="8">
        <f>IF($O1292="Aktif",MAX(0,MIN($AE1292,$AD1292-SUM($AG1292:AQ1292))),0)</f>
        <v>0</v>
      </c>
      <c r="AS1292" s="8">
        <f>IF($O1292="Aktif",MAX(0,MIN($AE1292,$AD1292-SUM($AG1292:AR1292))),0)</f>
        <v>0</v>
      </c>
      <c r="AT1292" s="8">
        <f>IF($O1292="Aktif",MAX(0,MIN($AE1292,$AD1292-SUM($AG1292:AS1292))),0)</f>
        <v>0</v>
      </c>
      <c r="AU1292" s="8">
        <f>IF($O1292="Aktif",MAX(0,MIN($AE1292,$AD1292-SUM($AG1292:AT1292))),0)</f>
        <v>0</v>
      </c>
      <c r="AV1292" s="8">
        <f>IF($O1292="Aktif",MAX(0,MIN($AE1292,$AD1292-SUM($AG1292:AU1292))),0)</f>
        <v>0</v>
      </c>
      <c r="AW1292" s="8">
        <f t="shared" si="145"/>
        <v>0</v>
      </c>
      <c r="AX1292" s="8">
        <f t="shared" si="146"/>
        <v>0</v>
      </c>
    </row>
    <row r="1293" spans="1:50" ht="15" customHeight="1" x14ac:dyDescent="0.35">
      <c r="A1293" s="102">
        <v>1287</v>
      </c>
      <c r="B1293" s="102" t="s">
        <v>3343</v>
      </c>
      <c r="C1293" s="103">
        <v>94</v>
      </c>
      <c r="D1293" s="102" t="s">
        <v>186</v>
      </c>
      <c r="E1293" s="102" t="s">
        <v>479</v>
      </c>
      <c r="F1293" s="102" t="s">
        <v>3116</v>
      </c>
      <c r="G1293" s="102" t="s">
        <v>3117</v>
      </c>
      <c r="H1293" s="102" t="s">
        <v>3118</v>
      </c>
      <c r="I1293" s="102" t="s">
        <v>63</v>
      </c>
      <c r="J1293" s="102" t="s">
        <v>3569</v>
      </c>
      <c r="K1293" s="102"/>
      <c r="L1293" s="104">
        <v>42920</v>
      </c>
      <c r="M1293" s="102" t="s">
        <v>3570</v>
      </c>
      <c r="N1293" s="102" t="s">
        <v>3571</v>
      </c>
      <c r="O1293" s="102" t="s">
        <v>383</v>
      </c>
      <c r="P1293" s="103">
        <v>1</v>
      </c>
      <c r="Q1293" s="105">
        <v>3545455</v>
      </c>
      <c r="R1293" s="103">
        <v>48</v>
      </c>
      <c r="S1293" s="105">
        <v>73863.645833333299</v>
      </c>
      <c r="T1293" s="105">
        <v>3545455</v>
      </c>
      <c r="U1293" s="105">
        <v>0</v>
      </c>
      <c r="V1293" s="105">
        <v>0</v>
      </c>
      <c r="W1293" s="105">
        <v>0</v>
      </c>
      <c r="X1293" s="105">
        <v>0</v>
      </c>
      <c r="Y1293" s="105">
        <v>0</v>
      </c>
      <c r="Z1293" s="105">
        <v>0</v>
      </c>
      <c r="AA1293" s="105">
        <v>0</v>
      </c>
      <c r="AB1293" s="105">
        <v>0</v>
      </c>
      <c r="AC1293" s="8">
        <f t="shared" si="140"/>
        <v>3545455</v>
      </c>
      <c r="AD1293" s="8">
        <f t="shared" si="141"/>
        <v>0</v>
      </c>
      <c r="AE1293" s="8">
        <f t="shared" si="142"/>
        <v>0</v>
      </c>
      <c r="AF1293" s="106">
        <f t="shared" si="143"/>
        <v>0</v>
      </c>
      <c r="AG1293" s="8">
        <f t="shared" si="144"/>
        <v>0</v>
      </c>
      <c r="AH1293" s="8">
        <f>IF($O1293="Aktif",MAX(0,MIN($AE1293,$AD1293-SUM($AG1293:AG1293))),0)</f>
        <v>0</v>
      </c>
      <c r="AI1293" s="8">
        <f>IF($O1293="Aktif",MAX(0,MIN($AE1293,$AD1293-SUM($AG1293:AH1293))),0)</f>
        <v>0</v>
      </c>
      <c r="AJ1293" s="8">
        <f>IF($O1293="Aktif",MAX(0,MIN($AE1293,$AD1293-SUM($AG1293:AI1293))),0)</f>
        <v>0</v>
      </c>
      <c r="AK1293" s="8">
        <f>IF($O1293="Aktif",MAX(0,MIN($AE1293,$AD1293-SUM($AG1293:AJ1293))),0)</f>
        <v>0</v>
      </c>
      <c r="AL1293" s="8">
        <f>IF($O1293="Aktif",MAX(0,MIN($AE1293,$AD1293-SUM($AG1293:AK1293))),0)</f>
        <v>0</v>
      </c>
      <c r="AM1293" s="8">
        <f>IF($O1293="Aktif",MAX(0,MIN($AE1293,$AD1293-SUM($AG1293:AL1293))),0)</f>
        <v>0</v>
      </c>
      <c r="AN1293" s="8">
        <f>IF($O1293="Aktif",MAX(0,MIN($AE1293,$AD1293-SUM($AG1293:AM1293))),0)</f>
        <v>0</v>
      </c>
      <c r="AO1293" s="8">
        <f>IF($O1293="Aktif",MAX(0,MIN($AE1293,$AD1293-SUM($AG1293:AN1293))),0)</f>
        <v>0</v>
      </c>
      <c r="AP1293" s="8">
        <f>IF($O1293="Aktif",MAX(0,MIN($AE1293,$AD1293-SUM($AG1293:AO1293))),0)</f>
        <v>0</v>
      </c>
      <c r="AQ1293" s="8">
        <f>IF($O1293="Aktif",MAX(0,MIN($AE1293,$AD1293-SUM($AG1293:AP1293))),0)</f>
        <v>0</v>
      </c>
      <c r="AR1293" s="8">
        <f>IF($O1293="Aktif",MAX(0,MIN($AE1293,$AD1293-SUM($AG1293:AQ1293))),0)</f>
        <v>0</v>
      </c>
      <c r="AS1293" s="8">
        <f>IF($O1293="Aktif",MAX(0,MIN($AE1293,$AD1293-SUM($AG1293:AR1293))),0)</f>
        <v>0</v>
      </c>
      <c r="AT1293" s="8">
        <f>IF($O1293="Aktif",MAX(0,MIN($AE1293,$AD1293-SUM($AG1293:AS1293))),0)</f>
        <v>0</v>
      </c>
      <c r="AU1293" s="8">
        <f>IF($O1293="Aktif",MAX(0,MIN($AE1293,$AD1293-SUM($AG1293:AT1293))),0)</f>
        <v>0</v>
      </c>
      <c r="AV1293" s="8">
        <f>IF($O1293="Aktif",MAX(0,MIN($AE1293,$AD1293-SUM($AG1293:AU1293))),0)</f>
        <v>0</v>
      </c>
      <c r="AW1293" s="8">
        <f t="shared" si="145"/>
        <v>0</v>
      </c>
      <c r="AX1293" s="8">
        <f t="shared" si="146"/>
        <v>0</v>
      </c>
    </row>
    <row r="1294" spans="1:50" ht="15" customHeight="1" x14ac:dyDescent="0.35">
      <c r="A1294" s="102">
        <v>1288</v>
      </c>
      <c r="B1294" s="102" t="s">
        <v>3343</v>
      </c>
      <c r="C1294" s="103">
        <v>95</v>
      </c>
      <c r="D1294" s="102" t="s">
        <v>186</v>
      </c>
      <c r="E1294" s="102" t="s">
        <v>479</v>
      </c>
      <c r="F1294" s="102" t="s">
        <v>3116</v>
      </c>
      <c r="G1294" s="102" t="s">
        <v>3117</v>
      </c>
      <c r="H1294" s="102" t="s">
        <v>3118</v>
      </c>
      <c r="I1294" s="102" t="s">
        <v>63</v>
      </c>
      <c r="J1294" s="102" t="s">
        <v>3572</v>
      </c>
      <c r="K1294" s="102"/>
      <c r="L1294" s="104">
        <v>42920</v>
      </c>
      <c r="M1294" s="102" t="s">
        <v>3573</v>
      </c>
      <c r="N1294" s="102" t="s">
        <v>3574</v>
      </c>
      <c r="O1294" s="102" t="s">
        <v>383</v>
      </c>
      <c r="P1294" s="103">
        <v>1</v>
      </c>
      <c r="Q1294" s="105">
        <v>5636364</v>
      </c>
      <c r="R1294" s="103">
        <v>48</v>
      </c>
      <c r="S1294" s="105">
        <v>117424.25</v>
      </c>
      <c r="T1294" s="105">
        <v>5636364</v>
      </c>
      <c r="U1294" s="105">
        <v>0</v>
      </c>
      <c r="V1294" s="105">
        <v>0</v>
      </c>
      <c r="W1294" s="105">
        <v>0</v>
      </c>
      <c r="X1294" s="105">
        <v>0</v>
      </c>
      <c r="Y1294" s="105">
        <v>0</v>
      </c>
      <c r="Z1294" s="105">
        <v>0</v>
      </c>
      <c r="AA1294" s="105">
        <v>0</v>
      </c>
      <c r="AB1294" s="105">
        <v>0</v>
      </c>
      <c r="AC1294" s="8">
        <f t="shared" si="140"/>
        <v>5636364</v>
      </c>
      <c r="AD1294" s="8">
        <f t="shared" si="141"/>
        <v>0</v>
      </c>
      <c r="AE1294" s="8">
        <f t="shared" si="142"/>
        <v>0</v>
      </c>
      <c r="AF1294" s="106">
        <f t="shared" si="143"/>
        <v>0</v>
      </c>
      <c r="AG1294" s="8">
        <f t="shared" si="144"/>
        <v>0</v>
      </c>
      <c r="AH1294" s="8">
        <f>IF($O1294="Aktif",MAX(0,MIN($AE1294,$AD1294-SUM($AG1294:AG1294))),0)</f>
        <v>0</v>
      </c>
      <c r="AI1294" s="8">
        <f>IF($O1294="Aktif",MAX(0,MIN($AE1294,$AD1294-SUM($AG1294:AH1294))),0)</f>
        <v>0</v>
      </c>
      <c r="AJ1294" s="8">
        <f>IF($O1294="Aktif",MAX(0,MIN($AE1294,$AD1294-SUM($AG1294:AI1294))),0)</f>
        <v>0</v>
      </c>
      <c r="AK1294" s="8">
        <f>IF($O1294="Aktif",MAX(0,MIN($AE1294,$AD1294-SUM($AG1294:AJ1294))),0)</f>
        <v>0</v>
      </c>
      <c r="AL1294" s="8">
        <f>IF($O1294="Aktif",MAX(0,MIN($AE1294,$AD1294-SUM($AG1294:AK1294))),0)</f>
        <v>0</v>
      </c>
      <c r="AM1294" s="8">
        <f>IF($O1294="Aktif",MAX(0,MIN($AE1294,$AD1294-SUM($AG1294:AL1294))),0)</f>
        <v>0</v>
      </c>
      <c r="AN1294" s="8">
        <f>IF($O1294="Aktif",MAX(0,MIN($AE1294,$AD1294-SUM($AG1294:AM1294))),0)</f>
        <v>0</v>
      </c>
      <c r="AO1294" s="8">
        <f>IF($O1294="Aktif",MAX(0,MIN($AE1294,$AD1294-SUM($AG1294:AN1294))),0)</f>
        <v>0</v>
      </c>
      <c r="AP1294" s="8">
        <f>IF($O1294="Aktif",MAX(0,MIN($AE1294,$AD1294-SUM($AG1294:AO1294))),0)</f>
        <v>0</v>
      </c>
      <c r="AQ1294" s="8">
        <f>IF($O1294="Aktif",MAX(0,MIN($AE1294,$AD1294-SUM($AG1294:AP1294))),0)</f>
        <v>0</v>
      </c>
      <c r="AR1294" s="8">
        <f>IF($O1294="Aktif",MAX(0,MIN($AE1294,$AD1294-SUM($AG1294:AQ1294))),0)</f>
        <v>0</v>
      </c>
      <c r="AS1294" s="8">
        <f>IF($O1294="Aktif",MAX(0,MIN($AE1294,$AD1294-SUM($AG1294:AR1294))),0)</f>
        <v>0</v>
      </c>
      <c r="AT1294" s="8">
        <f>IF($O1294="Aktif",MAX(0,MIN($AE1294,$AD1294-SUM($AG1294:AS1294))),0)</f>
        <v>0</v>
      </c>
      <c r="AU1294" s="8">
        <f>IF($O1294="Aktif",MAX(0,MIN($AE1294,$AD1294-SUM($AG1294:AT1294))),0)</f>
        <v>0</v>
      </c>
      <c r="AV1294" s="8">
        <f>IF($O1294="Aktif",MAX(0,MIN($AE1294,$AD1294-SUM($AG1294:AU1294))),0)</f>
        <v>0</v>
      </c>
      <c r="AW1294" s="8">
        <f t="shared" si="145"/>
        <v>0</v>
      </c>
      <c r="AX1294" s="8">
        <f t="shared" si="146"/>
        <v>0</v>
      </c>
    </row>
    <row r="1295" spans="1:50" ht="15" customHeight="1" x14ac:dyDescent="0.35">
      <c r="A1295" s="102">
        <v>1289</v>
      </c>
      <c r="B1295" s="102" t="s">
        <v>3343</v>
      </c>
      <c r="C1295" s="103">
        <v>96</v>
      </c>
      <c r="D1295" s="102" t="s">
        <v>186</v>
      </c>
      <c r="E1295" s="102" t="s">
        <v>479</v>
      </c>
      <c r="F1295" s="102" t="s">
        <v>3116</v>
      </c>
      <c r="G1295" s="102" t="s">
        <v>3117</v>
      </c>
      <c r="H1295" s="102" t="s">
        <v>3118</v>
      </c>
      <c r="I1295" s="102" t="s">
        <v>63</v>
      </c>
      <c r="J1295" s="102" t="s">
        <v>3575</v>
      </c>
      <c r="K1295" s="102"/>
      <c r="L1295" s="104">
        <v>42920</v>
      </c>
      <c r="M1295" s="102" t="s">
        <v>3576</v>
      </c>
      <c r="N1295" s="102" t="s">
        <v>3577</v>
      </c>
      <c r="O1295" s="102" t="s">
        <v>383</v>
      </c>
      <c r="P1295" s="103">
        <v>1</v>
      </c>
      <c r="Q1295" s="105">
        <v>2272727</v>
      </c>
      <c r="R1295" s="103">
        <v>48</v>
      </c>
      <c r="S1295" s="105">
        <v>47348.479166666701</v>
      </c>
      <c r="T1295" s="105">
        <v>2272727</v>
      </c>
      <c r="U1295" s="105">
        <v>0</v>
      </c>
      <c r="V1295" s="105">
        <v>0</v>
      </c>
      <c r="W1295" s="105">
        <v>0</v>
      </c>
      <c r="X1295" s="105">
        <v>0</v>
      </c>
      <c r="Y1295" s="105">
        <v>0</v>
      </c>
      <c r="Z1295" s="105">
        <v>0</v>
      </c>
      <c r="AA1295" s="105">
        <v>0</v>
      </c>
      <c r="AB1295" s="105">
        <v>0</v>
      </c>
      <c r="AC1295" s="8">
        <f t="shared" si="140"/>
        <v>2272727</v>
      </c>
      <c r="AD1295" s="8">
        <f t="shared" si="141"/>
        <v>0</v>
      </c>
      <c r="AE1295" s="8">
        <f t="shared" si="142"/>
        <v>0</v>
      </c>
      <c r="AF1295" s="106">
        <f t="shared" si="143"/>
        <v>0</v>
      </c>
      <c r="AG1295" s="8">
        <f t="shared" si="144"/>
        <v>0</v>
      </c>
      <c r="AH1295" s="8">
        <f>IF($O1295="Aktif",MAX(0,MIN($AE1295,$AD1295-SUM($AG1295:AG1295))),0)</f>
        <v>0</v>
      </c>
      <c r="AI1295" s="8">
        <f>IF($O1295="Aktif",MAX(0,MIN($AE1295,$AD1295-SUM($AG1295:AH1295))),0)</f>
        <v>0</v>
      </c>
      <c r="AJ1295" s="8">
        <f>IF($O1295="Aktif",MAX(0,MIN($AE1295,$AD1295-SUM($AG1295:AI1295))),0)</f>
        <v>0</v>
      </c>
      <c r="AK1295" s="8">
        <f>IF($O1295="Aktif",MAX(0,MIN($AE1295,$AD1295-SUM($AG1295:AJ1295))),0)</f>
        <v>0</v>
      </c>
      <c r="AL1295" s="8">
        <f>IF($O1295="Aktif",MAX(0,MIN($AE1295,$AD1295-SUM($AG1295:AK1295))),0)</f>
        <v>0</v>
      </c>
      <c r="AM1295" s="8">
        <f>IF($O1295="Aktif",MAX(0,MIN($AE1295,$AD1295-SUM($AG1295:AL1295))),0)</f>
        <v>0</v>
      </c>
      <c r="AN1295" s="8">
        <f>IF($O1295="Aktif",MAX(0,MIN($AE1295,$AD1295-SUM($AG1295:AM1295))),0)</f>
        <v>0</v>
      </c>
      <c r="AO1295" s="8">
        <f>IF($O1295="Aktif",MAX(0,MIN($AE1295,$AD1295-SUM($AG1295:AN1295))),0)</f>
        <v>0</v>
      </c>
      <c r="AP1295" s="8">
        <f>IF($O1295="Aktif",MAX(0,MIN($AE1295,$AD1295-SUM($AG1295:AO1295))),0)</f>
        <v>0</v>
      </c>
      <c r="AQ1295" s="8">
        <f>IF($O1295="Aktif",MAX(0,MIN($AE1295,$AD1295-SUM($AG1295:AP1295))),0)</f>
        <v>0</v>
      </c>
      <c r="AR1295" s="8">
        <f>IF($O1295="Aktif",MAX(0,MIN($AE1295,$AD1295-SUM($AG1295:AQ1295))),0)</f>
        <v>0</v>
      </c>
      <c r="AS1295" s="8">
        <f>IF($O1295="Aktif",MAX(0,MIN($AE1295,$AD1295-SUM($AG1295:AR1295))),0)</f>
        <v>0</v>
      </c>
      <c r="AT1295" s="8">
        <f>IF($O1295="Aktif",MAX(0,MIN($AE1295,$AD1295-SUM($AG1295:AS1295))),0)</f>
        <v>0</v>
      </c>
      <c r="AU1295" s="8">
        <f>IF($O1295="Aktif",MAX(0,MIN($AE1295,$AD1295-SUM($AG1295:AT1295))),0)</f>
        <v>0</v>
      </c>
      <c r="AV1295" s="8">
        <f>IF($O1295="Aktif",MAX(0,MIN($AE1295,$AD1295-SUM($AG1295:AU1295))),0)</f>
        <v>0</v>
      </c>
      <c r="AW1295" s="8">
        <f t="shared" si="145"/>
        <v>0</v>
      </c>
      <c r="AX1295" s="8">
        <f t="shared" si="146"/>
        <v>0</v>
      </c>
    </row>
    <row r="1296" spans="1:50" ht="15" customHeight="1" x14ac:dyDescent="0.35">
      <c r="A1296" s="102">
        <v>1290</v>
      </c>
      <c r="B1296" s="102" t="s">
        <v>3343</v>
      </c>
      <c r="C1296" s="103">
        <v>97</v>
      </c>
      <c r="D1296" s="102" t="s">
        <v>186</v>
      </c>
      <c r="E1296" s="102" t="s">
        <v>479</v>
      </c>
      <c r="F1296" s="102" t="s">
        <v>3116</v>
      </c>
      <c r="G1296" s="102" t="s">
        <v>3117</v>
      </c>
      <c r="H1296" s="102" t="s">
        <v>3118</v>
      </c>
      <c r="I1296" s="102" t="s">
        <v>63</v>
      </c>
      <c r="J1296" s="102" t="s">
        <v>3578</v>
      </c>
      <c r="K1296" s="102"/>
      <c r="L1296" s="104">
        <v>42920</v>
      </c>
      <c r="M1296" s="102" t="s">
        <v>3579</v>
      </c>
      <c r="N1296" s="102" t="s">
        <v>3580</v>
      </c>
      <c r="O1296" s="102" t="s">
        <v>383</v>
      </c>
      <c r="P1296" s="103">
        <v>4</v>
      </c>
      <c r="Q1296" s="105">
        <v>7200000</v>
      </c>
      <c r="R1296" s="103">
        <v>48</v>
      </c>
      <c r="S1296" s="105">
        <v>150000</v>
      </c>
      <c r="T1296" s="105">
        <v>7200000</v>
      </c>
      <c r="U1296" s="105">
        <v>0</v>
      </c>
      <c r="V1296" s="105">
        <v>0</v>
      </c>
      <c r="W1296" s="105">
        <v>0</v>
      </c>
      <c r="X1296" s="105">
        <v>0</v>
      </c>
      <c r="Y1296" s="105">
        <v>0</v>
      </c>
      <c r="Z1296" s="105">
        <v>0</v>
      </c>
      <c r="AA1296" s="105">
        <v>0</v>
      </c>
      <c r="AB1296" s="105">
        <v>0</v>
      </c>
      <c r="AC1296" s="8">
        <f t="shared" si="140"/>
        <v>7200000</v>
      </c>
      <c r="AD1296" s="8">
        <f t="shared" si="141"/>
        <v>0</v>
      </c>
      <c r="AE1296" s="8">
        <f t="shared" si="142"/>
        <v>0</v>
      </c>
      <c r="AF1296" s="106">
        <f t="shared" si="143"/>
        <v>0</v>
      </c>
      <c r="AG1296" s="8">
        <f t="shared" si="144"/>
        <v>0</v>
      </c>
      <c r="AH1296" s="8">
        <f>IF($O1296="Aktif",MAX(0,MIN($AE1296,$AD1296-SUM($AG1296:AG1296))),0)</f>
        <v>0</v>
      </c>
      <c r="AI1296" s="8">
        <f>IF($O1296="Aktif",MAX(0,MIN($AE1296,$AD1296-SUM($AG1296:AH1296))),0)</f>
        <v>0</v>
      </c>
      <c r="AJ1296" s="8">
        <f>IF($O1296="Aktif",MAX(0,MIN($AE1296,$AD1296-SUM($AG1296:AI1296))),0)</f>
        <v>0</v>
      </c>
      <c r="AK1296" s="8">
        <f>IF($O1296="Aktif",MAX(0,MIN($AE1296,$AD1296-SUM($AG1296:AJ1296))),0)</f>
        <v>0</v>
      </c>
      <c r="AL1296" s="8">
        <f>IF($O1296="Aktif",MAX(0,MIN($AE1296,$AD1296-SUM($AG1296:AK1296))),0)</f>
        <v>0</v>
      </c>
      <c r="AM1296" s="8">
        <f>IF($O1296="Aktif",MAX(0,MIN($AE1296,$AD1296-SUM($AG1296:AL1296))),0)</f>
        <v>0</v>
      </c>
      <c r="AN1296" s="8">
        <f>IF($O1296="Aktif",MAX(0,MIN($AE1296,$AD1296-SUM($AG1296:AM1296))),0)</f>
        <v>0</v>
      </c>
      <c r="AO1296" s="8">
        <f>IF($O1296="Aktif",MAX(0,MIN($AE1296,$AD1296-SUM($AG1296:AN1296))),0)</f>
        <v>0</v>
      </c>
      <c r="AP1296" s="8">
        <f>IF($O1296="Aktif",MAX(0,MIN($AE1296,$AD1296-SUM($AG1296:AO1296))),0)</f>
        <v>0</v>
      </c>
      <c r="AQ1296" s="8">
        <f>IF($O1296="Aktif",MAX(0,MIN($AE1296,$AD1296-SUM($AG1296:AP1296))),0)</f>
        <v>0</v>
      </c>
      <c r="AR1296" s="8">
        <f>IF($O1296="Aktif",MAX(0,MIN($AE1296,$AD1296-SUM($AG1296:AQ1296))),0)</f>
        <v>0</v>
      </c>
      <c r="AS1296" s="8">
        <f>IF($O1296="Aktif",MAX(0,MIN($AE1296,$AD1296-SUM($AG1296:AR1296))),0)</f>
        <v>0</v>
      </c>
      <c r="AT1296" s="8">
        <f>IF($O1296="Aktif",MAX(0,MIN($AE1296,$AD1296-SUM($AG1296:AS1296))),0)</f>
        <v>0</v>
      </c>
      <c r="AU1296" s="8">
        <f>IF($O1296="Aktif",MAX(0,MIN($AE1296,$AD1296-SUM($AG1296:AT1296))),0)</f>
        <v>0</v>
      </c>
      <c r="AV1296" s="8">
        <f>IF($O1296="Aktif",MAX(0,MIN($AE1296,$AD1296-SUM($AG1296:AU1296))),0)</f>
        <v>0</v>
      </c>
      <c r="AW1296" s="8">
        <f t="shared" si="145"/>
        <v>0</v>
      </c>
      <c r="AX1296" s="8">
        <f t="shared" si="146"/>
        <v>0</v>
      </c>
    </row>
    <row r="1297" spans="1:50" ht="15" customHeight="1" x14ac:dyDescent="0.35">
      <c r="A1297" s="102">
        <v>1291</v>
      </c>
      <c r="B1297" s="102" t="s">
        <v>3343</v>
      </c>
      <c r="C1297" s="103">
        <v>98</v>
      </c>
      <c r="D1297" s="102" t="s">
        <v>186</v>
      </c>
      <c r="E1297" s="102" t="s">
        <v>479</v>
      </c>
      <c r="F1297" s="102" t="s">
        <v>3116</v>
      </c>
      <c r="G1297" s="102" t="s">
        <v>3117</v>
      </c>
      <c r="H1297" s="102" t="s">
        <v>3118</v>
      </c>
      <c r="I1297" s="102" t="s">
        <v>63</v>
      </c>
      <c r="J1297" s="102" t="s">
        <v>3581</v>
      </c>
      <c r="K1297" s="102"/>
      <c r="L1297" s="104">
        <v>42920</v>
      </c>
      <c r="M1297" s="102" t="s">
        <v>3582</v>
      </c>
      <c r="N1297" s="102" t="s">
        <v>3583</v>
      </c>
      <c r="O1297" s="102" t="s">
        <v>383</v>
      </c>
      <c r="P1297" s="103">
        <v>1</v>
      </c>
      <c r="Q1297" s="105">
        <v>2600000</v>
      </c>
      <c r="R1297" s="103">
        <v>48</v>
      </c>
      <c r="S1297" s="105">
        <v>54166.666666666701</v>
      </c>
      <c r="T1297" s="105">
        <v>2600000</v>
      </c>
      <c r="U1297" s="105">
        <v>0</v>
      </c>
      <c r="V1297" s="105">
        <v>0</v>
      </c>
      <c r="W1297" s="105">
        <v>0</v>
      </c>
      <c r="X1297" s="105">
        <v>0</v>
      </c>
      <c r="Y1297" s="105">
        <v>0</v>
      </c>
      <c r="Z1297" s="105">
        <v>0</v>
      </c>
      <c r="AA1297" s="105">
        <v>0</v>
      </c>
      <c r="AB1297" s="105">
        <v>0</v>
      </c>
      <c r="AC1297" s="8">
        <f t="shared" si="140"/>
        <v>2600000</v>
      </c>
      <c r="AD1297" s="8">
        <f t="shared" si="141"/>
        <v>0</v>
      </c>
      <c r="AE1297" s="8">
        <f t="shared" si="142"/>
        <v>0</v>
      </c>
      <c r="AF1297" s="106">
        <f t="shared" si="143"/>
        <v>0</v>
      </c>
      <c r="AG1297" s="8">
        <f t="shared" si="144"/>
        <v>0</v>
      </c>
      <c r="AH1297" s="8">
        <f>IF($O1297="Aktif",MAX(0,MIN($AE1297,$AD1297-SUM($AG1297:AG1297))),0)</f>
        <v>0</v>
      </c>
      <c r="AI1297" s="8">
        <f>IF($O1297="Aktif",MAX(0,MIN($AE1297,$AD1297-SUM($AG1297:AH1297))),0)</f>
        <v>0</v>
      </c>
      <c r="AJ1297" s="8">
        <f>IF($O1297="Aktif",MAX(0,MIN($AE1297,$AD1297-SUM($AG1297:AI1297))),0)</f>
        <v>0</v>
      </c>
      <c r="AK1297" s="8">
        <f>IF($O1297="Aktif",MAX(0,MIN($AE1297,$AD1297-SUM($AG1297:AJ1297))),0)</f>
        <v>0</v>
      </c>
      <c r="AL1297" s="8">
        <f>IF($O1297="Aktif",MAX(0,MIN($AE1297,$AD1297-SUM($AG1297:AK1297))),0)</f>
        <v>0</v>
      </c>
      <c r="AM1297" s="8">
        <f>IF($O1297="Aktif",MAX(0,MIN($AE1297,$AD1297-SUM($AG1297:AL1297))),0)</f>
        <v>0</v>
      </c>
      <c r="AN1297" s="8">
        <f>IF($O1297="Aktif",MAX(0,MIN($AE1297,$AD1297-SUM($AG1297:AM1297))),0)</f>
        <v>0</v>
      </c>
      <c r="AO1297" s="8">
        <f>IF($O1297="Aktif",MAX(0,MIN($AE1297,$AD1297-SUM($AG1297:AN1297))),0)</f>
        <v>0</v>
      </c>
      <c r="AP1297" s="8">
        <f>IF($O1297="Aktif",MAX(0,MIN($AE1297,$AD1297-SUM($AG1297:AO1297))),0)</f>
        <v>0</v>
      </c>
      <c r="AQ1297" s="8">
        <f>IF($O1297="Aktif",MAX(0,MIN($AE1297,$AD1297-SUM($AG1297:AP1297))),0)</f>
        <v>0</v>
      </c>
      <c r="AR1297" s="8">
        <f>IF($O1297="Aktif",MAX(0,MIN($AE1297,$AD1297-SUM($AG1297:AQ1297))),0)</f>
        <v>0</v>
      </c>
      <c r="AS1297" s="8">
        <f>IF($O1297="Aktif",MAX(0,MIN($AE1297,$AD1297-SUM($AG1297:AR1297))),0)</f>
        <v>0</v>
      </c>
      <c r="AT1297" s="8">
        <f>IF($O1297="Aktif",MAX(0,MIN($AE1297,$AD1297-SUM($AG1297:AS1297))),0)</f>
        <v>0</v>
      </c>
      <c r="AU1297" s="8">
        <f>IF($O1297="Aktif",MAX(0,MIN($AE1297,$AD1297-SUM($AG1297:AT1297))),0)</f>
        <v>0</v>
      </c>
      <c r="AV1297" s="8">
        <f>IF($O1297="Aktif",MAX(0,MIN($AE1297,$AD1297-SUM($AG1297:AU1297))),0)</f>
        <v>0</v>
      </c>
      <c r="AW1297" s="8">
        <f t="shared" si="145"/>
        <v>0</v>
      </c>
      <c r="AX1297" s="8">
        <f t="shared" si="146"/>
        <v>0</v>
      </c>
    </row>
    <row r="1298" spans="1:50" ht="15" customHeight="1" x14ac:dyDescent="0.35">
      <c r="A1298" s="102">
        <v>1292</v>
      </c>
      <c r="B1298" s="102" t="s">
        <v>3343</v>
      </c>
      <c r="C1298" s="103">
        <v>99</v>
      </c>
      <c r="D1298" s="102" t="s">
        <v>186</v>
      </c>
      <c r="E1298" s="102" t="s">
        <v>479</v>
      </c>
      <c r="F1298" s="102" t="s">
        <v>3116</v>
      </c>
      <c r="G1298" s="102" t="s">
        <v>3117</v>
      </c>
      <c r="H1298" s="102" t="s">
        <v>3118</v>
      </c>
      <c r="I1298" s="102" t="s">
        <v>63</v>
      </c>
      <c r="J1298" s="102" t="s">
        <v>3584</v>
      </c>
      <c r="K1298" s="102"/>
      <c r="L1298" s="104">
        <v>42947</v>
      </c>
      <c r="M1298" s="102" t="s">
        <v>3585</v>
      </c>
      <c r="N1298" s="102" t="s">
        <v>3586</v>
      </c>
      <c r="O1298" s="102" t="s">
        <v>383</v>
      </c>
      <c r="P1298" s="103">
        <v>1</v>
      </c>
      <c r="Q1298" s="105">
        <v>375000000</v>
      </c>
      <c r="R1298" s="103">
        <v>48</v>
      </c>
      <c r="S1298" s="105">
        <v>7812500</v>
      </c>
      <c r="T1298" s="105">
        <v>328125000</v>
      </c>
      <c r="U1298" s="105">
        <v>0</v>
      </c>
      <c r="V1298" s="105">
        <v>0</v>
      </c>
      <c r="W1298" s="105">
        <v>0</v>
      </c>
      <c r="X1298" s="105">
        <v>0</v>
      </c>
      <c r="Y1298" s="105">
        <v>0</v>
      </c>
      <c r="Z1298" s="105">
        <v>0</v>
      </c>
      <c r="AA1298" s="105">
        <v>0</v>
      </c>
      <c r="AB1298" s="105">
        <v>0</v>
      </c>
      <c r="AC1298" s="8">
        <f t="shared" si="140"/>
        <v>328125000</v>
      </c>
      <c r="AD1298" s="8">
        <f t="shared" si="141"/>
        <v>46875000</v>
      </c>
      <c r="AE1298" s="8">
        <f t="shared" si="142"/>
        <v>0</v>
      </c>
      <c r="AF1298" s="106">
        <f t="shared" si="143"/>
        <v>0</v>
      </c>
      <c r="AG1298" s="8">
        <f t="shared" si="144"/>
        <v>0</v>
      </c>
      <c r="AH1298" s="8">
        <f>IF($O1298="Aktif",MAX(0,MIN($AE1298,$AD1298-SUM($AG1298:AG1298))),0)</f>
        <v>0</v>
      </c>
      <c r="AI1298" s="8">
        <f>IF($O1298="Aktif",MAX(0,MIN($AE1298,$AD1298-SUM($AG1298:AH1298))),0)</f>
        <v>0</v>
      </c>
      <c r="AJ1298" s="8">
        <f>IF($O1298="Aktif",MAX(0,MIN($AE1298,$AD1298-SUM($AG1298:AI1298))),0)</f>
        <v>0</v>
      </c>
      <c r="AK1298" s="8">
        <f>IF($O1298="Aktif",MAX(0,MIN($AE1298,$AD1298-SUM($AG1298:AJ1298))),0)</f>
        <v>0</v>
      </c>
      <c r="AL1298" s="8">
        <f>IF($O1298="Aktif",MAX(0,MIN($AE1298,$AD1298-SUM($AG1298:AK1298))),0)</f>
        <v>0</v>
      </c>
      <c r="AM1298" s="8">
        <f>IF($O1298="Aktif",MAX(0,MIN($AE1298,$AD1298-SUM($AG1298:AL1298))),0)</f>
        <v>0</v>
      </c>
      <c r="AN1298" s="8">
        <f>IF($O1298="Aktif",MAX(0,MIN($AE1298,$AD1298-SUM($AG1298:AM1298))),0)</f>
        <v>0</v>
      </c>
      <c r="AO1298" s="8">
        <f>IF($O1298="Aktif",MAX(0,MIN($AE1298,$AD1298-SUM($AG1298:AN1298))),0)</f>
        <v>0</v>
      </c>
      <c r="AP1298" s="8">
        <f>IF($O1298="Aktif",MAX(0,MIN($AE1298,$AD1298-SUM($AG1298:AO1298))),0)</f>
        <v>0</v>
      </c>
      <c r="AQ1298" s="8">
        <f>IF($O1298="Aktif",MAX(0,MIN($AE1298,$AD1298-SUM($AG1298:AP1298))),0)</f>
        <v>0</v>
      </c>
      <c r="AR1298" s="8">
        <f>IF($O1298="Aktif",MAX(0,MIN($AE1298,$AD1298-SUM($AG1298:AQ1298))),0)</f>
        <v>0</v>
      </c>
      <c r="AS1298" s="8">
        <f>IF($O1298="Aktif",MAX(0,MIN($AE1298,$AD1298-SUM($AG1298:AR1298))),0)</f>
        <v>0</v>
      </c>
      <c r="AT1298" s="8">
        <f>IF($O1298="Aktif",MAX(0,MIN($AE1298,$AD1298-SUM($AG1298:AS1298))),0)</f>
        <v>0</v>
      </c>
      <c r="AU1298" s="8">
        <f>IF($O1298="Aktif",MAX(0,MIN($AE1298,$AD1298-SUM($AG1298:AT1298))),0)</f>
        <v>0</v>
      </c>
      <c r="AV1298" s="8">
        <f>IF($O1298="Aktif",MAX(0,MIN($AE1298,$AD1298-SUM($AG1298:AU1298))),0)</f>
        <v>0</v>
      </c>
      <c r="AW1298" s="8">
        <f t="shared" si="145"/>
        <v>0</v>
      </c>
      <c r="AX1298" s="8">
        <f t="shared" si="146"/>
        <v>46875000</v>
      </c>
    </row>
    <row r="1299" spans="1:50" ht="15" customHeight="1" x14ac:dyDescent="0.35">
      <c r="A1299" s="102">
        <v>1293</v>
      </c>
      <c r="B1299" s="102" t="s">
        <v>3343</v>
      </c>
      <c r="C1299" s="103">
        <v>100</v>
      </c>
      <c r="D1299" s="102" t="s">
        <v>186</v>
      </c>
      <c r="E1299" s="102" t="s">
        <v>0</v>
      </c>
      <c r="F1299" s="102" t="s">
        <v>3116</v>
      </c>
      <c r="G1299" s="102" t="s">
        <v>3117</v>
      </c>
      <c r="H1299" s="102" t="s">
        <v>3118</v>
      </c>
      <c r="I1299" s="102" t="s">
        <v>63</v>
      </c>
      <c r="J1299" s="102"/>
      <c r="K1299" s="102"/>
      <c r="L1299" s="102" t="s">
        <v>2007</v>
      </c>
      <c r="M1299" s="102" t="s">
        <v>3585</v>
      </c>
      <c r="N1299" s="102" t="s">
        <v>3587</v>
      </c>
      <c r="O1299" s="102" t="s">
        <v>487</v>
      </c>
      <c r="P1299" s="103">
        <v>1</v>
      </c>
      <c r="Q1299" s="105">
        <v>-375000000</v>
      </c>
      <c r="R1299" s="102"/>
      <c r="S1299" s="105">
        <v>0</v>
      </c>
      <c r="T1299" s="105">
        <v>-328125000</v>
      </c>
      <c r="U1299" s="105">
        <v>0</v>
      </c>
      <c r="V1299" s="105">
        <v>0</v>
      </c>
      <c r="W1299" s="105">
        <v>0</v>
      </c>
      <c r="X1299" s="105">
        <v>0</v>
      </c>
      <c r="Y1299" s="105">
        <v>0</v>
      </c>
      <c r="Z1299" s="105">
        <v>0</v>
      </c>
      <c r="AA1299" s="105">
        <v>0</v>
      </c>
      <c r="AB1299" s="105">
        <v>0</v>
      </c>
      <c r="AC1299" s="8">
        <f t="shared" si="140"/>
        <v>-328125000</v>
      </c>
      <c r="AD1299" s="8">
        <f t="shared" si="141"/>
        <v>-46875000</v>
      </c>
      <c r="AE1299" s="8">
        <f t="shared" si="142"/>
        <v>0</v>
      </c>
      <c r="AF1299" s="106">
        <f t="shared" si="143"/>
        <v>0</v>
      </c>
      <c r="AG1299" s="8">
        <f t="shared" si="144"/>
        <v>0</v>
      </c>
      <c r="AH1299" s="8">
        <f>IF($O1299="Aktif",MAX(0,MIN($AE1299,$AD1299-SUM($AG1299:AG1299))),0)</f>
        <v>0</v>
      </c>
      <c r="AI1299" s="8">
        <f>IF($O1299="Aktif",MAX(0,MIN($AE1299,$AD1299-SUM($AG1299:AH1299))),0)</f>
        <v>0</v>
      </c>
      <c r="AJ1299" s="8">
        <f>IF($O1299="Aktif",MAX(0,MIN($AE1299,$AD1299-SUM($AG1299:AI1299))),0)</f>
        <v>0</v>
      </c>
      <c r="AK1299" s="8">
        <f>IF($O1299="Aktif",MAX(0,MIN($AE1299,$AD1299-SUM($AG1299:AJ1299))),0)</f>
        <v>0</v>
      </c>
      <c r="AL1299" s="8">
        <f>IF($O1299="Aktif",MAX(0,MIN($AE1299,$AD1299-SUM($AG1299:AK1299))),0)</f>
        <v>0</v>
      </c>
      <c r="AM1299" s="8">
        <f>IF($O1299="Aktif",MAX(0,MIN($AE1299,$AD1299-SUM($AG1299:AL1299))),0)</f>
        <v>0</v>
      </c>
      <c r="AN1299" s="8">
        <f>IF($O1299="Aktif",MAX(0,MIN($AE1299,$AD1299-SUM($AG1299:AM1299))),0)</f>
        <v>0</v>
      </c>
      <c r="AO1299" s="8">
        <f>IF($O1299="Aktif",MAX(0,MIN($AE1299,$AD1299-SUM($AG1299:AN1299))),0)</f>
        <v>0</v>
      </c>
      <c r="AP1299" s="8">
        <f>IF($O1299="Aktif",MAX(0,MIN($AE1299,$AD1299-SUM($AG1299:AO1299))),0)</f>
        <v>0</v>
      </c>
      <c r="AQ1299" s="8">
        <f>IF($O1299="Aktif",MAX(0,MIN($AE1299,$AD1299-SUM($AG1299:AP1299))),0)</f>
        <v>0</v>
      </c>
      <c r="AR1299" s="8">
        <f>IF($O1299="Aktif",MAX(0,MIN($AE1299,$AD1299-SUM($AG1299:AQ1299))),0)</f>
        <v>0</v>
      </c>
      <c r="AS1299" s="8">
        <f>IF($O1299="Aktif",MAX(0,MIN($AE1299,$AD1299-SUM($AG1299:AR1299))),0)</f>
        <v>0</v>
      </c>
      <c r="AT1299" s="8">
        <f>IF($O1299="Aktif",MAX(0,MIN($AE1299,$AD1299-SUM($AG1299:AS1299))),0)</f>
        <v>0</v>
      </c>
      <c r="AU1299" s="8">
        <f>IF($O1299="Aktif",MAX(0,MIN($AE1299,$AD1299-SUM($AG1299:AT1299))),0)</f>
        <v>0</v>
      </c>
      <c r="AV1299" s="8">
        <f>IF($O1299="Aktif",MAX(0,MIN($AE1299,$AD1299-SUM($AG1299:AU1299))),0)</f>
        <v>0</v>
      </c>
      <c r="AW1299" s="8">
        <f t="shared" si="145"/>
        <v>0</v>
      </c>
      <c r="AX1299" s="8">
        <f t="shared" si="146"/>
        <v>-46875000</v>
      </c>
    </row>
    <row r="1300" spans="1:50" ht="15" customHeight="1" x14ac:dyDescent="0.35">
      <c r="A1300" s="102">
        <v>1294</v>
      </c>
      <c r="B1300" s="102" t="s">
        <v>3343</v>
      </c>
      <c r="C1300" s="103">
        <v>101</v>
      </c>
      <c r="D1300" s="102" t="s">
        <v>186</v>
      </c>
      <c r="E1300" s="102" t="s">
        <v>479</v>
      </c>
      <c r="F1300" s="102" t="s">
        <v>3116</v>
      </c>
      <c r="G1300" s="102" t="s">
        <v>3117</v>
      </c>
      <c r="H1300" s="102" t="s">
        <v>3118</v>
      </c>
      <c r="I1300" s="102" t="s">
        <v>63</v>
      </c>
      <c r="J1300" s="102" t="s">
        <v>3588</v>
      </c>
      <c r="K1300" s="102"/>
      <c r="L1300" s="104">
        <v>43008</v>
      </c>
      <c r="M1300" s="102" t="s">
        <v>3589</v>
      </c>
      <c r="N1300" s="102" t="s">
        <v>3590</v>
      </c>
      <c r="O1300" s="102" t="s">
        <v>383</v>
      </c>
      <c r="P1300" s="103">
        <v>1</v>
      </c>
      <c r="Q1300" s="105">
        <v>510000000</v>
      </c>
      <c r="R1300" s="103">
        <v>48</v>
      </c>
      <c r="S1300" s="105">
        <v>10625000</v>
      </c>
      <c r="T1300" s="105">
        <v>510000000</v>
      </c>
      <c r="U1300" s="105">
        <v>0</v>
      </c>
      <c r="V1300" s="105">
        <v>0</v>
      </c>
      <c r="W1300" s="105">
        <v>0</v>
      </c>
      <c r="X1300" s="105">
        <v>0</v>
      </c>
      <c r="Y1300" s="105">
        <v>0</v>
      </c>
      <c r="Z1300" s="105">
        <v>0</v>
      </c>
      <c r="AA1300" s="105">
        <v>0</v>
      </c>
      <c r="AB1300" s="105">
        <v>0</v>
      </c>
      <c r="AC1300" s="8">
        <f t="shared" si="140"/>
        <v>510000000</v>
      </c>
      <c r="AD1300" s="8">
        <f t="shared" si="141"/>
        <v>0</v>
      </c>
      <c r="AE1300" s="8">
        <f t="shared" si="142"/>
        <v>0</v>
      </c>
      <c r="AF1300" s="106">
        <f t="shared" si="143"/>
        <v>0</v>
      </c>
      <c r="AG1300" s="8">
        <f t="shared" si="144"/>
        <v>0</v>
      </c>
      <c r="AH1300" s="8">
        <f>IF($O1300="Aktif",MAX(0,MIN($AE1300,$AD1300-SUM($AG1300:AG1300))),0)</f>
        <v>0</v>
      </c>
      <c r="AI1300" s="8">
        <f>IF($O1300="Aktif",MAX(0,MIN($AE1300,$AD1300-SUM($AG1300:AH1300))),0)</f>
        <v>0</v>
      </c>
      <c r="AJ1300" s="8">
        <f>IF($O1300="Aktif",MAX(0,MIN($AE1300,$AD1300-SUM($AG1300:AI1300))),0)</f>
        <v>0</v>
      </c>
      <c r="AK1300" s="8">
        <f>IF($O1300="Aktif",MAX(0,MIN($AE1300,$AD1300-SUM($AG1300:AJ1300))),0)</f>
        <v>0</v>
      </c>
      <c r="AL1300" s="8">
        <f>IF($O1300="Aktif",MAX(0,MIN($AE1300,$AD1300-SUM($AG1300:AK1300))),0)</f>
        <v>0</v>
      </c>
      <c r="AM1300" s="8">
        <f>IF($O1300="Aktif",MAX(0,MIN($AE1300,$AD1300-SUM($AG1300:AL1300))),0)</f>
        <v>0</v>
      </c>
      <c r="AN1300" s="8">
        <f>IF($O1300="Aktif",MAX(0,MIN($AE1300,$AD1300-SUM($AG1300:AM1300))),0)</f>
        <v>0</v>
      </c>
      <c r="AO1300" s="8">
        <f>IF($O1300="Aktif",MAX(0,MIN($AE1300,$AD1300-SUM($AG1300:AN1300))),0)</f>
        <v>0</v>
      </c>
      <c r="AP1300" s="8">
        <f>IF($O1300="Aktif",MAX(0,MIN($AE1300,$AD1300-SUM($AG1300:AO1300))),0)</f>
        <v>0</v>
      </c>
      <c r="AQ1300" s="8">
        <f>IF($O1300="Aktif",MAX(0,MIN($AE1300,$AD1300-SUM($AG1300:AP1300))),0)</f>
        <v>0</v>
      </c>
      <c r="AR1300" s="8">
        <f>IF($O1300="Aktif",MAX(0,MIN($AE1300,$AD1300-SUM($AG1300:AQ1300))),0)</f>
        <v>0</v>
      </c>
      <c r="AS1300" s="8">
        <f>IF($O1300="Aktif",MAX(0,MIN($AE1300,$AD1300-SUM($AG1300:AR1300))),0)</f>
        <v>0</v>
      </c>
      <c r="AT1300" s="8">
        <f>IF($O1300="Aktif",MAX(0,MIN($AE1300,$AD1300-SUM($AG1300:AS1300))),0)</f>
        <v>0</v>
      </c>
      <c r="AU1300" s="8">
        <f>IF($O1300="Aktif",MAX(0,MIN($AE1300,$AD1300-SUM($AG1300:AT1300))),0)</f>
        <v>0</v>
      </c>
      <c r="AV1300" s="8">
        <f>IF($O1300="Aktif",MAX(0,MIN($AE1300,$AD1300-SUM($AG1300:AU1300))),0)</f>
        <v>0</v>
      </c>
      <c r="AW1300" s="8">
        <f t="shared" si="145"/>
        <v>0</v>
      </c>
      <c r="AX1300" s="8">
        <f t="shared" si="146"/>
        <v>0</v>
      </c>
    </row>
    <row r="1301" spans="1:50" ht="15" customHeight="1" x14ac:dyDescent="0.35">
      <c r="A1301" s="102">
        <v>1295</v>
      </c>
      <c r="B1301" s="102" t="s">
        <v>3343</v>
      </c>
      <c r="C1301" s="103">
        <v>102</v>
      </c>
      <c r="D1301" s="102" t="s">
        <v>186</v>
      </c>
      <c r="E1301" s="102" t="s">
        <v>0</v>
      </c>
      <c r="F1301" s="102" t="s">
        <v>3116</v>
      </c>
      <c r="G1301" s="102" t="s">
        <v>3117</v>
      </c>
      <c r="H1301" s="102" t="s">
        <v>3118</v>
      </c>
      <c r="I1301" s="102" t="s">
        <v>63</v>
      </c>
      <c r="J1301" s="102"/>
      <c r="K1301" s="102"/>
      <c r="L1301" s="104">
        <v>44470</v>
      </c>
      <c r="M1301" s="102" t="s">
        <v>3591</v>
      </c>
      <c r="N1301" s="102" t="s">
        <v>3592</v>
      </c>
      <c r="O1301" s="102" t="s">
        <v>487</v>
      </c>
      <c r="P1301" s="103">
        <v>1</v>
      </c>
      <c r="Q1301" s="105">
        <v>-80000000</v>
      </c>
      <c r="R1301" s="102"/>
      <c r="S1301" s="105">
        <v>0</v>
      </c>
      <c r="T1301" s="105">
        <v>-80000000</v>
      </c>
      <c r="U1301" s="105">
        <v>0</v>
      </c>
      <c r="V1301" s="105">
        <v>0</v>
      </c>
      <c r="W1301" s="105">
        <v>0</v>
      </c>
      <c r="X1301" s="105">
        <v>0</v>
      </c>
      <c r="Y1301" s="105">
        <v>0</v>
      </c>
      <c r="Z1301" s="105">
        <v>0</v>
      </c>
      <c r="AA1301" s="105">
        <v>0</v>
      </c>
      <c r="AB1301" s="105">
        <v>0</v>
      </c>
      <c r="AC1301" s="8">
        <f t="shared" si="140"/>
        <v>-80000000</v>
      </c>
      <c r="AD1301" s="8">
        <f t="shared" si="141"/>
        <v>0</v>
      </c>
      <c r="AE1301" s="8">
        <f t="shared" si="142"/>
        <v>0</v>
      </c>
      <c r="AF1301" s="106">
        <f t="shared" si="143"/>
        <v>0</v>
      </c>
      <c r="AG1301" s="8">
        <f t="shared" si="144"/>
        <v>0</v>
      </c>
      <c r="AH1301" s="8">
        <f>IF($O1301="Aktif",MAX(0,MIN($AE1301,$AD1301-SUM($AG1301:AG1301))),0)</f>
        <v>0</v>
      </c>
      <c r="AI1301" s="8">
        <f>IF($O1301="Aktif",MAX(0,MIN($AE1301,$AD1301-SUM($AG1301:AH1301))),0)</f>
        <v>0</v>
      </c>
      <c r="AJ1301" s="8">
        <f>IF($O1301="Aktif",MAX(0,MIN($AE1301,$AD1301-SUM($AG1301:AI1301))),0)</f>
        <v>0</v>
      </c>
      <c r="AK1301" s="8">
        <f>IF($O1301="Aktif",MAX(0,MIN($AE1301,$AD1301-SUM($AG1301:AJ1301))),0)</f>
        <v>0</v>
      </c>
      <c r="AL1301" s="8">
        <f>IF($O1301="Aktif",MAX(0,MIN($AE1301,$AD1301-SUM($AG1301:AK1301))),0)</f>
        <v>0</v>
      </c>
      <c r="AM1301" s="8">
        <f>IF($O1301="Aktif",MAX(0,MIN($AE1301,$AD1301-SUM($AG1301:AL1301))),0)</f>
        <v>0</v>
      </c>
      <c r="AN1301" s="8">
        <f>IF($O1301="Aktif",MAX(0,MIN($AE1301,$AD1301-SUM($AG1301:AM1301))),0)</f>
        <v>0</v>
      </c>
      <c r="AO1301" s="8">
        <f>IF($O1301="Aktif",MAX(0,MIN($AE1301,$AD1301-SUM($AG1301:AN1301))),0)</f>
        <v>0</v>
      </c>
      <c r="AP1301" s="8">
        <f>IF($O1301="Aktif",MAX(0,MIN($AE1301,$AD1301-SUM($AG1301:AO1301))),0)</f>
        <v>0</v>
      </c>
      <c r="AQ1301" s="8">
        <f>IF($O1301="Aktif",MAX(0,MIN($AE1301,$AD1301-SUM($AG1301:AP1301))),0)</f>
        <v>0</v>
      </c>
      <c r="AR1301" s="8">
        <f>IF($O1301="Aktif",MAX(0,MIN($AE1301,$AD1301-SUM($AG1301:AQ1301))),0)</f>
        <v>0</v>
      </c>
      <c r="AS1301" s="8">
        <f>IF($O1301="Aktif",MAX(0,MIN($AE1301,$AD1301-SUM($AG1301:AR1301))),0)</f>
        <v>0</v>
      </c>
      <c r="AT1301" s="8">
        <f>IF($O1301="Aktif",MAX(0,MIN($AE1301,$AD1301-SUM($AG1301:AS1301))),0)</f>
        <v>0</v>
      </c>
      <c r="AU1301" s="8">
        <f>IF($O1301="Aktif",MAX(0,MIN($AE1301,$AD1301-SUM($AG1301:AT1301))),0)</f>
        <v>0</v>
      </c>
      <c r="AV1301" s="8">
        <f>IF($O1301="Aktif",MAX(0,MIN($AE1301,$AD1301-SUM($AG1301:AU1301))),0)</f>
        <v>0</v>
      </c>
      <c r="AW1301" s="8">
        <f t="shared" si="145"/>
        <v>0</v>
      </c>
      <c r="AX1301" s="8">
        <f t="shared" si="146"/>
        <v>0</v>
      </c>
    </row>
    <row r="1302" spans="1:50" ht="15" customHeight="1" x14ac:dyDescent="0.35">
      <c r="A1302" s="102">
        <v>1296</v>
      </c>
      <c r="B1302" s="102" t="s">
        <v>3343</v>
      </c>
      <c r="C1302" s="103">
        <v>103</v>
      </c>
      <c r="D1302" s="102" t="s">
        <v>186</v>
      </c>
      <c r="E1302" s="102" t="s">
        <v>479</v>
      </c>
      <c r="F1302" s="102" t="s">
        <v>3116</v>
      </c>
      <c r="G1302" s="102" t="s">
        <v>3117</v>
      </c>
      <c r="H1302" s="102" t="s">
        <v>3118</v>
      </c>
      <c r="I1302" s="102" t="s">
        <v>63</v>
      </c>
      <c r="J1302" s="102" t="s">
        <v>3593</v>
      </c>
      <c r="K1302" s="102"/>
      <c r="L1302" s="104">
        <v>43035</v>
      </c>
      <c r="M1302" s="102" t="s">
        <v>3594</v>
      </c>
      <c r="N1302" s="102" t="s">
        <v>3595</v>
      </c>
      <c r="O1302" s="102" t="s">
        <v>383</v>
      </c>
      <c r="P1302" s="103">
        <v>1</v>
      </c>
      <c r="Q1302" s="105">
        <v>12500000</v>
      </c>
      <c r="R1302" s="103">
        <v>48</v>
      </c>
      <c r="S1302" s="105">
        <v>260416.66666666701</v>
      </c>
      <c r="T1302" s="105">
        <v>12500000</v>
      </c>
      <c r="U1302" s="105">
        <v>0</v>
      </c>
      <c r="V1302" s="105">
        <v>0</v>
      </c>
      <c r="W1302" s="105">
        <v>0</v>
      </c>
      <c r="X1302" s="105">
        <v>0</v>
      </c>
      <c r="Y1302" s="105">
        <v>0</v>
      </c>
      <c r="Z1302" s="105">
        <v>0</v>
      </c>
      <c r="AA1302" s="105">
        <v>0</v>
      </c>
      <c r="AB1302" s="105">
        <v>0</v>
      </c>
      <c r="AC1302" s="8">
        <f t="shared" si="140"/>
        <v>12500000</v>
      </c>
      <c r="AD1302" s="8">
        <f t="shared" si="141"/>
        <v>0</v>
      </c>
      <c r="AE1302" s="8">
        <f t="shared" si="142"/>
        <v>0</v>
      </c>
      <c r="AF1302" s="106">
        <f t="shared" si="143"/>
        <v>0</v>
      </c>
      <c r="AG1302" s="8">
        <f t="shared" si="144"/>
        <v>0</v>
      </c>
      <c r="AH1302" s="8">
        <f>IF($O1302="Aktif",MAX(0,MIN($AE1302,$AD1302-SUM($AG1302:AG1302))),0)</f>
        <v>0</v>
      </c>
      <c r="AI1302" s="8">
        <f>IF($O1302="Aktif",MAX(0,MIN($AE1302,$AD1302-SUM($AG1302:AH1302))),0)</f>
        <v>0</v>
      </c>
      <c r="AJ1302" s="8">
        <f>IF($O1302="Aktif",MAX(0,MIN($AE1302,$AD1302-SUM($AG1302:AI1302))),0)</f>
        <v>0</v>
      </c>
      <c r="AK1302" s="8">
        <f>IF($O1302="Aktif",MAX(0,MIN($AE1302,$AD1302-SUM($AG1302:AJ1302))),0)</f>
        <v>0</v>
      </c>
      <c r="AL1302" s="8">
        <f>IF($O1302="Aktif",MAX(0,MIN($AE1302,$AD1302-SUM($AG1302:AK1302))),0)</f>
        <v>0</v>
      </c>
      <c r="AM1302" s="8">
        <f>IF($O1302="Aktif",MAX(0,MIN($AE1302,$AD1302-SUM($AG1302:AL1302))),0)</f>
        <v>0</v>
      </c>
      <c r="AN1302" s="8">
        <f>IF($O1302="Aktif",MAX(0,MIN($AE1302,$AD1302-SUM($AG1302:AM1302))),0)</f>
        <v>0</v>
      </c>
      <c r="AO1302" s="8">
        <f>IF($O1302="Aktif",MAX(0,MIN($AE1302,$AD1302-SUM($AG1302:AN1302))),0)</f>
        <v>0</v>
      </c>
      <c r="AP1302" s="8">
        <f>IF($O1302="Aktif",MAX(0,MIN($AE1302,$AD1302-SUM($AG1302:AO1302))),0)</f>
        <v>0</v>
      </c>
      <c r="AQ1302" s="8">
        <f>IF($O1302="Aktif",MAX(0,MIN($AE1302,$AD1302-SUM($AG1302:AP1302))),0)</f>
        <v>0</v>
      </c>
      <c r="AR1302" s="8">
        <f>IF($O1302="Aktif",MAX(0,MIN($AE1302,$AD1302-SUM($AG1302:AQ1302))),0)</f>
        <v>0</v>
      </c>
      <c r="AS1302" s="8">
        <f>IF($O1302="Aktif",MAX(0,MIN($AE1302,$AD1302-SUM($AG1302:AR1302))),0)</f>
        <v>0</v>
      </c>
      <c r="AT1302" s="8">
        <f>IF($O1302="Aktif",MAX(0,MIN($AE1302,$AD1302-SUM($AG1302:AS1302))),0)</f>
        <v>0</v>
      </c>
      <c r="AU1302" s="8">
        <f>IF($O1302="Aktif",MAX(0,MIN($AE1302,$AD1302-SUM($AG1302:AT1302))),0)</f>
        <v>0</v>
      </c>
      <c r="AV1302" s="8">
        <f>IF($O1302="Aktif",MAX(0,MIN($AE1302,$AD1302-SUM($AG1302:AU1302))),0)</f>
        <v>0</v>
      </c>
      <c r="AW1302" s="8">
        <f t="shared" si="145"/>
        <v>0</v>
      </c>
      <c r="AX1302" s="8">
        <f t="shared" si="146"/>
        <v>0</v>
      </c>
    </row>
    <row r="1303" spans="1:50" ht="15" customHeight="1" x14ac:dyDescent="0.35">
      <c r="A1303" s="102">
        <v>1297</v>
      </c>
      <c r="B1303" s="102" t="s">
        <v>3343</v>
      </c>
      <c r="C1303" s="103">
        <v>104</v>
      </c>
      <c r="D1303" s="102" t="s">
        <v>186</v>
      </c>
      <c r="E1303" s="102" t="s">
        <v>479</v>
      </c>
      <c r="F1303" s="102" t="s">
        <v>3116</v>
      </c>
      <c r="G1303" s="102" t="s">
        <v>3117</v>
      </c>
      <c r="H1303" s="102" t="s">
        <v>3118</v>
      </c>
      <c r="I1303" s="102" t="s">
        <v>63</v>
      </c>
      <c r="J1303" s="102" t="s">
        <v>3596</v>
      </c>
      <c r="K1303" s="102"/>
      <c r="L1303" s="104">
        <v>43035</v>
      </c>
      <c r="M1303" s="102" t="s">
        <v>3597</v>
      </c>
      <c r="N1303" s="102" t="s">
        <v>3598</v>
      </c>
      <c r="O1303" s="102" t="s">
        <v>383</v>
      </c>
      <c r="P1303" s="103">
        <v>1</v>
      </c>
      <c r="Q1303" s="105">
        <v>9000000</v>
      </c>
      <c r="R1303" s="103">
        <v>48</v>
      </c>
      <c r="S1303" s="105">
        <v>187500</v>
      </c>
      <c r="T1303" s="105">
        <v>9000000</v>
      </c>
      <c r="U1303" s="105">
        <v>0</v>
      </c>
      <c r="V1303" s="105">
        <v>0</v>
      </c>
      <c r="W1303" s="105">
        <v>0</v>
      </c>
      <c r="X1303" s="105">
        <v>0</v>
      </c>
      <c r="Y1303" s="105">
        <v>0</v>
      </c>
      <c r="Z1303" s="105">
        <v>0</v>
      </c>
      <c r="AA1303" s="105">
        <v>0</v>
      </c>
      <c r="AB1303" s="105">
        <v>0</v>
      </c>
      <c r="AC1303" s="8">
        <f t="shared" si="140"/>
        <v>9000000</v>
      </c>
      <c r="AD1303" s="8">
        <f t="shared" si="141"/>
        <v>0</v>
      </c>
      <c r="AE1303" s="8">
        <f t="shared" si="142"/>
        <v>0</v>
      </c>
      <c r="AF1303" s="106">
        <f t="shared" si="143"/>
        <v>0</v>
      </c>
      <c r="AG1303" s="8">
        <f t="shared" si="144"/>
        <v>0</v>
      </c>
      <c r="AH1303" s="8">
        <f>IF($O1303="Aktif",MAX(0,MIN($AE1303,$AD1303-SUM($AG1303:AG1303))),0)</f>
        <v>0</v>
      </c>
      <c r="AI1303" s="8">
        <f>IF($O1303="Aktif",MAX(0,MIN($AE1303,$AD1303-SUM($AG1303:AH1303))),0)</f>
        <v>0</v>
      </c>
      <c r="AJ1303" s="8">
        <f>IF($O1303="Aktif",MAX(0,MIN($AE1303,$AD1303-SUM($AG1303:AI1303))),0)</f>
        <v>0</v>
      </c>
      <c r="AK1303" s="8">
        <f>IF($O1303="Aktif",MAX(0,MIN($AE1303,$AD1303-SUM($AG1303:AJ1303))),0)</f>
        <v>0</v>
      </c>
      <c r="AL1303" s="8">
        <f>IF($O1303="Aktif",MAX(0,MIN($AE1303,$AD1303-SUM($AG1303:AK1303))),0)</f>
        <v>0</v>
      </c>
      <c r="AM1303" s="8">
        <f>IF($O1303="Aktif",MAX(0,MIN($AE1303,$AD1303-SUM($AG1303:AL1303))),0)</f>
        <v>0</v>
      </c>
      <c r="AN1303" s="8">
        <f>IF($O1303="Aktif",MAX(0,MIN($AE1303,$AD1303-SUM($AG1303:AM1303))),0)</f>
        <v>0</v>
      </c>
      <c r="AO1303" s="8">
        <f>IF($O1303="Aktif",MAX(0,MIN($AE1303,$AD1303-SUM($AG1303:AN1303))),0)</f>
        <v>0</v>
      </c>
      <c r="AP1303" s="8">
        <f>IF($O1303="Aktif",MAX(0,MIN($AE1303,$AD1303-SUM($AG1303:AO1303))),0)</f>
        <v>0</v>
      </c>
      <c r="AQ1303" s="8">
        <f>IF($O1303="Aktif",MAX(0,MIN($AE1303,$AD1303-SUM($AG1303:AP1303))),0)</f>
        <v>0</v>
      </c>
      <c r="AR1303" s="8">
        <f>IF($O1303="Aktif",MAX(0,MIN($AE1303,$AD1303-SUM($AG1303:AQ1303))),0)</f>
        <v>0</v>
      </c>
      <c r="AS1303" s="8">
        <f>IF($O1303="Aktif",MAX(0,MIN($AE1303,$AD1303-SUM($AG1303:AR1303))),0)</f>
        <v>0</v>
      </c>
      <c r="AT1303" s="8">
        <f>IF($O1303="Aktif",MAX(0,MIN($AE1303,$AD1303-SUM($AG1303:AS1303))),0)</f>
        <v>0</v>
      </c>
      <c r="AU1303" s="8">
        <f>IF($O1303="Aktif",MAX(0,MIN($AE1303,$AD1303-SUM($AG1303:AT1303))),0)</f>
        <v>0</v>
      </c>
      <c r="AV1303" s="8">
        <f>IF($O1303="Aktif",MAX(0,MIN($AE1303,$AD1303-SUM($AG1303:AU1303))),0)</f>
        <v>0</v>
      </c>
      <c r="AW1303" s="8">
        <f t="shared" si="145"/>
        <v>0</v>
      </c>
      <c r="AX1303" s="8">
        <f t="shared" si="146"/>
        <v>0</v>
      </c>
    </row>
    <row r="1304" spans="1:50" ht="15" customHeight="1" x14ac:dyDescent="0.35">
      <c r="A1304" s="102">
        <v>1298</v>
      </c>
      <c r="B1304" s="102" t="s">
        <v>3343</v>
      </c>
      <c r="C1304" s="103">
        <v>105</v>
      </c>
      <c r="D1304" s="102" t="s">
        <v>186</v>
      </c>
      <c r="E1304" s="102" t="s">
        <v>479</v>
      </c>
      <c r="F1304" s="102" t="s">
        <v>3116</v>
      </c>
      <c r="G1304" s="102" t="s">
        <v>3117</v>
      </c>
      <c r="H1304" s="102" t="s">
        <v>3118</v>
      </c>
      <c r="I1304" s="102" t="s">
        <v>63</v>
      </c>
      <c r="J1304" s="102" t="s">
        <v>3599</v>
      </c>
      <c r="K1304" s="102"/>
      <c r="L1304" s="104">
        <v>43035</v>
      </c>
      <c r="M1304" s="102" t="s">
        <v>3600</v>
      </c>
      <c r="N1304" s="102" t="s">
        <v>3601</v>
      </c>
      <c r="O1304" s="102" t="s">
        <v>383</v>
      </c>
      <c r="P1304" s="103">
        <v>1</v>
      </c>
      <c r="Q1304" s="105">
        <v>19000000</v>
      </c>
      <c r="R1304" s="103">
        <v>48</v>
      </c>
      <c r="S1304" s="105">
        <v>395833.33333333302</v>
      </c>
      <c r="T1304" s="105">
        <v>19000000</v>
      </c>
      <c r="U1304" s="105">
        <v>0</v>
      </c>
      <c r="V1304" s="105">
        <v>0</v>
      </c>
      <c r="W1304" s="105">
        <v>0</v>
      </c>
      <c r="X1304" s="105">
        <v>0</v>
      </c>
      <c r="Y1304" s="105">
        <v>0</v>
      </c>
      <c r="Z1304" s="105">
        <v>0</v>
      </c>
      <c r="AA1304" s="105">
        <v>0</v>
      </c>
      <c r="AB1304" s="105">
        <v>0</v>
      </c>
      <c r="AC1304" s="8">
        <f t="shared" si="140"/>
        <v>19000000</v>
      </c>
      <c r="AD1304" s="8">
        <f t="shared" si="141"/>
        <v>0</v>
      </c>
      <c r="AE1304" s="8">
        <f t="shared" si="142"/>
        <v>0</v>
      </c>
      <c r="AF1304" s="106">
        <f t="shared" si="143"/>
        <v>0</v>
      </c>
      <c r="AG1304" s="8">
        <f t="shared" si="144"/>
        <v>0</v>
      </c>
      <c r="AH1304" s="8">
        <f>IF($O1304="Aktif",MAX(0,MIN($AE1304,$AD1304-SUM($AG1304:AG1304))),0)</f>
        <v>0</v>
      </c>
      <c r="AI1304" s="8">
        <f>IF($O1304="Aktif",MAX(0,MIN($AE1304,$AD1304-SUM($AG1304:AH1304))),0)</f>
        <v>0</v>
      </c>
      <c r="AJ1304" s="8">
        <f>IF($O1304="Aktif",MAX(0,MIN($AE1304,$AD1304-SUM($AG1304:AI1304))),0)</f>
        <v>0</v>
      </c>
      <c r="AK1304" s="8">
        <f>IF($O1304="Aktif",MAX(0,MIN($AE1304,$AD1304-SUM($AG1304:AJ1304))),0)</f>
        <v>0</v>
      </c>
      <c r="AL1304" s="8">
        <f>IF($O1304="Aktif",MAX(0,MIN($AE1304,$AD1304-SUM($AG1304:AK1304))),0)</f>
        <v>0</v>
      </c>
      <c r="AM1304" s="8">
        <f>IF($O1304="Aktif",MAX(0,MIN($AE1304,$AD1304-SUM($AG1304:AL1304))),0)</f>
        <v>0</v>
      </c>
      <c r="AN1304" s="8">
        <f>IF($O1304="Aktif",MAX(0,MIN($AE1304,$AD1304-SUM($AG1304:AM1304))),0)</f>
        <v>0</v>
      </c>
      <c r="AO1304" s="8">
        <f>IF($O1304="Aktif",MAX(0,MIN($AE1304,$AD1304-SUM($AG1304:AN1304))),0)</f>
        <v>0</v>
      </c>
      <c r="AP1304" s="8">
        <f>IF($O1304="Aktif",MAX(0,MIN($AE1304,$AD1304-SUM($AG1304:AO1304))),0)</f>
        <v>0</v>
      </c>
      <c r="AQ1304" s="8">
        <f>IF($O1304="Aktif",MAX(0,MIN($AE1304,$AD1304-SUM($AG1304:AP1304))),0)</f>
        <v>0</v>
      </c>
      <c r="AR1304" s="8">
        <f>IF($O1304="Aktif",MAX(0,MIN($AE1304,$AD1304-SUM($AG1304:AQ1304))),0)</f>
        <v>0</v>
      </c>
      <c r="AS1304" s="8">
        <f>IF($O1304="Aktif",MAX(0,MIN($AE1304,$AD1304-SUM($AG1304:AR1304))),0)</f>
        <v>0</v>
      </c>
      <c r="AT1304" s="8">
        <f>IF($O1304="Aktif",MAX(0,MIN($AE1304,$AD1304-SUM($AG1304:AS1304))),0)</f>
        <v>0</v>
      </c>
      <c r="AU1304" s="8">
        <f>IF($O1304="Aktif",MAX(0,MIN($AE1304,$AD1304-SUM($AG1304:AT1304))),0)</f>
        <v>0</v>
      </c>
      <c r="AV1304" s="8">
        <f>IF($O1304="Aktif",MAX(0,MIN($AE1304,$AD1304-SUM($AG1304:AU1304))),0)</f>
        <v>0</v>
      </c>
      <c r="AW1304" s="8">
        <f t="shared" si="145"/>
        <v>0</v>
      </c>
      <c r="AX1304" s="8">
        <f t="shared" si="146"/>
        <v>0</v>
      </c>
    </row>
    <row r="1305" spans="1:50" ht="15" customHeight="1" x14ac:dyDescent="0.35">
      <c r="A1305" s="102">
        <v>1299</v>
      </c>
      <c r="B1305" s="102" t="s">
        <v>3343</v>
      </c>
      <c r="C1305" s="103">
        <v>106</v>
      </c>
      <c r="D1305" s="102" t="s">
        <v>186</v>
      </c>
      <c r="E1305" s="102" t="s">
        <v>479</v>
      </c>
      <c r="F1305" s="102" t="s">
        <v>3116</v>
      </c>
      <c r="G1305" s="102" t="s">
        <v>3117</v>
      </c>
      <c r="H1305" s="102" t="s">
        <v>3118</v>
      </c>
      <c r="I1305" s="102" t="s">
        <v>63</v>
      </c>
      <c r="J1305" s="102" t="s">
        <v>3602</v>
      </c>
      <c r="K1305" s="102"/>
      <c r="L1305" s="104">
        <v>43035</v>
      </c>
      <c r="M1305" s="102" t="s">
        <v>3603</v>
      </c>
      <c r="N1305" s="102" t="s">
        <v>3604</v>
      </c>
      <c r="O1305" s="102" t="s">
        <v>383</v>
      </c>
      <c r="P1305" s="103">
        <v>1</v>
      </c>
      <c r="Q1305" s="105">
        <v>9000000</v>
      </c>
      <c r="R1305" s="103">
        <v>48</v>
      </c>
      <c r="S1305" s="105">
        <v>187500</v>
      </c>
      <c r="T1305" s="105">
        <v>9000000</v>
      </c>
      <c r="U1305" s="105">
        <v>0</v>
      </c>
      <c r="V1305" s="105">
        <v>0</v>
      </c>
      <c r="W1305" s="105">
        <v>0</v>
      </c>
      <c r="X1305" s="105">
        <v>0</v>
      </c>
      <c r="Y1305" s="105">
        <v>0</v>
      </c>
      <c r="Z1305" s="105">
        <v>0</v>
      </c>
      <c r="AA1305" s="105">
        <v>0</v>
      </c>
      <c r="AB1305" s="105">
        <v>0</v>
      </c>
      <c r="AC1305" s="8">
        <f t="shared" si="140"/>
        <v>9000000</v>
      </c>
      <c r="AD1305" s="8">
        <f t="shared" si="141"/>
        <v>0</v>
      </c>
      <c r="AE1305" s="8">
        <f t="shared" si="142"/>
        <v>0</v>
      </c>
      <c r="AF1305" s="106">
        <f t="shared" si="143"/>
        <v>0</v>
      </c>
      <c r="AG1305" s="8">
        <f t="shared" si="144"/>
        <v>0</v>
      </c>
      <c r="AH1305" s="8">
        <f>IF($O1305="Aktif",MAX(0,MIN($AE1305,$AD1305-SUM($AG1305:AG1305))),0)</f>
        <v>0</v>
      </c>
      <c r="AI1305" s="8">
        <f>IF($O1305="Aktif",MAX(0,MIN($AE1305,$AD1305-SUM($AG1305:AH1305))),0)</f>
        <v>0</v>
      </c>
      <c r="AJ1305" s="8">
        <f>IF($O1305="Aktif",MAX(0,MIN($AE1305,$AD1305-SUM($AG1305:AI1305))),0)</f>
        <v>0</v>
      </c>
      <c r="AK1305" s="8">
        <f>IF($O1305="Aktif",MAX(0,MIN($AE1305,$AD1305-SUM($AG1305:AJ1305))),0)</f>
        <v>0</v>
      </c>
      <c r="AL1305" s="8">
        <f>IF($O1305="Aktif",MAX(0,MIN($AE1305,$AD1305-SUM($AG1305:AK1305))),0)</f>
        <v>0</v>
      </c>
      <c r="AM1305" s="8">
        <f>IF($O1305="Aktif",MAX(0,MIN($AE1305,$AD1305-SUM($AG1305:AL1305))),0)</f>
        <v>0</v>
      </c>
      <c r="AN1305" s="8">
        <f>IF($O1305="Aktif",MAX(0,MIN($AE1305,$AD1305-SUM($AG1305:AM1305))),0)</f>
        <v>0</v>
      </c>
      <c r="AO1305" s="8">
        <f>IF($O1305="Aktif",MAX(0,MIN($AE1305,$AD1305-SUM($AG1305:AN1305))),0)</f>
        <v>0</v>
      </c>
      <c r="AP1305" s="8">
        <f>IF($O1305="Aktif",MAX(0,MIN($AE1305,$AD1305-SUM($AG1305:AO1305))),0)</f>
        <v>0</v>
      </c>
      <c r="AQ1305" s="8">
        <f>IF($O1305="Aktif",MAX(0,MIN($AE1305,$AD1305-SUM($AG1305:AP1305))),0)</f>
        <v>0</v>
      </c>
      <c r="AR1305" s="8">
        <f>IF($O1305="Aktif",MAX(0,MIN($AE1305,$AD1305-SUM($AG1305:AQ1305))),0)</f>
        <v>0</v>
      </c>
      <c r="AS1305" s="8">
        <f>IF($O1305="Aktif",MAX(0,MIN($AE1305,$AD1305-SUM($AG1305:AR1305))),0)</f>
        <v>0</v>
      </c>
      <c r="AT1305" s="8">
        <f>IF($O1305="Aktif",MAX(0,MIN($AE1305,$AD1305-SUM($AG1305:AS1305))),0)</f>
        <v>0</v>
      </c>
      <c r="AU1305" s="8">
        <f>IF($O1305="Aktif",MAX(0,MIN($AE1305,$AD1305-SUM($AG1305:AT1305))),0)</f>
        <v>0</v>
      </c>
      <c r="AV1305" s="8">
        <f>IF($O1305="Aktif",MAX(0,MIN($AE1305,$AD1305-SUM($AG1305:AU1305))),0)</f>
        <v>0</v>
      </c>
      <c r="AW1305" s="8">
        <f t="shared" si="145"/>
        <v>0</v>
      </c>
      <c r="AX1305" s="8">
        <f t="shared" si="146"/>
        <v>0</v>
      </c>
    </row>
    <row r="1306" spans="1:50" ht="15" customHeight="1" x14ac:dyDescent="0.35">
      <c r="A1306" s="102">
        <v>1300</v>
      </c>
      <c r="B1306" s="102" t="s">
        <v>3343</v>
      </c>
      <c r="C1306" s="103">
        <v>107</v>
      </c>
      <c r="D1306" s="102" t="s">
        <v>186</v>
      </c>
      <c r="E1306" s="102" t="s">
        <v>479</v>
      </c>
      <c r="F1306" s="102" t="s">
        <v>3116</v>
      </c>
      <c r="G1306" s="102" t="s">
        <v>3117</v>
      </c>
      <c r="H1306" s="102" t="s">
        <v>3118</v>
      </c>
      <c r="I1306" s="102" t="s">
        <v>63</v>
      </c>
      <c r="J1306" s="102" t="s">
        <v>3605</v>
      </c>
      <c r="K1306" s="102"/>
      <c r="L1306" s="104">
        <v>43100</v>
      </c>
      <c r="M1306" s="102" t="s">
        <v>3606</v>
      </c>
      <c r="N1306" s="102" t="s">
        <v>3607</v>
      </c>
      <c r="O1306" s="102" t="s">
        <v>383</v>
      </c>
      <c r="P1306" s="103">
        <v>1</v>
      </c>
      <c r="Q1306" s="105">
        <v>45000000</v>
      </c>
      <c r="R1306" s="103">
        <v>48</v>
      </c>
      <c r="S1306" s="105">
        <v>937500</v>
      </c>
      <c r="T1306" s="105">
        <v>34687500</v>
      </c>
      <c r="U1306" s="105">
        <v>0</v>
      </c>
      <c r="V1306" s="105">
        <v>0</v>
      </c>
      <c r="W1306" s="105">
        <v>0</v>
      </c>
      <c r="X1306" s="105">
        <v>0</v>
      </c>
      <c r="Y1306" s="105">
        <v>0</v>
      </c>
      <c r="Z1306" s="105">
        <v>0</v>
      </c>
      <c r="AA1306" s="105">
        <v>0</v>
      </c>
      <c r="AB1306" s="105">
        <v>0</v>
      </c>
      <c r="AC1306" s="8">
        <f t="shared" si="140"/>
        <v>34687500</v>
      </c>
      <c r="AD1306" s="8">
        <f t="shared" si="141"/>
        <v>10312500</v>
      </c>
      <c r="AE1306" s="8">
        <f t="shared" si="142"/>
        <v>0</v>
      </c>
      <c r="AF1306" s="106">
        <f t="shared" si="143"/>
        <v>0</v>
      </c>
      <c r="AG1306" s="8">
        <f t="shared" si="144"/>
        <v>0</v>
      </c>
      <c r="AH1306" s="8">
        <f>IF($O1306="Aktif",MAX(0,MIN($AE1306,$AD1306-SUM($AG1306:AG1306))),0)</f>
        <v>0</v>
      </c>
      <c r="AI1306" s="8">
        <f>IF($O1306="Aktif",MAX(0,MIN($AE1306,$AD1306-SUM($AG1306:AH1306))),0)</f>
        <v>0</v>
      </c>
      <c r="AJ1306" s="8">
        <f>IF($O1306="Aktif",MAX(0,MIN($AE1306,$AD1306-SUM($AG1306:AI1306))),0)</f>
        <v>0</v>
      </c>
      <c r="AK1306" s="8">
        <f>IF($O1306="Aktif",MAX(0,MIN($AE1306,$AD1306-SUM($AG1306:AJ1306))),0)</f>
        <v>0</v>
      </c>
      <c r="AL1306" s="8">
        <f>IF($O1306="Aktif",MAX(0,MIN($AE1306,$AD1306-SUM($AG1306:AK1306))),0)</f>
        <v>0</v>
      </c>
      <c r="AM1306" s="8">
        <f>IF($O1306="Aktif",MAX(0,MIN($AE1306,$AD1306-SUM($AG1306:AL1306))),0)</f>
        <v>0</v>
      </c>
      <c r="AN1306" s="8">
        <f>IF($O1306="Aktif",MAX(0,MIN($AE1306,$AD1306-SUM($AG1306:AM1306))),0)</f>
        <v>0</v>
      </c>
      <c r="AO1306" s="8">
        <f>IF($O1306="Aktif",MAX(0,MIN($AE1306,$AD1306-SUM($AG1306:AN1306))),0)</f>
        <v>0</v>
      </c>
      <c r="AP1306" s="8">
        <f>IF($O1306="Aktif",MAX(0,MIN($AE1306,$AD1306-SUM($AG1306:AO1306))),0)</f>
        <v>0</v>
      </c>
      <c r="AQ1306" s="8">
        <f>IF($O1306="Aktif",MAX(0,MIN($AE1306,$AD1306-SUM($AG1306:AP1306))),0)</f>
        <v>0</v>
      </c>
      <c r="AR1306" s="8">
        <f>IF($O1306="Aktif",MAX(0,MIN($AE1306,$AD1306-SUM($AG1306:AQ1306))),0)</f>
        <v>0</v>
      </c>
      <c r="AS1306" s="8">
        <f>IF($O1306="Aktif",MAX(0,MIN($AE1306,$AD1306-SUM($AG1306:AR1306))),0)</f>
        <v>0</v>
      </c>
      <c r="AT1306" s="8">
        <f>IF($O1306="Aktif",MAX(0,MIN($AE1306,$AD1306-SUM($AG1306:AS1306))),0)</f>
        <v>0</v>
      </c>
      <c r="AU1306" s="8">
        <f>IF($O1306="Aktif",MAX(0,MIN($AE1306,$AD1306-SUM($AG1306:AT1306))),0)</f>
        <v>0</v>
      </c>
      <c r="AV1306" s="8">
        <f>IF($O1306="Aktif",MAX(0,MIN($AE1306,$AD1306-SUM($AG1306:AU1306))),0)</f>
        <v>0</v>
      </c>
      <c r="AW1306" s="8">
        <f t="shared" si="145"/>
        <v>0</v>
      </c>
      <c r="AX1306" s="8">
        <f t="shared" si="146"/>
        <v>10312500</v>
      </c>
    </row>
    <row r="1307" spans="1:50" ht="15" customHeight="1" x14ac:dyDescent="0.35">
      <c r="A1307" s="102">
        <v>1301</v>
      </c>
      <c r="B1307" s="102" t="s">
        <v>3343</v>
      </c>
      <c r="C1307" s="103">
        <v>108</v>
      </c>
      <c r="D1307" s="102" t="s">
        <v>186</v>
      </c>
      <c r="E1307" s="102" t="s">
        <v>0</v>
      </c>
      <c r="F1307" s="102" t="s">
        <v>3116</v>
      </c>
      <c r="G1307" s="102" t="s">
        <v>3117</v>
      </c>
      <c r="H1307" s="102" t="s">
        <v>3118</v>
      </c>
      <c r="I1307" s="102" t="s">
        <v>63</v>
      </c>
      <c r="J1307" s="102"/>
      <c r="K1307" s="102"/>
      <c r="L1307" s="102" t="s">
        <v>2007</v>
      </c>
      <c r="M1307" s="102" t="s">
        <v>3606</v>
      </c>
      <c r="N1307" s="102" t="s">
        <v>3608</v>
      </c>
      <c r="O1307" s="102" t="s">
        <v>487</v>
      </c>
      <c r="P1307" s="103">
        <v>1</v>
      </c>
      <c r="Q1307" s="105">
        <v>-45000000</v>
      </c>
      <c r="R1307" s="102"/>
      <c r="S1307" s="105">
        <v>0</v>
      </c>
      <c r="T1307" s="105">
        <v>-34687500</v>
      </c>
      <c r="U1307" s="105">
        <v>0</v>
      </c>
      <c r="V1307" s="105">
        <v>0</v>
      </c>
      <c r="W1307" s="105">
        <v>0</v>
      </c>
      <c r="X1307" s="105">
        <v>0</v>
      </c>
      <c r="Y1307" s="105">
        <v>0</v>
      </c>
      <c r="Z1307" s="105">
        <v>0</v>
      </c>
      <c r="AA1307" s="105">
        <v>0</v>
      </c>
      <c r="AB1307" s="105">
        <v>0</v>
      </c>
      <c r="AC1307" s="8">
        <f t="shared" si="140"/>
        <v>-34687500</v>
      </c>
      <c r="AD1307" s="8">
        <f t="shared" si="141"/>
        <v>-10312500</v>
      </c>
      <c r="AE1307" s="8">
        <f t="shared" si="142"/>
        <v>0</v>
      </c>
      <c r="AF1307" s="106">
        <f t="shared" si="143"/>
        <v>0</v>
      </c>
      <c r="AG1307" s="8">
        <f t="shared" si="144"/>
        <v>0</v>
      </c>
      <c r="AH1307" s="8">
        <f>IF($O1307="Aktif",MAX(0,MIN($AE1307,$AD1307-SUM($AG1307:AG1307))),0)</f>
        <v>0</v>
      </c>
      <c r="AI1307" s="8">
        <f>IF($O1307="Aktif",MAX(0,MIN($AE1307,$AD1307-SUM($AG1307:AH1307))),0)</f>
        <v>0</v>
      </c>
      <c r="AJ1307" s="8">
        <f>IF($O1307="Aktif",MAX(0,MIN($AE1307,$AD1307-SUM($AG1307:AI1307))),0)</f>
        <v>0</v>
      </c>
      <c r="AK1307" s="8">
        <f>IF($O1307="Aktif",MAX(0,MIN($AE1307,$AD1307-SUM($AG1307:AJ1307))),0)</f>
        <v>0</v>
      </c>
      <c r="AL1307" s="8">
        <f>IF($O1307="Aktif",MAX(0,MIN($AE1307,$AD1307-SUM($AG1307:AK1307))),0)</f>
        <v>0</v>
      </c>
      <c r="AM1307" s="8">
        <f>IF($O1307="Aktif",MAX(0,MIN($AE1307,$AD1307-SUM($AG1307:AL1307))),0)</f>
        <v>0</v>
      </c>
      <c r="AN1307" s="8">
        <f>IF($O1307="Aktif",MAX(0,MIN($AE1307,$AD1307-SUM($AG1307:AM1307))),0)</f>
        <v>0</v>
      </c>
      <c r="AO1307" s="8">
        <f>IF($O1307="Aktif",MAX(0,MIN($AE1307,$AD1307-SUM($AG1307:AN1307))),0)</f>
        <v>0</v>
      </c>
      <c r="AP1307" s="8">
        <f>IF($O1307="Aktif",MAX(0,MIN($AE1307,$AD1307-SUM($AG1307:AO1307))),0)</f>
        <v>0</v>
      </c>
      <c r="AQ1307" s="8">
        <f>IF($O1307="Aktif",MAX(0,MIN($AE1307,$AD1307-SUM($AG1307:AP1307))),0)</f>
        <v>0</v>
      </c>
      <c r="AR1307" s="8">
        <f>IF($O1307="Aktif",MAX(0,MIN($AE1307,$AD1307-SUM($AG1307:AQ1307))),0)</f>
        <v>0</v>
      </c>
      <c r="AS1307" s="8">
        <f>IF($O1307="Aktif",MAX(0,MIN($AE1307,$AD1307-SUM($AG1307:AR1307))),0)</f>
        <v>0</v>
      </c>
      <c r="AT1307" s="8">
        <f>IF($O1307="Aktif",MAX(0,MIN($AE1307,$AD1307-SUM($AG1307:AS1307))),0)</f>
        <v>0</v>
      </c>
      <c r="AU1307" s="8">
        <f>IF($O1307="Aktif",MAX(0,MIN($AE1307,$AD1307-SUM($AG1307:AT1307))),0)</f>
        <v>0</v>
      </c>
      <c r="AV1307" s="8">
        <f>IF($O1307="Aktif",MAX(0,MIN($AE1307,$AD1307-SUM($AG1307:AU1307))),0)</f>
        <v>0</v>
      </c>
      <c r="AW1307" s="8">
        <f t="shared" si="145"/>
        <v>0</v>
      </c>
      <c r="AX1307" s="8">
        <f t="shared" si="146"/>
        <v>-10312500</v>
      </c>
    </row>
    <row r="1308" spans="1:50" ht="15" customHeight="1" x14ac:dyDescent="0.35">
      <c r="A1308" s="102">
        <v>1302</v>
      </c>
      <c r="B1308" s="102" t="s">
        <v>3343</v>
      </c>
      <c r="C1308" s="103">
        <v>109</v>
      </c>
      <c r="D1308" s="102" t="s">
        <v>186</v>
      </c>
      <c r="E1308" s="102" t="s">
        <v>479</v>
      </c>
      <c r="F1308" s="102" t="s">
        <v>3116</v>
      </c>
      <c r="G1308" s="102" t="s">
        <v>3117</v>
      </c>
      <c r="H1308" s="102" t="s">
        <v>3118</v>
      </c>
      <c r="I1308" s="102" t="s">
        <v>63</v>
      </c>
      <c r="J1308" s="102" t="s">
        <v>3609</v>
      </c>
      <c r="K1308" s="102"/>
      <c r="L1308" s="104">
        <v>43100</v>
      </c>
      <c r="M1308" s="102" t="s">
        <v>3610</v>
      </c>
      <c r="N1308" s="102" t="s">
        <v>3611</v>
      </c>
      <c r="O1308" s="102" t="s">
        <v>383</v>
      </c>
      <c r="P1308" s="103">
        <v>1</v>
      </c>
      <c r="Q1308" s="105">
        <v>475000000</v>
      </c>
      <c r="R1308" s="103">
        <v>48</v>
      </c>
      <c r="S1308" s="105">
        <v>9895833.3333333302</v>
      </c>
      <c r="T1308" s="105">
        <v>475000000</v>
      </c>
      <c r="U1308" s="105">
        <v>0</v>
      </c>
      <c r="V1308" s="105">
        <v>0</v>
      </c>
      <c r="W1308" s="105">
        <v>0</v>
      </c>
      <c r="X1308" s="105">
        <v>0</v>
      </c>
      <c r="Y1308" s="105">
        <v>0</v>
      </c>
      <c r="Z1308" s="105">
        <v>0</v>
      </c>
      <c r="AA1308" s="105">
        <v>0</v>
      </c>
      <c r="AB1308" s="105">
        <v>0</v>
      </c>
      <c r="AC1308" s="8">
        <f t="shared" si="140"/>
        <v>475000000</v>
      </c>
      <c r="AD1308" s="8">
        <f t="shared" si="141"/>
        <v>0</v>
      </c>
      <c r="AE1308" s="8">
        <f t="shared" si="142"/>
        <v>0</v>
      </c>
      <c r="AF1308" s="106">
        <f t="shared" si="143"/>
        <v>0</v>
      </c>
      <c r="AG1308" s="8">
        <f t="shared" si="144"/>
        <v>0</v>
      </c>
      <c r="AH1308" s="8">
        <f>IF($O1308="Aktif",MAX(0,MIN($AE1308,$AD1308-SUM($AG1308:AG1308))),0)</f>
        <v>0</v>
      </c>
      <c r="AI1308" s="8">
        <f>IF($O1308="Aktif",MAX(0,MIN($AE1308,$AD1308-SUM($AG1308:AH1308))),0)</f>
        <v>0</v>
      </c>
      <c r="AJ1308" s="8">
        <f>IF($O1308="Aktif",MAX(0,MIN($AE1308,$AD1308-SUM($AG1308:AI1308))),0)</f>
        <v>0</v>
      </c>
      <c r="AK1308" s="8">
        <f>IF($O1308="Aktif",MAX(0,MIN($AE1308,$AD1308-SUM($AG1308:AJ1308))),0)</f>
        <v>0</v>
      </c>
      <c r="AL1308" s="8">
        <f>IF($O1308="Aktif",MAX(0,MIN($AE1308,$AD1308-SUM($AG1308:AK1308))),0)</f>
        <v>0</v>
      </c>
      <c r="AM1308" s="8">
        <f>IF($O1308="Aktif",MAX(0,MIN($AE1308,$AD1308-SUM($AG1308:AL1308))),0)</f>
        <v>0</v>
      </c>
      <c r="AN1308" s="8">
        <f>IF($O1308="Aktif",MAX(0,MIN($AE1308,$AD1308-SUM($AG1308:AM1308))),0)</f>
        <v>0</v>
      </c>
      <c r="AO1308" s="8">
        <f>IF($O1308="Aktif",MAX(0,MIN($AE1308,$AD1308-SUM($AG1308:AN1308))),0)</f>
        <v>0</v>
      </c>
      <c r="AP1308" s="8">
        <f>IF($O1308="Aktif",MAX(0,MIN($AE1308,$AD1308-SUM($AG1308:AO1308))),0)</f>
        <v>0</v>
      </c>
      <c r="AQ1308" s="8">
        <f>IF($O1308="Aktif",MAX(0,MIN($AE1308,$AD1308-SUM($AG1308:AP1308))),0)</f>
        <v>0</v>
      </c>
      <c r="AR1308" s="8">
        <f>IF($O1308="Aktif",MAX(0,MIN($AE1308,$AD1308-SUM($AG1308:AQ1308))),0)</f>
        <v>0</v>
      </c>
      <c r="AS1308" s="8">
        <f>IF($O1308="Aktif",MAX(0,MIN($AE1308,$AD1308-SUM($AG1308:AR1308))),0)</f>
        <v>0</v>
      </c>
      <c r="AT1308" s="8">
        <f>IF($O1308="Aktif",MAX(0,MIN($AE1308,$AD1308-SUM($AG1308:AS1308))),0)</f>
        <v>0</v>
      </c>
      <c r="AU1308" s="8">
        <f>IF($O1308="Aktif",MAX(0,MIN($AE1308,$AD1308-SUM($AG1308:AT1308))),0)</f>
        <v>0</v>
      </c>
      <c r="AV1308" s="8">
        <f>IF($O1308="Aktif",MAX(0,MIN($AE1308,$AD1308-SUM($AG1308:AU1308))),0)</f>
        <v>0</v>
      </c>
      <c r="AW1308" s="8">
        <f t="shared" si="145"/>
        <v>0</v>
      </c>
      <c r="AX1308" s="8">
        <f t="shared" si="146"/>
        <v>0</v>
      </c>
    </row>
    <row r="1309" spans="1:50" ht="15" customHeight="1" x14ac:dyDescent="0.35">
      <c r="A1309" s="102">
        <v>1303</v>
      </c>
      <c r="B1309" s="102" t="s">
        <v>3343</v>
      </c>
      <c r="C1309" s="103">
        <v>110</v>
      </c>
      <c r="D1309" s="102" t="s">
        <v>186</v>
      </c>
      <c r="E1309" s="102" t="s">
        <v>479</v>
      </c>
      <c r="F1309" s="102" t="s">
        <v>3116</v>
      </c>
      <c r="G1309" s="102" t="s">
        <v>3117</v>
      </c>
      <c r="H1309" s="102" t="s">
        <v>3118</v>
      </c>
      <c r="I1309" s="102" t="s">
        <v>63</v>
      </c>
      <c r="J1309" s="102" t="s">
        <v>3612</v>
      </c>
      <c r="K1309" s="102"/>
      <c r="L1309" s="104">
        <v>43100</v>
      </c>
      <c r="M1309" s="102" t="s">
        <v>3613</v>
      </c>
      <c r="N1309" s="102" t="s">
        <v>3614</v>
      </c>
      <c r="O1309" s="102" t="s">
        <v>383</v>
      </c>
      <c r="P1309" s="103">
        <v>1</v>
      </c>
      <c r="Q1309" s="105">
        <v>395000000</v>
      </c>
      <c r="R1309" s="103">
        <v>48</v>
      </c>
      <c r="S1309" s="105">
        <v>8229166.6666666698</v>
      </c>
      <c r="T1309" s="105">
        <v>395000000</v>
      </c>
      <c r="U1309" s="105">
        <v>0</v>
      </c>
      <c r="V1309" s="105">
        <v>0</v>
      </c>
      <c r="W1309" s="105">
        <v>0</v>
      </c>
      <c r="X1309" s="105">
        <v>0</v>
      </c>
      <c r="Y1309" s="105">
        <v>0</v>
      </c>
      <c r="Z1309" s="105">
        <v>0</v>
      </c>
      <c r="AA1309" s="105">
        <v>0</v>
      </c>
      <c r="AB1309" s="105">
        <v>0</v>
      </c>
      <c r="AC1309" s="8">
        <f t="shared" si="140"/>
        <v>395000000</v>
      </c>
      <c r="AD1309" s="8">
        <f t="shared" si="141"/>
        <v>0</v>
      </c>
      <c r="AE1309" s="8">
        <f t="shared" si="142"/>
        <v>0</v>
      </c>
      <c r="AF1309" s="106">
        <f t="shared" si="143"/>
        <v>0</v>
      </c>
      <c r="AG1309" s="8">
        <f t="shared" si="144"/>
        <v>0</v>
      </c>
      <c r="AH1309" s="8">
        <f>IF($O1309="Aktif",MAX(0,MIN($AE1309,$AD1309-SUM($AG1309:AG1309))),0)</f>
        <v>0</v>
      </c>
      <c r="AI1309" s="8">
        <f>IF($O1309="Aktif",MAX(0,MIN($AE1309,$AD1309-SUM($AG1309:AH1309))),0)</f>
        <v>0</v>
      </c>
      <c r="AJ1309" s="8">
        <f>IF($O1309="Aktif",MAX(0,MIN($AE1309,$AD1309-SUM($AG1309:AI1309))),0)</f>
        <v>0</v>
      </c>
      <c r="AK1309" s="8">
        <f>IF($O1309="Aktif",MAX(0,MIN($AE1309,$AD1309-SUM($AG1309:AJ1309))),0)</f>
        <v>0</v>
      </c>
      <c r="AL1309" s="8">
        <f>IF($O1309="Aktif",MAX(0,MIN($AE1309,$AD1309-SUM($AG1309:AK1309))),0)</f>
        <v>0</v>
      </c>
      <c r="AM1309" s="8">
        <f>IF($O1309="Aktif",MAX(0,MIN($AE1309,$AD1309-SUM($AG1309:AL1309))),0)</f>
        <v>0</v>
      </c>
      <c r="AN1309" s="8">
        <f>IF($O1309="Aktif",MAX(0,MIN($AE1309,$AD1309-SUM($AG1309:AM1309))),0)</f>
        <v>0</v>
      </c>
      <c r="AO1309" s="8">
        <f>IF($O1309="Aktif",MAX(0,MIN($AE1309,$AD1309-SUM($AG1309:AN1309))),0)</f>
        <v>0</v>
      </c>
      <c r="AP1309" s="8">
        <f>IF($O1309="Aktif",MAX(0,MIN($AE1309,$AD1309-SUM($AG1309:AO1309))),0)</f>
        <v>0</v>
      </c>
      <c r="AQ1309" s="8">
        <f>IF($O1309="Aktif",MAX(0,MIN($AE1309,$AD1309-SUM($AG1309:AP1309))),0)</f>
        <v>0</v>
      </c>
      <c r="AR1309" s="8">
        <f>IF($O1309="Aktif",MAX(0,MIN($AE1309,$AD1309-SUM($AG1309:AQ1309))),0)</f>
        <v>0</v>
      </c>
      <c r="AS1309" s="8">
        <f>IF($O1309="Aktif",MAX(0,MIN($AE1309,$AD1309-SUM($AG1309:AR1309))),0)</f>
        <v>0</v>
      </c>
      <c r="AT1309" s="8">
        <f>IF($O1309="Aktif",MAX(0,MIN($AE1309,$AD1309-SUM($AG1309:AS1309))),0)</f>
        <v>0</v>
      </c>
      <c r="AU1309" s="8">
        <f>IF($O1309="Aktif",MAX(0,MIN($AE1309,$AD1309-SUM($AG1309:AT1309))),0)</f>
        <v>0</v>
      </c>
      <c r="AV1309" s="8">
        <f>IF($O1309="Aktif",MAX(0,MIN($AE1309,$AD1309-SUM($AG1309:AU1309))),0)</f>
        <v>0</v>
      </c>
      <c r="AW1309" s="8">
        <f t="shared" si="145"/>
        <v>0</v>
      </c>
      <c r="AX1309" s="8">
        <f t="shared" si="146"/>
        <v>0</v>
      </c>
    </row>
    <row r="1310" spans="1:50" ht="15" customHeight="1" x14ac:dyDescent="0.35">
      <c r="A1310" s="102">
        <v>1304</v>
      </c>
      <c r="B1310" s="102" t="s">
        <v>3343</v>
      </c>
      <c r="C1310" s="103">
        <v>111</v>
      </c>
      <c r="D1310" s="102" t="s">
        <v>186</v>
      </c>
      <c r="E1310" s="102" t="s">
        <v>479</v>
      </c>
      <c r="F1310" s="102" t="s">
        <v>3116</v>
      </c>
      <c r="G1310" s="102" t="s">
        <v>3117</v>
      </c>
      <c r="H1310" s="102" t="s">
        <v>3118</v>
      </c>
      <c r="I1310" s="102" t="s">
        <v>63</v>
      </c>
      <c r="J1310" s="102" t="s">
        <v>3615</v>
      </c>
      <c r="K1310" s="102"/>
      <c r="L1310" s="104">
        <v>43131</v>
      </c>
      <c r="M1310" s="102" t="s">
        <v>3616</v>
      </c>
      <c r="N1310" s="102" t="s">
        <v>3617</v>
      </c>
      <c r="O1310" s="102" t="s">
        <v>383</v>
      </c>
      <c r="P1310" s="103">
        <v>1</v>
      </c>
      <c r="Q1310" s="105">
        <v>80000000</v>
      </c>
      <c r="R1310" s="103">
        <v>48</v>
      </c>
      <c r="S1310" s="105">
        <v>1666666.66666667</v>
      </c>
      <c r="T1310" s="105">
        <v>80000000</v>
      </c>
      <c r="U1310" s="105">
        <v>0</v>
      </c>
      <c r="V1310" s="105">
        <v>0</v>
      </c>
      <c r="W1310" s="105">
        <v>0</v>
      </c>
      <c r="X1310" s="105">
        <v>0</v>
      </c>
      <c r="Y1310" s="105">
        <v>0</v>
      </c>
      <c r="Z1310" s="105">
        <v>0</v>
      </c>
      <c r="AA1310" s="105">
        <v>0</v>
      </c>
      <c r="AB1310" s="105">
        <v>0</v>
      </c>
      <c r="AC1310" s="8">
        <f t="shared" si="140"/>
        <v>80000000</v>
      </c>
      <c r="AD1310" s="8">
        <f t="shared" si="141"/>
        <v>0</v>
      </c>
      <c r="AE1310" s="8">
        <f t="shared" si="142"/>
        <v>0</v>
      </c>
      <c r="AF1310" s="106">
        <f t="shared" si="143"/>
        <v>0</v>
      </c>
      <c r="AG1310" s="8">
        <f t="shared" si="144"/>
        <v>0</v>
      </c>
      <c r="AH1310" s="8">
        <f>IF($O1310="Aktif",MAX(0,MIN($AE1310,$AD1310-SUM($AG1310:AG1310))),0)</f>
        <v>0</v>
      </c>
      <c r="AI1310" s="8">
        <f>IF($O1310="Aktif",MAX(0,MIN($AE1310,$AD1310-SUM($AG1310:AH1310))),0)</f>
        <v>0</v>
      </c>
      <c r="AJ1310" s="8">
        <f>IF($O1310="Aktif",MAX(0,MIN($AE1310,$AD1310-SUM($AG1310:AI1310))),0)</f>
        <v>0</v>
      </c>
      <c r="AK1310" s="8">
        <f>IF($O1310="Aktif",MAX(0,MIN($AE1310,$AD1310-SUM($AG1310:AJ1310))),0)</f>
        <v>0</v>
      </c>
      <c r="AL1310" s="8">
        <f>IF($O1310="Aktif",MAX(0,MIN($AE1310,$AD1310-SUM($AG1310:AK1310))),0)</f>
        <v>0</v>
      </c>
      <c r="AM1310" s="8">
        <f>IF($O1310="Aktif",MAX(0,MIN($AE1310,$AD1310-SUM($AG1310:AL1310))),0)</f>
        <v>0</v>
      </c>
      <c r="AN1310" s="8">
        <f>IF($O1310="Aktif",MAX(0,MIN($AE1310,$AD1310-SUM($AG1310:AM1310))),0)</f>
        <v>0</v>
      </c>
      <c r="AO1310" s="8">
        <f>IF($O1310="Aktif",MAX(0,MIN($AE1310,$AD1310-SUM($AG1310:AN1310))),0)</f>
        <v>0</v>
      </c>
      <c r="AP1310" s="8">
        <f>IF($O1310="Aktif",MAX(0,MIN($AE1310,$AD1310-SUM($AG1310:AO1310))),0)</f>
        <v>0</v>
      </c>
      <c r="AQ1310" s="8">
        <f>IF($O1310="Aktif",MAX(0,MIN($AE1310,$AD1310-SUM($AG1310:AP1310))),0)</f>
        <v>0</v>
      </c>
      <c r="AR1310" s="8">
        <f>IF($O1310="Aktif",MAX(0,MIN($AE1310,$AD1310-SUM($AG1310:AQ1310))),0)</f>
        <v>0</v>
      </c>
      <c r="AS1310" s="8">
        <f>IF($O1310="Aktif",MAX(0,MIN($AE1310,$AD1310-SUM($AG1310:AR1310))),0)</f>
        <v>0</v>
      </c>
      <c r="AT1310" s="8">
        <f>IF($O1310="Aktif",MAX(0,MIN($AE1310,$AD1310-SUM($AG1310:AS1310))),0)</f>
        <v>0</v>
      </c>
      <c r="AU1310" s="8">
        <f>IF($O1310="Aktif",MAX(0,MIN($AE1310,$AD1310-SUM($AG1310:AT1310))),0)</f>
        <v>0</v>
      </c>
      <c r="AV1310" s="8">
        <f>IF($O1310="Aktif",MAX(0,MIN($AE1310,$AD1310-SUM($AG1310:AU1310))),0)</f>
        <v>0</v>
      </c>
      <c r="AW1310" s="8">
        <f t="shared" si="145"/>
        <v>0</v>
      </c>
      <c r="AX1310" s="8">
        <f t="shared" si="146"/>
        <v>0</v>
      </c>
    </row>
    <row r="1311" spans="1:50" ht="15" customHeight="1" x14ac:dyDescent="0.35">
      <c r="A1311" s="102">
        <v>1305</v>
      </c>
      <c r="B1311" s="102" t="s">
        <v>3343</v>
      </c>
      <c r="C1311" s="103">
        <v>112</v>
      </c>
      <c r="D1311" s="102" t="s">
        <v>186</v>
      </c>
      <c r="E1311" s="102" t="s">
        <v>479</v>
      </c>
      <c r="F1311" s="102" t="s">
        <v>3116</v>
      </c>
      <c r="G1311" s="102" t="s">
        <v>3117</v>
      </c>
      <c r="H1311" s="102" t="s">
        <v>3118</v>
      </c>
      <c r="I1311" s="102" t="s">
        <v>63</v>
      </c>
      <c r="J1311" s="102" t="s">
        <v>3618</v>
      </c>
      <c r="K1311" s="102"/>
      <c r="L1311" s="104">
        <v>43131</v>
      </c>
      <c r="M1311" s="102" t="s">
        <v>3619</v>
      </c>
      <c r="N1311" s="102" t="s">
        <v>3620</v>
      </c>
      <c r="O1311" s="102" t="s">
        <v>383</v>
      </c>
      <c r="P1311" s="103">
        <v>1</v>
      </c>
      <c r="Q1311" s="105">
        <v>73500000</v>
      </c>
      <c r="R1311" s="103">
        <v>48</v>
      </c>
      <c r="S1311" s="105">
        <v>1531250</v>
      </c>
      <c r="T1311" s="105">
        <v>73500000</v>
      </c>
      <c r="U1311" s="105">
        <v>0</v>
      </c>
      <c r="V1311" s="105">
        <v>0</v>
      </c>
      <c r="W1311" s="105">
        <v>0</v>
      </c>
      <c r="X1311" s="105">
        <v>0</v>
      </c>
      <c r="Y1311" s="105">
        <v>0</v>
      </c>
      <c r="Z1311" s="105">
        <v>0</v>
      </c>
      <c r="AA1311" s="105">
        <v>0</v>
      </c>
      <c r="AB1311" s="105">
        <v>0</v>
      </c>
      <c r="AC1311" s="8">
        <f t="shared" si="140"/>
        <v>73500000</v>
      </c>
      <c r="AD1311" s="8">
        <f t="shared" si="141"/>
        <v>0</v>
      </c>
      <c r="AE1311" s="8">
        <f t="shared" si="142"/>
        <v>0</v>
      </c>
      <c r="AF1311" s="106">
        <f t="shared" si="143"/>
        <v>0</v>
      </c>
      <c r="AG1311" s="8">
        <f t="shared" si="144"/>
        <v>0</v>
      </c>
      <c r="AH1311" s="8">
        <f>IF($O1311="Aktif",MAX(0,MIN($AE1311,$AD1311-SUM($AG1311:AG1311))),0)</f>
        <v>0</v>
      </c>
      <c r="AI1311" s="8">
        <f>IF($O1311="Aktif",MAX(0,MIN($AE1311,$AD1311-SUM($AG1311:AH1311))),0)</f>
        <v>0</v>
      </c>
      <c r="AJ1311" s="8">
        <f>IF($O1311="Aktif",MAX(0,MIN($AE1311,$AD1311-SUM($AG1311:AI1311))),0)</f>
        <v>0</v>
      </c>
      <c r="AK1311" s="8">
        <f>IF($O1311="Aktif",MAX(0,MIN($AE1311,$AD1311-SUM($AG1311:AJ1311))),0)</f>
        <v>0</v>
      </c>
      <c r="AL1311" s="8">
        <f>IF($O1311="Aktif",MAX(0,MIN($AE1311,$AD1311-SUM($AG1311:AK1311))),0)</f>
        <v>0</v>
      </c>
      <c r="AM1311" s="8">
        <f>IF($O1311="Aktif",MAX(0,MIN($AE1311,$AD1311-SUM($AG1311:AL1311))),0)</f>
        <v>0</v>
      </c>
      <c r="AN1311" s="8">
        <f>IF($O1311="Aktif",MAX(0,MIN($AE1311,$AD1311-SUM($AG1311:AM1311))),0)</f>
        <v>0</v>
      </c>
      <c r="AO1311" s="8">
        <f>IF($O1311="Aktif",MAX(0,MIN($AE1311,$AD1311-SUM($AG1311:AN1311))),0)</f>
        <v>0</v>
      </c>
      <c r="AP1311" s="8">
        <f>IF($O1311="Aktif",MAX(0,MIN($AE1311,$AD1311-SUM($AG1311:AO1311))),0)</f>
        <v>0</v>
      </c>
      <c r="AQ1311" s="8">
        <f>IF($O1311="Aktif",MAX(0,MIN($AE1311,$AD1311-SUM($AG1311:AP1311))),0)</f>
        <v>0</v>
      </c>
      <c r="AR1311" s="8">
        <f>IF($O1311="Aktif",MAX(0,MIN($AE1311,$AD1311-SUM($AG1311:AQ1311))),0)</f>
        <v>0</v>
      </c>
      <c r="AS1311" s="8">
        <f>IF($O1311="Aktif",MAX(0,MIN($AE1311,$AD1311-SUM($AG1311:AR1311))),0)</f>
        <v>0</v>
      </c>
      <c r="AT1311" s="8">
        <f>IF($O1311="Aktif",MAX(0,MIN($AE1311,$AD1311-SUM($AG1311:AS1311))),0)</f>
        <v>0</v>
      </c>
      <c r="AU1311" s="8">
        <f>IF($O1311="Aktif",MAX(0,MIN($AE1311,$AD1311-SUM($AG1311:AT1311))),0)</f>
        <v>0</v>
      </c>
      <c r="AV1311" s="8">
        <f>IF($O1311="Aktif",MAX(0,MIN($AE1311,$AD1311-SUM($AG1311:AU1311))),0)</f>
        <v>0</v>
      </c>
      <c r="AW1311" s="8">
        <f t="shared" si="145"/>
        <v>0</v>
      </c>
      <c r="AX1311" s="8">
        <f t="shared" si="146"/>
        <v>0</v>
      </c>
    </row>
    <row r="1312" spans="1:50" ht="15" customHeight="1" x14ac:dyDescent="0.35">
      <c r="A1312" s="102">
        <v>1306</v>
      </c>
      <c r="B1312" s="102" t="s">
        <v>3343</v>
      </c>
      <c r="C1312" s="103">
        <v>113</v>
      </c>
      <c r="D1312" s="102" t="s">
        <v>186</v>
      </c>
      <c r="E1312" s="102" t="s">
        <v>0</v>
      </c>
      <c r="F1312" s="102" t="s">
        <v>3116</v>
      </c>
      <c r="G1312" s="102" t="s">
        <v>3117</v>
      </c>
      <c r="H1312" s="102" t="s">
        <v>3118</v>
      </c>
      <c r="I1312" s="102" t="s">
        <v>63</v>
      </c>
      <c r="J1312" s="102"/>
      <c r="K1312" s="102"/>
      <c r="L1312" s="104">
        <v>45049</v>
      </c>
      <c r="M1312" s="102" t="s">
        <v>3619</v>
      </c>
      <c r="N1312" s="102" t="s">
        <v>3620</v>
      </c>
      <c r="O1312" s="102" t="s">
        <v>487</v>
      </c>
      <c r="P1312" s="103"/>
      <c r="Q1312" s="105">
        <v>-73500000</v>
      </c>
      <c r="R1312" s="102"/>
      <c r="S1312" s="105">
        <v>0</v>
      </c>
      <c r="T1312" s="105">
        <v>-73500000</v>
      </c>
      <c r="U1312" s="105">
        <v>0</v>
      </c>
      <c r="V1312" s="105">
        <v>0</v>
      </c>
      <c r="W1312" s="105">
        <v>0</v>
      </c>
      <c r="X1312" s="105">
        <v>0</v>
      </c>
      <c r="Y1312" s="105">
        <v>0</v>
      </c>
      <c r="Z1312" s="105">
        <v>0</v>
      </c>
      <c r="AA1312" s="105">
        <v>0</v>
      </c>
      <c r="AB1312" s="105">
        <v>0</v>
      </c>
      <c r="AC1312" s="8">
        <f t="shared" si="140"/>
        <v>-73500000</v>
      </c>
      <c r="AD1312" s="8">
        <f t="shared" si="141"/>
        <v>0</v>
      </c>
      <c r="AE1312" s="8">
        <f t="shared" si="142"/>
        <v>0</v>
      </c>
      <c r="AF1312" s="106">
        <f t="shared" si="143"/>
        <v>0</v>
      </c>
      <c r="AG1312" s="8">
        <f t="shared" si="144"/>
        <v>0</v>
      </c>
      <c r="AH1312" s="8">
        <f>IF($O1312="Aktif",MAX(0,MIN($AE1312,$AD1312-SUM($AG1312:AG1312))),0)</f>
        <v>0</v>
      </c>
      <c r="AI1312" s="8">
        <f>IF($O1312="Aktif",MAX(0,MIN($AE1312,$AD1312-SUM($AG1312:AH1312))),0)</f>
        <v>0</v>
      </c>
      <c r="AJ1312" s="8">
        <f>IF($O1312="Aktif",MAX(0,MIN($AE1312,$AD1312-SUM($AG1312:AI1312))),0)</f>
        <v>0</v>
      </c>
      <c r="AK1312" s="8">
        <f>IF($O1312="Aktif",MAX(0,MIN($AE1312,$AD1312-SUM($AG1312:AJ1312))),0)</f>
        <v>0</v>
      </c>
      <c r="AL1312" s="8">
        <f>IF($O1312="Aktif",MAX(0,MIN($AE1312,$AD1312-SUM($AG1312:AK1312))),0)</f>
        <v>0</v>
      </c>
      <c r="AM1312" s="8">
        <f>IF($O1312="Aktif",MAX(0,MIN($AE1312,$AD1312-SUM($AG1312:AL1312))),0)</f>
        <v>0</v>
      </c>
      <c r="AN1312" s="8">
        <f>IF($O1312="Aktif",MAX(0,MIN($AE1312,$AD1312-SUM($AG1312:AM1312))),0)</f>
        <v>0</v>
      </c>
      <c r="AO1312" s="8">
        <f>IF($O1312="Aktif",MAX(0,MIN($AE1312,$AD1312-SUM($AG1312:AN1312))),0)</f>
        <v>0</v>
      </c>
      <c r="AP1312" s="8">
        <f>IF($O1312="Aktif",MAX(0,MIN($AE1312,$AD1312-SUM($AG1312:AO1312))),0)</f>
        <v>0</v>
      </c>
      <c r="AQ1312" s="8">
        <f>IF($O1312="Aktif",MAX(0,MIN($AE1312,$AD1312-SUM($AG1312:AP1312))),0)</f>
        <v>0</v>
      </c>
      <c r="AR1312" s="8">
        <f>IF($O1312="Aktif",MAX(0,MIN($AE1312,$AD1312-SUM($AG1312:AQ1312))),0)</f>
        <v>0</v>
      </c>
      <c r="AS1312" s="8">
        <f>IF($O1312="Aktif",MAX(0,MIN($AE1312,$AD1312-SUM($AG1312:AR1312))),0)</f>
        <v>0</v>
      </c>
      <c r="AT1312" s="8">
        <f>IF($O1312="Aktif",MAX(0,MIN($AE1312,$AD1312-SUM($AG1312:AS1312))),0)</f>
        <v>0</v>
      </c>
      <c r="AU1312" s="8">
        <f>IF($O1312="Aktif",MAX(0,MIN($AE1312,$AD1312-SUM($AG1312:AT1312))),0)</f>
        <v>0</v>
      </c>
      <c r="AV1312" s="8">
        <f>IF($O1312="Aktif",MAX(0,MIN($AE1312,$AD1312-SUM($AG1312:AU1312))),0)</f>
        <v>0</v>
      </c>
      <c r="AW1312" s="8">
        <f t="shared" si="145"/>
        <v>0</v>
      </c>
      <c r="AX1312" s="8">
        <f t="shared" si="146"/>
        <v>0</v>
      </c>
    </row>
    <row r="1313" spans="1:50" ht="15" customHeight="1" x14ac:dyDescent="0.35">
      <c r="A1313" s="102">
        <v>1307</v>
      </c>
      <c r="B1313" s="102" t="s">
        <v>3343</v>
      </c>
      <c r="C1313" s="103">
        <v>114</v>
      </c>
      <c r="D1313" s="102" t="s">
        <v>186</v>
      </c>
      <c r="E1313" s="102" t="s">
        <v>479</v>
      </c>
      <c r="F1313" s="102" t="s">
        <v>3116</v>
      </c>
      <c r="G1313" s="102" t="s">
        <v>3117</v>
      </c>
      <c r="H1313" s="102" t="s">
        <v>3118</v>
      </c>
      <c r="I1313" s="102" t="s">
        <v>63</v>
      </c>
      <c r="J1313" s="102" t="s">
        <v>3621</v>
      </c>
      <c r="K1313" s="102"/>
      <c r="L1313" s="104">
        <v>43158</v>
      </c>
      <c r="M1313" s="102" t="s">
        <v>3622</v>
      </c>
      <c r="N1313" s="102" t="s">
        <v>3623</v>
      </c>
      <c r="O1313" s="102" t="s">
        <v>383</v>
      </c>
      <c r="P1313" s="103">
        <v>1</v>
      </c>
      <c r="Q1313" s="105">
        <v>13818182</v>
      </c>
      <c r="R1313" s="103">
        <v>48</v>
      </c>
      <c r="S1313" s="105">
        <v>287878.79166666698</v>
      </c>
      <c r="T1313" s="105">
        <v>13818182</v>
      </c>
      <c r="U1313" s="105">
        <v>0</v>
      </c>
      <c r="V1313" s="105">
        <v>0</v>
      </c>
      <c r="W1313" s="105">
        <v>0</v>
      </c>
      <c r="X1313" s="105">
        <v>0</v>
      </c>
      <c r="Y1313" s="105">
        <v>0</v>
      </c>
      <c r="Z1313" s="105">
        <v>0</v>
      </c>
      <c r="AA1313" s="105">
        <v>0</v>
      </c>
      <c r="AB1313" s="105">
        <v>0</v>
      </c>
      <c r="AC1313" s="8">
        <f t="shared" si="140"/>
        <v>13818182</v>
      </c>
      <c r="AD1313" s="8">
        <f t="shared" si="141"/>
        <v>0</v>
      </c>
      <c r="AE1313" s="8">
        <f t="shared" si="142"/>
        <v>0</v>
      </c>
      <c r="AF1313" s="106">
        <f t="shared" si="143"/>
        <v>0</v>
      </c>
      <c r="AG1313" s="8">
        <f t="shared" si="144"/>
        <v>0</v>
      </c>
      <c r="AH1313" s="8">
        <f>IF($O1313="Aktif",MAX(0,MIN($AE1313,$AD1313-SUM($AG1313:AG1313))),0)</f>
        <v>0</v>
      </c>
      <c r="AI1313" s="8">
        <f>IF($O1313="Aktif",MAX(0,MIN($AE1313,$AD1313-SUM($AG1313:AH1313))),0)</f>
        <v>0</v>
      </c>
      <c r="AJ1313" s="8">
        <f>IF($O1313="Aktif",MAX(0,MIN($AE1313,$AD1313-SUM($AG1313:AI1313))),0)</f>
        <v>0</v>
      </c>
      <c r="AK1313" s="8">
        <f>IF($O1313="Aktif",MAX(0,MIN($AE1313,$AD1313-SUM($AG1313:AJ1313))),0)</f>
        <v>0</v>
      </c>
      <c r="AL1313" s="8">
        <f>IF($O1313="Aktif",MAX(0,MIN($AE1313,$AD1313-SUM($AG1313:AK1313))),0)</f>
        <v>0</v>
      </c>
      <c r="AM1313" s="8">
        <f>IF($O1313="Aktif",MAX(0,MIN($AE1313,$AD1313-SUM($AG1313:AL1313))),0)</f>
        <v>0</v>
      </c>
      <c r="AN1313" s="8">
        <f>IF($O1313="Aktif",MAX(0,MIN($AE1313,$AD1313-SUM($AG1313:AM1313))),0)</f>
        <v>0</v>
      </c>
      <c r="AO1313" s="8">
        <f>IF($O1313="Aktif",MAX(0,MIN($AE1313,$AD1313-SUM($AG1313:AN1313))),0)</f>
        <v>0</v>
      </c>
      <c r="AP1313" s="8">
        <f>IF($O1313="Aktif",MAX(0,MIN($AE1313,$AD1313-SUM($AG1313:AO1313))),0)</f>
        <v>0</v>
      </c>
      <c r="AQ1313" s="8">
        <f>IF($O1313="Aktif",MAX(0,MIN($AE1313,$AD1313-SUM($AG1313:AP1313))),0)</f>
        <v>0</v>
      </c>
      <c r="AR1313" s="8">
        <f>IF($O1313="Aktif",MAX(0,MIN($AE1313,$AD1313-SUM($AG1313:AQ1313))),0)</f>
        <v>0</v>
      </c>
      <c r="AS1313" s="8">
        <f>IF($O1313="Aktif",MAX(0,MIN($AE1313,$AD1313-SUM($AG1313:AR1313))),0)</f>
        <v>0</v>
      </c>
      <c r="AT1313" s="8">
        <f>IF($O1313="Aktif",MAX(0,MIN($AE1313,$AD1313-SUM($AG1313:AS1313))),0)</f>
        <v>0</v>
      </c>
      <c r="AU1313" s="8">
        <f>IF($O1313="Aktif",MAX(0,MIN($AE1313,$AD1313-SUM($AG1313:AT1313))),0)</f>
        <v>0</v>
      </c>
      <c r="AV1313" s="8">
        <f>IF($O1313="Aktif",MAX(0,MIN($AE1313,$AD1313-SUM($AG1313:AU1313))),0)</f>
        <v>0</v>
      </c>
      <c r="AW1313" s="8">
        <f t="shared" si="145"/>
        <v>0</v>
      </c>
      <c r="AX1313" s="8">
        <f t="shared" si="146"/>
        <v>0</v>
      </c>
    </row>
    <row r="1314" spans="1:50" ht="15" customHeight="1" x14ac:dyDescent="0.35">
      <c r="A1314" s="102">
        <v>1308</v>
      </c>
      <c r="B1314" s="102" t="s">
        <v>3343</v>
      </c>
      <c r="C1314" s="103">
        <v>115</v>
      </c>
      <c r="D1314" s="102" t="s">
        <v>186</v>
      </c>
      <c r="E1314" s="102" t="s">
        <v>0</v>
      </c>
      <c r="F1314" s="102" t="s">
        <v>3116</v>
      </c>
      <c r="G1314" s="102" t="s">
        <v>3117</v>
      </c>
      <c r="H1314" s="102" t="s">
        <v>3118</v>
      </c>
      <c r="I1314" s="102" t="s">
        <v>63</v>
      </c>
      <c r="J1314" s="102"/>
      <c r="K1314" s="102"/>
      <c r="L1314" s="104">
        <v>45049</v>
      </c>
      <c r="M1314" s="102" t="s">
        <v>3622</v>
      </c>
      <c r="N1314" s="102" t="s">
        <v>3623</v>
      </c>
      <c r="O1314" s="102" t="s">
        <v>487</v>
      </c>
      <c r="P1314" s="103"/>
      <c r="Q1314" s="105">
        <v>-13818182</v>
      </c>
      <c r="R1314" s="102"/>
      <c r="S1314" s="105">
        <v>0</v>
      </c>
      <c r="T1314" s="105">
        <v>-13818182</v>
      </c>
      <c r="U1314" s="105">
        <v>0</v>
      </c>
      <c r="V1314" s="105">
        <v>0</v>
      </c>
      <c r="W1314" s="105">
        <v>0</v>
      </c>
      <c r="X1314" s="105">
        <v>0</v>
      </c>
      <c r="Y1314" s="105">
        <v>0</v>
      </c>
      <c r="Z1314" s="105">
        <v>0</v>
      </c>
      <c r="AA1314" s="105">
        <v>0</v>
      </c>
      <c r="AB1314" s="105">
        <v>0</v>
      </c>
      <c r="AC1314" s="8">
        <f t="shared" si="140"/>
        <v>-13818182</v>
      </c>
      <c r="AD1314" s="8">
        <f t="shared" si="141"/>
        <v>0</v>
      </c>
      <c r="AE1314" s="8">
        <f t="shared" si="142"/>
        <v>0</v>
      </c>
      <c r="AF1314" s="106">
        <f t="shared" si="143"/>
        <v>0</v>
      </c>
      <c r="AG1314" s="8">
        <f t="shared" si="144"/>
        <v>0</v>
      </c>
      <c r="AH1314" s="8">
        <f>IF($O1314="Aktif",MAX(0,MIN($AE1314,$AD1314-SUM($AG1314:AG1314))),0)</f>
        <v>0</v>
      </c>
      <c r="AI1314" s="8">
        <f>IF($O1314="Aktif",MAX(0,MIN($AE1314,$AD1314-SUM($AG1314:AH1314))),0)</f>
        <v>0</v>
      </c>
      <c r="AJ1314" s="8">
        <f>IF($O1314="Aktif",MAX(0,MIN($AE1314,$AD1314-SUM($AG1314:AI1314))),0)</f>
        <v>0</v>
      </c>
      <c r="AK1314" s="8">
        <f>IF($O1314="Aktif",MAX(0,MIN($AE1314,$AD1314-SUM($AG1314:AJ1314))),0)</f>
        <v>0</v>
      </c>
      <c r="AL1314" s="8">
        <f>IF($O1314="Aktif",MAX(0,MIN($AE1314,$AD1314-SUM($AG1314:AK1314))),0)</f>
        <v>0</v>
      </c>
      <c r="AM1314" s="8">
        <f>IF($O1314="Aktif",MAX(0,MIN($AE1314,$AD1314-SUM($AG1314:AL1314))),0)</f>
        <v>0</v>
      </c>
      <c r="AN1314" s="8">
        <f>IF($O1314="Aktif",MAX(0,MIN($AE1314,$AD1314-SUM($AG1314:AM1314))),0)</f>
        <v>0</v>
      </c>
      <c r="AO1314" s="8">
        <f>IF($O1314="Aktif",MAX(0,MIN($AE1314,$AD1314-SUM($AG1314:AN1314))),0)</f>
        <v>0</v>
      </c>
      <c r="AP1314" s="8">
        <f>IF($O1314="Aktif",MAX(0,MIN($AE1314,$AD1314-SUM($AG1314:AO1314))),0)</f>
        <v>0</v>
      </c>
      <c r="AQ1314" s="8">
        <f>IF($O1314="Aktif",MAX(0,MIN($AE1314,$AD1314-SUM($AG1314:AP1314))),0)</f>
        <v>0</v>
      </c>
      <c r="AR1314" s="8">
        <f>IF($O1314="Aktif",MAX(0,MIN($AE1314,$AD1314-SUM($AG1314:AQ1314))),0)</f>
        <v>0</v>
      </c>
      <c r="AS1314" s="8">
        <f>IF($O1314="Aktif",MAX(0,MIN($AE1314,$AD1314-SUM($AG1314:AR1314))),0)</f>
        <v>0</v>
      </c>
      <c r="AT1314" s="8">
        <f>IF($O1314="Aktif",MAX(0,MIN($AE1314,$AD1314-SUM($AG1314:AS1314))),0)</f>
        <v>0</v>
      </c>
      <c r="AU1314" s="8">
        <f>IF($O1314="Aktif",MAX(0,MIN($AE1314,$AD1314-SUM($AG1314:AT1314))),0)</f>
        <v>0</v>
      </c>
      <c r="AV1314" s="8">
        <f>IF($O1314="Aktif",MAX(0,MIN($AE1314,$AD1314-SUM($AG1314:AU1314))),0)</f>
        <v>0</v>
      </c>
      <c r="AW1314" s="8">
        <f t="shared" si="145"/>
        <v>0</v>
      </c>
      <c r="AX1314" s="8">
        <f t="shared" si="146"/>
        <v>0</v>
      </c>
    </row>
    <row r="1315" spans="1:50" ht="15" customHeight="1" x14ac:dyDescent="0.35">
      <c r="A1315" s="102">
        <v>1309</v>
      </c>
      <c r="B1315" s="102" t="s">
        <v>3343</v>
      </c>
      <c r="C1315" s="103">
        <v>116</v>
      </c>
      <c r="D1315" s="102" t="s">
        <v>186</v>
      </c>
      <c r="E1315" s="102" t="s">
        <v>479</v>
      </c>
      <c r="F1315" s="102" t="s">
        <v>3116</v>
      </c>
      <c r="G1315" s="102" t="s">
        <v>3117</v>
      </c>
      <c r="H1315" s="102" t="s">
        <v>3118</v>
      </c>
      <c r="I1315" s="102" t="s">
        <v>63</v>
      </c>
      <c r="J1315" s="102" t="s">
        <v>3624</v>
      </c>
      <c r="K1315" s="102"/>
      <c r="L1315" s="104">
        <v>43158</v>
      </c>
      <c r="M1315" s="102" t="s">
        <v>3625</v>
      </c>
      <c r="N1315" s="102" t="s">
        <v>3626</v>
      </c>
      <c r="O1315" s="102" t="s">
        <v>383</v>
      </c>
      <c r="P1315" s="103">
        <v>1</v>
      </c>
      <c r="Q1315" s="105">
        <v>45000000</v>
      </c>
      <c r="R1315" s="103">
        <v>48</v>
      </c>
      <c r="S1315" s="105">
        <v>937500</v>
      </c>
      <c r="T1315" s="105">
        <v>45000000</v>
      </c>
      <c r="U1315" s="105">
        <v>0</v>
      </c>
      <c r="V1315" s="105">
        <v>0</v>
      </c>
      <c r="W1315" s="105">
        <v>0</v>
      </c>
      <c r="X1315" s="105">
        <v>0</v>
      </c>
      <c r="Y1315" s="105">
        <v>0</v>
      </c>
      <c r="Z1315" s="105">
        <v>0</v>
      </c>
      <c r="AA1315" s="105">
        <v>0</v>
      </c>
      <c r="AB1315" s="105">
        <v>0</v>
      </c>
      <c r="AC1315" s="8">
        <f t="shared" si="140"/>
        <v>45000000</v>
      </c>
      <c r="AD1315" s="8">
        <f t="shared" si="141"/>
        <v>0</v>
      </c>
      <c r="AE1315" s="8">
        <f t="shared" si="142"/>
        <v>0</v>
      </c>
      <c r="AF1315" s="106">
        <f t="shared" si="143"/>
        <v>0</v>
      </c>
      <c r="AG1315" s="8">
        <f t="shared" si="144"/>
        <v>0</v>
      </c>
      <c r="AH1315" s="8">
        <f>IF($O1315="Aktif",MAX(0,MIN($AE1315,$AD1315-SUM($AG1315:AG1315))),0)</f>
        <v>0</v>
      </c>
      <c r="AI1315" s="8">
        <f>IF($O1315="Aktif",MAX(0,MIN($AE1315,$AD1315-SUM($AG1315:AH1315))),0)</f>
        <v>0</v>
      </c>
      <c r="AJ1315" s="8">
        <f>IF($O1315="Aktif",MAX(0,MIN($AE1315,$AD1315-SUM($AG1315:AI1315))),0)</f>
        <v>0</v>
      </c>
      <c r="AK1315" s="8">
        <f>IF($O1315="Aktif",MAX(0,MIN($AE1315,$AD1315-SUM($AG1315:AJ1315))),0)</f>
        <v>0</v>
      </c>
      <c r="AL1315" s="8">
        <f>IF($O1315="Aktif",MAX(0,MIN($AE1315,$AD1315-SUM($AG1315:AK1315))),0)</f>
        <v>0</v>
      </c>
      <c r="AM1315" s="8">
        <f>IF($O1315="Aktif",MAX(0,MIN($AE1315,$AD1315-SUM($AG1315:AL1315))),0)</f>
        <v>0</v>
      </c>
      <c r="AN1315" s="8">
        <f>IF($O1315="Aktif",MAX(0,MIN($AE1315,$AD1315-SUM($AG1315:AM1315))),0)</f>
        <v>0</v>
      </c>
      <c r="AO1315" s="8">
        <f>IF($O1315="Aktif",MAX(0,MIN($AE1315,$AD1315-SUM($AG1315:AN1315))),0)</f>
        <v>0</v>
      </c>
      <c r="AP1315" s="8">
        <f>IF($O1315="Aktif",MAX(0,MIN($AE1315,$AD1315-SUM($AG1315:AO1315))),0)</f>
        <v>0</v>
      </c>
      <c r="AQ1315" s="8">
        <f>IF($O1315="Aktif",MAX(0,MIN($AE1315,$AD1315-SUM($AG1315:AP1315))),0)</f>
        <v>0</v>
      </c>
      <c r="AR1315" s="8">
        <f>IF($O1315="Aktif",MAX(0,MIN($AE1315,$AD1315-SUM($AG1315:AQ1315))),0)</f>
        <v>0</v>
      </c>
      <c r="AS1315" s="8">
        <f>IF($O1315="Aktif",MAX(0,MIN($AE1315,$AD1315-SUM($AG1315:AR1315))),0)</f>
        <v>0</v>
      </c>
      <c r="AT1315" s="8">
        <f>IF($O1315="Aktif",MAX(0,MIN($AE1315,$AD1315-SUM($AG1315:AS1315))),0)</f>
        <v>0</v>
      </c>
      <c r="AU1315" s="8">
        <f>IF($O1315="Aktif",MAX(0,MIN($AE1315,$AD1315-SUM($AG1315:AT1315))),0)</f>
        <v>0</v>
      </c>
      <c r="AV1315" s="8">
        <f>IF($O1315="Aktif",MAX(0,MIN($AE1315,$AD1315-SUM($AG1315:AU1315))),0)</f>
        <v>0</v>
      </c>
      <c r="AW1315" s="8">
        <f t="shared" si="145"/>
        <v>0</v>
      </c>
      <c r="AX1315" s="8">
        <f t="shared" si="146"/>
        <v>0</v>
      </c>
    </row>
    <row r="1316" spans="1:50" ht="15" customHeight="1" x14ac:dyDescent="0.35">
      <c r="A1316" s="102">
        <v>1310</v>
      </c>
      <c r="B1316" s="102" t="s">
        <v>3343</v>
      </c>
      <c r="C1316" s="103">
        <v>117</v>
      </c>
      <c r="D1316" s="102" t="s">
        <v>186</v>
      </c>
      <c r="E1316" s="102" t="s">
        <v>0</v>
      </c>
      <c r="F1316" s="102" t="s">
        <v>3116</v>
      </c>
      <c r="G1316" s="102" t="s">
        <v>3117</v>
      </c>
      <c r="H1316" s="102" t="s">
        <v>3118</v>
      </c>
      <c r="I1316" s="102" t="s">
        <v>63</v>
      </c>
      <c r="J1316" s="102"/>
      <c r="K1316" s="102"/>
      <c r="L1316" s="104">
        <v>45049</v>
      </c>
      <c r="M1316" s="102" t="s">
        <v>3625</v>
      </c>
      <c r="N1316" s="102" t="s">
        <v>3626</v>
      </c>
      <c r="O1316" s="102" t="s">
        <v>487</v>
      </c>
      <c r="P1316" s="103"/>
      <c r="Q1316" s="105">
        <v>-45000000</v>
      </c>
      <c r="R1316" s="102"/>
      <c r="S1316" s="105">
        <v>0</v>
      </c>
      <c r="T1316" s="105">
        <v>-45000000</v>
      </c>
      <c r="U1316" s="105">
        <v>0</v>
      </c>
      <c r="V1316" s="105">
        <v>0</v>
      </c>
      <c r="W1316" s="105">
        <v>0</v>
      </c>
      <c r="X1316" s="105">
        <v>0</v>
      </c>
      <c r="Y1316" s="105">
        <v>0</v>
      </c>
      <c r="Z1316" s="105">
        <v>0</v>
      </c>
      <c r="AA1316" s="105">
        <v>0</v>
      </c>
      <c r="AB1316" s="105">
        <v>0</v>
      </c>
      <c r="AC1316" s="8">
        <f t="shared" si="140"/>
        <v>-45000000</v>
      </c>
      <c r="AD1316" s="8">
        <f t="shared" si="141"/>
        <v>0</v>
      </c>
      <c r="AE1316" s="8">
        <f t="shared" si="142"/>
        <v>0</v>
      </c>
      <c r="AF1316" s="106">
        <f t="shared" si="143"/>
        <v>0</v>
      </c>
      <c r="AG1316" s="8">
        <f t="shared" si="144"/>
        <v>0</v>
      </c>
      <c r="AH1316" s="8">
        <f>IF($O1316="Aktif",MAX(0,MIN($AE1316,$AD1316-SUM($AG1316:AG1316))),0)</f>
        <v>0</v>
      </c>
      <c r="AI1316" s="8">
        <f>IF($O1316="Aktif",MAX(0,MIN($AE1316,$AD1316-SUM($AG1316:AH1316))),0)</f>
        <v>0</v>
      </c>
      <c r="AJ1316" s="8">
        <f>IF($O1316="Aktif",MAX(0,MIN($AE1316,$AD1316-SUM($AG1316:AI1316))),0)</f>
        <v>0</v>
      </c>
      <c r="AK1316" s="8">
        <f>IF($O1316="Aktif",MAX(0,MIN($AE1316,$AD1316-SUM($AG1316:AJ1316))),0)</f>
        <v>0</v>
      </c>
      <c r="AL1316" s="8">
        <f>IF($O1316="Aktif",MAX(0,MIN($AE1316,$AD1316-SUM($AG1316:AK1316))),0)</f>
        <v>0</v>
      </c>
      <c r="AM1316" s="8">
        <f>IF($O1316="Aktif",MAX(0,MIN($AE1316,$AD1316-SUM($AG1316:AL1316))),0)</f>
        <v>0</v>
      </c>
      <c r="AN1316" s="8">
        <f>IF($O1316="Aktif",MAX(0,MIN($AE1316,$AD1316-SUM($AG1316:AM1316))),0)</f>
        <v>0</v>
      </c>
      <c r="AO1316" s="8">
        <f>IF($O1316="Aktif",MAX(0,MIN($AE1316,$AD1316-SUM($AG1316:AN1316))),0)</f>
        <v>0</v>
      </c>
      <c r="AP1316" s="8">
        <f>IF($O1316="Aktif",MAX(0,MIN($AE1316,$AD1316-SUM($AG1316:AO1316))),0)</f>
        <v>0</v>
      </c>
      <c r="AQ1316" s="8">
        <f>IF($O1316="Aktif",MAX(0,MIN($AE1316,$AD1316-SUM($AG1316:AP1316))),0)</f>
        <v>0</v>
      </c>
      <c r="AR1316" s="8">
        <f>IF($O1316="Aktif",MAX(0,MIN($AE1316,$AD1316-SUM($AG1316:AQ1316))),0)</f>
        <v>0</v>
      </c>
      <c r="AS1316" s="8">
        <f>IF($O1316="Aktif",MAX(0,MIN($AE1316,$AD1316-SUM($AG1316:AR1316))),0)</f>
        <v>0</v>
      </c>
      <c r="AT1316" s="8">
        <f>IF($O1316="Aktif",MAX(0,MIN($AE1316,$AD1316-SUM($AG1316:AS1316))),0)</f>
        <v>0</v>
      </c>
      <c r="AU1316" s="8">
        <f>IF($O1316="Aktif",MAX(0,MIN($AE1316,$AD1316-SUM($AG1316:AT1316))),0)</f>
        <v>0</v>
      </c>
      <c r="AV1316" s="8">
        <f>IF($O1316="Aktif",MAX(0,MIN($AE1316,$AD1316-SUM($AG1316:AU1316))),0)</f>
        <v>0</v>
      </c>
      <c r="AW1316" s="8">
        <f t="shared" si="145"/>
        <v>0</v>
      </c>
      <c r="AX1316" s="8">
        <f t="shared" si="146"/>
        <v>0</v>
      </c>
    </row>
    <row r="1317" spans="1:50" ht="15" customHeight="1" x14ac:dyDescent="0.35">
      <c r="A1317" s="102">
        <v>1311</v>
      </c>
      <c r="B1317" s="102" t="s">
        <v>3343</v>
      </c>
      <c r="C1317" s="103">
        <v>118</v>
      </c>
      <c r="D1317" s="102" t="s">
        <v>186</v>
      </c>
      <c r="E1317" s="102" t="s">
        <v>479</v>
      </c>
      <c r="F1317" s="102" t="s">
        <v>3116</v>
      </c>
      <c r="G1317" s="102" t="s">
        <v>3117</v>
      </c>
      <c r="H1317" s="102" t="s">
        <v>3118</v>
      </c>
      <c r="I1317" s="102" t="s">
        <v>63</v>
      </c>
      <c r="J1317" s="102" t="s">
        <v>3627</v>
      </c>
      <c r="K1317" s="102"/>
      <c r="L1317" s="104">
        <v>43158</v>
      </c>
      <c r="M1317" s="102" t="s">
        <v>3628</v>
      </c>
      <c r="N1317" s="102" t="s">
        <v>3629</v>
      </c>
      <c r="O1317" s="102" t="s">
        <v>383</v>
      </c>
      <c r="P1317" s="103">
        <v>1</v>
      </c>
      <c r="Q1317" s="105">
        <v>36000000</v>
      </c>
      <c r="R1317" s="103">
        <v>48</v>
      </c>
      <c r="S1317" s="105">
        <v>750000</v>
      </c>
      <c r="T1317" s="105">
        <v>36000000</v>
      </c>
      <c r="U1317" s="105">
        <v>0</v>
      </c>
      <c r="V1317" s="105">
        <v>0</v>
      </c>
      <c r="W1317" s="105">
        <v>0</v>
      </c>
      <c r="X1317" s="105">
        <v>0</v>
      </c>
      <c r="Y1317" s="105">
        <v>0</v>
      </c>
      <c r="Z1317" s="105">
        <v>0</v>
      </c>
      <c r="AA1317" s="105">
        <v>0</v>
      </c>
      <c r="AB1317" s="105">
        <v>0</v>
      </c>
      <c r="AC1317" s="8">
        <f t="shared" si="140"/>
        <v>36000000</v>
      </c>
      <c r="AD1317" s="8">
        <f t="shared" si="141"/>
        <v>0</v>
      </c>
      <c r="AE1317" s="8">
        <f t="shared" si="142"/>
        <v>0</v>
      </c>
      <c r="AF1317" s="106">
        <f t="shared" si="143"/>
        <v>0</v>
      </c>
      <c r="AG1317" s="8">
        <f t="shared" si="144"/>
        <v>0</v>
      </c>
      <c r="AH1317" s="8">
        <f>IF($O1317="Aktif",MAX(0,MIN($AE1317,$AD1317-SUM($AG1317:AG1317))),0)</f>
        <v>0</v>
      </c>
      <c r="AI1317" s="8">
        <f>IF($O1317="Aktif",MAX(0,MIN($AE1317,$AD1317-SUM($AG1317:AH1317))),0)</f>
        <v>0</v>
      </c>
      <c r="AJ1317" s="8">
        <f>IF($O1317="Aktif",MAX(0,MIN($AE1317,$AD1317-SUM($AG1317:AI1317))),0)</f>
        <v>0</v>
      </c>
      <c r="AK1317" s="8">
        <f>IF($O1317="Aktif",MAX(0,MIN($AE1317,$AD1317-SUM($AG1317:AJ1317))),0)</f>
        <v>0</v>
      </c>
      <c r="AL1317" s="8">
        <f>IF($O1317="Aktif",MAX(0,MIN($AE1317,$AD1317-SUM($AG1317:AK1317))),0)</f>
        <v>0</v>
      </c>
      <c r="AM1317" s="8">
        <f>IF($O1317="Aktif",MAX(0,MIN($AE1317,$AD1317-SUM($AG1317:AL1317))),0)</f>
        <v>0</v>
      </c>
      <c r="AN1317" s="8">
        <f>IF($O1317="Aktif",MAX(0,MIN($AE1317,$AD1317-SUM($AG1317:AM1317))),0)</f>
        <v>0</v>
      </c>
      <c r="AO1317" s="8">
        <f>IF($O1317="Aktif",MAX(0,MIN($AE1317,$AD1317-SUM($AG1317:AN1317))),0)</f>
        <v>0</v>
      </c>
      <c r="AP1317" s="8">
        <f>IF($O1317="Aktif",MAX(0,MIN($AE1317,$AD1317-SUM($AG1317:AO1317))),0)</f>
        <v>0</v>
      </c>
      <c r="AQ1317" s="8">
        <f>IF($O1317="Aktif",MAX(0,MIN($AE1317,$AD1317-SUM($AG1317:AP1317))),0)</f>
        <v>0</v>
      </c>
      <c r="AR1317" s="8">
        <f>IF($O1317="Aktif",MAX(0,MIN($AE1317,$AD1317-SUM($AG1317:AQ1317))),0)</f>
        <v>0</v>
      </c>
      <c r="AS1317" s="8">
        <f>IF($O1317="Aktif",MAX(0,MIN($AE1317,$AD1317-SUM($AG1317:AR1317))),0)</f>
        <v>0</v>
      </c>
      <c r="AT1317" s="8">
        <f>IF($O1317="Aktif",MAX(0,MIN($AE1317,$AD1317-SUM($AG1317:AS1317))),0)</f>
        <v>0</v>
      </c>
      <c r="AU1317" s="8">
        <f>IF($O1317="Aktif",MAX(0,MIN($AE1317,$AD1317-SUM($AG1317:AT1317))),0)</f>
        <v>0</v>
      </c>
      <c r="AV1317" s="8">
        <f>IF($O1317="Aktif",MAX(0,MIN($AE1317,$AD1317-SUM($AG1317:AU1317))),0)</f>
        <v>0</v>
      </c>
      <c r="AW1317" s="8">
        <f t="shared" si="145"/>
        <v>0</v>
      </c>
      <c r="AX1317" s="8">
        <f t="shared" si="146"/>
        <v>0</v>
      </c>
    </row>
    <row r="1318" spans="1:50" ht="15" customHeight="1" x14ac:dyDescent="0.35">
      <c r="A1318" s="102">
        <v>1312</v>
      </c>
      <c r="B1318" s="102" t="s">
        <v>3343</v>
      </c>
      <c r="C1318" s="103">
        <v>119</v>
      </c>
      <c r="D1318" s="102" t="s">
        <v>186</v>
      </c>
      <c r="E1318" s="102" t="s">
        <v>0</v>
      </c>
      <c r="F1318" s="102" t="s">
        <v>3116</v>
      </c>
      <c r="G1318" s="102" t="s">
        <v>3117</v>
      </c>
      <c r="H1318" s="102" t="s">
        <v>3118</v>
      </c>
      <c r="I1318" s="102" t="s">
        <v>63</v>
      </c>
      <c r="J1318" s="102"/>
      <c r="K1318" s="102"/>
      <c r="L1318" s="104">
        <v>45049</v>
      </c>
      <c r="M1318" s="102" t="s">
        <v>3628</v>
      </c>
      <c r="N1318" s="102" t="s">
        <v>3629</v>
      </c>
      <c r="O1318" s="102" t="s">
        <v>487</v>
      </c>
      <c r="P1318" s="103"/>
      <c r="Q1318" s="105">
        <v>-36000000</v>
      </c>
      <c r="R1318" s="102"/>
      <c r="S1318" s="105">
        <v>0</v>
      </c>
      <c r="T1318" s="105">
        <v>-36000000</v>
      </c>
      <c r="U1318" s="105">
        <v>0</v>
      </c>
      <c r="V1318" s="105">
        <v>0</v>
      </c>
      <c r="W1318" s="105">
        <v>0</v>
      </c>
      <c r="X1318" s="105">
        <v>0</v>
      </c>
      <c r="Y1318" s="105">
        <v>0</v>
      </c>
      <c r="Z1318" s="105">
        <v>0</v>
      </c>
      <c r="AA1318" s="105">
        <v>0</v>
      </c>
      <c r="AB1318" s="105">
        <v>0</v>
      </c>
      <c r="AC1318" s="8">
        <f t="shared" si="140"/>
        <v>-36000000</v>
      </c>
      <c r="AD1318" s="8">
        <f t="shared" si="141"/>
        <v>0</v>
      </c>
      <c r="AE1318" s="8">
        <f t="shared" si="142"/>
        <v>0</v>
      </c>
      <c r="AF1318" s="106">
        <f t="shared" si="143"/>
        <v>0</v>
      </c>
      <c r="AG1318" s="8">
        <f t="shared" si="144"/>
        <v>0</v>
      </c>
      <c r="AH1318" s="8">
        <f>IF($O1318="Aktif",MAX(0,MIN($AE1318,$AD1318-SUM($AG1318:AG1318))),0)</f>
        <v>0</v>
      </c>
      <c r="AI1318" s="8">
        <f>IF($O1318="Aktif",MAX(0,MIN($AE1318,$AD1318-SUM($AG1318:AH1318))),0)</f>
        <v>0</v>
      </c>
      <c r="AJ1318" s="8">
        <f>IF($O1318="Aktif",MAX(0,MIN($AE1318,$AD1318-SUM($AG1318:AI1318))),0)</f>
        <v>0</v>
      </c>
      <c r="AK1318" s="8">
        <f>IF($O1318="Aktif",MAX(0,MIN($AE1318,$AD1318-SUM($AG1318:AJ1318))),0)</f>
        <v>0</v>
      </c>
      <c r="AL1318" s="8">
        <f>IF($O1318="Aktif",MAX(0,MIN($AE1318,$AD1318-SUM($AG1318:AK1318))),0)</f>
        <v>0</v>
      </c>
      <c r="AM1318" s="8">
        <f>IF($O1318="Aktif",MAX(0,MIN($AE1318,$AD1318-SUM($AG1318:AL1318))),0)</f>
        <v>0</v>
      </c>
      <c r="AN1318" s="8">
        <f>IF($O1318="Aktif",MAX(0,MIN($AE1318,$AD1318-SUM($AG1318:AM1318))),0)</f>
        <v>0</v>
      </c>
      <c r="AO1318" s="8">
        <f>IF($O1318="Aktif",MAX(0,MIN($AE1318,$AD1318-SUM($AG1318:AN1318))),0)</f>
        <v>0</v>
      </c>
      <c r="AP1318" s="8">
        <f>IF($O1318="Aktif",MAX(0,MIN($AE1318,$AD1318-SUM($AG1318:AO1318))),0)</f>
        <v>0</v>
      </c>
      <c r="AQ1318" s="8">
        <f>IF($O1318="Aktif",MAX(0,MIN($AE1318,$AD1318-SUM($AG1318:AP1318))),0)</f>
        <v>0</v>
      </c>
      <c r="AR1318" s="8">
        <f>IF($O1318="Aktif",MAX(0,MIN($AE1318,$AD1318-SUM($AG1318:AQ1318))),0)</f>
        <v>0</v>
      </c>
      <c r="AS1318" s="8">
        <f>IF($O1318="Aktif",MAX(0,MIN($AE1318,$AD1318-SUM($AG1318:AR1318))),0)</f>
        <v>0</v>
      </c>
      <c r="AT1318" s="8">
        <f>IF($O1318="Aktif",MAX(0,MIN($AE1318,$AD1318-SUM($AG1318:AS1318))),0)</f>
        <v>0</v>
      </c>
      <c r="AU1318" s="8">
        <f>IF($O1318="Aktif",MAX(0,MIN($AE1318,$AD1318-SUM($AG1318:AT1318))),0)</f>
        <v>0</v>
      </c>
      <c r="AV1318" s="8">
        <f>IF($O1318="Aktif",MAX(0,MIN($AE1318,$AD1318-SUM($AG1318:AU1318))),0)</f>
        <v>0</v>
      </c>
      <c r="AW1318" s="8">
        <f t="shared" si="145"/>
        <v>0</v>
      </c>
      <c r="AX1318" s="8">
        <f t="shared" si="146"/>
        <v>0</v>
      </c>
    </row>
    <row r="1319" spans="1:50" ht="15" customHeight="1" x14ac:dyDescent="0.35">
      <c r="A1319" s="102">
        <v>1313</v>
      </c>
      <c r="B1319" s="102" t="s">
        <v>3343</v>
      </c>
      <c r="C1319" s="103">
        <v>120</v>
      </c>
      <c r="D1319" s="102" t="s">
        <v>186</v>
      </c>
      <c r="E1319" s="102" t="s">
        <v>479</v>
      </c>
      <c r="F1319" s="102" t="s">
        <v>3116</v>
      </c>
      <c r="G1319" s="102" t="s">
        <v>3117</v>
      </c>
      <c r="H1319" s="102" t="s">
        <v>3118</v>
      </c>
      <c r="I1319" s="102" t="s">
        <v>63</v>
      </c>
      <c r="J1319" s="102" t="s">
        <v>3630</v>
      </c>
      <c r="K1319" s="102"/>
      <c r="L1319" s="104">
        <v>43158</v>
      </c>
      <c r="M1319" s="102" t="s">
        <v>3631</v>
      </c>
      <c r="N1319" s="102" t="s">
        <v>3632</v>
      </c>
      <c r="O1319" s="102" t="s">
        <v>383</v>
      </c>
      <c r="P1319" s="103">
        <v>1</v>
      </c>
      <c r="Q1319" s="105">
        <v>47500000</v>
      </c>
      <c r="R1319" s="103">
        <v>48</v>
      </c>
      <c r="S1319" s="105">
        <v>989583.33333333302</v>
      </c>
      <c r="T1319" s="105">
        <v>47500000</v>
      </c>
      <c r="U1319" s="105">
        <v>0</v>
      </c>
      <c r="V1319" s="105">
        <v>0</v>
      </c>
      <c r="W1319" s="105">
        <v>0</v>
      </c>
      <c r="X1319" s="105">
        <v>0</v>
      </c>
      <c r="Y1319" s="105">
        <v>0</v>
      </c>
      <c r="Z1319" s="105">
        <v>0</v>
      </c>
      <c r="AA1319" s="105">
        <v>0</v>
      </c>
      <c r="AB1319" s="105">
        <v>0</v>
      </c>
      <c r="AC1319" s="8">
        <f t="shared" si="140"/>
        <v>47500000</v>
      </c>
      <c r="AD1319" s="8">
        <f t="shared" si="141"/>
        <v>0</v>
      </c>
      <c r="AE1319" s="8">
        <f t="shared" si="142"/>
        <v>0</v>
      </c>
      <c r="AF1319" s="106">
        <f t="shared" si="143"/>
        <v>0</v>
      </c>
      <c r="AG1319" s="8">
        <f t="shared" si="144"/>
        <v>0</v>
      </c>
      <c r="AH1319" s="8">
        <f>IF($O1319="Aktif",MAX(0,MIN($AE1319,$AD1319-SUM($AG1319:AG1319))),0)</f>
        <v>0</v>
      </c>
      <c r="AI1319" s="8">
        <f>IF($O1319="Aktif",MAX(0,MIN($AE1319,$AD1319-SUM($AG1319:AH1319))),0)</f>
        <v>0</v>
      </c>
      <c r="AJ1319" s="8">
        <f>IF($O1319="Aktif",MAX(0,MIN($AE1319,$AD1319-SUM($AG1319:AI1319))),0)</f>
        <v>0</v>
      </c>
      <c r="AK1319" s="8">
        <f>IF($O1319="Aktif",MAX(0,MIN($AE1319,$AD1319-SUM($AG1319:AJ1319))),0)</f>
        <v>0</v>
      </c>
      <c r="AL1319" s="8">
        <f>IF($O1319="Aktif",MAX(0,MIN($AE1319,$AD1319-SUM($AG1319:AK1319))),0)</f>
        <v>0</v>
      </c>
      <c r="AM1319" s="8">
        <f>IF($O1319="Aktif",MAX(0,MIN($AE1319,$AD1319-SUM($AG1319:AL1319))),0)</f>
        <v>0</v>
      </c>
      <c r="AN1319" s="8">
        <f>IF($O1319="Aktif",MAX(0,MIN($AE1319,$AD1319-SUM($AG1319:AM1319))),0)</f>
        <v>0</v>
      </c>
      <c r="AO1319" s="8">
        <f>IF($O1319="Aktif",MAX(0,MIN($AE1319,$AD1319-SUM($AG1319:AN1319))),0)</f>
        <v>0</v>
      </c>
      <c r="AP1319" s="8">
        <f>IF($O1319="Aktif",MAX(0,MIN($AE1319,$AD1319-SUM($AG1319:AO1319))),0)</f>
        <v>0</v>
      </c>
      <c r="AQ1319" s="8">
        <f>IF($O1319="Aktif",MAX(0,MIN($AE1319,$AD1319-SUM($AG1319:AP1319))),0)</f>
        <v>0</v>
      </c>
      <c r="AR1319" s="8">
        <f>IF($O1319="Aktif",MAX(0,MIN($AE1319,$AD1319-SUM($AG1319:AQ1319))),0)</f>
        <v>0</v>
      </c>
      <c r="AS1319" s="8">
        <f>IF($O1319="Aktif",MAX(0,MIN($AE1319,$AD1319-SUM($AG1319:AR1319))),0)</f>
        <v>0</v>
      </c>
      <c r="AT1319" s="8">
        <f>IF($O1319="Aktif",MAX(0,MIN($AE1319,$AD1319-SUM($AG1319:AS1319))),0)</f>
        <v>0</v>
      </c>
      <c r="AU1319" s="8">
        <f>IF($O1319="Aktif",MAX(0,MIN($AE1319,$AD1319-SUM($AG1319:AT1319))),0)</f>
        <v>0</v>
      </c>
      <c r="AV1319" s="8">
        <f>IF($O1319="Aktif",MAX(0,MIN($AE1319,$AD1319-SUM($AG1319:AU1319))),0)</f>
        <v>0</v>
      </c>
      <c r="AW1319" s="8">
        <f t="shared" si="145"/>
        <v>0</v>
      </c>
      <c r="AX1319" s="8">
        <f t="shared" si="146"/>
        <v>0</v>
      </c>
    </row>
    <row r="1320" spans="1:50" ht="15" customHeight="1" x14ac:dyDescent="0.35">
      <c r="A1320" s="102">
        <v>1314</v>
      </c>
      <c r="B1320" s="102" t="s">
        <v>3343</v>
      </c>
      <c r="C1320" s="103">
        <v>121</v>
      </c>
      <c r="D1320" s="102" t="s">
        <v>186</v>
      </c>
      <c r="E1320" s="102" t="s">
        <v>0</v>
      </c>
      <c r="F1320" s="102" t="s">
        <v>3116</v>
      </c>
      <c r="G1320" s="102" t="s">
        <v>3117</v>
      </c>
      <c r="H1320" s="102" t="s">
        <v>3118</v>
      </c>
      <c r="I1320" s="102" t="s">
        <v>63</v>
      </c>
      <c r="J1320" s="102"/>
      <c r="K1320" s="102"/>
      <c r="L1320" s="104">
        <v>45049</v>
      </c>
      <c r="M1320" s="102" t="s">
        <v>3631</v>
      </c>
      <c r="N1320" s="102" t="s">
        <v>3632</v>
      </c>
      <c r="O1320" s="102" t="s">
        <v>487</v>
      </c>
      <c r="P1320" s="103"/>
      <c r="Q1320" s="105">
        <v>-47500000</v>
      </c>
      <c r="R1320" s="102"/>
      <c r="S1320" s="105">
        <v>0</v>
      </c>
      <c r="T1320" s="105">
        <v>-47500000</v>
      </c>
      <c r="U1320" s="105">
        <v>0</v>
      </c>
      <c r="V1320" s="105">
        <v>0</v>
      </c>
      <c r="W1320" s="105">
        <v>0</v>
      </c>
      <c r="X1320" s="105">
        <v>0</v>
      </c>
      <c r="Y1320" s="105">
        <v>0</v>
      </c>
      <c r="Z1320" s="105">
        <v>0</v>
      </c>
      <c r="AA1320" s="105">
        <v>0</v>
      </c>
      <c r="AB1320" s="105">
        <v>0</v>
      </c>
      <c r="AC1320" s="8">
        <f t="shared" si="140"/>
        <v>-47500000</v>
      </c>
      <c r="AD1320" s="8">
        <f t="shared" si="141"/>
        <v>0</v>
      </c>
      <c r="AE1320" s="8">
        <f t="shared" si="142"/>
        <v>0</v>
      </c>
      <c r="AF1320" s="106">
        <f t="shared" si="143"/>
        <v>0</v>
      </c>
      <c r="AG1320" s="8">
        <f t="shared" si="144"/>
        <v>0</v>
      </c>
      <c r="AH1320" s="8">
        <f>IF($O1320="Aktif",MAX(0,MIN($AE1320,$AD1320-SUM($AG1320:AG1320))),0)</f>
        <v>0</v>
      </c>
      <c r="AI1320" s="8">
        <f>IF($O1320="Aktif",MAX(0,MIN($AE1320,$AD1320-SUM($AG1320:AH1320))),0)</f>
        <v>0</v>
      </c>
      <c r="AJ1320" s="8">
        <f>IF($O1320="Aktif",MAX(0,MIN($AE1320,$AD1320-SUM($AG1320:AI1320))),0)</f>
        <v>0</v>
      </c>
      <c r="AK1320" s="8">
        <f>IF($O1320="Aktif",MAX(0,MIN($AE1320,$AD1320-SUM($AG1320:AJ1320))),0)</f>
        <v>0</v>
      </c>
      <c r="AL1320" s="8">
        <f>IF($O1320="Aktif",MAX(0,MIN($AE1320,$AD1320-SUM($AG1320:AK1320))),0)</f>
        <v>0</v>
      </c>
      <c r="AM1320" s="8">
        <f>IF($O1320="Aktif",MAX(0,MIN($AE1320,$AD1320-SUM($AG1320:AL1320))),0)</f>
        <v>0</v>
      </c>
      <c r="AN1320" s="8">
        <f>IF($O1320="Aktif",MAX(0,MIN($AE1320,$AD1320-SUM($AG1320:AM1320))),0)</f>
        <v>0</v>
      </c>
      <c r="AO1320" s="8">
        <f>IF($O1320="Aktif",MAX(0,MIN($AE1320,$AD1320-SUM($AG1320:AN1320))),0)</f>
        <v>0</v>
      </c>
      <c r="AP1320" s="8">
        <f>IF($O1320="Aktif",MAX(0,MIN($AE1320,$AD1320-SUM($AG1320:AO1320))),0)</f>
        <v>0</v>
      </c>
      <c r="AQ1320" s="8">
        <f>IF($O1320="Aktif",MAX(0,MIN($AE1320,$AD1320-SUM($AG1320:AP1320))),0)</f>
        <v>0</v>
      </c>
      <c r="AR1320" s="8">
        <f>IF($O1320="Aktif",MAX(0,MIN($AE1320,$AD1320-SUM($AG1320:AQ1320))),0)</f>
        <v>0</v>
      </c>
      <c r="AS1320" s="8">
        <f>IF($O1320="Aktif",MAX(0,MIN($AE1320,$AD1320-SUM($AG1320:AR1320))),0)</f>
        <v>0</v>
      </c>
      <c r="AT1320" s="8">
        <f>IF($O1320="Aktif",MAX(0,MIN($AE1320,$AD1320-SUM($AG1320:AS1320))),0)</f>
        <v>0</v>
      </c>
      <c r="AU1320" s="8">
        <f>IF($O1320="Aktif",MAX(0,MIN($AE1320,$AD1320-SUM($AG1320:AT1320))),0)</f>
        <v>0</v>
      </c>
      <c r="AV1320" s="8">
        <f>IF($O1320="Aktif",MAX(0,MIN($AE1320,$AD1320-SUM($AG1320:AU1320))),0)</f>
        <v>0</v>
      </c>
      <c r="AW1320" s="8">
        <f t="shared" si="145"/>
        <v>0</v>
      </c>
      <c r="AX1320" s="8">
        <f t="shared" si="146"/>
        <v>0</v>
      </c>
    </row>
    <row r="1321" spans="1:50" ht="15" customHeight="1" x14ac:dyDescent="0.35">
      <c r="A1321" s="102">
        <v>1315</v>
      </c>
      <c r="B1321" s="102" t="s">
        <v>3343</v>
      </c>
      <c r="C1321" s="103">
        <v>122</v>
      </c>
      <c r="D1321" s="102" t="s">
        <v>186</v>
      </c>
      <c r="E1321" s="102" t="s">
        <v>479</v>
      </c>
      <c r="F1321" s="102" t="s">
        <v>3116</v>
      </c>
      <c r="G1321" s="102" t="s">
        <v>3117</v>
      </c>
      <c r="H1321" s="102" t="s">
        <v>3118</v>
      </c>
      <c r="I1321" s="102" t="s">
        <v>63</v>
      </c>
      <c r="J1321" s="102" t="s">
        <v>3633</v>
      </c>
      <c r="K1321" s="102"/>
      <c r="L1321" s="104">
        <v>43159</v>
      </c>
      <c r="M1321" s="102" t="s">
        <v>3634</v>
      </c>
      <c r="N1321" s="102" t="s">
        <v>3635</v>
      </c>
      <c r="O1321" s="102" t="s">
        <v>383</v>
      </c>
      <c r="P1321" s="103">
        <v>1</v>
      </c>
      <c r="Q1321" s="105">
        <v>75000000</v>
      </c>
      <c r="R1321" s="103">
        <v>48</v>
      </c>
      <c r="S1321" s="105">
        <v>1562500</v>
      </c>
      <c r="T1321" s="105">
        <v>75000000</v>
      </c>
      <c r="U1321" s="105">
        <v>0</v>
      </c>
      <c r="V1321" s="105">
        <v>0</v>
      </c>
      <c r="W1321" s="105">
        <v>0</v>
      </c>
      <c r="X1321" s="105">
        <v>0</v>
      </c>
      <c r="Y1321" s="105">
        <v>0</v>
      </c>
      <c r="Z1321" s="105">
        <v>0</v>
      </c>
      <c r="AA1321" s="105">
        <v>0</v>
      </c>
      <c r="AB1321" s="105">
        <v>0</v>
      </c>
      <c r="AC1321" s="8">
        <f t="shared" si="140"/>
        <v>75000000</v>
      </c>
      <c r="AD1321" s="8">
        <f t="shared" si="141"/>
        <v>0</v>
      </c>
      <c r="AE1321" s="8">
        <f t="shared" si="142"/>
        <v>0</v>
      </c>
      <c r="AF1321" s="106">
        <f t="shared" si="143"/>
        <v>0</v>
      </c>
      <c r="AG1321" s="8">
        <f t="shared" si="144"/>
        <v>0</v>
      </c>
      <c r="AH1321" s="8">
        <f>IF($O1321="Aktif",MAX(0,MIN($AE1321,$AD1321-SUM($AG1321:AG1321))),0)</f>
        <v>0</v>
      </c>
      <c r="AI1321" s="8">
        <f>IF($O1321="Aktif",MAX(0,MIN($AE1321,$AD1321-SUM($AG1321:AH1321))),0)</f>
        <v>0</v>
      </c>
      <c r="AJ1321" s="8">
        <f>IF($O1321="Aktif",MAX(0,MIN($AE1321,$AD1321-SUM($AG1321:AI1321))),0)</f>
        <v>0</v>
      </c>
      <c r="AK1321" s="8">
        <f>IF($O1321="Aktif",MAX(0,MIN($AE1321,$AD1321-SUM($AG1321:AJ1321))),0)</f>
        <v>0</v>
      </c>
      <c r="AL1321" s="8">
        <f>IF($O1321="Aktif",MAX(0,MIN($AE1321,$AD1321-SUM($AG1321:AK1321))),0)</f>
        <v>0</v>
      </c>
      <c r="AM1321" s="8">
        <f>IF($O1321="Aktif",MAX(0,MIN($AE1321,$AD1321-SUM($AG1321:AL1321))),0)</f>
        <v>0</v>
      </c>
      <c r="AN1321" s="8">
        <f>IF($O1321="Aktif",MAX(0,MIN($AE1321,$AD1321-SUM($AG1321:AM1321))),0)</f>
        <v>0</v>
      </c>
      <c r="AO1321" s="8">
        <f>IF($O1321="Aktif",MAX(0,MIN($AE1321,$AD1321-SUM($AG1321:AN1321))),0)</f>
        <v>0</v>
      </c>
      <c r="AP1321" s="8">
        <f>IF($O1321="Aktif",MAX(0,MIN($AE1321,$AD1321-SUM($AG1321:AO1321))),0)</f>
        <v>0</v>
      </c>
      <c r="AQ1321" s="8">
        <f>IF($O1321="Aktif",MAX(0,MIN($AE1321,$AD1321-SUM($AG1321:AP1321))),0)</f>
        <v>0</v>
      </c>
      <c r="AR1321" s="8">
        <f>IF($O1321="Aktif",MAX(0,MIN($AE1321,$AD1321-SUM($AG1321:AQ1321))),0)</f>
        <v>0</v>
      </c>
      <c r="AS1321" s="8">
        <f>IF($O1321="Aktif",MAX(0,MIN($AE1321,$AD1321-SUM($AG1321:AR1321))),0)</f>
        <v>0</v>
      </c>
      <c r="AT1321" s="8">
        <f>IF($O1321="Aktif",MAX(0,MIN($AE1321,$AD1321-SUM($AG1321:AS1321))),0)</f>
        <v>0</v>
      </c>
      <c r="AU1321" s="8">
        <f>IF($O1321="Aktif",MAX(0,MIN($AE1321,$AD1321-SUM($AG1321:AT1321))),0)</f>
        <v>0</v>
      </c>
      <c r="AV1321" s="8">
        <f>IF($O1321="Aktif",MAX(0,MIN($AE1321,$AD1321-SUM($AG1321:AU1321))),0)</f>
        <v>0</v>
      </c>
      <c r="AW1321" s="8">
        <f t="shared" si="145"/>
        <v>0</v>
      </c>
      <c r="AX1321" s="8">
        <f t="shared" si="146"/>
        <v>0</v>
      </c>
    </row>
    <row r="1322" spans="1:50" ht="15" customHeight="1" x14ac:dyDescent="0.35">
      <c r="A1322" s="102">
        <v>1316</v>
      </c>
      <c r="B1322" s="102" t="s">
        <v>3343</v>
      </c>
      <c r="C1322" s="103">
        <v>123</v>
      </c>
      <c r="D1322" s="102" t="s">
        <v>186</v>
      </c>
      <c r="E1322" s="102" t="s">
        <v>0</v>
      </c>
      <c r="F1322" s="102" t="s">
        <v>3116</v>
      </c>
      <c r="G1322" s="102" t="s">
        <v>3117</v>
      </c>
      <c r="H1322" s="102" t="s">
        <v>3118</v>
      </c>
      <c r="I1322" s="102" t="s">
        <v>63</v>
      </c>
      <c r="J1322" s="102"/>
      <c r="K1322" s="102"/>
      <c r="L1322" s="104">
        <v>45049</v>
      </c>
      <c r="M1322" s="102" t="s">
        <v>3634</v>
      </c>
      <c r="N1322" s="102" t="s">
        <v>3635</v>
      </c>
      <c r="O1322" s="102" t="s">
        <v>487</v>
      </c>
      <c r="P1322" s="103"/>
      <c r="Q1322" s="105">
        <v>-75000000</v>
      </c>
      <c r="R1322" s="102"/>
      <c r="S1322" s="105">
        <v>0</v>
      </c>
      <c r="T1322" s="105">
        <v>-75000000</v>
      </c>
      <c r="U1322" s="105">
        <v>0</v>
      </c>
      <c r="V1322" s="105">
        <v>0</v>
      </c>
      <c r="W1322" s="105">
        <v>0</v>
      </c>
      <c r="X1322" s="105">
        <v>0</v>
      </c>
      <c r="Y1322" s="105">
        <v>0</v>
      </c>
      <c r="Z1322" s="105">
        <v>0</v>
      </c>
      <c r="AA1322" s="105">
        <v>0</v>
      </c>
      <c r="AB1322" s="105">
        <v>0</v>
      </c>
      <c r="AC1322" s="8">
        <f t="shared" si="140"/>
        <v>-75000000</v>
      </c>
      <c r="AD1322" s="8">
        <f t="shared" si="141"/>
        <v>0</v>
      </c>
      <c r="AE1322" s="8">
        <f t="shared" si="142"/>
        <v>0</v>
      </c>
      <c r="AF1322" s="106">
        <f t="shared" si="143"/>
        <v>0</v>
      </c>
      <c r="AG1322" s="8">
        <f t="shared" si="144"/>
        <v>0</v>
      </c>
      <c r="AH1322" s="8">
        <f>IF($O1322="Aktif",MAX(0,MIN($AE1322,$AD1322-SUM($AG1322:AG1322))),0)</f>
        <v>0</v>
      </c>
      <c r="AI1322" s="8">
        <f>IF($O1322="Aktif",MAX(0,MIN($AE1322,$AD1322-SUM($AG1322:AH1322))),0)</f>
        <v>0</v>
      </c>
      <c r="AJ1322" s="8">
        <f>IF($O1322="Aktif",MAX(0,MIN($AE1322,$AD1322-SUM($AG1322:AI1322))),0)</f>
        <v>0</v>
      </c>
      <c r="AK1322" s="8">
        <f>IF($O1322="Aktif",MAX(0,MIN($AE1322,$AD1322-SUM($AG1322:AJ1322))),0)</f>
        <v>0</v>
      </c>
      <c r="AL1322" s="8">
        <f>IF($O1322="Aktif",MAX(0,MIN($AE1322,$AD1322-SUM($AG1322:AK1322))),0)</f>
        <v>0</v>
      </c>
      <c r="AM1322" s="8">
        <f>IF($O1322="Aktif",MAX(0,MIN($AE1322,$AD1322-SUM($AG1322:AL1322))),0)</f>
        <v>0</v>
      </c>
      <c r="AN1322" s="8">
        <f>IF($O1322="Aktif",MAX(0,MIN($AE1322,$AD1322-SUM($AG1322:AM1322))),0)</f>
        <v>0</v>
      </c>
      <c r="AO1322" s="8">
        <f>IF($O1322="Aktif",MAX(0,MIN($AE1322,$AD1322-SUM($AG1322:AN1322))),0)</f>
        <v>0</v>
      </c>
      <c r="AP1322" s="8">
        <f>IF($O1322="Aktif",MAX(0,MIN($AE1322,$AD1322-SUM($AG1322:AO1322))),0)</f>
        <v>0</v>
      </c>
      <c r="AQ1322" s="8">
        <f>IF($O1322="Aktif",MAX(0,MIN($AE1322,$AD1322-SUM($AG1322:AP1322))),0)</f>
        <v>0</v>
      </c>
      <c r="AR1322" s="8">
        <f>IF($O1322="Aktif",MAX(0,MIN($AE1322,$AD1322-SUM($AG1322:AQ1322))),0)</f>
        <v>0</v>
      </c>
      <c r="AS1322" s="8">
        <f>IF($O1322="Aktif",MAX(0,MIN($AE1322,$AD1322-SUM($AG1322:AR1322))),0)</f>
        <v>0</v>
      </c>
      <c r="AT1322" s="8">
        <f>IF($O1322="Aktif",MAX(0,MIN($AE1322,$AD1322-SUM($AG1322:AS1322))),0)</f>
        <v>0</v>
      </c>
      <c r="AU1322" s="8">
        <f>IF($O1322="Aktif",MAX(0,MIN($AE1322,$AD1322-SUM($AG1322:AT1322))),0)</f>
        <v>0</v>
      </c>
      <c r="AV1322" s="8">
        <f>IF($O1322="Aktif",MAX(0,MIN($AE1322,$AD1322-SUM($AG1322:AU1322))),0)</f>
        <v>0</v>
      </c>
      <c r="AW1322" s="8">
        <f t="shared" si="145"/>
        <v>0</v>
      </c>
      <c r="AX1322" s="8">
        <f t="shared" si="146"/>
        <v>0</v>
      </c>
    </row>
    <row r="1323" spans="1:50" ht="15" customHeight="1" x14ac:dyDescent="0.35">
      <c r="A1323" s="102">
        <v>1317</v>
      </c>
      <c r="B1323" s="102" t="s">
        <v>3343</v>
      </c>
      <c r="C1323" s="103">
        <v>124</v>
      </c>
      <c r="D1323" s="102" t="s">
        <v>186</v>
      </c>
      <c r="E1323" s="102" t="s">
        <v>540</v>
      </c>
      <c r="F1323" s="102" t="s">
        <v>3172</v>
      </c>
      <c r="G1323" s="102" t="s">
        <v>3173</v>
      </c>
      <c r="H1323" s="102" t="s">
        <v>3174</v>
      </c>
      <c r="I1323" s="102" t="s">
        <v>63</v>
      </c>
      <c r="J1323" s="102" t="s">
        <v>3636</v>
      </c>
      <c r="K1323" s="102"/>
      <c r="L1323" s="104">
        <v>43585</v>
      </c>
      <c r="M1323" s="102" t="s">
        <v>3637</v>
      </c>
      <c r="N1323" s="102" t="s">
        <v>3638</v>
      </c>
      <c r="O1323" s="102" t="s">
        <v>383</v>
      </c>
      <c r="P1323" s="103">
        <v>1</v>
      </c>
      <c r="Q1323" s="105">
        <v>550000000</v>
      </c>
      <c r="R1323" s="103">
        <v>96</v>
      </c>
      <c r="S1323" s="105">
        <v>5729166.6666666698</v>
      </c>
      <c r="T1323" s="105">
        <v>464062500</v>
      </c>
      <c r="U1323" s="105">
        <v>5729166.6666666698</v>
      </c>
      <c r="V1323" s="105">
        <v>5729166.6666666698</v>
      </c>
      <c r="W1323" s="105">
        <v>5729166.6666666698</v>
      </c>
      <c r="X1323" s="105">
        <v>5729166.6666666698</v>
      </c>
      <c r="Y1323" s="105">
        <v>5729166.6666666698</v>
      </c>
      <c r="Z1323" s="105">
        <v>5729166.6666666698</v>
      </c>
      <c r="AA1323" s="105">
        <v>5729166.6666666698</v>
      </c>
      <c r="AB1323" s="105">
        <v>5729166.6666666698</v>
      </c>
      <c r="AC1323" s="8">
        <f t="shared" si="140"/>
        <v>509895833.33333337</v>
      </c>
      <c r="AD1323" s="8">
        <f t="shared" si="141"/>
        <v>40104166.666666627</v>
      </c>
      <c r="AE1323" s="8">
        <f t="shared" si="142"/>
        <v>5729166.6666666698</v>
      </c>
      <c r="AF1323" s="106">
        <f t="shared" si="143"/>
        <v>6.9999999999999893</v>
      </c>
      <c r="AG1323" s="8">
        <f t="shared" si="144"/>
        <v>5729166.6666666698</v>
      </c>
      <c r="AH1323" s="8">
        <f>IF($O1323="Aktif",MAX(0,MIN($AE1323,$AD1323-SUM($AG1323:AG1323))),0)</f>
        <v>5729166.6666666698</v>
      </c>
      <c r="AI1323" s="8">
        <f>IF($O1323="Aktif",MAX(0,MIN($AE1323,$AD1323-SUM($AG1323:AH1323))),0)</f>
        <v>5729166.6666666698</v>
      </c>
      <c r="AJ1323" s="8">
        <f>IF($O1323="Aktif",MAX(0,MIN($AE1323,$AD1323-SUM($AG1323:AI1323))),0)</f>
        <v>5729166.6666666698</v>
      </c>
      <c r="AK1323" s="8">
        <f>IF($O1323="Aktif",MAX(0,MIN($AE1323,$AD1323-SUM($AG1323:AJ1323))),0)</f>
        <v>5729166.6666666698</v>
      </c>
      <c r="AL1323" s="8">
        <f>IF($O1323="Aktif",MAX(0,MIN($AE1323,$AD1323-SUM($AG1323:AK1323))),0)</f>
        <v>5729166.6666666698</v>
      </c>
      <c r="AM1323" s="8">
        <f>IF($O1323="Aktif",MAX(0,MIN($AE1323,$AD1323-SUM($AG1323:AL1323))),0)</f>
        <v>5729166.6666666046</v>
      </c>
      <c r="AN1323" s="8">
        <f>IF($O1323="Aktif",MAX(0,MIN($AE1323,$AD1323-SUM($AG1323:AM1323))),0)</f>
        <v>0</v>
      </c>
      <c r="AO1323" s="8">
        <f>IF($O1323="Aktif",MAX(0,MIN($AE1323,$AD1323-SUM($AG1323:AN1323))),0)</f>
        <v>0</v>
      </c>
      <c r="AP1323" s="8">
        <f>IF($O1323="Aktif",MAX(0,MIN($AE1323,$AD1323-SUM($AG1323:AO1323))),0)</f>
        <v>0</v>
      </c>
      <c r="AQ1323" s="8">
        <f>IF($O1323="Aktif",MAX(0,MIN($AE1323,$AD1323-SUM($AG1323:AP1323))),0)</f>
        <v>0</v>
      </c>
      <c r="AR1323" s="8">
        <f>IF($O1323="Aktif",MAX(0,MIN($AE1323,$AD1323-SUM($AG1323:AQ1323))),0)</f>
        <v>0</v>
      </c>
      <c r="AS1323" s="8">
        <f>IF($O1323="Aktif",MAX(0,MIN($AE1323,$AD1323-SUM($AG1323:AR1323))),0)</f>
        <v>0</v>
      </c>
      <c r="AT1323" s="8">
        <f>IF($O1323="Aktif",MAX(0,MIN($AE1323,$AD1323-SUM($AG1323:AS1323))),0)</f>
        <v>0</v>
      </c>
      <c r="AU1323" s="8">
        <f>IF($O1323="Aktif",MAX(0,MIN($AE1323,$AD1323-SUM($AG1323:AT1323))),0)</f>
        <v>0</v>
      </c>
      <c r="AV1323" s="8">
        <f>IF($O1323="Aktif",MAX(0,MIN($AE1323,$AD1323-SUM($AG1323:AU1323))),0)</f>
        <v>0</v>
      </c>
      <c r="AW1323" s="8">
        <f t="shared" si="145"/>
        <v>40104166.666666627</v>
      </c>
      <c r="AX1323" s="8">
        <f t="shared" si="146"/>
        <v>0</v>
      </c>
    </row>
    <row r="1324" spans="1:50" ht="15" customHeight="1" x14ac:dyDescent="0.35">
      <c r="A1324" s="102">
        <v>1318</v>
      </c>
      <c r="B1324" s="102" t="s">
        <v>3343</v>
      </c>
      <c r="C1324" s="103">
        <v>125</v>
      </c>
      <c r="D1324" s="102" t="s">
        <v>186</v>
      </c>
      <c r="E1324" s="102" t="s">
        <v>540</v>
      </c>
      <c r="F1324" s="102" t="s">
        <v>3172</v>
      </c>
      <c r="G1324" s="102" t="s">
        <v>3173</v>
      </c>
      <c r="H1324" s="102" t="s">
        <v>3174</v>
      </c>
      <c r="I1324" s="102" t="s">
        <v>63</v>
      </c>
      <c r="J1324" s="102" t="s">
        <v>3639</v>
      </c>
      <c r="K1324" s="102"/>
      <c r="L1324" s="104">
        <v>43646</v>
      </c>
      <c r="M1324" s="102" t="s">
        <v>3640</v>
      </c>
      <c r="N1324" s="102" t="s">
        <v>3641</v>
      </c>
      <c r="O1324" s="102" t="s">
        <v>383</v>
      </c>
      <c r="P1324" s="103">
        <v>1</v>
      </c>
      <c r="Q1324" s="105">
        <v>35000000</v>
      </c>
      <c r="R1324" s="103">
        <v>96</v>
      </c>
      <c r="S1324" s="105">
        <v>364583.33333333302</v>
      </c>
      <c r="T1324" s="105">
        <v>28802083.333333299</v>
      </c>
      <c r="U1324" s="105">
        <v>364583.33333333302</v>
      </c>
      <c r="V1324" s="105">
        <v>364583.33333333302</v>
      </c>
      <c r="W1324" s="105">
        <v>364583.33333333302</v>
      </c>
      <c r="X1324" s="105">
        <v>364583.33333333302</v>
      </c>
      <c r="Y1324" s="105">
        <v>364583.33333333302</v>
      </c>
      <c r="Z1324" s="105">
        <v>364583.33333333302</v>
      </c>
      <c r="AA1324" s="105">
        <v>364583.33333333302</v>
      </c>
      <c r="AB1324" s="105">
        <v>364583.33333333302</v>
      </c>
      <c r="AC1324" s="8">
        <f t="shared" si="140"/>
        <v>31718749.999999963</v>
      </c>
      <c r="AD1324" s="8">
        <f t="shared" si="141"/>
        <v>3281250.0000000373</v>
      </c>
      <c r="AE1324" s="8">
        <f t="shared" si="142"/>
        <v>364583.33333333302</v>
      </c>
      <c r="AF1324" s="106">
        <f t="shared" si="143"/>
        <v>9.0000000000001101</v>
      </c>
      <c r="AG1324" s="8">
        <f t="shared" si="144"/>
        <v>364583.33333333302</v>
      </c>
      <c r="AH1324" s="8">
        <f>IF($O1324="Aktif",MAX(0,MIN($AE1324,$AD1324-SUM($AG1324:AG1324))),0)</f>
        <v>364583.33333333302</v>
      </c>
      <c r="AI1324" s="8">
        <f>IF($O1324="Aktif",MAX(0,MIN($AE1324,$AD1324-SUM($AG1324:AH1324))),0)</f>
        <v>364583.33333333302</v>
      </c>
      <c r="AJ1324" s="8">
        <f>IF($O1324="Aktif",MAX(0,MIN($AE1324,$AD1324-SUM($AG1324:AI1324))),0)</f>
        <v>364583.33333333302</v>
      </c>
      <c r="AK1324" s="8">
        <f>IF($O1324="Aktif",MAX(0,MIN($AE1324,$AD1324-SUM($AG1324:AJ1324))),0)</f>
        <v>364583.33333333302</v>
      </c>
      <c r="AL1324" s="8">
        <f>IF($O1324="Aktif",MAX(0,MIN($AE1324,$AD1324-SUM($AG1324:AK1324))),0)</f>
        <v>364583.33333333302</v>
      </c>
      <c r="AM1324" s="8">
        <f>IF($O1324="Aktif",MAX(0,MIN($AE1324,$AD1324-SUM($AG1324:AL1324))),0)</f>
        <v>364583.33333333302</v>
      </c>
      <c r="AN1324" s="8">
        <f>IF($O1324="Aktif",MAX(0,MIN($AE1324,$AD1324-SUM($AG1324:AM1324))),0)</f>
        <v>364583.33333333302</v>
      </c>
      <c r="AO1324" s="8">
        <f>IF($O1324="Aktif",MAX(0,MIN($AE1324,$AD1324-SUM($AG1324:AN1324))),0)</f>
        <v>364583.33333333302</v>
      </c>
      <c r="AP1324" s="8">
        <f>IF($O1324="Aktif",MAX(0,MIN($AE1324,$AD1324-SUM($AG1324:AO1324))),0)</f>
        <v>4.0046870708465576E-8</v>
      </c>
      <c r="AQ1324" s="8">
        <f>IF($O1324="Aktif",MAX(0,MIN($AE1324,$AD1324-SUM($AG1324:AP1324))),0)</f>
        <v>0</v>
      </c>
      <c r="AR1324" s="8">
        <f>IF($O1324="Aktif",MAX(0,MIN($AE1324,$AD1324-SUM($AG1324:AQ1324))),0)</f>
        <v>0</v>
      </c>
      <c r="AS1324" s="8">
        <f>IF($O1324="Aktif",MAX(0,MIN($AE1324,$AD1324-SUM($AG1324:AR1324))),0)</f>
        <v>0</v>
      </c>
      <c r="AT1324" s="8">
        <f>IF($O1324="Aktif",MAX(0,MIN($AE1324,$AD1324-SUM($AG1324:AS1324))),0)</f>
        <v>0</v>
      </c>
      <c r="AU1324" s="8">
        <f>IF($O1324="Aktif",MAX(0,MIN($AE1324,$AD1324-SUM($AG1324:AT1324))),0)</f>
        <v>0</v>
      </c>
      <c r="AV1324" s="8">
        <f>IF($O1324="Aktif",MAX(0,MIN($AE1324,$AD1324-SUM($AG1324:AU1324))),0)</f>
        <v>0</v>
      </c>
      <c r="AW1324" s="8">
        <f t="shared" si="145"/>
        <v>3281250.0000000373</v>
      </c>
      <c r="AX1324" s="8">
        <f t="shared" si="146"/>
        <v>0</v>
      </c>
    </row>
    <row r="1325" spans="1:50" ht="15" customHeight="1" x14ac:dyDescent="0.35">
      <c r="A1325" s="102">
        <v>1319</v>
      </c>
      <c r="B1325" s="102" t="s">
        <v>3343</v>
      </c>
      <c r="C1325" s="103">
        <v>126</v>
      </c>
      <c r="D1325" s="102" t="s">
        <v>186</v>
      </c>
      <c r="E1325" s="102" t="s">
        <v>479</v>
      </c>
      <c r="F1325" s="102" t="s">
        <v>3116</v>
      </c>
      <c r="G1325" s="102" t="s">
        <v>3117</v>
      </c>
      <c r="H1325" s="102" t="s">
        <v>3118</v>
      </c>
      <c r="I1325" s="102" t="s">
        <v>63</v>
      </c>
      <c r="J1325" s="102"/>
      <c r="K1325" s="102"/>
      <c r="L1325" s="104">
        <v>44096</v>
      </c>
      <c r="M1325" s="102" t="s">
        <v>3642</v>
      </c>
      <c r="N1325" s="102" t="s">
        <v>3643</v>
      </c>
      <c r="O1325" s="102" t="s">
        <v>383</v>
      </c>
      <c r="P1325" s="103">
        <v>1</v>
      </c>
      <c r="Q1325" s="105">
        <v>40000000</v>
      </c>
      <c r="R1325" s="103">
        <v>48</v>
      </c>
      <c r="S1325" s="105">
        <v>833333.33333333302</v>
      </c>
      <c r="T1325" s="105">
        <v>40000000</v>
      </c>
      <c r="U1325" s="105">
        <v>0</v>
      </c>
      <c r="V1325" s="105">
        <v>0</v>
      </c>
      <c r="W1325" s="105">
        <v>0</v>
      </c>
      <c r="X1325" s="105">
        <v>0</v>
      </c>
      <c r="Y1325" s="105">
        <v>0</v>
      </c>
      <c r="Z1325" s="105">
        <v>0</v>
      </c>
      <c r="AA1325" s="105">
        <v>0</v>
      </c>
      <c r="AB1325" s="105">
        <v>0</v>
      </c>
      <c r="AC1325" s="8">
        <f t="shared" si="140"/>
        <v>40000000</v>
      </c>
      <c r="AD1325" s="8">
        <f t="shared" si="141"/>
        <v>0</v>
      </c>
      <c r="AE1325" s="8">
        <f t="shared" si="142"/>
        <v>0</v>
      </c>
      <c r="AF1325" s="106">
        <f t="shared" si="143"/>
        <v>0</v>
      </c>
      <c r="AG1325" s="8">
        <f t="shared" si="144"/>
        <v>0</v>
      </c>
      <c r="AH1325" s="8">
        <f>IF($O1325="Aktif",MAX(0,MIN($AE1325,$AD1325-SUM($AG1325:AG1325))),0)</f>
        <v>0</v>
      </c>
      <c r="AI1325" s="8">
        <f>IF($O1325="Aktif",MAX(0,MIN($AE1325,$AD1325-SUM($AG1325:AH1325))),0)</f>
        <v>0</v>
      </c>
      <c r="AJ1325" s="8">
        <f>IF($O1325="Aktif",MAX(0,MIN($AE1325,$AD1325-SUM($AG1325:AI1325))),0)</f>
        <v>0</v>
      </c>
      <c r="AK1325" s="8">
        <f>IF($O1325="Aktif",MAX(0,MIN($AE1325,$AD1325-SUM($AG1325:AJ1325))),0)</f>
        <v>0</v>
      </c>
      <c r="AL1325" s="8">
        <f>IF($O1325="Aktif",MAX(0,MIN($AE1325,$AD1325-SUM($AG1325:AK1325))),0)</f>
        <v>0</v>
      </c>
      <c r="AM1325" s="8">
        <f>IF($O1325="Aktif",MAX(0,MIN($AE1325,$AD1325-SUM($AG1325:AL1325))),0)</f>
        <v>0</v>
      </c>
      <c r="AN1325" s="8">
        <f>IF($O1325="Aktif",MAX(0,MIN($AE1325,$AD1325-SUM($AG1325:AM1325))),0)</f>
        <v>0</v>
      </c>
      <c r="AO1325" s="8">
        <f>IF($O1325="Aktif",MAX(0,MIN($AE1325,$AD1325-SUM($AG1325:AN1325))),0)</f>
        <v>0</v>
      </c>
      <c r="AP1325" s="8">
        <f>IF($O1325="Aktif",MAX(0,MIN($AE1325,$AD1325-SUM($AG1325:AO1325))),0)</f>
        <v>0</v>
      </c>
      <c r="AQ1325" s="8">
        <f>IF($O1325="Aktif",MAX(0,MIN($AE1325,$AD1325-SUM($AG1325:AP1325))),0)</f>
        <v>0</v>
      </c>
      <c r="AR1325" s="8">
        <f>IF($O1325="Aktif",MAX(0,MIN($AE1325,$AD1325-SUM($AG1325:AQ1325))),0)</f>
        <v>0</v>
      </c>
      <c r="AS1325" s="8">
        <f>IF($O1325="Aktif",MAX(0,MIN($AE1325,$AD1325-SUM($AG1325:AR1325))),0)</f>
        <v>0</v>
      </c>
      <c r="AT1325" s="8">
        <f>IF($O1325="Aktif",MAX(0,MIN($AE1325,$AD1325-SUM($AG1325:AS1325))),0)</f>
        <v>0</v>
      </c>
      <c r="AU1325" s="8">
        <f>IF($O1325="Aktif",MAX(0,MIN($AE1325,$AD1325-SUM($AG1325:AT1325))),0)</f>
        <v>0</v>
      </c>
      <c r="AV1325" s="8">
        <f>IF($O1325="Aktif",MAX(0,MIN($AE1325,$AD1325-SUM($AG1325:AU1325))),0)</f>
        <v>0</v>
      </c>
      <c r="AW1325" s="8">
        <f t="shared" si="145"/>
        <v>0</v>
      </c>
      <c r="AX1325" s="8">
        <f t="shared" si="146"/>
        <v>0</v>
      </c>
    </row>
    <row r="1326" spans="1:50" ht="15" customHeight="1" x14ac:dyDescent="0.35">
      <c r="A1326" s="102">
        <v>1320</v>
      </c>
      <c r="B1326" s="102" t="s">
        <v>3343</v>
      </c>
      <c r="C1326" s="103">
        <v>127</v>
      </c>
      <c r="D1326" s="102" t="s">
        <v>186</v>
      </c>
      <c r="E1326" s="102" t="s">
        <v>479</v>
      </c>
      <c r="F1326" s="102" t="s">
        <v>3116</v>
      </c>
      <c r="G1326" s="102" t="s">
        <v>3117</v>
      </c>
      <c r="H1326" s="102" t="s">
        <v>3118</v>
      </c>
      <c r="I1326" s="102" t="s">
        <v>63</v>
      </c>
      <c r="J1326" s="102"/>
      <c r="K1326" s="102"/>
      <c r="L1326" s="104">
        <v>44883</v>
      </c>
      <c r="M1326" s="102" t="s">
        <v>3644</v>
      </c>
      <c r="N1326" s="102" t="s">
        <v>3645</v>
      </c>
      <c r="O1326" s="102" t="s">
        <v>383</v>
      </c>
      <c r="P1326" s="103">
        <v>1</v>
      </c>
      <c r="Q1326" s="105">
        <v>22107727</v>
      </c>
      <c r="R1326" s="103">
        <v>48</v>
      </c>
      <c r="S1326" s="105">
        <v>460577.64583333302</v>
      </c>
      <c r="T1326" s="105">
        <v>17501950.541666701</v>
      </c>
      <c r="U1326" s="105">
        <v>460577.64583333302</v>
      </c>
      <c r="V1326" s="105">
        <v>460577.64583333302</v>
      </c>
      <c r="W1326" s="105">
        <v>460577.64583333302</v>
      </c>
      <c r="X1326" s="105">
        <v>460577.64583333302</v>
      </c>
      <c r="Y1326" s="105">
        <v>460577.64583333302</v>
      </c>
      <c r="Z1326" s="105">
        <v>460577.64583333302</v>
      </c>
      <c r="AA1326" s="105">
        <v>460577.64583333302</v>
      </c>
      <c r="AB1326" s="105">
        <v>460577.64583333302</v>
      </c>
      <c r="AC1326" s="8">
        <f t="shared" si="140"/>
        <v>21186571.708333366</v>
      </c>
      <c r="AD1326" s="8">
        <f t="shared" si="141"/>
        <v>921155.29166663438</v>
      </c>
      <c r="AE1326" s="8">
        <f t="shared" si="142"/>
        <v>460577.64583333302</v>
      </c>
      <c r="AF1326" s="106">
        <f t="shared" si="143"/>
        <v>1.9999999999999312</v>
      </c>
      <c r="AG1326" s="8">
        <f t="shared" si="144"/>
        <v>460577.64583333302</v>
      </c>
      <c r="AH1326" s="8">
        <f>IF($O1326="Aktif",MAX(0,MIN($AE1326,$AD1326-SUM($AG1326:AG1326))),0)</f>
        <v>460577.64583330136</v>
      </c>
      <c r="AI1326" s="8">
        <f>IF($O1326="Aktif",MAX(0,MIN($AE1326,$AD1326-SUM($AG1326:AH1326))),0)</f>
        <v>0</v>
      </c>
      <c r="AJ1326" s="8">
        <f>IF($O1326="Aktif",MAX(0,MIN($AE1326,$AD1326-SUM($AG1326:AI1326))),0)</f>
        <v>0</v>
      </c>
      <c r="AK1326" s="8">
        <f>IF($O1326="Aktif",MAX(0,MIN($AE1326,$AD1326-SUM($AG1326:AJ1326))),0)</f>
        <v>0</v>
      </c>
      <c r="AL1326" s="8">
        <f>IF($O1326="Aktif",MAX(0,MIN($AE1326,$AD1326-SUM($AG1326:AK1326))),0)</f>
        <v>0</v>
      </c>
      <c r="AM1326" s="8">
        <f>IF($O1326="Aktif",MAX(0,MIN($AE1326,$AD1326-SUM($AG1326:AL1326))),0)</f>
        <v>0</v>
      </c>
      <c r="AN1326" s="8">
        <f>IF($O1326="Aktif",MAX(0,MIN($AE1326,$AD1326-SUM($AG1326:AM1326))),0)</f>
        <v>0</v>
      </c>
      <c r="AO1326" s="8">
        <f>IF($O1326="Aktif",MAX(0,MIN($AE1326,$AD1326-SUM($AG1326:AN1326))),0)</f>
        <v>0</v>
      </c>
      <c r="AP1326" s="8">
        <f>IF($O1326="Aktif",MAX(0,MIN($AE1326,$AD1326-SUM($AG1326:AO1326))),0)</f>
        <v>0</v>
      </c>
      <c r="AQ1326" s="8">
        <f>IF($O1326="Aktif",MAX(0,MIN($AE1326,$AD1326-SUM($AG1326:AP1326))),0)</f>
        <v>0</v>
      </c>
      <c r="AR1326" s="8">
        <f>IF($O1326="Aktif",MAX(0,MIN($AE1326,$AD1326-SUM($AG1326:AQ1326))),0)</f>
        <v>0</v>
      </c>
      <c r="AS1326" s="8">
        <f>IF($O1326="Aktif",MAX(0,MIN($AE1326,$AD1326-SUM($AG1326:AR1326))),0)</f>
        <v>0</v>
      </c>
      <c r="AT1326" s="8">
        <f>IF($O1326="Aktif",MAX(0,MIN($AE1326,$AD1326-SUM($AG1326:AS1326))),0)</f>
        <v>0</v>
      </c>
      <c r="AU1326" s="8">
        <f>IF($O1326="Aktif",MAX(0,MIN($AE1326,$AD1326-SUM($AG1326:AT1326))),0)</f>
        <v>0</v>
      </c>
      <c r="AV1326" s="8">
        <f>IF($O1326="Aktif",MAX(0,MIN($AE1326,$AD1326-SUM($AG1326:AU1326))),0)</f>
        <v>0</v>
      </c>
      <c r="AW1326" s="8">
        <f t="shared" si="145"/>
        <v>921155.29166663438</v>
      </c>
      <c r="AX1326" s="8">
        <f t="shared" si="146"/>
        <v>0</v>
      </c>
    </row>
    <row r="1327" spans="1:50" ht="15" customHeight="1" x14ac:dyDescent="0.35">
      <c r="A1327" s="102">
        <v>1321</v>
      </c>
      <c r="B1327" s="102" t="s">
        <v>3343</v>
      </c>
      <c r="C1327" s="103">
        <v>128</v>
      </c>
      <c r="D1327" s="102" t="s">
        <v>186</v>
      </c>
      <c r="E1327" s="102" t="s">
        <v>479</v>
      </c>
      <c r="F1327" s="102" t="s">
        <v>3116</v>
      </c>
      <c r="G1327" s="102" t="s">
        <v>3117</v>
      </c>
      <c r="H1327" s="102" t="s">
        <v>3118</v>
      </c>
      <c r="I1327" s="102" t="s">
        <v>63</v>
      </c>
      <c r="J1327" s="102"/>
      <c r="K1327" s="102"/>
      <c r="L1327" s="104">
        <v>44888</v>
      </c>
      <c r="M1327" s="102" t="s">
        <v>3646</v>
      </c>
      <c r="N1327" s="102" t="s">
        <v>3647</v>
      </c>
      <c r="O1327" s="102" t="s">
        <v>383</v>
      </c>
      <c r="P1327" s="103">
        <v>1</v>
      </c>
      <c r="Q1327" s="105">
        <v>32000000</v>
      </c>
      <c r="R1327" s="103">
        <v>48</v>
      </c>
      <c r="S1327" s="105">
        <v>666666.66666666698</v>
      </c>
      <c r="T1327" s="105">
        <v>25333333.333333299</v>
      </c>
      <c r="U1327" s="105">
        <v>666666.66666666698</v>
      </c>
      <c r="V1327" s="105">
        <v>666666.66666666698</v>
      </c>
      <c r="W1327" s="105">
        <v>666666.66666666698</v>
      </c>
      <c r="X1327" s="105">
        <v>666666.66666666698</v>
      </c>
      <c r="Y1327" s="105">
        <v>666666.66666666698</v>
      </c>
      <c r="Z1327" s="105">
        <v>666666.66666666698</v>
      </c>
      <c r="AA1327" s="105">
        <v>666666.66666666698</v>
      </c>
      <c r="AB1327" s="105">
        <v>666666.66666666698</v>
      </c>
      <c r="AC1327" s="8">
        <f t="shared" si="140"/>
        <v>30666666.666666634</v>
      </c>
      <c r="AD1327" s="8">
        <f t="shared" si="141"/>
        <v>1333333.3333333656</v>
      </c>
      <c r="AE1327" s="8">
        <f t="shared" si="142"/>
        <v>666666.66666666698</v>
      </c>
      <c r="AF1327" s="106">
        <f t="shared" si="143"/>
        <v>2.0000000000000475</v>
      </c>
      <c r="AG1327" s="8">
        <f t="shared" si="144"/>
        <v>666666.66666666698</v>
      </c>
      <c r="AH1327" s="8">
        <f>IF($O1327="Aktif",MAX(0,MIN($AE1327,$AD1327-SUM($AG1327:AG1327))),0)</f>
        <v>666666.66666666698</v>
      </c>
      <c r="AI1327" s="8">
        <f>IF($O1327="Aktif",MAX(0,MIN($AE1327,$AD1327-SUM($AG1327:AH1327))),0)</f>
        <v>3.166496753692627E-8</v>
      </c>
      <c r="AJ1327" s="8">
        <f>IF($O1327="Aktif",MAX(0,MIN($AE1327,$AD1327-SUM($AG1327:AI1327))),0)</f>
        <v>0</v>
      </c>
      <c r="AK1327" s="8">
        <f>IF($O1327="Aktif",MAX(0,MIN($AE1327,$AD1327-SUM($AG1327:AJ1327))),0)</f>
        <v>0</v>
      </c>
      <c r="AL1327" s="8">
        <f>IF($O1327="Aktif",MAX(0,MIN($AE1327,$AD1327-SUM($AG1327:AK1327))),0)</f>
        <v>0</v>
      </c>
      <c r="AM1327" s="8">
        <f>IF($O1327="Aktif",MAX(0,MIN($AE1327,$AD1327-SUM($AG1327:AL1327))),0)</f>
        <v>0</v>
      </c>
      <c r="AN1327" s="8">
        <f>IF($O1327="Aktif",MAX(0,MIN($AE1327,$AD1327-SUM($AG1327:AM1327))),0)</f>
        <v>0</v>
      </c>
      <c r="AO1327" s="8">
        <f>IF($O1327="Aktif",MAX(0,MIN($AE1327,$AD1327-SUM($AG1327:AN1327))),0)</f>
        <v>0</v>
      </c>
      <c r="AP1327" s="8">
        <f>IF($O1327="Aktif",MAX(0,MIN($AE1327,$AD1327-SUM($AG1327:AO1327))),0)</f>
        <v>0</v>
      </c>
      <c r="AQ1327" s="8">
        <f>IF($O1327="Aktif",MAX(0,MIN($AE1327,$AD1327-SUM($AG1327:AP1327))),0)</f>
        <v>0</v>
      </c>
      <c r="AR1327" s="8">
        <f>IF($O1327="Aktif",MAX(0,MIN($AE1327,$AD1327-SUM($AG1327:AQ1327))),0)</f>
        <v>0</v>
      </c>
      <c r="AS1327" s="8">
        <f>IF($O1327="Aktif",MAX(0,MIN($AE1327,$AD1327-SUM($AG1327:AR1327))),0)</f>
        <v>0</v>
      </c>
      <c r="AT1327" s="8">
        <f>IF($O1327="Aktif",MAX(0,MIN($AE1327,$AD1327-SUM($AG1327:AS1327))),0)</f>
        <v>0</v>
      </c>
      <c r="AU1327" s="8">
        <f>IF($O1327="Aktif",MAX(0,MIN($AE1327,$AD1327-SUM($AG1327:AT1327))),0)</f>
        <v>0</v>
      </c>
      <c r="AV1327" s="8">
        <f>IF($O1327="Aktif",MAX(0,MIN($AE1327,$AD1327-SUM($AG1327:AU1327))),0)</f>
        <v>0</v>
      </c>
      <c r="AW1327" s="8">
        <f t="shared" si="145"/>
        <v>1333333.3333333656</v>
      </c>
      <c r="AX1327" s="8">
        <f t="shared" si="146"/>
        <v>0</v>
      </c>
    </row>
    <row r="1328" spans="1:50" ht="15" customHeight="1" x14ac:dyDescent="0.35">
      <c r="A1328" s="102">
        <v>1322</v>
      </c>
      <c r="B1328" s="102" t="s">
        <v>3648</v>
      </c>
      <c r="C1328" s="103">
        <v>8</v>
      </c>
      <c r="D1328" s="102" t="s">
        <v>186</v>
      </c>
      <c r="E1328" s="102" t="s">
        <v>479</v>
      </c>
      <c r="F1328" s="102" t="s">
        <v>3116</v>
      </c>
      <c r="G1328" s="102" t="s">
        <v>3117</v>
      </c>
      <c r="H1328" s="102" t="s">
        <v>3118</v>
      </c>
      <c r="I1328" s="102" t="s">
        <v>63</v>
      </c>
      <c r="J1328" s="102" t="s">
        <v>3649</v>
      </c>
      <c r="K1328" s="102"/>
      <c r="L1328" s="104">
        <v>41547</v>
      </c>
      <c r="M1328" s="102" t="s">
        <v>3650</v>
      </c>
      <c r="N1328" s="102" t="s">
        <v>3650</v>
      </c>
      <c r="O1328" s="102" t="s">
        <v>383</v>
      </c>
      <c r="P1328" s="103">
        <v>1</v>
      </c>
      <c r="Q1328" s="105">
        <v>22400000</v>
      </c>
      <c r="R1328" s="103">
        <v>48</v>
      </c>
      <c r="S1328" s="105">
        <v>0</v>
      </c>
      <c r="T1328" s="105">
        <v>22400000</v>
      </c>
      <c r="U1328" s="105">
        <v>0</v>
      </c>
      <c r="V1328" s="105">
        <v>0</v>
      </c>
      <c r="W1328" s="105">
        <v>0</v>
      </c>
      <c r="X1328" s="105">
        <v>0</v>
      </c>
      <c r="Y1328" s="105">
        <v>0</v>
      </c>
      <c r="Z1328" s="105">
        <v>0</v>
      </c>
      <c r="AA1328" s="105">
        <v>0</v>
      </c>
      <c r="AB1328" s="105">
        <v>0</v>
      </c>
      <c r="AC1328" s="8">
        <f t="shared" si="140"/>
        <v>22400000</v>
      </c>
      <c r="AD1328" s="8">
        <f t="shared" si="141"/>
        <v>0</v>
      </c>
      <c r="AE1328" s="8">
        <f t="shared" si="142"/>
        <v>0</v>
      </c>
      <c r="AF1328" s="106">
        <f t="shared" si="143"/>
        <v>0</v>
      </c>
      <c r="AG1328" s="8">
        <f t="shared" si="144"/>
        <v>0</v>
      </c>
      <c r="AH1328" s="8">
        <f>IF($O1328="Aktif",MAX(0,MIN($AE1328,$AD1328-SUM($AG1328:AG1328))),0)</f>
        <v>0</v>
      </c>
      <c r="AI1328" s="8">
        <f>IF($O1328="Aktif",MAX(0,MIN($AE1328,$AD1328-SUM($AG1328:AH1328))),0)</f>
        <v>0</v>
      </c>
      <c r="AJ1328" s="8">
        <f>IF($O1328="Aktif",MAX(0,MIN($AE1328,$AD1328-SUM($AG1328:AI1328))),0)</f>
        <v>0</v>
      </c>
      <c r="AK1328" s="8">
        <f>IF($O1328="Aktif",MAX(0,MIN($AE1328,$AD1328-SUM($AG1328:AJ1328))),0)</f>
        <v>0</v>
      </c>
      <c r="AL1328" s="8">
        <f>IF($O1328="Aktif",MAX(0,MIN($AE1328,$AD1328-SUM($AG1328:AK1328))),0)</f>
        <v>0</v>
      </c>
      <c r="AM1328" s="8">
        <f>IF($O1328="Aktif",MAX(0,MIN($AE1328,$AD1328-SUM($AG1328:AL1328))),0)</f>
        <v>0</v>
      </c>
      <c r="AN1328" s="8">
        <f>IF($O1328="Aktif",MAX(0,MIN($AE1328,$AD1328-SUM($AG1328:AM1328))),0)</f>
        <v>0</v>
      </c>
      <c r="AO1328" s="8">
        <f>IF($O1328="Aktif",MAX(0,MIN($AE1328,$AD1328-SUM($AG1328:AN1328))),0)</f>
        <v>0</v>
      </c>
      <c r="AP1328" s="8">
        <f>IF($O1328="Aktif",MAX(0,MIN($AE1328,$AD1328-SUM($AG1328:AO1328))),0)</f>
        <v>0</v>
      </c>
      <c r="AQ1328" s="8">
        <f>IF($O1328="Aktif",MAX(0,MIN($AE1328,$AD1328-SUM($AG1328:AP1328))),0)</f>
        <v>0</v>
      </c>
      <c r="AR1328" s="8">
        <f>IF($O1328="Aktif",MAX(0,MIN($AE1328,$AD1328-SUM($AG1328:AQ1328))),0)</f>
        <v>0</v>
      </c>
      <c r="AS1328" s="8">
        <f>IF($O1328="Aktif",MAX(0,MIN($AE1328,$AD1328-SUM($AG1328:AR1328))),0)</f>
        <v>0</v>
      </c>
      <c r="AT1328" s="8">
        <f>IF($O1328="Aktif",MAX(0,MIN($AE1328,$AD1328-SUM($AG1328:AS1328))),0)</f>
        <v>0</v>
      </c>
      <c r="AU1328" s="8">
        <f>IF($O1328="Aktif",MAX(0,MIN($AE1328,$AD1328-SUM($AG1328:AT1328))),0)</f>
        <v>0</v>
      </c>
      <c r="AV1328" s="8">
        <f>IF($O1328="Aktif",MAX(0,MIN($AE1328,$AD1328-SUM($AG1328:AU1328))),0)</f>
        <v>0</v>
      </c>
      <c r="AW1328" s="8">
        <f t="shared" si="145"/>
        <v>0</v>
      </c>
      <c r="AX1328" s="8">
        <f t="shared" si="146"/>
        <v>0</v>
      </c>
    </row>
    <row r="1329" spans="1:50" ht="15" customHeight="1" x14ac:dyDescent="0.35">
      <c r="A1329" s="102">
        <v>1323</v>
      </c>
      <c r="B1329" s="102" t="s">
        <v>3648</v>
      </c>
      <c r="C1329" s="103">
        <v>9</v>
      </c>
      <c r="D1329" s="102" t="s">
        <v>186</v>
      </c>
      <c r="E1329" s="102" t="s">
        <v>479</v>
      </c>
      <c r="F1329" s="102" t="s">
        <v>3116</v>
      </c>
      <c r="G1329" s="102" t="s">
        <v>3117</v>
      </c>
      <c r="H1329" s="102" t="s">
        <v>3118</v>
      </c>
      <c r="I1329" s="102" t="s">
        <v>63</v>
      </c>
      <c r="J1329" s="102" t="s">
        <v>3651</v>
      </c>
      <c r="K1329" s="102"/>
      <c r="L1329" s="104">
        <v>41639</v>
      </c>
      <c r="M1329" s="102" t="s">
        <v>3652</v>
      </c>
      <c r="N1329" s="102" t="s">
        <v>3653</v>
      </c>
      <c r="O1329" s="102" t="s">
        <v>383</v>
      </c>
      <c r="P1329" s="103">
        <v>30</v>
      </c>
      <c r="Q1329" s="105">
        <v>9000000</v>
      </c>
      <c r="R1329" s="103">
        <v>48</v>
      </c>
      <c r="S1329" s="105">
        <v>0</v>
      </c>
      <c r="T1329" s="105">
        <v>9000000</v>
      </c>
      <c r="U1329" s="105">
        <v>0</v>
      </c>
      <c r="V1329" s="105">
        <v>0</v>
      </c>
      <c r="W1329" s="105">
        <v>0</v>
      </c>
      <c r="X1329" s="105">
        <v>0</v>
      </c>
      <c r="Y1329" s="105">
        <v>0</v>
      </c>
      <c r="Z1329" s="105">
        <v>0</v>
      </c>
      <c r="AA1329" s="105">
        <v>0</v>
      </c>
      <c r="AB1329" s="105">
        <v>0</v>
      </c>
      <c r="AC1329" s="8">
        <f t="shared" si="140"/>
        <v>9000000</v>
      </c>
      <c r="AD1329" s="8">
        <f t="shared" si="141"/>
        <v>0</v>
      </c>
      <c r="AE1329" s="8">
        <f t="shared" si="142"/>
        <v>0</v>
      </c>
      <c r="AF1329" s="106">
        <f t="shared" si="143"/>
        <v>0</v>
      </c>
      <c r="AG1329" s="8">
        <f t="shared" si="144"/>
        <v>0</v>
      </c>
      <c r="AH1329" s="8">
        <f>IF($O1329="Aktif",MAX(0,MIN($AE1329,$AD1329-SUM($AG1329:AG1329))),0)</f>
        <v>0</v>
      </c>
      <c r="AI1329" s="8">
        <f>IF($O1329="Aktif",MAX(0,MIN($AE1329,$AD1329-SUM($AG1329:AH1329))),0)</f>
        <v>0</v>
      </c>
      <c r="AJ1329" s="8">
        <f>IF($O1329="Aktif",MAX(0,MIN($AE1329,$AD1329-SUM($AG1329:AI1329))),0)</f>
        <v>0</v>
      </c>
      <c r="AK1329" s="8">
        <f>IF($O1329="Aktif",MAX(0,MIN($AE1329,$AD1329-SUM($AG1329:AJ1329))),0)</f>
        <v>0</v>
      </c>
      <c r="AL1329" s="8">
        <f>IF($O1329="Aktif",MAX(0,MIN($AE1329,$AD1329-SUM($AG1329:AK1329))),0)</f>
        <v>0</v>
      </c>
      <c r="AM1329" s="8">
        <f>IF($O1329="Aktif",MAX(0,MIN($AE1329,$AD1329-SUM($AG1329:AL1329))),0)</f>
        <v>0</v>
      </c>
      <c r="AN1329" s="8">
        <f>IF($O1329="Aktif",MAX(0,MIN($AE1329,$AD1329-SUM($AG1329:AM1329))),0)</f>
        <v>0</v>
      </c>
      <c r="AO1329" s="8">
        <f>IF($O1329="Aktif",MAX(0,MIN($AE1329,$AD1329-SUM($AG1329:AN1329))),0)</f>
        <v>0</v>
      </c>
      <c r="AP1329" s="8">
        <f>IF($O1329="Aktif",MAX(0,MIN($AE1329,$AD1329-SUM($AG1329:AO1329))),0)</f>
        <v>0</v>
      </c>
      <c r="AQ1329" s="8">
        <f>IF($O1329="Aktif",MAX(0,MIN($AE1329,$AD1329-SUM($AG1329:AP1329))),0)</f>
        <v>0</v>
      </c>
      <c r="AR1329" s="8">
        <f>IF($O1329="Aktif",MAX(0,MIN($AE1329,$AD1329-SUM($AG1329:AQ1329))),0)</f>
        <v>0</v>
      </c>
      <c r="AS1329" s="8">
        <f>IF($O1329="Aktif",MAX(0,MIN($AE1329,$AD1329-SUM($AG1329:AR1329))),0)</f>
        <v>0</v>
      </c>
      <c r="AT1329" s="8">
        <f>IF($O1329="Aktif",MAX(0,MIN($AE1329,$AD1329-SUM($AG1329:AS1329))),0)</f>
        <v>0</v>
      </c>
      <c r="AU1329" s="8">
        <f>IF($O1329="Aktif",MAX(0,MIN($AE1329,$AD1329-SUM($AG1329:AT1329))),0)</f>
        <v>0</v>
      </c>
      <c r="AV1329" s="8">
        <f>IF($O1329="Aktif",MAX(0,MIN($AE1329,$AD1329-SUM($AG1329:AU1329))),0)</f>
        <v>0</v>
      </c>
      <c r="AW1329" s="8">
        <f t="shared" si="145"/>
        <v>0</v>
      </c>
      <c r="AX1329" s="8">
        <f t="shared" si="146"/>
        <v>0</v>
      </c>
    </row>
    <row r="1330" spans="1:50" ht="15" customHeight="1" x14ac:dyDescent="0.35">
      <c r="A1330" s="102">
        <v>1324</v>
      </c>
      <c r="B1330" s="102" t="s">
        <v>3648</v>
      </c>
      <c r="C1330" s="103">
        <v>10</v>
      </c>
      <c r="D1330" s="102" t="s">
        <v>186</v>
      </c>
      <c r="E1330" s="102" t="s">
        <v>479</v>
      </c>
      <c r="F1330" s="102" t="s">
        <v>3116</v>
      </c>
      <c r="G1330" s="102" t="s">
        <v>3117</v>
      </c>
      <c r="H1330" s="102" t="s">
        <v>3118</v>
      </c>
      <c r="I1330" s="102" t="s">
        <v>63</v>
      </c>
      <c r="J1330" s="102" t="s">
        <v>3654</v>
      </c>
      <c r="K1330" s="102"/>
      <c r="L1330" s="104">
        <v>41639</v>
      </c>
      <c r="M1330" s="102" t="s">
        <v>3652</v>
      </c>
      <c r="N1330" s="102" t="s">
        <v>3655</v>
      </c>
      <c r="O1330" s="102" t="s">
        <v>383</v>
      </c>
      <c r="P1330" s="103">
        <v>40</v>
      </c>
      <c r="Q1330" s="105">
        <v>13200000</v>
      </c>
      <c r="R1330" s="103">
        <v>48</v>
      </c>
      <c r="S1330" s="105">
        <v>0</v>
      </c>
      <c r="T1330" s="105">
        <v>13200000</v>
      </c>
      <c r="U1330" s="105">
        <v>0</v>
      </c>
      <c r="V1330" s="105">
        <v>0</v>
      </c>
      <c r="W1330" s="105">
        <v>0</v>
      </c>
      <c r="X1330" s="105">
        <v>0</v>
      </c>
      <c r="Y1330" s="105">
        <v>0</v>
      </c>
      <c r="Z1330" s="105">
        <v>0</v>
      </c>
      <c r="AA1330" s="105">
        <v>0</v>
      </c>
      <c r="AB1330" s="105">
        <v>0</v>
      </c>
      <c r="AC1330" s="8">
        <f t="shared" si="140"/>
        <v>13200000</v>
      </c>
      <c r="AD1330" s="8">
        <f t="shared" si="141"/>
        <v>0</v>
      </c>
      <c r="AE1330" s="8">
        <f t="shared" si="142"/>
        <v>0</v>
      </c>
      <c r="AF1330" s="106">
        <f t="shared" si="143"/>
        <v>0</v>
      </c>
      <c r="AG1330" s="8">
        <f t="shared" si="144"/>
        <v>0</v>
      </c>
      <c r="AH1330" s="8">
        <f>IF($O1330="Aktif",MAX(0,MIN($AE1330,$AD1330-SUM($AG1330:AG1330))),0)</f>
        <v>0</v>
      </c>
      <c r="AI1330" s="8">
        <f>IF($O1330="Aktif",MAX(0,MIN($AE1330,$AD1330-SUM($AG1330:AH1330))),0)</f>
        <v>0</v>
      </c>
      <c r="AJ1330" s="8">
        <f>IF($O1330="Aktif",MAX(0,MIN($AE1330,$AD1330-SUM($AG1330:AI1330))),0)</f>
        <v>0</v>
      </c>
      <c r="AK1330" s="8">
        <f>IF($O1330="Aktif",MAX(0,MIN($AE1330,$AD1330-SUM($AG1330:AJ1330))),0)</f>
        <v>0</v>
      </c>
      <c r="AL1330" s="8">
        <f>IF($O1330="Aktif",MAX(0,MIN($AE1330,$AD1330-SUM($AG1330:AK1330))),0)</f>
        <v>0</v>
      </c>
      <c r="AM1330" s="8">
        <f>IF($O1330="Aktif",MAX(0,MIN($AE1330,$AD1330-SUM($AG1330:AL1330))),0)</f>
        <v>0</v>
      </c>
      <c r="AN1330" s="8">
        <f>IF($O1330="Aktif",MAX(0,MIN($AE1330,$AD1330-SUM($AG1330:AM1330))),0)</f>
        <v>0</v>
      </c>
      <c r="AO1330" s="8">
        <f>IF($O1330="Aktif",MAX(0,MIN($AE1330,$AD1330-SUM($AG1330:AN1330))),0)</f>
        <v>0</v>
      </c>
      <c r="AP1330" s="8">
        <f>IF($O1330="Aktif",MAX(0,MIN($AE1330,$AD1330-SUM($AG1330:AO1330))),0)</f>
        <v>0</v>
      </c>
      <c r="AQ1330" s="8">
        <f>IF($O1330="Aktif",MAX(0,MIN($AE1330,$AD1330-SUM($AG1330:AP1330))),0)</f>
        <v>0</v>
      </c>
      <c r="AR1330" s="8">
        <f>IF($O1330="Aktif",MAX(0,MIN($AE1330,$AD1330-SUM($AG1330:AQ1330))),0)</f>
        <v>0</v>
      </c>
      <c r="AS1330" s="8">
        <f>IF($O1330="Aktif",MAX(0,MIN($AE1330,$AD1330-SUM($AG1330:AR1330))),0)</f>
        <v>0</v>
      </c>
      <c r="AT1330" s="8">
        <f>IF($O1330="Aktif",MAX(0,MIN($AE1330,$AD1330-SUM($AG1330:AS1330))),0)</f>
        <v>0</v>
      </c>
      <c r="AU1330" s="8">
        <f>IF($O1330="Aktif",MAX(0,MIN($AE1330,$AD1330-SUM($AG1330:AT1330))),0)</f>
        <v>0</v>
      </c>
      <c r="AV1330" s="8">
        <f>IF($O1330="Aktif",MAX(0,MIN($AE1330,$AD1330-SUM($AG1330:AU1330))),0)</f>
        <v>0</v>
      </c>
      <c r="AW1330" s="8">
        <f t="shared" si="145"/>
        <v>0</v>
      </c>
      <c r="AX1330" s="8">
        <f t="shared" si="146"/>
        <v>0</v>
      </c>
    </row>
    <row r="1331" spans="1:50" ht="15" customHeight="1" x14ac:dyDescent="0.35">
      <c r="A1331" s="102">
        <v>1325</v>
      </c>
      <c r="B1331" s="102" t="s">
        <v>3648</v>
      </c>
      <c r="C1331" s="103">
        <v>11</v>
      </c>
      <c r="D1331" s="102" t="s">
        <v>186</v>
      </c>
      <c r="E1331" s="102" t="s">
        <v>479</v>
      </c>
      <c r="F1331" s="102" t="s">
        <v>3116</v>
      </c>
      <c r="G1331" s="102" t="s">
        <v>3117</v>
      </c>
      <c r="H1331" s="102" t="s">
        <v>3118</v>
      </c>
      <c r="I1331" s="102" t="s">
        <v>63</v>
      </c>
      <c r="J1331" s="102" t="s">
        <v>3656</v>
      </c>
      <c r="K1331" s="102"/>
      <c r="L1331" s="104">
        <v>41639</v>
      </c>
      <c r="M1331" s="102" t="s">
        <v>3657</v>
      </c>
      <c r="N1331" s="102" t="s">
        <v>3658</v>
      </c>
      <c r="O1331" s="102" t="s">
        <v>383</v>
      </c>
      <c r="P1331" s="103">
        <v>1</v>
      </c>
      <c r="Q1331" s="105">
        <v>5750000</v>
      </c>
      <c r="R1331" s="103">
        <v>48</v>
      </c>
      <c r="S1331" s="105">
        <v>0</v>
      </c>
      <c r="T1331" s="105">
        <v>5750000</v>
      </c>
      <c r="U1331" s="105">
        <v>0</v>
      </c>
      <c r="V1331" s="105">
        <v>0</v>
      </c>
      <c r="W1331" s="105">
        <v>0</v>
      </c>
      <c r="X1331" s="105">
        <v>0</v>
      </c>
      <c r="Y1331" s="105">
        <v>0</v>
      </c>
      <c r="Z1331" s="105">
        <v>0</v>
      </c>
      <c r="AA1331" s="105">
        <v>0</v>
      </c>
      <c r="AB1331" s="105">
        <v>0</v>
      </c>
      <c r="AC1331" s="8">
        <f t="shared" si="140"/>
        <v>5750000</v>
      </c>
      <c r="AD1331" s="8">
        <f t="shared" si="141"/>
        <v>0</v>
      </c>
      <c r="AE1331" s="8">
        <f t="shared" si="142"/>
        <v>0</v>
      </c>
      <c r="AF1331" s="106">
        <f t="shared" si="143"/>
        <v>0</v>
      </c>
      <c r="AG1331" s="8">
        <f t="shared" si="144"/>
        <v>0</v>
      </c>
      <c r="AH1331" s="8">
        <f>IF($O1331="Aktif",MAX(0,MIN($AE1331,$AD1331-SUM($AG1331:AG1331))),0)</f>
        <v>0</v>
      </c>
      <c r="AI1331" s="8">
        <f>IF($O1331="Aktif",MAX(0,MIN($AE1331,$AD1331-SUM($AG1331:AH1331))),0)</f>
        <v>0</v>
      </c>
      <c r="AJ1331" s="8">
        <f>IF($O1331="Aktif",MAX(0,MIN($AE1331,$AD1331-SUM($AG1331:AI1331))),0)</f>
        <v>0</v>
      </c>
      <c r="AK1331" s="8">
        <f>IF($O1331="Aktif",MAX(0,MIN($AE1331,$AD1331-SUM($AG1331:AJ1331))),0)</f>
        <v>0</v>
      </c>
      <c r="AL1331" s="8">
        <f>IF($O1331="Aktif",MAX(0,MIN($AE1331,$AD1331-SUM($AG1331:AK1331))),0)</f>
        <v>0</v>
      </c>
      <c r="AM1331" s="8">
        <f>IF($O1331="Aktif",MAX(0,MIN($AE1331,$AD1331-SUM($AG1331:AL1331))),0)</f>
        <v>0</v>
      </c>
      <c r="AN1331" s="8">
        <f>IF($O1331="Aktif",MAX(0,MIN($AE1331,$AD1331-SUM($AG1331:AM1331))),0)</f>
        <v>0</v>
      </c>
      <c r="AO1331" s="8">
        <f>IF($O1331="Aktif",MAX(0,MIN($AE1331,$AD1331-SUM($AG1331:AN1331))),0)</f>
        <v>0</v>
      </c>
      <c r="AP1331" s="8">
        <f>IF($O1331="Aktif",MAX(0,MIN($AE1331,$AD1331-SUM($AG1331:AO1331))),0)</f>
        <v>0</v>
      </c>
      <c r="AQ1331" s="8">
        <f>IF($O1331="Aktif",MAX(0,MIN($AE1331,$AD1331-SUM($AG1331:AP1331))),0)</f>
        <v>0</v>
      </c>
      <c r="AR1331" s="8">
        <f>IF($O1331="Aktif",MAX(0,MIN($AE1331,$AD1331-SUM($AG1331:AQ1331))),0)</f>
        <v>0</v>
      </c>
      <c r="AS1331" s="8">
        <f>IF($O1331="Aktif",MAX(0,MIN($AE1331,$AD1331-SUM($AG1331:AR1331))),0)</f>
        <v>0</v>
      </c>
      <c r="AT1331" s="8">
        <f>IF($O1331="Aktif",MAX(0,MIN($AE1331,$AD1331-SUM($AG1331:AS1331))),0)</f>
        <v>0</v>
      </c>
      <c r="AU1331" s="8">
        <f>IF($O1331="Aktif",MAX(0,MIN($AE1331,$AD1331-SUM($AG1331:AT1331))),0)</f>
        <v>0</v>
      </c>
      <c r="AV1331" s="8">
        <f>IF($O1331="Aktif",MAX(0,MIN($AE1331,$AD1331-SUM($AG1331:AU1331))),0)</f>
        <v>0</v>
      </c>
      <c r="AW1331" s="8">
        <f t="shared" si="145"/>
        <v>0</v>
      </c>
      <c r="AX1331" s="8">
        <f t="shared" si="146"/>
        <v>0</v>
      </c>
    </row>
    <row r="1332" spans="1:50" ht="15" customHeight="1" x14ac:dyDescent="0.35">
      <c r="A1332" s="102">
        <v>1326</v>
      </c>
      <c r="B1332" s="102" t="s">
        <v>3648</v>
      </c>
      <c r="C1332" s="103">
        <v>12</v>
      </c>
      <c r="D1332" s="102" t="s">
        <v>186</v>
      </c>
      <c r="E1332" s="102" t="s">
        <v>479</v>
      </c>
      <c r="F1332" s="102" t="s">
        <v>3116</v>
      </c>
      <c r="G1332" s="102" t="s">
        <v>3117</v>
      </c>
      <c r="H1332" s="102" t="s">
        <v>3118</v>
      </c>
      <c r="I1332" s="102" t="s">
        <v>63</v>
      </c>
      <c r="J1332" s="102" t="s">
        <v>3659</v>
      </c>
      <c r="K1332" s="102"/>
      <c r="L1332" s="104">
        <v>41639</v>
      </c>
      <c r="M1332" s="102" t="s">
        <v>3660</v>
      </c>
      <c r="N1332" s="102" t="s">
        <v>3661</v>
      </c>
      <c r="O1332" s="102" t="s">
        <v>383</v>
      </c>
      <c r="P1332" s="103">
        <v>1</v>
      </c>
      <c r="Q1332" s="105">
        <v>2650000</v>
      </c>
      <c r="R1332" s="103">
        <v>48</v>
      </c>
      <c r="S1332" s="105">
        <v>0</v>
      </c>
      <c r="T1332" s="105">
        <v>2650000</v>
      </c>
      <c r="U1332" s="105">
        <v>0</v>
      </c>
      <c r="V1332" s="105">
        <v>0</v>
      </c>
      <c r="W1332" s="105">
        <v>0</v>
      </c>
      <c r="X1332" s="105">
        <v>0</v>
      </c>
      <c r="Y1332" s="105">
        <v>0</v>
      </c>
      <c r="Z1332" s="105">
        <v>0</v>
      </c>
      <c r="AA1332" s="105">
        <v>0</v>
      </c>
      <c r="AB1332" s="105">
        <v>0</v>
      </c>
      <c r="AC1332" s="8">
        <f t="shared" si="140"/>
        <v>2650000</v>
      </c>
      <c r="AD1332" s="8">
        <f t="shared" si="141"/>
        <v>0</v>
      </c>
      <c r="AE1332" s="8">
        <f t="shared" si="142"/>
        <v>0</v>
      </c>
      <c r="AF1332" s="106">
        <f t="shared" si="143"/>
        <v>0</v>
      </c>
      <c r="AG1332" s="8">
        <f t="shared" si="144"/>
        <v>0</v>
      </c>
      <c r="AH1332" s="8">
        <f>IF($O1332="Aktif",MAX(0,MIN($AE1332,$AD1332-SUM($AG1332:AG1332))),0)</f>
        <v>0</v>
      </c>
      <c r="AI1332" s="8">
        <f>IF($O1332="Aktif",MAX(0,MIN($AE1332,$AD1332-SUM($AG1332:AH1332))),0)</f>
        <v>0</v>
      </c>
      <c r="AJ1332" s="8">
        <f>IF($O1332="Aktif",MAX(0,MIN($AE1332,$AD1332-SUM($AG1332:AI1332))),0)</f>
        <v>0</v>
      </c>
      <c r="AK1332" s="8">
        <f>IF($O1332="Aktif",MAX(0,MIN($AE1332,$AD1332-SUM($AG1332:AJ1332))),0)</f>
        <v>0</v>
      </c>
      <c r="AL1332" s="8">
        <f>IF($O1332="Aktif",MAX(0,MIN($AE1332,$AD1332-SUM($AG1332:AK1332))),0)</f>
        <v>0</v>
      </c>
      <c r="AM1332" s="8">
        <f>IF($O1332="Aktif",MAX(0,MIN($AE1332,$AD1332-SUM($AG1332:AL1332))),0)</f>
        <v>0</v>
      </c>
      <c r="AN1332" s="8">
        <f>IF($O1332="Aktif",MAX(0,MIN($AE1332,$AD1332-SUM($AG1332:AM1332))),0)</f>
        <v>0</v>
      </c>
      <c r="AO1332" s="8">
        <f>IF($O1332="Aktif",MAX(0,MIN($AE1332,$AD1332-SUM($AG1332:AN1332))),0)</f>
        <v>0</v>
      </c>
      <c r="AP1332" s="8">
        <f>IF($O1332="Aktif",MAX(0,MIN($AE1332,$AD1332-SUM($AG1332:AO1332))),0)</f>
        <v>0</v>
      </c>
      <c r="AQ1332" s="8">
        <f>IF($O1332="Aktif",MAX(0,MIN($AE1332,$AD1332-SUM($AG1332:AP1332))),0)</f>
        <v>0</v>
      </c>
      <c r="AR1332" s="8">
        <f>IF($O1332="Aktif",MAX(0,MIN($AE1332,$AD1332-SUM($AG1332:AQ1332))),0)</f>
        <v>0</v>
      </c>
      <c r="AS1332" s="8">
        <f>IF($O1332="Aktif",MAX(0,MIN($AE1332,$AD1332-SUM($AG1332:AR1332))),0)</f>
        <v>0</v>
      </c>
      <c r="AT1332" s="8">
        <f>IF($O1332="Aktif",MAX(0,MIN($AE1332,$AD1332-SUM($AG1332:AS1332))),0)</f>
        <v>0</v>
      </c>
      <c r="AU1332" s="8">
        <f>IF($O1332="Aktif",MAX(0,MIN($AE1332,$AD1332-SUM($AG1332:AT1332))),0)</f>
        <v>0</v>
      </c>
      <c r="AV1332" s="8">
        <f>IF($O1332="Aktif",MAX(0,MIN($AE1332,$AD1332-SUM($AG1332:AU1332))),0)</f>
        <v>0</v>
      </c>
      <c r="AW1332" s="8">
        <f t="shared" si="145"/>
        <v>0</v>
      </c>
      <c r="AX1332" s="8">
        <f t="shared" si="146"/>
        <v>0</v>
      </c>
    </row>
    <row r="1333" spans="1:50" ht="15" customHeight="1" x14ac:dyDescent="0.35">
      <c r="A1333" s="102">
        <v>1327</v>
      </c>
      <c r="B1333" s="102" t="s">
        <v>3648</v>
      </c>
      <c r="C1333" s="103">
        <v>13</v>
      </c>
      <c r="D1333" s="102" t="s">
        <v>186</v>
      </c>
      <c r="E1333" s="102" t="s">
        <v>479</v>
      </c>
      <c r="F1333" s="102" t="s">
        <v>3116</v>
      </c>
      <c r="G1333" s="102" t="s">
        <v>3117</v>
      </c>
      <c r="H1333" s="102" t="s">
        <v>3118</v>
      </c>
      <c r="I1333" s="102" t="s">
        <v>63</v>
      </c>
      <c r="J1333" s="102" t="s">
        <v>3662</v>
      </c>
      <c r="K1333" s="102"/>
      <c r="L1333" s="104">
        <v>41639</v>
      </c>
      <c r="M1333" s="102" t="s">
        <v>3663</v>
      </c>
      <c r="N1333" s="102" t="s">
        <v>3664</v>
      </c>
      <c r="O1333" s="102" t="s">
        <v>383</v>
      </c>
      <c r="P1333" s="103">
        <v>1</v>
      </c>
      <c r="Q1333" s="105">
        <v>2600000</v>
      </c>
      <c r="R1333" s="103">
        <v>48</v>
      </c>
      <c r="S1333" s="105">
        <v>0</v>
      </c>
      <c r="T1333" s="105">
        <v>2600000</v>
      </c>
      <c r="U1333" s="105">
        <v>0</v>
      </c>
      <c r="V1333" s="105">
        <v>0</v>
      </c>
      <c r="W1333" s="105">
        <v>0</v>
      </c>
      <c r="X1333" s="105">
        <v>0</v>
      </c>
      <c r="Y1333" s="105">
        <v>0</v>
      </c>
      <c r="Z1333" s="105">
        <v>0</v>
      </c>
      <c r="AA1333" s="105">
        <v>0</v>
      </c>
      <c r="AB1333" s="105">
        <v>0</v>
      </c>
      <c r="AC1333" s="8">
        <f t="shared" si="140"/>
        <v>2600000</v>
      </c>
      <c r="AD1333" s="8">
        <f t="shared" si="141"/>
        <v>0</v>
      </c>
      <c r="AE1333" s="8">
        <f t="shared" si="142"/>
        <v>0</v>
      </c>
      <c r="AF1333" s="106">
        <f t="shared" si="143"/>
        <v>0</v>
      </c>
      <c r="AG1333" s="8">
        <f t="shared" si="144"/>
        <v>0</v>
      </c>
      <c r="AH1333" s="8">
        <f>IF($O1333="Aktif",MAX(0,MIN($AE1333,$AD1333-SUM($AG1333:AG1333))),0)</f>
        <v>0</v>
      </c>
      <c r="AI1333" s="8">
        <f>IF($O1333="Aktif",MAX(0,MIN($AE1333,$AD1333-SUM($AG1333:AH1333))),0)</f>
        <v>0</v>
      </c>
      <c r="AJ1333" s="8">
        <f>IF($O1333="Aktif",MAX(0,MIN($AE1333,$AD1333-SUM($AG1333:AI1333))),0)</f>
        <v>0</v>
      </c>
      <c r="AK1333" s="8">
        <f>IF($O1333="Aktif",MAX(0,MIN($AE1333,$AD1333-SUM($AG1333:AJ1333))),0)</f>
        <v>0</v>
      </c>
      <c r="AL1333" s="8">
        <f>IF($O1333="Aktif",MAX(0,MIN($AE1333,$AD1333-SUM($AG1333:AK1333))),0)</f>
        <v>0</v>
      </c>
      <c r="AM1333" s="8">
        <f>IF($O1333="Aktif",MAX(0,MIN($AE1333,$AD1333-SUM($AG1333:AL1333))),0)</f>
        <v>0</v>
      </c>
      <c r="AN1333" s="8">
        <f>IF($O1333="Aktif",MAX(0,MIN($AE1333,$AD1333-SUM($AG1333:AM1333))),0)</f>
        <v>0</v>
      </c>
      <c r="AO1333" s="8">
        <f>IF($O1333="Aktif",MAX(0,MIN($AE1333,$AD1333-SUM($AG1333:AN1333))),0)</f>
        <v>0</v>
      </c>
      <c r="AP1333" s="8">
        <f>IF($O1333="Aktif",MAX(0,MIN($AE1333,$AD1333-SUM($AG1333:AO1333))),0)</f>
        <v>0</v>
      </c>
      <c r="AQ1333" s="8">
        <f>IF($O1333="Aktif",MAX(0,MIN($AE1333,$AD1333-SUM($AG1333:AP1333))),0)</f>
        <v>0</v>
      </c>
      <c r="AR1333" s="8">
        <f>IF($O1333="Aktif",MAX(0,MIN($AE1333,$AD1333-SUM($AG1333:AQ1333))),0)</f>
        <v>0</v>
      </c>
      <c r="AS1333" s="8">
        <f>IF($O1333="Aktif",MAX(0,MIN($AE1333,$AD1333-SUM($AG1333:AR1333))),0)</f>
        <v>0</v>
      </c>
      <c r="AT1333" s="8">
        <f>IF($O1333="Aktif",MAX(0,MIN($AE1333,$AD1333-SUM($AG1333:AS1333))),0)</f>
        <v>0</v>
      </c>
      <c r="AU1333" s="8">
        <f>IF($O1333="Aktif",MAX(0,MIN($AE1333,$AD1333-SUM($AG1333:AT1333))),0)</f>
        <v>0</v>
      </c>
      <c r="AV1333" s="8">
        <f>IF($O1333="Aktif",MAX(0,MIN($AE1333,$AD1333-SUM($AG1333:AU1333))),0)</f>
        <v>0</v>
      </c>
      <c r="AW1333" s="8">
        <f t="shared" si="145"/>
        <v>0</v>
      </c>
      <c r="AX1333" s="8">
        <f t="shared" si="146"/>
        <v>0</v>
      </c>
    </row>
    <row r="1334" spans="1:50" ht="15" customHeight="1" x14ac:dyDescent="0.35">
      <c r="A1334" s="102">
        <v>1328</v>
      </c>
      <c r="B1334" s="102" t="s">
        <v>3648</v>
      </c>
      <c r="C1334" s="103">
        <v>14</v>
      </c>
      <c r="D1334" s="102" t="s">
        <v>186</v>
      </c>
      <c r="E1334" s="102" t="s">
        <v>479</v>
      </c>
      <c r="F1334" s="102" t="s">
        <v>3116</v>
      </c>
      <c r="G1334" s="102" t="s">
        <v>3117</v>
      </c>
      <c r="H1334" s="102" t="s">
        <v>3118</v>
      </c>
      <c r="I1334" s="102" t="s">
        <v>63</v>
      </c>
      <c r="J1334" s="102" t="s">
        <v>3665</v>
      </c>
      <c r="K1334" s="102"/>
      <c r="L1334" s="104">
        <v>41729</v>
      </c>
      <c r="M1334" s="102" t="s">
        <v>3358</v>
      </c>
      <c r="N1334" s="102" t="s">
        <v>3666</v>
      </c>
      <c r="O1334" s="102" t="s">
        <v>383</v>
      </c>
      <c r="P1334" s="103">
        <v>1</v>
      </c>
      <c r="Q1334" s="105">
        <v>97500000</v>
      </c>
      <c r="R1334" s="103">
        <v>48</v>
      </c>
      <c r="S1334" s="105">
        <v>0</v>
      </c>
      <c r="T1334" s="105">
        <v>97500000</v>
      </c>
      <c r="U1334" s="105">
        <v>0</v>
      </c>
      <c r="V1334" s="105">
        <v>0</v>
      </c>
      <c r="W1334" s="105">
        <v>0</v>
      </c>
      <c r="X1334" s="105">
        <v>0</v>
      </c>
      <c r="Y1334" s="105">
        <v>0</v>
      </c>
      <c r="Z1334" s="105">
        <v>0</v>
      </c>
      <c r="AA1334" s="105">
        <v>0</v>
      </c>
      <c r="AB1334" s="105">
        <v>0</v>
      </c>
      <c r="AC1334" s="8">
        <f t="shared" si="140"/>
        <v>97500000</v>
      </c>
      <c r="AD1334" s="8">
        <f t="shared" si="141"/>
        <v>0</v>
      </c>
      <c r="AE1334" s="8">
        <f t="shared" si="142"/>
        <v>0</v>
      </c>
      <c r="AF1334" s="106">
        <f t="shared" si="143"/>
        <v>0</v>
      </c>
      <c r="AG1334" s="8">
        <f t="shared" si="144"/>
        <v>0</v>
      </c>
      <c r="AH1334" s="8">
        <f>IF($O1334="Aktif",MAX(0,MIN($AE1334,$AD1334-SUM($AG1334:AG1334))),0)</f>
        <v>0</v>
      </c>
      <c r="AI1334" s="8">
        <f>IF($O1334="Aktif",MAX(0,MIN($AE1334,$AD1334-SUM($AG1334:AH1334))),0)</f>
        <v>0</v>
      </c>
      <c r="AJ1334" s="8">
        <f>IF($O1334="Aktif",MAX(0,MIN($AE1334,$AD1334-SUM($AG1334:AI1334))),0)</f>
        <v>0</v>
      </c>
      <c r="AK1334" s="8">
        <f>IF($O1334="Aktif",MAX(0,MIN($AE1334,$AD1334-SUM($AG1334:AJ1334))),0)</f>
        <v>0</v>
      </c>
      <c r="AL1334" s="8">
        <f>IF($O1334="Aktif",MAX(0,MIN($AE1334,$AD1334-SUM($AG1334:AK1334))),0)</f>
        <v>0</v>
      </c>
      <c r="AM1334" s="8">
        <f>IF($O1334="Aktif",MAX(0,MIN($AE1334,$AD1334-SUM($AG1334:AL1334))),0)</f>
        <v>0</v>
      </c>
      <c r="AN1334" s="8">
        <f>IF($O1334="Aktif",MAX(0,MIN($AE1334,$AD1334-SUM($AG1334:AM1334))),0)</f>
        <v>0</v>
      </c>
      <c r="AO1334" s="8">
        <f>IF($O1334="Aktif",MAX(0,MIN($AE1334,$AD1334-SUM($AG1334:AN1334))),0)</f>
        <v>0</v>
      </c>
      <c r="AP1334" s="8">
        <f>IF($O1334="Aktif",MAX(0,MIN($AE1334,$AD1334-SUM($AG1334:AO1334))),0)</f>
        <v>0</v>
      </c>
      <c r="AQ1334" s="8">
        <f>IF($O1334="Aktif",MAX(0,MIN($AE1334,$AD1334-SUM($AG1334:AP1334))),0)</f>
        <v>0</v>
      </c>
      <c r="AR1334" s="8">
        <f>IF($O1334="Aktif",MAX(0,MIN($AE1334,$AD1334-SUM($AG1334:AQ1334))),0)</f>
        <v>0</v>
      </c>
      <c r="AS1334" s="8">
        <f>IF($O1334="Aktif",MAX(0,MIN($AE1334,$AD1334-SUM($AG1334:AR1334))),0)</f>
        <v>0</v>
      </c>
      <c r="AT1334" s="8">
        <f>IF($O1334="Aktif",MAX(0,MIN($AE1334,$AD1334-SUM($AG1334:AS1334))),0)</f>
        <v>0</v>
      </c>
      <c r="AU1334" s="8">
        <f>IF($O1334="Aktif",MAX(0,MIN($AE1334,$AD1334-SUM($AG1334:AT1334))),0)</f>
        <v>0</v>
      </c>
      <c r="AV1334" s="8">
        <f>IF($O1334="Aktif",MAX(0,MIN($AE1334,$AD1334-SUM($AG1334:AU1334))),0)</f>
        <v>0</v>
      </c>
      <c r="AW1334" s="8">
        <f t="shared" si="145"/>
        <v>0</v>
      </c>
      <c r="AX1334" s="8">
        <f t="shared" si="146"/>
        <v>0</v>
      </c>
    </row>
    <row r="1335" spans="1:50" ht="15" customHeight="1" x14ac:dyDescent="0.35">
      <c r="A1335" s="102">
        <v>1329</v>
      </c>
      <c r="B1335" s="102" t="s">
        <v>3648</v>
      </c>
      <c r="C1335" s="103">
        <v>15</v>
      </c>
      <c r="D1335" s="102" t="s">
        <v>186</v>
      </c>
      <c r="E1335" s="102" t="s">
        <v>479</v>
      </c>
      <c r="F1335" s="102" t="s">
        <v>3116</v>
      </c>
      <c r="G1335" s="102" t="s">
        <v>3117</v>
      </c>
      <c r="H1335" s="102" t="s">
        <v>3118</v>
      </c>
      <c r="I1335" s="102" t="s">
        <v>63</v>
      </c>
      <c r="J1335" s="102" t="s">
        <v>3667</v>
      </c>
      <c r="K1335" s="102"/>
      <c r="L1335" s="104">
        <v>41759</v>
      </c>
      <c r="M1335" s="102" t="s">
        <v>3668</v>
      </c>
      <c r="N1335" s="102" t="s">
        <v>3669</v>
      </c>
      <c r="O1335" s="102" t="s">
        <v>383</v>
      </c>
      <c r="P1335" s="103">
        <v>1</v>
      </c>
      <c r="Q1335" s="105">
        <v>26400000</v>
      </c>
      <c r="R1335" s="103">
        <v>48</v>
      </c>
      <c r="S1335" s="105">
        <v>0</v>
      </c>
      <c r="T1335" s="105">
        <v>26400000</v>
      </c>
      <c r="U1335" s="105">
        <v>0</v>
      </c>
      <c r="V1335" s="105">
        <v>0</v>
      </c>
      <c r="W1335" s="105">
        <v>0</v>
      </c>
      <c r="X1335" s="105">
        <v>0</v>
      </c>
      <c r="Y1335" s="105">
        <v>0</v>
      </c>
      <c r="Z1335" s="105">
        <v>0</v>
      </c>
      <c r="AA1335" s="105">
        <v>0</v>
      </c>
      <c r="AB1335" s="105">
        <v>0</v>
      </c>
      <c r="AC1335" s="8">
        <f t="shared" si="140"/>
        <v>26400000</v>
      </c>
      <c r="AD1335" s="8">
        <f t="shared" si="141"/>
        <v>0</v>
      </c>
      <c r="AE1335" s="8">
        <f t="shared" si="142"/>
        <v>0</v>
      </c>
      <c r="AF1335" s="106">
        <f t="shared" si="143"/>
        <v>0</v>
      </c>
      <c r="AG1335" s="8">
        <f t="shared" si="144"/>
        <v>0</v>
      </c>
      <c r="AH1335" s="8">
        <f>IF($O1335="Aktif",MAX(0,MIN($AE1335,$AD1335-SUM($AG1335:AG1335))),0)</f>
        <v>0</v>
      </c>
      <c r="AI1335" s="8">
        <f>IF($O1335="Aktif",MAX(0,MIN($AE1335,$AD1335-SUM($AG1335:AH1335))),0)</f>
        <v>0</v>
      </c>
      <c r="AJ1335" s="8">
        <f>IF($O1335="Aktif",MAX(0,MIN($AE1335,$AD1335-SUM($AG1335:AI1335))),0)</f>
        <v>0</v>
      </c>
      <c r="AK1335" s="8">
        <f>IF($O1335="Aktif",MAX(0,MIN($AE1335,$AD1335-SUM($AG1335:AJ1335))),0)</f>
        <v>0</v>
      </c>
      <c r="AL1335" s="8">
        <f>IF($O1335="Aktif",MAX(0,MIN($AE1335,$AD1335-SUM($AG1335:AK1335))),0)</f>
        <v>0</v>
      </c>
      <c r="AM1335" s="8">
        <f>IF($O1335="Aktif",MAX(0,MIN($AE1335,$AD1335-SUM($AG1335:AL1335))),0)</f>
        <v>0</v>
      </c>
      <c r="AN1335" s="8">
        <f>IF($O1335="Aktif",MAX(0,MIN($AE1335,$AD1335-SUM($AG1335:AM1335))),0)</f>
        <v>0</v>
      </c>
      <c r="AO1335" s="8">
        <f>IF($O1335="Aktif",MAX(0,MIN($AE1335,$AD1335-SUM($AG1335:AN1335))),0)</f>
        <v>0</v>
      </c>
      <c r="AP1335" s="8">
        <f>IF($O1335="Aktif",MAX(0,MIN($AE1335,$AD1335-SUM($AG1335:AO1335))),0)</f>
        <v>0</v>
      </c>
      <c r="AQ1335" s="8">
        <f>IF($O1335="Aktif",MAX(0,MIN($AE1335,$AD1335-SUM($AG1335:AP1335))),0)</f>
        <v>0</v>
      </c>
      <c r="AR1335" s="8">
        <f>IF($O1335="Aktif",MAX(0,MIN($AE1335,$AD1335-SUM($AG1335:AQ1335))),0)</f>
        <v>0</v>
      </c>
      <c r="AS1335" s="8">
        <f>IF($O1335="Aktif",MAX(0,MIN($AE1335,$AD1335-SUM($AG1335:AR1335))),0)</f>
        <v>0</v>
      </c>
      <c r="AT1335" s="8">
        <f>IF($O1335="Aktif",MAX(0,MIN($AE1335,$AD1335-SUM($AG1335:AS1335))),0)</f>
        <v>0</v>
      </c>
      <c r="AU1335" s="8">
        <f>IF($O1335="Aktif",MAX(0,MIN($AE1335,$AD1335-SUM($AG1335:AT1335))),0)</f>
        <v>0</v>
      </c>
      <c r="AV1335" s="8">
        <f>IF($O1335="Aktif",MAX(0,MIN($AE1335,$AD1335-SUM($AG1335:AU1335))),0)</f>
        <v>0</v>
      </c>
      <c r="AW1335" s="8">
        <f t="shared" si="145"/>
        <v>0</v>
      </c>
      <c r="AX1335" s="8">
        <f t="shared" si="146"/>
        <v>0</v>
      </c>
    </row>
    <row r="1336" spans="1:50" ht="15" customHeight="1" x14ac:dyDescent="0.35">
      <c r="A1336" s="102">
        <v>1330</v>
      </c>
      <c r="B1336" s="102" t="s">
        <v>3648</v>
      </c>
      <c r="C1336" s="103">
        <v>16</v>
      </c>
      <c r="D1336" s="102" t="s">
        <v>186</v>
      </c>
      <c r="E1336" s="102" t="s">
        <v>0</v>
      </c>
      <c r="F1336" s="102" t="s">
        <v>3116</v>
      </c>
      <c r="G1336" s="102" t="s">
        <v>3117</v>
      </c>
      <c r="H1336" s="102" t="s">
        <v>3118</v>
      </c>
      <c r="I1336" s="102" t="s">
        <v>63</v>
      </c>
      <c r="J1336" s="102"/>
      <c r="K1336" s="102"/>
      <c r="L1336" s="104">
        <v>44179</v>
      </c>
      <c r="M1336" s="102" t="s">
        <v>3668</v>
      </c>
      <c r="N1336" s="102" t="s">
        <v>3670</v>
      </c>
      <c r="O1336" s="102" t="s">
        <v>487</v>
      </c>
      <c r="P1336" s="103">
        <v>1</v>
      </c>
      <c r="Q1336" s="105">
        <v>-26400000</v>
      </c>
      <c r="R1336" s="102"/>
      <c r="S1336" s="105">
        <v>0</v>
      </c>
      <c r="T1336" s="105">
        <v>-26400000</v>
      </c>
      <c r="U1336" s="105">
        <v>0</v>
      </c>
      <c r="V1336" s="105">
        <v>0</v>
      </c>
      <c r="W1336" s="105">
        <v>0</v>
      </c>
      <c r="X1336" s="105">
        <v>0</v>
      </c>
      <c r="Y1336" s="105">
        <v>0</v>
      </c>
      <c r="Z1336" s="105">
        <v>0</v>
      </c>
      <c r="AA1336" s="105">
        <v>0</v>
      </c>
      <c r="AB1336" s="105">
        <v>0</v>
      </c>
      <c r="AC1336" s="8">
        <f t="shared" si="140"/>
        <v>-26400000</v>
      </c>
      <c r="AD1336" s="8">
        <f t="shared" si="141"/>
        <v>0</v>
      </c>
      <c r="AE1336" s="8">
        <f t="shared" si="142"/>
        <v>0</v>
      </c>
      <c r="AF1336" s="106">
        <f t="shared" si="143"/>
        <v>0</v>
      </c>
      <c r="AG1336" s="8">
        <f t="shared" si="144"/>
        <v>0</v>
      </c>
      <c r="AH1336" s="8">
        <f>IF($O1336="Aktif",MAX(0,MIN($AE1336,$AD1336-SUM($AG1336:AG1336))),0)</f>
        <v>0</v>
      </c>
      <c r="AI1336" s="8">
        <f>IF($O1336="Aktif",MAX(0,MIN($AE1336,$AD1336-SUM($AG1336:AH1336))),0)</f>
        <v>0</v>
      </c>
      <c r="AJ1336" s="8">
        <f>IF($O1336="Aktif",MAX(0,MIN($AE1336,$AD1336-SUM($AG1336:AI1336))),0)</f>
        <v>0</v>
      </c>
      <c r="AK1336" s="8">
        <f>IF($O1336="Aktif",MAX(0,MIN($AE1336,$AD1336-SUM($AG1336:AJ1336))),0)</f>
        <v>0</v>
      </c>
      <c r="AL1336" s="8">
        <f>IF($O1336="Aktif",MAX(0,MIN($AE1336,$AD1336-SUM($AG1336:AK1336))),0)</f>
        <v>0</v>
      </c>
      <c r="AM1336" s="8">
        <f>IF($O1336="Aktif",MAX(0,MIN($AE1336,$AD1336-SUM($AG1336:AL1336))),0)</f>
        <v>0</v>
      </c>
      <c r="AN1336" s="8">
        <f>IF($O1336="Aktif",MAX(0,MIN($AE1336,$AD1336-SUM($AG1336:AM1336))),0)</f>
        <v>0</v>
      </c>
      <c r="AO1336" s="8">
        <f>IF($O1336="Aktif",MAX(0,MIN($AE1336,$AD1336-SUM($AG1336:AN1336))),0)</f>
        <v>0</v>
      </c>
      <c r="AP1336" s="8">
        <f>IF($O1336="Aktif",MAX(0,MIN($AE1336,$AD1336-SUM($AG1336:AO1336))),0)</f>
        <v>0</v>
      </c>
      <c r="AQ1336" s="8">
        <f>IF($O1336="Aktif",MAX(0,MIN($AE1336,$AD1336-SUM($AG1336:AP1336))),0)</f>
        <v>0</v>
      </c>
      <c r="AR1336" s="8">
        <f>IF($O1336="Aktif",MAX(0,MIN($AE1336,$AD1336-SUM($AG1336:AQ1336))),0)</f>
        <v>0</v>
      </c>
      <c r="AS1336" s="8">
        <f>IF($O1336="Aktif",MAX(0,MIN($AE1336,$AD1336-SUM($AG1336:AR1336))),0)</f>
        <v>0</v>
      </c>
      <c r="AT1336" s="8">
        <f>IF($O1336="Aktif",MAX(0,MIN($AE1336,$AD1336-SUM($AG1336:AS1336))),0)</f>
        <v>0</v>
      </c>
      <c r="AU1336" s="8">
        <f>IF($O1336="Aktif",MAX(0,MIN($AE1336,$AD1336-SUM($AG1336:AT1336))),0)</f>
        <v>0</v>
      </c>
      <c r="AV1336" s="8">
        <f>IF($O1336="Aktif",MAX(0,MIN($AE1336,$AD1336-SUM($AG1336:AU1336))),0)</f>
        <v>0</v>
      </c>
      <c r="AW1336" s="8">
        <f t="shared" si="145"/>
        <v>0</v>
      </c>
      <c r="AX1336" s="8">
        <f t="shared" si="146"/>
        <v>0</v>
      </c>
    </row>
    <row r="1337" spans="1:50" ht="15" customHeight="1" x14ac:dyDescent="0.35">
      <c r="A1337" s="102">
        <v>1331</v>
      </c>
      <c r="B1337" s="102" t="s">
        <v>3648</v>
      </c>
      <c r="C1337" s="103">
        <v>17</v>
      </c>
      <c r="D1337" s="102" t="s">
        <v>186</v>
      </c>
      <c r="E1337" s="102" t="s">
        <v>479</v>
      </c>
      <c r="F1337" s="102" t="s">
        <v>3116</v>
      </c>
      <c r="G1337" s="102" t="s">
        <v>3117</v>
      </c>
      <c r="H1337" s="102" t="s">
        <v>3118</v>
      </c>
      <c r="I1337" s="102" t="s">
        <v>63</v>
      </c>
      <c r="J1337" s="102" t="s">
        <v>3671</v>
      </c>
      <c r="K1337" s="102"/>
      <c r="L1337" s="104">
        <v>41759</v>
      </c>
      <c r="M1337" s="102" t="s">
        <v>3672</v>
      </c>
      <c r="N1337" s="102" t="s">
        <v>3673</v>
      </c>
      <c r="O1337" s="102" t="s">
        <v>383</v>
      </c>
      <c r="P1337" s="103">
        <v>2</v>
      </c>
      <c r="Q1337" s="105">
        <v>55000000</v>
      </c>
      <c r="R1337" s="103">
        <v>48</v>
      </c>
      <c r="S1337" s="105">
        <v>0</v>
      </c>
      <c r="T1337" s="105">
        <v>55000000</v>
      </c>
      <c r="U1337" s="105">
        <v>0</v>
      </c>
      <c r="V1337" s="105">
        <v>0</v>
      </c>
      <c r="W1337" s="105">
        <v>0</v>
      </c>
      <c r="X1337" s="105">
        <v>0</v>
      </c>
      <c r="Y1337" s="105">
        <v>0</v>
      </c>
      <c r="Z1337" s="105">
        <v>0</v>
      </c>
      <c r="AA1337" s="105">
        <v>0</v>
      </c>
      <c r="AB1337" s="105">
        <v>0</v>
      </c>
      <c r="AC1337" s="8">
        <f t="shared" si="140"/>
        <v>55000000</v>
      </c>
      <c r="AD1337" s="8">
        <f t="shared" si="141"/>
        <v>0</v>
      </c>
      <c r="AE1337" s="8">
        <f t="shared" si="142"/>
        <v>0</v>
      </c>
      <c r="AF1337" s="106">
        <f t="shared" si="143"/>
        <v>0</v>
      </c>
      <c r="AG1337" s="8">
        <f t="shared" si="144"/>
        <v>0</v>
      </c>
      <c r="AH1337" s="8">
        <f>IF($O1337="Aktif",MAX(0,MIN($AE1337,$AD1337-SUM($AG1337:AG1337))),0)</f>
        <v>0</v>
      </c>
      <c r="AI1337" s="8">
        <f>IF($O1337="Aktif",MAX(0,MIN($AE1337,$AD1337-SUM($AG1337:AH1337))),0)</f>
        <v>0</v>
      </c>
      <c r="AJ1337" s="8">
        <f>IF($O1337="Aktif",MAX(0,MIN($AE1337,$AD1337-SUM($AG1337:AI1337))),0)</f>
        <v>0</v>
      </c>
      <c r="AK1337" s="8">
        <f>IF($O1337="Aktif",MAX(0,MIN($AE1337,$AD1337-SUM($AG1337:AJ1337))),0)</f>
        <v>0</v>
      </c>
      <c r="AL1337" s="8">
        <f>IF($O1337="Aktif",MAX(0,MIN($AE1337,$AD1337-SUM($AG1337:AK1337))),0)</f>
        <v>0</v>
      </c>
      <c r="AM1337" s="8">
        <f>IF($O1337="Aktif",MAX(0,MIN($AE1337,$AD1337-SUM($AG1337:AL1337))),0)</f>
        <v>0</v>
      </c>
      <c r="AN1337" s="8">
        <f>IF($O1337="Aktif",MAX(0,MIN($AE1337,$AD1337-SUM($AG1337:AM1337))),0)</f>
        <v>0</v>
      </c>
      <c r="AO1337" s="8">
        <f>IF($O1337="Aktif",MAX(0,MIN($AE1337,$AD1337-SUM($AG1337:AN1337))),0)</f>
        <v>0</v>
      </c>
      <c r="AP1337" s="8">
        <f>IF($O1337="Aktif",MAX(0,MIN($AE1337,$AD1337-SUM($AG1337:AO1337))),0)</f>
        <v>0</v>
      </c>
      <c r="AQ1337" s="8">
        <f>IF($O1337="Aktif",MAX(0,MIN($AE1337,$AD1337-SUM($AG1337:AP1337))),0)</f>
        <v>0</v>
      </c>
      <c r="AR1337" s="8">
        <f>IF($O1337="Aktif",MAX(0,MIN($AE1337,$AD1337-SUM($AG1337:AQ1337))),0)</f>
        <v>0</v>
      </c>
      <c r="AS1337" s="8">
        <f>IF($O1337="Aktif",MAX(0,MIN($AE1337,$AD1337-SUM($AG1337:AR1337))),0)</f>
        <v>0</v>
      </c>
      <c r="AT1337" s="8">
        <f>IF($O1337="Aktif",MAX(0,MIN($AE1337,$AD1337-SUM($AG1337:AS1337))),0)</f>
        <v>0</v>
      </c>
      <c r="AU1337" s="8">
        <f>IF($O1337="Aktif",MAX(0,MIN($AE1337,$AD1337-SUM($AG1337:AT1337))),0)</f>
        <v>0</v>
      </c>
      <c r="AV1337" s="8">
        <f>IF($O1337="Aktif",MAX(0,MIN($AE1337,$AD1337-SUM($AG1337:AU1337))),0)</f>
        <v>0</v>
      </c>
      <c r="AW1337" s="8">
        <f t="shared" si="145"/>
        <v>0</v>
      </c>
      <c r="AX1337" s="8">
        <f t="shared" si="146"/>
        <v>0</v>
      </c>
    </row>
    <row r="1338" spans="1:50" ht="15" customHeight="1" x14ac:dyDescent="0.35">
      <c r="A1338" s="102">
        <v>1332</v>
      </c>
      <c r="B1338" s="102" t="s">
        <v>3648</v>
      </c>
      <c r="C1338" s="103">
        <v>18</v>
      </c>
      <c r="D1338" s="102" t="s">
        <v>186</v>
      </c>
      <c r="E1338" s="102" t="s">
        <v>479</v>
      </c>
      <c r="F1338" s="102" t="s">
        <v>3116</v>
      </c>
      <c r="G1338" s="102" t="s">
        <v>3117</v>
      </c>
      <c r="H1338" s="102" t="s">
        <v>3118</v>
      </c>
      <c r="I1338" s="102" t="s">
        <v>63</v>
      </c>
      <c r="J1338" s="102" t="s">
        <v>3674</v>
      </c>
      <c r="K1338" s="102"/>
      <c r="L1338" s="104">
        <v>41800</v>
      </c>
      <c r="M1338" s="102" t="s">
        <v>3675</v>
      </c>
      <c r="N1338" s="102" t="s">
        <v>3676</v>
      </c>
      <c r="O1338" s="102" t="s">
        <v>383</v>
      </c>
      <c r="P1338" s="103">
        <v>1</v>
      </c>
      <c r="Q1338" s="105">
        <v>2840000</v>
      </c>
      <c r="R1338" s="103">
        <v>48</v>
      </c>
      <c r="S1338" s="105">
        <v>0</v>
      </c>
      <c r="T1338" s="105">
        <v>2840000</v>
      </c>
      <c r="U1338" s="105">
        <v>0</v>
      </c>
      <c r="V1338" s="105">
        <v>0</v>
      </c>
      <c r="W1338" s="105">
        <v>0</v>
      </c>
      <c r="X1338" s="105">
        <v>0</v>
      </c>
      <c r="Y1338" s="105">
        <v>0</v>
      </c>
      <c r="Z1338" s="105">
        <v>0</v>
      </c>
      <c r="AA1338" s="105">
        <v>0</v>
      </c>
      <c r="AB1338" s="105">
        <v>0</v>
      </c>
      <c r="AC1338" s="8">
        <f t="shared" si="140"/>
        <v>2840000</v>
      </c>
      <c r="AD1338" s="8">
        <f t="shared" si="141"/>
        <v>0</v>
      </c>
      <c r="AE1338" s="8">
        <f t="shared" si="142"/>
        <v>0</v>
      </c>
      <c r="AF1338" s="106">
        <f t="shared" si="143"/>
        <v>0</v>
      </c>
      <c r="AG1338" s="8">
        <f t="shared" si="144"/>
        <v>0</v>
      </c>
      <c r="AH1338" s="8">
        <f>IF($O1338="Aktif",MAX(0,MIN($AE1338,$AD1338-SUM($AG1338:AG1338))),0)</f>
        <v>0</v>
      </c>
      <c r="AI1338" s="8">
        <f>IF($O1338="Aktif",MAX(0,MIN($AE1338,$AD1338-SUM($AG1338:AH1338))),0)</f>
        <v>0</v>
      </c>
      <c r="AJ1338" s="8">
        <f>IF($O1338="Aktif",MAX(0,MIN($AE1338,$AD1338-SUM($AG1338:AI1338))),0)</f>
        <v>0</v>
      </c>
      <c r="AK1338" s="8">
        <f>IF($O1338="Aktif",MAX(0,MIN($AE1338,$AD1338-SUM($AG1338:AJ1338))),0)</f>
        <v>0</v>
      </c>
      <c r="AL1338" s="8">
        <f>IF($O1338="Aktif",MAX(0,MIN($AE1338,$AD1338-SUM($AG1338:AK1338))),0)</f>
        <v>0</v>
      </c>
      <c r="AM1338" s="8">
        <f>IF($O1338="Aktif",MAX(0,MIN($AE1338,$AD1338-SUM($AG1338:AL1338))),0)</f>
        <v>0</v>
      </c>
      <c r="AN1338" s="8">
        <f>IF($O1338="Aktif",MAX(0,MIN($AE1338,$AD1338-SUM($AG1338:AM1338))),0)</f>
        <v>0</v>
      </c>
      <c r="AO1338" s="8">
        <f>IF($O1338="Aktif",MAX(0,MIN($AE1338,$AD1338-SUM($AG1338:AN1338))),0)</f>
        <v>0</v>
      </c>
      <c r="AP1338" s="8">
        <f>IF($O1338="Aktif",MAX(0,MIN($AE1338,$AD1338-SUM($AG1338:AO1338))),0)</f>
        <v>0</v>
      </c>
      <c r="AQ1338" s="8">
        <f>IF($O1338="Aktif",MAX(0,MIN($AE1338,$AD1338-SUM($AG1338:AP1338))),0)</f>
        <v>0</v>
      </c>
      <c r="AR1338" s="8">
        <f>IF($O1338="Aktif",MAX(0,MIN($AE1338,$AD1338-SUM($AG1338:AQ1338))),0)</f>
        <v>0</v>
      </c>
      <c r="AS1338" s="8">
        <f>IF($O1338="Aktif",MAX(0,MIN($AE1338,$AD1338-SUM($AG1338:AR1338))),0)</f>
        <v>0</v>
      </c>
      <c r="AT1338" s="8">
        <f>IF($O1338="Aktif",MAX(0,MIN($AE1338,$AD1338-SUM($AG1338:AS1338))),0)</f>
        <v>0</v>
      </c>
      <c r="AU1338" s="8">
        <f>IF($O1338="Aktif",MAX(0,MIN($AE1338,$AD1338-SUM($AG1338:AT1338))),0)</f>
        <v>0</v>
      </c>
      <c r="AV1338" s="8">
        <f>IF($O1338="Aktif",MAX(0,MIN($AE1338,$AD1338-SUM($AG1338:AU1338))),0)</f>
        <v>0</v>
      </c>
      <c r="AW1338" s="8">
        <f t="shared" si="145"/>
        <v>0</v>
      </c>
      <c r="AX1338" s="8">
        <f t="shared" si="146"/>
        <v>0</v>
      </c>
    </row>
    <row r="1339" spans="1:50" ht="15" customHeight="1" x14ac:dyDescent="0.35">
      <c r="A1339" s="102">
        <v>1333</v>
      </c>
      <c r="B1339" s="102" t="s">
        <v>3648</v>
      </c>
      <c r="C1339" s="103">
        <v>19</v>
      </c>
      <c r="D1339" s="102" t="s">
        <v>186</v>
      </c>
      <c r="E1339" s="102" t="s">
        <v>479</v>
      </c>
      <c r="F1339" s="102" t="s">
        <v>3116</v>
      </c>
      <c r="G1339" s="102" t="s">
        <v>3117</v>
      </c>
      <c r="H1339" s="102" t="s">
        <v>3118</v>
      </c>
      <c r="I1339" s="102" t="s">
        <v>63</v>
      </c>
      <c r="J1339" s="102" t="s">
        <v>3677</v>
      </c>
      <c r="K1339" s="102"/>
      <c r="L1339" s="104">
        <v>41851</v>
      </c>
      <c r="M1339" s="102" t="s">
        <v>3678</v>
      </c>
      <c r="N1339" s="102" t="s">
        <v>3679</v>
      </c>
      <c r="O1339" s="102" t="s">
        <v>383</v>
      </c>
      <c r="P1339" s="103">
        <v>1</v>
      </c>
      <c r="Q1339" s="105">
        <v>145650000</v>
      </c>
      <c r="R1339" s="103">
        <v>48</v>
      </c>
      <c r="S1339" s="105">
        <v>0</v>
      </c>
      <c r="T1339" s="105">
        <v>145650000</v>
      </c>
      <c r="U1339" s="105">
        <v>0</v>
      </c>
      <c r="V1339" s="105">
        <v>0</v>
      </c>
      <c r="W1339" s="105">
        <v>0</v>
      </c>
      <c r="X1339" s="105">
        <v>0</v>
      </c>
      <c r="Y1339" s="105">
        <v>0</v>
      </c>
      <c r="Z1339" s="105">
        <v>0</v>
      </c>
      <c r="AA1339" s="105">
        <v>0</v>
      </c>
      <c r="AB1339" s="105">
        <v>0</v>
      </c>
      <c r="AC1339" s="8">
        <f t="shared" si="140"/>
        <v>145650000</v>
      </c>
      <c r="AD1339" s="8">
        <f t="shared" si="141"/>
        <v>0</v>
      </c>
      <c r="AE1339" s="8">
        <f t="shared" si="142"/>
        <v>0</v>
      </c>
      <c r="AF1339" s="106">
        <f t="shared" si="143"/>
        <v>0</v>
      </c>
      <c r="AG1339" s="8">
        <f t="shared" si="144"/>
        <v>0</v>
      </c>
      <c r="AH1339" s="8">
        <f>IF($O1339="Aktif",MAX(0,MIN($AE1339,$AD1339-SUM($AG1339:AG1339))),0)</f>
        <v>0</v>
      </c>
      <c r="AI1339" s="8">
        <f>IF($O1339="Aktif",MAX(0,MIN($AE1339,$AD1339-SUM($AG1339:AH1339))),0)</f>
        <v>0</v>
      </c>
      <c r="AJ1339" s="8">
        <f>IF($O1339="Aktif",MAX(0,MIN($AE1339,$AD1339-SUM($AG1339:AI1339))),0)</f>
        <v>0</v>
      </c>
      <c r="AK1339" s="8">
        <f>IF($O1339="Aktif",MAX(0,MIN($AE1339,$AD1339-SUM($AG1339:AJ1339))),0)</f>
        <v>0</v>
      </c>
      <c r="AL1339" s="8">
        <f>IF($O1339="Aktif",MAX(0,MIN($AE1339,$AD1339-SUM($AG1339:AK1339))),0)</f>
        <v>0</v>
      </c>
      <c r="AM1339" s="8">
        <f>IF($O1339="Aktif",MAX(0,MIN($AE1339,$AD1339-SUM($AG1339:AL1339))),0)</f>
        <v>0</v>
      </c>
      <c r="AN1339" s="8">
        <f>IF($O1339="Aktif",MAX(0,MIN($AE1339,$AD1339-SUM($AG1339:AM1339))),0)</f>
        <v>0</v>
      </c>
      <c r="AO1339" s="8">
        <f>IF($O1339="Aktif",MAX(0,MIN($AE1339,$AD1339-SUM($AG1339:AN1339))),0)</f>
        <v>0</v>
      </c>
      <c r="AP1339" s="8">
        <f>IF($O1339="Aktif",MAX(0,MIN($AE1339,$AD1339-SUM($AG1339:AO1339))),0)</f>
        <v>0</v>
      </c>
      <c r="AQ1339" s="8">
        <f>IF($O1339="Aktif",MAX(0,MIN($AE1339,$AD1339-SUM($AG1339:AP1339))),0)</f>
        <v>0</v>
      </c>
      <c r="AR1339" s="8">
        <f>IF($O1339="Aktif",MAX(0,MIN($AE1339,$AD1339-SUM($AG1339:AQ1339))),0)</f>
        <v>0</v>
      </c>
      <c r="AS1339" s="8">
        <f>IF($O1339="Aktif",MAX(0,MIN($AE1339,$AD1339-SUM($AG1339:AR1339))),0)</f>
        <v>0</v>
      </c>
      <c r="AT1339" s="8">
        <f>IF($O1339="Aktif",MAX(0,MIN($AE1339,$AD1339-SUM($AG1339:AS1339))),0)</f>
        <v>0</v>
      </c>
      <c r="AU1339" s="8">
        <f>IF($O1339="Aktif",MAX(0,MIN($AE1339,$AD1339-SUM($AG1339:AT1339))),0)</f>
        <v>0</v>
      </c>
      <c r="AV1339" s="8">
        <f>IF($O1339="Aktif",MAX(0,MIN($AE1339,$AD1339-SUM($AG1339:AU1339))),0)</f>
        <v>0</v>
      </c>
      <c r="AW1339" s="8">
        <f t="shared" si="145"/>
        <v>0</v>
      </c>
      <c r="AX1339" s="8">
        <f t="shared" si="146"/>
        <v>0</v>
      </c>
    </row>
    <row r="1340" spans="1:50" ht="15" customHeight="1" x14ac:dyDescent="0.35">
      <c r="A1340" s="102">
        <v>1334</v>
      </c>
      <c r="B1340" s="102" t="s">
        <v>3648</v>
      </c>
      <c r="C1340" s="103">
        <v>20</v>
      </c>
      <c r="D1340" s="102" t="s">
        <v>186</v>
      </c>
      <c r="E1340" s="102" t="s">
        <v>479</v>
      </c>
      <c r="F1340" s="102" t="s">
        <v>3116</v>
      </c>
      <c r="G1340" s="102" t="s">
        <v>3117</v>
      </c>
      <c r="H1340" s="102" t="s">
        <v>3118</v>
      </c>
      <c r="I1340" s="102" t="s">
        <v>63</v>
      </c>
      <c r="J1340" s="102" t="s">
        <v>3680</v>
      </c>
      <c r="K1340" s="102"/>
      <c r="L1340" s="104">
        <v>41851</v>
      </c>
      <c r="M1340" s="102" t="s">
        <v>3358</v>
      </c>
      <c r="N1340" s="102" t="s">
        <v>3681</v>
      </c>
      <c r="O1340" s="102" t="s">
        <v>383</v>
      </c>
      <c r="P1340" s="103">
        <v>2</v>
      </c>
      <c r="Q1340" s="105">
        <v>195000000</v>
      </c>
      <c r="R1340" s="103">
        <v>48</v>
      </c>
      <c r="S1340" s="105">
        <v>0</v>
      </c>
      <c r="T1340" s="105">
        <v>195000000</v>
      </c>
      <c r="U1340" s="105">
        <v>0</v>
      </c>
      <c r="V1340" s="105">
        <v>0</v>
      </c>
      <c r="W1340" s="105">
        <v>0</v>
      </c>
      <c r="X1340" s="105">
        <v>0</v>
      </c>
      <c r="Y1340" s="105">
        <v>0</v>
      </c>
      <c r="Z1340" s="105">
        <v>0</v>
      </c>
      <c r="AA1340" s="105">
        <v>0</v>
      </c>
      <c r="AB1340" s="105">
        <v>0</v>
      </c>
      <c r="AC1340" s="8">
        <f t="shared" si="140"/>
        <v>195000000</v>
      </c>
      <c r="AD1340" s="8">
        <f t="shared" si="141"/>
        <v>0</v>
      </c>
      <c r="AE1340" s="8">
        <f t="shared" si="142"/>
        <v>0</v>
      </c>
      <c r="AF1340" s="106">
        <f t="shared" si="143"/>
        <v>0</v>
      </c>
      <c r="AG1340" s="8">
        <f t="shared" si="144"/>
        <v>0</v>
      </c>
      <c r="AH1340" s="8">
        <f>IF($O1340="Aktif",MAX(0,MIN($AE1340,$AD1340-SUM($AG1340:AG1340))),0)</f>
        <v>0</v>
      </c>
      <c r="AI1340" s="8">
        <f>IF($O1340="Aktif",MAX(0,MIN($AE1340,$AD1340-SUM($AG1340:AH1340))),0)</f>
        <v>0</v>
      </c>
      <c r="AJ1340" s="8">
        <f>IF($O1340="Aktif",MAX(0,MIN($AE1340,$AD1340-SUM($AG1340:AI1340))),0)</f>
        <v>0</v>
      </c>
      <c r="AK1340" s="8">
        <f>IF($O1340="Aktif",MAX(0,MIN($AE1340,$AD1340-SUM($AG1340:AJ1340))),0)</f>
        <v>0</v>
      </c>
      <c r="AL1340" s="8">
        <f>IF($O1340="Aktif",MAX(0,MIN($AE1340,$AD1340-SUM($AG1340:AK1340))),0)</f>
        <v>0</v>
      </c>
      <c r="AM1340" s="8">
        <f>IF($O1340="Aktif",MAX(0,MIN($AE1340,$AD1340-SUM($AG1340:AL1340))),0)</f>
        <v>0</v>
      </c>
      <c r="AN1340" s="8">
        <f>IF($O1340="Aktif",MAX(0,MIN($AE1340,$AD1340-SUM($AG1340:AM1340))),0)</f>
        <v>0</v>
      </c>
      <c r="AO1340" s="8">
        <f>IF($O1340="Aktif",MAX(0,MIN($AE1340,$AD1340-SUM($AG1340:AN1340))),0)</f>
        <v>0</v>
      </c>
      <c r="AP1340" s="8">
        <f>IF($O1340="Aktif",MAX(0,MIN($AE1340,$AD1340-SUM($AG1340:AO1340))),0)</f>
        <v>0</v>
      </c>
      <c r="AQ1340" s="8">
        <f>IF($O1340="Aktif",MAX(0,MIN($AE1340,$AD1340-SUM($AG1340:AP1340))),0)</f>
        <v>0</v>
      </c>
      <c r="AR1340" s="8">
        <f>IF($O1340="Aktif",MAX(0,MIN($AE1340,$AD1340-SUM($AG1340:AQ1340))),0)</f>
        <v>0</v>
      </c>
      <c r="AS1340" s="8">
        <f>IF($O1340="Aktif",MAX(0,MIN($AE1340,$AD1340-SUM($AG1340:AR1340))),0)</f>
        <v>0</v>
      </c>
      <c r="AT1340" s="8">
        <f>IF($O1340="Aktif",MAX(0,MIN($AE1340,$AD1340-SUM($AG1340:AS1340))),0)</f>
        <v>0</v>
      </c>
      <c r="AU1340" s="8">
        <f>IF($O1340="Aktif",MAX(0,MIN($AE1340,$AD1340-SUM($AG1340:AT1340))),0)</f>
        <v>0</v>
      </c>
      <c r="AV1340" s="8">
        <f>IF($O1340="Aktif",MAX(0,MIN($AE1340,$AD1340-SUM($AG1340:AU1340))),0)</f>
        <v>0</v>
      </c>
      <c r="AW1340" s="8">
        <f t="shared" si="145"/>
        <v>0</v>
      </c>
      <c r="AX1340" s="8">
        <f t="shared" si="146"/>
        <v>0</v>
      </c>
    </row>
    <row r="1341" spans="1:50" ht="15" customHeight="1" x14ac:dyDescent="0.35">
      <c r="A1341" s="102">
        <v>1335</v>
      </c>
      <c r="B1341" s="102" t="s">
        <v>3648</v>
      </c>
      <c r="C1341" s="103">
        <v>21</v>
      </c>
      <c r="D1341" s="102" t="s">
        <v>186</v>
      </c>
      <c r="E1341" s="102" t="s">
        <v>479</v>
      </c>
      <c r="F1341" s="102" t="s">
        <v>3116</v>
      </c>
      <c r="G1341" s="102" t="s">
        <v>3117</v>
      </c>
      <c r="H1341" s="102" t="s">
        <v>3118</v>
      </c>
      <c r="I1341" s="102" t="s">
        <v>63</v>
      </c>
      <c r="J1341" s="102" t="s">
        <v>3682</v>
      </c>
      <c r="K1341" s="102"/>
      <c r="L1341" s="104">
        <v>41882</v>
      </c>
      <c r="M1341" s="102" t="s">
        <v>3683</v>
      </c>
      <c r="N1341" s="102" t="s">
        <v>3684</v>
      </c>
      <c r="O1341" s="102" t="s">
        <v>383</v>
      </c>
      <c r="P1341" s="103">
        <v>1</v>
      </c>
      <c r="Q1341" s="105">
        <v>158700000</v>
      </c>
      <c r="R1341" s="103">
        <v>48</v>
      </c>
      <c r="S1341" s="105">
        <v>0</v>
      </c>
      <c r="T1341" s="105">
        <v>158700000</v>
      </c>
      <c r="U1341" s="105">
        <v>0</v>
      </c>
      <c r="V1341" s="105">
        <v>0</v>
      </c>
      <c r="W1341" s="105">
        <v>0</v>
      </c>
      <c r="X1341" s="105">
        <v>0</v>
      </c>
      <c r="Y1341" s="105">
        <v>0</v>
      </c>
      <c r="Z1341" s="105">
        <v>0</v>
      </c>
      <c r="AA1341" s="105">
        <v>0</v>
      </c>
      <c r="AB1341" s="105">
        <v>0</v>
      </c>
      <c r="AC1341" s="8">
        <f t="shared" si="140"/>
        <v>158700000</v>
      </c>
      <c r="AD1341" s="8">
        <f t="shared" si="141"/>
        <v>0</v>
      </c>
      <c r="AE1341" s="8">
        <f t="shared" si="142"/>
        <v>0</v>
      </c>
      <c r="AF1341" s="106">
        <f t="shared" si="143"/>
        <v>0</v>
      </c>
      <c r="AG1341" s="8">
        <f t="shared" si="144"/>
        <v>0</v>
      </c>
      <c r="AH1341" s="8">
        <f>IF($O1341="Aktif",MAX(0,MIN($AE1341,$AD1341-SUM($AG1341:AG1341))),0)</f>
        <v>0</v>
      </c>
      <c r="AI1341" s="8">
        <f>IF($O1341="Aktif",MAX(0,MIN($AE1341,$AD1341-SUM($AG1341:AH1341))),0)</f>
        <v>0</v>
      </c>
      <c r="AJ1341" s="8">
        <f>IF($O1341="Aktif",MAX(0,MIN($AE1341,$AD1341-SUM($AG1341:AI1341))),0)</f>
        <v>0</v>
      </c>
      <c r="AK1341" s="8">
        <f>IF($O1341="Aktif",MAX(0,MIN($AE1341,$AD1341-SUM($AG1341:AJ1341))),0)</f>
        <v>0</v>
      </c>
      <c r="AL1341" s="8">
        <f>IF($O1341="Aktif",MAX(0,MIN($AE1341,$AD1341-SUM($AG1341:AK1341))),0)</f>
        <v>0</v>
      </c>
      <c r="AM1341" s="8">
        <f>IF($O1341="Aktif",MAX(0,MIN($AE1341,$AD1341-SUM($AG1341:AL1341))),0)</f>
        <v>0</v>
      </c>
      <c r="AN1341" s="8">
        <f>IF($O1341="Aktif",MAX(0,MIN($AE1341,$AD1341-SUM($AG1341:AM1341))),0)</f>
        <v>0</v>
      </c>
      <c r="AO1341" s="8">
        <f>IF($O1341="Aktif",MAX(0,MIN($AE1341,$AD1341-SUM($AG1341:AN1341))),0)</f>
        <v>0</v>
      </c>
      <c r="AP1341" s="8">
        <f>IF($O1341="Aktif",MAX(0,MIN($AE1341,$AD1341-SUM($AG1341:AO1341))),0)</f>
        <v>0</v>
      </c>
      <c r="AQ1341" s="8">
        <f>IF($O1341="Aktif",MAX(0,MIN($AE1341,$AD1341-SUM($AG1341:AP1341))),0)</f>
        <v>0</v>
      </c>
      <c r="AR1341" s="8">
        <f>IF($O1341="Aktif",MAX(0,MIN($AE1341,$AD1341-SUM($AG1341:AQ1341))),0)</f>
        <v>0</v>
      </c>
      <c r="AS1341" s="8">
        <f>IF($O1341="Aktif",MAX(0,MIN($AE1341,$AD1341-SUM($AG1341:AR1341))),0)</f>
        <v>0</v>
      </c>
      <c r="AT1341" s="8">
        <f>IF($O1341="Aktif",MAX(0,MIN($AE1341,$AD1341-SUM($AG1341:AS1341))),0)</f>
        <v>0</v>
      </c>
      <c r="AU1341" s="8">
        <f>IF($O1341="Aktif",MAX(0,MIN($AE1341,$AD1341-SUM($AG1341:AT1341))),0)</f>
        <v>0</v>
      </c>
      <c r="AV1341" s="8">
        <f>IF($O1341="Aktif",MAX(0,MIN($AE1341,$AD1341-SUM($AG1341:AU1341))),0)</f>
        <v>0</v>
      </c>
      <c r="AW1341" s="8">
        <f t="shared" si="145"/>
        <v>0</v>
      </c>
      <c r="AX1341" s="8">
        <f t="shared" si="146"/>
        <v>0</v>
      </c>
    </row>
    <row r="1342" spans="1:50" ht="15" customHeight="1" x14ac:dyDescent="0.35">
      <c r="A1342" s="102">
        <v>1336</v>
      </c>
      <c r="B1342" s="102" t="s">
        <v>3648</v>
      </c>
      <c r="C1342" s="103">
        <v>22</v>
      </c>
      <c r="D1342" s="102" t="s">
        <v>186</v>
      </c>
      <c r="E1342" s="102" t="s">
        <v>0</v>
      </c>
      <c r="F1342" s="102" t="s">
        <v>3116</v>
      </c>
      <c r="G1342" s="102" t="s">
        <v>3117</v>
      </c>
      <c r="H1342" s="102" t="s">
        <v>3118</v>
      </c>
      <c r="I1342" s="102" t="s">
        <v>63</v>
      </c>
      <c r="J1342" s="102"/>
      <c r="K1342" s="102"/>
      <c r="L1342" s="104">
        <v>44179</v>
      </c>
      <c r="M1342" s="102" t="s">
        <v>3683</v>
      </c>
      <c r="N1342" s="102" t="s">
        <v>3685</v>
      </c>
      <c r="O1342" s="102" t="s">
        <v>487</v>
      </c>
      <c r="P1342" s="103">
        <v>1</v>
      </c>
      <c r="Q1342" s="105">
        <v>-158700000</v>
      </c>
      <c r="R1342" s="102"/>
      <c r="S1342" s="105">
        <v>0</v>
      </c>
      <c r="T1342" s="105">
        <v>-158700000</v>
      </c>
      <c r="U1342" s="105">
        <v>0</v>
      </c>
      <c r="V1342" s="105">
        <v>0</v>
      </c>
      <c r="W1342" s="105">
        <v>0</v>
      </c>
      <c r="X1342" s="105">
        <v>0</v>
      </c>
      <c r="Y1342" s="105">
        <v>0</v>
      </c>
      <c r="Z1342" s="105">
        <v>0</v>
      </c>
      <c r="AA1342" s="105">
        <v>0</v>
      </c>
      <c r="AB1342" s="105">
        <v>0</v>
      </c>
      <c r="AC1342" s="8">
        <f t="shared" si="140"/>
        <v>-158700000</v>
      </c>
      <c r="AD1342" s="8">
        <f t="shared" si="141"/>
        <v>0</v>
      </c>
      <c r="AE1342" s="8">
        <f t="shared" si="142"/>
        <v>0</v>
      </c>
      <c r="AF1342" s="106">
        <f t="shared" si="143"/>
        <v>0</v>
      </c>
      <c r="AG1342" s="8">
        <f t="shared" si="144"/>
        <v>0</v>
      </c>
      <c r="AH1342" s="8">
        <f>IF($O1342="Aktif",MAX(0,MIN($AE1342,$AD1342-SUM($AG1342:AG1342))),0)</f>
        <v>0</v>
      </c>
      <c r="AI1342" s="8">
        <f>IF($O1342="Aktif",MAX(0,MIN($AE1342,$AD1342-SUM($AG1342:AH1342))),0)</f>
        <v>0</v>
      </c>
      <c r="AJ1342" s="8">
        <f>IF($O1342="Aktif",MAX(0,MIN($AE1342,$AD1342-SUM($AG1342:AI1342))),0)</f>
        <v>0</v>
      </c>
      <c r="AK1342" s="8">
        <f>IF($O1342="Aktif",MAX(0,MIN($AE1342,$AD1342-SUM($AG1342:AJ1342))),0)</f>
        <v>0</v>
      </c>
      <c r="AL1342" s="8">
        <f>IF($O1342="Aktif",MAX(0,MIN($AE1342,$AD1342-SUM($AG1342:AK1342))),0)</f>
        <v>0</v>
      </c>
      <c r="AM1342" s="8">
        <f>IF($O1342="Aktif",MAX(0,MIN($AE1342,$AD1342-SUM($AG1342:AL1342))),0)</f>
        <v>0</v>
      </c>
      <c r="AN1342" s="8">
        <f>IF($O1342="Aktif",MAX(0,MIN($AE1342,$AD1342-SUM($AG1342:AM1342))),0)</f>
        <v>0</v>
      </c>
      <c r="AO1342" s="8">
        <f>IF($O1342="Aktif",MAX(0,MIN($AE1342,$AD1342-SUM($AG1342:AN1342))),0)</f>
        <v>0</v>
      </c>
      <c r="AP1342" s="8">
        <f>IF($O1342="Aktif",MAX(0,MIN($AE1342,$AD1342-SUM($AG1342:AO1342))),0)</f>
        <v>0</v>
      </c>
      <c r="AQ1342" s="8">
        <f>IF($O1342="Aktif",MAX(0,MIN($AE1342,$AD1342-SUM($AG1342:AP1342))),0)</f>
        <v>0</v>
      </c>
      <c r="AR1342" s="8">
        <f>IF($O1342="Aktif",MAX(0,MIN($AE1342,$AD1342-SUM($AG1342:AQ1342))),0)</f>
        <v>0</v>
      </c>
      <c r="AS1342" s="8">
        <f>IF($O1342="Aktif",MAX(0,MIN($AE1342,$AD1342-SUM($AG1342:AR1342))),0)</f>
        <v>0</v>
      </c>
      <c r="AT1342" s="8">
        <f>IF($O1342="Aktif",MAX(0,MIN($AE1342,$AD1342-SUM($AG1342:AS1342))),0)</f>
        <v>0</v>
      </c>
      <c r="AU1342" s="8">
        <f>IF($O1342="Aktif",MAX(0,MIN($AE1342,$AD1342-SUM($AG1342:AT1342))),0)</f>
        <v>0</v>
      </c>
      <c r="AV1342" s="8">
        <f>IF($O1342="Aktif",MAX(0,MIN($AE1342,$AD1342-SUM($AG1342:AU1342))),0)</f>
        <v>0</v>
      </c>
      <c r="AW1342" s="8">
        <f t="shared" si="145"/>
        <v>0</v>
      </c>
      <c r="AX1342" s="8">
        <f t="shared" si="146"/>
        <v>0</v>
      </c>
    </row>
    <row r="1343" spans="1:50" ht="15" customHeight="1" x14ac:dyDescent="0.35">
      <c r="A1343" s="102">
        <v>1337</v>
      </c>
      <c r="B1343" s="102" t="s">
        <v>3648</v>
      </c>
      <c r="C1343" s="103">
        <v>23</v>
      </c>
      <c r="D1343" s="102" t="s">
        <v>186</v>
      </c>
      <c r="E1343" s="102" t="s">
        <v>479</v>
      </c>
      <c r="F1343" s="102" t="s">
        <v>3116</v>
      </c>
      <c r="G1343" s="102" t="s">
        <v>3117</v>
      </c>
      <c r="H1343" s="102" t="s">
        <v>3118</v>
      </c>
      <c r="I1343" s="102" t="s">
        <v>63</v>
      </c>
      <c r="J1343" s="102" t="s">
        <v>3686</v>
      </c>
      <c r="K1343" s="102"/>
      <c r="L1343" s="104">
        <v>41882</v>
      </c>
      <c r="M1343" s="102" t="s">
        <v>3687</v>
      </c>
      <c r="N1343" s="102" t="s">
        <v>3688</v>
      </c>
      <c r="O1343" s="102" t="s">
        <v>383</v>
      </c>
      <c r="P1343" s="103">
        <v>2</v>
      </c>
      <c r="Q1343" s="105">
        <v>52000000</v>
      </c>
      <c r="R1343" s="103">
        <v>48</v>
      </c>
      <c r="S1343" s="105">
        <v>0</v>
      </c>
      <c r="T1343" s="105">
        <v>52000000</v>
      </c>
      <c r="U1343" s="105">
        <v>0</v>
      </c>
      <c r="V1343" s="105">
        <v>0</v>
      </c>
      <c r="W1343" s="105">
        <v>0</v>
      </c>
      <c r="X1343" s="105">
        <v>0</v>
      </c>
      <c r="Y1343" s="105">
        <v>0</v>
      </c>
      <c r="Z1343" s="105">
        <v>0</v>
      </c>
      <c r="AA1343" s="105">
        <v>0</v>
      </c>
      <c r="AB1343" s="105">
        <v>0</v>
      </c>
      <c r="AC1343" s="8">
        <f t="shared" si="140"/>
        <v>52000000</v>
      </c>
      <c r="AD1343" s="8">
        <f t="shared" si="141"/>
        <v>0</v>
      </c>
      <c r="AE1343" s="8">
        <f t="shared" si="142"/>
        <v>0</v>
      </c>
      <c r="AF1343" s="106">
        <f t="shared" si="143"/>
        <v>0</v>
      </c>
      <c r="AG1343" s="8">
        <f t="shared" si="144"/>
        <v>0</v>
      </c>
      <c r="AH1343" s="8">
        <f>IF($O1343="Aktif",MAX(0,MIN($AE1343,$AD1343-SUM($AG1343:AG1343))),0)</f>
        <v>0</v>
      </c>
      <c r="AI1343" s="8">
        <f>IF($O1343="Aktif",MAX(0,MIN($AE1343,$AD1343-SUM($AG1343:AH1343))),0)</f>
        <v>0</v>
      </c>
      <c r="AJ1343" s="8">
        <f>IF($O1343="Aktif",MAX(0,MIN($AE1343,$AD1343-SUM($AG1343:AI1343))),0)</f>
        <v>0</v>
      </c>
      <c r="AK1343" s="8">
        <f>IF($O1343="Aktif",MAX(0,MIN($AE1343,$AD1343-SUM($AG1343:AJ1343))),0)</f>
        <v>0</v>
      </c>
      <c r="AL1343" s="8">
        <f>IF($O1343="Aktif",MAX(0,MIN($AE1343,$AD1343-SUM($AG1343:AK1343))),0)</f>
        <v>0</v>
      </c>
      <c r="AM1343" s="8">
        <f>IF($O1343="Aktif",MAX(0,MIN($AE1343,$AD1343-SUM($AG1343:AL1343))),0)</f>
        <v>0</v>
      </c>
      <c r="AN1343" s="8">
        <f>IF($O1343="Aktif",MAX(0,MIN($AE1343,$AD1343-SUM($AG1343:AM1343))),0)</f>
        <v>0</v>
      </c>
      <c r="AO1343" s="8">
        <f>IF($O1343="Aktif",MAX(0,MIN($AE1343,$AD1343-SUM($AG1343:AN1343))),0)</f>
        <v>0</v>
      </c>
      <c r="AP1343" s="8">
        <f>IF($O1343="Aktif",MAX(0,MIN($AE1343,$AD1343-SUM($AG1343:AO1343))),0)</f>
        <v>0</v>
      </c>
      <c r="AQ1343" s="8">
        <f>IF($O1343="Aktif",MAX(0,MIN($AE1343,$AD1343-SUM($AG1343:AP1343))),0)</f>
        <v>0</v>
      </c>
      <c r="AR1343" s="8">
        <f>IF($O1343="Aktif",MAX(0,MIN($AE1343,$AD1343-SUM($AG1343:AQ1343))),0)</f>
        <v>0</v>
      </c>
      <c r="AS1343" s="8">
        <f>IF($O1343="Aktif",MAX(0,MIN($AE1343,$AD1343-SUM($AG1343:AR1343))),0)</f>
        <v>0</v>
      </c>
      <c r="AT1343" s="8">
        <f>IF($O1343="Aktif",MAX(0,MIN($AE1343,$AD1343-SUM($AG1343:AS1343))),0)</f>
        <v>0</v>
      </c>
      <c r="AU1343" s="8">
        <f>IF($O1343="Aktif",MAX(0,MIN($AE1343,$AD1343-SUM($AG1343:AT1343))),0)</f>
        <v>0</v>
      </c>
      <c r="AV1343" s="8">
        <f>IF($O1343="Aktif",MAX(0,MIN($AE1343,$AD1343-SUM($AG1343:AU1343))),0)</f>
        <v>0</v>
      </c>
      <c r="AW1343" s="8">
        <f t="shared" si="145"/>
        <v>0</v>
      </c>
      <c r="AX1343" s="8">
        <f t="shared" si="146"/>
        <v>0</v>
      </c>
    </row>
    <row r="1344" spans="1:50" ht="15" customHeight="1" x14ac:dyDescent="0.35">
      <c r="A1344" s="102">
        <v>1338</v>
      </c>
      <c r="B1344" s="102" t="s">
        <v>3648</v>
      </c>
      <c r="C1344" s="103">
        <v>24</v>
      </c>
      <c r="D1344" s="102" t="s">
        <v>186</v>
      </c>
      <c r="E1344" s="102" t="s">
        <v>479</v>
      </c>
      <c r="F1344" s="102" t="s">
        <v>3116</v>
      </c>
      <c r="G1344" s="102" t="s">
        <v>3117</v>
      </c>
      <c r="H1344" s="102" t="s">
        <v>3118</v>
      </c>
      <c r="I1344" s="102" t="s">
        <v>63</v>
      </c>
      <c r="J1344" s="102" t="s">
        <v>3689</v>
      </c>
      <c r="K1344" s="102"/>
      <c r="L1344" s="104">
        <v>41912</v>
      </c>
      <c r="M1344" s="102" t="s">
        <v>3690</v>
      </c>
      <c r="N1344" s="102" t="s">
        <v>3691</v>
      </c>
      <c r="O1344" s="102" t="s">
        <v>383</v>
      </c>
      <c r="P1344" s="103">
        <v>1</v>
      </c>
      <c r="Q1344" s="105">
        <v>27500000</v>
      </c>
      <c r="R1344" s="103">
        <v>48</v>
      </c>
      <c r="S1344" s="105">
        <v>0</v>
      </c>
      <c r="T1344" s="105">
        <v>27500000</v>
      </c>
      <c r="U1344" s="105">
        <v>0</v>
      </c>
      <c r="V1344" s="105">
        <v>0</v>
      </c>
      <c r="W1344" s="105">
        <v>0</v>
      </c>
      <c r="X1344" s="105">
        <v>0</v>
      </c>
      <c r="Y1344" s="105">
        <v>0</v>
      </c>
      <c r="Z1344" s="105">
        <v>0</v>
      </c>
      <c r="AA1344" s="105">
        <v>0</v>
      </c>
      <c r="AB1344" s="105">
        <v>0</v>
      </c>
      <c r="AC1344" s="8">
        <f t="shared" si="140"/>
        <v>27500000</v>
      </c>
      <c r="AD1344" s="8">
        <f t="shared" si="141"/>
        <v>0</v>
      </c>
      <c r="AE1344" s="8">
        <f t="shared" si="142"/>
        <v>0</v>
      </c>
      <c r="AF1344" s="106">
        <f t="shared" si="143"/>
        <v>0</v>
      </c>
      <c r="AG1344" s="8">
        <f t="shared" si="144"/>
        <v>0</v>
      </c>
      <c r="AH1344" s="8">
        <f>IF($O1344="Aktif",MAX(0,MIN($AE1344,$AD1344-SUM($AG1344:AG1344))),0)</f>
        <v>0</v>
      </c>
      <c r="AI1344" s="8">
        <f>IF($O1344="Aktif",MAX(0,MIN($AE1344,$AD1344-SUM($AG1344:AH1344))),0)</f>
        <v>0</v>
      </c>
      <c r="AJ1344" s="8">
        <f>IF($O1344="Aktif",MAX(0,MIN($AE1344,$AD1344-SUM($AG1344:AI1344))),0)</f>
        <v>0</v>
      </c>
      <c r="AK1344" s="8">
        <f>IF($O1344="Aktif",MAX(0,MIN($AE1344,$AD1344-SUM($AG1344:AJ1344))),0)</f>
        <v>0</v>
      </c>
      <c r="AL1344" s="8">
        <f>IF($O1344="Aktif",MAX(0,MIN($AE1344,$AD1344-SUM($AG1344:AK1344))),0)</f>
        <v>0</v>
      </c>
      <c r="AM1344" s="8">
        <f>IF($O1344="Aktif",MAX(0,MIN($AE1344,$AD1344-SUM($AG1344:AL1344))),0)</f>
        <v>0</v>
      </c>
      <c r="AN1344" s="8">
        <f>IF($O1344="Aktif",MAX(0,MIN($AE1344,$AD1344-SUM($AG1344:AM1344))),0)</f>
        <v>0</v>
      </c>
      <c r="AO1344" s="8">
        <f>IF($O1344="Aktif",MAX(0,MIN($AE1344,$AD1344-SUM($AG1344:AN1344))),0)</f>
        <v>0</v>
      </c>
      <c r="AP1344" s="8">
        <f>IF($O1344="Aktif",MAX(0,MIN($AE1344,$AD1344-SUM($AG1344:AO1344))),0)</f>
        <v>0</v>
      </c>
      <c r="AQ1344" s="8">
        <f>IF($O1344="Aktif",MAX(0,MIN($AE1344,$AD1344-SUM($AG1344:AP1344))),0)</f>
        <v>0</v>
      </c>
      <c r="AR1344" s="8">
        <f>IF($O1344="Aktif",MAX(0,MIN($AE1344,$AD1344-SUM($AG1344:AQ1344))),0)</f>
        <v>0</v>
      </c>
      <c r="AS1344" s="8">
        <f>IF($O1344="Aktif",MAX(0,MIN($AE1344,$AD1344-SUM($AG1344:AR1344))),0)</f>
        <v>0</v>
      </c>
      <c r="AT1344" s="8">
        <f>IF($O1344="Aktif",MAX(0,MIN($AE1344,$AD1344-SUM($AG1344:AS1344))),0)</f>
        <v>0</v>
      </c>
      <c r="AU1344" s="8">
        <f>IF($O1344="Aktif",MAX(0,MIN($AE1344,$AD1344-SUM($AG1344:AT1344))),0)</f>
        <v>0</v>
      </c>
      <c r="AV1344" s="8">
        <f>IF($O1344="Aktif",MAX(0,MIN($AE1344,$AD1344-SUM($AG1344:AU1344))),0)</f>
        <v>0</v>
      </c>
      <c r="AW1344" s="8">
        <f t="shared" si="145"/>
        <v>0</v>
      </c>
      <c r="AX1344" s="8">
        <f t="shared" si="146"/>
        <v>0</v>
      </c>
    </row>
    <row r="1345" spans="1:50" ht="15" customHeight="1" x14ac:dyDescent="0.35">
      <c r="A1345" s="102">
        <v>1339</v>
      </c>
      <c r="B1345" s="102" t="s">
        <v>3648</v>
      </c>
      <c r="C1345" s="103">
        <v>25</v>
      </c>
      <c r="D1345" s="102" t="s">
        <v>186</v>
      </c>
      <c r="E1345" s="102" t="s">
        <v>479</v>
      </c>
      <c r="F1345" s="102" t="s">
        <v>3116</v>
      </c>
      <c r="G1345" s="102" t="s">
        <v>3117</v>
      </c>
      <c r="H1345" s="102" t="s">
        <v>3118</v>
      </c>
      <c r="I1345" s="102" t="s">
        <v>63</v>
      </c>
      <c r="J1345" s="102" t="s">
        <v>3692</v>
      </c>
      <c r="K1345" s="102"/>
      <c r="L1345" s="104">
        <v>41912</v>
      </c>
      <c r="M1345" s="102" t="s">
        <v>1609</v>
      </c>
      <c r="N1345" s="102" t="s">
        <v>1610</v>
      </c>
      <c r="O1345" s="102" t="s">
        <v>383</v>
      </c>
      <c r="P1345" s="103">
        <v>1</v>
      </c>
      <c r="Q1345" s="105">
        <v>45100000</v>
      </c>
      <c r="R1345" s="103">
        <v>48</v>
      </c>
      <c r="S1345" s="105">
        <v>0</v>
      </c>
      <c r="T1345" s="105">
        <v>45100000</v>
      </c>
      <c r="U1345" s="105">
        <v>0</v>
      </c>
      <c r="V1345" s="105">
        <v>0</v>
      </c>
      <c r="W1345" s="105">
        <v>0</v>
      </c>
      <c r="X1345" s="105">
        <v>0</v>
      </c>
      <c r="Y1345" s="105">
        <v>0</v>
      </c>
      <c r="Z1345" s="105">
        <v>0</v>
      </c>
      <c r="AA1345" s="105">
        <v>0</v>
      </c>
      <c r="AB1345" s="105">
        <v>0</v>
      </c>
      <c r="AC1345" s="8">
        <f t="shared" si="140"/>
        <v>45100000</v>
      </c>
      <c r="AD1345" s="8">
        <f t="shared" si="141"/>
        <v>0</v>
      </c>
      <c r="AE1345" s="8">
        <f t="shared" si="142"/>
        <v>0</v>
      </c>
      <c r="AF1345" s="106">
        <f t="shared" si="143"/>
        <v>0</v>
      </c>
      <c r="AG1345" s="8">
        <f t="shared" si="144"/>
        <v>0</v>
      </c>
      <c r="AH1345" s="8">
        <f>IF($O1345="Aktif",MAX(0,MIN($AE1345,$AD1345-SUM($AG1345:AG1345))),0)</f>
        <v>0</v>
      </c>
      <c r="AI1345" s="8">
        <f>IF($O1345="Aktif",MAX(0,MIN($AE1345,$AD1345-SUM($AG1345:AH1345))),0)</f>
        <v>0</v>
      </c>
      <c r="AJ1345" s="8">
        <f>IF($O1345="Aktif",MAX(0,MIN($AE1345,$AD1345-SUM($AG1345:AI1345))),0)</f>
        <v>0</v>
      </c>
      <c r="AK1345" s="8">
        <f>IF($O1345="Aktif",MAX(0,MIN($AE1345,$AD1345-SUM($AG1345:AJ1345))),0)</f>
        <v>0</v>
      </c>
      <c r="AL1345" s="8">
        <f>IF($O1345="Aktif",MAX(0,MIN($AE1345,$AD1345-SUM($AG1345:AK1345))),0)</f>
        <v>0</v>
      </c>
      <c r="AM1345" s="8">
        <f>IF($O1345="Aktif",MAX(0,MIN($AE1345,$AD1345-SUM($AG1345:AL1345))),0)</f>
        <v>0</v>
      </c>
      <c r="AN1345" s="8">
        <f>IF($O1345="Aktif",MAX(0,MIN($AE1345,$AD1345-SUM($AG1345:AM1345))),0)</f>
        <v>0</v>
      </c>
      <c r="AO1345" s="8">
        <f>IF($O1345="Aktif",MAX(0,MIN($AE1345,$AD1345-SUM($AG1345:AN1345))),0)</f>
        <v>0</v>
      </c>
      <c r="AP1345" s="8">
        <f>IF($O1345="Aktif",MAX(0,MIN($AE1345,$AD1345-SUM($AG1345:AO1345))),0)</f>
        <v>0</v>
      </c>
      <c r="AQ1345" s="8">
        <f>IF($O1345="Aktif",MAX(0,MIN($AE1345,$AD1345-SUM($AG1345:AP1345))),0)</f>
        <v>0</v>
      </c>
      <c r="AR1345" s="8">
        <f>IF($O1345="Aktif",MAX(0,MIN($AE1345,$AD1345-SUM($AG1345:AQ1345))),0)</f>
        <v>0</v>
      </c>
      <c r="AS1345" s="8">
        <f>IF($O1345="Aktif",MAX(0,MIN($AE1345,$AD1345-SUM($AG1345:AR1345))),0)</f>
        <v>0</v>
      </c>
      <c r="AT1345" s="8">
        <f>IF($O1345="Aktif",MAX(0,MIN($AE1345,$AD1345-SUM($AG1345:AS1345))),0)</f>
        <v>0</v>
      </c>
      <c r="AU1345" s="8">
        <f>IF($O1345="Aktif",MAX(0,MIN($AE1345,$AD1345-SUM($AG1345:AT1345))),0)</f>
        <v>0</v>
      </c>
      <c r="AV1345" s="8">
        <f>IF($O1345="Aktif",MAX(0,MIN($AE1345,$AD1345-SUM($AG1345:AU1345))),0)</f>
        <v>0</v>
      </c>
      <c r="AW1345" s="8">
        <f t="shared" si="145"/>
        <v>0</v>
      </c>
      <c r="AX1345" s="8">
        <f t="shared" si="146"/>
        <v>0</v>
      </c>
    </row>
    <row r="1346" spans="1:50" ht="15" customHeight="1" x14ac:dyDescent="0.35">
      <c r="A1346" s="102">
        <v>1340</v>
      </c>
      <c r="B1346" s="102" t="s">
        <v>3648</v>
      </c>
      <c r="C1346" s="103">
        <v>26</v>
      </c>
      <c r="D1346" s="102" t="s">
        <v>186</v>
      </c>
      <c r="E1346" s="102" t="s">
        <v>479</v>
      </c>
      <c r="F1346" s="102" t="s">
        <v>3116</v>
      </c>
      <c r="G1346" s="102" t="s">
        <v>3117</v>
      </c>
      <c r="H1346" s="102" t="s">
        <v>3118</v>
      </c>
      <c r="I1346" s="102" t="s">
        <v>63</v>
      </c>
      <c r="J1346" s="102" t="s">
        <v>3693</v>
      </c>
      <c r="K1346" s="102"/>
      <c r="L1346" s="104">
        <v>41973</v>
      </c>
      <c r="M1346" s="102" t="s">
        <v>3668</v>
      </c>
      <c r="N1346" s="102" t="s">
        <v>3694</v>
      </c>
      <c r="O1346" s="102" t="s">
        <v>383</v>
      </c>
      <c r="P1346" s="103">
        <v>1</v>
      </c>
      <c r="Q1346" s="105">
        <v>27500000</v>
      </c>
      <c r="R1346" s="103">
        <v>48</v>
      </c>
      <c r="S1346" s="105">
        <v>0</v>
      </c>
      <c r="T1346" s="105">
        <v>27500000</v>
      </c>
      <c r="U1346" s="105">
        <v>0</v>
      </c>
      <c r="V1346" s="105">
        <v>0</v>
      </c>
      <c r="W1346" s="105">
        <v>0</v>
      </c>
      <c r="X1346" s="105">
        <v>0</v>
      </c>
      <c r="Y1346" s="105">
        <v>0</v>
      </c>
      <c r="Z1346" s="105">
        <v>0</v>
      </c>
      <c r="AA1346" s="105">
        <v>0</v>
      </c>
      <c r="AB1346" s="105">
        <v>0</v>
      </c>
      <c r="AC1346" s="8">
        <f t="shared" si="140"/>
        <v>27500000</v>
      </c>
      <c r="AD1346" s="8">
        <f t="shared" si="141"/>
        <v>0</v>
      </c>
      <c r="AE1346" s="8">
        <f t="shared" si="142"/>
        <v>0</v>
      </c>
      <c r="AF1346" s="106">
        <f t="shared" si="143"/>
        <v>0</v>
      </c>
      <c r="AG1346" s="8">
        <f t="shared" si="144"/>
        <v>0</v>
      </c>
      <c r="AH1346" s="8">
        <f>IF($O1346="Aktif",MAX(0,MIN($AE1346,$AD1346-SUM($AG1346:AG1346))),0)</f>
        <v>0</v>
      </c>
      <c r="AI1346" s="8">
        <f>IF($O1346="Aktif",MAX(0,MIN($AE1346,$AD1346-SUM($AG1346:AH1346))),0)</f>
        <v>0</v>
      </c>
      <c r="AJ1346" s="8">
        <f>IF($O1346="Aktif",MAX(0,MIN($AE1346,$AD1346-SUM($AG1346:AI1346))),0)</f>
        <v>0</v>
      </c>
      <c r="AK1346" s="8">
        <f>IF($O1346="Aktif",MAX(0,MIN($AE1346,$AD1346-SUM($AG1346:AJ1346))),0)</f>
        <v>0</v>
      </c>
      <c r="AL1346" s="8">
        <f>IF($O1346="Aktif",MAX(0,MIN($AE1346,$AD1346-SUM($AG1346:AK1346))),0)</f>
        <v>0</v>
      </c>
      <c r="AM1346" s="8">
        <f>IF($O1346="Aktif",MAX(0,MIN($AE1346,$AD1346-SUM($AG1346:AL1346))),0)</f>
        <v>0</v>
      </c>
      <c r="AN1346" s="8">
        <f>IF($O1346="Aktif",MAX(0,MIN($AE1346,$AD1346-SUM($AG1346:AM1346))),0)</f>
        <v>0</v>
      </c>
      <c r="AO1346" s="8">
        <f>IF($O1346="Aktif",MAX(0,MIN($AE1346,$AD1346-SUM($AG1346:AN1346))),0)</f>
        <v>0</v>
      </c>
      <c r="AP1346" s="8">
        <f>IF($O1346="Aktif",MAX(0,MIN($AE1346,$AD1346-SUM($AG1346:AO1346))),0)</f>
        <v>0</v>
      </c>
      <c r="AQ1346" s="8">
        <f>IF($O1346="Aktif",MAX(0,MIN($AE1346,$AD1346-SUM($AG1346:AP1346))),0)</f>
        <v>0</v>
      </c>
      <c r="AR1346" s="8">
        <f>IF($O1346="Aktif",MAX(0,MIN($AE1346,$AD1346-SUM($AG1346:AQ1346))),0)</f>
        <v>0</v>
      </c>
      <c r="AS1346" s="8">
        <f>IF($O1346="Aktif",MAX(0,MIN($AE1346,$AD1346-SUM($AG1346:AR1346))),0)</f>
        <v>0</v>
      </c>
      <c r="AT1346" s="8">
        <f>IF($O1346="Aktif",MAX(0,MIN($AE1346,$AD1346-SUM($AG1346:AS1346))),0)</f>
        <v>0</v>
      </c>
      <c r="AU1346" s="8">
        <f>IF($O1346="Aktif",MAX(0,MIN($AE1346,$AD1346-SUM($AG1346:AT1346))),0)</f>
        <v>0</v>
      </c>
      <c r="AV1346" s="8">
        <f>IF($O1346="Aktif",MAX(0,MIN($AE1346,$AD1346-SUM($AG1346:AU1346))),0)</f>
        <v>0</v>
      </c>
      <c r="AW1346" s="8">
        <f t="shared" si="145"/>
        <v>0</v>
      </c>
      <c r="AX1346" s="8">
        <f t="shared" si="146"/>
        <v>0</v>
      </c>
    </row>
    <row r="1347" spans="1:50" ht="15" customHeight="1" x14ac:dyDescent="0.35">
      <c r="A1347" s="102">
        <v>1341</v>
      </c>
      <c r="B1347" s="102" t="s">
        <v>3648</v>
      </c>
      <c r="C1347" s="103">
        <v>27</v>
      </c>
      <c r="D1347" s="102" t="s">
        <v>186</v>
      </c>
      <c r="E1347" s="102" t="s">
        <v>479</v>
      </c>
      <c r="F1347" s="102" t="s">
        <v>3116</v>
      </c>
      <c r="G1347" s="102" t="s">
        <v>3117</v>
      </c>
      <c r="H1347" s="102" t="s">
        <v>3118</v>
      </c>
      <c r="I1347" s="102" t="s">
        <v>63</v>
      </c>
      <c r="J1347" s="102" t="s">
        <v>3695</v>
      </c>
      <c r="K1347" s="102"/>
      <c r="L1347" s="104">
        <v>41973</v>
      </c>
      <c r="M1347" s="102" t="s">
        <v>3066</v>
      </c>
      <c r="N1347" s="102" t="s">
        <v>3696</v>
      </c>
      <c r="O1347" s="102" t="s">
        <v>383</v>
      </c>
      <c r="P1347" s="103">
        <v>1</v>
      </c>
      <c r="Q1347" s="105">
        <v>51000000</v>
      </c>
      <c r="R1347" s="103">
        <v>48</v>
      </c>
      <c r="S1347" s="105">
        <v>0</v>
      </c>
      <c r="T1347" s="105">
        <v>51000000</v>
      </c>
      <c r="U1347" s="105">
        <v>0</v>
      </c>
      <c r="V1347" s="105">
        <v>0</v>
      </c>
      <c r="W1347" s="105">
        <v>0</v>
      </c>
      <c r="X1347" s="105">
        <v>0</v>
      </c>
      <c r="Y1347" s="105">
        <v>0</v>
      </c>
      <c r="Z1347" s="105">
        <v>0</v>
      </c>
      <c r="AA1347" s="105">
        <v>0</v>
      </c>
      <c r="AB1347" s="105">
        <v>0</v>
      </c>
      <c r="AC1347" s="8">
        <f t="shared" si="140"/>
        <v>51000000</v>
      </c>
      <c r="AD1347" s="8">
        <f t="shared" si="141"/>
        <v>0</v>
      </c>
      <c r="AE1347" s="8">
        <f t="shared" si="142"/>
        <v>0</v>
      </c>
      <c r="AF1347" s="106">
        <f t="shared" si="143"/>
        <v>0</v>
      </c>
      <c r="AG1347" s="8">
        <f t="shared" si="144"/>
        <v>0</v>
      </c>
      <c r="AH1347" s="8">
        <f>IF($O1347="Aktif",MAX(0,MIN($AE1347,$AD1347-SUM($AG1347:AG1347))),0)</f>
        <v>0</v>
      </c>
      <c r="AI1347" s="8">
        <f>IF($O1347="Aktif",MAX(0,MIN($AE1347,$AD1347-SUM($AG1347:AH1347))),0)</f>
        <v>0</v>
      </c>
      <c r="AJ1347" s="8">
        <f>IF($O1347="Aktif",MAX(0,MIN($AE1347,$AD1347-SUM($AG1347:AI1347))),0)</f>
        <v>0</v>
      </c>
      <c r="AK1347" s="8">
        <f>IF($O1347="Aktif",MAX(0,MIN($AE1347,$AD1347-SUM($AG1347:AJ1347))),0)</f>
        <v>0</v>
      </c>
      <c r="AL1347" s="8">
        <f>IF($O1347="Aktif",MAX(0,MIN($AE1347,$AD1347-SUM($AG1347:AK1347))),0)</f>
        <v>0</v>
      </c>
      <c r="AM1347" s="8">
        <f>IF($O1347="Aktif",MAX(0,MIN($AE1347,$AD1347-SUM($AG1347:AL1347))),0)</f>
        <v>0</v>
      </c>
      <c r="AN1347" s="8">
        <f>IF($O1347="Aktif",MAX(0,MIN($AE1347,$AD1347-SUM($AG1347:AM1347))),0)</f>
        <v>0</v>
      </c>
      <c r="AO1347" s="8">
        <f>IF($O1347="Aktif",MAX(0,MIN($AE1347,$AD1347-SUM($AG1347:AN1347))),0)</f>
        <v>0</v>
      </c>
      <c r="AP1347" s="8">
        <f>IF($O1347="Aktif",MAX(0,MIN($AE1347,$AD1347-SUM($AG1347:AO1347))),0)</f>
        <v>0</v>
      </c>
      <c r="AQ1347" s="8">
        <f>IF($O1347="Aktif",MAX(0,MIN($AE1347,$AD1347-SUM($AG1347:AP1347))),0)</f>
        <v>0</v>
      </c>
      <c r="AR1347" s="8">
        <f>IF($O1347="Aktif",MAX(0,MIN($AE1347,$AD1347-SUM($AG1347:AQ1347))),0)</f>
        <v>0</v>
      </c>
      <c r="AS1347" s="8">
        <f>IF($O1347="Aktif",MAX(0,MIN($AE1347,$AD1347-SUM($AG1347:AR1347))),0)</f>
        <v>0</v>
      </c>
      <c r="AT1347" s="8">
        <f>IF($O1347="Aktif",MAX(0,MIN($AE1347,$AD1347-SUM($AG1347:AS1347))),0)</f>
        <v>0</v>
      </c>
      <c r="AU1347" s="8">
        <f>IF($O1347="Aktif",MAX(0,MIN($AE1347,$AD1347-SUM($AG1347:AT1347))),0)</f>
        <v>0</v>
      </c>
      <c r="AV1347" s="8">
        <f>IF($O1347="Aktif",MAX(0,MIN($AE1347,$AD1347-SUM($AG1347:AU1347))),0)</f>
        <v>0</v>
      </c>
      <c r="AW1347" s="8">
        <f t="shared" si="145"/>
        <v>0</v>
      </c>
      <c r="AX1347" s="8">
        <f t="shared" si="146"/>
        <v>0</v>
      </c>
    </row>
    <row r="1348" spans="1:50" ht="15" customHeight="1" x14ac:dyDescent="0.35">
      <c r="A1348" s="102">
        <v>1342</v>
      </c>
      <c r="B1348" s="102" t="s">
        <v>3648</v>
      </c>
      <c r="C1348" s="103">
        <v>28</v>
      </c>
      <c r="D1348" s="102" t="s">
        <v>186</v>
      </c>
      <c r="E1348" s="102" t="s">
        <v>479</v>
      </c>
      <c r="F1348" s="102" t="s">
        <v>3116</v>
      </c>
      <c r="G1348" s="102" t="s">
        <v>3117</v>
      </c>
      <c r="H1348" s="102" t="s">
        <v>3118</v>
      </c>
      <c r="I1348" s="102" t="s">
        <v>63</v>
      </c>
      <c r="J1348" s="102" t="s">
        <v>3697</v>
      </c>
      <c r="K1348" s="102"/>
      <c r="L1348" s="104">
        <v>42004</v>
      </c>
      <c r="M1348" s="102" t="s">
        <v>3698</v>
      </c>
      <c r="N1348" s="102" t="s">
        <v>3699</v>
      </c>
      <c r="O1348" s="102" t="s">
        <v>383</v>
      </c>
      <c r="P1348" s="103">
        <v>1</v>
      </c>
      <c r="Q1348" s="105">
        <v>590000000</v>
      </c>
      <c r="R1348" s="103">
        <v>48</v>
      </c>
      <c r="S1348" s="105">
        <v>0</v>
      </c>
      <c r="T1348" s="105">
        <v>590000000</v>
      </c>
      <c r="U1348" s="105">
        <v>0</v>
      </c>
      <c r="V1348" s="105">
        <v>0</v>
      </c>
      <c r="W1348" s="105">
        <v>0</v>
      </c>
      <c r="X1348" s="105">
        <v>0</v>
      </c>
      <c r="Y1348" s="105">
        <v>0</v>
      </c>
      <c r="Z1348" s="105">
        <v>0</v>
      </c>
      <c r="AA1348" s="105">
        <v>0</v>
      </c>
      <c r="AB1348" s="105">
        <v>0</v>
      </c>
      <c r="AC1348" s="8">
        <f t="shared" si="140"/>
        <v>590000000</v>
      </c>
      <c r="AD1348" s="8">
        <f t="shared" si="141"/>
        <v>0</v>
      </c>
      <c r="AE1348" s="8">
        <f t="shared" si="142"/>
        <v>0</v>
      </c>
      <c r="AF1348" s="106">
        <f t="shared" si="143"/>
        <v>0</v>
      </c>
      <c r="AG1348" s="8">
        <f t="shared" si="144"/>
        <v>0</v>
      </c>
      <c r="AH1348" s="8">
        <f>IF($O1348="Aktif",MAX(0,MIN($AE1348,$AD1348-SUM($AG1348:AG1348))),0)</f>
        <v>0</v>
      </c>
      <c r="AI1348" s="8">
        <f>IF($O1348="Aktif",MAX(0,MIN($AE1348,$AD1348-SUM($AG1348:AH1348))),0)</f>
        <v>0</v>
      </c>
      <c r="AJ1348" s="8">
        <f>IF($O1348="Aktif",MAX(0,MIN($AE1348,$AD1348-SUM($AG1348:AI1348))),0)</f>
        <v>0</v>
      </c>
      <c r="AK1348" s="8">
        <f>IF($O1348="Aktif",MAX(0,MIN($AE1348,$AD1348-SUM($AG1348:AJ1348))),0)</f>
        <v>0</v>
      </c>
      <c r="AL1348" s="8">
        <f>IF($O1348="Aktif",MAX(0,MIN($AE1348,$AD1348-SUM($AG1348:AK1348))),0)</f>
        <v>0</v>
      </c>
      <c r="AM1348" s="8">
        <f>IF($O1348="Aktif",MAX(0,MIN($AE1348,$AD1348-SUM($AG1348:AL1348))),0)</f>
        <v>0</v>
      </c>
      <c r="AN1348" s="8">
        <f>IF($O1348="Aktif",MAX(0,MIN($AE1348,$AD1348-SUM($AG1348:AM1348))),0)</f>
        <v>0</v>
      </c>
      <c r="AO1348" s="8">
        <f>IF($O1348="Aktif",MAX(0,MIN($AE1348,$AD1348-SUM($AG1348:AN1348))),0)</f>
        <v>0</v>
      </c>
      <c r="AP1348" s="8">
        <f>IF($O1348="Aktif",MAX(0,MIN($AE1348,$AD1348-SUM($AG1348:AO1348))),0)</f>
        <v>0</v>
      </c>
      <c r="AQ1348" s="8">
        <f>IF($O1348="Aktif",MAX(0,MIN($AE1348,$AD1348-SUM($AG1348:AP1348))),0)</f>
        <v>0</v>
      </c>
      <c r="AR1348" s="8">
        <f>IF($O1348="Aktif",MAX(0,MIN($AE1348,$AD1348-SUM($AG1348:AQ1348))),0)</f>
        <v>0</v>
      </c>
      <c r="AS1348" s="8">
        <f>IF($O1348="Aktif",MAX(0,MIN($AE1348,$AD1348-SUM($AG1348:AR1348))),0)</f>
        <v>0</v>
      </c>
      <c r="AT1348" s="8">
        <f>IF($O1348="Aktif",MAX(0,MIN($AE1348,$AD1348-SUM($AG1348:AS1348))),0)</f>
        <v>0</v>
      </c>
      <c r="AU1348" s="8">
        <f>IF($O1348="Aktif",MAX(0,MIN($AE1348,$AD1348-SUM($AG1348:AT1348))),0)</f>
        <v>0</v>
      </c>
      <c r="AV1348" s="8">
        <f>IF($O1348="Aktif",MAX(0,MIN($AE1348,$AD1348-SUM($AG1348:AU1348))),0)</f>
        <v>0</v>
      </c>
      <c r="AW1348" s="8">
        <f t="shared" si="145"/>
        <v>0</v>
      </c>
      <c r="AX1348" s="8">
        <f t="shared" si="146"/>
        <v>0</v>
      </c>
    </row>
    <row r="1349" spans="1:50" ht="15" customHeight="1" x14ac:dyDescent="0.35">
      <c r="A1349" s="102">
        <v>1343</v>
      </c>
      <c r="B1349" s="102" t="s">
        <v>3648</v>
      </c>
      <c r="C1349" s="103">
        <v>29</v>
      </c>
      <c r="D1349" s="102" t="s">
        <v>186</v>
      </c>
      <c r="E1349" s="102" t="s">
        <v>0</v>
      </c>
      <c r="F1349" s="102" t="s">
        <v>3116</v>
      </c>
      <c r="G1349" s="102" t="s">
        <v>3117</v>
      </c>
      <c r="H1349" s="102" t="s">
        <v>3118</v>
      </c>
      <c r="I1349" s="102" t="s">
        <v>63</v>
      </c>
      <c r="J1349" s="102"/>
      <c r="K1349" s="102"/>
      <c r="L1349" s="104">
        <v>45049</v>
      </c>
      <c r="M1349" s="102" t="s">
        <v>3698</v>
      </c>
      <c r="N1349" s="102" t="s">
        <v>3699</v>
      </c>
      <c r="O1349" s="102" t="s">
        <v>487</v>
      </c>
      <c r="P1349" s="103">
        <v>1</v>
      </c>
      <c r="Q1349" s="105">
        <v>-590000000</v>
      </c>
      <c r="R1349" s="102"/>
      <c r="S1349" s="105">
        <v>0</v>
      </c>
      <c r="T1349" s="105">
        <v>-590000000</v>
      </c>
      <c r="U1349" s="105">
        <v>0</v>
      </c>
      <c r="V1349" s="105">
        <v>0</v>
      </c>
      <c r="W1349" s="105">
        <v>0</v>
      </c>
      <c r="X1349" s="105">
        <v>0</v>
      </c>
      <c r="Y1349" s="105">
        <v>0</v>
      </c>
      <c r="Z1349" s="105">
        <v>0</v>
      </c>
      <c r="AA1349" s="105">
        <v>0</v>
      </c>
      <c r="AB1349" s="105">
        <v>0</v>
      </c>
      <c r="AC1349" s="8">
        <f t="shared" si="140"/>
        <v>-590000000</v>
      </c>
      <c r="AD1349" s="8">
        <f t="shared" si="141"/>
        <v>0</v>
      </c>
      <c r="AE1349" s="8">
        <f t="shared" si="142"/>
        <v>0</v>
      </c>
      <c r="AF1349" s="106">
        <f t="shared" si="143"/>
        <v>0</v>
      </c>
      <c r="AG1349" s="8">
        <f t="shared" si="144"/>
        <v>0</v>
      </c>
      <c r="AH1349" s="8">
        <f>IF($O1349="Aktif",MAX(0,MIN($AE1349,$AD1349-SUM($AG1349:AG1349))),0)</f>
        <v>0</v>
      </c>
      <c r="AI1349" s="8">
        <f>IF($O1349="Aktif",MAX(0,MIN($AE1349,$AD1349-SUM($AG1349:AH1349))),0)</f>
        <v>0</v>
      </c>
      <c r="AJ1349" s="8">
        <f>IF($O1349="Aktif",MAX(0,MIN($AE1349,$AD1349-SUM($AG1349:AI1349))),0)</f>
        <v>0</v>
      </c>
      <c r="AK1349" s="8">
        <f>IF($O1349="Aktif",MAX(0,MIN($AE1349,$AD1349-SUM($AG1349:AJ1349))),0)</f>
        <v>0</v>
      </c>
      <c r="AL1349" s="8">
        <f>IF($O1349="Aktif",MAX(0,MIN($AE1349,$AD1349-SUM($AG1349:AK1349))),0)</f>
        <v>0</v>
      </c>
      <c r="AM1349" s="8">
        <f>IF($O1349="Aktif",MAX(0,MIN($AE1349,$AD1349-SUM($AG1349:AL1349))),0)</f>
        <v>0</v>
      </c>
      <c r="AN1349" s="8">
        <f>IF($O1349="Aktif",MAX(0,MIN($AE1349,$AD1349-SUM($AG1349:AM1349))),0)</f>
        <v>0</v>
      </c>
      <c r="AO1349" s="8">
        <f>IF($O1349="Aktif",MAX(0,MIN($AE1349,$AD1349-SUM($AG1349:AN1349))),0)</f>
        <v>0</v>
      </c>
      <c r="AP1349" s="8">
        <f>IF($O1349="Aktif",MAX(0,MIN($AE1349,$AD1349-SUM($AG1349:AO1349))),0)</f>
        <v>0</v>
      </c>
      <c r="AQ1349" s="8">
        <f>IF($O1349="Aktif",MAX(0,MIN($AE1349,$AD1349-SUM($AG1349:AP1349))),0)</f>
        <v>0</v>
      </c>
      <c r="AR1349" s="8">
        <f>IF($O1349="Aktif",MAX(0,MIN($AE1349,$AD1349-SUM($AG1349:AQ1349))),0)</f>
        <v>0</v>
      </c>
      <c r="AS1349" s="8">
        <f>IF($O1349="Aktif",MAX(0,MIN($AE1349,$AD1349-SUM($AG1349:AR1349))),0)</f>
        <v>0</v>
      </c>
      <c r="AT1349" s="8">
        <f>IF($O1349="Aktif",MAX(0,MIN($AE1349,$AD1349-SUM($AG1349:AS1349))),0)</f>
        <v>0</v>
      </c>
      <c r="AU1349" s="8">
        <f>IF($O1349="Aktif",MAX(0,MIN($AE1349,$AD1349-SUM($AG1349:AT1349))),0)</f>
        <v>0</v>
      </c>
      <c r="AV1349" s="8">
        <f>IF($O1349="Aktif",MAX(0,MIN($AE1349,$AD1349-SUM($AG1349:AU1349))),0)</f>
        <v>0</v>
      </c>
      <c r="AW1349" s="8">
        <f t="shared" si="145"/>
        <v>0</v>
      </c>
      <c r="AX1349" s="8">
        <f t="shared" si="146"/>
        <v>0</v>
      </c>
    </row>
    <row r="1350" spans="1:50" ht="15" customHeight="1" x14ac:dyDescent="0.35">
      <c r="A1350" s="102">
        <v>1344</v>
      </c>
      <c r="B1350" s="102" t="s">
        <v>3648</v>
      </c>
      <c r="C1350" s="103">
        <v>30</v>
      </c>
      <c r="D1350" s="102" t="s">
        <v>186</v>
      </c>
      <c r="E1350" s="102" t="s">
        <v>479</v>
      </c>
      <c r="F1350" s="102" t="s">
        <v>3116</v>
      </c>
      <c r="G1350" s="102" t="s">
        <v>3117</v>
      </c>
      <c r="H1350" s="102" t="s">
        <v>3118</v>
      </c>
      <c r="I1350" s="102" t="s">
        <v>63</v>
      </c>
      <c r="J1350" s="102" t="s">
        <v>3700</v>
      </c>
      <c r="K1350" s="102"/>
      <c r="L1350" s="104">
        <v>42004</v>
      </c>
      <c r="M1350" s="102" t="s">
        <v>3701</v>
      </c>
      <c r="N1350" s="102" t="s">
        <v>3702</v>
      </c>
      <c r="O1350" s="102" t="s">
        <v>383</v>
      </c>
      <c r="P1350" s="103">
        <v>1</v>
      </c>
      <c r="Q1350" s="105">
        <v>8000000</v>
      </c>
      <c r="R1350" s="103">
        <v>48</v>
      </c>
      <c r="S1350" s="105">
        <v>0</v>
      </c>
      <c r="T1350" s="105">
        <v>8000000</v>
      </c>
      <c r="U1350" s="105">
        <v>0</v>
      </c>
      <c r="V1350" s="105">
        <v>0</v>
      </c>
      <c r="W1350" s="105">
        <v>0</v>
      </c>
      <c r="X1350" s="105">
        <v>0</v>
      </c>
      <c r="Y1350" s="105">
        <v>0</v>
      </c>
      <c r="Z1350" s="105">
        <v>0</v>
      </c>
      <c r="AA1350" s="105">
        <v>0</v>
      </c>
      <c r="AB1350" s="105">
        <v>0</v>
      </c>
      <c r="AC1350" s="8">
        <f t="shared" si="140"/>
        <v>8000000</v>
      </c>
      <c r="AD1350" s="8">
        <f t="shared" si="141"/>
        <v>0</v>
      </c>
      <c r="AE1350" s="8">
        <f t="shared" si="142"/>
        <v>0</v>
      </c>
      <c r="AF1350" s="106">
        <f t="shared" si="143"/>
        <v>0</v>
      </c>
      <c r="AG1350" s="8">
        <f t="shared" si="144"/>
        <v>0</v>
      </c>
      <c r="AH1350" s="8">
        <f>IF($O1350="Aktif",MAX(0,MIN($AE1350,$AD1350-SUM($AG1350:AG1350))),0)</f>
        <v>0</v>
      </c>
      <c r="AI1350" s="8">
        <f>IF($O1350="Aktif",MAX(0,MIN($AE1350,$AD1350-SUM($AG1350:AH1350))),0)</f>
        <v>0</v>
      </c>
      <c r="AJ1350" s="8">
        <f>IF($O1350="Aktif",MAX(0,MIN($AE1350,$AD1350-SUM($AG1350:AI1350))),0)</f>
        <v>0</v>
      </c>
      <c r="AK1350" s="8">
        <f>IF($O1350="Aktif",MAX(0,MIN($AE1350,$AD1350-SUM($AG1350:AJ1350))),0)</f>
        <v>0</v>
      </c>
      <c r="AL1350" s="8">
        <f>IF($O1350="Aktif",MAX(0,MIN($AE1350,$AD1350-SUM($AG1350:AK1350))),0)</f>
        <v>0</v>
      </c>
      <c r="AM1350" s="8">
        <f>IF($O1350="Aktif",MAX(0,MIN($AE1350,$AD1350-SUM($AG1350:AL1350))),0)</f>
        <v>0</v>
      </c>
      <c r="AN1350" s="8">
        <f>IF($O1350="Aktif",MAX(0,MIN($AE1350,$AD1350-SUM($AG1350:AM1350))),0)</f>
        <v>0</v>
      </c>
      <c r="AO1350" s="8">
        <f>IF($O1350="Aktif",MAX(0,MIN($AE1350,$AD1350-SUM($AG1350:AN1350))),0)</f>
        <v>0</v>
      </c>
      <c r="AP1350" s="8">
        <f>IF($O1350="Aktif",MAX(0,MIN($AE1350,$AD1350-SUM($AG1350:AO1350))),0)</f>
        <v>0</v>
      </c>
      <c r="AQ1350" s="8">
        <f>IF($O1350="Aktif",MAX(0,MIN($AE1350,$AD1350-SUM($AG1350:AP1350))),0)</f>
        <v>0</v>
      </c>
      <c r="AR1350" s="8">
        <f>IF($O1350="Aktif",MAX(0,MIN($AE1350,$AD1350-SUM($AG1350:AQ1350))),0)</f>
        <v>0</v>
      </c>
      <c r="AS1350" s="8">
        <f>IF($O1350="Aktif",MAX(0,MIN($AE1350,$AD1350-SUM($AG1350:AR1350))),0)</f>
        <v>0</v>
      </c>
      <c r="AT1350" s="8">
        <f>IF($O1350="Aktif",MAX(0,MIN($AE1350,$AD1350-SUM($AG1350:AS1350))),0)</f>
        <v>0</v>
      </c>
      <c r="AU1350" s="8">
        <f>IF($O1350="Aktif",MAX(0,MIN($AE1350,$AD1350-SUM($AG1350:AT1350))),0)</f>
        <v>0</v>
      </c>
      <c r="AV1350" s="8">
        <f>IF($O1350="Aktif",MAX(0,MIN($AE1350,$AD1350-SUM($AG1350:AU1350))),0)</f>
        <v>0</v>
      </c>
      <c r="AW1350" s="8">
        <f t="shared" si="145"/>
        <v>0</v>
      </c>
      <c r="AX1350" s="8">
        <f t="shared" si="146"/>
        <v>0</v>
      </c>
    </row>
    <row r="1351" spans="1:50" ht="15" customHeight="1" x14ac:dyDescent="0.35">
      <c r="A1351" s="102">
        <v>1345</v>
      </c>
      <c r="B1351" s="102" t="s">
        <v>3648</v>
      </c>
      <c r="C1351" s="103">
        <v>31</v>
      </c>
      <c r="D1351" s="102" t="s">
        <v>186</v>
      </c>
      <c r="E1351" s="102" t="s">
        <v>479</v>
      </c>
      <c r="F1351" s="102" t="s">
        <v>3116</v>
      </c>
      <c r="G1351" s="102" t="s">
        <v>3117</v>
      </c>
      <c r="H1351" s="102" t="s">
        <v>3118</v>
      </c>
      <c r="I1351" s="102" t="s">
        <v>63</v>
      </c>
      <c r="J1351" s="102" t="s">
        <v>3703</v>
      </c>
      <c r="K1351" s="102"/>
      <c r="L1351" s="104">
        <v>42004</v>
      </c>
      <c r="M1351" s="102" t="s">
        <v>3704</v>
      </c>
      <c r="N1351" s="102" t="s">
        <v>3705</v>
      </c>
      <c r="O1351" s="102" t="s">
        <v>383</v>
      </c>
      <c r="P1351" s="103">
        <v>1</v>
      </c>
      <c r="Q1351" s="105">
        <v>18500000</v>
      </c>
      <c r="R1351" s="103">
        <v>48</v>
      </c>
      <c r="S1351" s="105">
        <v>0</v>
      </c>
      <c r="T1351" s="105">
        <v>18500000</v>
      </c>
      <c r="U1351" s="105">
        <v>0</v>
      </c>
      <c r="V1351" s="105">
        <v>0</v>
      </c>
      <c r="W1351" s="105">
        <v>0</v>
      </c>
      <c r="X1351" s="105">
        <v>0</v>
      </c>
      <c r="Y1351" s="105">
        <v>0</v>
      </c>
      <c r="Z1351" s="105">
        <v>0</v>
      </c>
      <c r="AA1351" s="105">
        <v>0</v>
      </c>
      <c r="AB1351" s="105">
        <v>0</v>
      </c>
      <c r="AC1351" s="8">
        <f t="shared" ref="AC1351:AC1391" si="147">T1351+SUM(U1351:AB1351)</f>
        <v>18500000</v>
      </c>
      <c r="AD1351" s="8">
        <f t="shared" ref="AD1351:AD1391" si="148">Q1351-AC1351</f>
        <v>0</v>
      </c>
      <c r="AE1351" s="8">
        <f t="shared" ref="AE1351:AE1391" si="149">IF(O1351="Aktif",AB1351,0)</f>
        <v>0</v>
      </c>
      <c r="AF1351" s="106">
        <f t="shared" ref="AF1351:AF1391" si="150">IF(AE1351&gt;0,MAX(0,AD1351)/AE1351,0)</f>
        <v>0</v>
      </c>
      <c r="AG1351" s="8">
        <f t="shared" ref="AG1351:AG1391" si="151">IF($O1351="Aktif",MAX(0,MIN($AE1351,$AD1351-0)),0)</f>
        <v>0</v>
      </c>
      <c r="AH1351" s="8">
        <f>IF($O1351="Aktif",MAX(0,MIN($AE1351,$AD1351-SUM($AG1351:AG1351))),0)</f>
        <v>0</v>
      </c>
      <c r="AI1351" s="8">
        <f>IF($O1351="Aktif",MAX(0,MIN($AE1351,$AD1351-SUM($AG1351:AH1351))),0)</f>
        <v>0</v>
      </c>
      <c r="AJ1351" s="8">
        <f>IF($O1351="Aktif",MAX(0,MIN($AE1351,$AD1351-SUM($AG1351:AI1351))),0)</f>
        <v>0</v>
      </c>
      <c r="AK1351" s="8">
        <f>IF($O1351="Aktif",MAX(0,MIN($AE1351,$AD1351-SUM($AG1351:AJ1351))),0)</f>
        <v>0</v>
      </c>
      <c r="AL1351" s="8">
        <f>IF($O1351="Aktif",MAX(0,MIN($AE1351,$AD1351-SUM($AG1351:AK1351))),0)</f>
        <v>0</v>
      </c>
      <c r="AM1351" s="8">
        <f>IF($O1351="Aktif",MAX(0,MIN($AE1351,$AD1351-SUM($AG1351:AL1351))),0)</f>
        <v>0</v>
      </c>
      <c r="AN1351" s="8">
        <f>IF($O1351="Aktif",MAX(0,MIN($AE1351,$AD1351-SUM($AG1351:AM1351))),0)</f>
        <v>0</v>
      </c>
      <c r="AO1351" s="8">
        <f>IF($O1351="Aktif",MAX(0,MIN($AE1351,$AD1351-SUM($AG1351:AN1351))),0)</f>
        <v>0</v>
      </c>
      <c r="AP1351" s="8">
        <f>IF($O1351="Aktif",MAX(0,MIN($AE1351,$AD1351-SUM($AG1351:AO1351))),0)</f>
        <v>0</v>
      </c>
      <c r="AQ1351" s="8">
        <f>IF($O1351="Aktif",MAX(0,MIN($AE1351,$AD1351-SUM($AG1351:AP1351))),0)</f>
        <v>0</v>
      </c>
      <c r="AR1351" s="8">
        <f>IF($O1351="Aktif",MAX(0,MIN($AE1351,$AD1351-SUM($AG1351:AQ1351))),0)</f>
        <v>0</v>
      </c>
      <c r="AS1351" s="8">
        <f>IF($O1351="Aktif",MAX(0,MIN($AE1351,$AD1351-SUM($AG1351:AR1351))),0)</f>
        <v>0</v>
      </c>
      <c r="AT1351" s="8">
        <f>IF($O1351="Aktif",MAX(0,MIN($AE1351,$AD1351-SUM($AG1351:AS1351))),0)</f>
        <v>0</v>
      </c>
      <c r="AU1351" s="8">
        <f>IF($O1351="Aktif",MAX(0,MIN($AE1351,$AD1351-SUM($AG1351:AT1351))),0)</f>
        <v>0</v>
      </c>
      <c r="AV1351" s="8">
        <f>IF($O1351="Aktif",MAX(0,MIN($AE1351,$AD1351-SUM($AG1351:AU1351))),0)</f>
        <v>0</v>
      </c>
      <c r="AW1351" s="8">
        <f t="shared" ref="AW1351:AW1391" si="152">SUM(AG1351:AV1351)</f>
        <v>0</v>
      </c>
      <c r="AX1351" s="8">
        <f t="shared" ref="AX1351:AX1391" si="153">AD1351-AW1351</f>
        <v>0</v>
      </c>
    </row>
    <row r="1352" spans="1:50" ht="15" customHeight="1" x14ac:dyDescent="0.35">
      <c r="A1352" s="102">
        <v>1346</v>
      </c>
      <c r="B1352" s="102" t="s">
        <v>3648</v>
      </c>
      <c r="C1352" s="103">
        <v>32</v>
      </c>
      <c r="D1352" s="102" t="s">
        <v>186</v>
      </c>
      <c r="E1352" s="102" t="s">
        <v>479</v>
      </c>
      <c r="F1352" s="102" t="s">
        <v>3116</v>
      </c>
      <c r="G1352" s="102" t="s">
        <v>3117</v>
      </c>
      <c r="H1352" s="102" t="s">
        <v>3118</v>
      </c>
      <c r="I1352" s="102" t="s">
        <v>63</v>
      </c>
      <c r="J1352" s="102" t="s">
        <v>3706</v>
      </c>
      <c r="K1352" s="102"/>
      <c r="L1352" s="104">
        <v>42094</v>
      </c>
      <c r="M1352" s="102" t="s">
        <v>3707</v>
      </c>
      <c r="N1352" s="102" t="s">
        <v>3708</v>
      </c>
      <c r="O1352" s="102" t="s">
        <v>383</v>
      </c>
      <c r="P1352" s="103">
        <v>4</v>
      </c>
      <c r="Q1352" s="105">
        <v>120000000</v>
      </c>
      <c r="R1352" s="103">
        <v>48</v>
      </c>
      <c r="S1352" s="105">
        <v>0</v>
      </c>
      <c r="T1352" s="105">
        <v>120000000</v>
      </c>
      <c r="U1352" s="105">
        <v>0</v>
      </c>
      <c r="V1352" s="105">
        <v>0</v>
      </c>
      <c r="W1352" s="105">
        <v>0</v>
      </c>
      <c r="X1352" s="105">
        <v>0</v>
      </c>
      <c r="Y1352" s="105">
        <v>0</v>
      </c>
      <c r="Z1352" s="105">
        <v>0</v>
      </c>
      <c r="AA1352" s="105">
        <v>0</v>
      </c>
      <c r="AB1352" s="105">
        <v>0</v>
      </c>
      <c r="AC1352" s="8">
        <f t="shared" si="147"/>
        <v>120000000</v>
      </c>
      <c r="AD1352" s="8">
        <f t="shared" si="148"/>
        <v>0</v>
      </c>
      <c r="AE1352" s="8">
        <f t="shared" si="149"/>
        <v>0</v>
      </c>
      <c r="AF1352" s="106">
        <f t="shared" si="150"/>
        <v>0</v>
      </c>
      <c r="AG1352" s="8">
        <f t="shared" si="151"/>
        <v>0</v>
      </c>
      <c r="AH1352" s="8">
        <f>IF($O1352="Aktif",MAX(0,MIN($AE1352,$AD1352-SUM($AG1352:AG1352))),0)</f>
        <v>0</v>
      </c>
      <c r="AI1352" s="8">
        <f>IF($O1352="Aktif",MAX(0,MIN($AE1352,$AD1352-SUM($AG1352:AH1352))),0)</f>
        <v>0</v>
      </c>
      <c r="AJ1352" s="8">
        <f>IF($O1352="Aktif",MAX(0,MIN($AE1352,$AD1352-SUM($AG1352:AI1352))),0)</f>
        <v>0</v>
      </c>
      <c r="AK1352" s="8">
        <f>IF($O1352="Aktif",MAX(0,MIN($AE1352,$AD1352-SUM($AG1352:AJ1352))),0)</f>
        <v>0</v>
      </c>
      <c r="AL1352" s="8">
        <f>IF($O1352="Aktif",MAX(0,MIN($AE1352,$AD1352-SUM($AG1352:AK1352))),0)</f>
        <v>0</v>
      </c>
      <c r="AM1352" s="8">
        <f>IF($O1352="Aktif",MAX(0,MIN($AE1352,$AD1352-SUM($AG1352:AL1352))),0)</f>
        <v>0</v>
      </c>
      <c r="AN1352" s="8">
        <f>IF($O1352="Aktif",MAX(0,MIN($AE1352,$AD1352-SUM($AG1352:AM1352))),0)</f>
        <v>0</v>
      </c>
      <c r="AO1352" s="8">
        <f>IF($O1352="Aktif",MAX(0,MIN($AE1352,$AD1352-SUM($AG1352:AN1352))),0)</f>
        <v>0</v>
      </c>
      <c r="AP1352" s="8">
        <f>IF($O1352="Aktif",MAX(0,MIN($AE1352,$AD1352-SUM($AG1352:AO1352))),0)</f>
        <v>0</v>
      </c>
      <c r="AQ1352" s="8">
        <f>IF($O1352="Aktif",MAX(0,MIN($AE1352,$AD1352-SUM($AG1352:AP1352))),0)</f>
        <v>0</v>
      </c>
      <c r="AR1352" s="8">
        <f>IF($O1352="Aktif",MAX(0,MIN($AE1352,$AD1352-SUM($AG1352:AQ1352))),0)</f>
        <v>0</v>
      </c>
      <c r="AS1352" s="8">
        <f>IF($O1352="Aktif",MAX(0,MIN($AE1352,$AD1352-SUM($AG1352:AR1352))),0)</f>
        <v>0</v>
      </c>
      <c r="AT1352" s="8">
        <f>IF($O1352="Aktif",MAX(0,MIN($AE1352,$AD1352-SUM($AG1352:AS1352))),0)</f>
        <v>0</v>
      </c>
      <c r="AU1352" s="8">
        <f>IF($O1352="Aktif",MAX(0,MIN($AE1352,$AD1352-SUM($AG1352:AT1352))),0)</f>
        <v>0</v>
      </c>
      <c r="AV1352" s="8">
        <f>IF($O1352="Aktif",MAX(0,MIN($AE1352,$AD1352-SUM($AG1352:AU1352))),0)</f>
        <v>0</v>
      </c>
      <c r="AW1352" s="8">
        <f t="shared" si="152"/>
        <v>0</v>
      </c>
      <c r="AX1352" s="8">
        <f t="shared" si="153"/>
        <v>0</v>
      </c>
    </row>
    <row r="1353" spans="1:50" ht="15" customHeight="1" x14ac:dyDescent="0.35">
      <c r="A1353" s="102">
        <v>1347</v>
      </c>
      <c r="B1353" s="102" t="s">
        <v>3648</v>
      </c>
      <c r="C1353" s="103">
        <v>33</v>
      </c>
      <c r="D1353" s="102" t="s">
        <v>186</v>
      </c>
      <c r="E1353" s="102" t="s">
        <v>479</v>
      </c>
      <c r="F1353" s="102" t="s">
        <v>3116</v>
      </c>
      <c r="G1353" s="102" t="s">
        <v>3117</v>
      </c>
      <c r="H1353" s="102" t="s">
        <v>3118</v>
      </c>
      <c r="I1353" s="102" t="s">
        <v>63</v>
      </c>
      <c r="J1353" s="102" t="s">
        <v>3709</v>
      </c>
      <c r="K1353" s="102"/>
      <c r="L1353" s="104">
        <v>42155</v>
      </c>
      <c r="M1353" s="102" t="s">
        <v>3710</v>
      </c>
      <c r="N1353" s="102" t="s">
        <v>3711</v>
      </c>
      <c r="O1353" s="102" t="s">
        <v>383</v>
      </c>
      <c r="P1353" s="103">
        <v>1</v>
      </c>
      <c r="Q1353" s="105">
        <v>32000000</v>
      </c>
      <c r="R1353" s="103">
        <v>48</v>
      </c>
      <c r="S1353" s="105">
        <v>0</v>
      </c>
      <c r="T1353" s="105">
        <v>32000000</v>
      </c>
      <c r="U1353" s="105">
        <v>0</v>
      </c>
      <c r="V1353" s="105">
        <v>0</v>
      </c>
      <c r="W1353" s="105">
        <v>0</v>
      </c>
      <c r="X1353" s="105">
        <v>0</v>
      </c>
      <c r="Y1353" s="105">
        <v>0</v>
      </c>
      <c r="Z1353" s="105">
        <v>0</v>
      </c>
      <c r="AA1353" s="105">
        <v>0</v>
      </c>
      <c r="AB1353" s="105">
        <v>0</v>
      </c>
      <c r="AC1353" s="8">
        <f t="shared" si="147"/>
        <v>32000000</v>
      </c>
      <c r="AD1353" s="8">
        <f t="shared" si="148"/>
        <v>0</v>
      </c>
      <c r="AE1353" s="8">
        <f t="shared" si="149"/>
        <v>0</v>
      </c>
      <c r="AF1353" s="106">
        <f t="shared" si="150"/>
        <v>0</v>
      </c>
      <c r="AG1353" s="8">
        <f t="shared" si="151"/>
        <v>0</v>
      </c>
      <c r="AH1353" s="8">
        <f>IF($O1353="Aktif",MAX(0,MIN($AE1353,$AD1353-SUM($AG1353:AG1353))),0)</f>
        <v>0</v>
      </c>
      <c r="AI1353" s="8">
        <f>IF($O1353="Aktif",MAX(0,MIN($AE1353,$AD1353-SUM($AG1353:AH1353))),0)</f>
        <v>0</v>
      </c>
      <c r="AJ1353" s="8">
        <f>IF($O1353="Aktif",MAX(0,MIN($AE1353,$AD1353-SUM($AG1353:AI1353))),0)</f>
        <v>0</v>
      </c>
      <c r="AK1353" s="8">
        <f>IF($O1353="Aktif",MAX(0,MIN($AE1353,$AD1353-SUM($AG1353:AJ1353))),0)</f>
        <v>0</v>
      </c>
      <c r="AL1353" s="8">
        <f>IF($O1353="Aktif",MAX(0,MIN($AE1353,$AD1353-SUM($AG1353:AK1353))),0)</f>
        <v>0</v>
      </c>
      <c r="AM1353" s="8">
        <f>IF($O1353="Aktif",MAX(0,MIN($AE1353,$AD1353-SUM($AG1353:AL1353))),0)</f>
        <v>0</v>
      </c>
      <c r="AN1353" s="8">
        <f>IF($O1353="Aktif",MAX(0,MIN($AE1353,$AD1353-SUM($AG1353:AM1353))),0)</f>
        <v>0</v>
      </c>
      <c r="AO1353" s="8">
        <f>IF($O1353="Aktif",MAX(0,MIN($AE1353,$AD1353-SUM($AG1353:AN1353))),0)</f>
        <v>0</v>
      </c>
      <c r="AP1353" s="8">
        <f>IF($O1353="Aktif",MAX(0,MIN($AE1353,$AD1353-SUM($AG1353:AO1353))),0)</f>
        <v>0</v>
      </c>
      <c r="AQ1353" s="8">
        <f>IF($O1353="Aktif",MAX(0,MIN($AE1353,$AD1353-SUM($AG1353:AP1353))),0)</f>
        <v>0</v>
      </c>
      <c r="AR1353" s="8">
        <f>IF($O1353="Aktif",MAX(0,MIN($AE1353,$AD1353-SUM($AG1353:AQ1353))),0)</f>
        <v>0</v>
      </c>
      <c r="AS1353" s="8">
        <f>IF($O1353="Aktif",MAX(0,MIN($AE1353,$AD1353-SUM($AG1353:AR1353))),0)</f>
        <v>0</v>
      </c>
      <c r="AT1353" s="8">
        <f>IF($O1353="Aktif",MAX(0,MIN($AE1353,$AD1353-SUM($AG1353:AS1353))),0)</f>
        <v>0</v>
      </c>
      <c r="AU1353" s="8">
        <f>IF($O1353="Aktif",MAX(0,MIN($AE1353,$AD1353-SUM($AG1353:AT1353))),0)</f>
        <v>0</v>
      </c>
      <c r="AV1353" s="8">
        <f>IF($O1353="Aktif",MAX(0,MIN($AE1353,$AD1353-SUM($AG1353:AU1353))),0)</f>
        <v>0</v>
      </c>
      <c r="AW1353" s="8">
        <f t="shared" si="152"/>
        <v>0</v>
      </c>
      <c r="AX1353" s="8">
        <f t="shared" si="153"/>
        <v>0</v>
      </c>
    </row>
    <row r="1354" spans="1:50" ht="15" customHeight="1" x14ac:dyDescent="0.35">
      <c r="A1354" s="102">
        <v>1348</v>
      </c>
      <c r="B1354" s="102" t="s">
        <v>3648</v>
      </c>
      <c r="C1354" s="103">
        <v>34</v>
      </c>
      <c r="D1354" s="102" t="s">
        <v>186</v>
      </c>
      <c r="E1354" s="102" t="s">
        <v>540</v>
      </c>
      <c r="F1354" s="102" t="s">
        <v>3172</v>
      </c>
      <c r="G1354" s="102" t="s">
        <v>3173</v>
      </c>
      <c r="H1354" s="102" t="s">
        <v>3174</v>
      </c>
      <c r="I1354" s="102" t="s">
        <v>63</v>
      </c>
      <c r="J1354" s="102" t="s">
        <v>3712</v>
      </c>
      <c r="K1354" s="102"/>
      <c r="L1354" s="104">
        <v>41740</v>
      </c>
      <c r="M1354" s="102" t="s">
        <v>3713</v>
      </c>
      <c r="N1354" s="102" t="s">
        <v>3713</v>
      </c>
      <c r="O1354" s="102" t="s">
        <v>383</v>
      </c>
      <c r="P1354" s="103">
        <v>1</v>
      </c>
      <c r="Q1354" s="105">
        <v>43875000</v>
      </c>
      <c r="R1354" s="103">
        <v>96</v>
      </c>
      <c r="S1354" s="105">
        <v>457031.25</v>
      </c>
      <c r="T1354" s="105">
        <v>43875000</v>
      </c>
      <c r="U1354" s="105">
        <v>0</v>
      </c>
      <c r="V1354" s="105">
        <v>0</v>
      </c>
      <c r="W1354" s="105">
        <v>0</v>
      </c>
      <c r="X1354" s="105">
        <v>0</v>
      </c>
      <c r="Y1354" s="105">
        <v>0</v>
      </c>
      <c r="Z1354" s="105">
        <v>0</v>
      </c>
      <c r="AA1354" s="105">
        <v>0</v>
      </c>
      <c r="AB1354" s="105">
        <v>0</v>
      </c>
      <c r="AC1354" s="8">
        <f t="shared" si="147"/>
        <v>43875000</v>
      </c>
      <c r="AD1354" s="8">
        <f t="shared" si="148"/>
        <v>0</v>
      </c>
      <c r="AE1354" s="8">
        <f t="shared" si="149"/>
        <v>0</v>
      </c>
      <c r="AF1354" s="106">
        <f t="shared" si="150"/>
        <v>0</v>
      </c>
      <c r="AG1354" s="8">
        <f t="shared" si="151"/>
        <v>0</v>
      </c>
      <c r="AH1354" s="8">
        <f>IF($O1354="Aktif",MAX(0,MIN($AE1354,$AD1354-SUM($AG1354:AG1354))),0)</f>
        <v>0</v>
      </c>
      <c r="AI1354" s="8">
        <f>IF($O1354="Aktif",MAX(0,MIN($AE1354,$AD1354-SUM($AG1354:AH1354))),0)</f>
        <v>0</v>
      </c>
      <c r="AJ1354" s="8">
        <f>IF($O1354="Aktif",MAX(0,MIN($AE1354,$AD1354-SUM($AG1354:AI1354))),0)</f>
        <v>0</v>
      </c>
      <c r="AK1354" s="8">
        <f>IF($O1354="Aktif",MAX(0,MIN($AE1354,$AD1354-SUM($AG1354:AJ1354))),0)</f>
        <v>0</v>
      </c>
      <c r="AL1354" s="8">
        <f>IF($O1354="Aktif",MAX(0,MIN($AE1354,$AD1354-SUM($AG1354:AK1354))),0)</f>
        <v>0</v>
      </c>
      <c r="AM1354" s="8">
        <f>IF($O1354="Aktif",MAX(0,MIN($AE1354,$AD1354-SUM($AG1354:AL1354))),0)</f>
        <v>0</v>
      </c>
      <c r="AN1354" s="8">
        <f>IF($O1354="Aktif",MAX(0,MIN($AE1354,$AD1354-SUM($AG1354:AM1354))),0)</f>
        <v>0</v>
      </c>
      <c r="AO1354" s="8">
        <f>IF($O1354="Aktif",MAX(0,MIN($AE1354,$AD1354-SUM($AG1354:AN1354))),0)</f>
        <v>0</v>
      </c>
      <c r="AP1354" s="8">
        <f>IF($O1354="Aktif",MAX(0,MIN($AE1354,$AD1354-SUM($AG1354:AO1354))),0)</f>
        <v>0</v>
      </c>
      <c r="AQ1354" s="8">
        <f>IF($O1354="Aktif",MAX(0,MIN($AE1354,$AD1354-SUM($AG1354:AP1354))),0)</f>
        <v>0</v>
      </c>
      <c r="AR1354" s="8">
        <f>IF($O1354="Aktif",MAX(0,MIN($AE1354,$AD1354-SUM($AG1354:AQ1354))),0)</f>
        <v>0</v>
      </c>
      <c r="AS1354" s="8">
        <f>IF($O1354="Aktif",MAX(0,MIN($AE1354,$AD1354-SUM($AG1354:AR1354))),0)</f>
        <v>0</v>
      </c>
      <c r="AT1354" s="8">
        <f>IF($O1354="Aktif",MAX(0,MIN($AE1354,$AD1354-SUM($AG1354:AS1354))),0)</f>
        <v>0</v>
      </c>
      <c r="AU1354" s="8">
        <f>IF($O1354="Aktif",MAX(0,MIN($AE1354,$AD1354-SUM($AG1354:AT1354))),0)</f>
        <v>0</v>
      </c>
      <c r="AV1354" s="8">
        <f>IF($O1354="Aktif",MAX(0,MIN($AE1354,$AD1354-SUM($AG1354:AU1354))),0)</f>
        <v>0</v>
      </c>
      <c r="AW1354" s="8">
        <f t="shared" si="152"/>
        <v>0</v>
      </c>
      <c r="AX1354" s="8">
        <f t="shared" si="153"/>
        <v>0</v>
      </c>
    </row>
    <row r="1355" spans="1:50" ht="15" customHeight="1" x14ac:dyDescent="0.35">
      <c r="A1355" s="102">
        <v>1349</v>
      </c>
      <c r="B1355" s="102" t="s">
        <v>3714</v>
      </c>
      <c r="C1355" s="103">
        <v>8</v>
      </c>
      <c r="D1355" s="102" t="s">
        <v>186</v>
      </c>
      <c r="E1355" s="102" t="s">
        <v>0</v>
      </c>
      <c r="F1355" s="102" t="s">
        <v>3116</v>
      </c>
      <c r="G1355" s="102" t="s">
        <v>3117</v>
      </c>
      <c r="H1355" s="102" t="s">
        <v>3118</v>
      </c>
      <c r="I1355" s="102" t="s">
        <v>63</v>
      </c>
      <c r="J1355" s="102"/>
      <c r="K1355" s="102"/>
      <c r="L1355" s="104">
        <v>42251</v>
      </c>
      <c r="M1355" s="102" t="s">
        <v>3384</v>
      </c>
      <c r="N1355" s="102" t="s">
        <v>3715</v>
      </c>
      <c r="O1355" s="102" t="s">
        <v>383</v>
      </c>
      <c r="P1355" s="103">
        <v>1</v>
      </c>
      <c r="Q1355" s="105">
        <v>0</v>
      </c>
      <c r="R1355" s="103">
        <v>0</v>
      </c>
      <c r="S1355" s="105">
        <v>0</v>
      </c>
      <c r="T1355" s="105">
        <v>0</v>
      </c>
      <c r="U1355" s="105">
        <v>0</v>
      </c>
      <c r="V1355" s="105">
        <v>0</v>
      </c>
      <c r="W1355" s="105">
        <v>0</v>
      </c>
      <c r="X1355" s="105">
        <v>0</v>
      </c>
      <c r="Y1355" s="105">
        <v>0</v>
      </c>
      <c r="Z1355" s="105">
        <v>0</v>
      </c>
      <c r="AA1355" s="105">
        <v>0</v>
      </c>
      <c r="AB1355" s="105">
        <v>0</v>
      </c>
      <c r="AC1355" s="8">
        <f t="shared" si="147"/>
        <v>0</v>
      </c>
      <c r="AD1355" s="8">
        <f t="shared" si="148"/>
        <v>0</v>
      </c>
      <c r="AE1355" s="8">
        <f t="shared" si="149"/>
        <v>0</v>
      </c>
      <c r="AF1355" s="106">
        <f t="shared" si="150"/>
        <v>0</v>
      </c>
      <c r="AG1355" s="8">
        <f t="shared" si="151"/>
        <v>0</v>
      </c>
      <c r="AH1355" s="8">
        <f>IF($O1355="Aktif",MAX(0,MIN($AE1355,$AD1355-SUM($AG1355:AG1355))),0)</f>
        <v>0</v>
      </c>
      <c r="AI1355" s="8">
        <f>IF($O1355="Aktif",MAX(0,MIN($AE1355,$AD1355-SUM($AG1355:AH1355))),0)</f>
        <v>0</v>
      </c>
      <c r="AJ1355" s="8">
        <f>IF($O1355="Aktif",MAX(0,MIN($AE1355,$AD1355-SUM($AG1355:AI1355))),0)</f>
        <v>0</v>
      </c>
      <c r="AK1355" s="8">
        <f>IF($O1355="Aktif",MAX(0,MIN($AE1355,$AD1355-SUM($AG1355:AJ1355))),0)</f>
        <v>0</v>
      </c>
      <c r="AL1355" s="8">
        <f>IF($O1355="Aktif",MAX(0,MIN($AE1355,$AD1355-SUM($AG1355:AK1355))),0)</f>
        <v>0</v>
      </c>
      <c r="AM1355" s="8">
        <f>IF($O1355="Aktif",MAX(0,MIN($AE1355,$AD1355-SUM($AG1355:AL1355))),0)</f>
        <v>0</v>
      </c>
      <c r="AN1355" s="8">
        <f>IF($O1355="Aktif",MAX(0,MIN($AE1355,$AD1355-SUM($AG1355:AM1355))),0)</f>
        <v>0</v>
      </c>
      <c r="AO1355" s="8">
        <f>IF($O1355="Aktif",MAX(0,MIN($AE1355,$AD1355-SUM($AG1355:AN1355))),0)</f>
        <v>0</v>
      </c>
      <c r="AP1355" s="8">
        <f>IF($O1355="Aktif",MAX(0,MIN($AE1355,$AD1355-SUM($AG1355:AO1355))),0)</f>
        <v>0</v>
      </c>
      <c r="AQ1355" s="8">
        <f>IF($O1355="Aktif",MAX(0,MIN($AE1355,$AD1355-SUM($AG1355:AP1355))),0)</f>
        <v>0</v>
      </c>
      <c r="AR1355" s="8">
        <f>IF($O1355="Aktif",MAX(0,MIN($AE1355,$AD1355-SUM($AG1355:AQ1355))),0)</f>
        <v>0</v>
      </c>
      <c r="AS1355" s="8">
        <f>IF($O1355="Aktif",MAX(0,MIN($AE1355,$AD1355-SUM($AG1355:AR1355))),0)</f>
        <v>0</v>
      </c>
      <c r="AT1355" s="8">
        <f>IF($O1355="Aktif",MAX(0,MIN($AE1355,$AD1355-SUM($AG1355:AS1355))),0)</f>
        <v>0</v>
      </c>
      <c r="AU1355" s="8">
        <f>IF($O1355="Aktif",MAX(0,MIN($AE1355,$AD1355-SUM($AG1355:AT1355))),0)</f>
        <v>0</v>
      </c>
      <c r="AV1355" s="8">
        <f>IF($O1355="Aktif",MAX(0,MIN($AE1355,$AD1355-SUM($AG1355:AU1355))),0)</f>
        <v>0</v>
      </c>
      <c r="AW1355" s="8">
        <f t="shared" si="152"/>
        <v>0</v>
      </c>
      <c r="AX1355" s="8">
        <f t="shared" si="153"/>
        <v>0</v>
      </c>
    </row>
    <row r="1356" spans="1:50" ht="15" customHeight="1" x14ac:dyDescent="0.35">
      <c r="A1356" s="102">
        <v>1350</v>
      </c>
      <c r="B1356" s="102" t="s">
        <v>3714</v>
      </c>
      <c r="C1356" s="103">
        <v>9</v>
      </c>
      <c r="D1356" s="102" t="s">
        <v>186</v>
      </c>
      <c r="E1356" s="102" t="s">
        <v>0</v>
      </c>
      <c r="F1356" s="102" t="s">
        <v>3116</v>
      </c>
      <c r="G1356" s="102" t="s">
        <v>3117</v>
      </c>
      <c r="H1356" s="102" t="s">
        <v>3118</v>
      </c>
      <c r="I1356" s="102" t="s">
        <v>63</v>
      </c>
      <c r="J1356" s="102"/>
      <c r="K1356" s="102"/>
      <c r="L1356" s="104">
        <v>42300</v>
      </c>
      <c r="M1356" s="102" t="s">
        <v>3716</v>
      </c>
      <c r="N1356" s="102" t="s">
        <v>3717</v>
      </c>
      <c r="O1356" s="102" t="s">
        <v>2853</v>
      </c>
      <c r="P1356" s="103">
        <v>1</v>
      </c>
      <c r="Q1356" s="105">
        <v>0</v>
      </c>
      <c r="R1356" s="102"/>
      <c r="S1356" s="105">
        <v>0</v>
      </c>
      <c r="T1356" s="105">
        <v>0</v>
      </c>
      <c r="U1356" s="105">
        <v>0</v>
      </c>
      <c r="V1356" s="105">
        <v>0</v>
      </c>
      <c r="W1356" s="105">
        <v>0</v>
      </c>
      <c r="X1356" s="105">
        <v>0</v>
      </c>
      <c r="Y1356" s="105">
        <v>0</v>
      </c>
      <c r="Z1356" s="105">
        <v>0</v>
      </c>
      <c r="AA1356" s="105">
        <v>0</v>
      </c>
      <c r="AB1356" s="105">
        <v>0</v>
      </c>
      <c r="AC1356" s="8">
        <f t="shared" si="147"/>
        <v>0</v>
      </c>
      <c r="AD1356" s="8">
        <f t="shared" si="148"/>
        <v>0</v>
      </c>
      <c r="AE1356" s="8">
        <f t="shared" si="149"/>
        <v>0</v>
      </c>
      <c r="AF1356" s="106">
        <f t="shared" si="150"/>
        <v>0</v>
      </c>
      <c r="AG1356" s="8">
        <f t="shared" si="151"/>
        <v>0</v>
      </c>
      <c r="AH1356" s="8">
        <f>IF($O1356="Aktif",MAX(0,MIN($AE1356,$AD1356-SUM($AG1356:AG1356))),0)</f>
        <v>0</v>
      </c>
      <c r="AI1356" s="8">
        <f>IF($O1356="Aktif",MAX(0,MIN($AE1356,$AD1356-SUM($AG1356:AH1356))),0)</f>
        <v>0</v>
      </c>
      <c r="AJ1356" s="8">
        <f>IF($O1356="Aktif",MAX(0,MIN($AE1356,$AD1356-SUM($AG1356:AI1356))),0)</f>
        <v>0</v>
      </c>
      <c r="AK1356" s="8">
        <f>IF($O1356="Aktif",MAX(0,MIN($AE1356,$AD1356-SUM($AG1356:AJ1356))),0)</f>
        <v>0</v>
      </c>
      <c r="AL1356" s="8">
        <f>IF($O1356="Aktif",MAX(0,MIN($AE1356,$AD1356-SUM($AG1356:AK1356))),0)</f>
        <v>0</v>
      </c>
      <c r="AM1356" s="8">
        <f>IF($O1356="Aktif",MAX(0,MIN($AE1356,$AD1356-SUM($AG1356:AL1356))),0)</f>
        <v>0</v>
      </c>
      <c r="AN1356" s="8">
        <f>IF($O1356="Aktif",MAX(0,MIN($AE1356,$AD1356-SUM($AG1356:AM1356))),0)</f>
        <v>0</v>
      </c>
      <c r="AO1356" s="8">
        <f>IF($O1356="Aktif",MAX(0,MIN($AE1356,$AD1356-SUM($AG1356:AN1356))),0)</f>
        <v>0</v>
      </c>
      <c r="AP1356" s="8">
        <f>IF($O1356="Aktif",MAX(0,MIN($AE1356,$AD1356-SUM($AG1356:AO1356))),0)</f>
        <v>0</v>
      </c>
      <c r="AQ1356" s="8">
        <f>IF($O1356="Aktif",MAX(0,MIN($AE1356,$AD1356-SUM($AG1356:AP1356))),0)</f>
        <v>0</v>
      </c>
      <c r="AR1356" s="8">
        <f>IF($O1356="Aktif",MAX(0,MIN($AE1356,$AD1356-SUM($AG1356:AQ1356))),0)</f>
        <v>0</v>
      </c>
      <c r="AS1356" s="8">
        <f>IF($O1356="Aktif",MAX(0,MIN($AE1356,$AD1356-SUM($AG1356:AR1356))),0)</f>
        <v>0</v>
      </c>
      <c r="AT1356" s="8">
        <f>IF($O1356="Aktif",MAX(0,MIN($AE1356,$AD1356-SUM($AG1356:AS1356))),0)</f>
        <v>0</v>
      </c>
      <c r="AU1356" s="8">
        <f>IF($O1356="Aktif",MAX(0,MIN($AE1356,$AD1356-SUM($AG1356:AT1356))),0)</f>
        <v>0</v>
      </c>
      <c r="AV1356" s="8">
        <f>IF($O1356="Aktif",MAX(0,MIN($AE1356,$AD1356-SUM($AG1356:AU1356))),0)</f>
        <v>0</v>
      </c>
      <c r="AW1356" s="8">
        <f t="shared" si="152"/>
        <v>0</v>
      </c>
      <c r="AX1356" s="8">
        <f t="shared" si="153"/>
        <v>0</v>
      </c>
    </row>
    <row r="1357" spans="1:50" ht="15" customHeight="1" x14ac:dyDescent="0.35">
      <c r="A1357" s="102">
        <v>1351</v>
      </c>
      <c r="B1357" s="102" t="s">
        <v>3714</v>
      </c>
      <c r="C1357" s="103">
        <v>10</v>
      </c>
      <c r="D1357" s="102" t="s">
        <v>186</v>
      </c>
      <c r="E1357" s="102" t="s">
        <v>0</v>
      </c>
      <c r="F1357" s="102" t="s">
        <v>3116</v>
      </c>
      <c r="G1357" s="102" t="s">
        <v>3117</v>
      </c>
      <c r="H1357" s="102" t="s">
        <v>3118</v>
      </c>
      <c r="I1357" s="102" t="s">
        <v>63</v>
      </c>
      <c r="J1357" s="102"/>
      <c r="K1357" s="102"/>
      <c r="L1357" s="104">
        <v>43373</v>
      </c>
      <c r="M1357" s="102" t="s">
        <v>2848</v>
      </c>
      <c r="N1357" s="102" t="s">
        <v>3718</v>
      </c>
      <c r="O1357" s="102" t="s">
        <v>487</v>
      </c>
      <c r="P1357" s="103">
        <v>1</v>
      </c>
      <c r="Q1357" s="105">
        <v>-18000000</v>
      </c>
      <c r="R1357" s="102"/>
      <c r="S1357" s="105">
        <v>-13125000</v>
      </c>
      <c r="T1357" s="105">
        <v>-13125000</v>
      </c>
      <c r="U1357" s="105">
        <v>0</v>
      </c>
      <c r="V1357" s="105">
        <v>0</v>
      </c>
      <c r="W1357" s="105">
        <v>0</v>
      </c>
      <c r="X1357" s="105">
        <v>0</v>
      </c>
      <c r="Y1357" s="105">
        <v>0</v>
      </c>
      <c r="Z1357" s="105">
        <v>0</v>
      </c>
      <c r="AA1357" s="105">
        <v>0</v>
      </c>
      <c r="AB1357" s="105">
        <v>0</v>
      </c>
      <c r="AC1357" s="8">
        <f t="shared" si="147"/>
        <v>-13125000</v>
      </c>
      <c r="AD1357" s="8">
        <f t="shared" si="148"/>
        <v>-4875000</v>
      </c>
      <c r="AE1357" s="8">
        <f t="shared" si="149"/>
        <v>0</v>
      </c>
      <c r="AF1357" s="106">
        <f t="shared" si="150"/>
        <v>0</v>
      </c>
      <c r="AG1357" s="8">
        <f t="shared" si="151"/>
        <v>0</v>
      </c>
      <c r="AH1357" s="8">
        <f>IF($O1357="Aktif",MAX(0,MIN($AE1357,$AD1357-SUM($AG1357:AG1357))),0)</f>
        <v>0</v>
      </c>
      <c r="AI1357" s="8">
        <f>IF($O1357="Aktif",MAX(0,MIN($AE1357,$AD1357-SUM($AG1357:AH1357))),0)</f>
        <v>0</v>
      </c>
      <c r="AJ1357" s="8">
        <f>IF($O1357="Aktif",MAX(0,MIN($AE1357,$AD1357-SUM($AG1357:AI1357))),0)</f>
        <v>0</v>
      </c>
      <c r="AK1357" s="8">
        <f>IF($O1357="Aktif",MAX(0,MIN($AE1357,$AD1357-SUM($AG1357:AJ1357))),0)</f>
        <v>0</v>
      </c>
      <c r="AL1357" s="8">
        <f>IF($O1357="Aktif",MAX(0,MIN($AE1357,$AD1357-SUM($AG1357:AK1357))),0)</f>
        <v>0</v>
      </c>
      <c r="AM1357" s="8">
        <f>IF($O1357="Aktif",MAX(0,MIN($AE1357,$AD1357-SUM($AG1357:AL1357))),0)</f>
        <v>0</v>
      </c>
      <c r="AN1357" s="8">
        <f>IF($O1357="Aktif",MAX(0,MIN($AE1357,$AD1357-SUM($AG1357:AM1357))),0)</f>
        <v>0</v>
      </c>
      <c r="AO1357" s="8">
        <f>IF($O1357="Aktif",MAX(0,MIN($AE1357,$AD1357-SUM($AG1357:AN1357))),0)</f>
        <v>0</v>
      </c>
      <c r="AP1357" s="8">
        <f>IF($O1357="Aktif",MAX(0,MIN($AE1357,$AD1357-SUM($AG1357:AO1357))),0)</f>
        <v>0</v>
      </c>
      <c r="AQ1357" s="8">
        <f>IF($O1357="Aktif",MAX(0,MIN($AE1357,$AD1357-SUM($AG1357:AP1357))),0)</f>
        <v>0</v>
      </c>
      <c r="AR1357" s="8">
        <f>IF($O1357="Aktif",MAX(0,MIN($AE1357,$AD1357-SUM($AG1357:AQ1357))),0)</f>
        <v>0</v>
      </c>
      <c r="AS1357" s="8">
        <f>IF($O1357="Aktif",MAX(0,MIN($AE1357,$AD1357-SUM($AG1357:AR1357))),0)</f>
        <v>0</v>
      </c>
      <c r="AT1357" s="8">
        <f>IF($O1357="Aktif",MAX(0,MIN($AE1357,$AD1357-SUM($AG1357:AS1357))),0)</f>
        <v>0</v>
      </c>
      <c r="AU1357" s="8">
        <f>IF($O1357="Aktif",MAX(0,MIN($AE1357,$AD1357-SUM($AG1357:AT1357))),0)</f>
        <v>0</v>
      </c>
      <c r="AV1357" s="8">
        <f>IF($O1357="Aktif",MAX(0,MIN($AE1357,$AD1357-SUM($AG1357:AU1357))),0)</f>
        <v>0</v>
      </c>
      <c r="AW1357" s="8">
        <f t="shared" si="152"/>
        <v>0</v>
      </c>
      <c r="AX1357" s="8">
        <f t="shared" si="153"/>
        <v>-4875000</v>
      </c>
    </row>
    <row r="1358" spans="1:50" ht="15" customHeight="1" x14ac:dyDescent="0.35">
      <c r="A1358" s="102">
        <v>1352</v>
      </c>
      <c r="B1358" s="102" t="s">
        <v>3714</v>
      </c>
      <c r="C1358" s="103">
        <v>11</v>
      </c>
      <c r="D1358" s="102" t="s">
        <v>186</v>
      </c>
      <c r="E1358" s="102" t="s">
        <v>0</v>
      </c>
      <c r="F1358" s="102" t="s">
        <v>3116</v>
      </c>
      <c r="G1358" s="102" t="s">
        <v>3117</v>
      </c>
      <c r="H1358" s="102" t="s">
        <v>3118</v>
      </c>
      <c r="I1358" s="102" t="s">
        <v>63</v>
      </c>
      <c r="J1358" s="102"/>
      <c r="K1358" s="102"/>
      <c r="L1358" s="104">
        <v>43373</v>
      </c>
      <c r="M1358" s="102" t="s">
        <v>2848</v>
      </c>
      <c r="N1358" s="102" t="s">
        <v>3718</v>
      </c>
      <c r="O1358" s="102" t="s">
        <v>487</v>
      </c>
      <c r="P1358" s="103">
        <v>1</v>
      </c>
      <c r="Q1358" s="105">
        <v>-15560000</v>
      </c>
      <c r="R1358" s="102"/>
      <c r="S1358" s="105">
        <v>-10697500</v>
      </c>
      <c r="T1358" s="105">
        <v>-10697500</v>
      </c>
      <c r="U1358" s="105">
        <v>0</v>
      </c>
      <c r="V1358" s="105">
        <v>0</v>
      </c>
      <c r="W1358" s="105">
        <v>0</v>
      </c>
      <c r="X1358" s="105">
        <v>0</v>
      </c>
      <c r="Y1358" s="105">
        <v>0</v>
      </c>
      <c r="Z1358" s="105">
        <v>0</v>
      </c>
      <c r="AA1358" s="105">
        <v>0</v>
      </c>
      <c r="AB1358" s="105">
        <v>0</v>
      </c>
      <c r="AC1358" s="8">
        <f t="shared" si="147"/>
        <v>-10697500</v>
      </c>
      <c r="AD1358" s="8">
        <f t="shared" si="148"/>
        <v>-4862500</v>
      </c>
      <c r="AE1358" s="8">
        <f t="shared" si="149"/>
        <v>0</v>
      </c>
      <c r="AF1358" s="106">
        <f t="shared" si="150"/>
        <v>0</v>
      </c>
      <c r="AG1358" s="8">
        <f t="shared" si="151"/>
        <v>0</v>
      </c>
      <c r="AH1358" s="8">
        <f>IF($O1358="Aktif",MAX(0,MIN($AE1358,$AD1358-SUM($AG1358:AG1358))),0)</f>
        <v>0</v>
      </c>
      <c r="AI1358" s="8">
        <f>IF($O1358="Aktif",MAX(0,MIN($AE1358,$AD1358-SUM($AG1358:AH1358))),0)</f>
        <v>0</v>
      </c>
      <c r="AJ1358" s="8">
        <f>IF($O1358="Aktif",MAX(0,MIN($AE1358,$AD1358-SUM($AG1358:AI1358))),0)</f>
        <v>0</v>
      </c>
      <c r="AK1358" s="8">
        <f>IF($O1358="Aktif",MAX(0,MIN($AE1358,$AD1358-SUM($AG1358:AJ1358))),0)</f>
        <v>0</v>
      </c>
      <c r="AL1358" s="8">
        <f>IF($O1358="Aktif",MAX(0,MIN($AE1358,$AD1358-SUM($AG1358:AK1358))),0)</f>
        <v>0</v>
      </c>
      <c r="AM1358" s="8">
        <f>IF($O1358="Aktif",MAX(0,MIN($AE1358,$AD1358-SUM($AG1358:AL1358))),0)</f>
        <v>0</v>
      </c>
      <c r="AN1358" s="8">
        <f>IF($O1358="Aktif",MAX(0,MIN($AE1358,$AD1358-SUM($AG1358:AM1358))),0)</f>
        <v>0</v>
      </c>
      <c r="AO1358" s="8">
        <f>IF($O1358="Aktif",MAX(0,MIN($AE1358,$AD1358-SUM($AG1358:AN1358))),0)</f>
        <v>0</v>
      </c>
      <c r="AP1358" s="8">
        <f>IF($O1358="Aktif",MAX(0,MIN($AE1358,$AD1358-SUM($AG1358:AO1358))),0)</f>
        <v>0</v>
      </c>
      <c r="AQ1358" s="8">
        <f>IF($O1358="Aktif",MAX(0,MIN($AE1358,$AD1358-SUM($AG1358:AP1358))),0)</f>
        <v>0</v>
      </c>
      <c r="AR1358" s="8">
        <f>IF($O1358="Aktif",MAX(0,MIN($AE1358,$AD1358-SUM($AG1358:AQ1358))),0)</f>
        <v>0</v>
      </c>
      <c r="AS1358" s="8">
        <f>IF($O1358="Aktif",MAX(0,MIN($AE1358,$AD1358-SUM($AG1358:AR1358))),0)</f>
        <v>0</v>
      </c>
      <c r="AT1358" s="8">
        <f>IF($O1358="Aktif",MAX(0,MIN($AE1358,$AD1358-SUM($AG1358:AS1358))),0)</f>
        <v>0</v>
      </c>
      <c r="AU1358" s="8">
        <f>IF($O1358="Aktif",MAX(0,MIN($AE1358,$AD1358-SUM($AG1358:AT1358))),0)</f>
        <v>0</v>
      </c>
      <c r="AV1358" s="8">
        <f>IF($O1358="Aktif",MAX(0,MIN($AE1358,$AD1358-SUM($AG1358:AU1358))),0)</f>
        <v>0</v>
      </c>
      <c r="AW1358" s="8">
        <f t="shared" si="152"/>
        <v>0</v>
      </c>
      <c r="AX1358" s="8">
        <f t="shared" si="153"/>
        <v>-4862500</v>
      </c>
    </row>
    <row r="1359" spans="1:50" ht="15" customHeight="1" x14ac:dyDescent="0.35">
      <c r="A1359" s="102">
        <v>1353</v>
      </c>
      <c r="B1359" s="102" t="s">
        <v>3714</v>
      </c>
      <c r="C1359" s="103">
        <v>12</v>
      </c>
      <c r="D1359" s="102" t="s">
        <v>186</v>
      </c>
      <c r="E1359" s="102" t="s">
        <v>479</v>
      </c>
      <c r="F1359" s="102" t="s">
        <v>3116</v>
      </c>
      <c r="G1359" s="102" t="s">
        <v>3117</v>
      </c>
      <c r="H1359" s="102" t="s">
        <v>3118</v>
      </c>
      <c r="I1359" s="102" t="s">
        <v>63</v>
      </c>
      <c r="J1359" s="102"/>
      <c r="K1359" s="102"/>
      <c r="L1359" s="104">
        <v>42286</v>
      </c>
      <c r="M1359" s="102" t="s">
        <v>2848</v>
      </c>
      <c r="N1359" s="102" t="s">
        <v>3719</v>
      </c>
      <c r="O1359" s="102" t="s">
        <v>383</v>
      </c>
      <c r="P1359" s="103">
        <v>1</v>
      </c>
      <c r="Q1359" s="105">
        <v>18000000</v>
      </c>
      <c r="R1359" s="103">
        <v>48</v>
      </c>
      <c r="S1359" s="105">
        <v>13125000</v>
      </c>
      <c r="T1359" s="105">
        <v>13125000</v>
      </c>
      <c r="U1359" s="105">
        <v>0</v>
      </c>
      <c r="V1359" s="105">
        <v>0</v>
      </c>
      <c r="W1359" s="105">
        <v>0</v>
      </c>
      <c r="X1359" s="105">
        <v>0</v>
      </c>
      <c r="Y1359" s="105">
        <v>0</v>
      </c>
      <c r="Z1359" s="105">
        <v>0</v>
      </c>
      <c r="AA1359" s="105">
        <v>0</v>
      </c>
      <c r="AB1359" s="105">
        <v>0</v>
      </c>
      <c r="AC1359" s="8">
        <f t="shared" si="147"/>
        <v>13125000</v>
      </c>
      <c r="AD1359" s="8">
        <f t="shared" si="148"/>
        <v>4875000</v>
      </c>
      <c r="AE1359" s="8">
        <f t="shared" si="149"/>
        <v>0</v>
      </c>
      <c r="AF1359" s="106">
        <f t="shared" si="150"/>
        <v>0</v>
      </c>
      <c r="AG1359" s="8">
        <f t="shared" si="151"/>
        <v>0</v>
      </c>
      <c r="AH1359" s="8">
        <f>IF($O1359="Aktif",MAX(0,MIN($AE1359,$AD1359-SUM($AG1359:AG1359))),0)</f>
        <v>0</v>
      </c>
      <c r="AI1359" s="8">
        <f>IF($O1359="Aktif",MAX(0,MIN($AE1359,$AD1359-SUM($AG1359:AH1359))),0)</f>
        <v>0</v>
      </c>
      <c r="AJ1359" s="8">
        <f>IF($O1359="Aktif",MAX(0,MIN($AE1359,$AD1359-SUM($AG1359:AI1359))),0)</f>
        <v>0</v>
      </c>
      <c r="AK1359" s="8">
        <f>IF($O1359="Aktif",MAX(0,MIN($AE1359,$AD1359-SUM($AG1359:AJ1359))),0)</f>
        <v>0</v>
      </c>
      <c r="AL1359" s="8">
        <f>IF($O1359="Aktif",MAX(0,MIN($AE1359,$AD1359-SUM($AG1359:AK1359))),0)</f>
        <v>0</v>
      </c>
      <c r="AM1359" s="8">
        <f>IF($O1359="Aktif",MAX(0,MIN($AE1359,$AD1359-SUM($AG1359:AL1359))),0)</f>
        <v>0</v>
      </c>
      <c r="AN1359" s="8">
        <f>IF($O1359="Aktif",MAX(0,MIN($AE1359,$AD1359-SUM($AG1359:AM1359))),0)</f>
        <v>0</v>
      </c>
      <c r="AO1359" s="8">
        <f>IF($O1359="Aktif",MAX(0,MIN($AE1359,$AD1359-SUM($AG1359:AN1359))),0)</f>
        <v>0</v>
      </c>
      <c r="AP1359" s="8">
        <f>IF($O1359="Aktif",MAX(0,MIN($AE1359,$AD1359-SUM($AG1359:AO1359))),0)</f>
        <v>0</v>
      </c>
      <c r="AQ1359" s="8">
        <f>IF($O1359="Aktif",MAX(0,MIN($AE1359,$AD1359-SUM($AG1359:AP1359))),0)</f>
        <v>0</v>
      </c>
      <c r="AR1359" s="8">
        <f>IF($O1359="Aktif",MAX(0,MIN($AE1359,$AD1359-SUM($AG1359:AQ1359))),0)</f>
        <v>0</v>
      </c>
      <c r="AS1359" s="8">
        <f>IF($O1359="Aktif",MAX(0,MIN($AE1359,$AD1359-SUM($AG1359:AR1359))),0)</f>
        <v>0</v>
      </c>
      <c r="AT1359" s="8">
        <f>IF($O1359="Aktif",MAX(0,MIN($AE1359,$AD1359-SUM($AG1359:AS1359))),0)</f>
        <v>0</v>
      </c>
      <c r="AU1359" s="8">
        <f>IF($O1359="Aktif",MAX(0,MIN($AE1359,$AD1359-SUM($AG1359:AT1359))),0)</f>
        <v>0</v>
      </c>
      <c r="AV1359" s="8">
        <f>IF($O1359="Aktif",MAX(0,MIN($AE1359,$AD1359-SUM($AG1359:AU1359))),0)</f>
        <v>0</v>
      </c>
      <c r="AW1359" s="8">
        <f t="shared" si="152"/>
        <v>0</v>
      </c>
      <c r="AX1359" s="8">
        <f t="shared" si="153"/>
        <v>4875000</v>
      </c>
    </row>
    <row r="1360" spans="1:50" ht="15" customHeight="1" x14ac:dyDescent="0.35">
      <c r="A1360" s="102">
        <v>1354</v>
      </c>
      <c r="B1360" s="102" t="s">
        <v>3714</v>
      </c>
      <c r="C1360" s="103">
        <v>13</v>
      </c>
      <c r="D1360" s="102" t="s">
        <v>186</v>
      </c>
      <c r="E1360" s="102" t="s">
        <v>479</v>
      </c>
      <c r="F1360" s="102" t="s">
        <v>3116</v>
      </c>
      <c r="G1360" s="102" t="s">
        <v>3117</v>
      </c>
      <c r="H1360" s="102" t="s">
        <v>3118</v>
      </c>
      <c r="I1360" s="102" t="s">
        <v>63</v>
      </c>
      <c r="J1360" s="102"/>
      <c r="K1360" s="102"/>
      <c r="L1360" s="104">
        <v>42369</v>
      </c>
      <c r="M1360" s="102" t="s">
        <v>3720</v>
      </c>
      <c r="N1360" s="102" t="s">
        <v>3721</v>
      </c>
      <c r="O1360" s="102" t="s">
        <v>383</v>
      </c>
      <c r="P1360" s="103">
        <v>1</v>
      </c>
      <c r="Q1360" s="105">
        <v>15560000</v>
      </c>
      <c r="R1360" s="103">
        <v>48</v>
      </c>
      <c r="S1360" s="105">
        <v>10697500</v>
      </c>
      <c r="T1360" s="105">
        <v>10697500</v>
      </c>
      <c r="U1360" s="105">
        <v>0</v>
      </c>
      <c r="V1360" s="105">
        <v>0</v>
      </c>
      <c r="W1360" s="105">
        <v>0</v>
      </c>
      <c r="X1360" s="105">
        <v>0</v>
      </c>
      <c r="Y1360" s="105">
        <v>0</v>
      </c>
      <c r="Z1360" s="105">
        <v>0</v>
      </c>
      <c r="AA1360" s="105">
        <v>0</v>
      </c>
      <c r="AB1360" s="105">
        <v>0</v>
      </c>
      <c r="AC1360" s="8">
        <f t="shared" si="147"/>
        <v>10697500</v>
      </c>
      <c r="AD1360" s="8">
        <f t="shared" si="148"/>
        <v>4862500</v>
      </c>
      <c r="AE1360" s="8">
        <f t="shared" si="149"/>
        <v>0</v>
      </c>
      <c r="AF1360" s="106">
        <f t="shared" si="150"/>
        <v>0</v>
      </c>
      <c r="AG1360" s="8">
        <f t="shared" si="151"/>
        <v>0</v>
      </c>
      <c r="AH1360" s="8">
        <f>IF($O1360="Aktif",MAX(0,MIN($AE1360,$AD1360-SUM($AG1360:AG1360))),0)</f>
        <v>0</v>
      </c>
      <c r="AI1360" s="8">
        <f>IF($O1360="Aktif",MAX(0,MIN($AE1360,$AD1360-SUM($AG1360:AH1360))),0)</f>
        <v>0</v>
      </c>
      <c r="AJ1360" s="8">
        <f>IF($O1360="Aktif",MAX(0,MIN($AE1360,$AD1360-SUM($AG1360:AI1360))),0)</f>
        <v>0</v>
      </c>
      <c r="AK1360" s="8">
        <f>IF($O1360="Aktif",MAX(0,MIN($AE1360,$AD1360-SUM($AG1360:AJ1360))),0)</f>
        <v>0</v>
      </c>
      <c r="AL1360" s="8">
        <f>IF($O1360="Aktif",MAX(0,MIN($AE1360,$AD1360-SUM($AG1360:AK1360))),0)</f>
        <v>0</v>
      </c>
      <c r="AM1360" s="8">
        <f>IF($O1360="Aktif",MAX(0,MIN($AE1360,$AD1360-SUM($AG1360:AL1360))),0)</f>
        <v>0</v>
      </c>
      <c r="AN1360" s="8">
        <f>IF($O1360="Aktif",MAX(0,MIN($AE1360,$AD1360-SUM($AG1360:AM1360))),0)</f>
        <v>0</v>
      </c>
      <c r="AO1360" s="8">
        <f>IF($O1360="Aktif",MAX(0,MIN($AE1360,$AD1360-SUM($AG1360:AN1360))),0)</f>
        <v>0</v>
      </c>
      <c r="AP1360" s="8">
        <f>IF($O1360="Aktif",MAX(0,MIN($AE1360,$AD1360-SUM($AG1360:AO1360))),0)</f>
        <v>0</v>
      </c>
      <c r="AQ1360" s="8">
        <f>IF($O1360="Aktif",MAX(0,MIN($AE1360,$AD1360-SUM($AG1360:AP1360))),0)</f>
        <v>0</v>
      </c>
      <c r="AR1360" s="8">
        <f>IF($O1360="Aktif",MAX(0,MIN($AE1360,$AD1360-SUM($AG1360:AQ1360))),0)</f>
        <v>0</v>
      </c>
      <c r="AS1360" s="8">
        <f>IF($O1360="Aktif",MAX(0,MIN($AE1360,$AD1360-SUM($AG1360:AR1360))),0)</f>
        <v>0</v>
      </c>
      <c r="AT1360" s="8">
        <f>IF($O1360="Aktif",MAX(0,MIN($AE1360,$AD1360-SUM($AG1360:AS1360))),0)</f>
        <v>0</v>
      </c>
      <c r="AU1360" s="8">
        <f>IF($O1360="Aktif",MAX(0,MIN($AE1360,$AD1360-SUM($AG1360:AT1360))),0)</f>
        <v>0</v>
      </c>
      <c r="AV1360" s="8">
        <f>IF($O1360="Aktif",MAX(0,MIN($AE1360,$AD1360-SUM($AG1360:AU1360))),0)</f>
        <v>0</v>
      </c>
      <c r="AW1360" s="8">
        <f t="shared" si="152"/>
        <v>0</v>
      </c>
      <c r="AX1360" s="8">
        <f t="shared" si="153"/>
        <v>4862500</v>
      </c>
    </row>
    <row r="1361" spans="1:50" ht="15" customHeight="1" x14ac:dyDescent="0.35">
      <c r="A1361" s="102">
        <v>1355</v>
      </c>
      <c r="B1361" s="102" t="s">
        <v>3714</v>
      </c>
      <c r="C1361" s="103">
        <v>14</v>
      </c>
      <c r="D1361" s="102" t="s">
        <v>186</v>
      </c>
      <c r="E1361" s="102" t="s">
        <v>0</v>
      </c>
      <c r="F1361" s="102" t="s">
        <v>3116</v>
      </c>
      <c r="G1361" s="102" t="s">
        <v>3117</v>
      </c>
      <c r="H1361" s="102" t="s">
        <v>3118</v>
      </c>
      <c r="I1361" s="102" t="s">
        <v>63</v>
      </c>
      <c r="J1361" s="102"/>
      <c r="K1361" s="102"/>
      <c r="L1361" s="104">
        <v>42478</v>
      </c>
      <c r="M1361" s="102" t="s">
        <v>3722</v>
      </c>
      <c r="N1361" s="102" t="s">
        <v>3723</v>
      </c>
      <c r="O1361" s="102" t="s">
        <v>383</v>
      </c>
      <c r="P1361" s="103">
        <v>1</v>
      </c>
      <c r="Q1361" s="105">
        <v>0</v>
      </c>
      <c r="R1361" s="103">
        <v>0</v>
      </c>
      <c r="S1361" s="105">
        <v>0</v>
      </c>
      <c r="T1361" s="105">
        <v>0</v>
      </c>
      <c r="U1361" s="105">
        <v>0</v>
      </c>
      <c r="V1361" s="105">
        <v>0</v>
      </c>
      <c r="W1361" s="105">
        <v>0</v>
      </c>
      <c r="X1361" s="105">
        <v>0</v>
      </c>
      <c r="Y1361" s="105">
        <v>0</v>
      </c>
      <c r="Z1361" s="105">
        <v>0</v>
      </c>
      <c r="AA1361" s="105">
        <v>0</v>
      </c>
      <c r="AB1361" s="105">
        <v>0</v>
      </c>
      <c r="AC1361" s="8">
        <f t="shared" si="147"/>
        <v>0</v>
      </c>
      <c r="AD1361" s="8">
        <f t="shared" si="148"/>
        <v>0</v>
      </c>
      <c r="AE1361" s="8">
        <f t="shared" si="149"/>
        <v>0</v>
      </c>
      <c r="AF1361" s="106">
        <f t="shared" si="150"/>
        <v>0</v>
      </c>
      <c r="AG1361" s="8">
        <f t="shared" si="151"/>
        <v>0</v>
      </c>
      <c r="AH1361" s="8">
        <f>IF($O1361="Aktif",MAX(0,MIN($AE1361,$AD1361-SUM($AG1361:AG1361))),0)</f>
        <v>0</v>
      </c>
      <c r="AI1361" s="8">
        <f>IF($O1361="Aktif",MAX(0,MIN($AE1361,$AD1361-SUM($AG1361:AH1361))),0)</f>
        <v>0</v>
      </c>
      <c r="AJ1361" s="8">
        <f>IF($O1361="Aktif",MAX(0,MIN($AE1361,$AD1361-SUM($AG1361:AI1361))),0)</f>
        <v>0</v>
      </c>
      <c r="AK1361" s="8">
        <f>IF($O1361="Aktif",MAX(0,MIN($AE1361,$AD1361-SUM($AG1361:AJ1361))),0)</f>
        <v>0</v>
      </c>
      <c r="AL1361" s="8">
        <f>IF($O1361="Aktif",MAX(0,MIN($AE1361,$AD1361-SUM($AG1361:AK1361))),0)</f>
        <v>0</v>
      </c>
      <c r="AM1361" s="8">
        <f>IF($O1361="Aktif",MAX(0,MIN($AE1361,$AD1361-SUM($AG1361:AL1361))),0)</f>
        <v>0</v>
      </c>
      <c r="AN1361" s="8">
        <f>IF($O1361="Aktif",MAX(0,MIN($AE1361,$AD1361-SUM($AG1361:AM1361))),0)</f>
        <v>0</v>
      </c>
      <c r="AO1361" s="8">
        <f>IF($O1361="Aktif",MAX(0,MIN($AE1361,$AD1361-SUM($AG1361:AN1361))),0)</f>
        <v>0</v>
      </c>
      <c r="AP1361" s="8">
        <f>IF($O1361="Aktif",MAX(0,MIN($AE1361,$AD1361-SUM($AG1361:AO1361))),0)</f>
        <v>0</v>
      </c>
      <c r="AQ1361" s="8">
        <f>IF($O1361="Aktif",MAX(0,MIN($AE1361,$AD1361-SUM($AG1361:AP1361))),0)</f>
        <v>0</v>
      </c>
      <c r="AR1361" s="8">
        <f>IF($O1361="Aktif",MAX(0,MIN($AE1361,$AD1361-SUM($AG1361:AQ1361))),0)</f>
        <v>0</v>
      </c>
      <c r="AS1361" s="8">
        <f>IF($O1361="Aktif",MAX(0,MIN($AE1361,$AD1361-SUM($AG1361:AR1361))),0)</f>
        <v>0</v>
      </c>
      <c r="AT1361" s="8">
        <f>IF($O1361="Aktif",MAX(0,MIN($AE1361,$AD1361-SUM($AG1361:AS1361))),0)</f>
        <v>0</v>
      </c>
      <c r="AU1361" s="8">
        <f>IF($O1361="Aktif",MAX(0,MIN($AE1361,$AD1361-SUM($AG1361:AT1361))),0)</f>
        <v>0</v>
      </c>
      <c r="AV1361" s="8">
        <f>IF($O1361="Aktif",MAX(0,MIN($AE1361,$AD1361-SUM($AG1361:AU1361))),0)</f>
        <v>0</v>
      </c>
      <c r="AW1361" s="8">
        <f t="shared" si="152"/>
        <v>0</v>
      </c>
      <c r="AX1361" s="8">
        <f t="shared" si="153"/>
        <v>0</v>
      </c>
    </row>
    <row r="1362" spans="1:50" ht="15" customHeight="1" x14ac:dyDescent="0.35">
      <c r="A1362" s="102">
        <v>1356</v>
      </c>
      <c r="B1362" s="102" t="s">
        <v>3714</v>
      </c>
      <c r="C1362" s="103">
        <v>15</v>
      </c>
      <c r="D1362" s="102" t="s">
        <v>186</v>
      </c>
      <c r="E1362" s="102" t="s">
        <v>479</v>
      </c>
      <c r="F1362" s="102" t="s">
        <v>3116</v>
      </c>
      <c r="G1362" s="102" t="s">
        <v>3117</v>
      </c>
      <c r="H1362" s="102" t="s">
        <v>3118</v>
      </c>
      <c r="I1362" s="102" t="s">
        <v>63</v>
      </c>
      <c r="J1362" s="102" t="s">
        <v>3724</v>
      </c>
      <c r="K1362" s="102"/>
      <c r="L1362" s="104">
        <v>42216</v>
      </c>
      <c r="M1362" s="102" t="s">
        <v>3725</v>
      </c>
      <c r="N1362" s="102" t="s">
        <v>3726</v>
      </c>
      <c r="O1362" s="102" t="s">
        <v>383</v>
      </c>
      <c r="P1362" s="103">
        <v>1</v>
      </c>
      <c r="Q1362" s="105">
        <v>23000000</v>
      </c>
      <c r="R1362" s="103">
        <v>48</v>
      </c>
      <c r="S1362" s="105">
        <v>20125000</v>
      </c>
      <c r="T1362" s="105">
        <v>23000000</v>
      </c>
      <c r="U1362" s="105">
        <v>0</v>
      </c>
      <c r="V1362" s="105">
        <v>0</v>
      </c>
      <c r="W1362" s="105">
        <v>0</v>
      </c>
      <c r="X1362" s="105">
        <v>0</v>
      </c>
      <c r="Y1362" s="105">
        <v>0</v>
      </c>
      <c r="Z1362" s="105">
        <v>0</v>
      </c>
      <c r="AA1362" s="105">
        <v>0</v>
      </c>
      <c r="AB1362" s="105">
        <v>0</v>
      </c>
      <c r="AC1362" s="8">
        <f t="shared" si="147"/>
        <v>23000000</v>
      </c>
      <c r="AD1362" s="8">
        <f t="shared" si="148"/>
        <v>0</v>
      </c>
      <c r="AE1362" s="8">
        <f t="shared" si="149"/>
        <v>0</v>
      </c>
      <c r="AF1362" s="106">
        <f t="shared" si="150"/>
        <v>0</v>
      </c>
      <c r="AG1362" s="8">
        <f t="shared" si="151"/>
        <v>0</v>
      </c>
      <c r="AH1362" s="8">
        <f>IF($O1362="Aktif",MAX(0,MIN($AE1362,$AD1362-SUM($AG1362:AG1362))),0)</f>
        <v>0</v>
      </c>
      <c r="AI1362" s="8">
        <f>IF($O1362="Aktif",MAX(0,MIN($AE1362,$AD1362-SUM($AG1362:AH1362))),0)</f>
        <v>0</v>
      </c>
      <c r="AJ1362" s="8">
        <f>IF($O1362="Aktif",MAX(0,MIN($AE1362,$AD1362-SUM($AG1362:AI1362))),0)</f>
        <v>0</v>
      </c>
      <c r="AK1362" s="8">
        <f>IF($O1362="Aktif",MAX(0,MIN($AE1362,$AD1362-SUM($AG1362:AJ1362))),0)</f>
        <v>0</v>
      </c>
      <c r="AL1362" s="8">
        <f>IF($O1362="Aktif",MAX(0,MIN($AE1362,$AD1362-SUM($AG1362:AK1362))),0)</f>
        <v>0</v>
      </c>
      <c r="AM1362" s="8">
        <f>IF($O1362="Aktif",MAX(0,MIN($AE1362,$AD1362-SUM($AG1362:AL1362))),0)</f>
        <v>0</v>
      </c>
      <c r="AN1362" s="8">
        <f>IF($O1362="Aktif",MAX(0,MIN($AE1362,$AD1362-SUM($AG1362:AM1362))),0)</f>
        <v>0</v>
      </c>
      <c r="AO1362" s="8">
        <f>IF($O1362="Aktif",MAX(0,MIN($AE1362,$AD1362-SUM($AG1362:AN1362))),0)</f>
        <v>0</v>
      </c>
      <c r="AP1362" s="8">
        <f>IF($O1362="Aktif",MAX(0,MIN($AE1362,$AD1362-SUM($AG1362:AO1362))),0)</f>
        <v>0</v>
      </c>
      <c r="AQ1362" s="8">
        <f>IF($O1362="Aktif",MAX(0,MIN($AE1362,$AD1362-SUM($AG1362:AP1362))),0)</f>
        <v>0</v>
      </c>
      <c r="AR1362" s="8">
        <f>IF($O1362="Aktif",MAX(0,MIN($AE1362,$AD1362-SUM($AG1362:AQ1362))),0)</f>
        <v>0</v>
      </c>
      <c r="AS1362" s="8">
        <f>IF($O1362="Aktif",MAX(0,MIN($AE1362,$AD1362-SUM($AG1362:AR1362))),0)</f>
        <v>0</v>
      </c>
      <c r="AT1362" s="8">
        <f>IF($O1362="Aktif",MAX(0,MIN($AE1362,$AD1362-SUM($AG1362:AS1362))),0)</f>
        <v>0</v>
      </c>
      <c r="AU1362" s="8">
        <f>IF($O1362="Aktif",MAX(0,MIN($AE1362,$AD1362-SUM($AG1362:AT1362))),0)</f>
        <v>0</v>
      </c>
      <c r="AV1362" s="8">
        <f>IF($O1362="Aktif",MAX(0,MIN($AE1362,$AD1362-SUM($AG1362:AU1362))),0)</f>
        <v>0</v>
      </c>
      <c r="AW1362" s="8">
        <f t="shared" si="152"/>
        <v>0</v>
      </c>
      <c r="AX1362" s="8">
        <f t="shared" si="153"/>
        <v>0</v>
      </c>
    </row>
    <row r="1363" spans="1:50" ht="15" customHeight="1" x14ac:dyDescent="0.35">
      <c r="A1363" s="102">
        <v>1357</v>
      </c>
      <c r="B1363" s="102" t="s">
        <v>3714</v>
      </c>
      <c r="C1363" s="103">
        <v>16</v>
      </c>
      <c r="D1363" s="102" t="s">
        <v>186</v>
      </c>
      <c r="E1363" s="102" t="s">
        <v>479</v>
      </c>
      <c r="F1363" s="102" t="s">
        <v>3116</v>
      </c>
      <c r="G1363" s="102" t="s">
        <v>3117</v>
      </c>
      <c r="H1363" s="102" t="s">
        <v>3118</v>
      </c>
      <c r="I1363" s="102" t="s">
        <v>63</v>
      </c>
      <c r="J1363" s="102" t="s">
        <v>3727</v>
      </c>
      <c r="K1363" s="102"/>
      <c r="L1363" s="104">
        <v>42216</v>
      </c>
      <c r="M1363" s="102" t="s">
        <v>3728</v>
      </c>
      <c r="N1363" s="102" t="s">
        <v>3729</v>
      </c>
      <c r="O1363" s="102" t="s">
        <v>383</v>
      </c>
      <c r="P1363" s="103">
        <v>1</v>
      </c>
      <c r="Q1363" s="105">
        <v>150000000</v>
      </c>
      <c r="R1363" s="103">
        <v>48</v>
      </c>
      <c r="S1363" s="105">
        <v>131250000</v>
      </c>
      <c r="T1363" s="105">
        <v>150000000</v>
      </c>
      <c r="U1363" s="105">
        <v>0</v>
      </c>
      <c r="V1363" s="105">
        <v>0</v>
      </c>
      <c r="W1363" s="105">
        <v>0</v>
      </c>
      <c r="X1363" s="105">
        <v>0</v>
      </c>
      <c r="Y1363" s="105">
        <v>0</v>
      </c>
      <c r="Z1363" s="105">
        <v>0</v>
      </c>
      <c r="AA1363" s="105">
        <v>0</v>
      </c>
      <c r="AB1363" s="105">
        <v>0</v>
      </c>
      <c r="AC1363" s="8">
        <f t="shared" si="147"/>
        <v>150000000</v>
      </c>
      <c r="AD1363" s="8">
        <f t="shared" si="148"/>
        <v>0</v>
      </c>
      <c r="AE1363" s="8">
        <f t="shared" si="149"/>
        <v>0</v>
      </c>
      <c r="AF1363" s="106">
        <f t="shared" si="150"/>
        <v>0</v>
      </c>
      <c r="AG1363" s="8">
        <f t="shared" si="151"/>
        <v>0</v>
      </c>
      <c r="AH1363" s="8">
        <f>IF($O1363="Aktif",MAX(0,MIN($AE1363,$AD1363-SUM($AG1363:AG1363))),0)</f>
        <v>0</v>
      </c>
      <c r="AI1363" s="8">
        <f>IF($O1363="Aktif",MAX(0,MIN($AE1363,$AD1363-SUM($AG1363:AH1363))),0)</f>
        <v>0</v>
      </c>
      <c r="AJ1363" s="8">
        <f>IF($O1363="Aktif",MAX(0,MIN($AE1363,$AD1363-SUM($AG1363:AI1363))),0)</f>
        <v>0</v>
      </c>
      <c r="AK1363" s="8">
        <f>IF($O1363="Aktif",MAX(0,MIN($AE1363,$AD1363-SUM($AG1363:AJ1363))),0)</f>
        <v>0</v>
      </c>
      <c r="AL1363" s="8">
        <f>IF($O1363="Aktif",MAX(0,MIN($AE1363,$AD1363-SUM($AG1363:AK1363))),0)</f>
        <v>0</v>
      </c>
      <c r="AM1363" s="8">
        <f>IF($O1363="Aktif",MAX(0,MIN($AE1363,$AD1363-SUM($AG1363:AL1363))),0)</f>
        <v>0</v>
      </c>
      <c r="AN1363" s="8">
        <f>IF($O1363="Aktif",MAX(0,MIN($AE1363,$AD1363-SUM($AG1363:AM1363))),0)</f>
        <v>0</v>
      </c>
      <c r="AO1363" s="8">
        <f>IF($O1363="Aktif",MAX(0,MIN($AE1363,$AD1363-SUM($AG1363:AN1363))),0)</f>
        <v>0</v>
      </c>
      <c r="AP1363" s="8">
        <f>IF($O1363="Aktif",MAX(0,MIN($AE1363,$AD1363-SUM($AG1363:AO1363))),0)</f>
        <v>0</v>
      </c>
      <c r="AQ1363" s="8">
        <f>IF($O1363="Aktif",MAX(0,MIN($AE1363,$AD1363-SUM($AG1363:AP1363))),0)</f>
        <v>0</v>
      </c>
      <c r="AR1363" s="8">
        <f>IF($O1363="Aktif",MAX(0,MIN($AE1363,$AD1363-SUM($AG1363:AQ1363))),0)</f>
        <v>0</v>
      </c>
      <c r="AS1363" s="8">
        <f>IF($O1363="Aktif",MAX(0,MIN($AE1363,$AD1363-SUM($AG1363:AR1363))),0)</f>
        <v>0</v>
      </c>
      <c r="AT1363" s="8">
        <f>IF($O1363="Aktif",MAX(0,MIN($AE1363,$AD1363-SUM($AG1363:AS1363))),0)</f>
        <v>0</v>
      </c>
      <c r="AU1363" s="8">
        <f>IF($O1363="Aktif",MAX(0,MIN($AE1363,$AD1363-SUM($AG1363:AT1363))),0)</f>
        <v>0</v>
      </c>
      <c r="AV1363" s="8">
        <f>IF($O1363="Aktif",MAX(0,MIN($AE1363,$AD1363-SUM($AG1363:AU1363))),0)</f>
        <v>0</v>
      </c>
      <c r="AW1363" s="8">
        <f t="shared" si="152"/>
        <v>0</v>
      </c>
      <c r="AX1363" s="8">
        <f t="shared" si="153"/>
        <v>0</v>
      </c>
    </row>
    <row r="1364" spans="1:50" ht="15" customHeight="1" x14ac:dyDescent="0.35">
      <c r="A1364" s="102">
        <v>1358</v>
      </c>
      <c r="B1364" s="102" t="s">
        <v>3714</v>
      </c>
      <c r="C1364" s="103">
        <v>17</v>
      </c>
      <c r="D1364" s="102" t="s">
        <v>186</v>
      </c>
      <c r="E1364" s="102" t="s">
        <v>479</v>
      </c>
      <c r="F1364" s="102" t="s">
        <v>3116</v>
      </c>
      <c r="G1364" s="102" t="s">
        <v>3117</v>
      </c>
      <c r="H1364" s="102" t="s">
        <v>3118</v>
      </c>
      <c r="I1364" s="102" t="s">
        <v>63</v>
      </c>
      <c r="J1364" s="102" t="s">
        <v>3730</v>
      </c>
      <c r="K1364" s="102"/>
      <c r="L1364" s="104">
        <v>42244</v>
      </c>
      <c r="M1364" s="102" t="s">
        <v>3731</v>
      </c>
      <c r="N1364" s="102" t="s">
        <v>3732</v>
      </c>
      <c r="O1364" s="102" t="s">
        <v>383</v>
      </c>
      <c r="P1364" s="103">
        <v>1</v>
      </c>
      <c r="Q1364" s="105">
        <v>15000000</v>
      </c>
      <c r="R1364" s="103">
        <v>48</v>
      </c>
      <c r="S1364" s="105">
        <v>12812500</v>
      </c>
      <c r="T1364" s="105">
        <v>15000000</v>
      </c>
      <c r="U1364" s="105">
        <v>0</v>
      </c>
      <c r="V1364" s="105">
        <v>0</v>
      </c>
      <c r="W1364" s="105">
        <v>0</v>
      </c>
      <c r="X1364" s="105">
        <v>0</v>
      </c>
      <c r="Y1364" s="105">
        <v>0</v>
      </c>
      <c r="Z1364" s="105">
        <v>0</v>
      </c>
      <c r="AA1364" s="105">
        <v>0</v>
      </c>
      <c r="AB1364" s="105">
        <v>0</v>
      </c>
      <c r="AC1364" s="8">
        <f t="shared" si="147"/>
        <v>15000000</v>
      </c>
      <c r="AD1364" s="8">
        <f t="shared" si="148"/>
        <v>0</v>
      </c>
      <c r="AE1364" s="8">
        <f t="shared" si="149"/>
        <v>0</v>
      </c>
      <c r="AF1364" s="106">
        <f t="shared" si="150"/>
        <v>0</v>
      </c>
      <c r="AG1364" s="8">
        <f t="shared" si="151"/>
        <v>0</v>
      </c>
      <c r="AH1364" s="8">
        <f>IF($O1364="Aktif",MAX(0,MIN($AE1364,$AD1364-SUM($AG1364:AG1364))),0)</f>
        <v>0</v>
      </c>
      <c r="AI1364" s="8">
        <f>IF($O1364="Aktif",MAX(0,MIN($AE1364,$AD1364-SUM($AG1364:AH1364))),0)</f>
        <v>0</v>
      </c>
      <c r="AJ1364" s="8">
        <f>IF($O1364="Aktif",MAX(0,MIN($AE1364,$AD1364-SUM($AG1364:AI1364))),0)</f>
        <v>0</v>
      </c>
      <c r="AK1364" s="8">
        <f>IF($O1364="Aktif",MAX(0,MIN($AE1364,$AD1364-SUM($AG1364:AJ1364))),0)</f>
        <v>0</v>
      </c>
      <c r="AL1364" s="8">
        <f>IF($O1364="Aktif",MAX(0,MIN($AE1364,$AD1364-SUM($AG1364:AK1364))),0)</f>
        <v>0</v>
      </c>
      <c r="AM1364" s="8">
        <f>IF($O1364="Aktif",MAX(0,MIN($AE1364,$AD1364-SUM($AG1364:AL1364))),0)</f>
        <v>0</v>
      </c>
      <c r="AN1364" s="8">
        <f>IF($O1364="Aktif",MAX(0,MIN($AE1364,$AD1364-SUM($AG1364:AM1364))),0)</f>
        <v>0</v>
      </c>
      <c r="AO1364" s="8">
        <f>IF($O1364="Aktif",MAX(0,MIN($AE1364,$AD1364-SUM($AG1364:AN1364))),0)</f>
        <v>0</v>
      </c>
      <c r="AP1364" s="8">
        <f>IF($O1364="Aktif",MAX(0,MIN($AE1364,$AD1364-SUM($AG1364:AO1364))),0)</f>
        <v>0</v>
      </c>
      <c r="AQ1364" s="8">
        <f>IF($O1364="Aktif",MAX(0,MIN($AE1364,$AD1364-SUM($AG1364:AP1364))),0)</f>
        <v>0</v>
      </c>
      <c r="AR1364" s="8">
        <f>IF($O1364="Aktif",MAX(0,MIN($AE1364,$AD1364-SUM($AG1364:AQ1364))),0)</f>
        <v>0</v>
      </c>
      <c r="AS1364" s="8">
        <f>IF($O1364="Aktif",MAX(0,MIN($AE1364,$AD1364-SUM($AG1364:AR1364))),0)</f>
        <v>0</v>
      </c>
      <c r="AT1364" s="8">
        <f>IF($O1364="Aktif",MAX(0,MIN($AE1364,$AD1364-SUM($AG1364:AS1364))),0)</f>
        <v>0</v>
      </c>
      <c r="AU1364" s="8">
        <f>IF($O1364="Aktif",MAX(0,MIN($AE1364,$AD1364-SUM($AG1364:AT1364))),0)</f>
        <v>0</v>
      </c>
      <c r="AV1364" s="8">
        <f>IF($O1364="Aktif",MAX(0,MIN($AE1364,$AD1364-SUM($AG1364:AU1364))),0)</f>
        <v>0</v>
      </c>
      <c r="AW1364" s="8">
        <f t="shared" si="152"/>
        <v>0</v>
      </c>
      <c r="AX1364" s="8">
        <f t="shared" si="153"/>
        <v>0</v>
      </c>
    </row>
    <row r="1365" spans="1:50" ht="15" customHeight="1" x14ac:dyDescent="0.35">
      <c r="A1365" s="102">
        <v>1359</v>
      </c>
      <c r="B1365" s="102" t="s">
        <v>3714</v>
      </c>
      <c r="C1365" s="103">
        <v>18</v>
      </c>
      <c r="D1365" s="102" t="s">
        <v>186</v>
      </c>
      <c r="E1365" s="102" t="s">
        <v>0</v>
      </c>
      <c r="F1365" s="102" t="s">
        <v>3116</v>
      </c>
      <c r="G1365" s="102" t="s">
        <v>3117</v>
      </c>
      <c r="H1365" s="102" t="s">
        <v>3118</v>
      </c>
      <c r="I1365" s="102" t="s">
        <v>63</v>
      </c>
      <c r="J1365" s="102"/>
      <c r="K1365" s="102"/>
      <c r="L1365" s="104">
        <v>44179</v>
      </c>
      <c r="M1365" s="102" t="s">
        <v>3731</v>
      </c>
      <c r="N1365" s="102" t="s">
        <v>3733</v>
      </c>
      <c r="O1365" s="102" t="s">
        <v>487</v>
      </c>
      <c r="P1365" s="103">
        <v>1</v>
      </c>
      <c r="Q1365" s="105">
        <v>-15000000</v>
      </c>
      <c r="R1365" s="102"/>
      <c r="S1365" s="105">
        <v>0</v>
      </c>
      <c r="T1365" s="105">
        <v>-15000000</v>
      </c>
      <c r="U1365" s="105">
        <v>0</v>
      </c>
      <c r="V1365" s="105">
        <v>0</v>
      </c>
      <c r="W1365" s="105">
        <v>0</v>
      </c>
      <c r="X1365" s="105">
        <v>0</v>
      </c>
      <c r="Y1365" s="105">
        <v>0</v>
      </c>
      <c r="Z1365" s="105">
        <v>0</v>
      </c>
      <c r="AA1365" s="105">
        <v>0</v>
      </c>
      <c r="AB1365" s="105">
        <v>0</v>
      </c>
      <c r="AC1365" s="8">
        <f t="shared" si="147"/>
        <v>-15000000</v>
      </c>
      <c r="AD1365" s="8">
        <f t="shared" si="148"/>
        <v>0</v>
      </c>
      <c r="AE1365" s="8">
        <f t="shared" si="149"/>
        <v>0</v>
      </c>
      <c r="AF1365" s="106">
        <f t="shared" si="150"/>
        <v>0</v>
      </c>
      <c r="AG1365" s="8">
        <f t="shared" si="151"/>
        <v>0</v>
      </c>
      <c r="AH1365" s="8">
        <f>IF($O1365="Aktif",MAX(0,MIN($AE1365,$AD1365-SUM($AG1365:AG1365))),0)</f>
        <v>0</v>
      </c>
      <c r="AI1365" s="8">
        <f>IF($O1365="Aktif",MAX(0,MIN($AE1365,$AD1365-SUM($AG1365:AH1365))),0)</f>
        <v>0</v>
      </c>
      <c r="AJ1365" s="8">
        <f>IF($O1365="Aktif",MAX(0,MIN($AE1365,$AD1365-SUM($AG1365:AI1365))),0)</f>
        <v>0</v>
      </c>
      <c r="AK1365" s="8">
        <f>IF($O1365="Aktif",MAX(0,MIN($AE1365,$AD1365-SUM($AG1365:AJ1365))),0)</f>
        <v>0</v>
      </c>
      <c r="AL1365" s="8">
        <f>IF($O1365="Aktif",MAX(0,MIN($AE1365,$AD1365-SUM($AG1365:AK1365))),0)</f>
        <v>0</v>
      </c>
      <c r="AM1365" s="8">
        <f>IF($O1365="Aktif",MAX(0,MIN($AE1365,$AD1365-SUM($AG1365:AL1365))),0)</f>
        <v>0</v>
      </c>
      <c r="AN1365" s="8">
        <f>IF($O1365="Aktif",MAX(0,MIN($AE1365,$AD1365-SUM($AG1365:AM1365))),0)</f>
        <v>0</v>
      </c>
      <c r="AO1365" s="8">
        <f>IF($O1365="Aktif",MAX(0,MIN($AE1365,$AD1365-SUM($AG1365:AN1365))),0)</f>
        <v>0</v>
      </c>
      <c r="AP1365" s="8">
        <f>IF($O1365="Aktif",MAX(0,MIN($AE1365,$AD1365-SUM($AG1365:AO1365))),0)</f>
        <v>0</v>
      </c>
      <c r="AQ1365" s="8">
        <f>IF($O1365="Aktif",MAX(0,MIN($AE1365,$AD1365-SUM($AG1365:AP1365))),0)</f>
        <v>0</v>
      </c>
      <c r="AR1365" s="8">
        <f>IF($O1365="Aktif",MAX(0,MIN($AE1365,$AD1365-SUM($AG1365:AQ1365))),0)</f>
        <v>0</v>
      </c>
      <c r="AS1365" s="8">
        <f>IF($O1365="Aktif",MAX(0,MIN($AE1365,$AD1365-SUM($AG1365:AR1365))),0)</f>
        <v>0</v>
      </c>
      <c r="AT1365" s="8">
        <f>IF($O1365="Aktif",MAX(0,MIN($AE1365,$AD1365-SUM($AG1365:AS1365))),0)</f>
        <v>0</v>
      </c>
      <c r="AU1365" s="8">
        <f>IF($O1365="Aktif",MAX(0,MIN($AE1365,$AD1365-SUM($AG1365:AT1365))),0)</f>
        <v>0</v>
      </c>
      <c r="AV1365" s="8">
        <f>IF($O1365="Aktif",MAX(0,MIN($AE1365,$AD1365-SUM($AG1365:AU1365))),0)</f>
        <v>0</v>
      </c>
      <c r="AW1365" s="8">
        <f t="shared" si="152"/>
        <v>0</v>
      </c>
      <c r="AX1365" s="8">
        <f t="shared" si="153"/>
        <v>0</v>
      </c>
    </row>
    <row r="1366" spans="1:50" ht="15" customHeight="1" x14ac:dyDescent="0.35">
      <c r="A1366" s="102">
        <v>1360</v>
      </c>
      <c r="B1366" s="102" t="s">
        <v>3714</v>
      </c>
      <c r="C1366" s="103">
        <v>19</v>
      </c>
      <c r="D1366" s="102" t="s">
        <v>186</v>
      </c>
      <c r="E1366" s="102" t="s">
        <v>479</v>
      </c>
      <c r="F1366" s="102" t="s">
        <v>3116</v>
      </c>
      <c r="G1366" s="102" t="s">
        <v>3117</v>
      </c>
      <c r="H1366" s="102" t="s">
        <v>3118</v>
      </c>
      <c r="I1366" s="102" t="s">
        <v>63</v>
      </c>
      <c r="J1366" s="102" t="s">
        <v>3734</v>
      </c>
      <c r="K1366" s="102"/>
      <c r="L1366" s="104">
        <v>42247</v>
      </c>
      <c r="M1366" s="102" t="s">
        <v>3735</v>
      </c>
      <c r="N1366" s="102" t="s">
        <v>3736</v>
      </c>
      <c r="O1366" s="102" t="s">
        <v>383</v>
      </c>
      <c r="P1366" s="103">
        <v>1</v>
      </c>
      <c r="Q1366" s="105">
        <v>9000000</v>
      </c>
      <c r="R1366" s="103">
        <v>48</v>
      </c>
      <c r="S1366" s="105">
        <v>7687500</v>
      </c>
      <c r="T1366" s="105">
        <v>9000000</v>
      </c>
      <c r="U1366" s="105">
        <v>0</v>
      </c>
      <c r="V1366" s="105">
        <v>0</v>
      </c>
      <c r="W1366" s="105">
        <v>0</v>
      </c>
      <c r="X1366" s="105">
        <v>0</v>
      </c>
      <c r="Y1366" s="105">
        <v>0</v>
      </c>
      <c r="Z1366" s="105">
        <v>0</v>
      </c>
      <c r="AA1366" s="105">
        <v>0</v>
      </c>
      <c r="AB1366" s="105">
        <v>0</v>
      </c>
      <c r="AC1366" s="8">
        <f t="shared" si="147"/>
        <v>9000000</v>
      </c>
      <c r="AD1366" s="8">
        <f t="shared" si="148"/>
        <v>0</v>
      </c>
      <c r="AE1366" s="8">
        <f t="shared" si="149"/>
        <v>0</v>
      </c>
      <c r="AF1366" s="106">
        <f t="shared" si="150"/>
        <v>0</v>
      </c>
      <c r="AG1366" s="8">
        <f t="shared" si="151"/>
        <v>0</v>
      </c>
      <c r="AH1366" s="8">
        <f>IF($O1366="Aktif",MAX(0,MIN($AE1366,$AD1366-SUM($AG1366:AG1366))),0)</f>
        <v>0</v>
      </c>
      <c r="AI1366" s="8">
        <f>IF($O1366="Aktif",MAX(0,MIN($AE1366,$AD1366-SUM($AG1366:AH1366))),0)</f>
        <v>0</v>
      </c>
      <c r="AJ1366" s="8">
        <f>IF($O1366="Aktif",MAX(0,MIN($AE1366,$AD1366-SUM($AG1366:AI1366))),0)</f>
        <v>0</v>
      </c>
      <c r="AK1366" s="8">
        <f>IF($O1366="Aktif",MAX(0,MIN($AE1366,$AD1366-SUM($AG1366:AJ1366))),0)</f>
        <v>0</v>
      </c>
      <c r="AL1366" s="8">
        <f>IF($O1366="Aktif",MAX(0,MIN($AE1366,$AD1366-SUM($AG1366:AK1366))),0)</f>
        <v>0</v>
      </c>
      <c r="AM1366" s="8">
        <f>IF($O1366="Aktif",MAX(0,MIN($AE1366,$AD1366-SUM($AG1366:AL1366))),0)</f>
        <v>0</v>
      </c>
      <c r="AN1366" s="8">
        <f>IF($O1366="Aktif",MAX(0,MIN($AE1366,$AD1366-SUM($AG1366:AM1366))),0)</f>
        <v>0</v>
      </c>
      <c r="AO1366" s="8">
        <f>IF($O1366="Aktif",MAX(0,MIN($AE1366,$AD1366-SUM($AG1366:AN1366))),0)</f>
        <v>0</v>
      </c>
      <c r="AP1366" s="8">
        <f>IF($O1366="Aktif",MAX(0,MIN($AE1366,$AD1366-SUM($AG1366:AO1366))),0)</f>
        <v>0</v>
      </c>
      <c r="AQ1366" s="8">
        <f>IF($O1366="Aktif",MAX(0,MIN($AE1366,$AD1366-SUM($AG1366:AP1366))),0)</f>
        <v>0</v>
      </c>
      <c r="AR1366" s="8">
        <f>IF($O1366="Aktif",MAX(0,MIN($AE1366,$AD1366-SUM($AG1366:AQ1366))),0)</f>
        <v>0</v>
      </c>
      <c r="AS1366" s="8">
        <f>IF($O1366="Aktif",MAX(0,MIN($AE1366,$AD1366-SUM($AG1366:AR1366))),0)</f>
        <v>0</v>
      </c>
      <c r="AT1366" s="8">
        <f>IF($O1366="Aktif",MAX(0,MIN($AE1366,$AD1366-SUM($AG1366:AS1366))),0)</f>
        <v>0</v>
      </c>
      <c r="AU1366" s="8">
        <f>IF($O1366="Aktif",MAX(0,MIN($AE1366,$AD1366-SUM($AG1366:AT1366))),0)</f>
        <v>0</v>
      </c>
      <c r="AV1366" s="8">
        <f>IF($O1366="Aktif",MAX(0,MIN($AE1366,$AD1366-SUM($AG1366:AU1366))),0)</f>
        <v>0</v>
      </c>
      <c r="AW1366" s="8">
        <f t="shared" si="152"/>
        <v>0</v>
      </c>
      <c r="AX1366" s="8">
        <f t="shared" si="153"/>
        <v>0</v>
      </c>
    </row>
    <row r="1367" spans="1:50" ht="15" customHeight="1" x14ac:dyDescent="0.35">
      <c r="A1367" s="102">
        <v>1361</v>
      </c>
      <c r="B1367" s="102" t="s">
        <v>3714</v>
      </c>
      <c r="C1367" s="103">
        <v>20</v>
      </c>
      <c r="D1367" s="102" t="s">
        <v>186</v>
      </c>
      <c r="E1367" s="102" t="s">
        <v>479</v>
      </c>
      <c r="F1367" s="102" t="s">
        <v>3116</v>
      </c>
      <c r="G1367" s="102" t="s">
        <v>3117</v>
      </c>
      <c r="H1367" s="102" t="s">
        <v>3118</v>
      </c>
      <c r="I1367" s="102" t="s">
        <v>63</v>
      </c>
      <c r="J1367" s="102" t="s">
        <v>3737</v>
      </c>
      <c r="K1367" s="102"/>
      <c r="L1367" s="104">
        <v>42265</v>
      </c>
      <c r="M1367" s="102" t="s">
        <v>3738</v>
      </c>
      <c r="N1367" s="102" t="s">
        <v>3739</v>
      </c>
      <c r="O1367" s="102" t="s">
        <v>383</v>
      </c>
      <c r="P1367" s="103">
        <v>1</v>
      </c>
      <c r="Q1367" s="105">
        <v>25000000</v>
      </c>
      <c r="R1367" s="103">
        <v>48</v>
      </c>
      <c r="S1367" s="105">
        <v>20833333.333333299</v>
      </c>
      <c r="T1367" s="105">
        <v>25000000</v>
      </c>
      <c r="U1367" s="105">
        <v>0</v>
      </c>
      <c r="V1367" s="105">
        <v>0</v>
      </c>
      <c r="W1367" s="105">
        <v>0</v>
      </c>
      <c r="X1367" s="105">
        <v>0</v>
      </c>
      <c r="Y1367" s="105">
        <v>0</v>
      </c>
      <c r="Z1367" s="105">
        <v>0</v>
      </c>
      <c r="AA1367" s="105">
        <v>0</v>
      </c>
      <c r="AB1367" s="105">
        <v>0</v>
      </c>
      <c r="AC1367" s="8">
        <f t="shared" si="147"/>
        <v>25000000</v>
      </c>
      <c r="AD1367" s="8">
        <f t="shared" si="148"/>
        <v>0</v>
      </c>
      <c r="AE1367" s="8">
        <f t="shared" si="149"/>
        <v>0</v>
      </c>
      <c r="AF1367" s="106">
        <f t="shared" si="150"/>
        <v>0</v>
      </c>
      <c r="AG1367" s="8">
        <f t="shared" si="151"/>
        <v>0</v>
      </c>
      <c r="AH1367" s="8">
        <f>IF($O1367="Aktif",MAX(0,MIN($AE1367,$AD1367-SUM($AG1367:AG1367))),0)</f>
        <v>0</v>
      </c>
      <c r="AI1367" s="8">
        <f>IF($O1367="Aktif",MAX(0,MIN($AE1367,$AD1367-SUM($AG1367:AH1367))),0)</f>
        <v>0</v>
      </c>
      <c r="AJ1367" s="8">
        <f>IF($O1367="Aktif",MAX(0,MIN($AE1367,$AD1367-SUM($AG1367:AI1367))),0)</f>
        <v>0</v>
      </c>
      <c r="AK1367" s="8">
        <f>IF($O1367="Aktif",MAX(0,MIN($AE1367,$AD1367-SUM($AG1367:AJ1367))),0)</f>
        <v>0</v>
      </c>
      <c r="AL1367" s="8">
        <f>IF($O1367="Aktif",MAX(0,MIN($AE1367,$AD1367-SUM($AG1367:AK1367))),0)</f>
        <v>0</v>
      </c>
      <c r="AM1367" s="8">
        <f>IF($O1367="Aktif",MAX(0,MIN($AE1367,$AD1367-SUM($AG1367:AL1367))),0)</f>
        <v>0</v>
      </c>
      <c r="AN1367" s="8">
        <f>IF($O1367="Aktif",MAX(0,MIN($AE1367,$AD1367-SUM($AG1367:AM1367))),0)</f>
        <v>0</v>
      </c>
      <c r="AO1367" s="8">
        <f>IF($O1367="Aktif",MAX(0,MIN($AE1367,$AD1367-SUM($AG1367:AN1367))),0)</f>
        <v>0</v>
      </c>
      <c r="AP1367" s="8">
        <f>IF($O1367="Aktif",MAX(0,MIN($AE1367,$AD1367-SUM($AG1367:AO1367))),0)</f>
        <v>0</v>
      </c>
      <c r="AQ1367" s="8">
        <f>IF($O1367="Aktif",MAX(0,MIN($AE1367,$AD1367-SUM($AG1367:AP1367))),0)</f>
        <v>0</v>
      </c>
      <c r="AR1367" s="8">
        <f>IF($O1367="Aktif",MAX(0,MIN($AE1367,$AD1367-SUM($AG1367:AQ1367))),0)</f>
        <v>0</v>
      </c>
      <c r="AS1367" s="8">
        <f>IF($O1367="Aktif",MAX(0,MIN($AE1367,$AD1367-SUM($AG1367:AR1367))),0)</f>
        <v>0</v>
      </c>
      <c r="AT1367" s="8">
        <f>IF($O1367="Aktif",MAX(0,MIN($AE1367,$AD1367-SUM($AG1367:AS1367))),0)</f>
        <v>0</v>
      </c>
      <c r="AU1367" s="8">
        <f>IF($O1367="Aktif",MAX(0,MIN($AE1367,$AD1367-SUM($AG1367:AT1367))),0)</f>
        <v>0</v>
      </c>
      <c r="AV1367" s="8">
        <f>IF($O1367="Aktif",MAX(0,MIN($AE1367,$AD1367-SUM($AG1367:AU1367))),0)</f>
        <v>0</v>
      </c>
      <c r="AW1367" s="8">
        <f t="shared" si="152"/>
        <v>0</v>
      </c>
      <c r="AX1367" s="8">
        <f t="shared" si="153"/>
        <v>0</v>
      </c>
    </row>
    <row r="1368" spans="1:50" ht="15" customHeight="1" x14ac:dyDescent="0.35">
      <c r="A1368" s="102">
        <v>1362</v>
      </c>
      <c r="B1368" s="102" t="s">
        <v>3714</v>
      </c>
      <c r="C1368" s="103">
        <v>21</v>
      </c>
      <c r="D1368" s="102" t="s">
        <v>186</v>
      </c>
      <c r="E1368" s="102" t="s">
        <v>479</v>
      </c>
      <c r="F1368" s="102" t="s">
        <v>3116</v>
      </c>
      <c r="G1368" s="102" t="s">
        <v>3117</v>
      </c>
      <c r="H1368" s="102" t="s">
        <v>3118</v>
      </c>
      <c r="I1368" s="102" t="s">
        <v>63</v>
      </c>
      <c r="J1368" s="102" t="s">
        <v>3740</v>
      </c>
      <c r="K1368" s="102"/>
      <c r="L1368" s="104">
        <v>42277</v>
      </c>
      <c r="M1368" s="102" t="s">
        <v>3741</v>
      </c>
      <c r="N1368" s="102" t="s">
        <v>3742</v>
      </c>
      <c r="O1368" s="102" t="s">
        <v>383</v>
      </c>
      <c r="P1368" s="103">
        <v>1</v>
      </c>
      <c r="Q1368" s="105">
        <v>9000000</v>
      </c>
      <c r="R1368" s="103">
        <v>48</v>
      </c>
      <c r="S1368" s="105">
        <v>7500000</v>
      </c>
      <c r="T1368" s="105">
        <v>9000000</v>
      </c>
      <c r="U1368" s="105">
        <v>0</v>
      </c>
      <c r="V1368" s="105">
        <v>0</v>
      </c>
      <c r="W1368" s="105">
        <v>0</v>
      </c>
      <c r="X1368" s="105">
        <v>0</v>
      </c>
      <c r="Y1368" s="105">
        <v>0</v>
      </c>
      <c r="Z1368" s="105">
        <v>0</v>
      </c>
      <c r="AA1368" s="105">
        <v>0</v>
      </c>
      <c r="AB1368" s="105">
        <v>0</v>
      </c>
      <c r="AC1368" s="8">
        <f t="shared" si="147"/>
        <v>9000000</v>
      </c>
      <c r="AD1368" s="8">
        <f t="shared" si="148"/>
        <v>0</v>
      </c>
      <c r="AE1368" s="8">
        <f t="shared" si="149"/>
        <v>0</v>
      </c>
      <c r="AF1368" s="106">
        <f t="shared" si="150"/>
        <v>0</v>
      </c>
      <c r="AG1368" s="8">
        <f t="shared" si="151"/>
        <v>0</v>
      </c>
      <c r="AH1368" s="8">
        <f>IF($O1368="Aktif",MAX(0,MIN($AE1368,$AD1368-SUM($AG1368:AG1368))),0)</f>
        <v>0</v>
      </c>
      <c r="AI1368" s="8">
        <f>IF($O1368="Aktif",MAX(0,MIN($AE1368,$AD1368-SUM($AG1368:AH1368))),0)</f>
        <v>0</v>
      </c>
      <c r="AJ1368" s="8">
        <f>IF($O1368="Aktif",MAX(0,MIN($AE1368,$AD1368-SUM($AG1368:AI1368))),0)</f>
        <v>0</v>
      </c>
      <c r="AK1368" s="8">
        <f>IF($O1368="Aktif",MAX(0,MIN($AE1368,$AD1368-SUM($AG1368:AJ1368))),0)</f>
        <v>0</v>
      </c>
      <c r="AL1368" s="8">
        <f>IF($O1368="Aktif",MAX(0,MIN($AE1368,$AD1368-SUM($AG1368:AK1368))),0)</f>
        <v>0</v>
      </c>
      <c r="AM1368" s="8">
        <f>IF($O1368="Aktif",MAX(0,MIN($AE1368,$AD1368-SUM($AG1368:AL1368))),0)</f>
        <v>0</v>
      </c>
      <c r="AN1368" s="8">
        <f>IF($O1368="Aktif",MAX(0,MIN($AE1368,$AD1368-SUM($AG1368:AM1368))),0)</f>
        <v>0</v>
      </c>
      <c r="AO1368" s="8">
        <f>IF($O1368="Aktif",MAX(0,MIN($AE1368,$AD1368-SUM($AG1368:AN1368))),0)</f>
        <v>0</v>
      </c>
      <c r="AP1368" s="8">
        <f>IF($O1368="Aktif",MAX(0,MIN($AE1368,$AD1368-SUM($AG1368:AO1368))),0)</f>
        <v>0</v>
      </c>
      <c r="AQ1368" s="8">
        <f>IF($O1368="Aktif",MAX(0,MIN($AE1368,$AD1368-SUM($AG1368:AP1368))),0)</f>
        <v>0</v>
      </c>
      <c r="AR1368" s="8">
        <f>IF($O1368="Aktif",MAX(0,MIN($AE1368,$AD1368-SUM($AG1368:AQ1368))),0)</f>
        <v>0</v>
      </c>
      <c r="AS1368" s="8">
        <f>IF($O1368="Aktif",MAX(0,MIN($AE1368,$AD1368-SUM($AG1368:AR1368))),0)</f>
        <v>0</v>
      </c>
      <c r="AT1368" s="8">
        <f>IF($O1368="Aktif",MAX(0,MIN($AE1368,$AD1368-SUM($AG1368:AS1368))),0)</f>
        <v>0</v>
      </c>
      <c r="AU1368" s="8">
        <f>IF($O1368="Aktif",MAX(0,MIN($AE1368,$AD1368-SUM($AG1368:AT1368))),0)</f>
        <v>0</v>
      </c>
      <c r="AV1368" s="8">
        <f>IF($O1368="Aktif",MAX(0,MIN($AE1368,$AD1368-SUM($AG1368:AU1368))),0)</f>
        <v>0</v>
      </c>
      <c r="AW1368" s="8">
        <f t="shared" si="152"/>
        <v>0</v>
      </c>
      <c r="AX1368" s="8">
        <f t="shared" si="153"/>
        <v>0</v>
      </c>
    </row>
    <row r="1369" spans="1:50" ht="15" customHeight="1" x14ac:dyDescent="0.35">
      <c r="A1369" s="102">
        <v>1363</v>
      </c>
      <c r="B1369" s="102" t="s">
        <v>3714</v>
      </c>
      <c r="C1369" s="103">
        <v>22</v>
      </c>
      <c r="D1369" s="102" t="s">
        <v>186</v>
      </c>
      <c r="E1369" s="102" t="s">
        <v>479</v>
      </c>
      <c r="F1369" s="102" t="s">
        <v>3116</v>
      </c>
      <c r="G1369" s="102" t="s">
        <v>3117</v>
      </c>
      <c r="H1369" s="102" t="s">
        <v>3118</v>
      </c>
      <c r="I1369" s="102" t="s">
        <v>63</v>
      </c>
      <c r="J1369" s="102" t="s">
        <v>3743</v>
      </c>
      <c r="K1369" s="102"/>
      <c r="L1369" s="104">
        <v>42277</v>
      </c>
      <c r="M1369" s="102" t="s">
        <v>3744</v>
      </c>
      <c r="N1369" s="102" t="s">
        <v>3745</v>
      </c>
      <c r="O1369" s="102" t="s">
        <v>383</v>
      </c>
      <c r="P1369" s="103">
        <v>1</v>
      </c>
      <c r="Q1369" s="105">
        <v>258000000</v>
      </c>
      <c r="R1369" s="103">
        <v>48</v>
      </c>
      <c r="S1369" s="105">
        <v>215000000</v>
      </c>
      <c r="T1369" s="105">
        <v>258000000</v>
      </c>
      <c r="U1369" s="105">
        <v>0</v>
      </c>
      <c r="V1369" s="105">
        <v>0</v>
      </c>
      <c r="W1369" s="105">
        <v>0</v>
      </c>
      <c r="X1369" s="105">
        <v>0</v>
      </c>
      <c r="Y1369" s="105">
        <v>0</v>
      </c>
      <c r="Z1369" s="105">
        <v>0</v>
      </c>
      <c r="AA1369" s="105">
        <v>0</v>
      </c>
      <c r="AB1369" s="105">
        <v>0</v>
      </c>
      <c r="AC1369" s="8">
        <f t="shared" si="147"/>
        <v>258000000</v>
      </c>
      <c r="AD1369" s="8">
        <f t="shared" si="148"/>
        <v>0</v>
      </c>
      <c r="AE1369" s="8">
        <f t="shared" si="149"/>
        <v>0</v>
      </c>
      <c r="AF1369" s="106">
        <f t="shared" si="150"/>
        <v>0</v>
      </c>
      <c r="AG1369" s="8">
        <f t="shared" si="151"/>
        <v>0</v>
      </c>
      <c r="AH1369" s="8">
        <f>IF($O1369="Aktif",MAX(0,MIN($AE1369,$AD1369-SUM($AG1369:AG1369))),0)</f>
        <v>0</v>
      </c>
      <c r="AI1369" s="8">
        <f>IF($O1369="Aktif",MAX(0,MIN($AE1369,$AD1369-SUM($AG1369:AH1369))),0)</f>
        <v>0</v>
      </c>
      <c r="AJ1369" s="8">
        <f>IF($O1369="Aktif",MAX(0,MIN($AE1369,$AD1369-SUM($AG1369:AI1369))),0)</f>
        <v>0</v>
      </c>
      <c r="AK1369" s="8">
        <f>IF($O1369="Aktif",MAX(0,MIN($AE1369,$AD1369-SUM($AG1369:AJ1369))),0)</f>
        <v>0</v>
      </c>
      <c r="AL1369" s="8">
        <f>IF($O1369="Aktif",MAX(0,MIN($AE1369,$AD1369-SUM($AG1369:AK1369))),0)</f>
        <v>0</v>
      </c>
      <c r="AM1369" s="8">
        <f>IF($O1369="Aktif",MAX(0,MIN($AE1369,$AD1369-SUM($AG1369:AL1369))),0)</f>
        <v>0</v>
      </c>
      <c r="AN1369" s="8">
        <f>IF($O1369="Aktif",MAX(0,MIN($AE1369,$AD1369-SUM($AG1369:AM1369))),0)</f>
        <v>0</v>
      </c>
      <c r="AO1369" s="8">
        <f>IF($O1369="Aktif",MAX(0,MIN($AE1369,$AD1369-SUM($AG1369:AN1369))),0)</f>
        <v>0</v>
      </c>
      <c r="AP1369" s="8">
        <f>IF($O1369="Aktif",MAX(0,MIN($AE1369,$AD1369-SUM($AG1369:AO1369))),0)</f>
        <v>0</v>
      </c>
      <c r="AQ1369" s="8">
        <f>IF($O1369="Aktif",MAX(0,MIN($AE1369,$AD1369-SUM($AG1369:AP1369))),0)</f>
        <v>0</v>
      </c>
      <c r="AR1369" s="8">
        <f>IF($O1369="Aktif",MAX(0,MIN($AE1369,$AD1369-SUM($AG1369:AQ1369))),0)</f>
        <v>0</v>
      </c>
      <c r="AS1369" s="8">
        <f>IF($O1369="Aktif",MAX(0,MIN($AE1369,$AD1369-SUM($AG1369:AR1369))),0)</f>
        <v>0</v>
      </c>
      <c r="AT1369" s="8">
        <f>IF($O1369="Aktif",MAX(0,MIN($AE1369,$AD1369-SUM($AG1369:AS1369))),0)</f>
        <v>0</v>
      </c>
      <c r="AU1369" s="8">
        <f>IF($O1369="Aktif",MAX(0,MIN($AE1369,$AD1369-SUM($AG1369:AT1369))),0)</f>
        <v>0</v>
      </c>
      <c r="AV1369" s="8">
        <f>IF($O1369="Aktif",MAX(0,MIN($AE1369,$AD1369-SUM($AG1369:AU1369))),0)</f>
        <v>0</v>
      </c>
      <c r="AW1369" s="8">
        <f t="shared" si="152"/>
        <v>0</v>
      </c>
      <c r="AX1369" s="8">
        <f t="shared" si="153"/>
        <v>0</v>
      </c>
    </row>
    <row r="1370" spans="1:50" ht="15" customHeight="1" x14ac:dyDescent="0.35">
      <c r="A1370" s="102">
        <v>1364</v>
      </c>
      <c r="B1370" s="102" t="s">
        <v>3714</v>
      </c>
      <c r="C1370" s="103">
        <v>23</v>
      </c>
      <c r="D1370" s="102" t="s">
        <v>186</v>
      </c>
      <c r="E1370" s="102" t="s">
        <v>0</v>
      </c>
      <c r="F1370" s="102" t="s">
        <v>3116</v>
      </c>
      <c r="G1370" s="102" t="s">
        <v>3117</v>
      </c>
      <c r="H1370" s="102" t="s">
        <v>3118</v>
      </c>
      <c r="I1370" s="102" t="s">
        <v>63</v>
      </c>
      <c r="J1370" s="102"/>
      <c r="K1370" s="102"/>
      <c r="L1370" s="104">
        <v>45747</v>
      </c>
      <c r="M1370" s="102" t="s">
        <v>3744</v>
      </c>
      <c r="N1370" s="102" t="s">
        <v>3746</v>
      </c>
      <c r="O1370" s="102" t="s">
        <v>487</v>
      </c>
      <c r="P1370" s="103">
        <v>1</v>
      </c>
      <c r="Q1370" s="105">
        <v>-258000000</v>
      </c>
      <c r="R1370" s="102"/>
      <c r="S1370" s="105">
        <v>0</v>
      </c>
      <c r="T1370" s="105">
        <v>-258000000</v>
      </c>
      <c r="U1370" s="105">
        <v>0</v>
      </c>
      <c r="V1370" s="105">
        <v>0</v>
      </c>
      <c r="W1370" s="105">
        <v>0</v>
      </c>
      <c r="X1370" s="105">
        <v>0</v>
      </c>
      <c r="Y1370" s="105">
        <v>0</v>
      </c>
      <c r="Z1370" s="105">
        <v>0</v>
      </c>
      <c r="AA1370" s="105">
        <v>0</v>
      </c>
      <c r="AB1370" s="105">
        <v>0</v>
      </c>
      <c r="AC1370" s="8">
        <f t="shared" si="147"/>
        <v>-258000000</v>
      </c>
      <c r="AD1370" s="8">
        <f t="shared" si="148"/>
        <v>0</v>
      </c>
      <c r="AE1370" s="8">
        <f t="shared" si="149"/>
        <v>0</v>
      </c>
      <c r="AF1370" s="106">
        <f t="shared" si="150"/>
        <v>0</v>
      </c>
      <c r="AG1370" s="8">
        <f t="shared" si="151"/>
        <v>0</v>
      </c>
      <c r="AH1370" s="8">
        <f>IF($O1370="Aktif",MAX(0,MIN($AE1370,$AD1370-SUM($AG1370:AG1370))),0)</f>
        <v>0</v>
      </c>
      <c r="AI1370" s="8">
        <f>IF($O1370="Aktif",MAX(0,MIN($AE1370,$AD1370-SUM($AG1370:AH1370))),0)</f>
        <v>0</v>
      </c>
      <c r="AJ1370" s="8">
        <f>IF($O1370="Aktif",MAX(0,MIN($AE1370,$AD1370-SUM($AG1370:AI1370))),0)</f>
        <v>0</v>
      </c>
      <c r="AK1370" s="8">
        <f>IF($O1370="Aktif",MAX(0,MIN($AE1370,$AD1370-SUM($AG1370:AJ1370))),0)</f>
        <v>0</v>
      </c>
      <c r="AL1370" s="8">
        <f>IF($O1370="Aktif",MAX(0,MIN($AE1370,$AD1370-SUM($AG1370:AK1370))),0)</f>
        <v>0</v>
      </c>
      <c r="AM1370" s="8">
        <f>IF($O1370="Aktif",MAX(0,MIN($AE1370,$AD1370-SUM($AG1370:AL1370))),0)</f>
        <v>0</v>
      </c>
      <c r="AN1370" s="8">
        <f>IF($O1370="Aktif",MAX(0,MIN($AE1370,$AD1370-SUM($AG1370:AM1370))),0)</f>
        <v>0</v>
      </c>
      <c r="AO1370" s="8">
        <f>IF($O1370="Aktif",MAX(0,MIN($AE1370,$AD1370-SUM($AG1370:AN1370))),0)</f>
        <v>0</v>
      </c>
      <c r="AP1370" s="8">
        <f>IF($O1370="Aktif",MAX(0,MIN($AE1370,$AD1370-SUM($AG1370:AO1370))),0)</f>
        <v>0</v>
      </c>
      <c r="AQ1370" s="8">
        <f>IF($O1370="Aktif",MAX(0,MIN($AE1370,$AD1370-SUM($AG1370:AP1370))),0)</f>
        <v>0</v>
      </c>
      <c r="AR1370" s="8">
        <f>IF($O1370="Aktif",MAX(0,MIN($AE1370,$AD1370-SUM($AG1370:AQ1370))),0)</f>
        <v>0</v>
      </c>
      <c r="AS1370" s="8">
        <f>IF($O1370="Aktif",MAX(0,MIN($AE1370,$AD1370-SUM($AG1370:AR1370))),0)</f>
        <v>0</v>
      </c>
      <c r="AT1370" s="8">
        <f>IF($O1370="Aktif",MAX(0,MIN($AE1370,$AD1370-SUM($AG1370:AS1370))),0)</f>
        <v>0</v>
      </c>
      <c r="AU1370" s="8">
        <f>IF($O1370="Aktif",MAX(0,MIN($AE1370,$AD1370-SUM($AG1370:AT1370))),0)</f>
        <v>0</v>
      </c>
      <c r="AV1370" s="8">
        <f>IF($O1370="Aktif",MAX(0,MIN($AE1370,$AD1370-SUM($AG1370:AU1370))),0)</f>
        <v>0</v>
      </c>
      <c r="AW1370" s="8">
        <f t="shared" si="152"/>
        <v>0</v>
      </c>
      <c r="AX1370" s="8">
        <f t="shared" si="153"/>
        <v>0</v>
      </c>
    </row>
    <row r="1371" spans="1:50" ht="15" customHeight="1" x14ac:dyDescent="0.35">
      <c r="A1371" s="102">
        <v>1365</v>
      </c>
      <c r="B1371" s="102" t="s">
        <v>3714</v>
      </c>
      <c r="C1371" s="103">
        <v>24</v>
      </c>
      <c r="D1371" s="102" t="s">
        <v>186</v>
      </c>
      <c r="E1371" s="102" t="s">
        <v>479</v>
      </c>
      <c r="F1371" s="102" t="s">
        <v>3116</v>
      </c>
      <c r="G1371" s="102" t="s">
        <v>3117</v>
      </c>
      <c r="H1371" s="102" t="s">
        <v>3118</v>
      </c>
      <c r="I1371" s="102" t="s">
        <v>63</v>
      </c>
      <c r="J1371" s="102" t="s">
        <v>3747</v>
      </c>
      <c r="K1371" s="102"/>
      <c r="L1371" s="104">
        <v>42277</v>
      </c>
      <c r="M1371" s="102" t="s">
        <v>3748</v>
      </c>
      <c r="N1371" s="102" t="s">
        <v>3749</v>
      </c>
      <c r="O1371" s="102" t="s">
        <v>383</v>
      </c>
      <c r="P1371" s="103">
        <v>1</v>
      </c>
      <c r="Q1371" s="105">
        <v>29000000</v>
      </c>
      <c r="R1371" s="103">
        <v>48</v>
      </c>
      <c r="S1371" s="105">
        <v>24166666.666666701</v>
      </c>
      <c r="T1371" s="105">
        <v>29000000</v>
      </c>
      <c r="U1371" s="105">
        <v>0</v>
      </c>
      <c r="V1371" s="105">
        <v>0</v>
      </c>
      <c r="W1371" s="105">
        <v>0</v>
      </c>
      <c r="X1371" s="105">
        <v>0</v>
      </c>
      <c r="Y1371" s="105">
        <v>0</v>
      </c>
      <c r="Z1371" s="105">
        <v>0</v>
      </c>
      <c r="AA1371" s="105">
        <v>0</v>
      </c>
      <c r="AB1371" s="105">
        <v>0</v>
      </c>
      <c r="AC1371" s="8">
        <f t="shared" si="147"/>
        <v>29000000</v>
      </c>
      <c r="AD1371" s="8">
        <f t="shared" si="148"/>
        <v>0</v>
      </c>
      <c r="AE1371" s="8">
        <f t="shared" si="149"/>
        <v>0</v>
      </c>
      <c r="AF1371" s="106">
        <f t="shared" si="150"/>
        <v>0</v>
      </c>
      <c r="AG1371" s="8">
        <f t="shared" si="151"/>
        <v>0</v>
      </c>
      <c r="AH1371" s="8">
        <f>IF($O1371="Aktif",MAX(0,MIN($AE1371,$AD1371-SUM($AG1371:AG1371))),0)</f>
        <v>0</v>
      </c>
      <c r="AI1371" s="8">
        <f>IF($O1371="Aktif",MAX(0,MIN($AE1371,$AD1371-SUM($AG1371:AH1371))),0)</f>
        <v>0</v>
      </c>
      <c r="AJ1371" s="8">
        <f>IF($O1371="Aktif",MAX(0,MIN($AE1371,$AD1371-SUM($AG1371:AI1371))),0)</f>
        <v>0</v>
      </c>
      <c r="AK1371" s="8">
        <f>IF($O1371="Aktif",MAX(0,MIN($AE1371,$AD1371-SUM($AG1371:AJ1371))),0)</f>
        <v>0</v>
      </c>
      <c r="AL1371" s="8">
        <f>IF($O1371="Aktif",MAX(0,MIN($AE1371,$AD1371-SUM($AG1371:AK1371))),0)</f>
        <v>0</v>
      </c>
      <c r="AM1371" s="8">
        <f>IF($O1371="Aktif",MAX(0,MIN($AE1371,$AD1371-SUM($AG1371:AL1371))),0)</f>
        <v>0</v>
      </c>
      <c r="AN1371" s="8">
        <f>IF($O1371="Aktif",MAX(0,MIN($AE1371,$AD1371-SUM($AG1371:AM1371))),0)</f>
        <v>0</v>
      </c>
      <c r="AO1371" s="8">
        <f>IF($O1371="Aktif",MAX(0,MIN($AE1371,$AD1371-SUM($AG1371:AN1371))),0)</f>
        <v>0</v>
      </c>
      <c r="AP1371" s="8">
        <f>IF($O1371="Aktif",MAX(0,MIN($AE1371,$AD1371-SUM($AG1371:AO1371))),0)</f>
        <v>0</v>
      </c>
      <c r="AQ1371" s="8">
        <f>IF($O1371="Aktif",MAX(0,MIN($AE1371,$AD1371-SUM($AG1371:AP1371))),0)</f>
        <v>0</v>
      </c>
      <c r="AR1371" s="8">
        <f>IF($O1371="Aktif",MAX(0,MIN($AE1371,$AD1371-SUM($AG1371:AQ1371))),0)</f>
        <v>0</v>
      </c>
      <c r="AS1371" s="8">
        <f>IF($O1371="Aktif",MAX(0,MIN($AE1371,$AD1371-SUM($AG1371:AR1371))),0)</f>
        <v>0</v>
      </c>
      <c r="AT1371" s="8">
        <f>IF($O1371="Aktif",MAX(0,MIN($AE1371,$AD1371-SUM($AG1371:AS1371))),0)</f>
        <v>0</v>
      </c>
      <c r="AU1371" s="8">
        <f>IF($O1371="Aktif",MAX(0,MIN($AE1371,$AD1371-SUM($AG1371:AT1371))),0)</f>
        <v>0</v>
      </c>
      <c r="AV1371" s="8">
        <f>IF($O1371="Aktif",MAX(0,MIN($AE1371,$AD1371-SUM($AG1371:AU1371))),0)</f>
        <v>0</v>
      </c>
      <c r="AW1371" s="8">
        <f t="shared" si="152"/>
        <v>0</v>
      </c>
      <c r="AX1371" s="8">
        <f t="shared" si="153"/>
        <v>0</v>
      </c>
    </row>
    <row r="1372" spans="1:50" ht="15" customHeight="1" x14ac:dyDescent="0.35">
      <c r="A1372" s="102">
        <v>1366</v>
      </c>
      <c r="B1372" s="102" t="s">
        <v>3714</v>
      </c>
      <c r="C1372" s="103">
        <v>25</v>
      </c>
      <c r="D1372" s="102" t="s">
        <v>186</v>
      </c>
      <c r="E1372" s="102" t="s">
        <v>479</v>
      </c>
      <c r="F1372" s="102" t="s">
        <v>3116</v>
      </c>
      <c r="G1372" s="102" t="s">
        <v>3117</v>
      </c>
      <c r="H1372" s="102" t="s">
        <v>3118</v>
      </c>
      <c r="I1372" s="102" t="s">
        <v>63</v>
      </c>
      <c r="J1372" s="102" t="s">
        <v>3750</v>
      </c>
      <c r="K1372" s="102"/>
      <c r="L1372" s="104">
        <v>42279</v>
      </c>
      <c r="M1372" s="102" t="s">
        <v>3751</v>
      </c>
      <c r="N1372" s="102" t="s">
        <v>3752</v>
      </c>
      <c r="O1372" s="102" t="s">
        <v>383</v>
      </c>
      <c r="P1372" s="103">
        <v>1</v>
      </c>
      <c r="Q1372" s="105">
        <v>16500000</v>
      </c>
      <c r="R1372" s="103">
        <v>48</v>
      </c>
      <c r="S1372" s="105">
        <v>13406250</v>
      </c>
      <c r="T1372" s="105">
        <v>16500000</v>
      </c>
      <c r="U1372" s="105">
        <v>0</v>
      </c>
      <c r="V1372" s="105">
        <v>0</v>
      </c>
      <c r="W1372" s="105">
        <v>0</v>
      </c>
      <c r="X1372" s="105">
        <v>0</v>
      </c>
      <c r="Y1372" s="105">
        <v>0</v>
      </c>
      <c r="Z1372" s="105">
        <v>0</v>
      </c>
      <c r="AA1372" s="105">
        <v>0</v>
      </c>
      <c r="AB1372" s="105">
        <v>0</v>
      </c>
      <c r="AC1372" s="8">
        <f t="shared" si="147"/>
        <v>16500000</v>
      </c>
      <c r="AD1372" s="8">
        <f t="shared" si="148"/>
        <v>0</v>
      </c>
      <c r="AE1372" s="8">
        <f t="shared" si="149"/>
        <v>0</v>
      </c>
      <c r="AF1372" s="106">
        <f t="shared" si="150"/>
        <v>0</v>
      </c>
      <c r="AG1372" s="8">
        <f t="shared" si="151"/>
        <v>0</v>
      </c>
      <c r="AH1372" s="8">
        <f>IF($O1372="Aktif",MAX(0,MIN($AE1372,$AD1372-SUM($AG1372:AG1372))),0)</f>
        <v>0</v>
      </c>
      <c r="AI1372" s="8">
        <f>IF($O1372="Aktif",MAX(0,MIN($AE1372,$AD1372-SUM($AG1372:AH1372))),0)</f>
        <v>0</v>
      </c>
      <c r="AJ1372" s="8">
        <f>IF($O1372="Aktif",MAX(0,MIN($AE1372,$AD1372-SUM($AG1372:AI1372))),0)</f>
        <v>0</v>
      </c>
      <c r="AK1372" s="8">
        <f>IF($O1372="Aktif",MAX(0,MIN($AE1372,$AD1372-SUM($AG1372:AJ1372))),0)</f>
        <v>0</v>
      </c>
      <c r="AL1372" s="8">
        <f>IF($O1372="Aktif",MAX(0,MIN($AE1372,$AD1372-SUM($AG1372:AK1372))),0)</f>
        <v>0</v>
      </c>
      <c r="AM1372" s="8">
        <f>IF($O1372="Aktif",MAX(0,MIN($AE1372,$AD1372-SUM($AG1372:AL1372))),0)</f>
        <v>0</v>
      </c>
      <c r="AN1372" s="8">
        <f>IF($O1372="Aktif",MAX(0,MIN($AE1372,$AD1372-SUM($AG1372:AM1372))),0)</f>
        <v>0</v>
      </c>
      <c r="AO1372" s="8">
        <f>IF($O1372="Aktif",MAX(0,MIN($AE1372,$AD1372-SUM($AG1372:AN1372))),0)</f>
        <v>0</v>
      </c>
      <c r="AP1372" s="8">
        <f>IF($O1372="Aktif",MAX(0,MIN($AE1372,$AD1372-SUM($AG1372:AO1372))),0)</f>
        <v>0</v>
      </c>
      <c r="AQ1372" s="8">
        <f>IF($O1372="Aktif",MAX(0,MIN($AE1372,$AD1372-SUM($AG1372:AP1372))),0)</f>
        <v>0</v>
      </c>
      <c r="AR1372" s="8">
        <f>IF($O1372="Aktif",MAX(0,MIN($AE1372,$AD1372-SUM($AG1372:AQ1372))),0)</f>
        <v>0</v>
      </c>
      <c r="AS1372" s="8">
        <f>IF($O1372="Aktif",MAX(0,MIN($AE1372,$AD1372-SUM($AG1372:AR1372))),0)</f>
        <v>0</v>
      </c>
      <c r="AT1372" s="8">
        <f>IF($O1372="Aktif",MAX(0,MIN($AE1372,$AD1372-SUM($AG1372:AS1372))),0)</f>
        <v>0</v>
      </c>
      <c r="AU1372" s="8">
        <f>IF($O1372="Aktif",MAX(0,MIN($AE1372,$AD1372-SUM($AG1372:AT1372))),0)</f>
        <v>0</v>
      </c>
      <c r="AV1372" s="8">
        <f>IF($O1372="Aktif",MAX(0,MIN($AE1372,$AD1372-SUM($AG1372:AU1372))),0)</f>
        <v>0</v>
      </c>
      <c r="AW1372" s="8">
        <f t="shared" si="152"/>
        <v>0</v>
      </c>
      <c r="AX1372" s="8">
        <f t="shared" si="153"/>
        <v>0</v>
      </c>
    </row>
    <row r="1373" spans="1:50" ht="15" customHeight="1" x14ac:dyDescent="0.35">
      <c r="A1373" s="102">
        <v>1367</v>
      </c>
      <c r="B1373" s="102" t="s">
        <v>3714</v>
      </c>
      <c r="C1373" s="103">
        <v>26</v>
      </c>
      <c r="D1373" s="102" t="s">
        <v>186</v>
      </c>
      <c r="E1373" s="102" t="s">
        <v>479</v>
      </c>
      <c r="F1373" s="102" t="s">
        <v>3116</v>
      </c>
      <c r="G1373" s="102" t="s">
        <v>3117</v>
      </c>
      <c r="H1373" s="102" t="s">
        <v>3118</v>
      </c>
      <c r="I1373" s="102" t="s">
        <v>63</v>
      </c>
      <c r="J1373" s="102" t="s">
        <v>3753</v>
      </c>
      <c r="K1373" s="102"/>
      <c r="L1373" s="104">
        <v>42290</v>
      </c>
      <c r="M1373" s="102" t="s">
        <v>3754</v>
      </c>
      <c r="N1373" s="102" t="s">
        <v>3755</v>
      </c>
      <c r="O1373" s="102" t="s">
        <v>383</v>
      </c>
      <c r="P1373" s="103">
        <v>1</v>
      </c>
      <c r="Q1373" s="105">
        <v>2800000</v>
      </c>
      <c r="R1373" s="103">
        <v>48</v>
      </c>
      <c r="S1373" s="105">
        <v>2275000</v>
      </c>
      <c r="T1373" s="105">
        <v>2800000</v>
      </c>
      <c r="U1373" s="105">
        <v>0</v>
      </c>
      <c r="V1373" s="105">
        <v>0</v>
      </c>
      <c r="W1373" s="105">
        <v>0</v>
      </c>
      <c r="X1373" s="105">
        <v>0</v>
      </c>
      <c r="Y1373" s="105">
        <v>0</v>
      </c>
      <c r="Z1373" s="105">
        <v>0</v>
      </c>
      <c r="AA1373" s="105">
        <v>0</v>
      </c>
      <c r="AB1373" s="105">
        <v>0</v>
      </c>
      <c r="AC1373" s="8">
        <f t="shared" si="147"/>
        <v>2800000</v>
      </c>
      <c r="AD1373" s="8">
        <f t="shared" si="148"/>
        <v>0</v>
      </c>
      <c r="AE1373" s="8">
        <f t="shared" si="149"/>
        <v>0</v>
      </c>
      <c r="AF1373" s="106">
        <f t="shared" si="150"/>
        <v>0</v>
      </c>
      <c r="AG1373" s="8">
        <f t="shared" si="151"/>
        <v>0</v>
      </c>
      <c r="AH1373" s="8">
        <f>IF($O1373="Aktif",MAX(0,MIN($AE1373,$AD1373-SUM($AG1373:AG1373))),0)</f>
        <v>0</v>
      </c>
      <c r="AI1373" s="8">
        <f>IF($O1373="Aktif",MAX(0,MIN($AE1373,$AD1373-SUM($AG1373:AH1373))),0)</f>
        <v>0</v>
      </c>
      <c r="AJ1373" s="8">
        <f>IF($O1373="Aktif",MAX(0,MIN($AE1373,$AD1373-SUM($AG1373:AI1373))),0)</f>
        <v>0</v>
      </c>
      <c r="AK1373" s="8">
        <f>IF($O1373="Aktif",MAX(0,MIN($AE1373,$AD1373-SUM($AG1373:AJ1373))),0)</f>
        <v>0</v>
      </c>
      <c r="AL1373" s="8">
        <f>IF($O1373="Aktif",MAX(0,MIN($AE1373,$AD1373-SUM($AG1373:AK1373))),0)</f>
        <v>0</v>
      </c>
      <c r="AM1373" s="8">
        <f>IF($O1373="Aktif",MAX(0,MIN($AE1373,$AD1373-SUM($AG1373:AL1373))),0)</f>
        <v>0</v>
      </c>
      <c r="AN1373" s="8">
        <f>IF($O1373="Aktif",MAX(0,MIN($AE1373,$AD1373-SUM($AG1373:AM1373))),0)</f>
        <v>0</v>
      </c>
      <c r="AO1373" s="8">
        <f>IF($O1373="Aktif",MAX(0,MIN($AE1373,$AD1373-SUM($AG1373:AN1373))),0)</f>
        <v>0</v>
      </c>
      <c r="AP1373" s="8">
        <f>IF($O1373="Aktif",MAX(0,MIN($AE1373,$AD1373-SUM($AG1373:AO1373))),0)</f>
        <v>0</v>
      </c>
      <c r="AQ1373" s="8">
        <f>IF($O1373="Aktif",MAX(0,MIN($AE1373,$AD1373-SUM($AG1373:AP1373))),0)</f>
        <v>0</v>
      </c>
      <c r="AR1373" s="8">
        <f>IF($O1373="Aktif",MAX(0,MIN($AE1373,$AD1373-SUM($AG1373:AQ1373))),0)</f>
        <v>0</v>
      </c>
      <c r="AS1373" s="8">
        <f>IF($O1373="Aktif",MAX(0,MIN($AE1373,$AD1373-SUM($AG1373:AR1373))),0)</f>
        <v>0</v>
      </c>
      <c r="AT1373" s="8">
        <f>IF($O1373="Aktif",MAX(0,MIN($AE1373,$AD1373-SUM($AG1373:AS1373))),0)</f>
        <v>0</v>
      </c>
      <c r="AU1373" s="8">
        <f>IF($O1373="Aktif",MAX(0,MIN($AE1373,$AD1373-SUM($AG1373:AT1373))),0)</f>
        <v>0</v>
      </c>
      <c r="AV1373" s="8">
        <f>IF($O1373="Aktif",MAX(0,MIN($AE1373,$AD1373-SUM($AG1373:AU1373))),0)</f>
        <v>0</v>
      </c>
      <c r="AW1373" s="8">
        <f t="shared" si="152"/>
        <v>0</v>
      </c>
      <c r="AX1373" s="8">
        <f t="shared" si="153"/>
        <v>0</v>
      </c>
    </row>
    <row r="1374" spans="1:50" ht="15" customHeight="1" x14ac:dyDescent="0.35">
      <c r="A1374" s="102">
        <v>1368</v>
      </c>
      <c r="B1374" s="102" t="s">
        <v>3714</v>
      </c>
      <c r="C1374" s="103">
        <v>27</v>
      </c>
      <c r="D1374" s="102" t="s">
        <v>186</v>
      </c>
      <c r="E1374" s="102" t="s">
        <v>479</v>
      </c>
      <c r="F1374" s="102" t="s">
        <v>3116</v>
      </c>
      <c r="G1374" s="102" t="s">
        <v>3117</v>
      </c>
      <c r="H1374" s="102" t="s">
        <v>3118</v>
      </c>
      <c r="I1374" s="102" t="s">
        <v>63</v>
      </c>
      <c r="J1374" s="102" t="s">
        <v>3756</v>
      </c>
      <c r="K1374" s="102"/>
      <c r="L1374" s="104">
        <v>42308</v>
      </c>
      <c r="M1374" s="102" t="s">
        <v>3757</v>
      </c>
      <c r="N1374" s="102" t="s">
        <v>3758</v>
      </c>
      <c r="O1374" s="102" t="s">
        <v>383</v>
      </c>
      <c r="P1374" s="103">
        <v>1</v>
      </c>
      <c r="Q1374" s="105">
        <v>22500000</v>
      </c>
      <c r="R1374" s="103">
        <v>48</v>
      </c>
      <c r="S1374" s="105">
        <v>18281250</v>
      </c>
      <c r="T1374" s="105">
        <v>22500000</v>
      </c>
      <c r="U1374" s="105">
        <v>0</v>
      </c>
      <c r="V1374" s="105">
        <v>0</v>
      </c>
      <c r="W1374" s="105">
        <v>0</v>
      </c>
      <c r="X1374" s="105">
        <v>0</v>
      </c>
      <c r="Y1374" s="105">
        <v>0</v>
      </c>
      <c r="Z1374" s="105">
        <v>0</v>
      </c>
      <c r="AA1374" s="105">
        <v>0</v>
      </c>
      <c r="AB1374" s="105">
        <v>0</v>
      </c>
      <c r="AC1374" s="8">
        <f t="shared" si="147"/>
        <v>22500000</v>
      </c>
      <c r="AD1374" s="8">
        <f t="shared" si="148"/>
        <v>0</v>
      </c>
      <c r="AE1374" s="8">
        <f t="shared" si="149"/>
        <v>0</v>
      </c>
      <c r="AF1374" s="106">
        <f t="shared" si="150"/>
        <v>0</v>
      </c>
      <c r="AG1374" s="8">
        <f t="shared" si="151"/>
        <v>0</v>
      </c>
      <c r="AH1374" s="8">
        <f>IF($O1374="Aktif",MAX(0,MIN($AE1374,$AD1374-SUM($AG1374:AG1374))),0)</f>
        <v>0</v>
      </c>
      <c r="AI1374" s="8">
        <f>IF($O1374="Aktif",MAX(0,MIN($AE1374,$AD1374-SUM($AG1374:AH1374))),0)</f>
        <v>0</v>
      </c>
      <c r="AJ1374" s="8">
        <f>IF($O1374="Aktif",MAX(0,MIN($AE1374,$AD1374-SUM($AG1374:AI1374))),0)</f>
        <v>0</v>
      </c>
      <c r="AK1374" s="8">
        <f>IF($O1374="Aktif",MAX(0,MIN($AE1374,$AD1374-SUM($AG1374:AJ1374))),0)</f>
        <v>0</v>
      </c>
      <c r="AL1374" s="8">
        <f>IF($O1374="Aktif",MAX(0,MIN($AE1374,$AD1374-SUM($AG1374:AK1374))),0)</f>
        <v>0</v>
      </c>
      <c r="AM1374" s="8">
        <f>IF($O1374="Aktif",MAX(0,MIN($AE1374,$AD1374-SUM($AG1374:AL1374))),0)</f>
        <v>0</v>
      </c>
      <c r="AN1374" s="8">
        <f>IF($O1374="Aktif",MAX(0,MIN($AE1374,$AD1374-SUM($AG1374:AM1374))),0)</f>
        <v>0</v>
      </c>
      <c r="AO1374" s="8">
        <f>IF($O1374="Aktif",MAX(0,MIN($AE1374,$AD1374-SUM($AG1374:AN1374))),0)</f>
        <v>0</v>
      </c>
      <c r="AP1374" s="8">
        <f>IF($O1374="Aktif",MAX(0,MIN($AE1374,$AD1374-SUM($AG1374:AO1374))),0)</f>
        <v>0</v>
      </c>
      <c r="AQ1374" s="8">
        <f>IF($O1374="Aktif",MAX(0,MIN($AE1374,$AD1374-SUM($AG1374:AP1374))),0)</f>
        <v>0</v>
      </c>
      <c r="AR1374" s="8">
        <f>IF($O1374="Aktif",MAX(0,MIN($AE1374,$AD1374-SUM($AG1374:AQ1374))),0)</f>
        <v>0</v>
      </c>
      <c r="AS1374" s="8">
        <f>IF($O1374="Aktif",MAX(0,MIN($AE1374,$AD1374-SUM($AG1374:AR1374))),0)</f>
        <v>0</v>
      </c>
      <c r="AT1374" s="8">
        <f>IF($O1374="Aktif",MAX(0,MIN($AE1374,$AD1374-SUM($AG1374:AS1374))),0)</f>
        <v>0</v>
      </c>
      <c r="AU1374" s="8">
        <f>IF($O1374="Aktif",MAX(0,MIN($AE1374,$AD1374-SUM($AG1374:AT1374))),0)</f>
        <v>0</v>
      </c>
      <c r="AV1374" s="8">
        <f>IF($O1374="Aktif",MAX(0,MIN($AE1374,$AD1374-SUM($AG1374:AU1374))),0)</f>
        <v>0</v>
      </c>
      <c r="AW1374" s="8">
        <f t="shared" si="152"/>
        <v>0</v>
      </c>
      <c r="AX1374" s="8">
        <f t="shared" si="153"/>
        <v>0</v>
      </c>
    </row>
    <row r="1375" spans="1:50" ht="15" customHeight="1" x14ac:dyDescent="0.35">
      <c r="A1375" s="102">
        <v>1369</v>
      </c>
      <c r="B1375" s="102" t="s">
        <v>3714</v>
      </c>
      <c r="C1375" s="103">
        <v>28</v>
      </c>
      <c r="D1375" s="102" t="s">
        <v>186</v>
      </c>
      <c r="E1375" s="102" t="s">
        <v>479</v>
      </c>
      <c r="F1375" s="102" t="s">
        <v>3116</v>
      </c>
      <c r="G1375" s="102" t="s">
        <v>3117</v>
      </c>
      <c r="H1375" s="102" t="s">
        <v>3118</v>
      </c>
      <c r="I1375" s="102" t="s">
        <v>63</v>
      </c>
      <c r="J1375" s="102" t="s">
        <v>3759</v>
      </c>
      <c r="K1375" s="102"/>
      <c r="L1375" s="104">
        <v>42321</v>
      </c>
      <c r="M1375" s="102" t="s">
        <v>3760</v>
      </c>
      <c r="N1375" s="102" t="s">
        <v>3761</v>
      </c>
      <c r="O1375" s="102" t="s">
        <v>383</v>
      </c>
      <c r="P1375" s="103">
        <v>1</v>
      </c>
      <c r="Q1375" s="105">
        <v>4000000</v>
      </c>
      <c r="R1375" s="103">
        <v>48</v>
      </c>
      <c r="S1375" s="105">
        <v>3166666.6666666698</v>
      </c>
      <c r="T1375" s="105">
        <v>4000000</v>
      </c>
      <c r="U1375" s="105">
        <v>0</v>
      </c>
      <c r="V1375" s="105">
        <v>0</v>
      </c>
      <c r="W1375" s="105">
        <v>0</v>
      </c>
      <c r="X1375" s="105">
        <v>0</v>
      </c>
      <c r="Y1375" s="105">
        <v>0</v>
      </c>
      <c r="Z1375" s="105">
        <v>0</v>
      </c>
      <c r="AA1375" s="105">
        <v>0</v>
      </c>
      <c r="AB1375" s="105">
        <v>0</v>
      </c>
      <c r="AC1375" s="8">
        <f t="shared" si="147"/>
        <v>4000000</v>
      </c>
      <c r="AD1375" s="8">
        <f t="shared" si="148"/>
        <v>0</v>
      </c>
      <c r="AE1375" s="8">
        <f t="shared" si="149"/>
        <v>0</v>
      </c>
      <c r="AF1375" s="106">
        <f t="shared" si="150"/>
        <v>0</v>
      </c>
      <c r="AG1375" s="8">
        <f t="shared" si="151"/>
        <v>0</v>
      </c>
      <c r="AH1375" s="8">
        <f>IF($O1375="Aktif",MAX(0,MIN($AE1375,$AD1375-SUM($AG1375:AG1375))),0)</f>
        <v>0</v>
      </c>
      <c r="AI1375" s="8">
        <f>IF($O1375="Aktif",MAX(0,MIN($AE1375,$AD1375-SUM($AG1375:AH1375))),0)</f>
        <v>0</v>
      </c>
      <c r="AJ1375" s="8">
        <f>IF($O1375="Aktif",MAX(0,MIN($AE1375,$AD1375-SUM($AG1375:AI1375))),0)</f>
        <v>0</v>
      </c>
      <c r="AK1375" s="8">
        <f>IF($O1375="Aktif",MAX(0,MIN($AE1375,$AD1375-SUM($AG1375:AJ1375))),0)</f>
        <v>0</v>
      </c>
      <c r="AL1375" s="8">
        <f>IF($O1375="Aktif",MAX(0,MIN($AE1375,$AD1375-SUM($AG1375:AK1375))),0)</f>
        <v>0</v>
      </c>
      <c r="AM1375" s="8">
        <f>IF($O1375="Aktif",MAX(0,MIN($AE1375,$AD1375-SUM($AG1375:AL1375))),0)</f>
        <v>0</v>
      </c>
      <c r="AN1375" s="8">
        <f>IF($O1375="Aktif",MAX(0,MIN($AE1375,$AD1375-SUM($AG1375:AM1375))),0)</f>
        <v>0</v>
      </c>
      <c r="AO1375" s="8">
        <f>IF($O1375="Aktif",MAX(0,MIN($AE1375,$AD1375-SUM($AG1375:AN1375))),0)</f>
        <v>0</v>
      </c>
      <c r="AP1375" s="8">
        <f>IF($O1375="Aktif",MAX(0,MIN($AE1375,$AD1375-SUM($AG1375:AO1375))),0)</f>
        <v>0</v>
      </c>
      <c r="AQ1375" s="8">
        <f>IF($O1375="Aktif",MAX(0,MIN($AE1375,$AD1375-SUM($AG1375:AP1375))),0)</f>
        <v>0</v>
      </c>
      <c r="AR1375" s="8">
        <f>IF($O1375="Aktif",MAX(0,MIN($AE1375,$AD1375-SUM($AG1375:AQ1375))),0)</f>
        <v>0</v>
      </c>
      <c r="AS1375" s="8">
        <f>IF($O1375="Aktif",MAX(0,MIN($AE1375,$AD1375-SUM($AG1375:AR1375))),0)</f>
        <v>0</v>
      </c>
      <c r="AT1375" s="8">
        <f>IF($O1375="Aktif",MAX(0,MIN($AE1375,$AD1375-SUM($AG1375:AS1375))),0)</f>
        <v>0</v>
      </c>
      <c r="AU1375" s="8">
        <f>IF($O1375="Aktif",MAX(0,MIN($AE1375,$AD1375-SUM($AG1375:AT1375))),0)</f>
        <v>0</v>
      </c>
      <c r="AV1375" s="8">
        <f>IF($O1375="Aktif",MAX(0,MIN($AE1375,$AD1375-SUM($AG1375:AU1375))),0)</f>
        <v>0</v>
      </c>
      <c r="AW1375" s="8">
        <f t="shared" si="152"/>
        <v>0</v>
      </c>
      <c r="AX1375" s="8">
        <f t="shared" si="153"/>
        <v>0</v>
      </c>
    </row>
    <row r="1376" spans="1:50" ht="15" customHeight="1" x14ac:dyDescent="0.35">
      <c r="A1376" s="102">
        <v>1370</v>
      </c>
      <c r="B1376" s="102" t="s">
        <v>3714</v>
      </c>
      <c r="C1376" s="103">
        <v>29</v>
      </c>
      <c r="D1376" s="102" t="s">
        <v>186</v>
      </c>
      <c r="E1376" s="102" t="s">
        <v>479</v>
      </c>
      <c r="F1376" s="102" t="s">
        <v>3116</v>
      </c>
      <c r="G1376" s="102" t="s">
        <v>3117</v>
      </c>
      <c r="H1376" s="102" t="s">
        <v>3118</v>
      </c>
      <c r="I1376" s="102" t="s">
        <v>63</v>
      </c>
      <c r="J1376" s="102" t="s">
        <v>3762</v>
      </c>
      <c r="K1376" s="102"/>
      <c r="L1376" s="104">
        <v>42338</v>
      </c>
      <c r="M1376" s="102" t="s">
        <v>3763</v>
      </c>
      <c r="N1376" s="102" t="s">
        <v>3764</v>
      </c>
      <c r="O1376" s="102" t="s">
        <v>383</v>
      </c>
      <c r="P1376" s="103">
        <v>1</v>
      </c>
      <c r="Q1376" s="105">
        <v>2750000</v>
      </c>
      <c r="R1376" s="103">
        <v>48</v>
      </c>
      <c r="S1376" s="105">
        <v>2177083.3333333302</v>
      </c>
      <c r="T1376" s="105">
        <v>2750000</v>
      </c>
      <c r="U1376" s="105">
        <v>0</v>
      </c>
      <c r="V1376" s="105">
        <v>0</v>
      </c>
      <c r="W1376" s="105">
        <v>0</v>
      </c>
      <c r="X1376" s="105">
        <v>0</v>
      </c>
      <c r="Y1376" s="105">
        <v>0</v>
      </c>
      <c r="Z1376" s="105">
        <v>0</v>
      </c>
      <c r="AA1376" s="105">
        <v>0</v>
      </c>
      <c r="AB1376" s="105">
        <v>0</v>
      </c>
      <c r="AC1376" s="8">
        <f t="shared" si="147"/>
        <v>2750000</v>
      </c>
      <c r="AD1376" s="8">
        <f t="shared" si="148"/>
        <v>0</v>
      </c>
      <c r="AE1376" s="8">
        <f t="shared" si="149"/>
        <v>0</v>
      </c>
      <c r="AF1376" s="106">
        <f t="shared" si="150"/>
        <v>0</v>
      </c>
      <c r="AG1376" s="8">
        <f t="shared" si="151"/>
        <v>0</v>
      </c>
      <c r="AH1376" s="8">
        <f>IF($O1376="Aktif",MAX(0,MIN($AE1376,$AD1376-SUM($AG1376:AG1376))),0)</f>
        <v>0</v>
      </c>
      <c r="AI1376" s="8">
        <f>IF($O1376="Aktif",MAX(0,MIN($AE1376,$AD1376-SUM($AG1376:AH1376))),0)</f>
        <v>0</v>
      </c>
      <c r="AJ1376" s="8">
        <f>IF($O1376="Aktif",MAX(0,MIN($AE1376,$AD1376-SUM($AG1376:AI1376))),0)</f>
        <v>0</v>
      </c>
      <c r="AK1376" s="8">
        <f>IF($O1376="Aktif",MAX(0,MIN($AE1376,$AD1376-SUM($AG1376:AJ1376))),0)</f>
        <v>0</v>
      </c>
      <c r="AL1376" s="8">
        <f>IF($O1376="Aktif",MAX(0,MIN($AE1376,$AD1376-SUM($AG1376:AK1376))),0)</f>
        <v>0</v>
      </c>
      <c r="AM1376" s="8">
        <f>IF($O1376="Aktif",MAX(0,MIN($AE1376,$AD1376-SUM($AG1376:AL1376))),0)</f>
        <v>0</v>
      </c>
      <c r="AN1376" s="8">
        <f>IF($O1376="Aktif",MAX(0,MIN($AE1376,$AD1376-SUM($AG1376:AM1376))),0)</f>
        <v>0</v>
      </c>
      <c r="AO1376" s="8">
        <f>IF($O1376="Aktif",MAX(0,MIN($AE1376,$AD1376-SUM($AG1376:AN1376))),0)</f>
        <v>0</v>
      </c>
      <c r="AP1376" s="8">
        <f>IF($O1376="Aktif",MAX(0,MIN($AE1376,$AD1376-SUM($AG1376:AO1376))),0)</f>
        <v>0</v>
      </c>
      <c r="AQ1376" s="8">
        <f>IF($O1376="Aktif",MAX(0,MIN($AE1376,$AD1376-SUM($AG1376:AP1376))),0)</f>
        <v>0</v>
      </c>
      <c r="AR1376" s="8">
        <f>IF($O1376="Aktif",MAX(0,MIN($AE1376,$AD1376-SUM($AG1376:AQ1376))),0)</f>
        <v>0</v>
      </c>
      <c r="AS1376" s="8">
        <f>IF($O1376="Aktif",MAX(0,MIN($AE1376,$AD1376-SUM($AG1376:AR1376))),0)</f>
        <v>0</v>
      </c>
      <c r="AT1376" s="8">
        <f>IF($O1376="Aktif",MAX(0,MIN($AE1376,$AD1376-SUM($AG1376:AS1376))),0)</f>
        <v>0</v>
      </c>
      <c r="AU1376" s="8">
        <f>IF($O1376="Aktif",MAX(0,MIN($AE1376,$AD1376-SUM($AG1376:AT1376))),0)</f>
        <v>0</v>
      </c>
      <c r="AV1376" s="8">
        <f>IF($O1376="Aktif",MAX(0,MIN($AE1376,$AD1376-SUM($AG1376:AU1376))),0)</f>
        <v>0</v>
      </c>
      <c r="AW1376" s="8">
        <f t="shared" si="152"/>
        <v>0</v>
      </c>
      <c r="AX1376" s="8">
        <f t="shared" si="153"/>
        <v>0</v>
      </c>
    </row>
    <row r="1377" spans="1:50" ht="15" customHeight="1" x14ac:dyDescent="0.35">
      <c r="A1377" s="102">
        <v>1371</v>
      </c>
      <c r="B1377" s="102" t="s">
        <v>3714</v>
      </c>
      <c r="C1377" s="103">
        <v>30</v>
      </c>
      <c r="D1377" s="102" t="s">
        <v>186</v>
      </c>
      <c r="E1377" s="102" t="s">
        <v>479</v>
      </c>
      <c r="F1377" s="102" t="s">
        <v>3116</v>
      </c>
      <c r="G1377" s="102" t="s">
        <v>3117</v>
      </c>
      <c r="H1377" s="102" t="s">
        <v>3118</v>
      </c>
      <c r="I1377" s="102" t="s">
        <v>63</v>
      </c>
      <c r="J1377" s="102" t="s">
        <v>3765</v>
      </c>
      <c r="K1377" s="102"/>
      <c r="L1377" s="104">
        <v>42338</v>
      </c>
      <c r="M1377" s="102" t="s">
        <v>3766</v>
      </c>
      <c r="N1377" s="102" t="s">
        <v>3767</v>
      </c>
      <c r="O1377" s="102" t="s">
        <v>383</v>
      </c>
      <c r="P1377" s="103">
        <v>1</v>
      </c>
      <c r="Q1377" s="105">
        <v>24750000</v>
      </c>
      <c r="R1377" s="103">
        <v>48</v>
      </c>
      <c r="S1377" s="105">
        <v>19593750</v>
      </c>
      <c r="T1377" s="105">
        <v>24750000</v>
      </c>
      <c r="U1377" s="105">
        <v>0</v>
      </c>
      <c r="V1377" s="105">
        <v>0</v>
      </c>
      <c r="W1377" s="105">
        <v>0</v>
      </c>
      <c r="X1377" s="105">
        <v>0</v>
      </c>
      <c r="Y1377" s="105">
        <v>0</v>
      </c>
      <c r="Z1377" s="105">
        <v>0</v>
      </c>
      <c r="AA1377" s="105">
        <v>0</v>
      </c>
      <c r="AB1377" s="105">
        <v>0</v>
      </c>
      <c r="AC1377" s="8">
        <f t="shared" si="147"/>
        <v>24750000</v>
      </c>
      <c r="AD1377" s="8">
        <f t="shared" si="148"/>
        <v>0</v>
      </c>
      <c r="AE1377" s="8">
        <f t="shared" si="149"/>
        <v>0</v>
      </c>
      <c r="AF1377" s="106">
        <f t="shared" si="150"/>
        <v>0</v>
      </c>
      <c r="AG1377" s="8">
        <f t="shared" si="151"/>
        <v>0</v>
      </c>
      <c r="AH1377" s="8">
        <f>IF($O1377="Aktif",MAX(0,MIN($AE1377,$AD1377-SUM($AG1377:AG1377))),0)</f>
        <v>0</v>
      </c>
      <c r="AI1377" s="8">
        <f>IF($O1377="Aktif",MAX(0,MIN($AE1377,$AD1377-SUM($AG1377:AH1377))),0)</f>
        <v>0</v>
      </c>
      <c r="AJ1377" s="8">
        <f>IF($O1377="Aktif",MAX(0,MIN($AE1377,$AD1377-SUM($AG1377:AI1377))),0)</f>
        <v>0</v>
      </c>
      <c r="AK1377" s="8">
        <f>IF($O1377="Aktif",MAX(0,MIN($AE1377,$AD1377-SUM($AG1377:AJ1377))),0)</f>
        <v>0</v>
      </c>
      <c r="AL1377" s="8">
        <f>IF($O1377="Aktif",MAX(0,MIN($AE1377,$AD1377-SUM($AG1377:AK1377))),0)</f>
        <v>0</v>
      </c>
      <c r="AM1377" s="8">
        <f>IF($O1377="Aktif",MAX(0,MIN($AE1377,$AD1377-SUM($AG1377:AL1377))),0)</f>
        <v>0</v>
      </c>
      <c r="AN1377" s="8">
        <f>IF($O1377="Aktif",MAX(0,MIN($AE1377,$AD1377-SUM($AG1377:AM1377))),0)</f>
        <v>0</v>
      </c>
      <c r="AO1377" s="8">
        <f>IF($O1377="Aktif",MAX(0,MIN($AE1377,$AD1377-SUM($AG1377:AN1377))),0)</f>
        <v>0</v>
      </c>
      <c r="AP1377" s="8">
        <f>IF($O1377="Aktif",MAX(0,MIN($AE1377,$AD1377-SUM($AG1377:AO1377))),0)</f>
        <v>0</v>
      </c>
      <c r="AQ1377" s="8">
        <f>IF($O1377="Aktif",MAX(0,MIN($AE1377,$AD1377-SUM($AG1377:AP1377))),0)</f>
        <v>0</v>
      </c>
      <c r="AR1377" s="8">
        <f>IF($O1377="Aktif",MAX(0,MIN($AE1377,$AD1377-SUM($AG1377:AQ1377))),0)</f>
        <v>0</v>
      </c>
      <c r="AS1377" s="8">
        <f>IF($O1377="Aktif",MAX(0,MIN($AE1377,$AD1377-SUM($AG1377:AR1377))),0)</f>
        <v>0</v>
      </c>
      <c r="AT1377" s="8">
        <f>IF($O1377="Aktif",MAX(0,MIN($AE1377,$AD1377-SUM($AG1377:AS1377))),0)</f>
        <v>0</v>
      </c>
      <c r="AU1377" s="8">
        <f>IF($O1377="Aktif",MAX(0,MIN($AE1377,$AD1377-SUM($AG1377:AT1377))),0)</f>
        <v>0</v>
      </c>
      <c r="AV1377" s="8">
        <f>IF($O1377="Aktif",MAX(0,MIN($AE1377,$AD1377-SUM($AG1377:AU1377))),0)</f>
        <v>0</v>
      </c>
      <c r="AW1377" s="8">
        <f t="shared" si="152"/>
        <v>0</v>
      </c>
      <c r="AX1377" s="8">
        <f t="shared" si="153"/>
        <v>0</v>
      </c>
    </row>
    <row r="1378" spans="1:50" ht="15" customHeight="1" x14ac:dyDescent="0.35">
      <c r="A1378" s="102">
        <v>1372</v>
      </c>
      <c r="B1378" s="102" t="s">
        <v>3714</v>
      </c>
      <c r="C1378" s="103">
        <v>31</v>
      </c>
      <c r="D1378" s="102" t="s">
        <v>186</v>
      </c>
      <c r="E1378" s="102" t="s">
        <v>479</v>
      </c>
      <c r="F1378" s="102" t="s">
        <v>3116</v>
      </c>
      <c r="G1378" s="102" t="s">
        <v>3117</v>
      </c>
      <c r="H1378" s="102" t="s">
        <v>3118</v>
      </c>
      <c r="I1378" s="102" t="s">
        <v>63</v>
      </c>
      <c r="J1378" s="102" t="s">
        <v>3768</v>
      </c>
      <c r="K1378" s="102"/>
      <c r="L1378" s="104">
        <v>42338</v>
      </c>
      <c r="M1378" s="102" t="s">
        <v>3769</v>
      </c>
      <c r="N1378" s="102" t="s">
        <v>3770</v>
      </c>
      <c r="O1378" s="102" t="s">
        <v>383</v>
      </c>
      <c r="P1378" s="103">
        <v>1</v>
      </c>
      <c r="Q1378" s="105">
        <v>24000000</v>
      </c>
      <c r="R1378" s="103">
        <v>48</v>
      </c>
      <c r="S1378" s="105">
        <v>19000000</v>
      </c>
      <c r="T1378" s="105">
        <v>24000000</v>
      </c>
      <c r="U1378" s="105">
        <v>0</v>
      </c>
      <c r="V1378" s="105">
        <v>0</v>
      </c>
      <c r="W1378" s="105">
        <v>0</v>
      </c>
      <c r="X1378" s="105">
        <v>0</v>
      </c>
      <c r="Y1378" s="105">
        <v>0</v>
      </c>
      <c r="Z1378" s="105">
        <v>0</v>
      </c>
      <c r="AA1378" s="105">
        <v>0</v>
      </c>
      <c r="AB1378" s="105">
        <v>0</v>
      </c>
      <c r="AC1378" s="8">
        <f t="shared" si="147"/>
        <v>24000000</v>
      </c>
      <c r="AD1378" s="8">
        <f t="shared" si="148"/>
        <v>0</v>
      </c>
      <c r="AE1378" s="8">
        <f t="shared" si="149"/>
        <v>0</v>
      </c>
      <c r="AF1378" s="106">
        <f t="shared" si="150"/>
        <v>0</v>
      </c>
      <c r="AG1378" s="8">
        <f t="shared" si="151"/>
        <v>0</v>
      </c>
      <c r="AH1378" s="8">
        <f>IF($O1378="Aktif",MAX(0,MIN($AE1378,$AD1378-SUM($AG1378:AG1378))),0)</f>
        <v>0</v>
      </c>
      <c r="AI1378" s="8">
        <f>IF($O1378="Aktif",MAX(0,MIN($AE1378,$AD1378-SUM($AG1378:AH1378))),0)</f>
        <v>0</v>
      </c>
      <c r="AJ1378" s="8">
        <f>IF($O1378="Aktif",MAX(0,MIN($AE1378,$AD1378-SUM($AG1378:AI1378))),0)</f>
        <v>0</v>
      </c>
      <c r="AK1378" s="8">
        <f>IF($O1378="Aktif",MAX(0,MIN($AE1378,$AD1378-SUM($AG1378:AJ1378))),0)</f>
        <v>0</v>
      </c>
      <c r="AL1378" s="8">
        <f>IF($O1378="Aktif",MAX(0,MIN($AE1378,$AD1378-SUM($AG1378:AK1378))),0)</f>
        <v>0</v>
      </c>
      <c r="AM1378" s="8">
        <f>IF($O1378="Aktif",MAX(0,MIN($AE1378,$AD1378-SUM($AG1378:AL1378))),0)</f>
        <v>0</v>
      </c>
      <c r="AN1378" s="8">
        <f>IF($O1378="Aktif",MAX(0,MIN($AE1378,$AD1378-SUM($AG1378:AM1378))),0)</f>
        <v>0</v>
      </c>
      <c r="AO1378" s="8">
        <f>IF($O1378="Aktif",MAX(0,MIN($AE1378,$AD1378-SUM($AG1378:AN1378))),0)</f>
        <v>0</v>
      </c>
      <c r="AP1378" s="8">
        <f>IF($O1378="Aktif",MAX(0,MIN($AE1378,$AD1378-SUM($AG1378:AO1378))),0)</f>
        <v>0</v>
      </c>
      <c r="AQ1378" s="8">
        <f>IF($O1378="Aktif",MAX(0,MIN($AE1378,$AD1378-SUM($AG1378:AP1378))),0)</f>
        <v>0</v>
      </c>
      <c r="AR1378" s="8">
        <f>IF($O1378="Aktif",MAX(0,MIN($AE1378,$AD1378-SUM($AG1378:AQ1378))),0)</f>
        <v>0</v>
      </c>
      <c r="AS1378" s="8">
        <f>IF($O1378="Aktif",MAX(0,MIN($AE1378,$AD1378-SUM($AG1378:AR1378))),0)</f>
        <v>0</v>
      </c>
      <c r="AT1378" s="8">
        <f>IF($O1378="Aktif",MAX(0,MIN($AE1378,$AD1378-SUM($AG1378:AS1378))),0)</f>
        <v>0</v>
      </c>
      <c r="AU1378" s="8">
        <f>IF($O1378="Aktif",MAX(0,MIN($AE1378,$AD1378-SUM($AG1378:AT1378))),0)</f>
        <v>0</v>
      </c>
      <c r="AV1378" s="8">
        <f>IF($O1378="Aktif",MAX(0,MIN($AE1378,$AD1378-SUM($AG1378:AU1378))),0)</f>
        <v>0</v>
      </c>
      <c r="AW1378" s="8">
        <f t="shared" si="152"/>
        <v>0</v>
      </c>
      <c r="AX1378" s="8">
        <f t="shared" si="153"/>
        <v>0</v>
      </c>
    </row>
    <row r="1379" spans="1:50" ht="15" customHeight="1" x14ac:dyDescent="0.35">
      <c r="A1379" s="102">
        <v>1373</v>
      </c>
      <c r="B1379" s="102" t="s">
        <v>3714</v>
      </c>
      <c r="C1379" s="103">
        <v>32</v>
      </c>
      <c r="D1379" s="102" t="s">
        <v>186</v>
      </c>
      <c r="E1379" s="102" t="s">
        <v>479</v>
      </c>
      <c r="F1379" s="102" t="s">
        <v>3116</v>
      </c>
      <c r="G1379" s="102" t="s">
        <v>3117</v>
      </c>
      <c r="H1379" s="102" t="s">
        <v>3118</v>
      </c>
      <c r="I1379" s="102" t="s">
        <v>63</v>
      </c>
      <c r="J1379" s="102" t="s">
        <v>3771</v>
      </c>
      <c r="K1379" s="102"/>
      <c r="L1379" s="104">
        <v>42338</v>
      </c>
      <c r="M1379" s="102" t="s">
        <v>3772</v>
      </c>
      <c r="N1379" s="102" t="s">
        <v>3773</v>
      </c>
      <c r="O1379" s="102" t="s">
        <v>383</v>
      </c>
      <c r="P1379" s="103">
        <v>1</v>
      </c>
      <c r="Q1379" s="105">
        <v>5250000</v>
      </c>
      <c r="R1379" s="103">
        <v>48</v>
      </c>
      <c r="S1379" s="105">
        <v>4156250</v>
      </c>
      <c r="T1379" s="105">
        <v>5250000</v>
      </c>
      <c r="U1379" s="105">
        <v>0</v>
      </c>
      <c r="V1379" s="105">
        <v>0</v>
      </c>
      <c r="W1379" s="105">
        <v>0</v>
      </c>
      <c r="X1379" s="105">
        <v>0</v>
      </c>
      <c r="Y1379" s="105">
        <v>0</v>
      </c>
      <c r="Z1379" s="105">
        <v>0</v>
      </c>
      <c r="AA1379" s="105">
        <v>0</v>
      </c>
      <c r="AB1379" s="105">
        <v>0</v>
      </c>
      <c r="AC1379" s="8">
        <f t="shared" si="147"/>
        <v>5250000</v>
      </c>
      <c r="AD1379" s="8">
        <f t="shared" si="148"/>
        <v>0</v>
      </c>
      <c r="AE1379" s="8">
        <f t="shared" si="149"/>
        <v>0</v>
      </c>
      <c r="AF1379" s="106">
        <f t="shared" si="150"/>
        <v>0</v>
      </c>
      <c r="AG1379" s="8">
        <f t="shared" si="151"/>
        <v>0</v>
      </c>
      <c r="AH1379" s="8">
        <f>IF($O1379="Aktif",MAX(0,MIN($AE1379,$AD1379-SUM($AG1379:AG1379))),0)</f>
        <v>0</v>
      </c>
      <c r="AI1379" s="8">
        <f>IF($O1379="Aktif",MAX(0,MIN($AE1379,$AD1379-SUM($AG1379:AH1379))),0)</f>
        <v>0</v>
      </c>
      <c r="AJ1379" s="8">
        <f>IF($O1379="Aktif",MAX(0,MIN($AE1379,$AD1379-SUM($AG1379:AI1379))),0)</f>
        <v>0</v>
      </c>
      <c r="AK1379" s="8">
        <f>IF($O1379="Aktif",MAX(0,MIN($AE1379,$AD1379-SUM($AG1379:AJ1379))),0)</f>
        <v>0</v>
      </c>
      <c r="AL1379" s="8">
        <f>IF($O1379="Aktif",MAX(0,MIN($AE1379,$AD1379-SUM($AG1379:AK1379))),0)</f>
        <v>0</v>
      </c>
      <c r="AM1379" s="8">
        <f>IF($O1379="Aktif",MAX(0,MIN($AE1379,$AD1379-SUM($AG1379:AL1379))),0)</f>
        <v>0</v>
      </c>
      <c r="AN1379" s="8">
        <f>IF($O1379="Aktif",MAX(0,MIN($AE1379,$AD1379-SUM($AG1379:AM1379))),0)</f>
        <v>0</v>
      </c>
      <c r="AO1379" s="8">
        <f>IF($O1379="Aktif",MAX(0,MIN($AE1379,$AD1379-SUM($AG1379:AN1379))),0)</f>
        <v>0</v>
      </c>
      <c r="AP1379" s="8">
        <f>IF($O1379="Aktif",MAX(0,MIN($AE1379,$AD1379-SUM($AG1379:AO1379))),0)</f>
        <v>0</v>
      </c>
      <c r="AQ1379" s="8">
        <f>IF($O1379="Aktif",MAX(0,MIN($AE1379,$AD1379-SUM($AG1379:AP1379))),0)</f>
        <v>0</v>
      </c>
      <c r="AR1379" s="8">
        <f>IF($O1379="Aktif",MAX(0,MIN($AE1379,$AD1379-SUM($AG1379:AQ1379))),0)</f>
        <v>0</v>
      </c>
      <c r="AS1379" s="8">
        <f>IF($O1379="Aktif",MAX(0,MIN($AE1379,$AD1379-SUM($AG1379:AR1379))),0)</f>
        <v>0</v>
      </c>
      <c r="AT1379" s="8">
        <f>IF($O1379="Aktif",MAX(0,MIN($AE1379,$AD1379-SUM($AG1379:AS1379))),0)</f>
        <v>0</v>
      </c>
      <c r="AU1379" s="8">
        <f>IF($O1379="Aktif",MAX(0,MIN($AE1379,$AD1379-SUM($AG1379:AT1379))),0)</f>
        <v>0</v>
      </c>
      <c r="AV1379" s="8">
        <f>IF($O1379="Aktif",MAX(0,MIN($AE1379,$AD1379-SUM($AG1379:AU1379))),0)</f>
        <v>0</v>
      </c>
      <c r="AW1379" s="8">
        <f t="shared" si="152"/>
        <v>0</v>
      </c>
      <c r="AX1379" s="8">
        <f t="shared" si="153"/>
        <v>0</v>
      </c>
    </row>
    <row r="1380" spans="1:50" ht="15" customHeight="1" x14ac:dyDescent="0.35">
      <c r="A1380" s="102">
        <v>1374</v>
      </c>
      <c r="B1380" s="102" t="s">
        <v>3714</v>
      </c>
      <c r="C1380" s="103">
        <v>33</v>
      </c>
      <c r="D1380" s="102" t="s">
        <v>186</v>
      </c>
      <c r="E1380" s="102" t="s">
        <v>479</v>
      </c>
      <c r="F1380" s="102" t="s">
        <v>3116</v>
      </c>
      <c r="G1380" s="102" t="s">
        <v>3117</v>
      </c>
      <c r="H1380" s="102" t="s">
        <v>3118</v>
      </c>
      <c r="I1380" s="102" t="s">
        <v>63</v>
      </c>
      <c r="J1380" s="102" t="s">
        <v>3774</v>
      </c>
      <c r="K1380" s="102"/>
      <c r="L1380" s="104">
        <v>42338</v>
      </c>
      <c r="M1380" s="102" t="s">
        <v>3775</v>
      </c>
      <c r="N1380" s="102" t="s">
        <v>3776</v>
      </c>
      <c r="O1380" s="102" t="s">
        <v>383</v>
      </c>
      <c r="P1380" s="103">
        <v>1</v>
      </c>
      <c r="Q1380" s="105">
        <v>10000000</v>
      </c>
      <c r="R1380" s="103">
        <v>48</v>
      </c>
      <c r="S1380" s="105">
        <v>7916666.6666666698</v>
      </c>
      <c r="T1380" s="105">
        <v>10000000</v>
      </c>
      <c r="U1380" s="105">
        <v>0</v>
      </c>
      <c r="V1380" s="105">
        <v>0</v>
      </c>
      <c r="W1380" s="105">
        <v>0</v>
      </c>
      <c r="X1380" s="105">
        <v>0</v>
      </c>
      <c r="Y1380" s="105">
        <v>0</v>
      </c>
      <c r="Z1380" s="105">
        <v>0</v>
      </c>
      <c r="AA1380" s="105">
        <v>0</v>
      </c>
      <c r="AB1380" s="105">
        <v>0</v>
      </c>
      <c r="AC1380" s="8">
        <f t="shared" si="147"/>
        <v>10000000</v>
      </c>
      <c r="AD1380" s="8">
        <f t="shared" si="148"/>
        <v>0</v>
      </c>
      <c r="AE1380" s="8">
        <f t="shared" si="149"/>
        <v>0</v>
      </c>
      <c r="AF1380" s="106">
        <f t="shared" si="150"/>
        <v>0</v>
      </c>
      <c r="AG1380" s="8">
        <f t="shared" si="151"/>
        <v>0</v>
      </c>
      <c r="AH1380" s="8">
        <f>IF($O1380="Aktif",MAX(0,MIN($AE1380,$AD1380-SUM($AG1380:AG1380))),0)</f>
        <v>0</v>
      </c>
      <c r="AI1380" s="8">
        <f>IF($O1380="Aktif",MAX(0,MIN($AE1380,$AD1380-SUM($AG1380:AH1380))),0)</f>
        <v>0</v>
      </c>
      <c r="AJ1380" s="8">
        <f>IF($O1380="Aktif",MAX(0,MIN($AE1380,$AD1380-SUM($AG1380:AI1380))),0)</f>
        <v>0</v>
      </c>
      <c r="AK1380" s="8">
        <f>IF($O1380="Aktif",MAX(0,MIN($AE1380,$AD1380-SUM($AG1380:AJ1380))),0)</f>
        <v>0</v>
      </c>
      <c r="AL1380" s="8">
        <f>IF($O1380="Aktif",MAX(0,MIN($AE1380,$AD1380-SUM($AG1380:AK1380))),0)</f>
        <v>0</v>
      </c>
      <c r="AM1380" s="8">
        <f>IF($O1380="Aktif",MAX(0,MIN($AE1380,$AD1380-SUM($AG1380:AL1380))),0)</f>
        <v>0</v>
      </c>
      <c r="AN1380" s="8">
        <f>IF($O1380="Aktif",MAX(0,MIN($AE1380,$AD1380-SUM($AG1380:AM1380))),0)</f>
        <v>0</v>
      </c>
      <c r="AO1380" s="8">
        <f>IF($O1380="Aktif",MAX(0,MIN($AE1380,$AD1380-SUM($AG1380:AN1380))),0)</f>
        <v>0</v>
      </c>
      <c r="AP1380" s="8">
        <f>IF($O1380="Aktif",MAX(0,MIN($AE1380,$AD1380-SUM($AG1380:AO1380))),0)</f>
        <v>0</v>
      </c>
      <c r="AQ1380" s="8">
        <f>IF($O1380="Aktif",MAX(0,MIN($AE1380,$AD1380-SUM($AG1380:AP1380))),0)</f>
        <v>0</v>
      </c>
      <c r="AR1380" s="8">
        <f>IF($O1380="Aktif",MAX(0,MIN($AE1380,$AD1380-SUM($AG1380:AQ1380))),0)</f>
        <v>0</v>
      </c>
      <c r="AS1380" s="8">
        <f>IF($O1380="Aktif",MAX(0,MIN($AE1380,$AD1380-SUM($AG1380:AR1380))),0)</f>
        <v>0</v>
      </c>
      <c r="AT1380" s="8">
        <f>IF($O1380="Aktif",MAX(0,MIN($AE1380,$AD1380-SUM($AG1380:AS1380))),0)</f>
        <v>0</v>
      </c>
      <c r="AU1380" s="8">
        <f>IF($O1380="Aktif",MAX(0,MIN($AE1380,$AD1380-SUM($AG1380:AT1380))),0)</f>
        <v>0</v>
      </c>
      <c r="AV1380" s="8">
        <f>IF($O1380="Aktif",MAX(0,MIN($AE1380,$AD1380-SUM($AG1380:AU1380))),0)</f>
        <v>0</v>
      </c>
      <c r="AW1380" s="8">
        <f t="shared" si="152"/>
        <v>0</v>
      </c>
      <c r="AX1380" s="8">
        <f t="shared" si="153"/>
        <v>0</v>
      </c>
    </row>
    <row r="1381" spans="1:50" ht="15" customHeight="1" x14ac:dyDescent="0.35">
      <c r="A1381" s="102">
        <v>1375</v>
      </c>
      <c r="B1381" s="102" t="s">
        <v>3714</v>
      </c>
      <c r="C1381" s="103">
        <v>34</v>
      </c>
      <c r="D1381" s="102" t="s">
        <v>186</v>
      </c>
      <c r="E1381" s="102" t="s">
        <v>479</v>
      </c>
      <c r="F1381" s="102" t="s">
        <v>3116</v>
      </c>
      <c r="G1381" s="102" t="s">
        <v>3117</v>
      </c>
      <c r="H1381" s="102" t="s">
        <v>3118</v>
      </c>
      <c r="I1381" s="102" t="s">
        <v>63</v>
      </c>
      <c r="J1381" s="102" t="s">
        <v>3777</v>
      </c>
      <c r="K1381" s="102"/>
      <c r="L1381" s="104">
        <v>42339</v>
      </c>
      <c r="M1381" s="102" t="s">
        <v>3778</v>
      </c>
      <c r="N1381" s="102" t="s">
        <v>3779</v>
      </c>
      <c r="O1381" s="102" t="s">
        <v>383</v>
      </c>
      <c r="P1381" s="103">
        <v>1</v>
      </c>
      <c r="Q1381" s="105">
        <v>6270000</v>
      </c>
      <c r="R1381" s="103">
        <v>48</v>
      </c>
      <c r="S1381" s="105">
        <v>4833125</v>
      </c>
      <c r="T1381" s="105">
        <v>6270000</v>
      </c>
      <c r="U1381" s="105">
        <v>0</v>
      </c>
      <c r="V1381" s="105">
        <v>0</v>
      </c>
      <c r="W1381" s="105">
        <v>0</v>
      </c>
      <c r="X1381" s="105">
        <v>0</v>
      </c>
      <c r="Y1381" s="105">
        <v>0</v>
      </c>
      <c r="Z1381" s="105">
        <v>0</v>
      </c>
      <c r="AA1381" s="105">
        <v>0</v>
      </c>
      <c r="AB1381" s="105">
        <v>0</v>
      </c>
      <c r="AC1381" s="8">
        <f t="shared" si="147"/>
        <v>6270000</v>
      </c>
      <c r="AD1381" s="8">
        <f t="shared" si="148"/>
        <v>0</v>
      </c>
      <c r="AE1381" s="8">
        <f t="shared" si="149"/>
        <v>0</v>
      </c>
      <c r="AF1381" s="106">
        <f t="shared" si="150"/>
        <v>0</v>
      </c>
      <c r="AG1381" s="8">
        <f t="shared" si="151"/>
        <v>0</v>
      </c>
      <c r="AH1381" s="8">
        <f>IF($O1381="Aktif",MAX(0,MIN($AE1381,$AD1381-SUM($AG1381:AG1381))),0)</f>
        <v>0</v>
      </c>
      <c r="AI1381" s="8">
        <f>IF($O1381="Aktif",MAX(0,MIN($AE1381,$AD1381-SUM($AG1381:AH1381))),0)</f>
        <v>0</v>
      </c>
      <c r="AJ1381" s="8">
        <f>IF($O1381="Aktif",MAX(0,MIN($AE1381,$AD1381-SUM($AG1381:AI1381))),0)</f>
        <v>0</v>
      </c>
      <c r="AK1381" s="8">
        <f>IF($O1381="Aktif",MAX(0,MIN($AE1381,$AD1381-SUM($AG1381:AJ1381))),0)</f>
        <v>0</v>
      </c>
      <c r="AL1381" s="8">
        <f>IF($O1381="Aktif",MAX(0,MIN($AE1381,$AD1381-SUM($AG1381:AK1381))),0)</f>
        <v>0</v>
      </c>
      <c r="AM1381" s="8">
        <f>IF($O1381="Aktif",MAX(0,MIN($AE1381,$AD1381-SUM($AG1381:AL1381))),0)</f>
        <v>0</v>
      </c>
      <c r="AN1381" s="8">
        <f>IF($O1381="Aktif",MAX(0,MIN($AE1381,$AD1381-SUM($AG1381:AM1381))),0)</f>
        <v>0</v>
      </c>
      <c r="AO1381" s="8">
        <f>IF($O1381="Aktif",MAX(0,MIN($AE1381,$AD1381-SUM($AG1381:AN1381))),0)</f>
        <v>0</v>
      </c>
      <c r="AP1381" s="8">
        <f>IF($O1381="Aktif",MAX(0,MIN($AE1381,$AD1381-SUM($AG1381:AO1381))),0)</f>
        <v>0</v>
      </c>
      <c r="AQ1381" s="8">
        <f>IF($O1381="Aktif",MAX(0,MIN($AE1381,$AD1381-SUM($AG1381:AP1381))),0)</f>
        <v>0</v>
      </c>
      <c r="AR1381" s="8">
        <f>IF($O1381="Aktif",MAX(0,MIN($AE1381,$AD1381-SUM($AG1381:AQ1381))),0)</f>
        <v>0</v>
      </c>
      <c r="AS1381" s="8">
        <f>IF($O1381="Aktif",MAX(0,MIN($AE1381,$AD1381-SUM($AG1381:AR1381))),0)</f>
        <v>0</v>
      </c>
      <c r="AT1381" s="8">
        <f>IF($O1381="Aktif",MAX(0,MIN($AE1381,$AD1381-SUM($AG1381:AS1381))),0)</f>
        <v>0</v>
      </c>
      <c r="AU1381" s="8">
        <f>IF($O1381="Aktif",MAX(0,MIN($AE1381,$AD1381-SUM($AG1381:AT1381))),0)</f>
        <v>0</v>
      </c>
      <c r="AV1381" s="8">
        <f>IF($O1381="Aktif",MAX(0,MIN($AE1381,$AD1381-SUM($AG1381:AU1381))),0)</f>
        <v>0</v>
      </c>
      <c r="AW1381" s="8">
        <f t="shared" si="152"/>
        <v>0</v>
      </c>
      <c r="AX1381" s="8">
        <f t="shared" si="153"/>
        <v>0</v>
      </c>
    </row>
    <row r="1382" spans="1:50" ht="15" customHeight="1" x14ac:dyDescent="0.35">
      <c r="A1382" s="102">
        <v>1376</v>
      </c>
      <c r="B1382" s="102" t="s">
        <v>3714</v>
      </c>
      <c r="C1382" s="103">
        <v>35</v>
      </c>
      <c r="D1382" s="102" t="s">
        <v>186</v>
      </c>
      <c r="E1382" s="102" t="s">
        <v>479</v>
      </c>
      <c r="F1382" s="102" t="s">
        <v>3116</v>
      </c>
      <c r="G1382" s="102" t="s">
        <v>3117</v>
      </c>
      <c r="H1382" s="102" t="s">
        <v>3118</v>
      </c>
      <c r="I1382" s="102" t="s">
        <v>63</v>
      </c>
      <c r="J1382" s="102" t="s">
        <v>3780</v>
      </c>
      <c r="K1382" s="102"/>
      <c r="L1382" s="104">
        <v>42369</v>
      </c>
      <c r="M1382" s="102" t="s">
        <v>3781</v>
      </c>
      <c r="N1382" s="102" t="s">
        <v>3782</v>
      </c>
      <c r="O1382" s="102" t="s">
        <v>383</v>
      </c>
      <c r="P1382" s="103">
        <v>1</v>
      </c>
      <c r="Q1382" s="105">
        <v>88000000</v>
      </c>
      <c r="R1382" s="103">
        <v>48</v>
      </c>
      <c r="S1382" s="105">
        <v>67833333.333333299</v>
      </c>
      <c r="T1382" s="105">
        <v>88000000</v>
      </c>
      <c r="U1382" s="105">
        <v>0</v>
      </c>
      <c r="V1382" s="105">
        <v>0</v>
      </c>
      <c r="W1382" s="105">
        <v>0</v>
      </c>
      <c r="X1382" s="105">
        <v>0</v>
      </c>
      <c r="Y1382" s="105">
        <v>0</v>
      </c>
      <c r="Z1382" s="105">
        <v>0</v>
      </c>
      <c r="AA1382" s="105">
        <v>0</v>
      </c>
      <c r="AB1382" s="105">
        <v>0</v>
      </c>
      <c r="AC1382" s="8">
        <f t="shared" si="147"/>
        <v>88000000</v>
      </c>
      <c r="AD1382" s="8">
        <f t="shared" si="148"/>
        <v>0</v>
      </c>
      <c r="AE1382" s="8">
        <f t="shared" si="149"/>
        <v>0</v>
      </c>
      <c r="AF1382" s="106">
        <f t="shared" si="150"/>
        <v>0</v>
      </c>
      <c r="AG1382" s="8">
        <f t="shared" si="151"/>
        <v>0</v>
      </c>
      <c r="AH1382" s="8">
        <f>IF($O1382="Aktif",MAX(0,MIN($AE1382,$AD1382-SUM($AG1382:AG1382))),0)</f>
        <v>0</v>
      </c>
      <c r="AI1382" s="8">
        <f>IF($O1382="Aktif",MAX(0,MIN($AE1382,$AD1382-SUM($AG1382:AH1382))),0)</f>
        <v>0</v>
      </c>
      <c r="AJ1382" s="8">
        <f>IF($O1382="Aktif",MAX(0,MIN($AE1382,$AD1382-SUM($AG1382:AI1382))),0)</f>
        <v>0</v>
      </c>
      <c r="AK1382" s="8">
        <f>IF($O1382="Aktif",MAX(0,MIN($AE1382,$AD1382-SUM($AG1382:AJ1382))),0)</f>
        <v>0</v>
      </c>
      <c r="AL1382" s="8">
        <f>IF($O1382="Aktif",MAX(0,MIN($AE1382,$AD1382-SUM($AG1382:AK1382))),0)</f>
        <v>0</v>
      </c>
      <c r="AM1382" s="8">
        <f>IF($O1382="Aktif",MAX(0,MIN($AE1382,$AD1382-SUM($AG1382:AL1382))),0)</f>
        <v>0</v>
      </c>
      <c r="AN1382" s="8">
        <f>IF($O1382="Aktif",MAX(0,MIN($AE1382,$AD1382-SUM($AG1382:AM1382))),0)</f>
        <v>0</v>
      </c>
      <c r="AO1382" s="8">
        <f>IF($O1382="Aktif",MAX(0,MIN($AE1382,$AD1382-SUM($AG1382:AN1382))),0)</f>
        <v>0</v>
      </c>
      <c r="AP1382" s="8">
        <f>IF($O1382="Aktif",MAX(0,MIN($AE1382,$AD1382-SUM($AG1382:AO1382))),0)</f>
        <v>0</v>
      </c>
      <c r="AQ1382" s="8">
        <f>IF($O1382="Aktif",MAX(0,MIN($AE1382,$AD1382-SUM($AG1382:AP1382))),0)</f>
        <v>0</v>
      </c>
      <c r="AR1382" s="8">
        <f>IF($O1382="Aktif",MAX(0,MIN($AE1382,$AD1382-SUM($AG1382:AQ1382))),0)</f>
        <v>0</v>
      </c>
      <c r="AS1382" s="8">
        <f>IF($O1382="Aktif",MAX(0,MIN($AE1382,$AD1382-SUM($AG1382:AR1382))),0)</f>
        <v>0</v>
      </c>
      <c r="AT1382" s="8">
        <f>IF($O1382="Aktif",MAX(0,MIN($AE1382,$AD1382-SUM($AG1382:AS1382))),0)</f>
        <v>0</v>
      </c>
      <c r="AU1382" s="8">
        <f>IF($O1382="Aktif",MAX(0,MIN($AE1382,$AD1382-SUM($AG1382:AT1382))),0)</f>
        <v>0</v>
      </c>
      <c r="AV1382" s="8">
        <f>IF($O1382="Aktif",MAX(0,MIN($AE1382,$AD1382-SUM($AG1382:AU1382))),0)</f>
        <v>0</v>
      </c>
      <c r="AW1382" s="8">
        <f t="shared" si="152"/>
        <v>0</v>
      </c>
      <c r="AX1382" s="8">
        <f t="shared" si="153"/>
        <v>0</v>
      </c>
    </row>
    <row r="1383" spans="1:50" ht="15" customHeight="1" x14ac:dyDescent="0.35">
      <c r="A1383" s="102">
        <v>1377</v>
      </c>
      <c r="B1383" s="102" t="s">
        <v>3714</v>
      </c>
      <c r="C1383" s="103">
        <v>36</v>
      </c>
      <c r="D1383" s="102" t="s">
        <v>186</v>
      </c>
      <c r="E1383" s="102" t="s">
        <v>479</v>
      </c>
      <c r="F1383" s="102" t="s">
        <v>3116</v>
      </c>
      <c r="G1383" s="102" t="s">
        <v>3117</v>
      </c>
      <c r="H1383" s="102" t="s">
        <v>3118</v>
      </c>
      <c r="I1383" s="102" t="s">
        <v>63</v>
      </c>
      <c r="J1383" s="102" t="s">
        <v>3783</v>
      </c>
      <c r="K1383" s="102"/>
      <c r="L1383" s="104">
        <v>42369</v>
      </c>
      <c r="M1383" s="102" t="s">
        <v>3784</v>
      </c>
      <c r="N1383" s="102" t="s">
        <v>3785</v>
      </c>
      <c r="O1383" s="102" t="s">
        <v>383</v>
      </c>
      <c r="P1383" s="103">
        <v>1</v>
      </c>
      <c r="Q1383" s="105">
        <v>15000000</v>
      </c>
      <c r="R1383" s="103">
        <v>48</v>
      </c>
      <c r="S1383" s="105">
        <v>11562500</v>
      </c>
      <c r="T1383" s="105">
        <v>15000000</v>
      </c>
      <c r="U1383" s="105">
        <v>0</v>
      </c>
      <c r="V1383" s="105">
        <v>0</v>
      </c>
      <c r="W1383" s="105">
        <v>0</v>
      </c>
      <c r="X1383" s="105">
        <v>0</v>
      </c>
      <c r="Y1383" s="105">
        <v>0</v>
      </c>
      <c r="Z1383" s="105">
        <v>0</v>
      </c>
      <c r="AA1383" s="105">
        <v>0</v>
      </c>
      <c r="AB1383" s="105">
        <v>0</v>
      </c>
      <c r="AC1383" s="8">
        <f t="shared" si="147"/>
        <v>15000000</v>
      </c>
      <c r="AD1383" s="8">
        <f t="shared" si="148"/>
        <v>0</v>
      </c>
      <c r="AE1383" s="8">
        <f t="shared" si="149"/>
        <v>0</v>
      </c>
      <c r="AF1383" s="106">
        <f t="shared" si="150"/>
        <v>0</v>
      </c>
      <c r="AG1383" s="8">
        <f t="shared" si="151"/>
        <v>0</v>
      </c>
      <c r="AH1383" s="8">
        <f>IF($O1383="Aktif",MAX(0,MIN($AE1383,$AD1383-SUM($AG1383:AG1383))),0)</f>
        <v>0</v>
      </c>
      <c r="AI1383" s="8">
        <f>IF($O1383="Aktif",MAX(0,MIN($AE1383,$AD1383-SUM($AG1383:AH1383))),0)</f>
        <v>0</v>
      </c>
      <c r="AJ1383" s="8">
        <f>IF($O1383="Aktif",MAX(0,MIN($AE1383,$AD1383-SUM($AG1383:AI1383))),0)</f>
        <v>0</v>
      </c>
      <c r="AK1383" s="8">
        <f>IF($O1383="Aktif",MAX(0,MIN($AE1383,$AD1383-SUM($AG1383:AJ1383))),0)</f>
        <v>0</v>
      </c>
      <c r="AL1383" s="8">
        <f>IF($O1383="Aktif",MAX(0,MIN($AE1383,$AD1383-SUM($AG1383:AK1383))),0)</f>
        <v>0</v>
      </c>
      <c r="AM1383" s="8">
        <f>IF($O1383="Aktif",MAX(0,MIN($AE1383,$AD1383-SUM($AG1383:AL1383))),0)</f>
        <v>0</v>
      </c>
      <c r="AN1383" s="8">
        <f>IF($O1383="Aktif",MAX(0,MIN($AE1383,$AD1383-SUM($AG1383:AM1383))),0)</f>
        <v>0</v>
      </c>
      <c r="AO1383" s="8">
        <f>IF($O1383="Aktif",MAX(0,MIN($AE1383,$AD1383-SUM($AG1383:AN1383))),0)</f>
        <v>0</v>
      </c>
      <c r="AP1383" s="8">
        <f>IF($O1383="Aktif",MAX(0,MIN($AE1383,$AD1383-SUM($AG1383:AO1383))),0)</f>
        <v>0</v>
      </c>
      <c r="AQ1383" s="8">
        <f>IF($O1383="Aktif",MAX(0,MIN($AE1383,$AD1383-SUM($AG1383:AP1383))),0)</f>
        <v>0</v>
      </c>
      <c r="AR1383" s="8">
        <f>IF($O1383="Aktif",MAX(0,MIN($AE1383,$AD1383-SUM($AG1383:AQ1383))),0)</f>
        <v>0</v>
      </c>
      <c r="AS1383" s="8">
        <f>IF($O1383="Aktif",MAX(0,MIN($AE1383,$AD1383-SUM($AG1383:AR1383))),0)</f>
        <v>0</v>
      </c>
      <c r="AT1383" s="8">
        <f>IF($O1383="Aktif",MAX(0,MIN($AE1383,$AD1383-SUM($AG1383:AS1383))),0)</f>
        <v>0</v>
      </c>
      <c r="AU1383" s="8">
        <f>IF($O1383="Aktif",MAX(0,MIN($AE1383,$AD1383-SUM($AG1383:AT1383))),0)</f>
        <v>0</v>
      </c>
      <c r="AV1383" s="8">
        <f>IF($O1383="Aktif",MAX(0,MIN($AE1383,$AD1383-SUM($AG1383:AU1383))),0)</f>
        <v>0</v>
      </c>
      <c r="AW1383" s="8">
        <f t="shared" si="152"/>
        <v>0</v>
      </c>
      <c r="AX1383" s="8">
        <f t="shared" si="153"/>
        <v>0</v>
      </c>
    </row>
    <row r="1384" spans="1:50" ht="15" customHeight="1" x14ac:dyDescent="0.35">
      <c r="A1384" s="102">
        <v>1378</v>
      </c>
      <c r="B1384" s="102" t="s">
        <v>3714</v>
      </c>
      <c r="C1384" s="103">
        <v>37</v>
      </c>
      <c r="D1384" s="102" t="s">
        <v>186</v>
      </c>
      <c r="E1384" s="102" t="s">
        <v>479</v>
      </c>
      <c r="F1384" s="102" t="s">
        <v>3116</v>
      </c>
      <c r="G1384" s="102" t="s">
        <v>3117</v>
      </c>
      <c r="H1384" s="102" t="s">
        <v>3118</v>
      </c>
      <c r="I1384" s="102" t="s">
        <v>63</v>
      </c>
      <c r="J1384" s="102" t="s">
        <v>3786</v>
      </c>
      <c r="K1384" s="102"/>
      <c r="L1384" s="104">
        <v>42377</v>
      </c>
      <c r="M1384" s="102" t="s">
        <v>3787</v>
      </c>
      <c r="N1384" s="102" t="s">
        <v>3788</v>
      </c>
      <c r="O1384" s="102" t="s">
        <v>383</v>
      </c>
      <c r="P1384" s="103">
        <v>1</v>
      </c>
      <c r="Q1384" s="105">
        <v>2875000</v>
      </c>
      <c r="R1384" s="103">
        <v>48</v>
      </c>
      <c r="S1384" s="105">
        <v>2156250</v>
      </c>
      <c r="T1384" s="105">
        <v>2875000</v>
      </c>
      <c r="U1384" s="105">
        <v>0</v>
      </c>
      <c r="V1384" s="105">
        <v>0</v>
      </c>
      <c r="W1384" s="105">
        <v>0</v>
      </c>
      <c r="X1384" s="105">
        <v>0</v>
      </c>
      <c r="Y1384" s="105">
        <v>0</v>
      </c>
      <c r="Z1384" s="105">
        <v>0</v>
      </c>
      <c r="AA1384" s="105">
        <v>0</v>
      </c>
      <c r="AB1384" s="105">
        <v>0</v>
      </c>
      <c r="AC1384" s="8">
        <f t="shared" si="147"/>
        <v>2875000</v>
      </c>
      <c r="AD1384" s="8">
        <f t="shared" si="148"/>
        <v>0</v>
      </c>
      <c r="AE1384" s="8">
        <f t="shared" si="149"/>
        <v>0</v>
      </c>
      <c r="AF1384" s="106">
        <f t="shared" si="150"/>
        <v>0</v>
      </c>
      <c r="AG1384" s="8">
        <f t="shared" si="151"/>
        <v>0</v>
      </c>
      <c r="AH1384" s="8">
        <f>IF($O1384="Aktif",MAX(0,MIN($AE1384,$AD1384-SUM($AG1384:AG1384))),0)</f>
        <v>0</v>
      </c>
      <c r="AI1384" s="8">
        <f>IF($O1384="Aktif",MAX(0,MIN($AE1384,$AD1384-SUM($AG1384:AH1384))),0)</f>
        <v>0</v>
      </c>
      <c r="AJ1384" s="8">
        <f>IF($O1384="Aktif",MAX(0,MIN($AE1384,$AD1384-SUM($AG1384:AI1384))),0)</f>
        <v>0</v>
      </c>
      <c r="AK1384" s="8">
        <f>IF($O1384="Aktif",MAX(0,MIN($AE1384,$AD1384-SUM($AG1384:AJ1384))),0)</f>
        <v>0</v>
      </c>
      <c r="AL1384" s="8">
        <f>IF($O1384="Aktif",MAX(0,MIN($AE1384,$AD1384-SUM($AG1384:AK1384))),0)</f>
        <v>0</v>
      </c>
      <c r="AM1384" s="8">
        <f>IF($O1384="Aktif",MAX(0,MIN($AE1384,$AD1384-SUM($AG1384:AL1384))),0)</f>
        <v>0</v>
      </c>
      <c r="AN1384" s="8">
        <f>IF($O1384="Aktif",MAX(0,MIN($AE1384,$AD1384-SUM($AG1384:AM1384))),0)</f>
        <v>0</v>
      </c>
      <c r="AO1384" s="8">
        <f>IF($O1384="Aktif",MAX(0,MIN($AE1384,$AD1384-SUM($AG1384:AN1384))),0)</f>
        <v>0</v>
      </c>
      <c r="AP1384" s="8">
        <f>IF($O1384="Aktif",MAX(0,MIN($AE1384,$AD1384-SUM($AG1384:AO1384))),0)</f>
        <v>0</v>
      </c>
      <c r="AQ1384" s="8">
        <f>IF($O1384="Aktif",MAX(0,MIN($AE1384,$AD1384-SUM($AG1384:AP1384))),0)</f>
        <v>0</v>
      </c>
      <c r="AR1384" s="8">
        <f>IF($O1384="Aktif",MAX(0,MIN($AE1384,$AD1384-SUM($AG1384:AQ1384))),0)</f>
        <v>0</v>
      </c>
      <c r="AS1384" s="8">
        <f>IF($O1384="Aktif",MAX(0,MIN($AE1384,$AD1384-SUM($AG1384:AR1384))),0)</f>
        <v>0</v>
      </c>
      <c r="AT1384" s="8">
        <f>IF($O1384="Aktif",MAX(0,MIN($AE1384,$AD1384-SUM($AG1384:AS1384))),0)</f>
        <v>0</v>
      </c>
      <c r="AU1384" s="8">
        <f>IF($O1384="Aktif",MAX(0,MIN($AE1384,$AD1384-SUM($AG1384:AT1384))),0)</f>
        <v>0</v>
      </c>
      <c r="AV1384" s="8">
        <f>IF($O1384="Aktif",MAX(0,MIN($AE1384,$AD1384-SUM($AG1384:AU1384))),0)</f>
        <v>0</v>
      </c>
      <c r="AW1384" s="8">
        <f t="shared" si="152"/>
        <v>0</v>
      </c>
      <c r="AX1384" s="8">
        <f t="shared" si="153"/>
        <v>0</v>
      </c>
    </row>
    <row r="1385" spans="1:50" ht="15" customHeight="1" x14ac:dyDescent="0.35">
      <c r="A1385" s="102">
        <v>1379</v>
      </c>
      <c r="B1385" s="102" t="s">
        <v>3714</v>
      </c>
      <c r="C1385" s="103">
        <v>38</v>
      </c>
      <c r="D1385" s="102" t="s">
        <v>186</v>
      </c>
      <c r="E1385" s="102" t="s">
        <v>479</v>
      </c>
      <c r="F1385" s="102" t="s">
        <v>3116</v>
      </c>
      <c r="G1385" s="102" t="s">
        <v>3117</v>
      </c>
      <c r="H1385" s="102" t="s">
        <v>3118</v>
      </c>
      <c r="I1385" s="102" t="s">
        <v>63</v>
      </c>
      <c r="J1385" s="102" t="s">
        <v>3789</v>
      </c>
      <c r="K1385" s="102"/>
      <c r="L1385" s="104">
        <v>42395</v>
      </c>
      <c r="M1385" s="102" t="s">
        <v>3790</v>
      </c>
      <c r="N1385" s="102" t="s">
        <v>3791</v>
      </c>
      <c r="O1385" s="102" t="s">
        <v>383</v>
      </c>
      <c r="P1385" s="103">
        <v>1</v>
      </c>
      <c r="Q1385" s="105">
        <v>12000000</v>
      </c>
      <c r="R1385" s="103">
        <v>48</v>
      </c>
      <c r="S1385" s="105">
        <v>8750000</v>
      </c>
      <c r="T1385" s="105">
        <v>12000000</v>
      </c>
      <c r="U1385" s="105">
        <v>0</v>
      </c>
      <c r="V1385" s="105">
        <v>0</v>
      </c>
      <c r="W1385" s="105">
        <v>0</v>
      </c>
      <c r="X1385" s="105">
        <v>0</v>
      </c>
      <c r="Y1385" s="105">
        <v>0</v>
      </c>
      <c r="Z1385" s="105">
        <v>0</v>
      </c>
      <c r="AA1385" s="105">
        <v>0</v>
      </c>
      <c r="AB1385" s="105">
        <v>0</v>
      </c>
      <c r="AC1385" s="8">
        <f t="shared" si="147"/>
        <v>12000000</v>
      </c>
      <c r="AD1385" s="8">
        <f t="shared" si="148"/>
        <v>0</v>
      </c>
      <c r="AE1385" s="8">
        <f t="shared" si="149"/>
        <v>0</v>
      </c>
      <c r="AF1385" s="106">
        <f t="shared" si="150"/>
        <v>0</v>
      </c>
      <c r="AG1385" s="8">
        <f t="shared" si="151"/>
        <v>0</v>
      </c>
      <c r="AH1385" s="8">
        <f>IF($O1385="Aktif",MAX(0,MIN($AE1385,$AD1385-SUM($AG1385:AG1385))),0)</f>
        <v>0</v>
      </c>
      <c r="AI1385" s="8">
        <f>IF($O1385="Aktif",MAX(0,MIN($AE1385,$AD1385-SUM($AG1385:AH1385))),0)</f>
        <v>0</v>
      </c>
      <c r="AJ1385" s="8">
        <f>IF($O1385="Aktif",MAX(0,MIN($AE1385,$AD1385-SUM($AG1385:AI1385))),0)</f>
        <v>0</v>
      </c>
      <c r="AK1385" s="8">
        <f>IF($O1385="Aktif",MAX(0,MIN($AE1385,$AD1385-SUM($AG1385:AJ1385))),0)</f>
        <v>0</v>
      </c>
      <c r="AL1385" s="8">
        <f>IF($O1385="Aktif",MAX(0,MIN($AE1385,$AD1385-SUM($AG1385:AK1385))),0)</f>
        <v>0</v>
      </c>
      <c r="AM1385" s="8">
        <f>IF($O1385="Aktif",MAX(0,MIN($AE1385,$AD1385-SUM($AG1385:AL1385))),0)</f>
        <v>0</v>
      </c>
      <c r="AN1385" s="8">
        <f>IF($O1385="Aktif",MAX(0,MIN($AE1385,$AD1385-SUM($AG1385:AM1385))),0)</f>
        <v>0</v>
      </c>
      <c r="AO1385" s="8">
        <f>IF($O1385="Aktif",MAX(0,MIN($AE1385,$AD1385-SUM($AG1385:AN1385))),0)</f>
        <v>0</v>
      </c>
      <c r="AP1385" s="8">
        <f>IF($O1385="Aktif",MAX(0,MIN($AE1385,$AD1385-SUM($AG1385:AO1385))),0)</f>
        <v>0</v>
      </c>
      <c r="AQ1385" s="8">
        <f>IF($O1385="Aktif",MAX(0,MIN($AE1385,$AD1385-SUM($AG1385:AP1385))),0)</f>
        <v>0</v>
      </c>
      <c r="AR1385" s="8">
        <f>IF($O1385="Aktif",MAX(0,MIN($AE1385,$AD1385-SUM($AG1385:AQ1385))),0)</f>
        <v>0</v>
      </c>
      <c r="AS1385" s="8">
        <f>IF($O1385="Aktif",MAX(0,MIN($AE1385,$AD1385-SUM($AG1385:AR1385))),0)</f>
        <v>0</v>
      </c>
      <c r="AT1385" s="8">
        <f>IF($O1385="Aktif",MAX(0,MIN($AE1385,$AD1385-SUM($AG1385:AS1385))),0)</f>
        <v>0</v>
      </c>
      <c r="AU1385" s="8">
        <f>IF($O1385="Aktif",MAX(0,MIN($AE1385,$AD1385-SUM($AG1385:AT1385))),0)</f>
        <v>0</v>
      </c>
      <c r="AV1385" s="8">
        <f>IF($O1385="Aktif",MAX(0,MIN($AE1385,$AD1385-SUM($AG1385:AU1385))),0)</f>
        <v>0</v>
      </c>
      <c r="AW1385" s="8">
        <f t="shared" si="152"/>
        <v>0</v>
      </c>
      <c r="AX1385" s="8">
        <f t="shared" si="153"/>
        <v>0</v>
      </c>
    </row>
    <row r="1386" spans="1:50" ht="15" customHeight="1" x14ac:dyDescent="0.35">
      <c r="A1386" s="102">
        <v>1380</v>
      </c>
      <c r="B1386" s="102" t="s">
        <v>3714</v>
      </c>
      <c r="C1386" s="103">
        <v>39</v>
      </c>
      <c r="D1386" s="102" t="s">
        <v>186</v>
      </c>
      <c r="E1386" s="102" t="s">
        <v>479</v>
      </c>
      <c r="F1386" s="102" t="s">
        <v>3116</v>
      </c>
      <c r="G1386" s="102" t="s">
        <v>3117</v>
      </c>
      <c r="H1386" s="102" t="s">
        <v>3118</v>
      </c>
      <c r="I1386" s="102" t="s">
        <v>63</v>
      </c>
      <c r="J1386" s="102" t="s">
        <v>3792</v>
      </c>
      <c r="K1386" s="102"/>
      <c r="L1386" s="104">
        <v>42400</v>
      </c>
      <c r="M1386" s="102" t="s">
        <v>3793</v>
      </c>
      <c r="N1386" s="102" t="s">
        <v>3794</v>
      </c>
      <c r="O1386" s="102" t="s">
        <v>383</v>
      </c>
      <c r="P1386" s="103">
        <v>1</v>
      </c>
      <c r="Q1386" s="105">
        <v>80000000</v>
      </c>
      <c r="R1386" s="103">
        <v>48</v>
      </c>
      <c r="S1386" s="105">
        <v>58333333.333333299</v>
      </c>
      <c r="T1386" s="105">
        <v>80000000</v>
      </c>
      <c r="U1386" s="105">
        <v>0</v>
      </c>
      <c r="V1386" s="105">
        <v>0</v>
      </c>
      <c r="W1386" s="105">
        <v>0</v>
      </c>
      <c r="X1386" s="105">
        <v>0</v>
      </c>
      <c r="Y1386" s="105">
        <v>0</v>
      </c>
      <c r="Z1386" s="105">
        <v>0</v>
      </c>
      <c r="AA1386" s="105">
        <v>0</v>
      </c>
      <c r="AB1386" s="105">
        <v>0</v>
      </c>
      <c r="AC1386" s="8">
        <f t="shared" si="147"/>
        <v>80000000</v>
      </c>
      <c r="AD1386" s="8">
        <f t="shared" si="148"/>
        <v>0</v>
      </c>
      <c r="AE1386" s="8">
        <f t="shared" si="149"/>
        <v>0</v>
      </c>
      <c r="AF1386" s="106">
        <f t="shared" si="150"/>
        <v>0</v>
      </c>
      <c r="AG1386" s="8">
        <f t="shared" si="151"/>
        <v>0</v>
      </c>
      <c r="AH1386" s="8">
        <f>IF($O1386="Aktif",MAX(0,MIN($AE1386,$AD1386-SUM($AG1386:AG1386))),0)</f>
        <v>0</v>
      </c>
      <c r="AI1386" s="8">
        <f>IF($O1386="Aktif",MAX(0,MIN($AE1386,$AD1386-SUM($AG1386:AH1386))),0)</f>
        <v>0</v>
      </c>
      <c r="AJ1386" s="8">
        <f>IF($O1386="Aktif",MAX(0,MIN($AE1386,$AD1386-SUM($AG1386:AI1386))),0)</f>
        <v>0</v>
      </c>
      <c r="AK1386" s="8">
        <f>IF($O1386="Aktif",MAX(0,MIN($AE1386,$AD1386-SUM($AG1386:AJ1386))),0)</f>
        <v>0</v>
      </c>
      <c r="AL1386" s="8">
        <f>IF($O1386="Aktif",MAX(0,MIN($AE1386,$AD1386-SUM($AG1386:AK1386))),0)</f>
        <v>0</v>
      </c>
      <c r="AM1386" s="8">
        <f>IF($O1386="Aktif",MAX(0,MIN($AE1386,$AD1386-SUM($AG1386:AL1386))),0)</f>
        <v>0</v>
      </c>
      <c r="AN1386" s="8">
        <f>IF($O1386="Aktif",MAX(0,MIN($AE1386,$AD1386-SUM($AG1386:AM1386))),0)</f>
        <v>0</v>
      </c>
      <c r="AO1386" s="8">
        <f>IF($O1386="Aktif",MAX(0,MIN($AE1386,$AD1386-SUM($AG1386:AN1386))),0)</f>
        <v>0</v>
      </c>
      <c r="AP1386" s="8">
        <f>IF($O1386="Aktif",MAX(0,MIN($AE1386,$AD1386-SUM($AG1386:AO1386))),0)</f>
        <v>0</v>
      </c>
      <c r="AQ1386" s="8">
        <f>IF($O1386="Aktif",MAX(0,MIN($AE1386,$AD1386-SUM($AG1386:AP1386))),0)</f>
        <v>0</v>
      </c>
      <c r="AR1386" s="8">
        <f>IF($O1386="Aktif",MAX(0,MIN($AE1386,$AD1386-SUM($AG1386:AQ1386))),0)</f>
        <v>0</v>
      </c>
      <c r="AS1386" s="8">
        <f>IF($O1386="Aktif",MAX(0,MIN($AE1386,$AD1386-SUM($AG1386:AR1386))),0)</f>
        <v>0</v>
      </c>
      <c r="AT1386" s="8">
        <f>IF($O1386="Aktif",MAX(0,MIN($AE1386,$AD1386-SUM($AG1386:AS1386))),0)</f>
        <v>0</v>
      </c>
      <c r="AU1386" s="8">
        <f>IF($O1386="Aktif",MAX(0,MIN($AE1386,$AD1386-SUM($AG1386:AT1386))),0)</f>
        <v>0</v>
      </c>
      <c r="AV1386" s="8">
        <f>IF($O1386="Aktif",MAX(0,MIN($AE1386,$AD1386-SUM($AG1386:AU1386))),0)</f>
        <v>0</v>
      </c>
      <c r="AW1386" s="8">
        <f t="shared" si="152"/>
        <v>0</v>
      </c>
      <c r="AX1386" s="8">
        <f t="shared" si="153"/>
        <v>0</v>
      </c>
    </row>
    <row r="1387" spans="1:50" ht="15" customHeight="1" x14ac:dyDescent="0.35">
      <c r="A1387" s="102">
        <v>1381</v>
      </c>
      <c r="B1387" s="102" t="s">
        <v>3714</v>
      </c>
      <c r="C1387" s="103">
        <v>40</v>
      </c>
      <c r="D1387" s="102" t="s">
        <v>186</v>
      </c>
      <c r="E1387" s="102" t="s">
        <v>479</v>
      </c>
      <c r="F1387" s="102" t="s">
        <v>3116</v>
      </c>
      <c r="G1387" s="102" t="s">
        <v>3117</v>
      </c>
      <c r="H1387" s="102" t="s">
        <v>3118</v>
      </c>
      <c r="I1387" s="102" t="s">
        <v>63</v>
      </c>
      <c r="J1387" s="102" t="s">
        <v>3795</v>
      </c>
      <c r="K1387" s="102"/>
      <c r="L1387" s="104">
        <v>42429</v>
      </c>
      <c r="M1387" s="102" t="s">
        <v>3796</v>
      </c>
      <c r="N1387" s="102" t="s">
        <v>3797</v>
      </c>
      <c r="O1387" s="102" t="s">
        <v>383</v>
      </c>
      <c r="P1387" s="103">
        <v>1</v>
      </c>
      <c r="Q1387" s="105">
        <v>42500000</v>
      </c>
      <c r="R1387" s="103">
        <v>48</v>
      </c>
      <c r="S1387" s="105">
        <v>30104166.666666701</v>
      </c>
      <c r="T1387" s="105">
        <v>42500000</v>
      </c>
      <c r="U1387" s="105">
        <v>0</v>
      </c>
      <c r="V1387" s="105">
        <v>0</v>
      </c>
      <c r="W1387" s="105">
        <v>0</v>
      </c>
      <c r="X1387" s="105">
        <v>0</v>
      </c>
      <c r="Y1387" s="105">
        <v>0</v>
      </c>
      <c r="Z1387" s="105">
        <v>0</v>
      </c>
      <c r="AA1387" s="105">
        <v>0</v>
      </c>
      <c r="AB1387" s="105">
        <v>0</v>
      </c>
      <c r="AC1387" s="8">
        <f t="shared" si="147"/>
        <v>42500000</v>
      </c>
      <c r="AD1387" s="8">
        <f t="shared" si="148"/>
        <v>0</v>
      </c>
      <c r="AE1387" s="8">
        <f t="shared" si="149"/>
        <v>0</v>
      </c>
      <c r="AF1387" s="106">
        <f t="shared" si="150"/>
        <v>0</v>
      </c>
      <c r="AG1387" s="8">
        <f t="shared" si="151"/>
        <v>0</v>
      </c>
      <c r="AH1387" s="8">
        <f>IF($O1387="Aktif",MAX(0,MIN($AE1387,$AD1387-SUM($AG1387:AG1387))),0)</f>
        <v>0</v>
      </c>
      <c r="AI1387" s="8">
        <f>IF($O1387="Aktif",MAX(0,MIN($AE1387,$AD1387-SUM($AG1387:AH1387))),0)</f>
        <v>0</v>
      </c>
      <c r="AJ1387" s="8">
        <f>IF($O1387="Aktif",MAX(0,MIN($AE1387,$AD1387-SUM($AG1387:AI1387))),0)</f>
        <v>0</v>
      </c>
      <c r="AK1387" s="8">
        <f>IF($O1387="Aktif",MAX(0,MIN($AE1387,$AD1387-SUM($AG1387:AJ1387))),0)</f>
        <v>0</v>
      </c>
      <c r="AL1387" s="8">
        <f>IF($O1387="Aktif",MAX(0,MIN($AE1387,$AD1387-SUM($AG1387:AK1387))),0)</f>
        <v>0</v>
      </c>
      <c r="AM1387" s="8">
        <f>IF($O1387="Aktif",MAX(0,MIN($AE1387,$AD1387-SUM($AG1387:AL1387))),0)</f>
        <v>0</v>
      </c>
      <c r="AN1387" s="8">
        <f>IF($O1387="Aktif",MAX(0,MIN($AE1387,$AD1387-SUM($AG1387:AM1387))),0)</f>
        <v>0</v>
      </c>
      <c r="AO1387" s="8">
        <f>IF($O1387="Aktif",MAX(0,MIN($AE1387,$AD1387-SUM($AG1387:AN1387))),0)</f>
        <v>0</v>
      </c>
      <c r="AP1387" s="8">
        <f>IF($O1387="Aktif",MAX(0,MIN($AE1387,$AD1387-SUM($AG1387:AO1387))),0)</f>
        <v>0</v>
      </c>
      <c r="AQ1387" s="8">
        <f>IF($O1387="Aktif",MAX(0,MIN($AE1387,$AD1387-SUM($AG1387:AP1387))),0)</f>
        <v>0</v>
      </c>
      <c r="AR1387" s="8">
        <f>IF($O1387="Aktif",MAX(0,MIN($AE1387,$AD1387-SUM($AG1387:AQ1387))),0)</f>
        <v>0</v>
      </c>
      <c r="AS1387" s="8">
        <f>IF($O1387="Aktif",MAX(0,MIN($AE1387,$AD1387-SUM($AG1387:AR1387))),0)</f>
        <v>0</v>
      </c>
      <c r="AT1387" s="8">
        <f>IF($O1387="Aktif",MAX(0,MIN($AE1387,$AD1387-SUM($AG1387:AS1387))),0)</f>
        <v>0</v>
      </c>
      <c r="AU1387" s="8">
        <f>IF($O1387="Aktif",MAX(0,MIN($AE1387,$AD1387-SUM($AG1387:AT1387))),0)</f>
        <v>0</v>
      </c>
      <c r="AV1387" s="8">
        <f>IF($O1387="Aktif",MAX(0,MIN($AE1387,$AD1387-SUM($AG1387:AU1387))),0)</f>
        <v>0</v>
      </c>
      <c r="AW1387" s="8">
        <f t="shared" si="152"/>
        <v>0</v>
      </c>
      <c r="AX1387" s="8">
        <f t="shared" si="153"/>
        <v>0</v>
      </c>
    </row>
    <row r="1388" spans="1:50" ht="15" customHeight="1" x14ac:dyDescent="0.35">
      <c r="A1388" s="102">
        <v>1382</v>
      </c>
      <c r="B1388" s="102" t="s">
        <v>3714</v>
      </c>
      <c r="C1388" s="103">
        <v>41</v>
      </c>
      <c r="D1388" s="102" t="s">
        <v>186</v>
      </c>
      <c r="E1388" s="102" t="s">
        <v>479</v>
      </c>
      <c r="F1388" s="102" t="s">
        <v>3116</v>
      </c>
      <c r="G1388" s="102" t="s">
        <v>3117</v>
      </c>
      <c r="H1388" s="102" t="s">
        <v>3118</v>
      </c>
      <c r="I1388" s="102" t="s">
        <v>63</v>
      </c>
      <c r="J1388" s="102" t="s">
        <v>3798</v>
      </c>
      <c r="K1388" s="102"/>
      <c r="L1388" s="104">
        <v>42460</v>
      </c>
      <c r="M1388" s="102" t="s">
        <v>3799</v>
      </c>
      <c r="N1388" s="102" t="s">
        <v>3800</v>
      </c>
      <c r="O1388" s="102" t="s">
        <v>383</v>
      </c>
      <c r="P1388" s="103">
        <v>1</v>
      </c>
      <c r="Q1388" s="105">
        <v>4042000</v>
      </c>
      <c r="R1388" s="103">
        <v>48</v>
      </c>
      <c r="S1388" s="105">
        <v>2778875</v>
      </c>
      <c r="T1388" s="105">
        <v>4042000</v>
      </c>
      <c r="U1388" s="105">
        <v>0</v>
      </c>
      <c r="V1388" s="105">
        <v>0</v>
      </c>
      <c r="W1388" s="105">
        <v>0</v>
      </c>
      <c r="X1388" s="105">
        <v>0</v>
      </c>
      <c r="Y1388" s="105">
        <v>0</v>
      </c>
      <c r="Z1388" s="105">
        <v>0</v>
      </c>
      <c r="AA1388" s="105">
        <v>0</v>
      </c>
      <c r="AB1388" s="105">
        <v>0</v>
      </c>
      <c r="AC1388" s="8">
        <f t="shared" si="147"/>
        <v>4042000</v>
      </c>
      <c r="AD1388" s="8">
        <f t="shared" si="148"/>
        <v>0</v>
      </c>
      <c r="AE1388" s="8">
        <f t="shared" si="149"/>
        <v>0</v>
      </c>
      <c r="AF1388" s="106">
        <f t="shared" si="150"/>
        <v>0</v>
      </c>
      <c r="AG1388" s="8">
        <f t="shared" si="151"/>
        <v>0</v>
      </c>
      <c r="AH1388" s="8">
        <f>IF($O1388="Aktif",MAX(0,MIN($AE1388,$AD1388-SUM($AG1388:AG1388))),0)</f>
        <v>0</v>
      </c>
      <c r="AI1388" s="8">
        <f>IF($O1388="Aktif",MAX(0,MIN($AE1388,$AD1388-SUM($AG1388:AH1388))),0)</f>
        <v>0</v>
      </c>
      <c r="AJ1388" s="8">
        <f>IF($O1388="Aktif",MAX(0,MIN($AE1388,$AD1388-SUM($AG1388:AI1388))),0)</f>
        <v>0</v>
      </c>
      <c r="AK1388" s="8">
        <f>IF($O1388="Aktif",MAX(0,MIN($AE1388,$AD1388-SUM($AG1388:AJ1388))),0)</f>
        <v>0</v>
      </c>
      <c r="AL1388" s="8">
        <f>IF($O1388="Aktif",MAX(0,MIN($AE1388,$AD1388-SUM($AG1388:AK1388))),0)</f>
        <v>0</v>
      </c>
      <c r="AM1388" s="8">
        <f>IF($O1388="Aktif",MAX(0,MIN($AE1388,$AD1388-SUM($AG1388:AL1388))),0)</f>
        <v>0</v>
      </c>
      <c r="AN1388" s="8">
        <f>IF($O1388="Aktif",MAX(0,MIN($AE1388,$AD1388-SUM($AG1388:AM1388))),0)</f>
        <v>0</v>
      </c>
      <c r="AO1388" s="8">
        <f>IF($O1388="Aktif",MAX(0,MIN($AE1388,$AD1388-SUM($AG1388:AN1388))),0)</f>
        <v>0</v>
      </c>
      <c r="AP1388" s="8">
        <f>IF($O1388="Aktif",MAX(0,MIN($AE1388,$AD1388-SUM($AG1388:AO1388))),0)</f>
        <v>0</v>
      </c>
      <c r="AQ1388" s="8">
        <f>IF($O1388="Aktif",MAX(0,MIN($AE1388,$AD1388-SUM($AG1388:AP1388))),0)</f>
        <v>0</v>
      </c>
      <c r="AR1388" s="8">
        <f>IF($O1388="Aktif",MAX(0,MIN($AE1388,$AD1388-SUM($AG1388:AQ1388))),0)</f>
        <v>0</v>
      </c>
      <c r="AS1388" s="8">
        <f>IF($O1388="Aktif",MAX(0,MIN($AE1388,$AD1388-SUM($AG1388:AR1388))),0)</f>
        <v>0</v>
      </c>
      <c r="AT1388" s="8">
        <f>IF($O1388="Aktif",MAX(0,MIN($AE1388,$AD1388-SUM($AG1388:AS1388))),0)</f>
        <v>0</v>
      </c>
      <c r="AU1388" s="8">
        <f>IF($O1388="Aktif",MAX(0,MIN($AE1388,$AD1388-SUM($AG1388:AT1388))),0)</f>
        <v>0</v>
      </c>
      <c r="AV1388" s="8">
        <f>IF($O1388="Aktif",MAX(0,MIN($AE1388,$AD1388-SUM($AG1388:AU1388))),0)</f>
        <v>0</v>
      </c>
      <c r="AW1388" s="8">
        <f t="shared" si="152"/>
        <v>0</v>
      </c>
      <c r="AX1388" s="8">
        <f t="shared" si="153"/>
        <v>0</v>
      </c>
    </row>
    <row r="1389" spans="1:50" ht="15" customHeight="1" x14ac:dyDescent="0.35">
      <c r="A1389" s="102">
        <v>1383</v>
      </c>
      <c r="B1389" s="102" t="s">
        <v>3714</v>
      </c>
      <c r="C1389" s="103">
        <v>42</v>
      </c>
      <c r="D1389" s="102" t="s">
        <v>186</v>
      </c>
      <c r="E1389" s="102" t="s">
        <v>479</v>
      </c>
      <c r="F1389" s="102" t="s">
        <v>3116</v>
      </c>
      <c r="G1389" s="102" t="s">
        <v>3117</v>
      </c>
      <c r="H1389" s="102" t="s">
        <v>3118</v>
      </c>
      <c r="I1389" s="102" t="s">
        <v>63</v>
      </c>
      <c r="J1389" s="102" t="s">
        <v>3801</v>
      </c>
      <c r="K1389" s="102"/>
      <c r="L1389" s="104">
        <v>42486</v>
      </c>
      <c r="M1389" s="102" t="s">
        <v>3802</v>
      </c>
      <c r="N1389" s="102" t="s">
        <v>3803</v>
      </c>
      <c r="O1389" s="102" t="s">
        <v>383</v>
      </c>
      <c r="P1389" s="103">
        <v>1</v>
      </c>
      <c r="Q1389" s="105">
        <v>4400000</v>
      </c>
      <c r="R1389" s="103">
        <v>48</v>
      </c>
      <c r="S1389" s="105">
        <v>2933333.3333333302</v>
      </c>
      <c r="T1389" s="105">
        <v>4400000</v>
      </c>
      <c r="U1389" s="105">
        <v>0</v>
      </c>
      <c r="V1389" s="105">
        <v>0</v>
      </c>
      <c r="W1389" s="105">
        <v>0</v>
      </c>
      <c r="X1389" s="105">
        <v>0</v>
      </c>
      <c r="Y1389" s="105">
        <v>0</v>
      </c>
      <c r="Z1389" s="105">
        <v>0</v>
      </c>
      <c r="AA1389" s="105">
        <v>0</v>
      </c>
      <c r="AB1389" s="105">
        <v>0</v>
      </c>
      <c r="AC1389" s="8">
        <f t="shared" si="147"/>
        <v>4400000</v>
      </c>
      <c r="AD1389" s="8">
        <f t="shared" si="148"/>
        <v>0</v>
      </c>
      <c r="AE1389" s="8">
        <f t="shared" si="149"/>
        <v>0</v>
      </c>
      <c r="AF1389" s="106">
        <f t="shared" si="150"/>
        <v>0</v>
      </c>
      <c r="AG1389" s="8">
        <f t="shared" si="151"/>
        <v>0</v>
      </c>
      <c r="AH1389" s="8">
        <f>IF($O1389="Aktif",MAX(0,MIN($AE1389,$AD1389-SUM($AG1389:AG1389))),0)</f>
        <v>0</v>
      </c>
      <c r="AI1389" s="8">
        <f>IF($O1389="Aktif",MAX(0,MIN($AE1389,$AD1389-SUM($AG1389:AH1389))),0)</f>
        <v>0</v>
      </c>
      <c r="AJ1389" s="8">
        <f>IF($O1389="Aktif",MAX(0,MIN($AE1389,$AD1389-SUM($AG1389:AI1389))),0)</f>
        <v>0</v>
      </c>
      <c r="AK1389" s="8">
        <f>IF($O1389="Aktif",MAX(0,MIN($AE1389,$AD1389-SUM($AG1389:AJ1389))),0)</f>
        <v>0</v>
      </c>
      <c r="AL1389" s="8">
        <f>IF($O1389="Aktif",MAX(0,MIN($AE1389,$AD1389-SUM($AG1389:AK1389))),0)</f>
        <v>0</v>
      </c>
      <c r="AM1389" s="8">
        <f>IF($O1389="Aktif",MAX(0,MIN($AE1389,$AD1389-SUM($AG1389:AL1389))),0)</f>
        <v>0</v>
      </c>
      <c r="AN1389" s="8">
        <f>IF($O1389="Aktif",MAX(0,MIN($AE1389,$AD1389-SUM($AG1389:AM1389))),0)</f>
        <v>0</v>
      </c>
      <c r="AO1389" s="8">
        <f>IF($O1389="Aktif",MAX(0,MIN($AE1389,$AD1389-SUM($AG1389:AN1389))),0)</f>
        <v>0</v>
      </c>
      <c r="AP1389" s="8">
        <f>IF($O1389="Aktif",MAX(0,MIN($AE1389,$AD1389-SUM($AG1389:AO1389))),0)</f>
        <v>0</v>
      </c>
      <c r="AQ1389" s="8">
        <f>IF($O1389="Aktif",MAX(0,MIN($AE1389,$AD1389-SUM($AG1389:AP1389))),0)</f>
        <v>0</v>
      </c>
      <c r="AR1389" s="8">
        <f>IF($O1389="Aktif",MAX(0,MIN($AE1389,$AD1389-SUM($AG1389:AQ1389))),0)</f>
        <v>0</v>
      </c>
      <c r="AS1389" s="8">
        <f>IF($O1389="Aktif",MAX(0,MIN($AE1389,$AD1389-SUM($AG1389:AR1389))),0)</f>
        <v>0</v>
      </c>
      <c r="AT1389" s="8">
        <f>IF($O1389="Aktif",MAX(0,MIN($AE1389,$AD1389-SUM($AG1389:AS1389))),0)</f>
        <v>0</v>
      </c>
      <c r="AU1389" s="8">
        <f>IF($O1389="Aktif",MAX(0,MIN($AE1389,$AD1389-SUM($AG1389:AT1389))),0)</f>
        <v>0</v>
      </c>
      <c r="AV1389" s="8">
        <f>IF($O1389="Aktif",MAX(0,MIN($AE1389,$AD1389-SUM($AG1389:AU1389))),0)</f>
        <v>0</v>
      </c>
      <c r="AW1389" s="8">
        <f t="shared" si="152"/>
        <v>0</v>
      </c>
      <c r="AX1389" s="8">
        <f t="shared" si="153"/>
        <v>0</v>
      </c>
    </row>
    <row r="1390" spans="1:50" ht="15" customHeight="1" x14ac:dyDescent="0.35">
      <c r="A1390" s="102">
        <v>1384</v>
      </c>
      <c r="B1390" s="102" t="s">
        <v>3714</v>
      </c>
      <c r="C1390" s="103">
        <v>43</v>
      </c>
      <c r="D1390" s="102" t="s">
        <v>186</v>
      </c>
      <c r="E1390" s="102" t="s">
        <v>479</v>
      </c>
      <c r="F1390" s="102" t="s">
        <v>3116</v>
      </c>
      <c r="G1390" s="102" t="s">
        <v>3117</v>
      </c>
      <c r="H1390" s="102" t="s">
        <v>3118</v>
      </c>
      <c r="I1390" s="102" t="s">
        <v>63</v>
      </c>
      <c r="J1390" s="102" t="s">
        <v>3804</v>
      </c>
      <c r="K1390" s="102"/>
      <c r="L1390" s="104">
        <v>42486</v>
      </c>
      <c r="M1390" s="102" t="s">
        <v>3805</v>
      </c>
      <c r="N1390" s="102" t="s">
        <v>3806</v>
      </c>
      <c r="O1390" s="102" t="s">
        <v>383</v>
      </c>
      <c r="P1390" s="103">
        <v>1</v>
      </c>
      <c r="Q1390" s="105">
        <v>1490000</v>
      </c>
      <c r="R1390" s="103">
        <v>48</v>
      </c>
      <c r="S1390" s="105">
        <v>993333.33333333395</v>
      </c>
      <c r="T1390" s="105">
        <v>1490000</v>
      </c>
      <c r="U1390" s="105">
        <v>0</v>
      </c>
      <c r="V1390" s="105">
        <v>0</v>
      </c>
      <c r="W1390" s="105">
        <v>0</v>
      </c>
      <c r="X1390" s="105">
        <v>0</v>
      </c>
      <c r="Y1390" s="105">
        <v>0</v>
      </c>
      <c r="Z1390" s="105">
        <v>0</v>
      </c>
      <c r="AA1390" s="105">
        <v>0</v>
      </c>
      <c r="AB1390" s="105">
        <v>0</v>
      </c>
      <c r="AC1390" s="8">
        <f t="shared" si="147"/>
        <v>1490000</v>
      </c>
      <c r="AD1390" s="8">
        <f t="shared" si="148"/>
        <v>0</v>
      </c>
      <c r="AE1390" s="8">
        <f t="shared" si="149"/>
        <v>0</v>
      </c>
      <c r="AF1390" s="106">
        <f t="shared" si="150"/>
        <v>0</v>
      </c>
      <c r="AG1390" s="8">
        <f t="shared" si="151"/>
        <v>0</v>
      </c>
      <c r="AH1390" s="8">
        <f>IF($O1390="Aktif",MAX(0,MIN($AE1390,$AD1390-SUM($AG1390:AG1390))),0)</f>
        <v>0</v>
      </c>
      <c r="AI1390" s="8">
        <f>IF($O1390="Aktif",MAX(0,MIN($AE1390,$AD1390-SUM($AG1390:AH1390))),0)</f>
        <v>0</v>
      </c>
      <c r="AJ1390" s="8">
        <f>IF($O1390="Aktif",MAX(0,MIN($AE1390,$AD1390-SUM($AG1390:AI1390))),0)</f>
        <v>0</v>
      </c>
      <c r="AK1390" s="8">
        <f>IF($O1390="Aktif",MAX(0,MIN($AE1390,$AD1390-SUM($AG1390:AJ1390))),0)</f>
        <v>0</v>
      </c>
      <c r="AL1390" s="8">
        <f>IF($O1390="Aktif",MAX(0,MIN($AE1390,$AD1390-SUM($AG1390:AK1390))),0)</f>
        <v>0</v>
      </c>
      <c r="AM1390" s="8">
        <f>IF($O1390="Aktif",MAX(0,MIN($AE1390,$AD1390-SUM($AG1390:AL1390))),0)</f>
        <v>0</v>
      </c>
      <c r="AN1390" s="8">
        <f>IF($O1390="Aktif",MAX(0,MIN($AE1390,$AD1390-SUM($AG1390:AM1390))),0)</f>
        <v>0</v>
      </c>
      <c r="AO1390" s="8">
        <f>IF($O1390="Aktif",MAX(0,MIN($AE1390,$AD1390-SUM($AG1390:AN1390))),0)</f>
        <v>0</v>
      </c>
      <c r="AP1390" s="8">
        <f>IF($O1390="Aktif",MAX(0,MIN($AE1390,$AD1390-SUM($AG1390:AO1390))),0)</f>
        <v>0</v>
      </c>
      <c r="AQ1390" s="8">
        <f>IF($O1390="Aktif",MAX(0,MIN($AE1390,$AD1390-SUM($AG1390:AP1390))),0)</f>
        <v>0</v>
      </c>
      <c r="AR1390" s="8">
        <f>IF($O1390="Aktif",MAX(0,MIN($AE1390,$AD1390-SUM($AG1390:AQ1390))),0)</f>
        <v>0</v>
      </c>
      <c r="AS1390" s="8">
        <f>IF($O1390="Aktif",MAX(0,MIN($AE1390,$AD1390-SUM($AG1390:AR1390))),0)</f>
        <v>0</v>
      </c>
      <c r="AT1390" s="8">
        <f>IF($O1390="Aktif",MAX(0,MIN($AE1390,$AD1390-SUM($AG1390:AS1390))),0)</f>
        <v>0</v>
      </c>
      <c r="AU1390" s="8">
        <f>IF($O1390="Aktif",MAX(0,MIN($AE1390,$AD1390-SUM($AG1390:AT1390))),0)</f>
        <v>0</v>
      </c>
      <c r="AV1390" s="8">
        <f>IF($O1390="Aktif",MAX(0,MIN($AE1390,$AD1390-SUM($AG1390:AU1390))),0)</f>
        <v>0</v>
      </c>
      <c r="AW1390" s="8">
        <f t="shared" si="152"/>
        <v>0</v>
      </c>
      <c r="AX1390" s="8">
        <f t="shared" si="153"/>
        <v>0</v>
      </c>
    </row>
    <row r="1391" spans="1:50" ht="15" customHeight="1" x14ac:dyDescent="0.35">
      <c r="A1391" s="102">
        <v>1385</v>
      </c>
      <c r="B1391" s="102" t="s">
        <v>3714</v>
      </c>
      <c r="C1391" s="103">
        <v>44</v>
      </c>
      <c r="D1391" s="102" t="s">
        <v>186</v>
      </c>
      <c r="E1391" s="102" t="s">
        <v>479</v>
      </c>
      <c r="F1391" s="102" t="s">
        <v>3116</v>
      </c>
      <c r="G1391" s="102" t="s">
        <v>3117</v>
      </c>
      <c r="H1391" s="102" t="s">
        <v>3118</v>
      </c>
      <c r="I1391" s="102" t="s">
        <v>63</v>
      </c>
      <c r="J1391" s="102" t="s">
        <v>3807</v>
      </c>
      <c r="K1391" s="102"/>
      <c r="L1391" s="104">
        <v>42551</v>
      </c>
      <c r="M1391" s="102" t="s">
        <v>3808</v>
      </c>
      <c r="N1391" s="102" t="s">
        <v>3809</v>
      </c>
      <c r="O1391" s="102" t="s">
        <v>383</v>
      </c>
      <c r="P1391" s="103">
        <v>1</v>
      </c>
      <c r="Q1391" s="105">
        <v>10000000</v>
      </c>
      <c r="R1391" s="103">
        <v>48</v>
      </c>
      <c r="S1391" s="105">
        <v>6250000</v>
      </c>
      <c r="T1391" s="105">
        <v>10000000</v>
      </c>
      <c r="U1391" s="105">
        <v>0</v>
      </c>
      <c r="V1391" s="105">
        <v>0</v>
      </c>
      <c r="W1391" s="105">
        <v>0</v>
      </c>
      <c r="X1391" s="105">
        <v>0</v>
      </c>
      <c r="Y1391" s="105">
        <v>0</v>
      </c>
      <c r="Z1391" s="105">
        <v>0</v>
      </c>
      <c r="AA1391" s="105">
        <v>0</v>
      </c>
      <c r="AB1391" s="105">
        <v>0</v>
      </c>
      <c r="AC1391" s="8">
        <f t="shared" si="147"/>
        <v>10000000</v>
      </c>
      <c r="AD1391" s="8">
        <f t="shared" si="148"/>
        <v>0</v>
      </c>
      <c r="AE1391" s="8">
        <f t="shared" si="149"/>
        <v>0</v>
      </c>
      <c r="AF1391" s="106">
        <f t="shared" si="150"/>
        <v>0</v>
      </c>
      <c r="AG1391" s="8">
        <f t="shared" si="151"/>
        <v>0</v>
      </c>
      <c r="AH1391" s="8">
        <f>IF($O1391="Aktif",MAX(0,MIN($AE1391,$AD1391-SUM($AG1391:AG1391))),0)</f>
        <v>0</v>
      </c>
      <c r="AI1391" s="8">
        <f>IF($O1391="Aktif",MAX(0,MIN($AE1391,$AD1391-SUM($AG1391:AH1391))),0)</f>
        <v>0</v>
      </c>
      <c r="AJ1391" s="8">
        <f>IF($O1391="Aktif",MAX(0,MIN($AE1391,$AD1391-SUM($AG1391:AI1391))),0)</f>
        <v>0</v>
      </c>
      <c r="AK1391" s="8">
        <f>IF($O1391="Aktif",MAX(0,MIN($AE1391,$AD1391-SUM($AG1391:AJ1391))),0)</f>
        <v>0</v>
      </c>
      <c r="AL1391" s="8">
        <f>IF($O1391="Aktif",MAX(0,MIN($AE1391,$AD1391-SUM($AG1391:AK1391))),0)</f>
        <v>0</v>
      </c>
      <c r="AM1391" s="8">
        <f>IF($O1391="Aktif",MAX(0,MIN($AE1391,$AD1391-SUM($AG1391:AL1391))),0)</f>
        <v>0</v>
      </c>
      <c r="AN1391" s="8">
        <f>IF($O1391="Aktif",MAX(0,MIN($AE1391,$AD1391-SUM($AG1391:AM1391))),0)</f>
        <v>0</v>
      </c>
      <c r="AO1391" s="8">
        <f>IF($O1391="Aktif",MAX(0,MIN($AE1391,$AD1391-SUM($AG1391:AN1391))),0)</f>
        <v>0</v>
      </c>
      <c r="AP1391" s="8">
        <f>IF($O1391="Aktif",MAX(0,MIN($AE1391,$AD1391-SUM($AG1391:AO1391))),0)</f>
        <v>0</v>
      </c>
      <c r="AQ1391" s="8">
        <f>IF($O1391="Aktif",MAX(0,MIN($AE1391,$AD1391-SUM($AG1391:AP1391))),0)</f>
        <v>0</v>
      </c>
      <c r="AR1391" s="8">
        <f>IF($O1391="Aktif",MAX(0,MIN($AE1391,$AD1391-SUM($AG1391:AQ1391))),0)</f>
        <v>0</v>
      </c>
      <c r="AS1391" s="8">
        <f>IF($O1391="Aktif",MAX(0,MIN($AE1391,$AD1391-SUM($AG1391:AR1391))),0)</f>
        <v>0</v>
      </c>
      <c r="AT1391" s="8">
        <f>IF($O1391="Aktif",MAX(0,MIN($AE1391,$AD1391-SUM($AG1391:AS1391))),0)</f>
        <v>0</v>
      </c>
      <c r="AU1391" s="8">
        <f>IF($O1391="Aktif",MAX(0,MIN($AE1391,$AD1391-SUM($AG1391:AT1391))),0)</f>
        <v>0</v>
      </c>
      <c r="AV1391" s="8">
        <f>IF($O1391="Aktif",MAX(0,MIN($AE1391,$AD1391-SUM($AG1391:AU1391))),0)</f>
        <v>0</v>
      </c>
      <c r="AW1391" s="8">
        <f t="shared" si="152"/>
        <v>0</v>
      </c>
      <c r="AX1391" s="8">
        <f t="shared" si="153"/>
        <v>0</v>
      </c>
    </row>
    <row r="1392" spans="1:50" ht="15" customHeight="1" x14ac:dyDescent="0.35">
      <c r="M1392" s="6" t="s">
        <v>3810</v>
      </c>
      <c r="Q1392" s="107">
        <f>SUM(Q7:Q1391)</f>
        <v>54314423494.68998</v>
      </c>
      <c r="T1392" s="107">
        <f t="shared" ref="T1392:AE1392" si="154">SUM(T7:T1391)</f>
        <v>32212453145.836178</v>
      </c>
      <c r="U1392" s="107">
        <f t="shared" si="154"/>
        <v>308858929.21520823</v>
      </c>
      <c r="V1392" s="107">
        <f t="shared" si="154"/>
        <v>312913284.93874997</v>
      </c>
      <c r="W1392" s="107">
        <f t="shared" si="154"/>
        <v>305982094.36187488</v>
      </c>
      <c r="X1392" s="107">
        <f t="shared" si="154"/>
        <v>303070929.77854151</v>
      </c>
      <c r="Y1392" s="107">
        <f t="shared" si="154"/>
        <v>310351516.11187488</v>
      </c>
      <c r="Z1392" s="107">
        <f t="shared" si="154"/>
        <v>310443626.38270819</v>
      </c>
      <c r="AA1392" s="107">
        <f t="shared" si="154"/>
        <v>311074052.59104156</v>
      </c>
      <c r="AB1392" s="107">
        <f t="shared" si="154"/>
        <v>312484881.03374994</v>
      </c>
      <c r="AC1392" s="107">
        <f t="shared" si="154"/>
        <v>34687632460.249908</v>
      </c>
      <c r="AD1392" s="107">
        <f t="shared" si="154"/>
        <v>19626791034.440083</v>
      </c>
      <c r="AE1392" s="107">
        <f t="shared" si="154"/>
        <v>312484881.03374994</v>
      </c>
      <c r="AG1392" s="107">
        <f t="shared" ref="AG1392:AX1392" si="155">SUM(AG7:AG1391)</f>
        <v>312236965.40874988</v>
      </c>
      <c r="AH1392" s="107">
        <f t="shared" si="155"/>
        <v>311959569.57874984</v>
      </c>
      <c r="AI1392" s="107">
        <f t="shared" si="155"/>
        <v>309371908.59624994</v>
      </c>
      <c r="AJ1392" s="107">
        <f t="shared" si="155"/>
        <v>306844626.49208313</v>
      </c>
      <c r="AK1392" s="107">
        <f t="shared" si="155"/>
        <v>305726007.86708319</v>
      </c>
      <c r="AL1392" s="107">
        <f t="shared" si="155"/>
        <v>305266997.45041651</v>
      </c>
      <c r="AM1392" s="107">
        <f t="shared" si="155"/>
        <v>304602086.30458313</v>
      </c>
      <c r="AN1392" s="107">
        <f t="shared" si="155"/>
        <v>296259025.88791651</v>
      </c>
      <c r="AO1392" s="107">
        <f t="shared" si="155"/>
        <v>295677685.72124982</v>
      </c>
      <c r="AP1392" s="107">
        <f t="shared" si="155"/>
        <v>294958060.72124994</v>
      </c>
      <c r="AQ1392" s="107">
        <f t="shared" si="155"/>
        <v>294539457.92958319</v>
      </c>
      <c r="AR1392" s="107">
        <f t="shared" si="155"/>
        <v>293474874.59624988</v>
      </c>
      <c r="AS1392" s="107">
        <f t="shared" si="155"/>
        <v>292962703.76291656</v>
      </c>
      <c r="AT1392" s="107">
        <f t="shared" si="155"/>
        <v>291290043.28374988</v>
      </c>
      <c r="AU1392" s="107">
        <f t="shared" si="155"/>
        <v>291087659.65916657</v>
      </c>
      <c r="AV1392" s="107">
        <f t="shared" si="155"/>
        <v>290551201.32583326</v>
      </c>
      <c r="AW1392" s="107">
        <f t="shared" si="155"/>
        <v>4796808874.5858326</v>
      </c>
      <c r="AX1392" s="107">
        <f t="shared" si="155"/>
        <v>14829982159.854258</v>
      </c>
    </row>
    <row r="1395" spans="1:48" ht="15" customHeight="1" x14ac:dyDescent="0.35">
      <c r="A1395" s="4" t="s">
        <v>3811</v>
      </c>
    </row>
    <row r="1396" spans="1:48" ht="15" customHeight="1" x14ac:dyDescent="0.35">
      <c r="A1396" s="5" t="s">
        <v>3812</v>
      </c>
      <c r="D1396" s="5" t="s">
        <v>337</v>
      </c>
      <c r="M1396" s="5" t="s">
        <v>3813</v>
      </c>
      <c r="U1396" s="108">
        <f t="shared" ref="U1396:AB1396" si="156">U$5</f>
        <v>46053</v>
      </c>
      <c r="V1396" s="108">
        <f t="shared" si="156"/>
        <v>46081</v>
      </c>
      <c r="W1396" s="108">
        <f t="shared" si="156"/>
        <v>46112</v>
      </c>
      <c r="X1396" s="108">
        <f t="shared" si="156"/>
        <v>46142</v>
      </c>
      <c r="Y1396" s="108">
        <f t="shared" si="156"/>
        <v>46173</v>
      </c>
      <c r="Z1396" s="108">
        <f t="shared" si="156"/>
        <v>46203</v>
      </c>
      <c r="AA1396" s="108">
        <f t="shared" si="156"/>
        <v>46234</v>
      </c>
      <c r="AB1396" s="108">
        <f t="shared" si="156"/>
        <v>46265</v>
      </c>
      <c r="AG1396" s="108">
        <f t="shared" ref="AG1396:AV1396" si="157">AG$5</f>
        <v>46295</v>
      </c>
      <c r="AH1396" s="108">
        <f t="shared" si="157"/>
        <v>46326</v>
      </c>
      <c r="AI1396" s="108">
        <f t="shared" si="157"/>
        <v>46356</v>
      </c>
      <c r="AJ1396" s="108">
        <f t="shared" si="157"/>
        <v>46387</v>
      </c>
      <c r="AK1396" s="108">
        <f t="shared" si="157"/>
        <v>46418</v>
      </c>
      <c r="AL1396" s="108">
        <f t="shared" si="157"/>
        <v>46446</v>
      </c>
      <c r="AM1396" s="108">
        <f t="shared" si="157"/>
        <v>46477</v>
      </c>
      <c r="AN1396" s="108">
        <f t="shared" si="157"/>
        <v>46507</v>
      </c>
      <c r="AO1396" s="108">
        <f t="shared" si="157"/>
        <v>46538</v>
      </c>
      <c r="AP1396" s="108">
        <f t="shared" si="157"/>
        <v>46568</v>
      </c>
      <c r="AQ1396" s="108">
        <f t="shared" si="157"/>
        <v>46599</v>
      </c>
      <c r="AR1396" s="108">
        <f t="shared" si="157"/>
        <v>46630</v>
      </c>
      <c r="AS1396" s="108">
        <f t="shared" si="157"/>
        <v>46660</v>
      </c>
      <c r="AT1396" s="108">
        <f t="shared" si="157"/>
        <v>46691</v>
      </c>
      <c r="AU1396" s="108">
        <f t="shared" si="157"/>
        <v>46721</v>
      </c>
      <c r="AV1396" s="108">
        <f t="shared" si="157"/>
        <v>46752</v>
      </c>
    </row>
    <row r="1397" spans="1:48" ht="15" customHeight="1" x14ac:dyDescent="0.35">
      <c r="A1397" s="6" t="s">
        <v>378</v>
      </c>
      <c r="D1397" s="7" t="s">
        <v>3814</v>
      </c>
      <c r="M1397" s="7" t="s">
        <v>3815</v>
      </c>
      <c r="U1397" s="8">
        <f>SUMIF($H$7:$H$1391,$A1397,$U$7:$U$1391)</f>
        <v>61730368.508333288</v>
      </c>
      <c r="V1397" s="8">
        <f>SUMIF($H$7:$H$1391,$A1397,$V$7:$V$1391)</f>
        <v>61730368.508333288</v>
      </c>
      <c r="W1397" s="8">
        <f>SUMIF($H$7:$H$1391,$A1397,$W$7:$W$1391)</f>
        <v>61730368.508333288</v>
      </c>
      <c r="X1397" s="8">
        <f>SUMIF($H$7:$H$1391,$A1397,$X$7:$X$1391)</f>
        <v>61730368.508333288</v>
      </c>
      <c r="Y1397" s="8">
        <f>SUMIF($H$7:$H$1391,$A1397,$Y$7:$Y$1391)</f>
        <v>61730368.508333288</v>
      </c>
      <c r="Z1397" s="8">
        <f>SUMIF($H$7:$H$1391,$A1397,$Z$7:$Z$1391)</f>
        <v>61730368.508333288</v>
      </c>
      <c r="AA1397" s="8">
        <f>SUMIF($H$7:$H$1391,$A1397,$AA$7:$AA$1391)</f>
        <v>61730368.508333288</v>
      </c>
      <c r="AB1397" s="8">
        <f>SUMIF($H$7:$H$1391,$A1397,$AB$7:$AB$1391)</f>
        <v>62104535.174999952</v>
      </c>
      <c r="AG1397" s="8">
        <f>SUMIF($H$7:$H$1391,$A1397,$AG$7:$AG$1391)</f>
        <v>62104535.174999952</v>
      </c>
      <c r="AH1397" s="8">
        <f>SUMIF($H$7:$H$1391,$A1397,$AH$7:$AH$1391)</f>
        <v>62104535.174999952</v>
      </c>
      <c r="AI1397" s="8">
        <f>SUMIF($H$7:$H$1391,$A1397,$AI$7:$AI$1391)</f>
        <v>62104535.174999952</v>
      </c>
      <c r="AJ1397" s="8">
        <f>SUMIF($H$7:$H$1391,$A1397,$AJ$7:$AJ$1391)</f>
        <v>62104535.174999952</v>
      </c>
      <c r="AK1397" s="8">
        <f>SUMIF($H$7:$H$1391,$A1397,$AK$7:$AK$1391)</f>
        <v>62104535.174999952</v>
      </c>
      <c r="AL1397" s="8">
        <f>SUMIF($H$7:$H$1391,$A1397,$AL$7:$AL$1391)</f>
        <v>62104535.174999952</v>
      </c>
      <c r="AM1397" s="8">
        <f>SUMIF($H$7:$H$1391,$A1397,$AM$7:$AM$1391)</f>
        <v>62104535.174999952</v>
      </c>
      <c r="AN1397" s="8">
        <f>SUMIF($H$7:$H$1391,$A1397,$AN$7:$AN$1391)</f>
        <v>62104535.174999952</v>
      </c>
      <c r="AO1397" s="8">
        <f>SUMIF($H$7:$H$1391,$A1397,$AO$7:$AO$1391)</f>
        <v>62104535.174999952</v>
      </c>
      <c r="AP1397" s="8">
        <f>SUMIF($H$7:$H$1391,$A1397,$AP$7:$AP$1391)</f>
        <v>62104535.174999952</v>
      </c>
      <c r="AQ1397" s="8">
        <f>SUMIF($H$7:$H$1391,$A1397,$AQ$7:$AQ$1391)</f>
        <v>62104535.174999952</v>
      </c>
      <c r="AR1397" s="8">
        <f>SUMIF($H$7:$H$1391,$A1397,$AR$7:$AR$1391)</f>
        <v>62104535.174999952</v>
      </c>
      <c r="AS1397" s="8">
        <f>SUMIF($H$7:$H$1391,$A1397,$AS$7:$AS$1391)</f>
        <v>62104535.174999952</v>
      </c>
      <c r="AT1397" s="8">
        <f>SUMIF($H$7:$H$1391,$A1397,$AT$7:$AT$1391)</f>
        <v>62104535.174999952</v>
      </c>
      <c r="AU1397" s="8">
        <f>SUMIF($H$7:$H$1391,$A1397,$AU$7:$AU$1391)</f>
        <v>62104535.174999952</v>
      </c>
      <c r="AV1397" s="8">
        <f>SUMIF($H$7:$H$1391,$A1397,$AV$7:$AV$1391)</f>
        <v>62104535.174999952</v>
      </c>
    </row>
    <row r="1398" spans="1:48" ht="15" customHeight="1" x14ac:dyDescent="0.35">
      <c r="M1398" s="7" t="s">
        <v>3816</v>
      </c>
      <c r="U1398" s="8">
        <f>SUMIFS('PL Actual MTM - Aug 26'!D:D,'PL Actual MTM - Aug 26'!$A:$A,$A1397)</f>
        <v>61730368.5</v>
      </c>
      <c r="V1398" s="8">
        <f>SUMIFS('PL Actual MTM - Aug 26'!E:E,'PL Actual MTM - Aug 26'!$A:$A,$A1397)</f>
        <v>61730368.5</v>
      </c>
      <c r="W1398" s="8">
        <f>SUMIFS('PL Actual MTM - Aug 26'!F:F,'PL Actual MTM - Aug 26'!$A:$A,$A1397)</f>
        <v>61730368.5</v>
      </c>
      <c r="X1398" s="8">
        <f>SUMIFS('PL Actual MTM - Aug 26'!G:G,'PL Actual MTM - Aug 26'!$A:$A,$A1397)</f>
        <v>61730368.5</v>
      </c>
      <c r="Y1398" s="8">
        <f>SUMIFS('PL Actual MTM - Aug 26'!H:H,'PL Actual MTM - Aug 26'!$A:$A,$A1397)</f>
        <v>61730368.5</v>
      </c>
      <c r="Z1398" s="8">
        <f>SUMIFS('PL Actual MTM - Aug 26'!I:I,'PL Actual MTM - Aug 26'!$A:$A,$A1397)</f>
        <v>61730368.5</v>
      </c>
      <c r="AA1398" s="8">
        <f>SUMIFS('PL Actual MTM - Aug 26'!J:J,'PL Actual MTM - Aug 26'!$A:$A,$A1397)</f>
        <v>61730368.5</v>
      </c>
      <c r="AB1398" s="8">
        <f>SUMIFS('PL Actual MTM - Aug 26'!K:K,'PL Actual MTM - Aug 26'!$A:$A,$A1397)</f>
        <v>62104535.170000002</v>
      </c>
    </row>
    <row r="1399" spans="1:48" ht="15" customHeight="1" x14ac:dyDescent="0.35">
      <c r="M1399" s="7" t="s">
        <v>3817</v>
      </c>
      <c r="U1399" s="109">
        <f t="shared" ref="U1399:AB1399" si="158">U1397-U1398</f>
        <v>8.3332881331443787E-3</v>
      </c>
      <c r="V1399" s="109">
        <f t="shared" si="158"/>
        <v>8.3332881331443787E-3</v>
      </c>
      <c r="W1399" s="109">
        <f t="shared" si="158"/>
        <v>8.3332881331443787E-3</v>
      </c>
      <c r="X1399" s="109">
        <f t="shared" si="158"/>
        <v>8.3332881331443787E-3</v>
      </c>
      <c r="Y1399" s="109">
        <f t="shared" si="158"/>
        <v>8.3332881331443787E-3</v>
      </c>
      <c r="Z1399" s="109">
        <f t="shared" si="158"/>
        <v>8.3332881331443787E-3</v>
      </c>
      <c r="AA1399" s="109">
        <f t="shared" si="158"/>
        <v>8.3332881331443787E-3</v>
      </c>
      <c r="AB1399" s="109">
        <f t="shared" si="158"/>
        <v>4.9999505281448364E-3</v>
      </c>
    </row>
    <row r="1400" spans="1:48" ht="15" customHeight="1" x14ac:dyDescent="0.35">
      <c r="A1400" s="6" t="s">
        <v>482</v>
      </c>
      <c r="D1400" s="7" t="s">
        <v>3818</v>
      </c>
      <c r="M1400" s="7" t="s">
        <v>3815</v>
      </c>
      <c r="U1400" s="8">
        <f>SUMIF($H$7:$H$1391,$A1400,$U$7:$U$1391)</f>
        <v>24154522.624999963</v>
      </c>
      <c r="V1400" s="8">
        <f>SUMIF($H$7:$H$1391,$A1400,$V$7:$V$1391)</f>
        <v>24154522.624999963</v>
      </c>
      <c r="W1400" s="8">
        <f>SUMIF($H$7:$H$1391,$A1400,$W$7:$W$1391)</f>
        <v>24154522.624999963</v>
      </c>
      <c r="X1400" s="8">
        <f>SUMIF($H$7:$H$1391,$A1400,$X$7:$X$1391)</f>
        <v>24154522.624999963</v>
      </c>
      <c r="Y1400" s="8">
        <f>SUMIF($H$7:$H$1391,$A1400,$Y$7:$Y$1391)</f>
        <v>30404522.624999963</v>
      </c>
      <c r="Z1400" s="8">
        <f>SUMIF($H$7:$H$1391,$A1400,$Z$7:$Z$1391)</f>
        <v>30404522.624999963</v>
      </c>
      <c r="AA1400" s="8">
        <f>SUMIF($H$7:$H$1391,$A1400,$AA$7:$AA$1391)</f>
        <v>30404522.624999963</v>
      </c>
      <c r="AB1400" s="8">
        <f>SUMIF($H$7:$H$1391,$A1400,$AB$7:$AB$1391)</f>
        <v>30404522.624999963</v>
      </c>
      <c r="AG1400" s="8">
        <f>SUMIF($H$7:$H$1391,$A1400,$AG$7:$AG$1391)</f>
        <v>30404522.624999963</v>
      </c>
      <c r="AH1400" s="8">
        <f>SUMIF($H$7:$H$1391,$A1400,$AH$7:$AH$1391)</f>
        <v>30404522.624999963</v>
      </c>
      <c r="AI1400" s="8">
        <f>SUMIF($H$7:$H$1391,$A1400,$AI$7:$AI$1391)</f>
        <v>30404522.624999963</v>
      </c>
      <c r="AJ1400" s="8">
        <f>SUMIF($H$7:$H$1391,$A1400,$AJ$7:$AJ$1391)</f>
        <v>30404522.624999963</v>
      </c>
      <c r="AK1400" s="8">
        <f>SUMIF($H$7:$H$1391,$A1400,$AK$7:$AK$1391)</f>
        <v>30404522.624999963</v>
      </c>
      <c r="AL1400" s="8">
        <f>SUMIF($H$7:$H$1391,$A1400,$AL$7:$AL$1391)</f>
        <v>30404522.624999963</v>
      </c>
      <c r="AM1400" s="8">
        <f>SUMIF($H$7:$H$1391,$A1400,$AM$7:$AM$1391)</f>
        <v>30404522.624999963</v>
      </c>
      <c r="AN1400" s="8">
        <f>SUMIF($H$7:$H$1391,$A1400,$AN$7:$AN$1391)</f>
        <v>30404522.624999963</v>
      </c>
      <c r="AO1400" s="8">
        <f>SUMIF($H$7:$H$1391,$A1400,$AO$7:$AO$1391)</f>
        <v>30404522.624999963</v>
      </c>
      <c r="AP1400" s="8">
        <f>SUMIF($H$7:$H$1391,$A1400,$AP$7:$AP$1391)</f>
        <v>30404522.624999963</v>
      </c>
      <c r="AQ1400" s="8">
        <f>SUMIF($H$7:$H$1391,$A1400,$AQ$7:$AQ$1391)</f>
        <v>30404522.624999963</v>
      </c>
      <c r="AR1400" s="8">
        <f>SUMIF($H$7:$H$1391,$A1400,$AR$7:$AR$1391)</f>
        <v>30404522.624999963</v>
      </c>
      <c r="AS1400" s="8">
        <f>SUMIF($H$7:$H$1391,$A1400,$AS$7:$AS$1391)</f>
        <v>30404522.624999963</v>
      </c>
      <c r="AT1400" s="8">
        <f>SUMIF($H$7:$H$1391,$A1400,$AT$7:$AT$1391)</f>
        <v>30404522.624999963</v>
      </c>
      <c r="AU1400" s="8">
        <f>SUMIF($H$7:$H$1391,$A1400,$AU$7:$AU$1391)</f>
        <v>30404522.624999963</v>
      </c>
      <c r="AV1400" s="8">
        <f>SUMIF($H$7:$H$1391,$A1400,$AV$7:$AV$1391)</f>
        <v>30404522.624999963</v>
      </c>
    </row>
    <row r="1401" spans="1:48" ht="15" customHeight="1" x14ac:dyDescent="0.35">
      <c r="M1401" s="7" t="s">
        <v>3816</v>
      </c>
      <c r="U1401" s="8">
        <f>SUMIFS('PL Actual MTM - Aug 26'!D:D,'PL Actual MTM - Aug 26'!$A:$A,$A1400)</f>
        <v>24154522.629999999</v>
      </c>
      <c r="V1401" s="8">
        <f>SUMIFS('PL Actual MTM - Aug 26'!E:E,'PL Actual MTM - Aug 26'!$A:$A,$A1400)</f>
        <v>24154522.629999999</v>
      </c>
      <c r="W1401" s="8">
        <f>SUMIFS('PL Actual MTM - Aug 26'!F:F,'PL Actual MTM - Aug 26'!$A:$A,$A1400)</f>
        <v>24154522.629999999</v>
      </c>
      <c r="X1401" s="8">
        <f>SUMIFS('PL Actual MTM - Aug 26'!G:G,'PL Actual MTM - Aug 26'!$A:$A,$A1400)</f>
        <v>24154522.629999999</v>
      </c>
      <c r="Y1401" s="8">
        <f>SUMIFS('PL Actual MTM - Aug 26'!H:H,'PL Actual MTM - Aug 26'!$A:$A,$A1400)</f>
        <v>30404522.629999999</v>
      </c>
      <c r="Z1401" s="8">
        <f>SUMIFS('PL Actual MTM - Aug 26'!I:I,'PL Actual MTM - Aug 26'!$A:$A,$A1400)</f>
        <v>30404522.629999999</v>
      </c>
      <c r="AA1401" s="8">
        <f>SUMIFS('PL Actual MTM - Aug 26'!J:J,'PL Actual MTM - Aug 26'!$A:$A,$A1400)</f>
        <v>30404522.629999999</v>
      </c>
      <c r="AB1401" s="8">
        <f>SUMIFS('PL Actual MTM - Aug 26'!K:K,'PL Actual MTM - Aug 26'!$A:$A,$A1400)</f>
        <v>30404522.629999999</v>
      </c>
    </row>
    <row r="1402" spans="1:48" ht="15" customHeight="1" x14ac:dyDescent="0.35">
      <c r="M1402" s="7" t="s">
        <v>3817</v>
      </c>
      <c r="U1402" s="109">
        <f t="shared" ref="U1402:AB1402" si="159">U1400-U1401</f>
        <v>-5.000036209821701E-3</v>
      </c>
      <c r="V1402" s="109">
        <f t="shared" si="159"/>
        <v>-5.000036209821701E-3</v>
      </c>
      <c r="W1402" s="109">
        <f t="shared" si="159"/>
        <v>-5.000036209821701E-3</v>
      </c>
      <c r="X1402" s="109">
        <f t="shared" si="159"/>
        <v>-5.000036209821701E-3</v>
      </c>
      <c r="Y1402" s="109">
        <f t="shared" si="159"/>
        <v>-5.000036209821701E-3</v>
      </c>
      <c r="Z1402" s="109">
        <f t="shared" si="159"/>
        <v>-5.000036209821701E-3</v>
      </c>
      <c r="AA1402" s="109">
        <f t="shared" si="159"/>
        <v>-5.000036209821701E-3</v>
      </c>
      <c r="AB1402" s="109">
        <f t="shared" si="159"/>
        <v>-5.000036209821701E-3</v>
      </c>
    </row>
    <row r="1403" spans="1:48" ht="15" customHeight="1" x14ac:dyDescent="0.35">
      <c r="A1403" s="6" t="s">
        <v>949</v>
      </c>
      <c r="D1403" s="7" t="s">
        <v>3819</v>
      </c>
      <c r="M1403" s="7" t="s">
        <v>3815</v>
      </c>
      <c r="U1403" s="8">
        <f>SUMIF($H$7:$H$1391,$A1403,$U$7:$U$1391)</f>
        <v>8593637.4122916684</v>
      </c>
      <c r="V1403" s="8">
        <f>SUMIF($H$7:$H$1391,$A1403,$V$7:$V$1391)</f>
        <v>8448444.2816666681</v>
      </c>
      <c r="W1403" s="8">
        <f>SUMIF($H$7:$H$1391,$A1403,$W$7:$W$1391)</f>
        <v>8594488.1214583348</v>
      </c>
      <c r="X1403" s="8">
        <f>SUMIF($H$7:$H$1391,$A1403,$X$7:$X$1391)</f>
        <v>8619865.2047916688</v>
      </c>
      <c r="Y1403" s="8">
        <f>SUMIF($H$7:$H$1391,$A1403,$Y$7:$Y$1391)</f>
        <v>8649618.2047916707</v>
      </c>
      <c r="Z1403" s="8">
        <f>SUMIF($H$7:$H$1391,$A1403,$Z$7:$Z$1391)</f>
        <v>8711968.0589583348</v>
      </c>
      <c r="AA1403" s="8">
        <f>SUMIF($H$7:$H$1391,$A1403,$AA$7:$AA$1391)</f>
        <v>9380380.2047916688</v>
      </c>
      <c r="AB1403" s="8">
        <f>SUMIF($H$7:$H$1391,$A1403,$AB$7:$AB$1391)</f>
        <v>9960897.6475000065</v>
      </c>
      <c r="AG1403" s="8">
        <f>SUMIF($H$7:$H$1391,$A1403,$AG$7:$AG$1391)</f>
        <v>9960897.6475000046</v>
      </c>
      <c r="AH1403" s="8">
        <f>SUMIF($H$7:$H$1391,$A1403,$AH$7:$AH$1391)</f>
        <v>9819230.9808333386</v>
      </c>
      <c r="AI1403" s="8">
        <f>SUMIF($H$7:$H$1391,$A1403,$AI$7:$AI$1391)</f>
        <v>9819230.9808333386</v>
      </c>
      <c r="AJ1403" s="8">
        <f>SUMIF($H$7:$H$1391,$A1403,$AJ$7:$AJ$1391)</f>
        <v>9786740.5433333386</v>
      </c>
      <c r="AK1403" s="8">
        <f>SUMIF($H$7:$H$1391,$A1403,$AK$7:$AK$1391)</f>
        <v>9709788.5850000028</v>
      </c>
      <c r="AL1403" s="8">
        <f>SUMIF($H$7:$H$1391,$A1403,$AL$7:$AL$1391)</f>
        <v>9622288.5850000028</v>
      </c>
      <c r="AM1403" s="8">
        <f>SUMIF($H$7:$H$1391,$A1403,$AM$7:$AM$1391)</f>
        <v>9403924.0016666763</v>
      </c>
      <c r="AN1403" s="8">
        <f>SUMIF($H$7:$H$1391,$A1403,$AN$7:$AN$1391)</f>
        <v>8698884.4183333293</v>
      </c>
      <c r="AO1403" s="8">
        <f>SUMIF($H$7:$H$1391,$A1403,$AO$7:$AO$1391)</f>
        <v>8698884.4183333293</v>
      </c>
      <c r="AP1403" s="8">
        <f>SUMIF($H$7:$H$1391,$A1403,$AP$7:$AP$1391)</f>
        <v>8698884.4183333293</v>
      </c>
      <c r="AQ1403" s="8">
        <f>SUMIF($H$7:$H$1391,$A1403,$AQ$7:$AQ$1391)</f>
        <v>8457364.9600000028</v>
      </c>
      <c r="AR1403" s="8">
        <f>SUMIF($H$7:$H$1391,$A1403,$AR$7:$AR$1391)</f>
        <v>8413614.9599999972</v>
      </c>
      <c r="AS1403" s="8">
        <f>SUMIF($H$7:$H$1391,$A1403,$AS$7:$AS$1391)</f>
        <v>8036860.7933333423</v>
      </c>
      <c r="AT1403" s="8">
        <f>SUMIF($H$7:$H$1391,$A1403,$AT$7:$AT$1391)</f>
        <v>7030866.9808333414</v>
      </c>
      <c r="AU1403" s="8">
        <f>SUMIF($H$7:$H$1391,$A1403,$AU$7:$AU$1391)</f>
        <v>6928483.3562500058</v>
      </c>
      <c r="AV1403" s="8">
        <f>SUMIF($H$7:$H$1391,$A1403,$AV$7:$AV$1391)</f>
        <v>6928483.3562500002</v>
      </c>
    </row>
    <row r="1404" spans="1:48" ht="15" customHeight="1" x14ac:dyDescent="0.35">
      <c r="M1404" s="7" t="s">
        <v>3816</v>
      </c>
      <c r="U1404" s="8">
        <f>SUMIFS('PL Actual MTM - Aug 26'!D:D,'PL Actual MTM - Aug 26'!$A:$A,$A1403)</f>
        <v>8593637.4600000009</v>
      </c>
      <c r="V1404" s="8">
        <f>SUMIFS('PL Actual MTM - Aug 26'!E:E,'PL Actual MTM - Aug 26'!$A:$A,$A1403)</f>
        <v>8448444.3300000001</v>
      </c>
      <c r="W1404" s="8">
        <f>SUMIFS('PL Actual MTM - Aug 26'!F:F,'PL Actual MTM - Aug 26'!$A:$A,$A1403)</f>
        <v>8594488.1699999999</v>
      </c>
      <c r="X1404" s="8">
        <f>SUMIFS('PL Actual MTM - Aug 26'!G:G,'PL Actual MTM - Aug 26'!$A:$A,$A1403)</f>
        <v>8619865.25</v>
      </c>
      <c r="Y1404" s="8">
        <f>SUMIFS('PL Actual MTM - Aug 26'!H:H,'PL Actual MTM - Aug 26'!$A:$A,$A1403)</f>
        <v>8649618.25</v>
      </c>
      <c r="Z1404" s="8">
        <f>SUMIFS('PL Actual MTM - Aug 26'!I:I,'PL Actual MTM - Aug 26'!$A:$A,$A1403)</f>
        <v>8711968.0999999996</v>
      </c>
      <c r="AA1404" s="8">
        <f>SUMIFS('PL Actual MTM - Aug 26'!J:J,'PL Actual MTM - Aug 26'!$A:$A,$A1403)</f>
        <v>9380380.2400000002</v>
      </c>
      <c r="AB1404" s="8">
        <f>SUMIFS('PL Actual MTM - Aug 26'!K:K,'PL Actual MTM - Aug 26'!$A:$A,$A1403)</f>
        <v>9960897.6999999993</v>
      </c>
    </row>
    <row r="1405" spans="1:48" ht="15" customHeight="1" x14ac:dyDescent="0.35">
      <c r="M1405" s="7" t="s">
        <v>3817</v>
      </c>
      <c r="U1405" s="109">
        <f t="shared" ref="U1405:AB1405" si="160">U1403-U1404</f>
        <v>-4.7708332538604736E-2</v>
      </c>
      <c r="V1405" s="109">
        <f t="shared" si="160"/>
        <v>-4.8333331942558289E-2</v>
      </c>
      <c r="W1405" s="109">
        <f t="shared" si="160"/>
        <v>-4.8541665077209473E-2</v>
      </c>
      <c r="X1405" s="109">
        <f t="shared" si="160"/>
        <v>-4.5208331197500229E-2</v>
      </c>
      <c r="Y1405" s="109">
        <f t="shared" si="160"/>
        <v>-4.520832933485508E-2</v>
      </c>
      <c r="Z1405" s="109">
        <f t="shared" si="160"/>
        <v>-4.1041664779186249E-2</v>
      </c>
      <c r="AA1405" s="109">
        <f t="shared" si="160"/>
        <v>-3.5208331421017647E-2</v>
      </c>
      <c r="AB1405" s="109">
        <f t="shared" si="160"/>
        <v>-5.2499992772936821E-2</v>
      </c>
    </row>
    <row r="1406" spans="1:48" ht="15" customHeight="1" x14ac:dyDescent="0.35">
      <c r="A1406" s="6" t="s">
        <v>874</v>
      </c>
      <c r="D1406" s="7" t="s">
        <v>3820</v>
      </c>
      <c r="M1406" s="7" t="s">
        <v>3815</v>
      </c>
      <c r="U1406" s="8">
        <f>SUMIF($H$7:$H$1391,$A1406,$U$7:$U$1391)</f>
        <v>2772395.833333333</v>
      </c>
      <c r="V1406" s="8">
        <f>SUMIF($H$7:$H$1391,$A1406,$V$7:$V$1391)</f>
        <v>2772395.833333333</v>
      </c>
      <c r="W1406" s="8">
        <f>SUMIF($H$7:$H$1391,$A1406,$W$7:$W$1391)</f>
        <v>197916.66666666669</v>
      </c>
      <c r="X1406" s="8">
        <f>SUMIF($H$7:$H$1391,$A1406,$X$7:$X$1391)</f>
        <v>145833.3333333334</v>
      </c>
      <c r="Y1406" s="8">
        <f>SUMIF($H$7:$H$1391,$A1406,$Y$7:$Y$1391)</f>
        <v>145833.3333333334</v>
      </c>
      <c r="Z1406" s="8">
        <f>SUMIF($H$7:$H$1391,$A1406,$Z$7:$Z$1391)</f>
        <v>145833.3333333334</v>
      </c>
      <c r="AA1406" s="8">
        <f>SUMIF($H$7:$H$1391,$A1406,$AA$7:$AA$1391)</f>
        <v>145833.3333333334</v>
      </c>
      <c r="AB1406" s="8">
        <f>SUMIF($H$7:$H$1391,$A1406,$AB$7:$AB$1391)</f>
        <v>145833.3333333334</v>
      </c>
      <c r="AG1406" s="8">
        <f>SUMIF($H$7:$H$1391,$A1406,$AG$7:$AG$1391)</f>
        <v>145833.3333333334</v>
      </c>
      <c r="AH1406" s="8">
        <f>SUMIF($H$7:$H$1391,$A1406,$AH$7:$AH$1391)</f>
        <v>145833.3333333334</v>
      </c>
      <c r="AI1406" s="8">
        <f>SUMIF($H$7:$H$1391,$A1406,$AI$7:$AI$1391)</f>
        <v>145833.3333333334</v>
      </c>
      <c r="AJ1406" s="8">
        <f>SUMIF($H$7:$H$1391,$A1406,$AJ$7:$AJ$1391)</f>
        <v>145833.3333333334</v>
      </c>
      <c r="AK1406" s="8">
        <f>SUMIF($H$7:$H$1391,$A1406,$AK$7:$AK$1391)</f>
        <v>145833.3333333334</v>
      </c>
      <c r="AL1406" s="8">
        <f>SUMIF($H$7:$H$1391,$A1406,$AL$7:$AL$1391)</f>
        <v>145833.3333333334</v>
      </c>
      <c r="AM1406" s="8">
        <f>SUMIF($H$7:$H$1391,$A1406,$AM$7:$AM$1391)</f>
        <v>145833.3333333334</v>
      </c>
      <c r="AN1406" s="8">
        <f>SUMIF($H$7:$H$1391,$A1406,$AN$7:$AN$1391)</f>
        <v>145833.3333333334</v>
      </c>
      <c r="AO1406" s="8">
        <f>SUMIF($H$7:$H$1391,$A1406,$AO$7:$AO$1391)</f>
        <v>145833.3333333334</v>
      </c>
      <c r="AP1406" s="8">
        <f>SUMIF($H$7:$H$1391,$A1406,$AP$7:$AP$1391)</f>
        <v>145833.3333333334</v>
      </c>
      <c r="AQ1406" s="8">
        <f>SUMIF($H$7:$H$1391,$A1406,$AQ$7:$AQ$1391)</f>
        <v>145833.3333333334</v>
      </c>
      <c r="AR1406" s="8">
        <f>SUMIF($H$7:$H$1391,$A1406,$AR$7:$AR$1391)</f>
        <v>145833.3333333334</v>
      </c>
      <c r="AS1406" s="8">
        <f>SUMIF($H$7:$H$1391,$A1406,$AS$7:$AS$1391)</f>
        <v>145833.3333333334</v>
      </c>
      <c r="AT1406" s="8">
        <f>SUMIF($H$7:$H$1391,$A1406,$AT$7:$AT$1391)</f>
        <v>145833.3333333334</v>
      </c>
      <c r="AU1406" s="8">
        <f>SUMIF($H$7:$H$1391,$A1406,$AU$7:$AU$1391)</f>
        <v>145833.3333333334</v>
      </c>
      <c r="AV1406" s="8">
        <f>SUMIF($H$7:$H$1391,$A1406,$AV$7:$AV$1391)</f>
        <v>145833.3333333334</v>
      </c>
    </row>
    <row r="1407" spans="1:48" ht="15" customHeight="1" x14ac:dyDescent="0.35">
      <c r="M1407" s="7" t="s">
        <v>3816</v>
      </c>
      <c r="U1407" s="8">
        <f>SUMIFS('PL Actual MTM - Aug 26'!D:D,'PL Actual MTM - Aug 26'!$A:$A,$A1406)</f>
        <v>2772395.83</v>
      </c>
      <c r="V1407" s="8">
        <f>SUMIFS('PL Actual MTM - Aug 26'!E:E,'PL Actual MTM - Aug 26'!$A:$A,$A1406)</f>
        <v>2772395.83</v>
      </c>
      <c r="W1407" s="8">
        <f>SUMIFS('PL Actual MTM - Aug 26'!F:F,'PL Actual MTM - Aug 26'!$A:$A,$A1406)</f>
        <v>197916.67</v>
      </c>
      <c r="X1407" s="8">
        <f>SUMIFS('PL Actual MTM - Aug 26'!G:G,'PL Actual MTM - Aug 26'!$A:$A,$A1406)</f>
        <v>145833.34</v>
      </c>
      <c r="Y1407" s="8">
        <f>SUMIFS('PL Actual MTM - Aug 26'!H:H,'PL Actual MTM - Aug 26'!$A:$A,$A1406)</f>
        <v>145833.34</v>
      </c>
      <c r="Z1407" s="8">
        <f>SUMIFS('PL Actual MTM - Aug 26'!I:I,'PL Actual MTM - Aug 26'!$A:$A,$A1406)</f>
        <v>145833.34</v>
      </c>
      <c r="AA1407" s="8">
        <f>SUMIFS('PL Actual MTM - Aug 26'!J:J,'PL Actual MTM - Aug 26'!$A:$A,$A1406)</f>
        <v>145833.34</v>
      </c>
      <c r="AB1407" s="8">
        <f>SUMIFS('PL Actual MTM - Aug 26'!K:K,'PL Actual MTM - Aug 26'!$A:$A,$A1406)</f>
        <v>145833.34</v>
      </c>
    </row>
    <row r="1408" spans="1:48" ht="15" customHeight="1" x14ac:dyDescent="0.35">
      <c r="M1408" s="7" t="s">
        <v>3817</v>
      </c>
      <c r="U1408" s="109">
        <f t="shared" ref="U1408:AB1408" si="161">U1406-U1407</f>
        <v>3.3333329483866692E-3</v>
      </c>
      <c r="V1408" s="109">
        <f t="shared" si="161"/>
        <v>3.3333329483866692E-3</v>
      </c>
      <c r="W1408" s="109">
        <f t="shared" si="161"/>
        <v>-3.3333333267364651E-3</v>
      </c>
      <c r="X1408" s="109">
        <f t="shared" si="161"/>
        <v>-6.6666665952652693E-3</v>
      </c>
      <c r="Y1408" s="109">
        <f t="shared" si="161"/>
        <v>-6.6666665952652693E-3</v>
      </c>
      <c r="Z1408" s="109">
        <f t="shared" si="161"/>
        <v>-6.6666665952652693E-3</v>
      </c>
      <c r="AA1408" s="109">
        <f t="shared" si="161"/>
        <v>-6.6666665952652693E-3</v>
      </c>
      <c r="AB1408" s="109">
        <f t="shared" si="161"/>
        <v>-6.6666665952652693E-3</v>
      </c>
    </row>
    <row r="1409" spans="1:48" ht="15" customHeight="1" x14ac:dyDescent="0.35">
      <c r="A1409" s="6" t="s">
        <v>1322</v>
      </c>
      <c r="D1409" s="7" t="s">
        <v>3821</v>
      </c>
      <c r="M1409" s="7" t="s">
        <v>3815</v>
      </c>
      <c r="U1409" s="8">
        <f>SUMIF($H$7:$H$1391,$A1409,$U$7:$U$1391)</f>
        <v>0</v>
      </c>
      <c r="V1409" s="8">
        <f>SUMIF($H$7:$H$1391,$A1409,$V$7:$V$1391)</f>
        <v>0</v>
      </c>
      <c r="W1409" s="8">
        <f>SUMIF($H$7:$H$1391,$A1409,$W$7:$W$1391)</f>
        <v>0</v>
      </c>
      <c r="X1409" s="8">
        <f>SUMIF($H$7:$H$1391,$A1409,$X$7:$X$1391)</f>
        <v>0</v>
      </c>
      <c r="Y1409" s="8">
        <f>SUMIF($H$7:$H$1391,$A1409,$Y$7:$Y$1391)</f>
        <v>0</v>
      </c>
      <c r="Z1409" s="8">
        <f>SUMIF($H$7:$H$1391,$A1409,$Z$7:$Z$1391)</f>
        <v>0</v>
      </c>
      <c r="AA1409" s="8">
        <f>SUMIF($H$7:$H$1391,$A1409,$AA$7:$AA$1391)</f>
        <v>0</v>
      </c>
      <c r="AB1409" s="8">
        <f>SUMIF($H$7:$H$1391,$A1409,$AB$7:$AB$1391)</f>
        <v>0</v>
      </c>
      <c r="AG1409" s="8">
        <f>SUMIF($H$7:$H$1391,$A1409,$AG$7:$AG$1391)</f>
        <v>0</v>
      </c>
      <c r="AH1409" s="8">
        <f>SUMIF($H$7:$H$1391,$A1409,$AH$7:$AH$1391)</f>
        <v>0</v>
      </c>
      <c r="AI1409" s="8">
        <f>SUMIF($H$7:$H$1391,$A1409,$AI$7:$AI$1391)</f>
        <v>0</v>
      </c>
      <c r="AJ1409" s="8">
        <f>SUMIF($H$7:$H$1391,$A1409,$AJ$7:$AJ$1391)</f>
        <v>0</v>
      </c>
      <c r="AK1409" s="8">
        <f>SUMIF($H$7:$H$1391,$A1409,$AK$7:$AK$1391)</f>
        <v>0</v>
      </c>
      <c r="AL1409" s="8">
        <f>SUMIF($H$7:$H$1391,$A1409,$AL$7:$AL$1391)</f>
        <v>0</v>
      </c>
      <c r="AM1409" s="8">
        <f>SUMIF($H$7:$H$1391,$A1409,$AM$7:$AM$1391)</f>
        <v>0</v>
      </c>
      <c r="AN1409" s="8">
        <f>SUMIF($H$7:$H$1391,$A1409,$AN$7:$AN$1391)</f>
        <v>0</v>
      </c>
      <c r="AO1409" s="8">
        <f>SUMIF($H$7:$H$1391,$A1409,$AO$7:$AO$1391)</f>
        <v>0</v>
      </c>
      <c r="AP1409" s="8">
        <f>SUMIF($H$7:$H$1391,$A1409,$AP$7:$AP$1391)</f>
        <v>0</v>
      </c>
      <c r="AQ1409" s="8">
        <f>SUMIF($H$7:$H$1391,$A1409,$AQ$7:$AQ$1391)</f>
        <v>0</v>
      </c>
      <c r="AR1409" s="8">
        <f>SUMIF($H$7:$H$1391,$A1409,$AR$7:$AR$1391)</f>
        <v>0</v>
      </c>
      <c r="AS1409" s="8">
        <f>SUMIF($H$7:$H$1391,$A1409,$AS$7:$AS$1391)</f>
        <v>0</v>
      </c>
      <c r="AT1409" s="8">
        <f>SUMIF($H$7:$H$1391,$A1409,$AT$7:$AT$1391)</f>
        <v>0</v>
      </c>
      <c r="AU1409" s="8">
        <f>SUMIF($H$7:$H$1391,$A1409,$AU$7:$AU$1391)</f>
        <v>0</v>
      </c>
      <c r="AV1409" s="8">
        <f>SUMIF($H$7:$H$1391,$A1409,$AV$7:$AV$1391)</f>
        <v>0</v>
      </c>
    </row>
    <row r="1410" spans="1:48" ht="15" customHeight="1" x14ac:dyDescent="0.35">
      <c r="M1410" s="7" t="s">
        <v>3816</v>
      </c>
      <c r="U1410" s="8">
        <f>SUMIFS('PL Actual MTM - Aug 26'!D:D,'PL Actual MTM - Aug 26'!$A:$A,$A1409)</f>
        <v>0</v>
      </c>
      <c r="V1410" s="8">
        <f>SUMIFS('PL Actual MTM - Aug 26'!E:E,'PL Actual MTM - Aug 26'!$A:$A,$A1409)</f>
        <v>0</v>
      </c>
      <c r="W1410" s="8">
        <f>SUMIFS('PL Actual MTM - Aug 26'!F:F,'PL Actual MTM - Aug 26'!$A:$A,$A1409)</f>
        <v>0</v>
      </c>
      <c r="X1410" s="8">
        <f>SUMIFS('PL Actual MTM - Aug 26'!G:G,'PL Actual MTM - Aug 26'!$A:$A,$A1409)</f>
        <v>0</v>
      </c>
      <c r="Y1410" s="8">
        <f>SUMIFS('PL Actual MTM - Aug 26'!H:H,'PL Actual MTM - Aug 26'!$A:$A,$A1409)</f>
        <v>0</v>
      </c>
      <c r="Z1410" s="8">
        <f>SUMIFS('PL Actual MTM - Aug 26'!I:I,'PL Actual MTM - Aug 26'!$A:$A,$A1409)</f>
        <v>0</v>
      </c>
      <c r="AA1410" s="8">
        <f>SUMIFS('PL Actual MTM - Aug 26'!J:J,'PL Actual MTM - Aug 26'!$A:$A,$A1409)</f>
        <v>0</v>
      </c>
      <c r="AB1410" s="8">
        <f>SUMIFS('PL Actual MTM - Aug 26'!K:K,'PL Actual MTM - Aug 26'!$A:$A,$A1409)</f>
        <v>0</v>
      </c>
    </row>
    <row r="1411" spans="1:48" ht="15" customHeight="1" x14ac:dyDescent="0.35">
      <c r="M1411" s="7" t="s">
        <v>3817</v>
      </c>
      <c r="U1411" s="109">
        <f t="shared" ref="U1411:AB1411" si="162">U1409-U1410</f>
        <v>0</v>
      </c>
      <c r="V1411" s="109">
        <f t="shared" si="162"/>
        <v>0</v>
      </c>
      <c r="W1411" s="109">
        <f t="shared" si="162"/>
        <v>0</v>
      </c>
      <c r="X1411" s="109">
        <f t="shared" si="162"/>
        <v>0</v>
      </c>
      <c r="Y1411" s="109">
        <f t="shared" si="162"/>
        <v>0</v>
      </c>
      <c r="Z1411" s="109">
        <f t="shared" si="162"/>
        <v>0</v>
      </c>
      <c r="AA1411" s="109">
        <f t="shared" si="162"/>
        <v>0</v>
      </c>
      <c r="AB1411" s="109">
        <f t="shared" si="162"/>
        <v>0</v>
      </c>
    </row>
    <row r="1412" spans="1:48" ht="15" customHeight="1" x14ac:dyDescent="0.35">
      <c r="A1412" s="6" t="s">
        <v>590</v>
      </c>
      <c r="D1412" s="7" t="s">
        <v>3822</v>
      </c>
      <c r="M1412" s="7" t="s">
        <v>3815</v>
      </c>
      <c r="U1412" s="8">
        <f>SUMIF($H$7:$H$1391,$A1412,$U$7:$U$1391)</f>
        <v>0</v>
      </c>
      <c r="V1412" s="8">
        <f>SUMIF($H$7:$H$1391,$A1412,$V$7:$V$1391)</f>
        <v>0</v>
      </c>
      <c r="W1412" s="8">
        <f>SUMIF($H$7:$H$1391,$A1412,$W$7:$W$1391)</f>
        <v>0</v>
      </c>
      <c r="X1412" s="8">
        <f>SUMIF($H$7:$H$1391,$A1412,$X$7:$X$1391)</f>
        <v>0</v>
      </c>
      <c r="Y1412" s="8">
        <f>SUMIF($H$7:$H$1391,$A1412,$Y$7:$Y$1391)</f>
        <v>0</v>
      </c>
      <c r="Z1412" s="8">
        <f>SUMIF($H$7:$H$1391,$A1412,$Z$7:$Z$1391)</f>
        <v>0</v>
      </c>
      <c r="AA1412" s="8">
        <f>SUMIF($H$7:$H$1391,$A1412,$AA$7:$AA$1391)</f>
        <v>0</v>
      </c>
      <c r="AB1412" s="8">
        <f>SUMIF($H$7:$H$1391,$A1412,$AB$7:$AB$1391)</f>
        <v>0</v>
      </c>
      <c r="AG1412" s="8">
        <f>SUMIF($H$7:$H$1391,$A1412,$AG$7:$AG$1391)</f>
        <v>0</v>
      </c>
      <c r="AH1412" s="8">
        <f>SUMIF($H$7:$H$1391,$A1412,$AH$7:$AH$1391)</f>
        <v>0</v>
      </c>
      <c r="AI1412" s="8">
        <f>SUMIF($H$7:$H$1391,$A1412,$AI$7:$AI$1391)</f>
        <v>0</v>
      </c>
      <c r="AJ1412" s="8">
        <f>SUMIF($H$7:$H$1391,$A1412,$AJ$7:$AJ$1391)</f>
        <v>0</v>
      </c>
      <c r="AK1412" s="8">
        <f>SUMIF($H$7:$H$1391,$A1412,$AK$7:$AK$1391)</f>
        <v>0</v>
      </c>
      <c r="AL1412" s="8">
        <f>SUMIF($H$7:$H$1391,$A1412,$AL$7:$AL$1391)</f>
        <v>0</v>
      </c>
      <c r="AM1412" s="8">
        <f>SUMIF($H$7:$H$1391,$A1412,$AM$7:$AM$1391)</f>
        <v>0</v>
      </c>
      <c r="AN1412" s="8">
        <f>SUMIF($H$7:$H$1391,$A1412,$AN$7:$AN$1391)</f>
        <v>0</v>
      </c>
      <c r="AO1412" s="8">
        <f>SUMIF($H$7:$H$1391,$A1412,$AO$7:$AO$1391)</f>
        <v>0</v>
      </c>
      <c r="AP1412" s="8">
        <f>SUMIF($H$7:$H$1391,$A1412,$AP$7:$AP$1391)</f>
        <v>0</v>
      </c>
      <c r="AQ1412" s="8">
        <f>SUMIF($H$7:$H$1391,$A1412,$AQ$7:$AQ$1391)</f>
        <v>0</v>
      </c>
      <c r="AR1412" s="8">
        <f>SUMIF($H$7:$H$1391,$A1412,$AR$7:$AR$1391)</f>
        <v>0</v>
      </c>
      <c r="AS1412" s="8">
        <f>SUMIF($H$7:$H$1391,$A1412,$AS$7:$AS$1391)</f>
        <v>0</v>
      </c>
      <c r="AT1412" s="8">
        <f>SUMIF($H$7:$H$1391,$A1412,$AT$7:$AT$1391)</f>
        <v>0</v>
      </c>
      <c r="AU1412" s="8">
        <f>SUMIF($H$7:$H$1391,$A1412,$AU$7:$AU$1391)</f>
        <v>0</v>
      </c>
      <c r="AV1412" s="8">
        <f>SUMIF($H$7:$H$1391,$A1412,$AV$7:$AV$1391)</f>
        <v>0</v>
      </c>
    </row>
    <row r="1413" spans="1:48" ht="15" customHeight="1" x14ac:dyDescent="0.35">
      <c r="M1413" s="7" t="s">
        <v>3816</v>
      </c>
      <c r="U1413" s="8">
        <f>SUMIFS('PL Actual MTM - Aug 26'!D:D,'PL Actual MTM - Aug 26'!$A:$A,$A1412)</f>
        <v>0</v>
      </c>
      <c r="V1413" s="8">
        <f>SUMIFS('PL Actual MTM - Aug 26'!E:E,'PL Actual MTM - Aug 26'!$A:$A,$A1412)</f>
        <v>0</v>
      </c>
      <c r="W1413" s="8">
        <f>SUMIFS('PL Actual MTM - Aug 26'!F:F,'PL Actual MTM - Aug 26'!$A:$A,$A1412)</f>
        <v>0</v>
      </c>
      <c r="X1413" s="8">
        <f>SUMIFS('PL Actual MTM - Aug 26'!G:G,'PL Actual MTM - Aug 26'!$A:$A,$A1412)</f>
        <v>0</v>
      </c>
      <c r="Y1413" s="8">
        <f>SUMIFS('PL Actual MTM - Aug 26'!H:H,'PL Actual MTM - Aug 26'!$A:$A,$A1412)</f>
        <v>0</v>
      </c>
      <c r="Z1413" s="8">
        <f>SUMIFS('PL Actual MTM - Aug 26'!I:I,'PL Actual MTM - Aug 26'!$A:$A,$A1412)</f>
        <v>0</v>
      </c>
      <c r="AA1413" s="8">
        <f>SUMIFS('PL Actual MTM - Aug 26'!J:J,'PL Actual MTM - Aug 26'!$A:$A,$A1412)</f>
        <v>0</v>
      </c>
      <c r="AB1413" s="8">
        <f>SUMIFS('PL Actual MTM - Aug 26'!K:K,'PL Actual MTM - Aug 26'!$A:$A,$A1412)</f>
        <v>0</v>
      </c>
    </row>
    <row r="1414" spans="1:48" ht="15" customHeight="1" x14ac:dyDescent="0.35">
      <c r="M1414" s="7" t="s">
        <v>3817</v>
      </c>
      <c r="U1414" s="109">
        <f t="shared" ref="U1414:AB1414" si="163">U1412-U1413</f>
        <v>0</v>
      </c>
      <c r="V1414" s="109">
        <f t="shared" si="163"/>
        <v>0</v>
      </c>
      <c r="W1414" s="109">
        <f t="shared" si="163"/>
        <v>0</v>
      </c>
      <c r="X1414" s="109">
        <f t="shared" si="163"/>
        <v>0</v>
      </c>
      <c r="Y1414" s="109">
        <f t="shared" si="163"/>
        <v>0</v>
      </c>
      <c r="Z1414" s="109">
        <f t="shared" si="163"/>
        <v>0</v>
      </c>
      <c r="AA1414" s="109">
        <f t="shared" si="163"/>
        <v>0</v>
      </c>
      <c r="AB1414" s="109">
        <f t="shared" si="163"/>
        <v>0</v>
      </c>
    </row>
    <row r="1415" spans="1:48" ht="15" customHeight="1" x14ac:dyDescent="0.35">
      <c r="A1415" s="6" t="s">
        <v>2334</v>
      </c>
      <c r="D1415" s="7" t="s">
        <v>3823</v>
      </c>
      <c r="M1415" s="7" t="s">
        <v>3815</v>
      </c>
      <c r="U1415" s="8">
        <f>SUMIF($H$7:$H$1391,$A1415,$U$7:$U$1391)</f>
        <v>48063194.675833344</v>
      </c>
      <c r="V1415" s="8">
        <f>SUMIF($H$7:$H$1391,$A1415,$V$7:$V$1391)</f>
        <v>45759965.50916665</v>
      </c>
      <c r="W1415" s="8">
        <f>SUMIF($H$7:$H$1391,$A1415,$W$7:$W$1391)</f>
        <v>41257210.259166665</v>
      </c>
      <c r="X1415" s="8">
        <f>SUMIF($H$7:$H$1391,$A1415,$X$7:$X$1391)</f>
        <v>40600960.259166695</v>
      </c>
      <c r="Y1415" s="8">
        <f>SUMIF($H$7:$H$1391,$A1415,$Y$7:$Y$1391)</f>
        <v>40560126.925833359</v>
      </c>
      <c r="Z1415" s="8">
        <f>SUMIF($H$7:$H$1391,$A1415,$Z$7:$Z$1391)</f>
        <v>40589887.342500031</v>
      </c>
      <c r="AA1415" s="8">
        <f>SUMIF($H$7:$H$1391,$A1415,$AA$7:$AA$1391)</f>
        <v>40551901.405000024</v>
      </c>
      <c r="AB1415" s="8">
        <f>SUMIF($H$7:$H$1391,$A1415,$AB$7:$AB$1391)</f>
        <v>41008045.738333352</v>
      </c>
      <c r="AG1415" s="8">
        <f>SUMIF($H$7:$H$1391,$A1415,$AG$7:$AG$1391)</f>
        <v>40760130.113333359</v>
      </c>
      <c r="AH1415" s="8">
        <f>SUMIF($H$7:$H$1391,$A1415,$AH$7:$AH$1391)</f>
        <v>40624400.950000018</v>
      </c>
      <c r="AI1415" s="8">
        <f>SUMIF($H$7:$H$1391,$A1415,$AI$7:$AI$1391)</f>
        <v>39163984.280000024</v>
      </c>
      <c r="AJ1415" s="8">
        <f>SUMIF($H$7:$H$1391,$A1415,$AJ$7:$AJ$1391)</f>
        <v>38940025.946666658</v>
      </c>
      <c r="AK1415" s="8">
        <f>SUMIF($H$7:$H$1391,$A1415,$AK$7:$AK$1391)</f>
        <v>37898359.280000009</v>
      </c>
      <c r="AL1415" s="8">
        <f>SUMIF($H$7:$H$1391,$A1415,$AL$7:$AL$1391)</f>
        <v>37526848.863333344</v>
      </c>
      <c r="AM1415" s="8">
        <f>SUMIF($H$7:$H$1391,$A1415,$AM$7:$AM$1391)</f>
        <v>37080302.300833359</v>
      </c>
      <c r="AN1415" s="8">
        <f>SUMIF($H$7:$H$1391,$A1415,$AN$7:$AN$1391)</f>
        <v>37033948.134166673</v>
      </c>
      <c r="AO1415" s="8">
        <f>SUMIF($H$7:$H$1391,$A1415,$AO$7:$AO$1391)</f>
        <v>36452607.967500001</v>
      </c>
      <c r="AP1415" s="8">
        <f>SUMIF($H$7:$H$1391,$A1415,$AP$7:$AP$1391)</f>
        <v>36097566.300833337</v>
      </c>
      <c r="AQ1415" s="8">
        <f>SUMIF($H$7:$H$1391,$A1415,$AQ$7:$AQ$1391)</f>
        <v>36097566.300833337</v>
      </c>
      <c r="AR1415" s="8">
        <f>SUMIF($H$7:$H$1391,$A1415,$AR$7:$AR$1391)</f>
        <v>35472566.300833337</v>
      </c>
      <c r="AS1415" s="8">
        <f>SUMIF($H$7:$H$1391,$A1415,$AS$7:$AS$1391)</f>
        <v>35337149.634166673</v>
      </c>
      <c r="AT1415" s="8">
        <f>SUMIF($H$7:$H$1391,$A1415,$AT$7:$AT$1391)</f>
        <v>34670482.967499994</v>
      </c>
      <c r="AU1415" s="8">
        <f>SUMIF($H$7:$H$1391,$A1415,$AU$7:$AU$1391)</f>
        <v>34570482.967499994</v>
      </c>
      <c r="AV1415" s="8">
        <f>SUMIF($H$7:$H$1391,$A1415,$AV$7:$AV$1391)</f>
        <v>34034024.634166658</v>
      </c>
    </row>
    <row r="1416" spans="1:48" ht="15" customHeight="1" x14ac:dyDescent="0.35">
      <c r="M1416" s="7" t="s">
        <v>3816</v>
      </c>
      <c r="U1416" s="8">
        <f>SUMIFS('PL Actual MTM - Aug 26'!D:D,'PL Actual MTM - Aug 26'!$A:$A,$A1415)</f>
        <v>48063194.57</v>
      </c>
      <c r="V1416" s="8">
        <f>SUMIFS('PL Actual MTM - Aug 26'!E:E,'PL Actual MTM - Aug 26'!$A:$A,$A1415)</f>
        <v>45759965.409999996</v>
      </c>
      <c r="W1416" s="8">
        <f>SUMIFS('PL Actual MTM - Aug 26'!F:F,'PL Actual MTM - Aug 26'!$A:$A,$A1415)</f>
        <v>41257210.159999996</v>
      </c>
      <c r="X1416" s="8">
        <f>SUMIFS('PL Actual MTM - Aug 26'!G:G,'PL Actual MTM - Aug 26'!$A:$A,$A1415)</f>
        <v>40600960.159999996</v>
      </c>
      <c r="Y1416" s="8">
        <f>SUMIFS('PL Actual MTM - Aug 26'!H:H,'PL Actual MTM - Aug 26'!$A:$A,$A1415)</f>
        <v>40560126.829999998</v>
      </c>
      <c r="Z1416" s="8">
        <f>SUMIFS('PL Actual MTM - Aug 26'!I:I,'PL Actual MTM - Aug 26'!$A:$A,$A1415)</f>
        <v>40589887.240000002</v>
      </c>
      <c r="AA1416" s="8">
        <f>SUMIFS('PL Actual MTM - Aug 26'!J:J,'PL Actual MTM - Aug 26'!$A:$A,$A1415)</f>
        <v>40551901.299999997</v>
      </c>
      <c r="AB1416" s="8">
        <f>SUMIFS('PL Actual MTM - Aug 26'!K:K,'PL Actual MTM - Aug 26'!$A:$A,$A1415)</f>
        <v>41008045.640000001</v>
      </c>
    </row>
    <row r="1417" spans="1:48" ht="15" customHeight="1" x14ac:dyDescent="0.35">
      <c r="M1417" s="7" t="s">
        <v>3817</v>
      </c>
      <c r="U1417" s="109">
        <f t="shared" ref="U1417:AB1417" si="164">U1415-U1416</f>
        <v>0.10583334416151047</v>
      </c>
      <c r="V1417" s="109">
        <f t="shared" si="164"/>
        <v>9.9166654050350189E-2</v>
      </c>
      <c r="W1417" s="109">
        <f t="shared" si="164"/>
        <v>9.9166668951511383E-2</v>
      </c>
      <c r="X1417" s="109">
        <f t="shared" si="164"/>
        <v>9.9166698753833771E-2</v>
      </c>
      <c r="Y1417" s="109">
        <f t="shared" si="164"/>
        <v>9.5833361148834229E-2</v>
      </c>
      <c r="Z1417" s="109">
        <f t="shared" si="164"/>
        <v>0.10250002890825272</v>
      </c>
      <c r="AA1417" s="109">
        <f t="shared" si="164"/>
        <v>0.10500002652406693</v>
      </c>
      <c r="AB1417" s="109">
        <f t="shared" si="164"/>
        <v>9.8333351314067841E-2</v>
      </c>
    </row>
    <row r="1418" spans="1:48" ht="15" customHeight="1" x14ac:dyDescent="0.35">
      <c r="A1418" s="6" t="s">
        <v>2285</v>
      </c>
      <c r="D1418" s="7" t="s">
        <v>3824</v>
      </c>
      <c r="M1418" s="7" t="s">
        <v>3815</v>
      </c>
      <c r="U1418" s="8">
        <f>SUMIF($H$7:$H$1391,$A1418,$U$7:$U$1391)</f>
        <v>14533270.833333332</v>
      </c>
      <c r="V1418" s="8">
        <f>SUMIF($H$7:$H$1391,$A1418,$V$7:$V$1391)</f>
        <v>14533270.833333332</v>
      </c>
      <c r="W1418" s="8">
        <f>SUMIF($H$7:$H$1391,$A1418,$W$7:$W$1391)</f>
        <v>14533270.833333332</v>
      </c>
      <c r="X1418" s="8">
        <f>SUMIF($H$7:$H$1391,$A1418,$X$7:$X$1391)</f>
        <v>14533270.833333332</v>
      </c>
      <c r="Y1418" s="8">
        <f>SUMIF($H$7:$H$1391,$A1418,$Y$7:$Y$1391)</f>
        <v>14533270.833333332</v>
      </c>
      <c r="Z1418" s="8">
        <f>SUMIF($H$7:$H$1391,$A1418,$Z$7:$Z$1391)</f>
        <v>14533270.833333332</v>
      </c>
      <c r="AA1418" s="8">
        <f>SUMIF($H$7:$H$1391,$A1418,$AA$7:$AA$1391)</f>
        <v>14533270.833333332</v>
      </c>
      <c r="AB1418" s="8">
        <f>SUMIF($H$7:$H$1391,$A1418,$AB$7:$AB$1391)</f>
        <v>14533270.833333332</v>
      </c>
      <c r="AG1418" s="8">
        <f>SUMIF($H$7:$H$1391,$A1418,$AG$7:$AG$1391)</f>
        <v>14533270.833333332</v>
      </c>
      <c r="AH1418" s="8">
        <f>SUMIF($H$7:$H$1391,$A1418,$AH$7:$AH$1391)</f>
        <v>14533270.833333332</v>
      </c>
      <c r="AI1418" s="8">
        <f>SUMIF($H$7:$H$1391,$A1418,$AI$7:$AI$1391)</f>
        <v>14533270.833333332</v>
      </c>
      <c r="AJ1418" s="8">
        <f>SUMIF($H$7:$H$1391,$A1418,$AJ$7:$AJ$1391)</f>
        <v>14449937.500000004</v>
      </c>
      <c r="AK1418" s="8">
        <f>SUMIF($H$7:$H$1391,$A1418,$AK$7:$AK$1391)</f>
        <v>14449937.5</v>
      </c>
      <c r="AL1418" s="8">
        <f>SUMIF($H$7:$H$1391,$A1418,$AL$7:$AL$1391)</f>
        <v>14449937.5</v>
      </c>
      <c r="AM1418" s="8">
        <f>SUMIF($H$7:$H$1391,$A1418,$AM$7:$AM$1391)</f>
        <v>14449937.5</v>
      </c>
      <c r="AN1418" s="8">
        <f>SUMIF($H$7:$H$1391,$A1418,$AN$7:$AN$1391)</f>
        <v>14449937.5</v>
      </c>
      <c r="AO1418" s="8">
        <f>SUMIF($H$7:$H$1391,$A1418,$AO$7:$AO$1391)</f>
        <v>14449937.5</v>
      </c>
      <c r="AP1418" s="8">
        <f>SUMIF($H$7:$H$1391,$A1418,$AP$7:$AP$1391)</f>
        <v>14449937.5</v>
      </c>
      <c r="AQ1418" s="8">
        <f>SUMIF($H$7:$H$1391,$A1418,$AQ$7:$AQ$1391)</f>
        <v>14449937.5</v>
      </c>
      <c r="AR1418" s="8">
        <f>SUMIF($H$7:$H$1391,$A1418,$AR$7:$AR$1391)</f>
        <v>14449937.5</v>
      </c>
      <c r="AS1418" s="8">
        <f>SUMIF($H$7:$H$1391,$A1418,$AS$7:$AS$1391)</f>
        <v>14449937.5</v>
      </c>
      <c r="AT1418" s="8">
        <f>SUMIF($H$7:$H$1391,$A1418,$AT$7:$AT$1391)</f>
        <v>14449937.5</v>
      </c>
      <c r="AU1418" s="8">
        <f>SUMIF($H$7:$H$1391,$A1418,$AU$7:$AU$1391)</f>
        <v>14449937.5</v>
      </c>
      <c r="AV1418" s="8">
        <f>SUMIF($H$7:$H$1391,$A1418,$AV$7:$AV$1391)</f>
        <v>14449937.5</v>
      </c>
    </row>
    <row r="1419" spans="1:48" ht="15" customHeight="1" x14ac:dyDescent="0.35">
      <c r="M1419" s="7" t="s">
        <v>3816</v>
      </c>
      <c r="U1419" s="8">
        <f>SUMIFS('PL Actual MTM - Aug 26'!D:D,'PL Actual MTM - Aug 26'!$A:$A,$A1418)</f>
        <v>14533270.83</v>
      </c>
      <c r="V1419" s="8">
        <f>SUMIFS('PL Actual MTM - Aug 26'!E:E,'PL Actual MTM - Aug 26'!$A:$A,$A1418)</f>
        <v>14533270.83</v>
      </c>
      <c r="W1419" s="8">
        <f>SUMIFS('PL Actual MTM - Aug 26'!F:F,'PL Actual MTM - Aug 26'!$A:$A,$A1418)</f>
        <v>14533270.83</v>
      </c>
      <c r="X1419" s="8">
        <f>SUMIFS('PL Actual MTM - Aug 26'!G:G,'PL Actual MTM - Aug 26'!$A:$A,$A1418)</f>
        <v>14533270.83</v>
      </c>
      <c r="Y1419" s="8">
        <f>SUMIFS('PL Actual MTM - Aug 26'!H:H,'PL Actual MTM - Aug 26'!$A:$A,$A1418)</f>
        <v>14533270.83</v>
      </c>
      <c r="Z1419" s="8">
        <f>SUMIFS('PL Actual MTM - Aug 26'!I:I,'PL Actual MTM - Aug 26'!$A:$A,$A1418)</f>
        <v>14533270.83</v>
      </c>
      <c r="AA1419" s="8">
        <f>SUMIFS('PL Actual MTM - Aug 26'!J:J,'PL Actual MTM - Aug 26'!$A:$A,$A1418)</f>
        <v>14533270.83</v>
      </c>
      <c r="AB1419" s="8">
        <f>SUMIFS('PL Actual MTM - Aug 26'!K:K,'PL Actual MTM - Aug 26'!$A:$A,$A1418)</f>
        <v>14533270.83</v>
      </c>
    </row>
    <row r="1420" spans="1:48" ht="15" customHeight="1" x14ac:dyDescent="0.35">
      <c r="M1420" s="7" t="s">
        <v>3817</v>
      </c>
      <c r="U1420" s="109">
        <f t="shared" ref="U1420:AB1420" si="165">U1418-U1419</f>
        <v>3.3333320170640945E-3</v>
      </c>
      <c r="V1420" s="109">
        <f t="shared" si="165"/>
        <v>3.3333320170640945E-3</v>
      </c>
      <c r="W1420" s="109">
        <f t="shared" si="165"/>
        <v>3.3333320170640945E-3</v>
      </c>
      <c r="X1420" s="109">
        <f t="shared" si="165"/>
        <v>3.3333320170640945E-3</v>
      </c>
      <c r="Y1420" s="109">
        <f t="shared" si="165"/>
        <v>3.3333320170640945E-3</v>
      </c>
      <c r="Z1420" s="109">
        <f t="shared" si="165"/>
        <v>3.3333320170640945E-3</v>
      </c>
      <c r="AA1420" s="109">
        <f t="shared" si="165"/>
        <v>3.3333320170640945E-3</v>
      </c>
      <c r="AB1420" s="109">
        <f t="shared" si="165"/>
        <v>3.3333320170640945E-3</v>
      </c>
    </row>
    <row r="1421" spans="1:48" ht="15" customHeight="1" x14ac:dyDescent="0.35">
      <c r="A1421" s="6" t="s">
        <v>1329</v>
      </c>
      <c r="D1421" s="7" t="s">
        <v>3825</v>
      </c>
      <c r="M1421" s="7" t="s">
        <v>3815</v>
      </c>
      <c r="U1421" s="8">
        <f>SUMIF($H$7:$H$1391,$A1421,$U$7:$U$1391)</f>
        <v>0</v>
      </c>
      <c r="V1421" s="8">
        <f>SUMIF($H$7:$H$1391,$A1421,$V$7:$V$1391)</f>
        <v>0</v>
      </c>
      <c r="W1421" s="8">
        <f>SUMIF($H$7:$H$1391,$A1421,$W$7:$W$1391)</f>
        <v>0</v>
      </c>
      <c r="X1421" s="8">
        <f>SUMIF($H$7:$H$1391,$A1421,$X$7:$X$1391)</f>
        <v>0</v>
      </c>
      <c r="Y1421" s="8">
        <f>SUMIF($H$7:$H$1391,$A1421,$Y$7:$Y$1391)</f>
        <v>0</v>
      </c>
      <c r="Z1421" s="8">
        <f>SUMIF($H$7:$H$1391,$A1421,$Z$7:$Z$1391)</f>
        <v>0</v>
      </c>
      <c r="AA1421" s="8">
        <f>SUMIF($H$7:$H$1391,$A1421,$AA$7:$AA$1391)</f>
        <v>0</v>
      </c>
      <c r="AB1421" s="8">
        <f>SUMIF($H$7:$H$1391,$A1421,$AB$7:$AB$1391)</f>
        <v>0</v>
      </c>
      <c r="AG1421" s="8">
        <f>SUMIF($H$7:$H$1391,$A1421,$AG$7:$AG$1391)</f>
        <v>0</v>
      </c>
      <c r="AH1421" s="8">
        <f>SUMIF($H$7:$H$1391,$A1421,$AH$7:$AH$1391)</f>
        <v>0</v>
      </c>
      <c r="AI1421" s="8">
        <f>SUMIF($H$7:$H$1391,$A1421,$AI$7:$AI$1391)</f>
        <v>0</v>
      </c>
      <c r="AJ1421" s="8">
        <f>SUMIF($H$7:$H$1391,$A1421,$AJ$7:$AJ$1391)</f>
        <v>0</v>
      </c>
      <c r="AK1421" s="8">
        <f>SUMIF($H$7:$H$1391,$A1421,$AK$7:$AK$1391)</f>
        <v>0</v>
      </c>
      <c r="AL1421" s="8">
        <f>SUMIF($H$7:$H$1391,$A1421,$AL$7:$AL$1391)</f>
        <v>0</v>
      </c>
      <c r="AM1421" s="8">
        <f>SUMIF($H$7:$H$1391,$A1421,$AM$7:$AM$1391)</f>
        <v>0</v>
      </c>
      <c r="AN1421" s="8">
        <f>SUMIF($H$7:$H$1391,$A1421,$AN$7:$AN$1391)</f>
        <v>0</v>
      </c>
      <c r="AO1421" s="8">
        <f>SUMIF($H$7:$H$1391,$A1421,$AO$7:$AO$1391)</f>
        <v>0</v>
      </c>
      <c r="AP1421" s="8">
        <f>SUMIF($H$7:$H$1391,$A1421,$AP$7:$AP$1391)</f>
        <v>0</v>
      </c>
      <c r="AQ1421" s="8">
        <f>SUMIF($H$7:$H$1391,$A1421,$AQ$7:$AQ$1391)</f>
        <v>0</v>
      </c>
      <c r="AR1421" s="8">
        <f>SUMIF($H$7:$H$1391,$A1421,$AR$7:$AR$1391)</f>
        <v>0</v>
      </c>
      <c r="AS1421" s="8">
        <f>SUMIF($H$7:$H$1391,$A1421,$AS$7:$AS$1391)</f>
        <v>0</v>
      </c>
      <c r="AT1421" s="8">
        <f>SUMIF($H$7:$H$1391,$A1421,$AT$7:$AT$1391)</f>
        <v>0</v>
      </c>
      <c r="AU1421" s="8">
        <f>SUMIF($H$7:$H$1391,$A1421,$AU$7:$AU$1391)</f>
        <v>0</v>
      </c>
      <c r="AV1421" s="8">
        <f>SUMIF($H$7:$H$1391,$A1421,$AV$7:$AV$1391)</f>
        <v>0</v>
      </c>
    </row>
    <row r="1422" spans="1:48" ht="15" customHeight="1" x14ac:dyDescent="0.35">
      <c r="M1422" s="7" t="s">
        <v>3816</v>
      </c>
      <c r="U1422" s="8">
        <f>SUMIFS('PL Actual MTM - Aug 26'!D:D,'PL Actual MTM - Aug 26'!$A:$A,$A1421)</f>
        <v>0</v>
      </c>
      <c r="V1422" s="8">
        <f>SUMIFS('PL Actual MTM - Aug 26'!E:E,'PL Actual MTM - Aug 26'!$A:$A,$A1421)</f>
        <v>0</v>
      </c>
      <c r="W1422" s="8">
        <f>SUMIFS('PL Actual MTM - Aug 26'!F:F,'PL Actual MTM - Aug 26'!$A:$A,$A1421)</f>
        <v>0</v>
      </c>
      <c r="X1422" s="8">
        <f>SUMIFS('PL Actual MTM - Aug 26'!G:G,'PL Actual MTM - Aug 26'!$A:$A,$A1421)</f>
        <v>0</v>
      </c>
      <c r="Y1422" s="8">
        <f>SUMIFS('PL Actual MTM - Aug 26'!H:H,'PL Actual MTM - Aug 26'!$A:$A,$A1421)</f>
        <v>0</v>
      </c>
      <c r="Z1422" s="8">
        <f>SUMIFS('PL Actual MTM - Aug 26'!I:I,'PL Actual MTM - Aug 26'!$A:$A,$A1421)</f>
        <v>0</v>
      </c>
      <c r="AA1422" s="8">
        <f>SUMIFS('PL Actual MTM - Aug 26'!J:J,'PL Actual MTM - Aug 26'!$A:$A,$A1421)</f>
        <v>0</v>
      </c>
      <c r="AB1422" s="8">
        <f>SUMIFS('PL Actual MTM - Aug 26'!K:K,'PL Actual MTM - Aug 26'!$A:$A,$A1421)</f>
        <v>0</v>
      </c>
    </row>
    <row r="1423" spans="1:48" ht="15" customHeight="1" x14ac:dyDescent="0.35">
      <c r="M1423" s="7" t="s">
        <v>3817</v>
      </c>
      <c r="U1423" s="109">
        <f t="shared" ref="U1423:AB1423" si="166">U1421-U1422</f>
        <v>0</v>
      </c>
      <c r="V1423" s="109">
        <f t="shared" si="166"/>
        <v>0</v>
      </c>
      <c r="W1423" s="109">
        <f t="shared" si="166"/>
        <v>0</v>
      </c>
      <c r="X1423" s="109">
        <f t="shared" si="166"/>
        <v>0</v>
      </c>
      <c r="Y1423" s="109">
        <f t="shared" si="166"/>
        <v>0</v>
      </c>
      <c r="Z1423" s="109">
        <f t="shared" si="166"/>
        <v>0</v>
      </c>
      <c r="AA1423" s="109">
        <f t="shared" si="166"/>
        <v>0</v>
      </c>
      <c r="AB1423" s="109">
        <f t="shared" si="166"/>
        <v>0</v>
      </c>
    </row>
    <row r="1424" spans="1:48" ht="15" customHeight="1" x14ac:dyDescent="0.35">
      <c r="A1424" s="6" t="s">
        <v>3118</v>
      </c>
      <c r="D1424" s="7" t="s">
        <v>3826</v>
      </c>
      <c r="M1424" s="7" t="s">
        <v>3815</v>
      </c>
      <c r="U1424" s="8">
        <f>SUMIF($H$7:$H$1391,$A1424,$U$7:$U$1391)</f>
        <v>10290902.645833328</v>
      </c>
      <c r="V1424" s="8">
        <f>SUMIF($H$7:$H$1391,$A1424,$V$7:$V$1391)</f>
        <v>16793680.666666664</v>
      </c>
      <c r="W1424" s="8">
        <f>SUMIF($H$7:$H$1391,$A1424,$W$7:$W$1391)</f>
        <v>16793680.666666664</v>
      </c>
      <c r="X1424" s="8">
        <f>SUMIF($H$7:$H$1391,$A1424,$X$7:$X$1391)</f>
        <v>15659222.333333336</v>
      </c>
      <c r="Y1424" s="8">
        <f>SUMIF($H$7:$H$1391,$A1424,$Y$7:$Y$1391)</f>
        <v>16700889.000000007</v>
      </c>
      <c r="Z1424" s="8">
        <f>SUMIF($H$7:$H$1391,$A1424,$Z$7:$Z$1391)</f>
        <v>16700889.000000007</v>
      </c>
      <c r="AA1424" s="8">
        <f>SUMIF($H$7:$H$1391,$A1424,$AA$7:$AA$1391)</f>
        <v>16700889.000000007</v>
      </c>
      <c r="AB1424" s="8">
        <f>SUMIF($H$7:$H$1391,$A1424,$AB$7:$AB$1391)</f>
        <v>16700889.000000007</v>
      </c>
      <c r="AG1424" s="8">
        <f>SUMIF($H$7:$H$1391,$A1424,$AG$7:$AG$1391)</f>
        <v>16700889.000000007</v>
      </c>
      <c r="AH1424" s="8">
        <f>SUMIF($H$7:$H$1391,$A1424,$AH$7:$AH$1391)</f>
        <v>16700888.999999974</v>
      </c>
      <c r="AI1424" s="8">
        <f>SUMIF($H$7:$H$1391,$A1424,$AI$7:$AI$1391)</f>
        <v>15573644.687500037</v>
      </c>
      <c r="AJ1424" s="8">
        <f>SUMIF($H$7:$H$1391,$A1424,$AJ$7:$AJ$1391)</f>
        <v>13386144.687500006</v>
      </c>
      <c r="AK1424" s="8">
        <f>SUMIF($H$7:$H$1391,$A1424,$AK$7:$AK$1391)</f>
        <v>13386144.687500006</v>
      </c>
      <c r="AL1424" s="8">
        <f>SUMIF($H$7:$H$1391,$A1424,$AL$7:$AL$1391)</f>
        <v>13386144.687500006</v>
      </c>
      <c r="AM1424" s="8">
        <f>SUMIF($H$7:$H$1391,$A1424,$AM$7:$AM$1391)</f>
        <v>13386144.687500006</v>
      </c>
      <c r="AN1424" s="8">
        <f>SUMIF($H$7:$H$1391,$A1424,$AN$7:$AN$1391)</f>
        <v>11523644.687500006</v>
      </c>
      <c r="AO1424" s="8">
        <f>SUMIF($H$7:$H$1391,$A1424,$AO$7:$AO$1391)</f>
        <v>11523644.687500006</v>
      </c>
      <c r="AP1424" s="8">
        <f>SUMIF($H$7:$H$1391,$A1424,$AP$7:$AP$1391)</f>
        <v>11523644.687500006</v>
      </c>
      <c r="AQ1424" s="8">
        <f>SUMIF($H$7:$H$1391,$A1424,$AQ$7:$AQ$1391)</f>
        <v>11346561.354166651</v>
      </c>
      <c r="AR1424" s="8">
        <f>SUMIF($H$7:$H$1391,$A1424,$AR$7:$AR$1391)</f>
        <v>10950728.020833341</v>
      </c>
      <c r="AS1424" s="8">
        <f>SUMIF($H$7:$H$1391,$A1424,$AS$7:$AS$1391)</f>
        <v>10950728.020833341</v>
      </c>
      <c r="AT1424" s="8">
        <f>SUMIF($H$7:$H$1391,$A1424,$AT$7:$AT$1391)</f>
        <v>10950728.020833341</v>
      </c>
      <c r="AU1424" s="8">
        <f>SUMIF($H$7:$H$1391,$A1424,$AU$7:$AU$1391)</f>
        <v>10950728.020833341</v>
      </c>
      <c r="AV1424" s="8">
        <f>SUMIF($H$7:$H$1391,$A1424,$AV$7:$AV$1391)</f>
        <v>10950728.020833341</v>
      </c>
    </row>
    <row r="1425" spans="1:48" ht="15" customHeight="1" x14ac:dyDescent="0.35">
      <c r="M1425" s="7" t="s">
        <v>3816</v>
      </c>
      <c r="U1425" s="8">
        <f>SUMIFS('PL Actual MTM - Aug 26'!D:D,'PL Actual MTM - Aug 26'!$A:$A,$A1424)</f>
        <v>10290902.66</v>
      </c>
      <c r="V1425" s="8">
        <f>SUMIFS('PL Actual MTM - Aug 26'!E:E,'PL Actual MTM - Aug 26'!$A:$A,$A1424)</f>
        <v>16793680.670000002</v>
      </c>
      <c r="W1425" s="8">
        <f>SUMIFS('PL Actual MTM - Aug 26'!F:F,'PL Actual MTM - Aug 26'!$A:$A,$A1424)</f>
        <v>16793680.670000002</v>
      </c>
      <c r="X1425" s="8">
        <f>SUMIFS('PL Actual MTM - Aug 26'!G:G,'PL Actual MTM - Aug 26'!$A:$A,$A1424)</f>
        <v>15659222.34</v>
      </c>
      <c r="Y1425" s="8">
        <f>SUMIFS('PL Actual MTM - Aug 26'!H:H,'PL Actual MTM - Aug 26'!$A:$A,$A1424)</f>
        <v>16700889.01</v>
      </c>
      <c r="Z1425" s="8">
        <f>SUMIFS('PL Actual MTM - Aug 26'!I:I,'PL Actual MTM - Aug 26'!$A:$A,$A1424)</f>
        <v>16700889.01</v>
      </c>
      <c r="AA1425" s="8">
        <f>SUMIFS('PL Actual MTM - Aug 26'!J:J,'PL Actual MTM - Aug 26'!$A:$A,$A1424)</f>
        <v>16700889.01</v>
      </c>
      <c r="AB1425" s="8">
        <f>SUMIFS('PL Actual MTM - Aug 26'!K:K,'PL Actual MTM - Aug 26'!$A:$A,$A1424)</f>
        <v>16700889.01</v>
      </c>
    </row>
    <row r="1426" spans="1:48" ht="15" customHeight="1" x14ac:dyDescent="0.35">
      <c r="M1426" s="7" t="s">
        <v>3817</v>
      </c>
      <c r="U1426" s="109">
        <f t="shared" ref="U1426:AB1426" si="167">U1424-U1425</f>
        <v>-1.416667178273201E-2</v>
      </c>
      <c r="V1426" s="109">
        <f t="shared" si="167"/>
        <v>-3.3333376049995422E-3</v>
      </c>
      <c r="W1426" s="109">
        <f t="shared" si="167"/>
        <v>-3.3333376049995422E-3</v>
      </c>
      <c r="X1426" s="109">
        <f t="shared" si="167"/>
        <v>-6.6666640341281891E-3</v>
      </c>
      <c r="Y1426" s="109">
        <f t="shared" si="167"/>
        <v>-9.9999923259019852E-3</v>
      </c>
      <c r="Z1426" s="109">
        <f t="shared" si="167"/>
        <v>-9.9999923259019852E-3</v>
      </c>
      <c r="AA1426" s="109">
        <f t="shared" si="167"/>
        <v>-9.9999923259019852E-3</v>
      </c>
      <c r="AB1426" s="109">
        <f t="shared" si="167"/>
        <v>-9.9999923259019852E-3</v>
      </c>
    </row>
    <row r="1427" spans="1:48" ht="15" customHeight="1" x14ac:dyDescent="0.35">
      <c r="A1427" s="6" t="s">
        <v>3174</v>
      </c>
      <c r="D1427" s="7" t="s">
        <v>3827</v>
      </c>
      <c r="M1427" s="7" t="s">
        <v>3815</v>
      </c>
      <c r="U1427" s="8">
        <f>SUMIF($H$7:$H$1391,$A1427,$U$7:$U$1391)</f>
        <v>138720636.68125007</v>
      </c>
      <c r="V1427" s="8">
        <f>SUMIF($H$7:$H$1391,$A1427,$V$7:$V$1391)</f>
        <v>138720636.68125007</v>
      </c>
      <c r="W1427" s="8">
        <f>SUMIF($H$7:$H$1391,$A1427,$W$7:$W$1391)</f>
        <v>138720636.68125007</v>
      </c>
      <c r="X1427" s="8">
        <f>SUMIF($H$7:$H$1391,$A1427,$X$7:$X$1391)</f>
        <v>137626886.68125007</v>
      </c>
      <c r="Y1427" s="8">
        <f>SUMIF($H$7:$H$1391,$A1427,$Y$7:$Y$1391)</f>
        <v>137626886.68125007</v>
      </c>
      <c r="Z1427" s="8">
        <f>SUMIF($H$7:$H$1391,$A1427,$Z$7:$Z$1391)</f>
        <v>137626886.68125007</v>
      </c>
      <c r="AA1427" s="8">
        <f>SUMIF($H$7:$H$1391,$A1427,$AA$7:$AA$1391)</f>
        <v>137626886.68125007</v>
      </c>
      <c r="AB1427" s="8">
        <f>SUMIF($H$7:$H$1391,$A1427,$AB$7:$AB$1391)</f>
        <v>137626886.68125007</v>
      </c>
      <c r="AG1427" s="8">
        <f>SUMIF($H$7:$H$1391,$A1427,$AG$7:$AG$1391)</f>
        <v>137626886.68125007</v>
      </c>
      <c r="AH1427" s="8">
        <f>SUMIF($H$7:$H$1391,$A1427,$AH$7:$AH$1391)</f>
        <v>137626886.68125007</v>
      </c>
      <c r="AI1427" s="8">
        <f>SUMIF($H$7:$H$1391,$A1427,$AI$7:$AI$1391)</f>
        <v>137626886.68125007</v>
      </c>
      <c r="AJ1427" s="8">
        <f>SUMIF($H$7:$H$1391,$A1427,$AJ$7:$AJ$1391)</f>
        <v>137626886.68125007</v>
      </c>
      <c r="AK1427" s="8">
        <f>SUMIF($H$7:$H$1391,$A1427,$AK$7:$AK$1391)</f>
        <v>137626886.68125007</v>
      </c>
      <c r="AL1427" s="8">
        <f>SUMIF($H$7:$H$1391,$A1427,$AL$7:$AL$1391)</f>
        <v>137626886.68125007</v>
      </c>
      <c r="AM1427" s="8">
        <f>SUMIF($H$7:$H$1391,$A1427,$AM$7:$AM$1391)</f>
        <v>137626886.68125001</v>
      </c>
      <c r="AN1427" s="8">
        <f>SUMIF($H$7:$H$1391,$A1427,$AN$7:$AN$1391)</f>
        <v>131897720.01458338</v>
      </c>
      <c r="AO1427" s="8">
        <f>SUMIF($H$7:$H$1391,$A1427,$AO$7:$AO$1391)</f>
        <v>131897720.01458338</v>
      </c>
      <c r="AP1427" s="8">
        <f>SUMIF($H$7:$H$1391,$A1427,$AP$7:$AP$1391)</f>
        <v>131533136.6812501</v>
      </c>
      <c r="AQ1427" s="8">
        <f>SUMIF($H$7:$H$1391,$A1427,$AQ$7:$AQ$1391)</f>
        <v>131533136.68125005</v>
      </c>
      <c r="AR1427" s="8">
        <f>SUMIF($H$7:$H$1391,$A1427,$AR$7:$AR$1391)</f>
        <v>131533136.68125005</v>
      </c>
      <c r="AS1427" s="8">
        <f>SUMIF($H$7:$H$1391,$A1427,$AS$7:$AS$1391)</f>
        <v>131533136.68125005</v>
      </c>
      <c r="AT1427" s="8">
        <f>SUMIF($H$7:$H$1391,$A1427,$AT$7:$AT$1391)</f>
        <v>131533136.68125005</v>
      </c>
      <c r="AU1427" s="8">
        <f>SUMIF($H$7:$H$1391,$A1427,$AU$7:$AU$1391)</f>
        <v>131533136.68125005</v>
      </c>
      <c r="AV1427" s="8">
        <f>SUMIF($H$7:$H$1391,$A1427,$AV$7:$AV$1391)</f>
        <v>131533136.68125005</v>
      </c>
    </row>
    <row r="1428" spans="1:48" ht="15" customHeight="1" x14ac:dyDescent="0.35">
      <c r="M1428" s="7" t="s">
        <v>3816</v>
      </c>
      <c r="U1428" s="8">
        <f>SUMIFS('PL Actual MTM - Aug 26'!D:D,'PL Actual MTM - Aug 26'!$A:$A,$A1427)</f>
        <v>138720636.68000001</v>
      </c>
      <c r="V1428" s="8">
        <f>SUMIFS('PL Actual MTM - Aug 26'!E:E,'PL Actual MTM - Aug 26'!$A:$A,$A1427)</f>
        <v>138720636.68000001</v>
      </c>
      <c r="W1428" s="8">
        <f>SUMIFS('PL Actual MTM - Aug 26'!F:F,'PL Actual MTM - Aug 26'!$A:$A,$A1427)</f>
        <v>138720636.68000001</v>
      </c>
      <c r="X1428" s="8">
        <f>SUMIFS('PL Actual MTM - Aug 26'!G:G,'PL Actual MTM - Aug 26'!$A:$A,$A1427)</f>
        <v>137626886.69</v>
      </c>
      <c r="Y1428" s="8">
        <f>SUMIFS('PL Actual MTM - Aug 26'!H:H,'PL Actual MTM - Aug 26'!$A:$A,$A1427)</f>
        <v>137626886.69</v>
      </c>
      <c r="Z1428" s="8">
        <f>SUMIFS('PL Actual MTM - Aug 26'!I:I,'PL Actual MTM - Aug 26'!$A:$A,$A1427)</f>
        <v>137626886.69</v>
      </c>
      <c r="AA1428" s="8">
        <f>SUMIFS('PL Actual MTM - Aug 26'!J:J,'PL Actual MTM - Aug 26'!$A:$A,$A1427)</f>
        <v>137626886.69</v>
      </c>
      <c r="AB1428" s="8">
        <f>SUMIFS('PL Actual MTM - Aug 26'!K:K,'PL Actual MTM - Aug 26'!$A:$A,$A1427)</f>
        <v>137626886.69</v>
      </c>
    </row>
    <row r="1429" spans="1:48" ht="15" customHeight="1" x14ac:dyDescent="0.35">
      <c r="M1429" s="7" t="s">
        <v>3817</v>
      </c>
      <c r="U1429" s="109">
        <f t="shared" ref="U1429:AB1429" si="168">U1427-U1428</f>
        <v>1.2500584125518799E-3</v>
      </c>
      <c r="V1429" s="109">
        <f t="shared" si="168"/>
        <v>1.2500584125518799E-3</v>
      </c>
      <c r="W1429" s="109">
        <f t="shared" si="168"/>
        <v>1.2500584125518799E-3</v>
      </c>
      <c r="X1429" s="109">
        <f t="shared" si="168"/>
        <v>-8.7499320507049561E-3</v>
      </c>
      <c r="Y1429" s="109">
        <f t="shared" si="168"/>
        <v>-8.7499320507049561E-3</v>
      </c>
      <c r="Z1429" s="109">
        <f t="shared" si="168"/>
        <v>-8.7499320507049561E-3</v>
      </c>
      <c r="AA1429" s="109">
        <f t="shared" si="168"/>
        <v>-8.7499320507049561E-3</v>
      </c>
      <c r="AB1429" s="109">
        <f t="shared" si="168"/>
        <v>-8.7499320507049561E-3</v>
      </c>
    </row>
    <row r="1430" spans="1:48" ht="15" customHeight="1" x14ac:dyDescent="0.35">
      <c r="A1430" s="6" t="s">
        <v>2818</v>
      </c>
      <c r="D1430" s="7" t="s">
        <v>3828</v>
      </c>
      <c r="M1430" s="7" t="s">
        <v>3815</v>
      </c>
      <c r="U1430" s="8">
        <f>SUMIF($H$7:$H$1391,$A1430,$U$7:$U$1391)</f>
        <v>0</v>
      </c>
      <c r="V1430" s="8">
        <f>SUMIF($H$7:$H$1391,$A1430,$V$7:$V$1391)</f>
        <v>0</v>
      </c>
      <c r="W1430" s="8">
        <f>SUMIF($H$7:$H$1391,$A1430,$W$7:$W$1391)</f>
        <v>0</v>
      </c>
      <c r="X1430" s="8">
        <f>SUMIF($H$7:$H$1391,$A1430,$X$7:$X$1391)</f>
        <v>0</v>
      </c>
      <c r="Y1430" s="8">
        <f>SUMIF($H$7:$H$1391,$A1430,$Y$7:$Y$1391)</f>
        <v>0</v>
      </c>
      <c r="Z1430" s="8">
        <f>SUMIF($H$7:$H$1391,$A1430,$Z$7:$Z$1391)</f>
        <v>0</v>
      </c>
      <c r="AA1430" s="8">
        <f>SUMIF($H$7:$H$1391,$A1430,$AA$7:$AA$1391)</f>
        <v>0</v>
      </c>
      <c r="AB1430" s="8">
        <f>SUMIF($H$7:$H$1391,$A1430,$AB$7:$AB$1391)</f>
        <v>0</v>
      </c>
      <c r="AG1430" s="8">
        <f>SUMIF($H$7:$H$1391,$A1430,$AG$7:$AG$1391)</f>
        <v>0</v>
      </c>
      <c r="AH1430" s="8">
        <f>SUMIF($H$7:$H$1391,$A1430,$AH$7:$AH$1391)</f>
        <v>0</v>
      </c>
      <c r="AI1430" s="8">
        <f>SUMIF($H$7:$H$1391,$A1430,$AI$7:$AI$1391)</f>
        <v>0</v>
      </c>
      <c r="AJ1430" s="8">
        <f>SUMIF($H$7:$H$1391,$A1430,$AJ$7:$AJ$1391)</f>
        <v>0</v>
      </c>
      <c r="AK1430" s="8">
        <f>SUMIF($H$7:$H$1391,$A1430,$AK$7:$AK$1391)</f>
        <v>0</v>
      </c>
      <c r="AL1430" s="8">
        <f>SUMIF($H$7:$H$1391,$A1430,$AL$7:$AL$1391)</f>
        <v>0</v>
      </c>
      <c r="AM1430" s="8">
        <f>SUMIF($H$7:$H$1391,$A1430,$AM$7:$AM$1391)</f>
        <v>0</v>
      </c>
      <c r="AN1430" s="8">
        <f>SUMIF($H$7:$H$1391,$A1430,$AN$7:$AN$1391)</f>
        <v>0</v>
      </c>
      <c r="AO1430" s="8">
        <f>SUMIF($H$7:$H$1391,$A1430,$AO$7:$AO$1391)</f>
        <v>0</v>
      </c>
      <c r="AP1430" s="8">
        <f>SUMIF($H$7:$H$1391,$A1430,$AP$7:$AP$1391)</f>
        <v>0</v>
      </c>
      <c r="AQ1430" s="8">
        <f>SUMIF($H$7:$H$1391,$A1430,$AQ$7:$AQ$1391)</f>
        <v>0</v>
      </c>
      <c r="AR1430" s="8">
        <f>SUMIF($H$7:$H$1391,$A1430,$AR$7:$AR$1391)</f>
        <v>0</v>
      </c>
      <c r="AS1430" s="8">
        <f>SUMIF($H$7:$H$1391,$A1430,$AS$7:$AS$1391)</f>
        <v>0</v>
      </c>
      <c r="AT1430" s="8">
        <f>SUMIF($H$7:$H$1391,$A1430,$AT$7:$AT$1391)</f>
        <v>0</v>
      </c>
      <c r="AU1430" s="8">
        <f>SUMIF($H$7:$H$1391,$A1430,$AU$7:$AU$1391)</f>
        <v>0</v>
      </c>
      <c r="AV1430" s="8">
        <f>SUMIF($H$7:$H$1391,$A1430,$AV$7:$AV$1391)</f>
        <v>0</v>
      </c>
    </row>
    <row r="1431" spans="1:48" ht="15" customHeight="1" x14ac:dyDescent="0.35">
      <c r="M1431" s="7" t="s">
        <v>3816</v>
      </c>
      <c r="U1431" s="8">
        <f>SUMIFS('PL Actual MTM - Aug 26'!D:D,'PL Actual MTM - Aug 26'!$A:$A,$A1430)</f>
        <v>0</v>
      </c>
      <c r="V1431" s="8">
        <f>SUMIFS('PL Actual MTM - Aug 26'!E:E,'PL Actual MTM - Aug 26'!$A:$A,$A1430)</f>
        <v>0</v>
      </c>
      <c r="W1431" s="8">
        <f>SUMIFS('PL Actual MTM - Aug 26'!F:F,'PL Actual MTM - Aug 26'!$A:$A,$A1430)</f>
        <v>0</v>
      </c>
      <c r="X1431" s="8">
        <f>SUMIFS('PL Actual MTM - Aug 26'!G:G,'PL Actual MTM - Aug 26'!$A:$A,$A1430)</f>
        <v>0</v>
      </c>
      <c r="Y1431" s="8">
        <f>SUMIFS('PL Actual MTM - Aug 26'!H:H,'PL Actual MTM - Aug 26'!$A:$A,$A1430)</f>
        <v>0</v>
      </c>
      <c r="Z1431" s="8">
        <f>SUMIFS('PL Actual MTM - Aug 26'!I:I,'PL Actual MTM - Aug 26'!$A:$A,$A1430)</f>
        <v>0</v>
      </c>
      <c r="AA1431" s="8">
        <f>SUMIFS('PL Actual MTM - Aug 26'!J:J,'PL Actual MTM - Aug 26'!$A:$A,$A1430)</f>
        <v>0</v>
      </c>
      <c r="AB1431" s="8">
        <f>SUMIFS('PL Actual MTM - Aug 26'!K:K,'PL Actual MTM - Aug 26'!$A:$A,$A1430)</f>
        <v>0</v>
      </c>
    </row>
    <row r="1432" spans="1:48" ht="15" customHeight="1" x14ac:dyDescent="0.35">
      <c r="M1432" s="7" t="s">
        <v>3817</v>
      </c>
      <c r="U1432" s="109">
        <f t="shared" ref="U1432:AB1432" si="169">U1430-U1431</f>
        <v>0</v>
      </c>
      <c r="V1432" s="109">
        <f t="shared" si="169"/>
        <v>0</v>
      </c>
      <c r="W1432" s="109">
        <f t="shared" si="169"/>
        <v>0</v>
      </c>
      <c r="X1432" s="109">
        <f t="shared" si="169"/>
        <v>0</v>
      </c>
      <c r="Y1432" s="109">
        <f t="shared" si="169"/>
        <v>0</v>
      </c>
      <c r="Z1432" s="109">
        <f t="shared" si="169"/>
        <v>0</v>
      </c>
      <c r="AA1432" s="109">
        <f t="shared" si="169"/>
        <v>0</v>
      </c>
      <c r="AB1432" s="109">
        <f t="shared" si="169"/>
        <v>0</v>
      </c>
    </row>
    <row r="1433" spans="1:48" ht="15" customHeight="1" x14ac:dyDescent="0.35">
      <c r="A1433" s="6" t="s">
        <v>3829</v>
      </c>
      <c r="D1433" s="7" t="s">
        <v>3830</v>
      </c>
      <c r="M1433" s="7" t="s">
        <v>3815</v>
      </c>
      <c r="U1433" s="8">
        <f>SUMIF($H$7:$H$1391,$A1433,$U$7:$U$1391)</f>
        <v>0</v>
      </c>
      <c r="V1433" s="8">
        <f>SUMIF($H$7:$H$1391,$A1433,$V$7:$V$1391)</f>
        <v>0</v>
      </c>
      <c r="W1433" s="8">
        <f>SUMIF($H$7:$H$1391,$A1433,$W$7:$W$1391)</f>
        <v>0</v>
      </c>
      <c r="X1433" s="8">
        <f>SUMIF($H$7:$H$1391,$A1433,$X$7:$X$1391)</f>
        <v>0</v>
      </c>
      <c r="Y1433" s="8">
        <f>SUMIF($H$7:$H$1391,$A1433,$Y$7:$Y$1391)</f>
        <v>0</v>
      </c>
      <c r="Z1433" s="8">
        <f>SUMIF($H$7:$H$1391,$A1433,$Z$7:$Z$1391)</f>
        <v>0</v>
      </c>
      <c r="AA1433" s="8">
        <f>SUMIF($H$7:$H$1391,$A1433,$AA$7:$AA$1391)</f>
        <v>0</v>
      </c>
      <c r="AB1433" s="8">
        <f>SUMIF($H$7:$H$1391,$A1433,$AB$7:$AB$1391)</f>
        <v>0</v>
      </c>
      <c r="AG1433" s="8">
        <f>SUMIF($H$7:$H$1391,$A1433,$AG$7:$AG$1391)</f>
        <v>0</v>
      </c>
      <c r="AH1433" s="8">
        <f>SUMIF($H$7:$H$1391,$A1433,$AH$7:$AH$1391)</f>
        <v>0</v>
      </c>
      <c r="AI1433" s="8">
        <f>SUMIF($H$7:$H$1391,$A1433,$AI$7:$AI$1391)</f>
        <v>0</v>
      </c>
      <c r="AJ1433" s="8">
        <f>SUMIF($H$7:$H$1391,$A1433,$AJ$7:$AJ$1391)</f>
        <v>0</v>
      </c>
      <c r="AK1433" s="8">
        <f>SUMIF($H$7:$H$1391,$A1433,$AK$7:$AK$1391)</f>
        <v>0</v>
      </c>
      <c r="AL1433" s="8">
        <f>SUMIF($H$7:$H$1391,$A1433,$AL$7:$AL$1391)</f>
        <v>0</v>
      </c>
      <c r="AM1433" s="8">
        <f>SUMIF($H$7:$H$1391,$A1433,$AM$7:$AM$1391)</f>
        <v>0</v>
      </c>
      <c r="AN1433" s="8">
        <f>SUMIF($H$7:$H$1391,$A1433,$AN$7:$AN$1391)</f>
        <v>0</v>
      </c>
      <c r="AO1433" s="8">
        <f>SUMIF($H$7:$H$1391,$A1433,$AO$7:$AO$1391)</f>
        <v>0</v>
      </c>
      <c r="AP1433" s="8">
        <f>SUMIF($H$7:$H$1391,$A1433,$AP$7:$AP$1391)</f>
        <v>0</v>
      </c>
      <c r="AQ1433" s="8">
        <f>SUMIF($H$7:$H$1391,$A1433,$AQ$7:$AQ$1391)</f>
        <v>0</v>
      </c>
      <c r="AR1433" s="8">
        <f>SUMIF($H$7:$H$1391,$A1433,$AR$7:$AR$1391)</f>
        <v>0</v>
      </c>
      <c r="AS1433" s="8">
        <f>SUMIF($H$7:$H$1391,$A1433,$AS$7:$AS$1391)</f>
        <v>0</v>
      </c>
      <c r="AT1433" s="8">
        <f>SUMIF($H$7:$H$1391,$A1433,$AT$7:$AT$1391)</f>
        <v>0</v>
      </c>
      <c r="AU1433" s="8">
        <f>SUMIF($H$7:$H$1391,$A1433,$AU$7:$AU$1391)</f>
        <v>0</v>
      </c>
      <c r="AV1433" s="8">
        <f>SUMIF($H$7:$H$1391,$A1433,$AV$7:$AV$1391)</f>
        <v>0</v>
      </c>
    </row>
    <row r="1434" spans="1:48" ht="15" customHeight="1" x14ac:dyDescent="0.35">
      <c r="M1434" s="7" t="s">
        <v>3816</v>
      </c>
      <c r="U1434" s="8">
        <f>SUMIFS('PL Actual MTM - Aug 26'!D:D,'PL Actual MTM - Aug 26'!$A:$A,$A1433)</f>
        <v>0</v>
      </c>
      <c r="V1434" s="8">
        <f>SUMIFS('PL Actual MTM - Aug 26'!E:E,'PL Actual MTM - Aug 26'!$A:$A,$A1433)</f>
        <v>0</v>
      </c>
      <c r="W1434" s="8">
        <f>SUMIFS('PL Actual MTM - Aug 26'!F:F,'PL Actual MTM - Aug 26'!$A:$A,$A1433)</f>
        <v>0</v>
      </c>
      <c r="X1434" s="8">
        <f>SUMIFS('PL Actual MTM - Aug 26'!G:G,'PL Actual MTM - Aug 26'!$A:$A,$A1433)</f>
        <v>0</v>
      </c>
      <c r="Y1434" s="8">
        <f>SUMIFS('PL Actual MTM - Aug 26'!H:H,'PL Actual MTM - Aug 26'!$A:$A,$A1433)</f>
        <v>0</v>
      </c>
      <c r="Z1434" s="8">
        <f>SUMIFS('PL Actual MTM - Aug 26'!I:I,'PL Actual MTM - Aug 26'!$A:$A,$A1433)</f>
        <v>0</v>
      </c>
      <c r="AA1434" s="8">
        <f>SUMIFS('PL Actual MTM - Aug 26'!J:J,'PL Actual MTM - Aug 26'!$A:$A,$A1433)</f>
        <v>0</v>
      </c>
      <c r="AB1434" s="8">
        <f>SUMIFS('PL Actual MTM - Aug 26'!K:K,'PL Actual MTM - Aug 26'!$A:$A,$A1433)</f>
        <v>0</v>
      </c>
    </row>
    <row r="1435" spans="1:48" ht="15" customHeight="1" x14ac:dyDescent="0.35">
      <c r="M1435" s="7" t="s">
        <v>3817</v>
      </c>
      <c r="U1435" s="109">
        <f t="shared" ref="U1435:AB1435" si="170">U1433-U1434</f>
        <v>0</v>
      </c>
      <c r="V1435" s="109">
        <f t="shared" si="170"/>
        <v>0</v>
      </c>
      <c r="W1435" s="109">
        <f t="shared" si="170"/>
        <v>0</v>
      </c>
      <c r="X1435" s="109">
        <f t="shared" si="170"/>
        <v>0</v>
      </c>
      <c r="Y1435" s="109">
        <f t="shared" si="170"/>
        <v>0</v>
      </c>
      <c r="Z1435" s="109">
        <f t="shared" si="170"/>
        <v>0</v>
      </c>
      <c r="AA1435" s="109">
        <f t="shared" si="170"/>
        <v>0</v>
      </c>
      <c r="AB1435" s="109">
        <f t="shared" si="170"/>
        <v>0</v>
      </c>
    </row>
    <row r="1436" spans="1:48" ht="15" customHeight="1" x14ac:dyDescent="0.35">
      <c r="A1436" s="6" t="s">
        <v>3831</v>
      </c>
      <c r="M1436" s="7" t="s">
        <v>3815</v>
      </c>
      <c r="U1436" s="110">
        <f t="shared" ref="U1436:AB1437" si="171">U1397+U1400+U1403+U1406+U1409+U1412+U1415+U1418+U1421+U1424+U1427+U1430+U1433</f>
        <v>308858929.21520829</v>
      </c>
      <c r="V1436" s="110">
        <f t="shared" si="171"/>
        <v>312913284.93874997</v>
      </c>
      <c r="W1436" s="110">
        <f t="shared" si="171"/>
        <v>305982094.361875</v>
      </c>
      <c r="X1436" s="110">
        <f t="shared" si="171"/>
        <v>303070929.77854168</v>
      </c>
      <c r="Y1436" s="110">
        <f t="shared" si="171"/>
        <v>310351516.111875</v>
      </c>
      <c r="Z1436" s="110">
        <f t="shared" si="171"/>
        <v>310443626.38270837</v>
      </c>
      <c r="AA1436" s="110">
        <f t="shared" si="171"/>
        <v>311074052.59104168</v>
      </c>
      <c r="AB1436" s="110">
        <f t="shared" si="171"/>
        <v>312484881.03375006</v>
      </c>
      <c r="AG1436" s="110">
        <f t="shared" ref="AG1436:AV1436" si="172">AG1397+AG1400+AG1403+AG1406+AG1409+AG1412+AG1415+AG1418+AG1421+AG1424+AG1427+AG1430+AG1433</f>
        <v>312236965.40875006</v>
      </c>
      <c r="AH1436" s="110">
        <f t="shared" si="172"/>
        <v>311959569.57875001</v>
      </c>
      <c r="AI1436" s="110">
        <f t="shared" si="172"/>
        <v>309371908.59625006</v>
      </c>
      <c r="AJ1436" s="110">
        <f t="shared" si="172"/>
        <v>306844626.49208331</v>
      </c>
      <c r="AK1436" s="110">
        <f t="shared" si="172"/>
        <v>305726007.86708331</v>
      </c>
      <c r="AL1436" s="110">
        <f t="shared" si="172"/>
        <v>305266997.45041668</v>
      </c>
      <c r="AM1436" s="110">
        <f t="shared" si="172"/>
        <v>304602086.30458331</v>
      </c>
      <c r="AN1436" s="110">
        <f t="shared" si="172"/>
        <v>296259025.88791662</v>
      </c>
      <c r="AO1436" s="110">
        <f t="shared" si="172"/>
        <v>295677685.72124994</v>
      </c>
      <c r="AP1436" s="110">
        <f t="shared" si="172"/>
        <v>294958060.72125</v>
      </c>
      <c r="AQ1436" s="110">
        <f t="shared" si="172"/>
        <v>294539457.92958331</v>
      </c>
      <c r="AR1436" s="110">
        <f t="shared" si="172"/>
        <v>293474874.59625</v>
      </c>
      <c r="AS1436" s="110">
        <f t="shared" si="172"/>
        <v>292962703.76291668</v>
      </c>
      <c r="AT1436" s="110">
        <f t="shared" si="172"/>
        <v>291290043.28375</v>
      </c>
      <c r="AU1436" s="110">
        <f t="shared" si="172"/>
        <v>291087659.65916663</v>
      </c>
      <c r="AV1436" s="110">
        <f t="shared" si="172"/>
        <v>290551201.32583332</v>
      </c>
    </row>
    <row r="1437" spans="1:48" ht="15" customHeight="1" x14ac:dyDescent="0.35">
      <c r="M1437" s="7" t="s">
        <v>3832</v>
      </c>
      <c r="U1437" s="8">
        <f t="shared" si="171"/>
        <v>308858929.16000003</v>
      </c>
      <c r="V1437" s="8">
        <f t="shared" si="171"/>
        <v>312913284.88</v>
      </c>
      <c r="W1437" s="8">
        <f t="shared" si="171"/>
        <v>305982094.31</v>
      </c>
      <c r="X1437" s="8">
        <f t="shared" si="171"/>
        <v>303070929.74000001</v>
      </c>
      <c r="Y1437" s="8">
        <f t="shared" si="171"/>
        <v>310351516.08000004</v>
      </c>
      <c r="Z1437" s="8">
        <f t="shared" si="171"/>
        <v>310443626.34000003</v>
      </c>
      <c r="AA1437" s="8">
        <f t="shared" si="171"/>
        <v>311074052.53999996</v>
      </c>
      <c r="AB1437" s="8">
        <f t="shared" si="171"/>
        <v>312484881.00999999</v>
      </c>
    </row>
    <row r="1438" spans="1:48" ht="15" customHeight="1" x14ac:dyDescent="0.35">
      <c r="M1438" s="7" t="s">
        <v>3817</v>
      </c>
      <c r="U1438" s="109">
        <f t="shared" ref="U1438:AB1438" si="173">U1436-U1437</f>
        <v>5.5208265781402588E-2</v>
      </c>
      <c r="V1438" s="109">
        <f t="shared" si="173"/>
        <v>5.8749973773956299E-2</v>
      </c>
      <c r="W1438" s="109">
        <f t="shared" si="173"/>
        <v>5.1874995231628418E-2</v>
      </c>
      <c r="X1438" s="109">
        <f t="shared" si="173"/>
        <v>3.8541674613952637E-2</v>
      </c>
      <c r="Y1438" s="109">
        <f t="shared" si="173"/>
        <v>3.1874954700469971E-2</v>
      </c>
      <c r="Z1438" s="109">
        <f t="shared" si="173"/>
        <v>4.2708337306976318E-2</v>
      </c>
      <c r="AA1438" s="109">
        <f t="shared" si="173"/>
        <v>5.1041722297668457E-2</v>
      </c>
      <c r="AB1438" s="109">
        <f t="shared" si="173"/>
        <v>2.3750066757202148E-2</v>
      </c>
    </row>
    <row r="1440" spans="1:48" ht="15" customHeight="1" x14ac:dyDescent="0.35">
      <c r="A1440" s="4" t="s">
        <v>3833</v>
      </c>
    </row>
    <row r="1441" spans="1:48" ht="15" customHeight="1" x14ac:dyDescent="0.35">
      <c r="A1441" s="5" t="s">
        <v>3834</v>
      </c>
      <c r="U1441" s="108">
        <f t="shared" ref="U1441:AB1441" si="174">U$5</f>
        <v>46053</v>
      </c>
      <c r="V1441" s="108">
        <f t="shared" si="174"/>
        <v>46081</v>
      </c>
      <c r="W1441" s="108">
        <f t="shared" si="174"/>
        <v>46112</v>
      </c>
      <c r="X1441" s="108">
        <f t="shared" si="174"/>
        <v>46142</v>
      </c>
      <c r="Y1441" s="108">
        <f t="shared" si="174"/>
        <v>46173</v>
      </c>
      <c r="Z1441" s="108">
        <f t="shared" si="174"/>
        <v>46203</v>
      </c>
      <c r="AA1441" s="108">
        <f t="shared" si="174"/>
        <v>46234</v>
      </c>
      <c r="AB1441" s="108">
        <f t="shared" si="174"/>
        <v>46265</v>
      </c>
      <c r="AG1441" s="108">
        <f t="shared" ref="AG1441:AV1441" si="175">AG$5</f>
        <v>46295</v>
      </c>
      <c r="AH1441" s="108">
        <f t="shared" si="175"/>
        <v>46326</v>
      </c>
      <c r="AI1441" s="108">
        <f t="shared" si="175"/>
        <v>46356</v>
      </c>
      <c r="AJ1441" s="108">
        <f t="shared" si="175"/>
        <v>46387</v>
      </c>
      <c r="AK1441" s="108">
        <f t="shared" si="175"/>
        <v>46418</v>
      </c>
      <c r="AL1441" s="108">
        <f t="shared" si="175"/>
        <v>46446</v>
      </c>
      <c r="AM1441" s="108">
        <f t="shared" si="175"/>
        <v>46477</v>
      </c>
      <c r="AN1441" s="108">
        <f t="shared" si="175"/>
        <v>46507</v>
      </c>
      <c r="AO1441" s="108">
        <f t="shared" si="175"/>
        <v>46538</v>
      </c>
      <c r="AP1441" s="108">
        <f t="shared" si="175"/>
        <v>46568</v>
      </c>
      <c r="AQ1441" s="108">
        <f t="shared" si="175"/>
        <v>46599</v>
      </c>
      <c r="AR1441" s="108">
        <f t="shared" si="175"/>
        <v>46630</v>
      </c>
      <c r="AS1441" s="108">
        <f t="shared" si="175"/>
        <v>46660</v>
      </c>
      <c r="AT1441" s="108">
        <f t="shared" si="175"/>
        <v>46691</v>
      </c>
      <c r="AU1441" s="108">
        <f t="shared" si="175"/>
        <v>46721</v>
      </c>
      <c r="AV1441" s="108">
        <f t="shared" si="175"/>
        <v>46752</v>
      </c>
    </row>
    <row r="1442" spans="1:48" ht="15" customHeight="1" x14ac:dyDescent="0.35">
      <c r="A1442" s="6" t="s">
        <v>182</v>
      </c>
      <c r="U1442" s="8">
        <f>SUMIF($D$7:$D$1391,$A1442,$U$7:$U$1391)</f>
        <v>61730368.508333288</v>
      </c>
      <c r="V1442" s="8">
        <f>SUMIF($D$7:$D$1391,$A1442,$V$7:$V$1391)</f>
        <v>61730368.508333288</v>
      </c>
      <c r="W1442" s="8">
        <f>SUMIF($D$7:$D$1391,$A1442,$W$7:$W$1391)</f>
        <v>61730368.508333288</v>
      </c>
      <c r="X1442" s="8">
        <f>SUMIF($D$7:$D$1391,$A1442,$X$7:$X$1391)</f>
        <v>61730368.508333288</v>
      </c>
      <c r="Y1442" s="8">
        <f>SUMIF($D$7:$D$1391,$A1442,$Y$7:$Y$1391)</f>
        <v>61730368.508333288</v>
      </c>
      <c r="Z1442" s="8">
        <f>SUMIF($D$7:$D$1391,$A1442,$Z$7:$Z$1391)</f>
        <v>61730368.508333288</v>
      </c>
      <c r="AA1442" s="8">
        <f>SUMIF($D$7:$D$1391,$A1442,$AA$7:$AA$1391)</f>
        <v>61730368.508333288</v>
      </c>
      <c r="AB1442" s="8">
        <f>SUMIF($D$7:$D$1391,$A1442,$AB$7:$AB$1391)</f>
        <v>62104535.174999952</v>
      </c>
      <c r="AG1442" s="8">
        <f>SUMIF($D$7:$D$1391,$A1442,$AG$7:$AG$1391)</f>
        <v>62104535.174999952</v>
      </c>
      <c r="AH1442" s="8">
        <f>SUMIF($D$7:$D$1391,$A1442,$AH$7:$AH$1391)</f>
        <v>62104535.174999952</v>
      </c>
      <c r="AI1442" s="8">
        <f>SUMIF($D$7:$D$1391,$A1442,$AI$7:$AI$1391)</f>
        <v>62104535.174999952</v>
      </c>
      <c r="AJ1442" s="8">
        <f>SUMIF($D$7:$D$1391,$A1442,$AJ$7:$AJ$1391)</f>
        <v>62104535.174999952</v>
      </c>
      <c r="AK1442" s="8">
        <f>SUMIF($D$7:$D$1391,$A1442,$AK$7:$AK$1391)</f>
        <v>62104535.174999952</v>
      </c>
      <c r="AL1442" s="8">
        <f>SUMIF($D$7:$D$1391,$A1442,$AL$7:$AL$1391)</f>
        <v>62104535.174999952</v>
      </c>
      <c r="AM1442" s="8">
        <f>SUMIF($D$7:$D$1391,$A1442,$AM$7:$AM$1391)</f>
        <v>62104535.174999952</v>
      </c>
      <c r="AN1442" s="8">
        <f>SUMIF($D$7:$D$1391,$A1442,$AN$7:$AN$1391)</f>
        <v>62104535.174999952</v>
      </c>
      <c r="AO1442" s="8">
        <f>SUMIF($D$7:$D$1391,$A1442,$AO$7:$AO$1391)</f>
        <v>62104535.174999952</v>
      </c>
      <c r="AP1442" s="8">
        <f>SUMIF($D$7:$D$1391,$A1442,$AP$7:$AP$1391)</f>
        <v>62104535.174999952</v>
      </c>
      <c r="AQ1442" s="8">
        <f>SUMIF($D$7:$D$1391,$A1442,$AQ$7:$AQ$1391)</f>
        <v>62104535.174999952</v>
      </c>
      <c r="AR1442" s="8">
        <f>SUMIF($D$7:$D$1391,$A1442,$AR$7:$AR$1391)</f>
        <v>62104535.174999952</v>
      </c>
      <c r="AS1442" s="8">
        <f>SUMIF($D$7:$D$1391,$A1442,$AS$7:$AS$1391)</f>
        <v>62104535.174999952</v>
      </c>
      <c r="AT1442" s="8">
        <f>SUMIF($D$7:$D$1391,$A1442,$AT$7:$AT$1391)</f>
        <v>62104535.174999952</v>
      </c>
      <c r="AU1442" s="8">
        <f>SUMIF($D$7:$D$1391,$A1442,$AU$7:$AU$1391)</f>
        <v>62104535.174999952</v>
      </c>
      <c r="AV1442" s="8">
        <f>SUMIF($D$7:$D$1391,$A1442,$AV$7:$AV$1391)</f>
        <v>62104535.174999952</v>
      </c>
    </row>
    <row r="1443" spans="1:48" ht="15" customHeight="1" x14ac:dyDescent="0.35">
      <c r="A1443" s="6" t="s">
        <v>183</v>
      </c>
      <c r="U1443" s="8">
        <f>SUMIF($D$7:$D$1391,$A1443,$U$7:$U$1391)</f>
        <v>24154522.624999963</v>
      </c>
      <c r="V1443" s="8">
        <f>SUMIF($D$7:$D$1391,$A1443,$V$7:$V$1391)</f>
        <v>24154522.624999963</v>
      </c>
      <c r="W1443" s="8">
        <f>SUMIF($D$7:$D$1391,$A1443,$W$7:$W$1391)</f>
        <v>24154522.624999963</v>
      </c>
      <c r="X1443" s="8">
        <f>SUMIF($D$7:$D$1391,$A1443,$X$7:$X$1391)</f>
        <v>24154522.624999963</v>
      </c>
      <c r="Y1443" s="8">
        <f>SUMIF($D$7:$D$1391,$A1443,$Y$7:$Y$1391)</f>
        <v>30404522.624999963</v>
      </c>
      <c r="Z1443" s="8">
        <f>SUMIF($D$7:$D$1391,$A1443,$Z$7:$Z$1391)</f>
        <v>30404522.624999963</v>
      </c>
      <c r="AA1443" s="8">
        <f>SUMIF($D$7:$D$1391,$A1443,$AA$7:$AA$1391)</f>
        <v>30404522.624999963</v>
      </c>
      <c r="AB1443" s="8">
        <f>SUMIF($D$7:$D$1391,$A1443,$AB$7:$AB$1391)</f>
        <v>30404522.624999963</v>
      </c>
      <c r="AG1443" s="8">
        <f>SUMIF($D$7:$D$1391,$A1443,$AG$7:$AG$1391)</f>
        <v>30404522.624999963</v>
      </c>
      <c r="AH1443" s="8">
        <f>SUMIF($D$7:$D$1391,$A1443,$AH$7:$AH$1391)</f>
        <v>30404522.624999963</v>
      </c>
      <c r="AI1443" s="8">
        <f>SUMIF($D$7:$D$1391,$A1443,$AI$7:$AI$1391)</f>
        <v>30404522.624999963</v>
      </c>
      <c r="AJ1443" s="8">
        <f>SUMIF($D$7:$D$1391,$A1443,$AJ$7:$AJ$1391)</f>
        <v>30404522.624999963</v>
      </c>
      <c r="AK1443" s="8">
        <f>SUMIF($D$7:$D$1391,$A1443,$AK$7:$AK$1391)</f>
        <v>30404522.624999963</v>
      </c>
      <c r="AL1443" s="8">
        <f>SUMIF($D$7:$D$1391,$A1443,$AL$7:$AL$1391)</f>
        <v>30404522.624999963</v>
      </c>
      <c r="AM1443" s="8">
        <f>SUMIF($D$7:$D$1391,$A1443,$AM$7:$AM$1391)</f>
        <v>30404522.624999963</v>
      </c>
      <c r="AN1443" s="8">
        <f>SUMIF($D$7:$D$1391,$A1443,$AN$7:$AN$1391)</f>
        <v>30404522.624999963</v>
      </c>
      <c r="AO1443" s="8">
        <f>SUMIF($D$7:$D$1391,$A1443,$AO$7:$AO$1391)</f>
        <v>30404522.624999963</v>
      </c>
      <c r="AP1443" s="8">
        <f>SUMIF($D$7:$D$1391,$A1443,$AP$7:$AP$1391)</f>
        <v>30404522.624999963</v>
      </c>
      <c r="AQ1443" s="8">
        <f>SUMIF($D$7:$D$1391,$A1443,$AQ$7:$AQ$1391)</f>
        <v>30404522.624999963</v>
      </c>
      <c r="AR1443" s="8">
        <f>SUMIF($D$7:$D$1391,$A1443,$AR$7:$AR$1391)</f>
        <v>30404522.624999963</v>
      </c>
      <c r="AS1443" s="8">
        <f>SUMIF($D$7:$D$1391,$A1443,$AS$7:$AS$1391)</f>
        <v>30404522.624999963</v>
      </c>
      <c r="AT1443" s="8">
        <f>SUMIF($D$7:$D$1391,$A1443,$AT$7:$AT$1391)</f>
        <v>30404522.624999963</v>
      </c>
      <c r="AU1443" s="8">
        <f>SUMIF($D$7:$D$1391,$A1443,$AU$7:$AU$1391)</f>
        <v>30404522.624999963</v>
      </c>
      <c r="AV1443" s="8">
        <f>SUMIF($D$7:$D$1391,$A1443,$AV$7:$AV$1391)</f>
        <v>30404522.624999963</v>
      </c>
    </row>
    <row r="1444" spans="1:48" ht="15" customHeight="1" x14ac:dyDescent="0.35">
      <c r="A1444" s="6" t="s">
        <v>184</v>
      </c>
      <c r="U1444" s="8">
        <f>SUMIF($D$7:$D$1391,$A1444,$U$7:$U$1391)</f>
        <v>11366033.245625004</v>
      </c>
      <c r="V1444" s="8">
        <f>SUMIF($D$7:$D$1391,$A1444,$V$7:$V$1391)</f>
        <v>11220840.115000004</v>
      </c>
      <c r="W1444" s="8">
        <f>SUMIF($D$7:$D$1391,$A1444,$W$7:$W$1391)</f>
        <v>8792404.788124999</v>
      </c>
      <c r="X1444" s="8">
        <f>SUMIF($D$7:$D$1391,$A1444,$X$7:$X$1391)</f>
        <v>8765698.5381250009</v>
      </c>
      <c r="Y1444" s="8">
        <f>SUMIF($D$7:$D$1391,$A1444,$Y$7:$Y$1391)</f>
        <v>8795451.5381250028</v>
      </c>
      <c r="Z1444" s="8">
        <f>SUMIF($D$7:$D$1391,$A1444,$Z$7:$Z$1391)</f>
        <v>8857801.3922916688</v>
      </c>
      <c r="AA1444" s="8">
        <f>SUMIF($D$7:$D$1391,$A1444,$AA$7:$AA$1391)</f>
        <v>9526213.5381250046</v>
      </c>
      <c r="AB1444" s="8">
        <f>SUMIF($D$7:$D$1391,$A1444,$AB$7:$AB$1391)</f>
        <v>10106730.98083334</v>
      </c>
      <c r="AG1444" s="8">
        <f>SUMIF($D$7:$D$1391,$A1444,$AG$7:$AG$1391)</f>
        <v>10106730.980833337</v>
      </c>
      <c r="AH1444" s="8">
        <f>SUMIF($D$7:$D$1391,$A1444,$AH$7:$AH$1391)</f>
        <v>9965064.3141666725</v>
      </c>
      <c r="AI1444" s="8">
        <f>SUMIF($D$7:$D$1391,$A1444,$AI$7:$AI$1391)</f>
        <v>9965064.3141666725</v>
      </c>
      <c r="AJ1444" s="8">
        <f>SUMIF($D$7:$D$1391,$A1444,$AJ$7:$AJ$1391)</f>
        <v>9932573.8766666707</v>
      </c>
      <c r="AK1444" s="8">
        <f>SUMIF($D$7:$D$1391,$A1444,$AK$7:$AK$1391)</f>
        <v>9855621.9183333386</v>
      </c>
      <c r="AL1444" s="8">
        <f>SUMIF($D$7:$D$1391,$A1444,$AL$7:$AL$1391)</f>
        <v>9768121.9183333367</v>
      </c>
      <c r="AM1444" s="8">
        <f>SUMIF($D$7:$D$1391,$A1444,$AM$7:$AM$1391)</f>
        <v>9549757.3350000121</v>
      </c>
      <c r="AN1444" s="8">
        <f>SUMIF($D$7:$D$1391,$A1444,$AN$7:$AN$1391)</f>
        <v>8844717.7516666651</v>
      </c>
      <c r="AO1444" s="8">
        <f>SUMIF($D$7:$D$1391,$A1444,$AO$7:$AO$1391)</f>
        <v>8844717.7516666651</v>
      </c>
      <c r="AP1444" s="8">
        <f>SUMIF($D$7:$D$1391,$A1444,$AP$7:$AP$1391)</f>
        <v>8844717.7516666651</v>
      </c>
      <c r="AQ1444" s="8">
        <f>SUMIF($D$7:$D$1391,$A1444,$AQ$7:$AQ$1391)</f>
        <v>8603198.2933333348</v>
      </c>
      <c r="AR1444" s="8">
        <f>SUMIF($D$7:$D$1391,$A1444,$AR$7:$AR$1391)</f>
        <v>8559448.2933333293</v>
      </c>
      <c r="AS1444" s="8">
        <f>SUMIF($D$7:$D$1391,$A1444,$AS$7:$AS$1391)</f>
        <v>8182694.1266666763</v>
      </c>
      <c r="AT1444" s="8">
        <f>SUMIF($D$7:$D$1391,$A1444,$AT$7:$AT$1391)</f>
        <v>7176700.3141666735</v>
      </c>
      <c r="AU1444" s="8">
        <f>SUMIF($D$7:$D$1391,$A1444,$AU$7:$AU$1391)</f>
        <v>7074316.6895833388</v>
      </c>
      <c r="AV1444" s="8">
        <f>SUMIF($D$7:$D$1391,$A1444,$AV$7:$AV$1391)</f>
        <v>7074316.6895833332</v>
      </c>
    </row>
    <row r="1445" spans="1:48" ht="15" customHeight="1" x14ac:dyDescent="0.35">
      <c r="A1445" s="6" t="s">
        <v>185</v>
      </c>
      <c r="U1445" s="8">
        <f>SUMIF($D$7:$D$1391,$A1445,$U$7:$U$1391)</f>
        <v>62596465.50916668</v>
      </c>
      <c r="V1445" s="8">
        <f>SUMIF($D$7:$D$1391,$A1445,$V$7:$V$1391)</f>
        <v>60293236.342500024</v>
      </c>
      <c r="W1445" s="8">
        <f>SUMIF($D$7:$D$1391,$A1445,$W$7:$W$1391)</f>
        <v>55790481.092500001</v>
      </c>
      <c r="X1445" s="8">
        <f>SUMIF($D$7:$D$1391,$A1445,$X$7:$X$1391)</f>
        <v>55134231.092500001</v>
      </c>
      <c r="Y1445" s="8">
        <f>SUMIF($D$7:$D$1391,$A1445,$Y$7:$Y$1391)</f>
        <v>55093397.759166665</v>
      </c>
      <c r="Z1445" s="8">
        <f>SUMIF($D$7:$D$1391,$A1445,$Z$7:$Z$1391)</f>
        <v>55123158.175833337</v>
      </c>
      <c r="AA1445" s="8">
        <f>SUMIF($D$7:$D$1391,$A1445,$AA$7:$AA$1391)</f>
        <v>55085172.238333337</v>
      </c>
      <c r="AB1445" s="8">
        <f>SUMIF($D$7:$D$1391,$A1445,$AB$7:$AB$1391)</f>
        <v>55541316.571666665</v>
      </c>
      <c r="AG1445" s="8">
        <f>SUMIF($D$7:$D$1391,$A1445,$AG$7:$AG$1391)</f>
        <v>55293400.946666673</v>
      </c>
      <c r="AH1445" s="8">
        <f>SUMIF($D$7:$D$1391,$A1445,$AH$7:$AH$1391)</f>
        <v>55157671.783333324</v>
      </c>
      <c r="AI1445" s="8">
        <f>SUMIF($D$7:$D$1391,$A1445,$AI$7:$AI$1391)</f>
        <v>53697255.113333337</v>
      </c>
      <c r="AJ1445" s="8">
        <f>SUMIF($D$7:$D$1391,$A1445,$AJ$7:$AJ$1391)</f>
        <v>53389963.446666643</v>
      </c>
      <c r="AK1445" s="8">
        <f>SUMIF($D$7:$D$1391,$A1445,$AK$7:$AK$1391)</f>
        <v>52348296.779999979</v>
      </c>
      <c r="AL1445" s="8">
        <f>SUMIF($D$7:$D$1391,$A1445,$AL$7:$AL$1391)</f>
        <v>51976786.363333307</v>
      </c>
      <c r="AM1445" s="8">
        <f>SUMIF($D$7:$D$1391,$A1445,$AM$7:$AM$1391)</f>
        <v>51530239.800833322</v>
      </c>
      <c r="AN1445" s="8">
        <f>SUMIF($D$7:$D$1391,$A1445,$AN$7:$AN$1391)</f>
        <v>51483885.634166636</v>
      </c>
      <c r="AO1445" s="8">
        <f>SUMIF($D$7:$D$1391,$A1445,$AO$7:$AO$1391)</f>
        <v>50902545.467499979</v>
      </c>
      <c r="AP1445" s="8">
        <f>SUMIF($D$7:$D$1391,$A1445,$AP$7:$AP$1391)</f>
        <v>50547503.800833337</v>
      </c>
      <c r="AQ1445" s="8">
        <f>SUMIF($D$7:$D$1391,$A1445,$AQ$7:$AQ$1391)</f>
        <v>50547503.800833337</v>
      </c>
      <c r="AR1445" s="8">
        <f>SUMIF($D$7:$D$1391,$A1445,$AR$7:$AR$1391)</f>
        <v>49922503.800833344</v>
      </c>
      <c r="AS1445" s="8">
        <f>SUMIF($D$7:$D$1391,$A1445,$AS$7:$AS$1391)</f>
        <v>49787087.13416668</v>
      </c>
      <c r="AT1445" s="8">
        <f>SUMIF($D$7:$D$1391,$A1445,$AT$7:$AT$1391)</f>
        <v>49120420.467500009</v>
      </c>
      <c r="AU1445" s="8">
        <f>SUMIF($D$7:$D$1391,$A1445,$AU$7:$AU$1391)</f>
        <v>49020420.467500009</v>
      </c>
      <c r="AV1445" s="8">
        <f>SUMIF($D$7:$D$1391,$A1445,$AV$7:$AV$1391)</f>
        <v>48483962.134166688</v>
      </c>
    </row>
    <row r="1446" spans="1:48" ht="15" customHeight="1" x14ac:dyDescent="0.35">
      <c r="A1446" s="6" t="s">
        <v>186</v>
      </c>
      <c r="U1446" s="8">
        <f>SUMIF($D$7:$D$1391,$A1446,$U$7:$U$1391)</f>
        <v>149011539.32708338</v>
      </c>
      <c r="V1446" s="8">
        <f>SUMIF($D$7:$D$1391,$A1446,$V$7:$V$1391)</f>
        <v>155514317.34791669</v>
      </c>
      <c r="W1446" s="8">
        <f>SUMIF($D$7:$D$1391,$A1446,$W$7:$W$1391)</f>
        <v>155514317.34791669</v>
      </c>
      <c r="X1446" s="8">
        <f>SUMIF($D$7:$D$1391,$A1446,$X$7:$X$1391)</f>
        <v>153286109.01458335</v>
      </c>
      <c r="Y1446" s="8">
        <f>SUMIF($D$7:$D$1391,$A1446,$Y$7:$Y$1391)</f>
        <v>154327775.68125001</v>
      </c>
      <c r="Z1446" s="8">
        <f>SUMIF($D$7:$D$1391,$A1446,$Z$7:$Z$1391)</f>
        <v>154327775.68125001</v>
      </c>
      <c r="AA1446" s="8">
        <f>SUMIF($D$7:$D$1391,$A1446,$AA$7:$AA$1391)</f>
        <v>154327775.68125001</v>
      </c>
      <c r="AB1446" s="8">
        <f>SUMIF($D$7:$D$1391,$A1446,$AB$7:$AB$1391)</f>
        <v>154327775.68125001</v>
      </c>
      <c r="AG1446" s="8">
        <f>SUMIF($D$7:$D$1391,$A1446,$AG$7:$AG$1391)</f>
        <v>154327775.68125001</v>
      </c>
      <c r="AH1446" s="8">
        <f>SUMIF($D$7:$D$1391,$A1446,$AH$7:$AH$1391)</f>
        <v>154327775.68124998</v>
      </c>
      <c r="AI1446" s="8">
        <f>SUMIF($D$7:$D$1391,$A1446,$AI$7:$AI$1391)</f>
        <v>153200531.36875004</v>
      </c>
      <c r="AJ1446" s="8">
        <f>SUMIF($D$7:$D$1391,$A1446,$AJ$7:$AJ$1391)</f>
        <v>151013031.36875001</v>
      </c>
      <c r="AK1446" s="8">
        <f>SUMIF($D$7:$D$1391,$A1446,$AK$7:$AK$1391)</f>
        <v>151013031.36875001</v>
      </c>
      <c r="AL1446" s="8">
        <f>SUMIF($D$7:$D$1391,$A1446,$AL$7:$AL$1391)</f>
        <v>151013031.36875001</v>
      </c>
      <c r="AM1446" s="8">
        <f>SUMIF($D$7:$D$1391,$A1446,$AM$7:$AM$1391)</f>
        <v>151013031.36874995</v>
      </c>
      <c r="AN1446" s="8">
        <f>SUMIF($D$7:$D$1391,$A1446,$AN$7:$AN$1391)</f>
        <v>143421364.70208338</v>
      </c>
      <c r="AO1446" s="8">
        <f>SUMIF($D$7:$D$1391,$A1446,$AO$7:$AO$1391)</f>
        <v>143421364.70208338</v>
      </c>
      <c r="AP1446" s="8">
        <f>SUMIF($D$7:$D$1391,$A1446,$AP$7:$AP$1391)</f>
        <v>143056781.36875007</v>
      </c>
      <c r="AQ1446" s="8">
        <f>SUMIF($D$7:$D$1391,$A1446,$AQ$7:$AQ$1391)</f>
        <v>142879698.03541666</v>
      </c>
      <c r="AR1446" s="8">
        <f>SUMIF($D$7:$D$1391,$A1446,$AR$7:$AR$1391)</f>
        <v>142483864.70208335</v>
      </c>
      <c r="AS1446" s="8">
        <f>SUMIF($D$7:$D$1391,$A1446,$AS$7:$AS$1391)</f>
        <v>142483864.70208335</v>
      </c>
      <c r="AT1446" s="8">
        <f>SUMIF($D$7:$D$1391,$A1446,$AT$7:$AT$1391)</f>
        <v>142483864.70208335</v>
      </c>
      <c r="AU1446" s="8">
        <f>SUMIF($D$7:$D$1391,$A1446,$AU$7:$AU$1391)</f>
        <v>142483864.70208335</v>
      </c>
      <c r="AV1446" s="8">
        <f>SUMIF($D$7:$D$1391,$A1446,$AV$7:$AV$1391)</f>
        <v>142483864.70208335</v>
      </c>
    </row>
    <row r="1447" spans="1:48" ht="15" customHeight="1" x14ac:dyDescent="0.35">
      <c r="A1447" s="6" t="s">
        <v>3835</v>
      </c>
      <c r="U1447" s="109">
        <f t="shared" ref="U1447:AB1447" si="176">U1446+U1445</f>
        <v>211608004.83625007</v>
      </c>
      <c r="V1447" s="109">
        <f t="shared" si="176"/>
        <v>215807553.69041672</v>
      </c>
      <c r="W1447" s="109">
        <f t="shared" si="176"/>
        <v>211304798.44041669</v>
      </c>
      <c r="X1447" s="109">
        <f t="shared" si="176"/>
        <v>208420340.10708335</v>
      </c>
      <c r="Y1447" s="109">
        <f t="shared" si="176"/>
        <v>209421173.44041666</v>
      </c>
      <c r="Z1447" s="109">
        <f t="shared" si="176"/>
        <v>209450933.85708335</v>
      </c>
      <c r="AA1447" s="109">
        <f t="shared" si="176"/>
        <v>209412947.91958335</v>
      </c>
      <c r="AB1447" s="109">
        <f t="shared" si="176"/>
        <v>209869092.25291666</v>
      </c>
      <c r="AG1447" s="109">
        <f t="shared" ref="AG1447:AV1447" si="177">AG1446+AG1445</f>
        <v>209621176.62791669</v>
      </c>
      <c r="AH1447" s="109">
        <f t="shared" si="177"/>
        <v>209485447.46458331</v>
      </c>
      <c r="AI1447" s="109">
        <f t="shared" si="177"/>
        <v>206897786.48208338</v>
      </c>
      <c r="AJ1447" s="109">
        <f t="shared" si="177"/>
        <v>204402994.81541663</v>
      </c>
      <c r="AK1447" s="109">
        <f t="shared" si="177"/>
        <v>203361328.14874998</v>
      </c>
      <c r="AL1447" s="109">
        <f t="shared" si="177"/>
        <v>202989817.73208332</v>
      </c>
      <c r="AM1447" s="109">
        <f t="shared" si="177"/>
        <v>202543271.16958326</v>
      </c>
      <c r="AN1447" s="109">
        <f t="shared" si="177"/>
        <v>194905250.33625001</v>
      </c>
      <c r="AO1447" s="109">
        <f t="shared" si="177"/>
        <v>194323910.16958335</v>
      </c>
      <c r="AP1447" s="109">
        <f t="shared" si="177"/>
        <v>193604285.16958341</v>
      </c>
      <c r="AQ1447" s="109">
        <f t="shared" si="177"/>
        <v>193427201.83625001</v>
      </c>
      <c r="AR1447" s="109">
        <f t="shared" si="177"/>
        <v>192406368.50291669</v>
      </c>
      <c r="AS1447" s="109">
        <f t="shared" si="177"/>
        <v>192270951.83625004</v>
      </c>
      <c r="AT1447" s="109">
        <f t="shared" si="177"/>
        <v>191604285.16958335</v>
      </c>
      <c r="AU1447" s="109">
        <f t="shared" si="177"/>
        <v>191504285.16958335</v>
      </c>
      <c r="AV1447" s="109">
        <f t="shared" si="177"/>
        <v>190967826.83625004</v>
      </c>
    </row>
    <row r="1448" spans="1:48" ht="15" customHeight="1" x14ac:dyDescent="0.35">
      <c r="A1448" s="6" t="s">
        <v>3836</v>
      </c>
      <c r="U1448" s="109">
        <f t="shared" ref="U1448:AB1448" si="178">U1442+U1443+U1444</f>
        <v>97250924.378958255</v>
      </c>
      <c r="V1448" s="109">
        <f t="shared" si="178"/>
        <v>97105731.24833326</v>
      </c>
      <c r="W1448" s="109">
        <f t="shared" si="178"/>
        <v>94677295.921458244</v>
      </c>
      <c r="X1448" s="109">
        <f t="shared" si="178"/>
        <v>94650589.671458244</v>
      </c>
      <c r="Y1448" s="109">
        <f t="shared" si="178"/>
        <v>100930342.67145826</v>
      </c>
      <c r="Z1448" s="109">
        <f t="shared" si="178"/>
        <v>100992692.52562492</v>
      </c>
      <c r="AA1448" s="109">
        <f t="shared" si="178"/>
        <v>101661104.67145826</v>
      </c>
      <c r="AB1448" s="109">
        <f t="shared" si="178"/>
        <v>102615788.78083326</v>
      </c>
      <c r="AG1448" s="109">
        <f t="shared" ref="AG1448:AV1448" si="179">AG1442+AG1443+AG1444</f>
        <v>102615788.78083326</v>
      </c>
      <c r="AH1448" s="109">
        <f t="shared" si="179"/>
        <v>102474122.11416659</v>
      </c>
      <c r="AI1448" s="109">
        <f t="shared" si="179"/>
        <v>102474122.11416659</v>
      </c>
      <c r="AJ1448" s="109">
        <f t="shared" si="179"/>
        <v>102441631.67666659</v>
      </c>
      <c r="AK1448" s="109">
        <f t="shared" si="179"/>
        <v>102364679.71833326</v>
      </c>
      <c r="AL1448" s="109">
        <f t="shared" si="179"/>
        <v>102277179.71833326</v>
      </c>
      <c r="AM1448" s="109">
        <f t="shared" si="179"/>
        <v>102058815.13499993</v>
      </c>
      <c r="AN1448" s="109">
        <f t="shared" si="179"/>
        <v>101353775.55166659</v>
      </c>
      <c r="AO1448" s="109">
        <f t="shared" si="179"/>
        <v>101353775.55166659</v>
      </c>
      <c r="AP1448" s="109">
        <f t="shared" si="179"/>
        <v>101353775.55166659</v>
      </c>
      <c r="AQ1448" s="109">
        <f t="shared" si="179"/>
        <v>101112256.09333326</v>
      </c>
      <c r="AR1448" s="109">
        <f t="shared" si="179"/>
        <v>101068506.09333324</v>
      </c>
      <c r="AS1448" s="109">
        <f t="shared" si="179"/>
        <v>100691751.9266666</v>
      </c>
      <c r="AT1448" s="109">
        <f t="shared" si="179"/>
        <v>99685758.114166602</v>
      </c>
      <c r="AU1448" s="109">
        <f t="shared" si="179"/>
        <v>99583374.489583254</v>
      </c>
      <c r="AV1448" s="109">
        <f t="shared" si="179"/>
        <v>99583374.489583254</v>
      </c>
    </row>
    <row r="1449" spans="1:48" ht="15" customHeight="1" x14ac:dyDescent="0.35">
      <c r="A1449" s="6" t="s">
        <v>3837</v>
      </c>
      <c r="U1449" s="110">
        <f t="shared" ref="U1449:AB1449" si="180">U1447+U1448</f>
        <v>308858929.21520829</v>
      </c>
      <c r="V1449" s="110">
        <f t="shared" si="180"/>
        <v>312913284.93874997</v>
      </c>
      <c r="W1449" s="110">
        <f t="shared" si="180"/>
        <v>305982094.36187494</v>
      </c>
      <c r="X1449" s="110">
        <f t="shared" si="180"/>
        <v>303070929.77854156</v>
      </c>
      <c r="Y1449" s="110">
        <f t="shared" si="180"/>
        <v>310351516.11187494</v>
      </c>
      <c r="Z1449" s="110">
        <f t="shared" si="180"/>
        <v>310443626.38270825</v>
      </c>
      <c r="AA1449" s="110">
        <f t="shared" si="180"/>
        <v>311074052.59104162</v>
      </c>
      <c r="AB1449" s="110">
        <f t="shared" si="180"/>
        <v>312484881.03374994</v>
      </c>
      <c r="AG1449" s="110">
        <f t="shared" ref="AG1449:AV1449" si="181">AG1447+AG1448</f>
        <v>312236965.40874994</v>
      </c>
      <c r="AH1449" s="110">
        <f t="shared" si="181"/>
        <v>311959569.5787499</v>
      </c>
      <c r="AI1449" s="110">
        <f t="shared" si="181"/>
        <v>309371908.59624994</v>
      </c>
      <c r="AJ1449" s="110">
        <f t="shared" si="181"/>
        <v>306844626.49208319</v>
      </c>
      <c r="AK1449" s="110">
        <f t="shared" si="181"/>
        <v>305726007.86708325</v>
      </c>
      <c r="AL1449" s="110">
        <f t="shared" si="181"/>
        <v>305266997.45041656</v>
      </c>
      <c r="AM1449" s="110">
        <f t="shared" si="181"/>
        <v>304602086.30458319</v>
      </c>
      <c r="AN1449" s="110">
        <f t="shared" si="181"/>
        <v>296259025.88791656</v>
      </c>
      <c r="AO1449" s="110">
        <f t="shared" si="181"/>
        <v>295677685.72124994</v>
      </c>
      <c r="AP1449" s="110">
        <f t="shared" si="181"/>
        <v>294958060.72125</v>
      </c>
      <c r="AQ1449" s="110">
        <f t="shared" si="181"/>
        <v>294539457.92958325</v>
      </c>
      <c r="AR1449" s="110">
        <f t="shared" si="181"/>
        <v>293474874.59624994</v>
      </c>
      <c r="AS1449" s="110">
        <f t="shared" si="181"/>
        <v>292962703.76291662</v>
      </c>
      <c r="AT1449" s="110">
        <f t="shared" si="181"/>
        <v>291290043.28374994</v>
      </c>
      <c r="AU1449" s="110">
        <f t="shared" si="181"/>
        <v>291087659.65916657</v>
      </c>
      <c r="AV1449" s="110">
        <f t="shared" si="181"/>
        <v>290551201.32583332</v>
      </c>
    </row>
    <row r="1452" spans="1:48" ht="15" customHeight="1" x14ac:dyDescent="0.35">
      <c r="A1452" s="4" t="s">
        <v>3838</v>
      </c>
    </row>
    <row r="1453" spans="1:48" ht="15" customHeight="1" x14ac:dyDescent="0.35">
      <c r="A1453" s="5" t="s">
        <v>3839</v>
      </c>
      <c r="D1453" s="5" t="s">
        <v>3840</v>
      </c>
      <c r="E1453" s="5" t="s">
        <v>3841</v>
      </c>
      <c r="F1453" s="5" t="s">
        <v>3842</v>
      </c>
      <c r="G1453" s="5" t="s">
        <v>3843</v>
      </c>
      <c r="H1453" s="5" t="s">
        <v>3844</v>
      </c>
      <c r="I1453" s="5" t="s">
        <v>3842</v>
      </c>
      <c r="J1453" s="5" t="s">
        <v>3845</v>
      </c>
    </row>
    <row r="1454" spans="1:48" ht="15" customHeight="1" x14ac:dyDescent="0.35">
      <c r="A1454" s="6" t="s">
        <v>182</v>
      </c>
      <c r="D1454" s="8">
        <f>SUMIF($D$7:$D$1391,$A1454,$Q$7:$Q$1391)</f>
        <v>14905088442</v>
      </c>
      <c r="E1454" s="8">
        <f>SUMIFS('BS Actual MTM - Aug 26'!$L:$L,'BS Actual MTM - Aug 26'!$R:$R,$A1454)</f>
        <v>14905088442</v>
      </c>
      <c r="F1454" s="109">
        <f>D1454-E1454</f>
        <v>0</v>
      </c>
      <c r="G1454" s="8">
        <f>SUMIF($D$7:$D$1391,$A1454,$AC$7:$AC$1391)</f>
        <v>7512078684.6508379</v>
      </c>
      <c r="H1454" s="8">
        <f>-SUMIFS('BS Actual MTM - Aug 26'!$L:$L,'BS Actual MTM - Aug 26'!$R:$R,"Acc. Depreciation - "&amp;$A1454)</f>
        <v>7512078684.3400002</v>
      </c>
      <c r="I1454" s="109">
        <f>G1454-H1454</f>
        <v>0.31083774566650391</v>
      </c>
      <c r="J1454" s="8">
        <f>D1454-G1454</f>
        <v>7393009757.3491621</v>
      </c>
    </row>
    <row r="1455" spans="1:48" ht="15" customHeight="1" x14ac:dyDescent="0.35">
      <c r="A1455" s="6" t="s">
        <v>183</v>
      </c>
      <c r="D1455" s="8">
        <f>SUMIF($D$7:$D$1391,$A1455,$Q$7:$Q$1391)</f>
        <v>3582698779</v>
      </c>
      <c r="E1455" s="8">
        <f>SUMIFS('BS Actual MTM - Aug 26'!$L:$L,'BS Actual MTM - Aug 26'!$R:$R,$A1455)</f>
        <v>3510519536.9900002</v>
      </c>
      <c r="F1455" s="109">
        <f>D1455-E1455</f>
        <v>72179242.009999752</v>
      </c>
      <c r="G1455" s="8">
        <f>SUMIF($D$7:$D$1391,$A1455,$AC$7:$AC$1391)</f>
        <v>1636081615.8104162</v>
      </c>
      <c r="H1455" s="8">
        <f>-SUMIFS('BS Actual MTM - Aug 26'!$L:$L,'BS Actual MTM - Aug 26'!$R:$R,"Acc. Depreciation - "&amp;$A1455)</f>
        <v>1563902373.1400003</v>
      </c>
      <c r="I1455" s="109">
        <f>G1455-H1455</f>
        <v>72179242.670415878</v>
      </c>
      <c r="J1455" s="8">
        <f>D1455-G1455</f>
        <v>1946617163.1895838</v>
      </c>
    </row>
    <row r="1456" spans="1:48" ht="15" customHeight="1" x14ac:dyDescent="0.35">
      <c r="A1456" s="6" t="s">
        <v>184</v>
      </c>
      <c r="D1456" s="8">
        <f>SUMIF($D$7:$D$1391,$A1456,$Q$7:$Q$1391)</f>
        <v>2027439558.0799999</v>
      </c>
      <c r="E1456" s="8">
        <f>SUMIFS('BS Actual MTM - Aug 26'!$L:$L,'BS Actual MTM - Aug 26'!$R:$R,$A1456)</f>
        <v>2027439726.25</v>
      </c>
      <c r="F1456" s="109">
        <f>D1456-E1456</f>
        <v>-168.17000007629395</v>
      </c>
      <c r="G1456" s="8">
        <f>SUMIF($D$7:$D$1391,$A1456,$AC$7:$AC$1391)</f>
        <v>1743190199.5633316</v>
      </c>
      <c r="H1456" s="8">
        <f>-SUMIFS('BS Actual MTM - Aug 26'!$L:$L,'BS Actual MTM - Aug 26'!$R:$R,"Acc. Depreciation - "&amp;$A1456)</f>
        <v>1743190363.2900002</v>
      </c>
      <c r="I1456" s="109">
        <f>G1456-H1456</f>
        <v>-163.7266685962677</v>
      </c>
      <c r="J1456" s="8">
        <f>D1456-G1456</f>
        <v>284249358.51666832</v>
      </c>
    </row>
    <row r="1457" spans="1:10" ht="15" customHeight="1" x14ac:dyDescent="0.35">
      <c r="A1457" s="6" t="s">
        <v>185</v>
      </c>
      <c r="D1457" s="8">
        <f>SUMIF($D$7:$D$1391,$A1457,$Q$7:$Q$1391)</f>
        <v>9399071532.4400024</v>
      </c>
      <c r="E1457" s="8">
        <f>SUMIFS('BS Actual MTM - Aug 26'!$L:$L,'BS Actual MTM - Aug 26'!$R:$R,$A1457)</f>
        <v>9399073064.2400017</v>
      </c>
      <c r="F1457" s="109">
        <f>D1457-E1457</f>
        <v>-1531.7999992370605</v>
      </c>
      <c r="G1457" s="8">
        <f>SUMIF($D$7:$D$1391,$A1457,$AC$7:$AC$1391)</f>
        <v>7318487693.1301107</v>
      </c>
      <c r="H1457" s="8">
        <f>-SUMIFS('BS Actual MTM - Aug 26'!$L:$L,'BS Actual MTM - Aug 26'!$R:$R,"Acc. Depreciation - "&amp;$A1457)</f>
        <v>7318489161.0799704</v>
      </c>
      <c r="I1457" s="109">
        <f>G1457-H1457</f>
        <v>-1467.9498596191406</v>
      </c>
      <c r="J1457" s="8">
        <f>D1457-G1457</f>
        <v>2080583839.3098917</v>
      </c>
    </row>
    <row r="1458" spans="1:10" ht="15" customHeight="1" x14ac:dyDescent="0.35">
      <c r="A1458" s="6" t="s">
        <v>186</v>
      </c>
      <c r="D1458" s="8">
        <f>SUMIF($D$7:$D$1391,$A1458,$Q$7:$Q$1391)</f>
        <v>24400125183.169998</v>
      </c>
      <c r="E1458" s="8">
        <f>SUMIFS('BS Actual MTM - Aug 26'!$L:$L,'BS Actual MTM - Aug 26'!$R:$R,$A1458)</f>
        <v>24395425534.589005</v>
      </c>
      <c r="F1458" s="109">
        <f>D1458-E1458</f>
        <v>4699648.5809936523</v>
      </c>
      <c r="G1458" s="8">
        <f>SUMIF($D$7:$D$1391,$A1458,$AC$7:$AC$1391)</f>
        <v>16477794267.095207</v>
      </c>
      <c r="H1458" s="8">
        <f>-SUMIFS('BS Actual MTM - Aug 26'!$L:$L,'BS Actual MTM - Aug 26'!$R:$R,"Acc. Depreciation - "&amp;$A1458)</f>
        <v>15844596677.190001</v>
      </c>
      <c r="I1458" s="109">
        <f>G1458-H1458</f>
        <v>633197589.90520668</v>
      </c>
      <c r="J1458" s="8">
        <f>D1458-G1458</f>
        <v>7922330916.074791</v>
      </c>
    </row>
    <row r="1459" spans="1:10" ht="15" customHeight="1" x14ac:dyDescent="0.35">
      <c r="A1459" s="2" t="s">
        <v>3846</v>
      </c>
    </row>
    <row r="1460" spans="1:10" ht="15" customHeight="1" x14ac:dyDescent="0.35">
      <c r="A1460" s="2" t="s">
        <v>3847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01"/>
  <sheetViews>
    <sheetView zoomScaleNormal="100" workbookViewId="0">
      <selection activeCell="C34" sqref="C34"/>
    </sheetView>
  </sheetViews>
  <sheetFormatPr defaultColWidth="9.08984375" defaultRowHeight="14.5" x14ac:dyDescent="0.35"/>
  <cols>
    <col min="1" max="1" width="9.08984375" style="12"/>
    <col min="2" max="2" width="2.36328125" style="12" customWidth="1"/>
    <col min="3" max="3" width="39.36328125" style="12" customWidth="1"/>
    <col min="4" max="4" width="5.08984375" style="12" customWidth="1"/>
    <col min="5" max="5" width="19.54296875" style="12" customWidth="1"/>
    <col min="6" max="6" width="15.6328125" style="12" customWidth="1"/>
    <col min="7" max="8" width="14.54296875" style="12" customWidth="1"/>
    <col min="9" max="9" width="14.36328125" style="12" customWidth="1"/>
    <col min="10" max="10" width="15.54296875" style="12" customWidth="1"/>
    <col min="11" max="11" width="15.36328125" style="12" customWidth="1"/>
    <col min="12" max="12" width="14.08984375" style="12" customWidth="1"/>
    <col min="13" max="13" width="14.54296875" style="12" hidden="1" customWidth="1"/>
    <col min="14" max="14" width="14.90625" style="12" hidden="1" customWidth="1"/>
    <col min="15" max="15" width="15.54296875" style="12" hidden="1" customWidth="1"/>
    <col min="16" max="16" width="15.453125" style="12" hidden="1" customWidth="1"/>
    <col min="17" max="17" width="9.08984375" style="12"/>
    <col min="18" max="18" width="22.08984375" style="12" customWidth="1"/>
    <col min="19" max="16384" width="9.08984375" style="12"/>
  </cols>
  <sheetData>
    <row r="1" spans="1:18" ht="14.25" customHeight="1" x14ac:dyDescent="0.35">
      <c r="A1" s="205" t="s">
        <v>4410</v>
      </c>
      <c r="B1" s="206"/>
      <c r="C1" s="206"/>
      <c r="D1" s="206"/>
      <c r="E1" s="206"/>
      <c r="F1" s="206"/>
    </row>
    <row r="2" spans="1:18" ht="21" customHeight="1" x14ac:dyDescent="0.35">
      <c r="A2" s="207" t="s">
        <v>4411</v>
      </c>
      <c r="B2" s="208"/>
      <c r="C2" s="208"/>
      <c r="D2" s="208"/>
      <c r="E2" s="208"/>
      <c r="F2" s="208"/>
    </row>
    <row r="3" spans="1:18" ht="14.25" customHeight="1" x14ac:dyDescent="0.35">
      <c r="A3" s="209" t="s">
        <v>4412</v>
      </c>
      <c r="B3" s="210"/>
      <c r="C3" s="210"/>
      <c r="D3" s="210"/>
      <c r="E3" s="210"/>
      <c r="F3" s="210"/>
    </row>
    <row r="4" spans="1:18" ht="11.25" customHeight="1" x14ac:dyDescent="0.35">
      <c r="A4" s="211"/>
      <c r="B4" s="211"/>
      <c r="C4" s="211"/>
      <c r="D4" s="211"/>
      <c r="E4" s="212"/>
      <c r="F4" s="211"/>
    </row>
    <row r="5" spans="1:18" ht="11.25" customHeight="1" x14ac:dyDescent="0.35">
      <c r="A5" s="213" t="s">
        <v>4413</v>
      </c>
      <c r="C5" s="213" t="s">
        <v>4414</v>
      </c>
      <c r="D5" s="213" t="s">
        <v>333</v>
      </c>
      <c r="E5" s="213" t="s">
        <v>4415</v>
      </c>
      <c r="F5" s="213" t="s">
        <v>4416</v>
      </c>
      <c r="G5" s="213" t="s">
        <v>4417</v>
      </c>
      <c r="H5" s="213" t="s">
        <v>4418</v>
      </c>
      <c r="I5" s="213" t="s">
        <v>4419</v>
      </c>
      <c r="J5" s="213" t="s">
        <v>4420</v>
      </c>
      <c r="K5" s="213" t="s">
        <v>4421</v>
      </c>
      <c r="L5" s="213" t="s">
        <v>4422</v>
      </c>
      <c r="M5" s="213" t="s">
        <v>4423</v>
      </c>
      <c r="N5" s="213" t="s">
        <v>4424</v>
      </c>
      <c r="O5" s="213" t="s">
        <v>4425</v>
      </c>
      <c r="P5" s="213" t="s">
        <v>4426</v>
      </c>
      <c r="R5" s="213" t="s">
        <v>4427</v>
      </c>
    </row>
    <row r="6" spans="1:18" ht="11.25" customHeight="1" x14ac:dyDescent="0.35">
      <c r="A6" s="214"/>
      <c r="C6" s="215" t="s">
        <v>4428</v>
      </c>
      <c r="D6" s="215"/>
    </row>
    <row r="7" spans="1:18" ht="11.25" customHeight="1" x14ac:dyDescent="0.35">
      <c r="A7" s="214"/>
      <c r="C7" s="215" t="s">
        <v>4429</v>
      </c>
      <c r="D7" s="215"/>
    </row>
    <row r="8" spans="1:18" ht="11.25" customHeight="1" x14ac:dyDescent="0.35">
      <c r="A8" s="214"/>
      <c r="C8" s="215" t="s">
        <v>4430</v>
      </c>
      <c r="D8" s="215"/>
    </row>
    <row r="9" spans="1:18" ht="11.25" customHeight="1" x14ac:dyDescent="0.35">
      <c r="A9" s="214">
        <v>1101</v>
      </c>
      <c r="C9" s="215" t="s">
        <v>2</v>
      </c>
      <c r="D9" s="215"/>
      <c r="E9" s="211">
        <v>0</v>
      </c>
      <c r="F9" s="211">
        <v>0</v>
      </c>
      <c r="G9" s="211">
        <v>0</v>
      </c>
      <c r="H9" s="211">
        <v>0</v>
      </c>
      <c r="I9" s="211">
        <v>0</v>
      </c>
      <c r="J9" s="211">
        <v>0</v>
      </c>
      <c r="K9" s="211">
        <v>0</v>
      </c>
      <c r="L9" s="211">
        <v>0</v>
      </c>
      <c r="M9" s="211">
        <v>0</v>
      </c>
      <c r="N9" s="211">
        <v>0</v>
      </c>
      <c r="O9" s="211">
        <v>0</v>
      </c>
      <c r="P9" s="211">
        <v>0</v>
      </c>
    </row>
    <row r="10" spans="1:18" ht="11.25" customHeight="1" x14ac:dyDescent="0.35">
      <c r="A10" s="214" t="s">
        <v>4431</v>
      </c>
      <c r="C10" s="214" t="s">
        <v>4432</v>
      </c>
      <c r="D10" s="214" t="s">
        <v>4433</v>
      </c>
      <c r="E10" s="211">
        <v>1000000</v>
      </c>
      <c r="F10" s="211">
        <v>1000000</v>
      </c>
      <c r="G10" s="211">
        <v>1000000</v>
      </c>
      <c r="H10" s="211">
        <v>1000000</v>
      </c>
      <c r="I10" s="211">
        <v>1000000</v>
      </c>
      <c r="J10" s="211">
        <v>1000000</v>
      </c>
      <c r="K10" s="211">
        <v>1000000</v>
      </c>
      <c r="L10" s="211">
        <v>1000000</v>
      </c>
      <c r="M10" s="211">
        <v>1000000</v>
      </c>
      <c r="N10" s="211">
        <v>1000000</v>
      </c>
      <c r="O10" s="211">
        <v>1000000</v>
      </c>
      <c r="P10" s="211">
        <v>1000000</v>
      </c>
      <c r="R10" s="214" t="s">
        <v>156</v>
      </c>
    </row>
    <row r="11" spans="1:18" ht="11.25" customHeight="1" x14ac:dyDescent="0.35">
      <c r="A11" s="214">
        <v>1102</v>
      </c>
      <c r="C11" s="215" t="s">
        <v>4434</v>
      </c>
      <c r="D11" s="215"/>
      <c r="E11" s="211">
        <v>0</v>
      </c>
      <c r="F11" s="211">
        <v>0</v>
      </c>
      <c r="G11" s="211">
        <v>0</v>
      </c>
      <c r="H11" s="211">
        <v>0</v>
      </c>
      <c r="I11" s="211">
        <v>0</v>
      </c>
      <c r="J11" s="211">
        <v>0</v>
      </c>
      <c r="K11" s="211">
        <v>0</v>
      </c>
      <c r="L11" s="211">
        <v>0</v>
      </c>
      <c r="M11" s="211">
        <v>0</v>
      </c>
      <c r="N11" s="211">
        <v>0</v>
      </c>
      <c r="O11" s="211">
        <v>0</v>
      </c>
      <c r="P11" s="211">
        <v>0</v>
      </c>
    </row>
    <row r="12" spans="1:18" ht="11.25" customHeight="1" x14ac:dyDescent="0.35">
      <c r="A12" s="214" t="s">
        <v>4435</v>
      </c>
      <c r="C12" s="214" t="s">
        <v>4436</v>
      </c>
      <c r="D12" s="214" t="s">
        <v>4437</v>
      </c>
      <c r="E12" s="211">
        <v>1586042329.8899901</v>
      </c>
      <c r="F12" s="211">
        <v>141892312.989988</v>
      </c>
      <c r="G12" s="211">
        <v>4111525365.1799898</v>
      </c>
      <c r="H12" s="211">
        <v>1381273791.68998</v>
      </c>
      <c r="I12" s="211">
        <v>3898528477.1199799</v>
      </c>
      <c r="J12" s="211">
        <v>151591788.67997599</v>
      </c>
      <c r="K12" s="211">
        <v>2161159891.6599798</v>
      </c>
      <c r="L12" s="211">
        <v>2974483420.47998</v>
      </c>
      <c r="M12" s="211">
        <v>2974483420.47998</v>
      </c>
      <c r="N12" s="211">
        <v>2974483420.47998</v>
      </c>
      <c r="O12" s="211">
        <v>2974483420.47998</v>
      </c>
      <c r="P12" s="211">
        <v>2974483420.47998</v>
      </c>
      <c r="R12" s="214" t="s">
        <v>156</v>
      </c>
    </row>
    <row r="13" spans="1:18" ht="11.25" customHeight="1" x14ac:dyDescent="0.35">
      <c r="A13" s="214" t="s">
        <v>4438</v>
      </c>
      <c r="C13" s="214" t="s">
        <v>4439</v>
      </c>
      <c r="D13" s="214" t="s">
        <v>4437</v>
      </c>
      <c r="E13" s="211">
        <v>157563901.730001</v>
      </c>
      <c r="F13" s="211">
        <v>25146769.970000502</v>
      </c>
      <c r="G13" s="211">
        <v>53180172.7100005</v>
      </c>
      <c r="H13" s="211">
        <v>79776751.730000496</v>
      </c>
      <c r="I13" s="211">
        <v>40350154.160000399</v>
      </c>
      <c r="J13" s="211">
        <v>66364365.980000302</v>
      </c>
      <c r="K13" s="211">
        <v>21715894.000000201</v>
      </c>
      <c r="L13" s="211">
        <v>65430853.200000301</v>
      </c>
      <c r="M13" s="211">
        <v>65430853.200000301</v>
      </c>
      <c r="N13" s="211">
        <v>65430853.200000301</v>
      </c>
      <c r="O13" s="211">
        <v>65430853.200000301</v>
      </c>
      <c r="P13" s="211">
        <v>65430853.200000301</v>
      </c>
      <c r="R13" s="214" t="s">
        <v>156</v>
      </c>
    </row>
    <row r="14" spans="1:18" ht="11.25" customHeight="1" x14ac:dyDescent="0.35">
      <c r="A14" s="214" t="s">
        <v>4440</v>
      </c>
      <c r="C14" s="214" t="s">
        <v>4441</v>
      </c>
      <c r="D14" s="214" t="s">
        <v>4437</v>
      </c>
      <c r="E14" s="211">
        <v>148080552.62</v>
      </c>
      <c r="F14" s="211">
        <v>147749755.86000001</v>
      </c>
      <c r="G14" s="211">
        <v>171484767.08000001</v>
      </c>
      <c r="H14" s="211">
        <v>174845934.80000001</v>
      </c>
      <c r="I14" s="211">
        <v>179450095.30000001</v>
      </c>
      <c r="J14" s="211">
        <v>180036691.19999999</v>
      </c>
      <c r="K14" s="211">
        <v>182184660.59999999</v>
      </c>
      <c r="L14" s="211">
        <v>178317008.09999999</v>
      </c>
      <c r="M14" s="211">
        <v>178317008.09999999</v>
      </c>
      <c r="N14" s="211">
        <v>178317008.09999999</v>
      </c>
      <c r="O14" s="211">
        <v>178317008.09999999</v>
      </c>
      <c r="P14" s="211">
        <v>178317008.09999999</v>
      </c>
      <c r="R14" s="214" t="s">
        <v>156</v>
      </c>
    </row>
    <row r="15" spans="1:18" ht="11.25" customHeight="1" x14ac:dyDescent="0.35">
      <c r="A15" s="214" t="s">
        <v>4442</v>
      </c>
      <c r="C15" s="214" t="s">
        <v>4443</v>
      </c>
      <c r="D15" s="214" t="s">
        <v>4437</v>
      </c>
      <c r="E15" s="211">
        <v>5158014</v>
      </c>
      <c r="F15" s="211">
        <v>5108014</v>
      </c>
      <c r="G15" s="211">
        <v>5058014</v>
      </c>
      <c r="H15" s="211">
        <v>5008014</v>
      </c>
      <c r="I15" s="211">
        <v>4958014</v>
      </c>
      <c r="J15" s="211">
        <v>4883014</v>
      </c>
      <c r="K15" s="211">
        <v>4808014</v>
      </c>
      <c r="L15" s="211">
        <v>4733014</v>
      </c>
      <c r="M15" s="211">
        <v>4733014</v>
      </c>
      <c r="N15" s="211">
        <v>4733014</v>
      </c>
      <c r="O15" s="211">
        <v>4733014</v>
      </c>
      <c r="P15" s="211">
        <v>4733014</v>
      </c>
      <c r="R15" s="214" t="s">
        <v>156</v>
      </c>
    </row>
    <row r="16" spans="1:18" ht="11.25" customHeight="1" x14ac:dyDescent="0.35">
      <c r="A16" s="214" t="s">
        <v>4444</v>
      </c>
      <c r="C16" s="214" t="s">
        <v>4445</v>
      </c>
      <c r="D16" s="214" t="s">
        <v>4437</v>
      </c>
      <c r="E16" s="211">
        <v>2250323</v>
      </c>
      <c r="F16" s="211">
        <v>2100323</v>
      </c>
      <c r="G16" s="211">
        <v>2050323</v>
      </c>
      <c r="H16" s="211">
        <v>0</v>
      </c>
      <c r="I16" s="211">
        <v>11948573</v>
      </c>
      <c r="J16" s="211">
        <v>0</v>
      </c>
      <c r="K16" s="211">
        <v>3110562</v>
      </c>
      <c r="L16" s="211">
        <v>3060562</v>
      </c>
      <c r="M16" s="211">
        <v>3060562</v>
      </c>
      <c r="N16" s="211">
        <v>3060562</v>
      </c>
      <c r="O16" s="211">
        <v>3060562</v>
      </c>
      <c r="P16" s="211">
        <v>3060562</v>
      </c>
      <c r="R16" s="214" t="s">
        <v>156</v>
      </c>
    </row>
    <row r="17" spans="1:18" ht="11.25" customHeight="1" x14ac:dyDescent="0.35">
      <c r="A17" s="214" t="s">
        <v>4446</v>
      </c>
      <c r="C17" s="214" t="s">
        <v>4447</v>
      </c>
      <c r="D17" s="214" t="s">
        <v>4437</v>
      </c>
      <c r="E17" s="211">
        <v>3328283.8500003801</v>
      </c>
      <c r="F17" s="211">
        <v>3303283.8500003801</v>
      </c>
      <c r="G17" s="211">
        <v>3278283.8500003801</v>
      </c>
      <c r="H17" s="211">
        <v>3253283.8500003801</v>
      </c>
      <c r="I17" s="211">
        <v>3228283.8500003801</v>
      </c>
      <c r="J17" s="211">
        <v>3203283.8500003801</v>
      </c>
      <c r="K17" s="211">
        <v>3178283.8500003801</v>
      </c>
      <c r="L17" s="211">
        <v>3153283.8500003801</v>
      </c>
      <c r="M17" s="211">
        <v>3153283.8500003801</v>
      </c>
      <c r="N17" s="211">
        <v>3153283.8500003801</v>
      </c>
      <c r="O17" s="211">
        <v>3153283.8500003801</v>
      </c>
      <c r="P17" s="211">
        <v>3153283.8500003801</v>
      </c>
      <c r="R17" s="214" t="s">
        <v>156</v>
      </c>
    </row>
    <row r="18" spans="1:18" ht="11.25" customHeight="1" x14ac:dyDescent="0.35">
      <c r="A18" s="214" t="s">
        <v>4448</v>
      </c>
      <c r="C18" s="214" t="s">
        <v>4449</v>
      </c>
      <c r="D18" s="214" t="s">
        <v>4437</v>
      </c>
      <c r="E18" s="211">
        <v>5325587</v>
      </c>
      <c r="F18" s="211">
        <v>51934088</v>
      </c>
      <c r="G18" s="211">
        <v>42865267</v>
      </c>
      <c r="H18" s="211">
        <v>1509313</v>
      </c>
      <c r="I18" s="211">
        <v>1512007</v>
      </c>
      <c r="J18" s="211">
        <v>372309595</v>
      </c>
      <c r="K18" s="211">
        <v>7931412</v>
      </c>
      <c r="L18" s="211">
        <v>1522506</v>
      </c>
      <c r="M18" s="211">
        <v>1522506</v>
      </c>
      <c r="N18" s="211">
        <v>1522506</v>
      </c>
      <c r="O18" s="211">
        <v>1522506</v>
      </c>
      <c r="P18" s="211">
        <v>1522506</v>
      </c>
      <c r="R18" s="214" t="s">
        <v>156</v>
      </c>
    </row>
    <row r="19" spans="1:18" ht="11.25" customHeight="1" x14ac:dyDescent="0.35">
      <c r="A19" s="214" t="s">
        <v>4450</v>
      </c>
      <c r="C19" s="214" t="s">
        <v>4451</v>
      </c>
      <c r="D19" s="214" t="s">
        <v>4437</v>
      </c>
      <c r="E19" s="211">
        <v>14725718</v>
      </c>
      <c r="F19" s="211">
        <v>30157155</v>
      </c>
      <c r="G19" s="211">
        <v>49572282</v>
      </c>
      <c r="H19" s="211">
        <v>72943463</v>
      </c>
      <c r="I19" s="211">
        <v>37436901</v>
      </c>
      <c r="J19" s="211">
        <v>51578817</v>
      </c>
      <c r="K19" s="211">
        <v>18410318</v>
      </c>
      <c r="L19" s="211">
        <v>17916453</v>
      </c>
      <c r="M19" s="211">
        <v>17916453</v>
      </c>
      <c r="N19" s="211">
        <v>17916453</v>
      </c>
      <c r="O19" s="211">
        <v>17916453</v>
      </c>
      <c r="P19" s="211">
        <v>17916453</v>
      </c>
      <c r="R19" s="214" t="s">
        <v>156</v>
      </c>
    </row>
    <row r="20" spans="1:18" ht="11.25" customHeight="1" x14ac:dyDescent="0.35">
      <c r="A20" s="214" t="s">
        <v>4452</v>
      </c>
      <c r="C20" s="214" t="s">
        <v>4453</v>
      </c>
      <c r="D20" s="214" t="s">
        <v>4437</v>
      </c>
      <c r="E20" s="211">
        <v>6979223744.6499996</v>
      </c>
      <c r="F20" s="211">
        <v>8699286448.7999992</v>
      </c>
      <c r="G20" s="211">
        <v>4371560612.9399996</v>
      </c>
      <c r="H20" s="211">
        <v>6285890994.9200001</v>
      </c>
      <c r="I20" s="211">
        <v>3003079618.5799999</v>
      </c>
      <c r="J20" s="211">
        <v>15221557757.309999</v>
      </c>
      <c r="K20" s="211">
        <v>667871508.32000005</v>
      </c>
      <c r="L20" s="211">
        <v>472644312.19999999</v>
      </c>
      <c r="M20" s="211">
        <v>472644312.19999999</v>
      </c>
      <c r="N20" s="211">
        <v>472644312.19999999</v>
      </c>
      <c r="O20" s="211">
        <v>472644312.19999999</v>
      </c>
      <c r="P20" s="211">
        <v>472644312.19999999</v>
      </c>
      <c r="R20" s="214" t="s">
        <v>156</v>
      </c>
    </row>
    <row r="21" spans="1:18" ht="11.25" customHeight="1" x14ac:dyDescent="0.35">
      <c r="A21" s="214" t="s">
        <v>4454</v>
      </c>
      <c r="C21" s="214" t="s">
        <v>4455</v>
      </c>
      <c r="D21" s="214" t="s">
        <v>4456</v>
      </c>
      <c r="E21" s="211">
        <v>-41429997</v>
      </c>
      <c r="F21" s="211">
        <v>-36871997</v>
      </c>
      <c r="G21" s="211">
        <v>-36871997</v>
      </c>
      <c r="H21" s="211">
        <v>0</v>
      </c>
      <c r="I21" s="211">
        <v>0</v>
      </c>
      <c r="J21" s="211">
        <v>0</v>
      </c>
      <c r="K21" s="211">
        <v>0</v>
      </c>
      <c r="L21" s="211">
        <v>0</v>
      </c>
      <c r="M21" s="211">
        <v>0</v>
      </c>
      <c r="N21" s="211">
        <v>0</v>
      </c>
      <c r="O21" s="211">
        <v>0</v>
      </c>
      <c r="P21" s="211">
        <v>0</v>
      </c>
      <c r="R21" s="214" t="s">
        <v>156</v>
      </c>
    </row>
    <row r="22" spans="1:18" ht="11.25" customHeight="1" x14ac:dyDescent="0.35">
      <c r="A22" s="214" t="s">
        <v>4457</v>
      </c>
      <c r="C22" s="214" t="s">
        <v>4458</v>
      </c>
      <c r="D22" s="214" t="s">
        <v>4437</v>
      </c>
      <c r="E22" s="211">
        <v>0</v>
      </c>
      <c r="F22" s="211">
        <v>0</v>
      </c>
      <c r="G22" s="211">
        <v>0</v>
      </c>
      <c r="H22" s="211">
        <v>5561894</v>
      </c>
      <c r="I22" s="211">
        <v>0</v>
      </c>
      <c r="J22" s="211">
        <v>0</v>
      </c>
      <c r="K22" s="211">
        <v>0</v>
      </c>
      <c r="L22" s="211">
        <v>0</v>
      </c>
      <c r="M22" s="211">
        <v>0</v>
      </c>
      <c r="N22" s="211">
        <v>0</v>
      </c>
      <c r="O22" s="211">
        <v>0</v>
      </c>
      <c r="P22" s="211">
        <v>0</v>
      </c>
      <c r="R22" s="214" t="s">
        <v>156</v>
      </c>
    </row>
    <row r="23" spans="1:18" ht="11.25" customHeight="1" x14ac:dyDescent="0.35">
      <c r="A23" s="214">
        <v>1103</v>
      </c>
      <c r="C23" s="215" t="s">
        <v>4459</v>
      </c>
      <c r="D23" s="215"/>
      <c r="E23" s="211">
        <v>0</v>
      </c>
      <c r="F23" s="211">
        <v>0</v>
      </c>
      <c r="G23" s="211">
        <v>0</v>
      </c>
      <c r="H23" s="211">
        <v>0</v>
      </c>
      <c r="I23" s="211">
        <v>0</v>
      </c>
      <c r="J23" s="211">
        <v>0</v>
      </c>
      <c r="K23" s="211">
        <v>0</v>
      </c>
      <c r="L23" s="211">
        <v>0</v>
      </c>
      <c r="M23" s="211">
        <v>0</v>
      </c>
      <c r="N23" s="211">
        <v>0</v>
      </c>
      <c r="O23" s="211">
        <v>0</v>
      </c>
      <c r="P23" s="211">
        <v>0</v>
      </c>
    </row>
    <row r="24" spans="1:18" ht="11.25" customHeight="1" x14ac:dyDescent="0.35">
      <c r="A24" s="214" t="s">
        <v>4460</v>
      </c>
      <c r="C24" s="214" t="s">
        <v>4461</v>
      </c>
      <c r="D24" s="214" t="s">
        <v>4437</v>
      </c>
      <c r="E24" s="211">
        <v>0</v>
      </c>
      <c r="F24" s="211">
        <v>0</v>
      </c>
      <c r="G24" s="211">
        <v>0.38000106811523399</v>
      </c>
      <c r="H24" s="211">
        <v>1.3199996948242201</v>
      </c>
      <c r="I24" s="211">
        <v>0</v>
      </c>
      <c r="J24" s="211">
        <v>0</v>
      </c>
      <c r="K24" s="211">
        <v>0</v>
      </c>
      <c r="L24" s="211">
        <v>0</v>
      </c>
      <c r="M24" s="211">
        <v>0</v>
      </c>
      <c r="N24" s="211">
        <v>0</v>
      </c>
      <c r="O24" s="211">
        <v>0</v>
      </c>
      <c r="P24" s="211">
        <v>0</v>
      </c>
      <c r="R24" s="214" t="s">
        <v>156</v>
      </c>
    </row>
    <row r="25" spans="1:18" ht="11.25" customHeight="1" x14ac:dyDescent="0.35">
      <c r="A25" s="214">
        <v>1104</v>
      </c>
      <c r="C25" s="215" t="s">
        <v>4462</v>
      </c>
      <c r="D25" s="215"/>
      <c r="E25" s="211">
        <v>0</v>
      </c>
      <c r="F25" s="211">
        <v>0</v>
      </c>
      <c r="G25" s="211">
        <v>0</v>
      </c>
      <c r="H25" s="211">
        <v>0</v>
      </c>
      <c r="I25" s="211">
        <v>0</v>
      </c>
      <c r="J25" s="211">
        <v>0</v>
      </c>
      <c r="K25" s="211">
        <v>0</v>
      </c>
      <c r="L25" s="211">
        <v>0</v>
      </c>
      <c r="M25" s="211">
        <v>0</v>
      </c>
      <c r="N25" s="211">
        <v>0</v>
      </c>
      <c r="O25" s="211">
        <v>0</v>
      </c>
      <c r="P25" s="211">
        <v>0</v>
      </c>
    </row>
    <row r="26" spans="1:18" ht="11.25" customHeight="1" x14ac:dyDescent="0.35">
      <c r="A26" s="214" t="s">
        <v>4463</v>
      </c>
      <c r="C26" s="214" t="s">
        <v>4462</v>
      </c>
      <c r="D26" s="214" t="s">
        <v>4464</v>
      </c>
      <c r="E26" s="211">
        <v>0</v>
      </c>
      <c r="F26" s="211">
        <v>0</v>
      </c>
      <c r="G26" s="211">
        <v>0</v>
      </c>
      <c r="H26" s="211">
        <v>0</v>
      </c>
      <c r="I26" s="211">
        <v>0</v>
      </c>
      <c r="J26" s="211">
        <v>0</v>
      </c>
      <c r="K26" s="211">
        <v>0</v>
      </c>
      <c r="L26" s="211">
        <v>0</v>
      </c>
      <c r="M26" s="211">
        <v>0</v>
      </c>
      <c r="N26" s="211">
        <v>0</v>
      </c>
      <c r="O26" s="211">
        <v>0</v>
      </c>
      <c r="P26" s="211">
        <v>0</v>
      </c>
      <c r="R26" s="214" t="s">
        <v>156</v>
      </c>
    </row>
    <row r="27" spans="1:18" ht="11.25" customHeight="1" x14ac:dyDescent="0.35">
      <c r="A27" s="214" t="s">
        <v>4465</v>
      </c>
      <c r="C27" s="214" t="s">
        <v>4466</v>
      </c>
      <c r="D27" s="214" t="s">
        <v>4467</v>
      </c>
      <c r="E27" s="211">
        <v>0</v>
      </c>
      <c r="F27" s="211">
        <v>0</v>
      </c>
      <c r="G27" s="211">
        <v>0</v>
      </c>
      <c r="H27" s="211">
        <v>1000000000</v>
      </c>
      <c r="I27" s="211">
        <v>1000000000</v>
      </c>
      <c r="J27" s="211">
        <v>1500000000</v>
      </c>
      <c r="K27" s="211">
        <v>1500000000</v>
      </c>
      <c r="L27" s="211">
        <v>1500000000</v>
      </c>
      <c r="M27" s="211"/>
      <c r="N27" s="211"/>
      <c r="O27" s="211"/>
      <c r="P27" s="211"/>
      <c r="R27" s="214" t="s">
        <v>156</v>
      </c>
    </row>
    <row r="28" spans="1:18" ht="11.25" customHeight="1" x14ac:dyDescent="0.35">
      <c r="A28" s="214"/>
      <c r="C28" s="215" t="s">
        <v>4468</v>
      </c>
      <c r="D28" s="215"/>
      <c r="E28" s="216">
        <f t="shared" ref="E28:L28" si="0">SUM(E9:E27)</f>
        <v>8861268457.7399902</v>
      </c>
      <c r="F28" s="216">
        <f t="shared" si="0"/>
        <v>9070806154.4699879</v>
      </c>
      <c r="G28" s="216">
        <f t="shared" si="0"/>
        <v>8774703091.1399918</v>
      </c>
      <c r="H28" s="216">
        <f t="shared" si="0"/>
        <v>9011063442.3099804</v>
      </c>
      <c r="I28" s="216">
        <f t="shared" si="0"/>
        <v>8181492124.0099812</v>
      </c>
      <c r="J28" s="216">
        <f t="shared" si="0"/>
        <v>17552525313.019974</v>
      </c>
      <c r="K28" s="216">
        <f t="shared" si="0"/>
        <v>4571370544.4299803</v>
      </c>
      <c r="L28" s="216">
        <f t="shared" si="0"/>
        <v>5222261412.8299809</v>
      </c>
      <c r="M28" s="216">
        <f>SUM(M9:M26)</f>
        <v>3722261412.8299804</v>
      </c>
      <c r="N28" s="216">
        <f>SUM(N9:N26)</f>
        <v>3722261412.8299804</v>
      </c>
      <c r="O28" s="216">
        <f>SUM(O9:O26)</f>
        <v>3722261412.8299804</v>
      </c>
      <c r="P28" s="216">
        <f>SUM(P9:P26)</f>
        <v>3722261412.8299804</v>
      </c>
    </row>
    <row r="29" spans="1:18" ht="11.25" customHeight="1" x14ac:dyDescent="0.35">
      <c r="A29" s="214"/>
      <c r="C29" s="215" t="s">
        <v>4469</v>
      </c>
      <c r="D29" s="215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</row>
    <row r="30" spans="1:18" ht="11.25" customHeight="1" x14ac:dyDescent="0.35">
      <c r="A30" s="214">
        <v>1105</v>
      </c>
      <c r="C30" s="215" t="s">
        <v>4470</v>
      </c>
      <c r="D30" s="215"/>
      <c r="E30" s="211">
        <v>0</v>
      </c>
      <c r="F30" s="211">
        <v>0</v>
      </c>
      <c r="G30" s="211">
        <v>0</v>
      </c>
      <c r="H30" s="211">
        <v>0</v>
      </c>
      <c r="I30" s="211">
        <v>0</v>
      </c>
      <c r="J30" s="211">
        <v>0</v>
      </c>
      <c r="K30" s="211">
        <v>0</v>
      </c>
      <c r="L30" s="211">
        <v>0</v>
      </c>
      <c r="M30" s="211">
        <v>0</v>
      </c>
      <c r="N30" s="211">
        <v>0</v>
      </c>
      <c r="O30" s="211">
        <v>0</v>
      </c>
      <c r="P30" s="211">
        <v>0</v>
      </c>
    </row>
    <row r="31" spans="1:18" ht="11.25" customHeight="1" x14ac:dyDescent="0.35">
      <c r="A31" s="214" t="s">
        <v>4471</v>
      </c>
      <c r="C31" s="214" t="s">
        <v>4472</v>
      </c>
      <c r="D31" s="214" t="s">
        <v>4473</v>
      </c>
      <c r="E31" s="211">
        <v>8379577076.5399799</v>
      </c>
      <c r="F31" s="211">
        <v>9146547116.0599899</v>
      </c>
      <c r="G31" s="211">
        <v>6014572929.2099895</v>
      </c>
      <c r="H31" s="211">
        <v>5718481510.7399902</v>
      </c>
      <c r="I31" s="211">
        <v>7441386740.3599901</v>
      </c>
      <c r="J31" s="211">
        <v>6893964668.18999</v>
      </c>
      <c r="K31" s="211">
        <v>7749751801.6099901</v>
      </c>
      <c r="L31" s="211">
        <v>8144843199.3899899</v>
      </c>
      <c r="M31" s="211">
        <v>8144843199.3899899</v>
      </c>
      <c r="N31" s="211">
        <v>8144843199.3899899</v>
      </c>
      <c r="O31" s="211">
        <v>8144843199.3899899</v>
      </c>
      <c r="P31" s="211">
        <v>8144843199.3899899</v>
      </c>
      <c r="R31" s="214" t="s">
        <v>158</v>
      </c>
    </row>
    <row r="32" spans="1:18" ht="11.25" customHeight="1" x14ac:dyDescent="0.35">
      <c r="A32" s="214" t="s">
        <v>4474</v>
      </c>
      <c r="C32" s="214" t="s">
        <v>4475</v>
      </c>
      <c r="D32" s="214" t="s">
        <v>4473</v>
      </c>
      <c r="E32" s="211">
        <v>0</v>
      </c>
      <c r="F32" s="211">
        <v>0</v>
      </c>
      <c r="G32" s="211">
        <v>0</v>
      </c>
      <c r="H32" s="211">
        <v>0</v>
      </c>
      <c r="I32" s="211">
        <v>0</v>
      </c>
      <c r="J32" s="211">
        <v>0</v>
      </c>
      <c r="K32" s="211">
        <v>0</v>
      </c>
      <c r="L32" s="211">
        <v>0</v>
      </c>
      <c r="M32" s="211">
        <v>0</v>
      </c>
      <c r="N32" s="211">
        <v>0</v>
      </c>
      <c r="O32" s="211">
        <v>0</v>
      </c>
      <c r="P32" s="211">
        <v>0</v>
      </c>
      <c r="R32" s="214">
        <v>0</v>
      </c>
    </row>
    <row r="33" spans="1:18" ht="11.25" customHeight="1" x14ac:dyDescent="0.35">
      <c r="A33" s="214" t="s">
        <v>4476</v>
      </c>
      <c r="C33" s="214" t="s">
        <v>4477</v>
      </c>
      <c r="D33" s="214" t="s">
        <v>4478</v>
      </c>
      <c r="E33" s="211">
        <v>0</v>
      </c>
      <c r="F33" s="211">
        <v>0</v>
      </c>
      <c r="G33" s="211">
        <v>0</v>
      </c>
      <c r="H33" s="211">
        <v>0</v>
      </c>
      <c r="I33" s="211">
        <v>0</v>
      </c>
      <c r="J33" s="211">
        <v>0</v>
      </c>
      <c r="K33" s="211">
        <v>0</v>
      </c>
      <c r="L33" s="211">
        <v>0</v>
      </c>
      <c r="M33" s="211">
        <v>0</v>
      </c>
      <c r="N33" s="211">
        <v>0</v>
      </c>
      <c r="O33" s="211">
        <v>0</v>
      </c>
      <c r="P33" s="211">
        <v>0</v>
      </c>
      <c r="R33" s="214">
        <v>0</v>
      </c>
    </row>
    <row r="34" spans="1:18" ht="11.25" customHeight="1" x14ac:dyDescent="0.35">
      <c r="A34" s="214" t="s">
        <v>4479</v>
      </c>
      <c r="C34" s="214" t="s">
        <v>4480</v>
      </c>
      <c r="D34" s="214" t="s">
        <v>4481</v>
      </c>
      <c r="E34" s="211">
        <v>0</v>
      </c>
      <c r="F34" s="211">
        <v>1222967.8999999999</v>
      </c>
      <c r="G34" s="211">
        <v>62621.8999999999</v>
      </c>
      <c r="H34" s="211">
        <v>200512621.90000001</v>
      </c>
      <c r="I34" s="211">
        <v>201412621.90000001</v>
      </c>
      <c r="J34" s="211">
        <v>205621510.80000001</v>
      </c>
      <c r="K34" s="211">
        <v>5893733.01999998</v>
      </c>
      <c r="L34" s="211">
        <v>1082621.8999999801</v>
      </c>
      <c r="M34" s="211">
        <v>1082621.8999999801</v>
      </c>
      <c r="N34" s="211">
        <v>1082621.8999999801</v>
      </c>
      <c r="O34" s="211">
        <v>1082621.8999999801</v>
      </c>
      <c r="P34" s="211">
        <v>1082621.8999999801</v>
      </c>
      <c r="R34" s="214" t="s">
        <v>161</v>
      </c>
    </row>
    <row r="35" spans="1:18" ht="11.25" customHeight="1" x14ac:dyDescent="0.35">
      <c r="A35" s="214" t="s">
        <v>4482</v>
      </c>
      <c r="C35" s="214" t="s">
        <v>4483</v>
      </c>
      <c r="D35" s="214" t="s">
        <v>4484</v>
      </c>
      <c r="E35" s="211">
        <v>0</v>
      </c>
      <c r="F35" s="211">
        <v>0</v>
      </c>
      <c r="G35" s="211">
        <v>0</v>
      </c>
      <c r="H35" s="211">
        <v>0</v>
      </c>
      <c r="I35" s="211">
        <v>501263888.88999999</v>
      </c>
      <c r="J35" s="211">
        <v>2910723611.6100001</v>
      </c>
      <c r="K35" s="211">
        <v>4435165278.2799997</v>
      </c>
      <c r="L35" s="211">
        <v>5631911111.1099997</v>
      </c>
      <c r="M35" s="211">
        <v>5631911111.1099997</v>
      </c>
      <c r="N35" s="211">
        <v>5631911111.1099997</v>
      </c>
      <c r="O35" s="211">
        <v>5631911111.1099997</v>
      </c>
      <c r="P35" s="211">
        <v>5631911111.1099997</v>
      </c>
      <c r="R35" s="214" t="s">
        <v>162</v>
      </c>
    </row>
    <row r="36" spans="1:18" ht="11.25" customHeight="1" x14ac:dyDescent="0.35">
      <c r="A36" s="214" t="s">
        <v>4485</v>
      </c>
      <c r="C36" s="214" t="s">
        <v>4486</v>
      </c>
      <c r="D36" s="214" t="s">
        <v>4487</v>
      </c>
      <c r="E36" s="211">
        <v>0</v>
      </c>
      <c r="F36" s="211">
        <v>0</v>
      </c>
      <c r="G36" s="211">
        <v>1000000000</v>
      </c>
      <c r="H36" s="211">
        <v>1000000000</v>
      </c>
      <c r="I36" s="211">
        <v>1000000000</v>
      </c>
      <c r="J36" s="211">
        <v>367386408</v>
      </c>
      <c r="K36" s="211">
        <v>383330852.44</v>
      </c>
      <c r="L36" s="211">
        <v>383330852.44</v>
      </c>
      <c r="M36" s="211">
        <v>383330852.44</v>
      </c>
      <c r="N36" s="211">
        <v>383330852.44</v>
      </c>
      <c r="O36" s="211">
        <v>383330852.44</v>
      </c>
      <c r="P36" s="211">
        <v>383330852.44</v>
      </c>
      <c r="R36" s="214" t="s">
        <v>163</v>
      </c>
    </row>
    <row r="37" spans="1:18" ht="11.25" customHeight="1" x14ac:dyDescent="0.35">
      <c r="A37" s="214" t="s">
        <v>4488</v>
      </c>
      <c r="C37" s="214" t="s">
        <v>4489</v>
      </c>
      <c r="D37" s="214" t="s">
        <v>4490</v>
      </c>
      <c r="E37" s="211">
        <v>320000000</v>
      </c>
      <c r="F37" s="211">
        <v>314000000</v>
      </c>
      <c r="G37" s="211">
        <v>308000000</v>
      </c>
      <c r="H37" s="211">
        <v>302000000</v>
      </c>
      <c r="I37" s="211">
        <v>296000000</v>
      </c>
      <c r="J37" s="211">
        <v>290000000</v>
      </c>
      <c r="K37" s="211">
        <v>284000000</v>
      </c>
      <c r="L37" s="211">
        <v>284000000</v>
      </c>
      <c r="M37" s="211">
        <v>284000000</v>
      </c>
      <c r="N37" s="211">
        <v>284000000</v>
      </c>
      <c r="O37" s="211">
        <v>284000000</v>
      </c>
      <c r="P37" s="211">
        <v>284000000</v>
      </c>
      <c r="R37" s="214" t="s">
        <v>161</v>
      </c>
    </row>
    <row r="38" spans="1:18" ht="11.25" customHeight="1" x14ac:dyDescent="0.35">
      <c r="A38" s="214" t="s">
        <v>4491</v>
      </c>
      <c r="C38" s="214" t="s">
        <v>4492</v>
      </c>
      <c r="D38" s="214" t="s">
        <v>4493</v>
      </c>
      <c r="E38" s="211">
        <v>0</v>
      </c>
      <c r="F38" s="211">
        <v>0</v>
      </c>
      <c r="G38" s="211">
        <v>0</v>
      </c>
      <c r="H38" s="211">
        <v>0</v>
      </c>
      <c r="I38" s="211">
        <v>0</v>
      </c>
      <c r="J38" s="211">
        <v>0</v>
      </c>
      <c r="K38" s="211">
        <v>0</v>
      </c>
      <c r="L38" s="211">
        <v>0</v>
      </c>
      <c r="M38" s="211">
        <v>0</v>
      </c>
      <c r="N38" s="211">
        <v>0</v>
      </c>
      <c r="O38" s="211">
        <v>0</v>
      </c>
      <c r="P38" s="211">
        <v>0</v>
      </c>
      <c r="R38" s="214">
        <v>0</v>
      </c>
    </row>
    <row r="39" spans="1:18" ht="11.25" customHeight="1" x14ac:dyDescent="0.35">
      <c r="A39" s="214" t="s">
        <v>4494</v>
      </c>
      <c r="C39" s="214" t="s">
        <v>4495</v>
      </c>
      <c r="D39" s="214" t="s">
        <v>4496</v>
      </c>
      <c r="E39" s="211">
        <v>0</v>
      </c>
      <c r="F39" s="211">
        <v>0</v>
      </c>
      <c r="G39" s="211">
        <v>0</v>
      </c>
      <c r="H39" s="211">
        <v>0</v>
      </c>
      <c r="I39" s="211">
        <v>0</v>
      </c>
      <c r="J39" s="211">
        <v>0</v>
      </c>
      <c r="K39" s="211">
        <v>0</v>
      </c>
      <c r="L39" s="211">
        <v>0</v>
      </c>
      <c r="M39" s="211">
        <v>0</v>
      </c>
      <c r="N39" s="211">
        <v>0</v>
      </c>
      <c r="O39" s="211">
        <v>0</v>
      </c>
      <c r="P39" s="211">
        <v>0</v>
      </c>
      <c r="R39" s="214">
        <v>0</v>
      </c>
    </row>
    <row r="40" spans="1:18" ht="11.25" customHeight="1" x14ac:dyDescent="0.35">
      <c r="A40" s="214" t="s">
        <v>4497</v>
      </c>
      <c r="C40" s="214" t="s">
        <v>4498</v>
      </c>
      <c r="D40" s="214" t="s">
        <v>4499</v>
      </c>
      <c r="E40" s="211">
        <v>0</v>
      </c>
      <c r="F40" s="217">
        <v>0</v>
      </c>
      <c r="G40" s="211">
        <v>0</v>
      </c>
      <c r="H40" s="211">
        <v>0</v>
      </c>
      <c r="I40" s="211">
        <v>0</v>
      </c>
      <c r="J40" s="211">
        <v>0</v>
      </c>
      <c r="K40" s="211">
        <v>0</v>
      </c>
      <c r="L40" s="211">
        <v>0</v>
      </c>
      <c r="M40" s="211">
        <v>0</v>
      </c>
      <c r="N40" s="211">
        <v>0</v>
      </c>
      <c r="O40" s="211">
        <v>0</v>
      </c>
      <c r="P40" s="211">
        <v>0</v>
      </c>
      <c r="R40" s="214">
        <v>0</v>
      </c>
    </row>
    <row r="41" spans="1:18" ht="11.25" customHeight="1" x14ac:dyDescent="0.35">
      <c r="A41" s="214" t="s">
        <v>4500</v>
      </c>
      <c r="C41" s="214" t="s">
        <v>4501</v>
      </c>
      <c r="D41" s="214" t="s">
        <v>4502</v>
      </c>
      <c r="E41" s="211">
        <v>0</v>
      </c>
      <c r="F41" s="211">
        <v>0</v>
      </c>
      <c r="G41" s="211">
        <v>0</v>
      </c>
      <c r="H41" s="211">
        <v>0</v>
      </c>
      <c r="I41" s="211">
        <v>0</v>
      </c>
      <c r="J41" s="211">
        <v>0</v>
      </c>
      <c r="K41" s="211">
        <v>0</v>
      </c>
      <c r="L41" s="211">
        <v>0</v>
      </c>
      <c r="M41" s="211">
        <v>0</v>
      </c>
      <c r="N41" s="211">
        <v>0</v>
      </c>
      <c r="O41" s="211">
        <v>0</v>
      </c>
      <c r="P41" s="211">
        <v>0</v>
      </c>
      <c r="R41" s="214">
        <v>0</v>
      </c>
    </row>
    <row r="42" spans="1:18" ht="11.25" customHeight="1" x14ac:dyDescent="0.35">
      <c r="A42" s="214" t="s">
        <v>4503</v>
      </c>
      <c r="C42" s="214" t="s">
        <v>4504</v>
      </c>
      <c r="D42" s="214" t="s">
        <v>4502</v>
      </c>
      <c r="E42" s="211">
        <v>0</v>
      </c>
      <c r="F42" s="211">
        <v>0</v>
      </c>
      <c r="G42" s="211">
        <v>0</v>
      </c>
      <c r="H42" s="211">
        <v>0</v>
      </c>
      <c r="I42" s="211">
        <v>0</v>
      </c>
      <c r="J42" s="211">
        <v>0</v>
      </c>
      <c r="K42" s="211">
        <v>0</v>
      </c>
      <c r="L42" s="211">
        <v>0</v>
      </c>
      <c r="M42" s="211">
        <v>0</v>
      </c>
      <c r="N42" s="211">
        <v>0</v>
      </c>
      <c r="O42" s="211">
        <v>0</v>
      </c>
      <c r="P42" s="211">
        <v>0</v>
      </c>
      <c r="R42" s="214">
        <v>0</v>
      </c>
    </row>
    <row r="43" spans="1:18" ht="11.25" customHeight="1" x14ac:dyDescent="0.35">
      <c r="A43" s="214"/>
      <c r="C43" s="215" t="s">
        <v>4505</v>
      </c>
      <c r="D43" s="215"/>
      <c r="E43" s="218">
        <f t="shared" ref="E43:P43" si="1">SUM(E30:E42)</f>
        <v>8699577076.5399799</v>
      </c>
      <c r="F43" s="218">
        <f t="shared" si="1"/>
        <v>9461770083.9599895</v>
      </c>
      <c r="G43" s="218">
        <f t="shared" si="1"/>
        <v>7322635551.1099892</v>
      </c>
      <c r="H43" s="218">
        <f t="shared" si="1"/>
        <v>7220994132.6399899</v>
      </c>
      <c r="I43" s="218">
        <f t="shared" si="1"/>
        <v>9440063251.1499901</v>
      </c>
      <c r="J43" s="218">
        <f t="shared" si="1"/>
        <v>10667696198.599991</v>
      </c>
      <c r="K43" s="218">
        <f t="shared" si="1"/>
        <v>12858141665.349989</v>
      </c>
      <c r="L43" s="218">
        <f t="shared" si="1"/>
        <v>14445167784.839991</v>
      </c>
      <c r="M43" s="218">
        <f t="shared" si="1"/>
        <v>14445167784.839991</v>
      </c>
      <c r="N43" s="218">
        <f t="shared" si="1"/>
        <v>14445167784.839991</v>
      </c>
      <c r="O43" s="218">
        <f t="shared" si="1"/>
        <v>14445167784.839991</v>
      </c>
      <c r="P43" s="218">
        <f t="shared" si="1"/>
        <v>14445167784.839991</v>
      </c>
    </row>
    <row r="44" spans="1:18" ht="11.25" customHeight="1" x14ac:dyDescent="0.35">
      <c r="A44" s="214"/>
      <c r="C44" s="215" t="s">
        <v>4046</v>
      </c>
      <c r="D44" s="215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</row>
    <row r="45" spans="1:18" ht="11.25" customHeight="1" x14ac:dyDescent="0.35">
      <c r="A45" s="214">
        <v>1106</v>
      </c>
      <c r="C45" s="215" t="s">
        <v>4506</v>
      </c>
      <c r="D45" s="215"/>
      <c r="E45" s="211">
        <v>0</v>
      </c>
      <c r="F45" s="211">
        <v>0</v>
      </c>
      <c r="G45" s="211">
        <v>0</v>
      </c>
      <c r="H45" s="211">
        <v>0</v>
      </c>
      <c r="I45" s="211">
        <v>0</v>
      </c>
      <c r="J45" s="211">
        <v>0</v>
      </c>
      <c r="K45" s="211">
        <v>0</v>
      </c>
      <c r="L45" s="211">
        <v>0</v>
      </c>
      <c r="M45" s="211">
        <v>0</v>
      </c>
      <c r="N45" s="211">
        <v>0</v>
      </c>
      <c r="O45" s="211">
        <v>0</v>
      </c>
      <c r="P45" s="211">
        <v>0</v>
      </c>
    </row>
    <row r="46" spans="1:18" ht="11.25" customHeight="1" x14ac:dyDescent="0.35">
      <c r="A46" s="214" t="s">
        <v>4507</v>
      </c>
      <c r="C46" s="214" t="s">
        <v>4508</v>
      </c>
      <c r="D46" s="214" t="s">
        <v>4509</v>
      </c>
      <c r="E46" s="211">
        <v>459242509.72999901</v>
      </c>
      <c r="F46" s="211">
        <v>669852504.37999797</v>
      </c>
      <c r="G46" s="211">
        <v>791570634.93999898</v>
      </c>
      <c r="H46" s="211">
        <v>818162817.89999902</v>
      </c>
      <c r="I46" s="211">
        <v>1055938159.84</v>
      </c>
      <c r="J46" s="211">
        <v>738105735.89999902</v>
      </c>
      <c r="K46" s="211">
        <v>981312785.719998</v>
      </c>
      <c r="L46" s="211">
        <v>739007192.53999901</v>
      </c>
      <c r="M46" s="211">
        <v>739007192.53999901</v>
      </c>
      <c r="N46" s="211">
        <v>739007192.53999901</v>
      </c>
      <c r="O46" s="211">
        <v>739007192.53999901</v>
      </c>
      <c r="P46" s="211">
        <v>739007192.53999901</v>
      </c>
      <c r="R46" s="214" t="s">
        <v>30</v>
      </c>
    </row>
    <row r="47" spans="1:18" ht="11.25" customHeight="1" x14ac:dyDescent="0.35">
      <c r="A47" s="214" t="s">
        <v>4510</v>
      </c>
      <c r="C47" s="214" t="s">
        <v>4511</v>
      </c>
      <c r="D47" s="214" t="s">
        <v>4512</v>
      </c>
      <c r="E47" s="211">
        <v>821231015.87000299</v>
      </c>
      <c r="F47" s="211">
        <v>505799127.430004</v>
      </c>
      <c r="G47" s="211">
        <v>284032601.14000398</v>
      </c>
      <c r="H47" s="211">
        <v>418285157.67000502</v>
      </c>
      <c r="I47" s="211">
        <v>575095396.05000496</v>
      </c>
      <c r="J47" s="211">
        <v>309790698.55000502</v>
      </c>
      <c r="K47" s="211">
        <v>238973465.30000499</v>
      </c>
      <c r="L47" s="211">
        <v>494002773.03000599</v>
      </c>
      <c r="M47" s="211">
        <v>494002773.03000599</v>
      </c>
      <c r="N47" s="211">
        <v>494002773.03000599</v>
      </c>
      <c r="O47" s="211">
        <v>494002773.03000599</v>
      </c>
      <c r="P47" s="211">
        <v>494002773.03000599</v>
      </c>
      <c r="R47" s="214" t="s">
        <v>164</v>
      </c>
    </row>
    <row r="48" spans="1:18" ht="11.25" customHeight="1" x14ac:dyDescent="0.35">
      <c r="A48" s="214" t="s">
        <v>4513</v>
      </c>
      <c r="C48" s="214" t="s">
        <v>4514</v>
      </c>
      <c r="D48" s="214" t="s">
        <v>4515</v>
      </c>
      <c r="E48" s="211">
        <v>323117007.03001797</v>
      </c>
      <c r="F48" s="211">
        <v>460640085.130009</v>
      </c>
      <c r="G48" s="211">
        <v>296442423.79000401</v>
      </c>
      <c r="H48" s="211">
        <v>361602072.80000001</v>
      </c>
      <c r="I48" s="211">
        <v>228476222.170003</v>
      </c>
      <c r="J48" s="211">
        <v>484561140.80000001</v>
      </c>
      <c r="K48" s="211">
        <v>276688461.36999798</v>
      </c>
      <c r="L48" s="211">
        <v>499690063.73000097</v>
      </c>
      <c r="M48" s="211">
        <v>499690063.73000097</v>
      </c>
      <c r="N48" s="211">
        <v>499690063.73000097</v>
      </c>
      <c r="O48" s="211">
        <v>499690063.73000097</v>
      </c>
      <c r="P48" s="211">
        <v>499690063.73000097</v>
      </c>
      <c r="R48" s="214" t="s">
        <v>165</v>
      </c>
    </row>
    <row r="49" spans="1:18" ht="11.25" customHeight="1" x14ac:dyDescent="0.35">
      <c r="A49" s="214" t="s">
        <v>4516</v>
      </c>
      <c r="C49" s="214" t="s">
        <v>4517</v>
      </c>
      <c r="D49" s="214" t="s">
        <v>4518</v>
      </c>
      <c r="E49" s="211">
        <v>787939095.30999994</v>
      </c>
      <c r="F49" s="211">
        <v>803584782.67999995</v>
      </c>
      <c r="G49" s="211">
        <v>774099313.13</v>
      </c>
      <c r="H49" s="211">
        <v>762992298.97000003</v>
      </c>
      <c r="I49" s="211">
        <v>756336648.41999996</v>
      </c>
      <c r="J49" s="211">
        <v>743058920.70000005</v>
      </c>
      <c r="K49" s="211">
        <v>736257428.82000005</v>
      </c>
      <c r="L49" s="211">
        <v>795880340.86000001</v>
      </c>
      <c r="M49" s="211">
        <v>795880340.86000001</v>
      </c>
      <c r="N49" s="211">
        <v>795880340.86000001</v>
      </c>
      <c r="O49" s="211">
        <v>795880340.86000001</v>
      </c>
      <c r="P49" s="211">
        <v>795880340.86000001</v>
      </c>
      <c r="R49" s="214" t="s">
        <v>166</v>
      </c>
    </row>
    <row r="50" spans="1:18" ht="11.25" customHeight="1" x14ac:dyDescent="0.35">
      <c r="A50" s="214" t="s">
        <v>4519</v>
      </c>
      <c r="C50" s="214" t="s">
        <v>4520</v>
      </c>
      <c r="D50" s="214" t="s">
        <v>4518</v>
      </c>
      <c r="E50" s="211">
        <v>58982934.259999998</v>
      </c>
      <c r="F50" s="211">
        <v>58769467.770000003</v>
      </c>
      <c r="G50" s="211">
        <v>56462033.57</v>
      </c>
      <c r="H50" s="211">
        <v>61231829.170000002</v>
      </c>
      <c r="I50" s="211">
        <v>61318281.899999999</v>
      </c>
      <c r="J50" s="211">
        <v>62838374.310000002</v>
      </c>
      <c r="K50" s="211">
        <v>64330852.390000001</v>
      </c>
      <c r="L50" s="211">
        <v>65152960.600000001</v>
      </c>
      <c r="M50" s="211">
        <v>65152960.600000001</v>
      </c>
      <c r="N50" s="211">
        <v>65152960.600000001</v>
      </c>
      <c r="O50" s="211">
        <v>65152960.600000001</v>
      </c>
      <c r="P50" s="211">
        <v>65152960.600000001</v>
      </c>
      <c r="R50" s="214" t="s">
        <v>166</v>
      </c>
    </row>
    <row r="51" spans="1:18" ht="11.25" customHeight="1" x14ac:dyDescent="0.35">
      <c r="A51" s="214">
        <v>1110</v>
      </c>
      <c r="C51" s="215" t="s">
        <v>4046</v>
      </c>
      <c r="D51" s="215"/>
      <c r="E51" s="211">
        <v>0</v>
      </c>
      <c r="F51" s="211">
        <v>0</v>
      </c>
      <c r="G51" s="211">
        <v>0</v>
      </c>
      <c r="H51" s="211">
        <v>0</v>
      </c>
      <c r="I51" s="211">
        <v>0</v>
      </c>
      <c r="J51" s="211">
        <v>0</v>
      </c>
      <c r="K51" s="211">
        <v>0</v>
      </c>
      <c r="L51" s="211">
        <v>0</v>
      </c>
      <c r="M51" s="211">
        <v>0</v>
      </c>
      <c r="N51" s="211">
        <v>0</v>
      </c>
      <c r="O51" s="211">
        <v>0</v>
      </c>
      <c r="P51" s="211">
        <v>0</v>
      </c>
      <c r="R51" s="214">
        <v>0</v>
      </c>
    </row>
    <row r="52" spans="1:18" ht="11.25" customHeight="1" x14ac:dyDescent="0.35">
      <c r="A52" s="214" t="s">
        <v>4521</v>
      </c>
      <c r="C52" s="214" t="s">
        <v>4046</v>
      </c>
      <c r="D52" s="214" t="s">
        <v>4522</v>
      </c>
      <c r="E52" s="211">
        <v>0</v>
      </c>
      <c r="F52" s="211">
        <v>0</v>
      </c>
      <c r="G52" s="211">
        <v>0</v>
      </c>
      <c r="H52" s="211">
        <v>0</v>
      </c>
      <c r="I52" s="211">
        <v>0</v>
      </c>
      <c r="J52" s="211">
        <v>0</v>
      </c>
      <c r="K52" s="211">
        <v>0</v>
      </c>
      <c r="L52" s="211">
        <v>0</v>
      </c>
      <c r="M52" s="211">
        <v>0</v>
      </c>
      <c r="N52" s="211">
        <v>0</v>
      </c>
      <c r="O52" s="211">
        <v>0</v>
      </c>
      <c r="P52" s="211">
        <v>0</v>
      </c>
      <c r="R52" s="214">
        <v>0</v>
      </c>
    </row>
    <row r="53" spans="1:18" ht="11.25" customHeight="1" x14ac:dyDescent="0.35">
      <c r="A53" s="214" t="s">
        <v>4523</v>
      </c>
      <c r="C53" s="214" t="s">
        <v>4524</v>
      </c>
      <c r="D53" s="214" t="s">
        <v>4522</v>
      </c>
      <c r="E53" s="211">
        <v>0</v>
      </c>
      <c r="F53" s="211">
        <v>0</v>
      </c>
      <c r="G53" s="211">
        <v>0</v>
      </c>
      <c r="H53" s="211">
        <v>0</v>
      </c>
      <c r="I53" s="211">
        <v>0</v>
      </c>
      <c r="J53" s="211">
        <v>0</v>
      </c>
      <c r="K53" s="211">
        <v>0</v>
      </c>
      <c r="L53" s="211">
        <v>0</v>
      </c>
      <c r="M53" s="211">
        <v>0</v>
      </c>
      <c r="N53" s="211">
        <v>0</v>
      </c>
      <c r="O53" s="211">
        <v>0</v>
      </c>
      <c r="P53" s="211">
        <v>0</v>
      </c>
      <c r="R53" s="214">
        <v>0</v>
      </c>
    </row>
    <row r="54" spans="1:18" ht="11.25" customHeight="1" x14ac:dyDescent="0.35">
      <c r="A54" s="214" t="s">
        <v>4525</v>
      </c>
      <c r="C54" s="214" t="s">
        <v>4524</v>
      </c>
      <c r="D54" s="214" t="s">
        <v>4522</v>
      </c>
      <c r="E54" s="211">
        <v>-0.100002288818359</v>
      </c>
      <c r="F54" s="219">
        <v>-0.100002288818359</v>
      </c>
      <c r="G54" s="211">
        <v>-0.100002288818359</v>
      </c>
      <c r="H54" s="211">
        <v>-0.100002288818359</v>
      </c>
      <c r="I54" s="211">
        <v>-0.100002288818359</v>
      </c>
      <c r="J54" s="211">
        <v>-0.100002288818359</v>
      </c>
      <c r="K54" s="211">
        <v>-0.100002288818359</v>
      </c>
      <c r="L54" s="211">
        <v>-0.100002288818359</v>
      </c>
      <c r="M54" s="211">
        <v>-0.100002288818359</v>
      </c>
      <c r="N54" s="211">
        <v>-0.100002288818359</v>
      </c>
      <c r="O54" s="211">
        <v>-0.100002288818359</v>
      </c>
      <c r="P54" s="211">
        <v>-0.100002288818359</v>
      </c>
      <c r="R54" s="214">
        <v>0</v>
      </c>
    </row>
    <row r="55" spans="1:18" ht="11.25" customHeight="1" x14ac:dyDescent="0.35">
      <c r="A55" s="214" t="s">
        <v>4526</v>
      </c>
      <c r="C55" s="214" t="s">
        <v>4527</v>
      </c>
      <c r="D55" s="214" t="s">
        <v>4522</v>
      </c>
      <c r="E55" s="211">
        <v>-7.0037841796875E-2</v>
      </c>
      <c r="F55" s="211">
        <v>-6.0031890869140597E-2</v>
      </c>
      <c r="G55" s="211">
        <v>-5.0031661987304701E-2</v>
      </c>
      <c r="H55" s="211">
        <v>-5.0037384033203097E-2</v>
      </c>
      <c r="I55" s="211">
        <v>-6.0039520263671903E-2</v>
      </c>
      <c r="J55" s="211">
        <v>-7.0041656494140597E-2</v>
      </c>
      <c r="K55" s="211">
        <v>-7.0041656494140597E-2</v>
      </c>
      <c r="L55" s="211">
        <v>-7.0041656494140597E-2</v>
      </c>
      <c r="M55" s="211">
        <v>-7.0041656494140597E-2</v>
      </c>
      <c r="N55" s="211">
        <v>-7.0041656494140597E-2</v>
      </c>
      <c r="O55" s="211">
        <v>-7.0041656494140597E-2</v>
      </c>
      <c r="P55" s="211">
        <v>-7.0041656494140597E-2</v>
      </c>
      <c r="R55" s="214">
        <v>0</v>
      </c>
    </row>
    <row r="56" spans="1:18" ht="11.25" customHeight="1" x14ac:dyDescent="0.35">
      <c r="A56" s="214"/>
      <c r="C56" s="215" t="s">
        <v>4528</v>
      </c>
      <c r="D56" s="215"/>
      <c r="E56" s="220">
        <f t="shared" ref="E56:P56" si="2">SUM(E46:E55)</f>
        <v>2450512562.0299802</v>
      </c>
      <c r="F56" s="220">
        <f t="shared" si="2"/>
        <v>2498645967.2299767</v>
      </c>
      <c r="G56" s="220">
        <f t="shared" si="2"/>
        <v>2202607006.4199734</v>
      </c>
      <c r="H56" s="220">
        <f t="shared" si="2"/>
        <v>2422274176.3599644</v>
      </c>
      <c r="I56" s="220">
        <f t="shared" si="2"/>
        <v>2677164708.2199664</v>
      </c>
      <c r="J56" s="220">
        <f t="shared" si="2"/>
        <v>2338354870.0899601</v>
      </c>
      <c r="K56" s="220">
        <f t="shared" si="2"/>
        <v>2297562993.4299569</v>
      </c>
      <c r="L56" s="220">
        <f t="shared" si="2"/>
        <v>2593733330.589962</v>
      </c>
      <c r="M56" s="220">
        <f t="shared" si="2"/>
        <v>2593733330.589962</v>
      </c>
      <c r="N56" s="220">
        <f t="shared" si="2"/>
        <v>2593733330.589962</v>
      </c>
      <c r="O56" s="220">
        <f t="shared" si="2"/>
        <v>2593733330.589962</v>
      </c>
      <c r="P56" s="220">
        <f t="shared" si="2"/>
        <v>2593733330.589962</v>
      </c>
    </row>
    <row r="57" spans="1:18" ht="11.25" customHeight="1" x14ac:dyDescent="0.35">
      <c r="A57" s="214"/>
      <c r="C57" s="215" t="s">
        <v>4529</v>
      </c>
      <c r="D57" s="215"/>
      <c r="E57" s="211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</row>
    <row r="58" spans="1:18" ht="11.25" customHeight="1" x14ac:dyDescent="0.35">
      <c r="A58" s="214">
        <v>1107</v>
      </c>
      <c r="C58" s="215" t="s">
        <v>4530</v>
      </c>
      <c r="D58" s="215"/>
      <c r="E58" s="211">
        <v>0</v>
      </c>
      <c r="F58" s="211">
        <v>0</v>
      </c>
      <c r="G58" s="211">
        <v>0</v>
      </c>
      <c r="H58" s="211">
        <v>0</v>
      </c>
      <c r="I58" s="211">
        <v>0</v>
      </c>
      <c r="J58" s="211">
        <v>0</v>
      </c>
      <c r="K58" s="211">
        <v>0</v>
      </c>
      <c r="L58" s="211">
        <v>0</v>
      </c>
      <c r="M58" s="211">
        <v>0</v>
      </c>
      <c r="N58" s="211">
        <v>0</v>
      </c>
      <c r="O58" s="211">
        <v>0</v>
      </c>
      <c r="P58" s="211">
        <v>0</v>
      </c>
    </row>
    <row r="59" spans="1:18" ht="11.25" customHeight="1" x14ac:dyDescent="0.35">
      <c r="A59" s="214" t="s">
        <v>4531</v>
      </c>
      <c r="C59" s="214" t="s">
        <v>4532</v>
      </c>
      <c r="D59" s="214" t="s">
        <v>4533</v>
      </c>
      <c r="E59" s="211">
        <v>2500000</v>
      </c>
      <c r="F59" s="211">
        <v>0</v>
      </c>
      <c r="G59" s="211">
        <v>27500000</v>
      </c>
      <c r="H59" s="211">
        <v>25000000</v>
      </c>
      <c r="I59" s="211">
        <v>22500000</v>
      </c>
      <c r="J59" s="211">
        <v>20000000</v>
      </c>
      <c r="K59" s="211">
        <v>17500000</v>
      </c>
      <c r="L59" s="211">
        <v>15000000</v>
      </c>
      <c r="M59" s="211">
        <v>15000000</v>
      </c>
      <c r="N59" s="211">
        <v>15000000</v>
      </c>
      <c r="O59" s="211">
        <v>15000000</v>
      </c>
      <c r="P59" s="211">
        <v>15000000</v>
      </c>
      <c r="R59" s="214" t="s">
        <v>168</v>
      </c>
    </row>
    <row r="60" spans="1:18" ht="11.25" customHeight="1" x14ac:dyDescent="0.35">
      <c r="A60" s="214" t="s">
        <v>4534</v>
      </c>
      <c r="C60" s="214" t="s">
        <v>4535</v>
      </c>
      <c r="D60" s="214" t="s">
        <v>4533</v>
      </c>
      <c r="E60" s="211">
        <v>27257862.539999999</v>
      </c>
      <c r="F60" s="211">
        <v>53564817.32</v>
      </c>
      <c r="G60" s="211">
        <v>44558105.43</v>
      </c>
      <c r="H60" s="211">
        <v>35551393.539999999</v>
      </c>
      <c r="I60" s="211">
        <v>26544681.649999999</v>
      </c>
      <c r="J60" s="211">
        <v>19261999.93</v>
      </c>
      <c r="K60" s="211">
        <v>16051666.6</v>
      </c>
      <c r="L60" s="211">
        <v>12841333.27</v>
      </c>
      <c r="M60" s="211">
        <v>12841333.27</v>
      </c>
      <c r="N60" s="211">
        <v>12841333.27</v>
      </c>
      <c r="O60" s="211">
        <v>12841333.27</v>
      </c>
      <c r="P60" s="211">
        <v>12841333.27</v>
      </c>
      <c r="R60" s="214" t="s">
        <v>169</v>
      </c>
    </row>
    <row r="61" spans="1:18" ht="11.25" customHeight="1" x14ac:dyDescent="0.35">
      <c r="A61" s="214" t="s">
        <v>4536</v>
      </c>
      <c r="C61" s="214" t="s">
        <v>4537</v>
      </c>
      <c r="D61" s="214" t="s">
        <v>4533</v>
      </c>
      <c r="E61" s="211">
        <v>17068769</v>
      </c>
      <c r="F61" s="211">
        <v>13519118</v>
      </c>
      <c r="G61" s="211">
        <v>10014465.6</v>
      </c>
      <c r="H61" s="211">
        <v>6509813.9699999997</v>
      </c>
      <c r="I61" s="211">
        <v>6302553.9699999997</v>
      </c>
      <c r="J61" s="211">
        <v>27193884.969999999</v>
      </c>
      <c r="K61" s="211">
        <v>28684210.969999999</v>
      </c>
      <c r="L61" s="211">
        <v>34706800.530000001</v>
      </c>
      <c r="M61" s="211">
        <v>34706800.530000001</v>
      </c>
      <c r="N61" s="211">
        <v>34706800.530000001</v>
      </c>
      <c r="O61" s="211">
        <v>34706800.530000001</v>
      </c>
      <c r="P61" s="211">
        <v>34706800.530000001</v>
      </c>
      <c r="R61" s="214" t="s">
        <v>170</v>
      </c>
    </row>
    <row r="62" spans="1:18" ht="11.25" customHeight="1" x14ac:dyDescent="0.35">
      <c r="A62" s="214" t="s">
        <v>4538</v>
      </c>
      <c r="C62" s="214" t="s">
        <v>4539</v>
      </c>
      <c r="D62" s="214" t="s">
        <v>4533</v>
      </c>
      <c r="E62" s="211">
        <v>0</v>
      </c>
      <c r="F62" s="211">
        <v>0</v>
      </c>
      <c r="G62" s="211">
        <v>823500000</v>
      </c>
      <c r="H62" s="211">
        <v>732000000</v>
      </c>
      <c r="I62" s="211">
        <v>640500000</v>
      </c>
      <c r="J62" s="211">
        <v>549000000.04999995</v>
      </c>
      <c r="K62" s="211">
        <v>457500000.05000001</v>
      </c>
      <c r="L62" s="211">
        <v>366000000.05000001</v>
      </c>
      <c r="M62" s="211">
        <v>366000000.05000001</v>
      </c>
      <c r="N62" s="211">
        <v>366000000.05000001</v>
      </c>
      <c r="O62" s="211">
        <v>366000000.05000001</v>
      </c>
      <c r="P62" s="211">
        <v>366000000.05000001</v>
      </c>
      <c r="R62" s="214" t="s">
        <v>171</v>
      </c>
    </row>
    <row r="63" spans="1:18" ht="11.25" customHeight="1" x14ac:dyDescent="0.35">
      <c r="A63" s="214">
        <v>1108</v>
      </c>
      <c r="C63" s="215" t="s">
        <v>4540</v>
      </c>
      <c r="D63" s="215"/>
      <c r="E63" s="211">
        <v>0</v>
      </c>
      <c r="F63" s="211">
        <v>0</v>
      </c>
      <c r="G63" s="211">
        <v>0</v>
      </c>
      <c r="H63" s="211">
        <v>0</v>
      </c>
      <c r="I63" s="211">
        <v>0</v>
      </c>
      <c r="J63" s="211">
        <v>0</v>
      </c>
      <c r="K63" s="211">
        <v>0</v>
      </c>
      <c r="L63" s="211">
        <v>0</v>
      </c>
      <c r="M63" s="211">
        <v>0</v>
      </c>
      <c r="N63" s="211">
        <v>0</v>
      </c>
      <c r="O63" s="211">
        <v>0</v>
      </c>
      <c r="P63" s="211">
        <v>0</v>
      </c>
    </row>
    <row r="64" spans="1:18" ht="11.25" customHeight="1" x14ac:dyDescent="0.35">
      <c r="A64" s="214" t="s">
        <v>4541</v>
      </c>
      <c r="C64" s="214" t="s">
        <v>4542</v>
      </c>
      <c r="D64" s="214" t="s">
        <v>4543</v>
      </c>
      <c r="E64" s="211">
        <v>0</v>
      </c>
      <c r="F64" s="211">
        <v>7803300</v>
      </c>
      <c r="G64" s="211">
        <v>7803300</v>
      </c>
      <c r="H64" s="211">
        <v>7803300</v>
      </c>
      <c r="I64" s="211">
        <v>7912100</v>
      </c>
      <c r="J64" s="211">
        <v>7912100</v>
      </c>
      <c r="K64" s="211">
        <v>7912100</v>
      </c>
      <c r="L64" s="211">
        <v>7912100</v>
      </c>
      <c r="M64" s="211">
        <v>7912100</v>
      </c>
      <c r="N64" s="211">
        <v>7912100</v>
      </c>
      <c r="O64" s="211">
        <v>7912100</v>
      </c>
      <c r="P64" s="211">
        <v>7912100</v>
      </c>
      <c r="R64" s="214" t="s">
        <v>175</v>
      </c>
    </row>
    <row r="65" spans="1:18" ht="11.25" customHeight="1" x14ac:dyDescent="0.35">
      <c r="A65" s="214" t="s">
        <v>4544</v>
      </c>
      <c r="C65" s="214" t="s">
        <v>4545</v>
      </c>
      <c r="D65" s="214" t="s">
        <v>4543</v>
      </c>
      <c r="E65" s="211">
        <v>1576661</v>
      </c>
      <c r="F65" s="211">
        <v>1613326</v>
      </c>
      <c r="G65" s="211">
        <v>1613326</v>
      </c>
      <c r="H65" s="211">
        <v>1613326</v>
      </c>
      <c r="I65" s="211">
        <v>2981673</v>
      </c>
      <c r="J65" s="211">
        <v>3262752</v>
      </c>
      <c r="K65" s="211">
        <v>3629587</v>
      </c>
      <c r="L65" s="211">
        <v>9423546.9399999995</v>
      </c>
      <c r="M65" s="211">
        <v>9423546.9399999995</v>
      </c>
      <c r="N65" s="211">
        <v>9423546.9399999995</v>
      </c>
      <c r="O65" s="211">
        <v>9423546.9399999995</v>
      </c>
      <c r="P65" s="211">
        <v>9423546.9399999995</v>
      </c>
      <c r="R65" s="214" t="s">
        <v>176</v>
      </c>
    </row>
    <row r="66" spans="1:18" ht="11.25" customHeight="1" x14ac:dyDescent="0.35">
      <c r="A66" s="214" t="s">
        <v>4546</v>
      </c>
      <c r="C66" s="214" t="s">
        <v>4547</v>
      </c>
      <c r="D66" s="214" t="s">
        <v>4543</v>
      </c>
      <c r="E66" s="211">
        <v>267620818</v>
      </c>
      <c r="F66" s="211">
        <v>333938560</v>
      </c>
      <c r="G66" s="211">
        <v>400256302</v>
      </c>
      <c r="H66" s="211">
        <v>560710725</v>
      </c>
      <c r="I66" s="211">
        <v>721165148</v>
      </c>
      <c r="J66" s="211">
        <v>721165148</v>
      </c>
      <c r="K66" s="211">
        <v>840770918</v>
      </c>
      <c r="L66" s="211">
        <v>1001225341</v>
      </c>
      <c r="M66" s="211">
        <v>1001225341</v>
      </c>
      <c r="N66" s="211">
        <v>1001225341</v>
      </c>
      <c r="O66" s="211">
        <v>1001225341</v>
      </c>
      <c r="P66" s="211">
        <v>1001225341</v>
      </c>
      <c r="R66" s="214" t="s">
        <v>177</v>
      </c>
    </row>
    <row r="67" spans="1:18" ht="11.25" customHeight="1" x14ac:dyDescent="0.35">
      <c r="A67" s="214" t="s">
        <v>4548</v>
      </c>
      <c r="C67" s="214" t="s">
        <v>4549</v>
      </c>
      <c r="D67" s="214" t="s">
        <v>4543</v>
      </c>
      <c r="E67" s="211">
        <v>0</v>
      </c>
      <c r="F67" s="211">
        <v>0</v>
      </c>
      <c r="G67" s="211">
        <v>0</v>
      </c>
      <c r="H67" s="211">
        <v>0</v>
      </c>
      <c r="I67" s="211">
        <v>0</v>
      </c>
      <c r="J67" s="211">
        <v>0</v>
      </c>
      <c r="K67" s="211">
        <v>0</v>
      </c>
      <c r="L67" s="211">
        <v>219509038</v>
      </c>
      <c r="M67" s="211">
        <v>219509038</v>
      </c>
      <c r="N67" s="211">
        <v>219509038</v>
      </c>
      <c r="O67" s="211">
        <v>219509038</v>
      </c>
      <c r="P67" s="211">
        <v>219509038</v>
      </c>
      <c r="R67" s="214" t="s">
        <v>173</v>
      </c>
    </row>
    <row r="68" spans="1:18" ht="11.25" customHeight="1" x14ac:dyDescent="0.35">
      <c r="A68" s="214" t="s">
        <v>4550</v>
      </c>
      <c r="C68" s="214" t="s">
        <v>4551</v>
      </c>
      <c r="D68" s="214" t="s">
        <v>4543</v>
      </c>
      <c r="E68" s="211">
        <v>2.2351741790771501E-8</v>
      </c>
      <c r="F68" s="211">
        <v>2.2351741790771501E-8</v>
      </c>
      <c r="G68" s="211">
        <v>2.2351741790771501E-8</v>
      </c>
      <c r="H68" s="211">
        <v>2.2351741790771501E-8</v>
      </c>
      <c r="I68" s="211">
        <v>2.2351741790771501E-8</v>
      </c>
      <c r="J68" s="211">
        <v>2.2351741790771501E-8</v>
      </c>
      <c r="K68" s="211">
        <v>2.2351741790771501E-8</v>
      </c>
      <c r="L68" s="211">
        <v>2.2351741790771501E-8</v>
      </c>
      <c r="M68" s="211">
        <v>2.2351741790771501E-8</v>
      </c>
      <c r="N68" s="211">
        <v>2.2351741790771501E-8</v>
      </c>
      <c r="O68" s="211">
        <v>2.2351741790771501E-8</v>
      </c>
      <c r="P68" s="211">
        <v>2.2351741790771501E-8</v>
      </c>
      <c r="R68" s="214" t="s">
        <v>174</v>
      </c>
    </row>
    <row r="69" spans="1:18" ht="11.25" customHeight="1" x14ac:dyDescent="0.35">
      <c r="A69" s="214">
        <v>1109</v>
      </c>
      <c r="C69" s="215" t="s">
        <v>4552</v>
      </c>
      <c r="D69" s="215"/>
      <c r="E69" s="211">
        <v>0</v>
      </c>
      <c r="F69" s="211">
        <v>0</v>
      </c>
      <c r="G69" s="211">
        <v>0</v>
      </c>
      <c r="H69" s="211">
        <v>0</v>
      </c>
      <c r="I69" s="211">
        <v>0</v>
      </c>
      <c r="J69" s="211">
        <v>0</v>
      </c>
      <c r="K69" s="211">
        <v>0</v>
      </c>
      <c r="L69" s="211">
        <v>0</v>
      </c>
      <c r="M69" s="211">
        <v>0</v>
      </c>
      <c r="N69" s="211">
        <v>0</v>
      </c>
      <c r="O69" s="211">
        <v>0</v>
      </c>
      <c r="P69" s="211">
        <v>0</v>
      </c>
    </row>
    <row r="70" spans="1:18" ht="11.25" customHeight="1" x14ac:dyDescent="0.35">
      <c r="A70" s="214" t="s">
        <v>4553</v>
      </c>
      <c r="C70" s="214" t="s">
        <v>4554</v>
      </c>
      <c r="D70" s="214" t="s">
        <v>4555</v>
      </c>
      <c r="E70" s="211">
        <v>0</v>
      </c>
      <c r="F70" s="211">
        <v>0</v>
      </c>
      <c r="G70" s="211">
        <v>0</v>
      </c>
      <c r="H70" s="211">
        <v>92500000</v>
      </c>
      <c r="I70" s="211">
        <v>81500000</v>
      </c>
      <c r="J70" s="211">
        <v>226634723.53999999</v>
      </c>
      <c r="K70" s="211">
        <v>535242469.29000002</v>
      </c>
      <c r="L70" s="211">
        <v>391767853.67000002</v>
      </c>
      <c r="M70" s="211">
        <v>391767853.67000002</v>
      </c>
      <c r="N70" s="211">
        <v>391767853.67000002</v>
      </c>
      <c r="O70" s="211">
        <v>391767853.67000002</v>
      </c>
      <c r="P70" s="211">
        <v>391767853.67000002</v>
      </c>
      <c r="R70" s="214" t="s">
        <v>178</v>
      </c>
    </row>
    <row r="71" spans="1:18" ht="11.25" customHeight="1" x14ac:dyDescent="0.35">
      <c r="A71" s="214" t="s">
        <v>4556</v>
      </c>
      <c r="C71" s="214" t="s">
        <v>4557</v>
      </c>
      <c r="D71" s="214" t="s">
        <v>4555</v>
      </c>
      <c r="E71" s="211">
        <v>0</v>
      </c>
      <c r="F71" s="211">
        <v>0</v>
      </c>
      <c r="G71" s="211">
        <v>0</v>
      </c>
      <c r="H71" s="211">
        <v>0</v>
      </c>
      <c r="I71" s="211">
        <v>0</v>
      </c>
      <c r="J71" s="211">
        <v>0</v>
      </c>
      <c r="K71" s="211">
        <v>0</v>
      </c>
      <c r="L71" s="211">
        <v>0</v>
      </c>
      <c r="M71" s="211">
        <v>0</v>
      </c>
      <c r="N71" s="211">
        <v>0</v>
      </c>
      <c r="O71" s="211">
        <v>0</v>
      </c>
      <c r="P71" s="211">
        <v>0</v>
      </c>
      <c r="R71" s="214">
        <v>0</v>
      </c>
    </row>
    <row r="72" spans="1:18" ht="11.25" customHeight="1" x14ac:dyDescent="0.35">
      <c r="A72" s="214" t="s">
        <v>4558</v>
      </c>
      <c r="C72" s="214" t="s">
        <v>4559</v>
      </c>
      <c r="D72" s="214" t="s">
        <v>4555</v>
      </c>
      <c r="E72" s="211">
        <v>-117977</v>
      </c>
      <c r="F72" s="211">
        <v>76377</v>
      </c>
      <c r="G72" s="211">
        <v>9552148</v>
      </c>
      <c r="H72" s="211">
        <v>12153109.380000001</v>
      </c>
      <c r="I72" s="211">
        <v>5982337.3799999999</v>
      </c>
      <c r="J72" s="211">
        <v>-1694407.6200000099</v>
      </c>
      <c r="K72" s="211">
        <v>14276656</v>
      </c>
      <c r="L72" s="211">
        <v>9135301</v>
      </c>
      <c r="M72" s="211">
        <v>9135301</v>
      </c>
      <c r="N72" s="211">
        <v>9135301</v>
      </c>
      <c r="O72" s="211">
        <v>9135301</v>
      </c>
      <c r="P72" s="211">
        <v>9135301</v>
      </c>
      <c r="R72" s="214" t="s">
        <v>178</v>
      </c>
    </row>
    <row r="73" spans="1:18" ht="11.25" customHeight="1" x14ac:dyDescent="0.35">
      <c r="A73" s="214" t="s">
        <v>4560</v>
      </c>
      <c r="C73" s="214" t="s">
        <v>4561</v>
      </c>
      <c r="D73" s="214" t="s">
        <v>4555</v>
      </c>
      <c r="E73" s="211">
        <v>0</v>
      </c>
      <c r="F73" s="211">
        <v>1260000</v>
      </c>
      <c r="G73" s="211">
        <v>0</v>
      </c>
      <c r="H73" s="211">
        <v>0</v>
      </c>
      <c r="I73" s="211">
        <v>200000</v>
      </c>
      <c r="J73" s="211">
        <v>200000</v>
      </c>
      <c r="K73" s="211">
        <v>0</v>
      </c>
      <c r="L73" s="211">
        <v>200000</v>
      </c>
      <c r="M73" s="211">
        <v>200000</v>
      </c>
      <c r="N73" s="211">
        <v>200000</v>
      </c>
      <c r="O73" s="211">
        <v>200000</v>
      </c>
      <c r="P73" s="211">
        <v>200000</v>
      </c>
      <c r="R73" s="214" t="s">
        <v>178</v>
      </c>
    </row>
    <row r="74" spans="1:18" ht="11.25" customHeight="1" x14ac:dyDescent="0.35">
      <c r="A74" s="214" t="s">
        <v>4562</v>
      </c>
      <c r="C74" s="214" t="s">
        <v>4563</v>
      </c>
      <c r="D74" s="214" t="s">
        <v>4555</v>
      </c>
      <c r="E74" s="211">
        <v>679207.28000000096</v>
      </c>
      <c r="F74" s="211">
        <v>33865160.280000001</v>
      </c>
      <c r="G74" s="211">
        <v>60516128.280000001</v>
      </c>
      <c r="H74" s="211">
        <v>15218933.279999999</v>
      </c>
      <c r="I74" s="211">
        <v>-6965292.7199999997</v>
      </c>
      <c r="J74" s="211">
        <v>-9574932.7200000007</v>
      </c>
      <c r="K74" s="211">
        <v>73699718.280000001</v>
      </c>
      <c r="L74" s="211">
        <v>27722097.280000001</v>
      </c>
      <c r="M74" s="211">
        <v>27722097.280000001</v>
      </c>
      <c r="N74" s="211">
        <v>27722097.280000001</v>
      </c>
      <c r="O74" s="211">
        <v>27722097.280000001</v>
      </c>
      <c r="P74" s="211">
        <v>27722097.280000001</v>
      </c>
      <c r="R74" s="214" t="s">
        <v>178</v>
      </c>
    </row>
    <row r="75" spans="1:18" ht="11.25" customHeight="1" x14ac:dyDescent="0.35">
      <c r="A75" s="214" t="s">
        <v>4564</v>
      </c>
      <c r="C75" s="214" t="s">
        <v>4565</v>
      </c>
      <c r="D75" s="214" t="s">
        <v>4555</v>
      </c>
      <c r="E75" s="211">
        <v>5920000</v>
      </c>
      <c r="F75" s="211">
        <v>0</v>
      </c>
      <c r="G75" s="211">
        <v>0</v>
      </c>
      <c r="H75" s="211">
        <v>144000</v>
      </c>
      <c r="I75" s="211">
        <v>300000</v>
      </c>
      <c r="J75" s="211">
        <v>1762000</v>
      </c>
      <c r="K75" s="211">
        <v>0</v>
      </c>
      <c r="L75" s="211">
        <v>3460000</v>
      </c>
      <c r="M75" s="211">
        <v>3460000</v>
      </c>
      <c r="N75" s="211">
        <v>3460000</v>
      </c>
      <c r="O75" s="211">
        <v>3460000</v>
      </c>
      <c r="P75" s="211">
        <v>3460000</v>
      </c>
      <c r="R75" s="214" t="s">
        <v>178</v>
      </c>
    </row>
    <row r="76" spans="1:18" ht="11.25" customHeight="1" x14ac:dyDescent="0.35">
      <c r="A76" s="214" t="s">
        <v>4566</v>
      </c>
      <c r="C76" s="214" t="s">
        <v>4567</v>
      </c>
      <c r="D76" s="214" t="s">
        <v>4555</v>
      </c>
      <c r="E76" s="211">
        <v>0</v>
      </c>
      <c r="F76" s="211">
        <v>2154500</v>
      </c>
      <c r="G76" s="211">
        <v>0</v>
      </c>
      <c r="H76" s="211">
        <v>630000</v>
      </c>
      <c r="I76" s="211">
        <v>0</v>
      </c>
      <c r="J76" s="211">
        <v>8420000</v>
      </c>
      <c r="K76" s="211">
        <v>7000000</v>
      </c>
      <c r="L76" s="211">
        <v>3155000</v>
      </c>
      <c r="M76" s="211">
        <v>3155000</v>
      </c>
      <c r="N76" s="211">
        <v>3155000</v>
      </c>
      <c r="O76" s="211">
        <v>3155000</v>
      </c>
      <c r="P76" s="211">
        <v>3155000</v>
      </c>
      <c r="R76" s="214" t="s">
        <v>178</v>
      </c>
    </row>
    <row r="77" spans="1:18" ht="11.25" customHeight="1" x14ac:dyDescent="0.35">
      <c r="A77" s="214" t="s">
        <v>4568</v>
      </c>
      <c r="C77" s="214" t="s">
        <v>4569</v>
      </c>
      <c r="D77" s="214" t="s">
        <v>4555</v>
      </c>
      <c r="E77" s="211">
        <v>0</v>
      </c>
      <c r="F77" s="211">
        <v>27472785</v>
      </c>
      <c r="G77" s="211">
        <v>0</v>
      </c>
      <c r="H77" s="211">
        <v>0</v>
      </c>
      <c r="I77" s="211">
        <v>0</v>
      </c>
      <c r="J77" s="211">
        <v>0</v>
      </c>
      <c r="K77" s="211">
        <v>0</v>
      </c>
      <c r="L77" s="211">
        <v>0</v>
      </c>
      <c r="M77" s="211">
        <v>0</v>
      </c>
      <c r="N77" s="211">
        <v>0</v>
      </c>
      <c r="O77" s="211">
        <v>0</v>
      </c>
      <c r="P77" s="211">
        <v>0</v>
      </c>
      <c r="R77" s="214" t="s">
        <v>178</v>
      </c>
    </row>
    <row r="78" spans="1:18" ht="11.25" customHeight="1" x14ac:dyDescent="0.35">
      <c r="A78" s="214" t="s">
        <v>4570</v>
      </c>
      <c r="C78" s="214" t="s">
        <v>4571</v>
      </c>
      <c r="D78" s="214" t="s">
        <v>4555</v>
      </c>
      <c r="E78" s="211">
        <v>0</v>
      </c>
      <c r="F78" s="211">
        <v>0</v>
      </c>
      <c r="G78" s="211">
        <v>0</v>
      </c>
      <c r="H78" s="211">
        <v>0</v>
      </c>
      <c r="I78" s="211">
        <v>0</v>
      </c>
      <c r="J78" s="211">
        <v>0</v>
      </c>
      <c r="K78" s="211">
        <v>0</v>
      </c>
      <c r="L78" s="211">
        <v>0</v>
      </c>
      <c r="M78" s="211">
        <v>0</v>
      </c>
      <c r="N78" s="211">
        <v>0</v>
      </c>
      <c r="O78" s="211">
        <v>0</v>
      </c>
      <c r="P78" s="211">
        <v>0</v>
      </c>
      <c r="R78" s="214" t="s">
        <v>178</v>
      </c>
    </row>
    <row r="79" spans="1:18" ht="11.25" customHeight="1" x14ac:dyDescent="0.35">
      <c r="A79" s="214" t="s">
        <v>4572</v>
      </c>
      <c r="C79" s="214" t="s">
        <v>4573</v>
      </c>
      <c r="D79" s="214" t="s">
        <v>4555</v>
      </c>
      <c r="E79" s="211">
        <v>569602632.67000103</v>
      </c>
      <c r="F79" s="211">
        <v>217604563.170001</v>
      </c>
      <c r="G79" s="211">
        <v>120854123.170001</v>
      </c>
      <c r="H79" s="211">
        <v>631479772.89000106</v>
      </c>
      <c r="I79" s="211">
        <v>35522577.250000603</v>
      </c>
      <c r="J79" s="211">
        <v>52616962.250000603</v>
      </c>
      <c r="K79" s="211">
        <v>373819259.25000101</v>
      </c>
      <c r="L79" s="211">
        <v>309061091.16000098</v>
      </c>
      <c r="M79" s="211">
        <v>309061091.16000098</v>
      </c>
      <c r="N79" s="211">
        <v>309061091.16000098</v>
      </c>
      <c r="O79" s="211">
        <v>309061091.16000098</v>
      </c>
      <c r="P79" s="211">
        <v>309061091.16000098</v>
      </c>
      <c r="R79" s="214" t="s">
        <v>178</v>
      </c>
    </row>
    <row r="80" spans="1:18" ht="11.25" customHeight="1" x14ac:dyDescent="0.35">
      <c r="A80" s="214">
        <v>1203</v>
      </c>
      <c r="C80" s="215" t="s">
        <v>4574</v>
      </c>
      <c r="D80" s="215"/>
      <c r="E80" s="211">
        <v>0</v>
      </c>
      <c r="F80" s="211">
        <v>0</v>
      </c>
      <c r="G80" s="211">
        <v>0</v>
      </c>
      <c r="H80" s="211">
        <v>0</v>
      </c>
      <c r="I80" s="211">
        <v>0</v>
      </c>
      <c r="J80" s="211">
        <v>0</v>
      </c>
      <c r="K80" s="211">
        <v>0</v>
      </c>
      <c r="L80" s="211">
        <v>0</v>
      </c>
      <c r="M80" s="211">
        <v>0</v>
      </c>
      <c r="N80" s="211">
        <v>0</v>
      </c>
      <c r="O80" s="211">
        <v>0</v>
      </c>
      <c r="P80" s="211">
        <v>0</v>
      </c>
    </row>
    <row r="81" spans="1:19" ht="11.25" customHeight="1" x14ac:dyDescent="0.35">
      <c r="A81" s="214" t="s">
        <v>4575</v>
      </c>
      <c r="C81" s="214" t="s">
        <v>4576</v>
      </c>
      <c r="D81" s="214" t="s">
        <v>4577</v>
      </c>
      <c r="E81" s="211">
        <v>137546808.56</v>
      </c>
      <c r="F81" s="211">
        <v>137546808.56</v>
      </c>
      <c r="G81" s="211">
        <v>137546808.56</v>
      </c>
      <c r="H81" s="211">
        <v>137546808.56</v>
      </c>
      <c r="I81" s="211">
        <v>137546808.56</v>
      </c>
      <c r="J81" s="211">
        <v>137546808.56</v>
      </c>
      <c r="K81" s="211">
        <v>137546808.56</v>
      </c>
      <c r="L81" s="211">
        <v>137546808.56</v>
      </c>
      <c r="M81" s="211">
        <v>137546808.56</v>
      </c>
      <c r="N81" s="211">
        <v>137546808.56</v>
      </c>
      <c r="O81" s="211">
        <v>137546808.56</v>
      </c>
      <c r="P81" s="211">
        <v>137546808.56</v>
      </c>
      <c r="R81" s="214" t="s">
        <v>192</v>
      </c>
    </row>
    <row r="82" spans="1:19" ht="11.25" customHeight="1" x14ac:dyDescent="0.35">
      <c r="A82" s="214" t="s">
        <v>4578</v>
      </c>
      <c r="C82" s="214" t="s">
        <v>4579</v>
      </c>
      <c r="D82" s="214" t="s">
        <v>4580</v>
      </c>
      <c r="E82" s="211">
        <v>5.9999942779541002E-2</v>
      </c>
      <c r="F82" s="211">
        <v>5.9999942779541002E-2</v>
      </c>
      <c r="G82" s="211">
        <v>5.9999942779541002E-2</v>
      </c>
      <c r="H82" s="211">
        <v>5.9999942779541002E-2</v>
      </c>
      <c r="I82" s="211">
        <v>5.9999942779541002E-2</v>
      </c>
      <c r="J82" s="211">
        <v>5.9999942779541002E-2</v>
      </c>
      <c r="K82" s="211">
        <v>5.9999942779541002E-2</v>
      </c>
      <c r="L82" s="211">
        <v>5.9999942779541002E-2</v>
      </c>
      <c r="M82" s="211">
        <v>5.9999942779541002E-2</v>
      </c>
      <c r="N82" s="211">
        <v>5.9999942779541002E-2</v>
      </c>
      <c r="O82" s="211">
        <v>5.9999942779541002E-2</v>
      </c>
      <c r="P82" s="211">
        <v>5.9999942779541002E-2</v>
      </c>
      <c r="R82" s="214">
        <v>0</v>
      </c>
    </row>
    <row r="83" spans="1:19" ht="11.25" customHeight="1" x14ac:dyDescent="0.35">
      <c r="A83" s="214"/>
      <c r="C83" s="215" t="s">
        <v>4581</v>
      </c>
      <c r="D83" s="215"/>
      <c r="E83" s="218">
        <f t="shared" ref="E83:P83" si="3">SUM(E58:E82)</f>
        <v>1029654782.1100008</v>
      </c>
      <c r="F83" s="218">
        <f t="shared" si="3"/>
        <v>830419315.39000106</v>
      </c>
      <c r="G83" s="218">
        <f t="shared" si="3"/>
        <v>1643714707.1000009</v>
      </c>
      <c r="H83" s="218">
        <f t="shared" si="3"/>
        <v>2258861182.6800013</v>
      </c>
      <c r="I83" s="218">
        <f t="shared" si="3"/>
        <v>1681992587.1500006</v>
      </c>
      <c r="J83" s="218">
        <f t="shared" si="3"/>
        <v>1763707039.0200002</v>
      </c>
      <c r="K83" s="218">
        <f t="shared" si="3"/>
        <v>2513633394.0600009</v>
      </c>
      <c r="L83" s="218">
        <f t="shared" si="3"/>
        <v>2548666311.5200009</v>
      </c>
      <c r="M83" s="218">
        <f t="shared" si="3"/>
        <v>2548666311.5200009</v>
      </c>
      <c r="N83" s="218">
        <f t="shared" si="3"/>
        <v>2548666311.5200009</v>
      </c>
      <c r="O83" s="218">
        <f t="shared" si="3"/>
        <v>2548666311.5200009</v>
      </c>
      <c r="P83" s="218">
        <f t="shared" si="3"/>
        <v>2548666311.5200009</v>
      </c>
    </row>
    <row r="84" spans="1:19" ht="11.25" customHeight="1" x14ac:dyDescent="0.35">
      <c r="A84" s="214"/>
      <c r="C84" s="215" t="s">
        <v>4582</v>
      </c>
      <c r="D84" s="215"/>
      <c r="E84" s="218">
        <f t="shared" ref="E84:P84" si="4">E28+E43+E56+E83</f>
        <v>21041012878.419949</v>
      </c>
      <c r="F84" s="218">
        <f t="shared" si="4"/>
        <v>21861641521.049953</v>
      </c>
      <c r="G84" s="218">
        <f t="shared" si="4"/>
        <v>19943660355.769955</v>
      </c>
      <c r="H84" s="218">
        <f t="shared" si="4"/>
        <v>20913192933.989937</v>
      </c>
      <c r="I84" s="218">
        <f t="shared" si="4"/>
        <v>21980712670.529942</v>
      </c>
      <c r="J84" s="218">
        <f t="shared" si="4"/>
        <v>32322283420.729923</v>
      </c>
      <c r="K84" s="218">
        <f t="shared" si="4"/>
        <v>22240708597.269928</v>
      </c>
      <c r="L84" s="218">
        <f t="shared" si="4"/>
        <v>24809828839.779934</v>
      </c>
      <c r="M84" s="218">
        <f t="shared" si="4"/>
        <v>23309828839.779934</v>
      </c>
      <c r="N84" s="218">
        <f t="shared" si="4"/>
        <v>23309828839.779934</v>
      </c>
      <c r="O84" s="218">
        <f t="shared" si="4"/>
        <v>23309828839.779934</v>
      </c>
      <c r="P84" s="218">
        <f t="shared" si="4"/>
        <v>23309828839.779934</v>
      </c>
    </row>
    <row r="85" spans="1:19" ht="11.25" customHeight="1" x14ac:dyDescent="0.35">
      <c r="A85" s="214"/>
      <c r="C85" s="215" t="s">
        <v>4583</v>
      </c>
      <c r="D85" s="215"/>
      <c r="E85" s="211"/>
      <c r="F85" s="211"/>
      <c r="G85" s="211"/>
      <c r="H85" s="211"/>
      <c r="I85" s="211"/>
      <c r="J85" s="211"/>
      <c r="K85" s="211"/>
      <c r="L85" s="211"/>
      <c r="M85" s="211"/>
      <c r="N85" s="211"/>
      <c r="O85" s="211"/>
      <c r="P85" s="211"/>
    </row>
    <row r="86" spans="1:19" ht="11.25" customHeight="1" x14ac:dyDescent="0.35">
      <c r="A86" s="214"/>
      <c r="C86" s="215" t="s">
        <v>4584</v>
      </c>
      <c r="D86" s="215"/>
      <c r="E86" s="211"/>
      <c r="F86" s="211"/>
      <c r="G86" s="211"/>
      <c r="H86" s="211"/>
      <c r="I86" s="211"/>
      <c r="J86" s="211"/>
      <c r="K86" s="211"/>
      <c r="L86" s="211"/>
      <c r="M86" s="211"/>
      <c r="N86" s="211"/>
      <c r="O86" s="211"/>
      <c r="P86" s="211"/>
    </row>
    <row r="87" spans="1:19" ht="11.25" customHeight="1" x14ac:dyDescent="0.35">
      <c r="A87" s="214">
        <v>1201</v>
      </c>
      <c r="C87" s="215" t="s">
        <v>4585</v>
      </c>
      <c r="D87" s="215"/>
      <c r="E87" s="211">
        <v>0</v>
      </c>
      <c r="F87" s="211">
        <v>0</v>
      </c>
      <c r="G87" s="211">
        <v>0</v>
      </c>
      <c r="H87" s="211">
        <v>0</v>
      </c>
      <c r="I87" s="211">
        <v>0</v>
      </c>
      <c r="J87" s="211">
        <v>0</v>
      </c>
      <c r="K87" s="211">
        <v>0</v>
      </c>
      <c r="L87" s="211">
        <v>0</v>
      </c>
      <c r="M87" s="211">
        <v>0</v>
      </c>
      <c r="N87" s="211">
        <v>0</v>
      </c>
      <c r="O87" s="211">
        <v>0</v>
      </c>
      <c r="P87" s="211">
        <v>0</v>
      </c>
    </row>
    <row r="88" spans="1:19" ht="11.25" customHeight="1" x14ac:dyDescent="0.35">
      <c r="A88" s="214" t="s">
        <v>376</v>
      </c>
      <c r="C88" s="214" t="s">
        <v>375</v>
      </c>
      <c r="D88" s="214" t="s">
        <v>4580</v>
      </c>
      <c r="E88" s="211">
        <v>9264990507.9500008</v>
      </c>
      <c r="F88" s="211">
        <v>9264990507.9500008</v>
      </c>
      <c r="G88" s="211">
        <v>9264990507.9500008</v>
      </c>
      <c r="H88" s="211">
        <v>9264990507.9500008</v>
      </c>
      <c r="I88" s="211">
        <v>9264990507.9500008</v>
      </c>
      <c r="J88" s="211">
        <v>9264990507.9500008</v>
      </c>
      <c r="K88" s="211">
        <v>9264990507.9500008</v>
      </c>
      <c r="L88" s="211">
        <v>9354790507.9500008</v>
      </c>
      <c r="M88" s="211">
        <v>9354790507.9500008</v>
      </c>
      <c r="N88" s="211">
        <v>9354790507.9500008</v>
      </c>
      <c r="O88" s="211">
        <v>9354790507.9500008</v>
      </c>
      <c r="P88" s="211">
        <v>9354790507.9500008</v>
      </c>
      <c r="R88" s="214" t="s">
        <v>182</v>
      </c>
    </row>
    <row r="89" spans="1:19" ht="11.25" customHeight="1" x14ac:dyDescent="0.35">
      <c r="A89" s="214" t="s">
        <v>4586</v>
      </c>
      <c r="C89" s="214" t="s">
        <v>4587</v>
      </c>
      <c r="D89" s="214" t="s">
        <v>4580</v>
      </c>
      <c r="E89" s="211">
        <v>6758547.8099999996</v>
      </c>
      <c r="F89" s="211">
        <v>6758547.8099999996</v>
      </c>
      <c r="G89" s="211">
        <v>6758547.8099999996</v>
      </c>
      <c r="H89" s="211">
        <v>6758547.8099999996</v>
      </c>
      <c r="I89" s="211">
        <v>6758547.8099999996</v>
      </c>
      <c r="J89" s="211">
        <v>6758547.8099999996</v>
      </c>
      <c r="K89" s="211">
        <v>6758547.8099999996</v>
      </c>
      <c r="L89" s="211">
        <v>6758547.8099999996</v>
      </c>
      <c r="M89" s="211">
        <v>6758547.8099999996</v>
      </c>
      <c r="N89" s="211">
        <v>6758547.8099999996</v>
      </c>
      <c r="O89" s="211">
        <v>6758547.8099999996</v>
      </c>
      <c r="P89" s="211">
        <v>6758547.8099999996</v>
      </c>
      <c r="R89" s="214" t="s">
        <v>183</v>
      </c>
      <c r="S89" s="12" t="s">
        <v>183</v>
      </c>
    </row>
    <row r="90" spans="1:19" ht="11.25" customHeight="1" x14ac:dyDescent="0.35">
      <c r="A90" s="214" t="s">
        <v>480</v>
      </c>
      <c r="C90" s="214" t="s">
        <v>4588</v>
      </c>
      <c r="D90" s="214" t="s">
        <v>4580</v>
      </c>
      <c r="E90" s="211">
        <v>1984954774.6300001</v>
      </c>
      <c r="F90" s="211">
        <v>1984954774.6300001</v>
      </c>
      <c r="G90" s="211">
        <v>1984954774.6300001</v>
      </c>
      <c r="H90" s="211">
        <v>1984954774.6300001</v>
      </c>
      <c r="I90" s="211">
        <v>2584954774.6300001</v>
      </c>
      <c r="J90" s="211">
        <v>2584954774.6300001</v>
      </c>
      <c r="K90" s="211">
        <v>2584954774.6300001</v>
      </c>
      <c r="L90" s="211">
        <v>2584954774.6300001</v>
      </c>
      <c r="M90" s="211">
        <v>2584954774.6300001</v>
      </c>
      <c r="N90" s="211">
        <v>2584954774.6300001</v>
      </c>
      <c r="O90" s="211">
        <v>2584954774.6300001</v>
      </c>
      <c r="P90" s="211">
        <v>2584954774.6300001</v>
      </c>
      <c r="R90" s="214" t="s">
        <v>183</v>
      </c>
      <c r="S90" s="12" t="s">
        <v>184</v>
      </c>
    </row>
    <row r="91" spans="1:19" ht="11.25" customHeight="1" x14ac:dyDescent="0.35">
      <c r="A91" s="214" t="s">
        <v>947</v>
      </c>
      <c r="C91" s="214" t="s">
        <v>4589</v>
      </c>
      <c r="D91" s="214" t="s">
        <v>4580</v>
      </c>
      <c r="E91" s="211">
        <v>411997546.56999999</v>
      </c>
      <c r="F91" s="211">
        <v>415227276.30000001</v>
      </c>
      <c r="G91" s="211">
        <v>428561345.61000001</v>
      </c>
      <c r="H91" s="211">
        <v>429779445.61000001</v>
      </c>
      <c r="I91" s="211">
        <v>433253769.61000001</v>
      </c>
      <c r="J91" s="211">
        <v>441046562.61000001</v>
      </c>
      <c r="K91" s="211">
        <v>478930345.61000001</v>
      </c>
      <c r="L91" s="211">
        <v>514943182.86000001</v>
      </c>
      <c r="M91" s="211">
        <v>514943182.86000001</v>
      </c>
      <c r="N91" s="211">
        <v>514943182.86000001</v>
      </c>
      <c r="O91" s="211">
        <v>514943182.86000001</v>
      </c>
      <c r="P91" s="211">
        <v>514943182.86000001</v>
      </c>
      <c r="R91" s="214" t="s">
        <v>184</v>
      </c>
      <c r="S91" s="12" t="s">
        <v>185</v>
      </c>
    </row>
    <row r="92" spans="1:19" ht="11.25" customHeight="1" x14ac:dyDescent="0.35">
      <c r="A92" s="214" t="s">
        <v>872</v>
      </c>
      <c r="C92" s="214" t="s">
        <v>4590</v>
      </c>
      <c r="D92" s="214" t="s">
        <v>4580</v>
      </c>
      <c r="E92" s="211">
        <v>83617708.340000004</v>
      </c>
      <c r="F92" s="211">
        <v>83617708.340000004</v>
      </c>
      <c r="G92" s="211">
        <v>83617708.340000004</v>
      </c>
      <c r="H92" s="211">
        <v>83617708.340000004</v>
      </c>
      <c r="I92" s="211">
        <v>83617708.340000004</v>
      </c>
      <c r="J92" s="211">
        <v>83617708.340000004</v>
      </c>
      <c r="K92" s="211">
        <v>83617708.340000004</v>
      </c>
      <c r="L92" s="211">
        <v>83617708.340000004</v>
      </c>
      <c r="M92" s="211">
        <v>83617708.340000004</v>
      </c>
      <c r="N92" s="211">
        <v>83617708.340000004</v>
      </c>
      <c r="O92" s="211">
        <v>83617708.340000004</v>
      </c>
      <c r="P92" s="211">
        <v>83617708.340000004</v>
      </c>
      <c r="R92" s="214" t="s">
        <v>184</v>
      </c>
      <c r="S92" s="12" t="s">
        <v>186</v>
      </c>
    </row>
    <row r="93" spans="1:19" ht="11.25" customHeight="1" x14ac:dyDescent="0.35">
      <c r="A93" s="214" t="s">
        <v>2332</v>
      </c>
      <c r="C93" s="214" t="s">
        <v>4591</v>
      </c>
      <c r="D93" s="214" t="s">
        <v>4580</v>
      </c>
      <c r="E93" s="211">
        <v>2158779586.8000002</v>
      </c>
      <c r="F93" s="211">
        <v>2285354586.8000002</v>
      </c>
      <c r="G93" s="211">
        <v>2339222334.8000002</v>
      </c>
      <c r="H93" s="211">
        <v>2339222334.8000002</v>
      </c>
      <c r="I93" s="211">
        <v>2345762334.8000002</v>
      </c>
      <c r="J93" s="211">
        <v>2349034834.8000002</v>
      </c>
      <c r="K93" s="211">
        <v>2350187086.8000002</v>
      </c>
      <c r="L93" s="211">
        <v>2382367086.8000002</v>
      </c>
      <c r="M93" s="211">
        <v>2382367086.8000002</v>
      </c>
      <c r="N93" s="211">
        <v>2382367086.8000002</v>
      </c>
      <c r="O93" s="211">
        <v>2382367086.8000002</v>
      </c>
      <c r="P93" s="211">
        <v>2382367086.8000002</v>
      </c>
      <c r="R93" s="214" t="s">
        <v>185</v>
      </c>
      <c r="S93" s="12">
        <v>0</v>
      </c>
    </row>
    <row r="94" spans="1:19" ht="11.25" customHeight="1" x14ac:dyDescent="0.35">
      <c r="A94" s="214" t="s">
        <v>2283</v>
      </c>
      <c r="C94" s="214" t="s">
        <v>4592</v>
      </c>
      <c r="D94" s="214" t="s">
        <v>4580</v>
      </c>
      <c r="E94" s="211">
        <v>1375785861.76</v>
      </c>
      <c r="F94" s="211">
        <v>1375785861.76</v>
      </c>
      <c r="G94" s="211">
        <v>1375785861.76</v>
      </c>
      <c r="H94" s="211">
        <v>1375785861.76</v>
      </c>
      <c r="I94" s="211">
        <v>1375785861.76</v>
      </c>
      <c r="J94" s="211">
        <v>1375785861.76</v>
      </c>
      <c r="K94" s="211">
        <v>1375785861.76</v>
      </c>
      <c r="L94" s="211">
        <v>1375785861.76</v>
      </c>
      <c r="M94" s="211">
        <v>1375785861.76</v>
      </c>
      <c r="N94" s="211">
        <v>1375785861.76</v>
      </c>
      <c r="O94" s="211">
        <v>1375785861.76</v>
      </c>
      <c r="P94" s="211">
        <v>1375785861.76</v>
      </c>
      <c r="R94" s="214" t="s">
        <v>185</v>
      </c>
    </row>
    <row r="95" spans="1:19" ht="11.25" customHeight="1" x14ac:dyDescent="0.35">
      <c r="A95" s="214" t="s">
        <v>3116</v>
      </c>
      <c r="C95" s="214" t="s">
        <v>4593</v>
      </c>
      <c r="D95" s="214" t="s">
        <v>4580</v>
      </c>
      <c r="E95" s="211">
        <v>449241963.95999998</v>
      </c>
      <c r="F95" s="211">
        <v>761375308.96000004</v>
      </c>
      <c r="G95" s="211">
        <v>761375308.96000004</v>
      </c>
      <c r="H95" s="211">
        <v>761375308.96000004</v>
      </c>
      <c r="I95" s="211">
        <v>811375307.96000004</v>
      </c>
      <c r="J95" s="211">
        <v>811375307.96000004</v>
      </c>
      <c r="K95" s="211">
        <v>811375307.96000004</v>
      </c>
      <c r="L95" s="211">
        <v>811375307.96000004</v>
      </c>
      <c r="M95" s="211">
        <v>811375307.96000004</v>
      </c>
      <c r="N95" s="211">
        <v>811375307.96000004</v>
      </c>
      <c r="O95" s="211">
        <v>811375307.96000004</v>
      </c>
      <c r="P95" s="211">
        <v>811375307.96000004</v>
      </c>
      <c r="R95" s="214" t="s">
        <v>186</v>
      </c>
    </row>
    <row r="96" spans="1:19" ht="11.25" customHeight="1" x14ac:dyDescent="0.35">
      <c r="A96" s="214" t="s">
        <v>3172</v>
      </c>
      <c r="C96" s="214" t="s">
        <v>4594</v>
      </c>
      <c r="D96" s="214" t="s">
        <v>4580</v>
      </c>
      <c r="E96" s="211">
        <v>12165724571.85</v>
      </c>
      <c r="F96" s="211">
        <v>12165724571.85</v>
      </c>
      <c r="G96" s="211">
        <v>12165724571.85</v>
      </c>
      <c r="H96" s="211">
        <v>12165724571.85</v>
      </c>
      <c r="I96" s="211">
        <v>12165724571.85</v>
      </c>
      <c r="J96" s="211">
        <v>12165724571.85</v>
      </c>
      <c r="K96" s="211">
        <v>12165724571.85</v>
      </c>
      <c r="L96" s="211">
        <v>12165724571.85</v>
      </c>
      <c r="M96" s="211">
        <v>12165724571.85</v>
      </c>
      <c r="N96" s="211">
        <v>12165724571.85</v>
      </c>
      <c r="O96" s="211">
        <v>12165724571.85</v>
      </c>
      <c r="P96" s="211">
        <v>12165724571.85</v>
      </c>
      <c r="R96" s="214" t="s">
        <v>186</v>
      </c>
    </row>
    <row r="97" spans="1:19" ht="11.25" customHeight="1" x14ac:dyDescent="0.35">
      <c r="A97" s="214" t="s">
        <v>1320</v>
      </c>
      <c r="C97" s="214" t="s">
        <v>4595</v>
      </c>
      <c r="D97" s="214" t="s">
        <v>4580</v>
      </c>
      <c r="E97" s="211">
        <v>1</v>
      </c>
      <c r="F97" s="211">
        <v>1</v>
      </c>
      <c r="G97" s="211">
        <v>1</v>
      </c>
      <c r="H97" s="211">
        <v>1</v>
      </c>
      <c r="I97" s="211">
        <v>1</v>
      </c>
      <c r="J97" s="211">
        <v>1</v>
      </c>
      <c r="K97" s="211">
        <v>1</v>
      </c>
      <c r="L97" s="211">
        <v>1</v>
      </c>
      <c r="M97" s="211">
        <v>1</v>
      </c>
      <c r="N97" s="211">
        <v>1</v>
      </c>
      <c r="O97" s="211">
        <v>1</v>
      </c>
      <c r="P97" s="211">
        <v>1</v>
      </c>
      <c r="R97" s="214">
        <v>0</v>
      </c>
    </row>
    <row r="98" spans="1:19" ht="11.25" customHeight="1" x14ac:dyDescent="0.35">
      <c r="A98" s="214" t="s">
        <v>588</v>
      </c>
      <c r="C98" s="214" t="s">
        <v>4596</v>
      </c>
      <c r="D98" s="214" t="s">
        <v>4580</v>
      </c>
      <c r="E98" s="211">
        <v>1070626547.38</v>
      </c>
      <c r="F98" s="211">
        <v>1070626547.38</v>
      </c>
      <c r="G98" s="211">
        <v>1070626547.38</v>
      </c>
      <c r="H98" s="211">
        <v>1070626547.38</v>
      </c>
      <c r="I98" s="211">
        <v>1070626547.38</v>
      </c>
      <c r="J98" s="211">
        <v>1070626547.38</v>
      </c>
      <c r="K98" s="211">
        <v>1070626547.38</v>
      </c>
      <c r="L98" s="211">
        <v>1070626547.38</v>
      </c>
      <c r="M98" s="211">
        <v>1070626547.38</v>
      </c>
      <c r="N98" s="211">
        <v>1070626547.38</v>
      </c>
      <c r="O98" s="211">
        <v>1070626547.38</v>
      </c>
      <c r="P98" s="211">
        <v>1070626547.38</v>
      </c>
      <c r="R98" s="214" t="s">
        <v>184</v>
      </c>
    </row>
    <row r="99" spans="1:19" ht="11.25" customHeight="1" x14ac:dyDescent="0.35">
      <c r="A99" s="214" t="s">
        <v>4597</v>
      </c>
      <c r="C99" s="214" t="s">
        <v>4598</v>
      </c>
      <c r="D99" s="214" t="s">
        <v>4580</v>
      </c>
      <c r="E99" s="211">
        <v>187632291.66999999</v>
      </c>
      <c r="F99" s="211">
        <v>187632291.66999999</v>
      </c>
      <c r="G99" s="211">
        <v>187632291.66999999</v>
      </c>
      <c r="H99" s="211">
        <v>187632291.66999999</v>
      </c>
      <c r="I99" s="211">
        <v>187632291.66999999</v>
      </c>
      <c r="J99" s="211">
        <v>187632291.66999999</v>
      </c>
      <c r="K99" s="211">
        <v>187632291.66999999</v>
      </c>
      <c r="L99" s="211">
        <v>187632291.66999999</v>
      </c>
      <c r="M99" s="211">
        <v>187632291.66999999</v>
      </c>
      <c r="N99" s="211">
        <v>187632291.66999999</v>
      </c>
      <c r="O99" s="211">
        <v>187632291.66999999</v>
      </c>
      <c r="P99" s="211">
        <v>187632291.66999999</v>
      </c>
      <c r="R99" s="214" t="s">
        <v>184</v>
      </c>
    </row>
    <row r="100" spans="1:19" ht="11.25" customHeight="1" x14ac:dyDescent="0.35">
      <c r="A100" s="214" t="s">
        <v>1327</v>
      </c>
      <c r="C100" s="214" t="s">
        <v>4599</v>
      </c>
      <c r="D100" s="214" t="s">
        <v>4580</v>
      </c>
      <c r="E100" s="211">
        <v>5377796459.4300003</v>
      </c>
      <c r="F100" s="211">
        <v>5377796459.4300003</v>
      </c>
      <c r="G100" s="211">
        <v>5377796459.4300003</v>
      </c>
      <c r="H100" s="211">
        <v>5377796459.4300003</v>
      </c>
      <c r="I100" s="211">
        <v>5377796459.4300003</v>
      </c>
      <c r="J100" s="211">
        <v>5377796459.4300003</v>
      </c>
      <c r="K100" s="211">
        <v>5377796459.4300003</v>
      </c>
      <c r="L100" s="211">
        <v>5377796459.4300003</v>
      </c>
      <c r="M100" s="211">
        <v>5377796459.4300003</v>
      </c>
      <c r="N100" s="211">
        <v>5377796459.4300003</v>
      </c>
      <c r="O100" s="211">
        <v>5377796459.4300003</v>
      </c>
      <c r="P100" s="211">
        <v>5377796459.4300003</v>
      </c>
      <c r="R100" s="214" t="s">
        <v>185</v>
      </c>
    </row>
    <row r="101" spans="1:19" ht="11.25" customHeight="1" x14ac:dyDescent="0.35">
      <c r="A101" s="214" t="s">
        <v>4600</v>
      </c>
      <c r="C101" s="214" t="s">
        <v>4601</v>
      </c>
      <c r="D101" s="214" t="s">
        <v>4580</v>
      </c>
      <c r="E101" s="211">
        <v>263123656.25</v>
      </c>
      <c r="F101" s="211">
        <v>263123656.25</v>
      </c>
      <c r="G101" s="211">
        <v>263123656.25</v>
      </c>
      <c r="H101" s="211">
        <v>263123656.25</v>
      </c>
      <c r="I101" s="211">
        <v>263123656.25</v>
      </c>
      <c r="J101" s="211">
        <v>263123656.25</v>
      </c>
      <c r="K101" s="211">
        <v>263123656.25</v>
      </c>
      <c r="L101" s="211">
        <v>263123656.25</v>
      </c>
      <c r="M101" s="211">
        <v>263123656.25</v>
      </c>
      <c r="N101" s="211">
        <v>263123656.25</v>
      </c>
      <c r="O101" s="211">
        <v>263123656.25</v>
      </c>
      <c r="P101" s="211">
        <v>263123656.25</v>
      </c>
      <c r="R101" s="214" t="s">
        <v>185</v>
      </c>
    </row>
    <row r="102" spans="1:19" ht="11.25" customHeight="1" x14ac:dyDescent="0.35">
      <c r="A102" s="214" t="s">
        <v>2816</v>
      </c>
      <c r="C102" s="214" t="s">
        <v>4602</v>
      </c>
      <c r="D102" s="214" t="s">
        <v>4580</v>
      </c>
      <c r="E102" s="211">
        <v>10768294101.780001</v>
      </c>
      <c r="F102" s="211">
        <v>10768294101.780001</v>
      </c>
      <c r="G102" s="211">
        <v>10768294101.780001</v>
      </c>
      <c r="H102" s="211">
        <v>10768294101.780001</v>
      </c>
      <c r="I102" s="211">
        <v>10153294101.780001</v>
      </c>
      <c r="J102" s="211">
        <v>10153294101.780001</v>
      </c>
      <c r="K102" s="211">
        <v>10153294101.780001</v>
      </c>
      <c r="L102" s="211">
        <v>10153294103.448999</v>
      </c>
      <c r="M102" s="211">
        <v>10153294103.438999</v>
      </c>
      <c r="N102" s="211">
        <v>10153294101.780001</v>
      </c>
      <c r="O102" s="211">
        <v>10153294101.780001</v>
      </c>
      <c r="P102" s="211">
        <v>10153294101.780001</v>
      </c>
      <c r="R102" s="214" t="s">
        <v>186</v>
      </c>
    </row>
    <row r="103" spans="1:19" ht="11.25" customHeight="1" x14ac:dyDescent="0.35">
      <c r="A103" s="214" t="s">
        <v>4603</v>
      </c>
      <c r="C103" s="214" t="s">
        <v>4604</v>
      </c>
      <c r="D103" s="214" t="s">
        <v>4580</v>
      </c>
      <c r="E103" s="211">
        <v>1265031551.3299999</v>
      </c>
      <c r="F103" s="211">
        <v>1265031551.3299999</v>
      </c>
      <c r="G103" s="211">
        <v>1265031551.3299999</v>
      </c>
      <c r="H103" s="211">
        <v>1265031551.3299999</v>
      </c>
      <c r="I103" s="211">
        <v>1265031551.3299999</v>
      </c>
      <c r="J103" s="211">
        <v>1265031551.3299999</v>
      </c>
      <c r="K103" s="211">
        <v>1265031551.3299999</v>
      </c>
      <c r="L103" s="211">
        <v>1265031551.3299999</v>
      </c>
      <c r="M103" s="211">
        <v>1265031551.3299999</v>
      </c>
      <c r="N103" s="211">
        <v>1265031551.3299999</v>
      </c>
      <c r="O103" s="211">
        <v>1265031551.3299999</v>
      </c>
      <c r="P103" s="211">
        <v>1265031551.3299999</v>
      </c>
      <c r="R103" s="214" t="s">
        <v>186</v>
      </c>
    </row>
    <row r="104" spans="1:19" ht="11.25" customHeight="1" x14ac:dyDescent="0.35">
      <c r="A104" s="214" t="s">
        <v>4605</v>
      </c>
      <c r="C104" s="214" t="s">
        <v>4606</v>
      </c>
      <c r="D104" s="214" t="s">
        <v>4580</v>
      </c>
      <c r="E104" s="211">
        <v>170619996</v>
      </c>
      <c r="F104" s="211">
        <v>170619996</v>
      </c>
      <c r="G104" s="211">
        <v>170619996</v>
      </c>
      <c r="H104" s="211">
        <v>170619996</v>
      </c>
      <c r="I104" s="211">
        <v>170619996</v>
      </c>
      <c r="J104" s="211">
        <v>170619996</v>
      </c>
      <c r="K104" s="211">
        <v>170619996</v>
      </c>
      <c r="L104" s="211">
        <v>170619996</v>
      </c>
      <c r="M104" s="211">
        <v>170619996</v>
      </c>
      <c r="N104" s="211">
        <v>170619996</v>
      </c>
      <c r="O104" s="211">
        <v>170619996</v>
      </c>
      <c r="P104" s="211">
        <v>170619996</v>
      </c>
      <c r="R104" s="214" t="s">
        <v>184</v>
      </c>
    </row>
    <row r="105" spans="1:19" ht="11.25" customHeight="1" x14ac:dyDescent="0.35">
      <c r="A105" s="214" t="s">
        <v>4607</v>
      </c>
      <c r="C105" s="214" t="s">
        <v>4608</v>
      </c>
      <c r="D105" s="214" t="s">
        <v>4580</v>
      </c>
      <c r="E105" s="211">
        <v>584926817.19000006</v>
      </c>
      <c r="F105" s="211">
        <v>584926817.19000006</v>
      </c>
      <c r="G105" s="211">
        <v>584926817.19000006</v>
      </c>
      <c r="H105" s="211">
        <v>584926817.19000006</v>
      </c>
      <c r="I105" s="211">
        <v>584926817.19000006</v>
      </c>
      <c r="J105" s="211">
        <v>584926817.19000006</v>
      </c>
      <c r="K105" s="211">
        <v>584926817.19000006</v>
      </c>
      <c r="L105" s="211">
        <v>584926817.19000006</v>
      </c>
      <c r="M105" s="211">
        <v>584926817.19000006</v>
      </c>
      <c r="N105" s="211">
        <v>584926817.19000006</v>
      </c>
      <c r="O105" s="211">
        <v>584926817.19000006</v>
      </c>
      <c r="P105" s="211">
        <v>584926817.19000006</v>
      </c>
      <c r="R105" s="214" t="s">
        <v>183</v>
      </c>
    </row>
    <row r="106" spans="1:19" ht="11.25" customHeight="1" x14ac:dyDescent="0.35">
      <c r="A106" s="214" t="s">
        <v>4609</v>
      </c>
      <c r="C106" s="214" t="s">
        <v>4610</v>
      </c>
      <c r="D106" s="214" t="s">
        <v>4580</v>
      </c>
      <c r="E106" s="211">
        <v>333879397.36000001</v>
      </c>
      <c r="F106" s="211">
        <v>333879397.36000001</v>
      </c>
      <c r="G106" s="211">
        <v>333879397.36000001</v>
      </c>
      <c r="H106" s="211">
        <v>333879397.36000001</v>
      </c>
      <c r="I106" s="211">
        <v>333879397.36000001</v>
      </c>
      <c r="J106" s="211">
        <v>333879397.36000001</v>
      </c>
      <c r="K106" s="211">
        <v>333879397.36000001</v>
      </c>
      <c r="L106" s="211">
        <v>333879397.36000001</v>
      </c>
      <c r="M106" s="211">
        <v>333879397.36000001</v>
      </c>
      <c r="N106" s="211">
        <v>333879397.36000001</v>
      </c>
      <c r="O106" s="211">
        <v>333879397.36000001</v>
      </c>
      <c r="P106" s="211">
        <v>333879397.36000001</v>
      </c>
      <c r="R106" s="214" t="s">
        <v>183</v>
      </c>
    </row>
    <row r="107" spans="1:19" ht="11.25" customHeight="1" x14ac:dyDescent="0.35">
      <c r="A107" s="214" t="s">
        <v>4611</v>
      </c>
      <c r="C107" s="214" t="s">
        <v>4612</v>
      </c>
      <c r="D107" s="214" t="s">
        <v>4580</v>
      </c>
      <c r="E107" s="211">
        <v>5550297934.0500002</v>
      </c>
      <c r="F107" s="211">
        <v>5550297934.0500002</v>
      </c>
      <c r="G107" s="211">
        <v>5550297934.0500002</v>
      </c>
      <c r="H107" s="211">
        <v>5550297934.0500002</v>
      </c>
      <c r="I107" s="211">
        <v>5550297934.0500002</v>
      </c>
      <c r="J107" s="211">
        <v>5550297934.0500002</v>
      </c>
      <c r="K107" s="211">
        <v>5550297934.0500002</v>
      </c>
      <c r="L107" s="211">
        <v>5550297934.0500002</v>
      </c>
      <c r="M107" s="211">
        <v>5550297934.0500002</v>
      </c>
      <c r="N107" s="211">
        <v>5550297934.0500002</v>
      </c>
      <c r="O107" s="211">
        <v>5550297934.0500002</v>
      </c>
      <c r="P107" s="211">
        <v>5550297934.0500002</v>
      </c>
      <c r="R107" s="214" t="s">
        <v>182</v>
      </c>
    </row>
    <row r="108" spans="1:19" ht="11.25" customHeight="1" x14ac:dyDescent="0.35">
      <c r="A108" s="214"/>
      <c r="C108" s="215" t="s">
        <v>4613</v>
      </c>
      <c r="D108" s="215"/>
      <c r="E108" s="218">
        <f t="shared" ref="E108:P108" si="5">SUM(E88:E107)</f>
        <v>53474079823.110001</v>
      </c>
      <c r="F108" s="218">
        <f t="shared" si="5"/>
        <v>53916017897.840012</v>
      </c>
      <c r="G108" s="218">
        <f t="shared" si="5"/>
        <v>53983219715.150009</v>
      </c>
      <c r="H108" s="218">
        <f t="shared" si="5"/>
        <v>53984437815.150009</v>
      </c>
      <c r="I108" s="218">
        <f t="shared" si="5"/>
        <v>54029452138.150009</v>
      </c>
      <c r="J108" s="218">
        <f t="shared" si="5"/>
        <v>54040517431.150009</v>
      </c>
      <c r="K108" s="218">
        <f t="shared" si="5"/>
        <v>54079553466.150009</v>
      </c>
      <c r="L108" s="218">
        <f t="shared" si="5"/>
        <v>54237546305.069008</v>
      </c>
      <c r="M108" s="218">
        <f t="shared" si="5"/>
        <v>54237546305.059006</v>
      </c>
      <c r="N108" s="218">
        <f t="shared" si="5"/>
        <v>54237546303.400009</v>
      </c>
      <c r="O108" s="218">
        <f t="shared" si="5"/>
        <v>54237546303.400009</v>
      </c>
      <c r="P108" s="218">
        <f t="shared" si="5"/>
        <v>54237546303.400009</v>
      </c>
    </row>
    <row r="109" spans="1:19" ht="11.25" customHeight="1" x14ac:dyDescent="0.35">
      <c r="A109" s="214"/>
      <c r="C109" s="215" t="s">
        <v>4614</v>
      </c>
      <c r="D109" s="215"/>
      <c r="E109" s="211"/>
      <c r="F109" s="211"/>
      <c r="G109" s="211"/>
      <c r="H109" s="211"/>
      <c r="I109" s="211"/>
      <c r="J109" s="211"/>
      <c r="K109" s="211"/>
      <c r="L109" s="211"/>
      <c r="M109" s="211"/>
      <c r="N109" s="211"/>
      <c r="O109" s="211"/>
      <c r="P109" s="211"/>
    </row>
    <row r="110" spans="1:19" ht="11.25" customHeight="1" x14ac:dyDescent="0.35">
      <c r="A110" s="214">
        <v>1202</v>
      </c>
      <c r="C110" s="215" t="s">
        <v>4615</v>
      </c>
      <c r="D110" s="215"/>
      <c r="E110" s="211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</row>
    <row r="111" spans="1:19" ht="11.25" customHeight="1" x14ac:dyDescent="0.35">
      <c r="A111" s="214" t="s">
        <v>377</v>
      </c>
      <c r="C111" s="214" t="s">
        <v>4616</v>
      </c>
      <c r="D111" s="214" t="s">
        <v>4617</v>
      </c>
      <c r="E111" s="211">
        <v>-1529294004.1199999</v>
      </c>
      <c r="F111" s="211">
        <v>-1591024372.6199999</v>
      </c>
      <c r="G111" s="211">
        <v>-1652754741.1199999</v>
      </c>
      <c r="H111" s="211">
        <v>-1714485109.6199999</v>
      </c>
      <c r="I111" s="211">
        <v>-1776215478.1199999</v>
      </c>
      <c r="J111" s="211">
        <v>-1837945846.6199999</v>
      </c>
      <c r="K111" s="211">
        <v>-1899676215.1199999</v>
      </c>
      <c r="L111" s="211">
        <v>-1961780750.29</v>
      </c>
      <c r="M111" s="211">
        <v>-1961780750.29</v>
      </c>
      <c r="N111" s="211">
        <v>-1961780750.29</v>
      </c>
      <c r="O111" s="211">
        <v>-1961780750.29</v>
      </c>
      <c r="P111" s="211">
        <v>-1961780750.29</v>
      </c>
      <c r="R111" s="214" t="s">
        <v>187</v>
      </c>
    </row>
    <row r="112" spans="1:19" ht="11.25" customHeight="1" x14ac:dyDescent="0.35">
      <c r="A112" s="214" t="s">
        <v>4618</v>
      </c>
      <c r="C112" s="214" t="s">
        <v>4619</v>
      </c>
      <c r="D112" s="214" t="s">
        <v>4617</v>
      </c>
      <c r="E112" s="211">
        <v>-6758547.5099999998</v>
      </c>
      <c r="F112" s="211">
        <v>-6758547.5099999998</v>
      </c>
      <c r="G112" s="211">
        <v>-6758547.5099999998</v>
      </c>
      <c r="H112" s="211">
        <v>-6758547.5099999998</v>
      </c>
      <c r="I112" s="211">
        <v>-6758547.5099999998</v>
      </c>
      <c r="J112" s="211">
        <v>-6758547.5099999998</v>
      </c>
      <c r="K112" s="211">
        <v>-6758547.5099999998</v>
      </c>
      <c r="L112" s="211">
        <v>-6758547.5099999998</v>
      </c>
      <c r="M112" s="211">
        <v>-6758547.5099999998</v>
      </c>
      <c r="N112" s="211">
        <v>-6758547.5099999998</v>
      </c>
      <c r="O112" s="211">
        <v>-6758547.5099999998</v>
      </c>
      <c r="P112" s="211">
        <v>-6758547.5099999998</v>
      </c>
      <c r="R112" s="214" t="s">
        <v>188</v>
      </c>
      <c r="S112" s="12" t="s">
        <v>188</v>
      </c>
    </row>
    <row r="113" spans="1:19" ht="11.25" customHeight="1" x14ac:dyDescent="0.35">
      <c r="A113" s="214" t="s">
        <v>481</v>
      </c>
      <c r="C113" s="214" t="s">
        <v>4620</v>
      </c>
      <c r="D113" s="214" t="s">
        <v>4617</v>
      </c>
      <c r="E113" s="211">
        <v>-444255952.67000002</v>
      </c>
      <c r="F113" s="211">
        <v>-468410475.30000001</v>
      </c>
      <c r="G113" s="211">
        <v>-492564997.93000001</v>
      </c>
      <c r="H113" s="211">
        <v>-516719520.56</v>
      </c>
      <c r="I113" s="211">
        <v>-547124043.19000006</v>
      </c>
      <c r="J113" s="211">
        <v>-577528565.82000005</v>
      </c>
      <c r="K113" s="211">
        <v>-607933088.45000005</v>
      </c>
      <c r="L113" s="211">
        <v>-638337611.08000004</v>
      </c>
      <c r="M113" s="211">
        <v>-638337611.08000004</v>
      </c>
      <c r="N113" s="211">
        <v>-638337611.08000004</v>
      </c>
      <c r="O113" s="211">
        <v>-638337611.08000004</v>
      </c>
      <c r="P113" s="211">
        <v>-638337611.08000004</v>
      </c>
      <c r="R113" s="214" t="s">
        <v>188</v>
      </c>
      <c r="S113" s="12" t="s">
        <v>189</v>
      </c>
    </row>
    <row r="114" spans="1:19" ht="11.25" customHeight="1" x14ac:dyDescent="0.35">
      <c r="A114" s="214" t="s">
        <v>948</v>
      </c>
      <c r="C114" s="214" t="s">
        <v>4621</v>
      </c>
      <c r="D114" s="214" t="s">
        <v>4617</v>
      </c>
      <c r="E114" s="211">
        <v>-179703156.34</v>
      </c>
      <c r="F114" s="211">
        <v>-188151600.66999999</v>
      </c>
      <c r="G114" s="211">
        <v>-196746088.84</v>
      </c>
      <c r="H114" s="211">
        <v>-205365954.09</v>
      </c>
      <c r="I114" s="211">
        <v>-214015572.34</v>
      </c>
      <c r="J114" s="211">
        <v>-222727540.44</v>
      </c>
      <c r="K114" s="211">
        <v>-232107920.68000001</v>
      </c>
      <c r="L114" s="211">
        <v>-242068818.38</v>
      </c>
      <c r="M114" s="211">
        <v>-242068818.38</v>
      </c>
      <c r="N114" s="211">
        <v>-242068818.38</v>
      </c>
      <c r="O114" s="211">
        <v>-242068818.38</v>
      </c>
      <c r="P114" s="211">
        <v>-242068818.38</v>
      </c>
      <c r="R114" s="214" t="s">
        <v>189</v>
      </c>
      <c r="S114" s="12" t="s">
        <v>190</v>
      </c>
    </row>
    <row r="115" spans="1:19" ht="11.25" customHeight="1" x14ac:dyDescent="0.35">
      <c r="A115" s="214" t="s">
        <v>873</v>
      </c>
      <c r="C115" s="214" t="s">
        <v>4622</v>
      </c>
      <c r="D115" s="214" t="s">
        <v>4617</v>
      </c>
      <c r="E115" s="211">
        <v>-68543228.989999995</v>
      </c>
      <c r="F115" s="211">
        <v>-71315624.819999993</v>
      </c>
      <c r="G115" s="211">
        <v>-71513541.489999995</v>
      </c>
      <c r="H115" s="211">
        <v>-71659374.829999998</v>
      </c>
      <c r="I115" s="211">
        <v>-71805208.170000002</v>
      </c>
      <c r="J115" s="211">
        <v>-71951041.510000005</v>
      </c>
      <c r="K115" s="211">
        <v>-72096874.849999994</v>
      </c>
      <c r="L115" s="211">
        <v>-72242708.189999998</v>
      </c>
      <c r="M115" s="211">
        <v>-72242708.189999998</v>
      </c>
      <c r="N115" s="211">
        <v>-72242708.189999998</v>
      </c>
      <c r="O115" s="211">
        <v>-72242708.189999998</v>
      </c>
      <c r="P115" s="211">
        <v>-72242708.189999998</v>
      </c>
      <c r="R115" s="214" t="s">
        <v>189</v>
      </c>
      <c r="S115" s="12" t="s">
        <v>191</v>
      </c>
    </row>
    <row r="116" spans="1:19" ht="11.25" customHeight="1" x14ac:dyDescent="0.35">
      <c r="A116" s="214" t="s">
        <v>2333</v>
      </c>
      <c r="C116" s="214" t="s">
        <v>4623</v>
      </c>
      <c r="D116" s="214" t="s">
        <v>4617</v>
      </c>
      <c r="E116" s="211">
        <v>-1094222618.92997</v>
      </c>
      <c r="F116" s="211">
        <v>-1139982584.3399701</v>
      </c>
      <c r="G116" s="211">
        <v>-1181239794.49997</v>
      </c>
      <c r="H116" s="211">
        <v>-1221840754.65997</v>
      </c>
      <c r="I116" s="211">
        <v>-1262400881.48997</v>
      </c>
      <c r="J116" s="211">
        <v>-1302990768.72997</v>
      </c>
      <c r="K116" s="211">
        <v>-1343542670.0299699</v>
      </c>
      <c r="L116" s="211">
        <v>-1384550715.66997</v>
      </c>
      <c r="M116" s="211">
        <v>-1384550715.66997</v>
      </c>
      <c r="N116" s="211">
        <v>-1384550715.66997</v>
      </c>
      <c r="O116" s="211">
        <v>-1384550715.66997</v>
      </c>
      <c r="P116" s="211">
        <v>-1384550715.66997</v>
      </c>
      <c r="R116" s="214" t="s">
        <v>190</v>
      </c>
      <c r="S116" s="12">
        <v>0</v>
      </c>
    </row>
    <row r="117" spans="1:19" ht="11.25" customHeight="1" x14ac:dyDescent="0.35">
      <c r="A117" s="214" t="s">
        <v>2284</v>
      </c>
      <c r="C117" s="214" t="s">
        <v>4624</v>
      </c>
      <c r="D117" s="214" t="s">
        <v>4617</v>
      </c>
      <c r="E117" s="211">
        <v>-191285433.84999999</v>
      </c>
      <c r="F117" s="211">
        <v>-205818704.68000001</v>
      </c>
      <c r="G117" s="211">
        <v>-220351975.50999999</v>
      </c>
      <c r="H117" s="211">
        <v>-234885246.34</v>
      </c>
      <c r="I117" s="211">
        <v>-249418517.16999999</v>
      </c>
      <c r="J117" s="211">
        <v>-263951788</v>
      </c>
      <c r="K117" s="211">
        <v>-278485058.82999998</v>
      </c>
      <c r="L117" s="211">
        <v>-293018329.66000003</v>
      </c>
      <c r="M117" s="211">
        <v>-293018329.66000003</v>
      </c>
      <c r="N117" s="211">
        <v>-293018329.66000003</v>
      </c>
      <c r="O117" s="211">
        <v>-293018329.66000003</v>
      </c>
      <c r="P117" s="211">
        <v>-293018329.66000003</v>
      </c>
      <c r="R117" s="214" t="s">
        <v>190</v>
      </c>
    </row>
    <row r="118" spans="1:19" ht="11.25" customHeight="1" x14ac:dyDescent="0.35">
      <c r="A118" s="214" t="s">
        <v>3117</v>
      </c>
      <c r="C118" s="214" t="s">
        <v>4625</v>
      </c>
      <c r="D118" s="214" t="s">
        <v>4617</v>
      </c>
      <c r="E118" s="211">
        <v>-269720948.69000101</v>
      </c>
      <c r="F118" s="211">
        <v>-286514629.36000103</v>
      </c>
      <c r="G118" s="211">
        <v>-303308310.03000098</v>
      </c>
      <c r="H118" s="211">
        <v>-318967532.37000102</v>
      </c>
      <c r="I118" s="211">
        <v>-335668420.38000101</v>
      </c>
      <c r="J118" s="211">
        <v>-352369309.390001</v>
      </c>
      <c r="K118" s="211">
        <v>-369070198.40000099</v>
      </c>
      <c r="L118" s="211">
        <v>-385771087.41000003</v>
      </c>
      <c r="M118" s="211">
        <v>-385771087.41000003</v>
      </c>
      <c r="N118" s="211">
        <v>-385771087.41000003</v>
      </c>
      <c r="O118" s="211">
        <v>-385771087.41000003</v>
      </c>
      <c r="P118" s="211">
        <v>-385771087.41000003</v>
      </c>
      <c r="R118" s="214" t="s">
        <v>191</v>
      </c>
    </row>
    <row r="119" spans="1:19" ht="11.25" customHeight="1" x14ac:dyDescent="0.35">
      <c r="A119" s="214" t="s">
        <v>3173</v>
      </c>
      <c r="C119" s="214" t="s">
        <v>4626</v>
      </c>
      <c r="D119" s="214" t="s">
        <v>4617</v>
      </c>
      <c r="E119" s="211">
        <v>-3074924237.9699998</v>
      </c>
      <c r="F119" s="211">
        <v>-3213644874.6500001</v>
      </c>
      <c r="G119" s="211">
        <v>-3352365511.3299999</v>
      </c>
      <c r="H119" s="211">
        <v>-3489992398.02</v>
      </c>
      <c r="I119" s="211">
        <v>-3627619284.71</v>
      </c>
      <c r="J119" s="211">
        <v>-3765246171.4000001</v>
      </c>
      <c r="K119" s="211">
        <v>-3902873058.0900002</v>
      </c>
      <c r="L119" s="211">
        <v>-4040499944.7800002</v>
      </c>
      <c r="M119" s="211">
        <v>-4040499944.7800002</v>
      </c>
      <c r="N119" s="211">
        <v>-4040499944.7800002</v>
      </c>
      <c r="O119" s="211">
        <v>-4040499944.7800002</v>
      </c>
      <c r="P119" s="211">
        <v>-4040499944.7800002</v>
      </c>
      <c r="R119" s="214" t="s">
        <v>191</v>
      </c>
    </row>
    <row r="120" spans="1:19" ht="11.25" customHeight="1" x14ac:dyDescent="0.35">
      <c r="A120" s="214" t="s">
        <v>1321</v>
      </c>
      <c r="C120" s="214" t="s">
        <v>4627</v>
      </c>
      <c r="D120" s="214" t="s">
        <v>4617</v>
      </c>
      <c r="E120" s="211">
        <v>-0.96</v>
      </c>
      <c r="F120" s="211">
        <v>-0.96</v>
      </c>
      <c r="G120" s="211">
        <v>-0.96</v>
      </c>
      <c r="H120" s="211">
        <v>-0.96</v>
      </c>
      <c r="I120" s="211">
        <v>-0.96</v>
      </c>
      <c r="J120" s="211">
        <v>-0.96</v>
      </c>
      <c r="K120" s="211">
        <v>-0.96</v>
      </c>
      <c r="L120" s="211">
        <v>-0.96</v>
      </c>
      <c r="M120" s="211">
        <v>-0.96</v>
      </c>
      <c r="N120" s="211">
        <v>-0.96</v>
      </c>
      <c r="O120" s="211">
        <v>-0.96</v>
      </c>
      <c r="P120" s="211">
        <v>-0.96</v>
      </c>
      <c r="R120" s="214">
        <v>0</v>
      </c>
    </row>
    <row r="121" spans="1:19" ht="11.25" customHeight="1" x14ac:dyDescent="0.35">
      <c r="A121" s="214" t="s">
        <v>589</v>
      </c>
      <c r="C121" s="214" t="s">
        <v>4628</v>
      </c>
      <c r="D121" s="214" t="s">
        <v>4617</v>
      </c>
      <c r="E121" s="211">
        <v>-1070626547.38</v>
      </c>
      <c r="F121" s="211">
        <v>-1070626547.38</v>
      </c>
      <c r="G121" s="211">
        <v>-1070626547.38</v>
      </c>
      <c r="H121" s="211">
        <v>-1070626547.38</v>
      </c>
      <c r="I121" s="211">
        <v>-1070626547.38</v>
      </c>
      <c r="J121" s="211">
        <v>-1070626547.38</v>
      </c>
      <c r="K121" s="211">
        <v>-1070626547.38</v>
      </c>
      <c r="L121" s="211">
        <v>-1070626547.38</v>
      </c>
      <c r="M121" s="211">
        <v>-1070626547.38</v>
      </c>
      <c r="N121" s="211">
        <v>-1070626547.38</v>
      </c>
      <c r="O121" s="211">
        <v>-1070626547.38</v>
      </c>
      <c r="P121" s="211">
        <v>-1070626547.38</v>
      </c>
      <c r="R121" s="214" t="s">
        <v>189</v>
      </c>
    </row>
    <row r="122" spans="1:19" ht="11.25" customHeight="1" x14ac:dyDescent="0.35">
      <c r="A122" s="214" t="s">
        <v>4629</v>
      </c>
      <c r="C122" s="214" t="s">
        <v>4630</v>
      </c>
      <c r="D122" s="214" t="s">
        <v>4617</v>
      </c>
      <c r="E122" s="211">
        <v>-187632291.66999999</v>
      </c>
      <c r="F122" s="211">
        <v>-187632291.66999999</v>
      </c>
      <c r="G122" s="211">
        <v>-187632291.66999999</v>
      </c>
      <c r="H122" s="211">
        <v>-187632291.66999999</v>
      </c>
      <c r="I122" s="211">
        <v>-187632291.66999999</v>
      </c>
      <c r="J122" s="211">
        <v>-187632291.66999999</v>
      </c>
      <c r="K122" s="211">
        <v>-187632291.66999999</v>
      </c>
      <c r="L122" s="211">
        <v>-187632291.66999999</v>
      </c>
      <c r="M122" s="211">
        <v>-187632291.66999999</v>
      </c>
      <c r="N122" s="211">
        <v>-187632291.66999999</v>
      </c>
      <c r="O122" s="211">
        <v>-187632291.66999999</v>
      </c>
      <c r="P122" s="211">
        <v>-187632291.66999999</v>
      </c>
      <c r="R122" s="214" t="s">
        <v>189</v>
      </c>
    </row>
    <row r="123" spans="1:19" ht="11.25" customHeight="1" x14ac:dyDescent="0.35">
      <c r="A123" s="214" t="s">
        <v>1328</v>
      </c>
      <c r="C123" s="214" t="s">
        <v>4631</v>
      </c>
      <c r="D123" s="214" t="s">
        <v>4617</v>
      </c>
      <c r="E123" s="211">
        <v>-5377796459.5</v>
      </c>
      <c r="F123" s="211">
        <v>-5377796459.5</v>
      </c>
      <c r="G123" s="211">
        <v>-5377796459.5</v>
      </c>
      <c r="H123" s="211">
        <v>-5377796459.5</v>
      </c>
      <c r="I123" s="211">
        <v>-5377796459.5</v>
      </c>
      <c r="J123" s="211">
        <v>-5377796459.5</v>
      </c>
      <c r="K123" s="211">
        <v>-5377796459.5</v>
      </c>
      <c r="L123" s="211">
        <v>-5377796459.5</v>
      </c>
      <c r="M123" s="211">
        <v>-5377796459.5</v>
      </c>
      <c r="N123" s="211">
        <v>-5377796459.5</v>
      </c>
      <c r="O123" s="211">
        <v>-5377796459.5</v>
      </c>
      <c r="P123" s="211">
        <v>-5377796459.5</v>
      </c>
      <c r="R123" s="214" t="s">
        <v>190</v>
      </c>
    </row>
    <row r="124" spans="1:19" ht="11.25" customHeight="1" x14ac:dyDescent="0.35">
      <c r="A124" s="214" t="s">
        <v>4632</v>
      </c>
      <c r="C124" s="214" t="s">
        <v>4633</v>
      </c>
      <c r="D124" s="214" t="s">
        <v>4617</v>
      </c>
      <c r="E124" s="211">
        <v>-263123656.25</v>
      </c>
      <c r="F124" s="211">
        <v>-263123656.25</v>
      </c>
      <c r="G124" s="211">
        <v>-263123656.25</v>
      </c>
      <c r="H124" s="211">
        <v>-263123656.25</v>
      </c>
      <c r="I124" s="211">
        <v>-263123656.25</v>
      </c>
      <c r="J124" s="211">
        <v>-263123656.25</v>
      </c>
      <c r="K124" s="211">
        <v>-263123656.25</v>
      </c>
      <c r="L124" s="211">
        <v>-263123656.25</v>
      </c>
      <c r="M124" s="211">
        <v>-263123656.25</v>
      </c>
      <c r="N124" s="211">
        <v>-263123656.25</v>
      </c>
      <c r="O124" s="211">
        <v>-263123656.25</v>
      </c>
      <c r="P124" s="211">
        <v>-263123656.25</v>
      </c>
      <c r="R124" s="214" t="s">
        <v>190</v>
      </c>
    </row>
    <row r="125" spans="1:19" ht="11.25" customHeight="1" x14ac:dyDescent="0.35">
      <c r="A125" s="214" t="s">
        <v>2817</v>
      </c>
      <c r="C125" s="214" t="s">
        <v>4634</v>
      </c>
      <c r="D125" s="214" t="s">
        <v>4617</v>
      </c>
      <c r="E125" s="211">
        <v>-10768294097</v>
      </c>
      <c r="F125" s="211">
        <v>-10768294097</v>
      </c>
      <c r="G125" s="211">
        <v>-10768294097</v>
      </c>
      <c r="H125" s="211">
        <v>-10768294097</v>
      </c>
      <c r="I125" s="211">
        <v>-10153294097</v>
      </c>
      <c r="J125" s="211">
        <v>-10153294097</v>
      </c>
      <c r="K125" s="211">
        <v>-10153294097</v>
      </c>
      <c r="L125" s="211">
        <v>-10153294097</v>
      </c>
      <c r="M125" s="211">
        <v>-10153294097</v>
      </c>
      <c r="N125" s="211">
        <v>-10153294097</v>
      </c>
      <c r="O125" s="211">
        <v>-10153294097</v>
      </c>
      <c r="P125" s="211">
        <v>-10153294097</v>
      </c>
      <c r="R125" s="214" t="s">
        <v>191</v>
      </c>
    </row>
    <row r="126" spans="1:19" ht="11.25" customHeight="1" x14ac:dyDescent="0.35">
      <c r="A126" s="214" t="s">
        <v>4635</v>
      </c>
      <c r="C126" s="214" t="s">
        <v>4636</v>
      </c>
      <c r="D126" s="214" t="s">
        <v>4617</v>
      </c>
      <c r="E126" s="211">
        <v>-1265031548</v>
      </c>
      <c r="F126" s="211">
        <v>-1265031548</v>
      </c>
      <c r="G126" s="211">
        <v>-1265031548</v>
      </c>
      <c r="H126" s="211">
        <v>-1265031548</v>
      </c>
      <c r="I126" s="211">
        <v>-1265031548</v>
      </c>
      <c r="J126" s="211">
        <v>-1265031548</v>
      </c>
      <c r="K126" s="211">
        <v>-1265031548</v>
      </c>
      <c r="L126" s="211">
        <v>-1265031548</v>
      </c>
      <c r="M126" s="211">
        <v>-1265031548</v>
      </c>
      <c r="N126" s="211">
        <v>-1265031548</v>
      </c>
      <c r="O126" s="211">
        <v>-1265031548</v>
      </c>
      <c r="P126" s="211">
        <v>-1265031548</v>
      </c>
      <c r="R126" s="214" t="s">
        <v>191</v>
      </c>
    </row>
    <row r="127" spans="1:19" ht="11.25" customHeight="1" x14ac:dyDescent="0.35">
      <c r="A127" s="214" t="s">
        <v>4637</v>
      </c>
      <c r="C127" s="214" t="s">
        <v>4638</v>
      </c>
      <c r="D127" s="214" t="s">
        <v>4617</v>
      </c>
      <c r="E127" s="211">
        <v>-170619997.66999999</v>
      </c>
      <c r="F127" s="211">
        <v>-170619997.66999999</v>
      </c>
      <c r="G127" s="211">
        <v>-170619997.66999999</v>
      </c>
      <c r="H127" s="211">
        <v>-170619997.66999999</v>
      </c>
      <c r="I127" s="211">
        <v>-170619997.66999999</v>
      </c>
      <c r="J127" s="211">
        <v>-170619997.66999999</v>
      </c>
      <c r="K127" s="211">
        <v>-170619997.66999999</v>
      </c>
      <c r="L127" s="211">
        <v>-170619997.66999999</v>
      </c>
      <c r="M127" s="211">
        <v>-170619997.66999999</v>
      </c>
      <c r="N127" s="211">
        <v>-170619997.66999999</v>
      </c>
      <c r="O127" s="211">
        <v>-170619997.66999999</v>
      </c>
      <c r="P127" s="211">
        <v>-170619997.66999999</v>
      </c>
      <c r="R127" s="214" t="s">
        <v>189</v>
      </c>
    </row>
    <row r="128" spans="1:19" ht="11.25" customHeight="1" x14ac:dyDescent="0.35">
      <c r="A128" s="214" t="s">
        <v>4639</v>
      </c>
      <c r="C128" s="214" t="s">
        <v>4640</v>
      </c>
      <c r="D128" s="214" t="s">
        <v>4617</v>
      </c>
      <c r="E128" s="211">
        <v>-584926817.19000006</v>
      </c>
      <c r="F128" s="211">
        <v>-584926817.19000006</v>
      </c>
      <c r="G128" s="211">
        <v>-584926817.19000006</v>
      </c>
      <c r="H128" s="211">
        <v>-584926817.19000006</v>
      </c>
      <c r="I128" s="211">
        <v>-584926817.19000006</v>
      </c>
      <c r="J128" s="211">
        <v>-584926817.19000006</v>
      </c>
      <c r="K128" s="211">
        <v>-584926817.19000006</v>
      </c>
      <c r="L128" s="211">
        <v>-584926817.19000006</v>
      </c>
      <c r="M128" s="211">
        <v>-584926817.19000006</v>
      </c>
      <c r="N128" s="211">
        <v>-584926817.19000006</v>
      </c>
      <c r="O128" s="211">
        <v>-584926817.19000006</v>
      </c>
      <c r="P128" s="211">
        <v>-584926817.19000006</v>
      </c>
      <c r="R128" s="214" t="s">
        <v>188</v>
      </c>
    </row>
    <row r="129" spans="1:18" ht="11.25" customHeight="1" x14ac:dyDescent="0.35">
      <c r="A129" s="214" t="s">
        <v>4641</v>
      </c>
      <c r="C129" s="214" t="s">
        <v>4642</v>
      </c>
      <c r="D129" s="214" t="s">
        <v>4617</v>
      </c>
      <c r="E129" s="211">
        <v>-333879397.36000001</v>
      </c>
      <c r="F129" s="211">
        <v>-333879397.36000001</v>
      </c>
      <c r="G129" s="211">
        <v>-333879397.36000001</v>
      </c>
      <c r="H129" s="211">
        <v>-333879397.36000001</v>
      </c>
      <c r="I129" s="211">
        <v>-333879397.36000001</v>
      </c>
      <c r="J129" s="211">
        <v>-333879397.36000001</v>
      </c>
      <c r="K129" s="211">
        <v>-333879397.36000001</v>
      </c>
      <c r="L129" s="211">
        <v>-333879397.36000001</v>
      </c>
      <c r="M129" s="211">
        <v>-333879397.36000001</v>
      </c>
      <c r="N129" s="211">
        <v>-333879397.36000001</v>
      </c>
      <c r="O129" s="211">
        <v>-333879397.36000001</v>
      </c>
      <c r="P129" s="211">
        <v>-333879397.36000001</v>
      </c>
      <c r="R129" s="214" t="s">
        <v>188</v>
      </c>
    </row>
    <row r="130" spans="1:18" ht="11.25" customHeight="1" x14ac:dyDescent="0.35">
      <c r="A130" s="214" t="s">
        <v>4643</v>
      </c>
      <c r="C130" s="214" t="s">
        <v>4644</v>
      </c>
      <c r="D130" s="214" t="s">
        <v>4617</v>
      </c>
      <c r="E130" s="211">
        <v>-5550297934.0500002</v>
      </c>
      <c r="F130" s="211">
        <v>-5550297934.0500002</v>
      </c>
      <c r="G130" s="211">
        <v>-5550297934.0500002</v>
      </c>
      <c r="H130" s="211">
        <v>-5550297934.0500002</v>
      </c>
      <c r="I130" s="211">
        <v>-5550297934.0500002</v>
      </c>
      <c r="J130" s="211">
        <v>-5550297934.0500002</v>
      </c>
      <c r="K130" s="211">
        <v>-5550297934.0500002</v>
      </c>
      <c r="L130" s="211">
        <v>-5550297934.0500002</v>
      </c>
      <c r="M130" s="211">
        <v>-5550297934.0500002</v>
      </c>
      <c r="N130" s="211">
        <v>-5550297934.0500002</v>
      </c>
      <c r="O130" s="211">
        <v>-5550297934.0500002</v>
      </c>
      <c r="P130" s="211">
        <v>-5550297934.0500002</v>
      </c>
      <c r="R130" s="214" t="s">
        <v>187</v>
      </c>
    </row>
    <row r="131" spans="1:18" ht="11.25" customHeight="1" x14ac:dyDescent="0.35">
      <c r="A131" s="214"/>
      <c r="C131" s="215" t="s">
        <v>4645</v>
      </c>
      <c r="D131" s="215"/>
      <c r="E131" s="221">
        <f t="shared" ref="E131:P131" si="6">SUM(E111:E130)</f>
        <v>-32430936876.099968</v>
      </c>
      <c r="F131" s="221">
        <f t="shared" si="6"/>
        <v>-32743850160.979969</v>
      </c>
      <c r="G131" s="221">
        <f t="shared" si="6"/>
        <v>-33049832255.28997</v>
      </c>
      <c r="H131" s="221">
        <f t="shared" si="6"/>
        <v>-33352903185.029968</v>
      </c>
      <c r="I131" s="221">
        <f t="shared" si="6"/>
        <v>-33048254700.10997</v>
      </c>
      <c r="J131" s="221">
        <f t="shared" si="6"/>
        <v>-33358698326.449966</v>
      </c>
      <c r="K131" s="221">
        <f t="shared" si="6"/>
        <v>-33669772378.989967</v>
      </c>
      <c r="L131" s="221">
        <f t="shared" si="6"/>
        <v>-33982257259.999966</v>
      </c>
      <c r="M131" s="221">
        <f t="shared" si="6"/>
        <v>-33982257259.999966</v>
      </c>
      <c r="N131" s="221">
        <f t="shared" si="6"/>
        <v>-33982257259.999966</v>
      </c>
      <c r="O131" s="221">
        <f t="shared" si="6"/>
        <v>-33982257259.999966</v>
      </c>
      <c r="P131" s="221">
        <f t="shared" si="6"/>
        <v>-33982257259.999966</v>
      </c>
    </row>
    <row r="132" spans="1:18" ht="11.25" customHeight="1" x14ac:dyDescent="0.35">
      <c r="A132" s="214"/>
      <c r="C132" s="215" t="s">
        <v>4646</v>
      </c>
      <c r="D132" s="215"/>
      <c r="E132" s="218">
        <f t="shared" ref="E132:P132" si="7">E108+E131</f>
        <v>21043142947.010033</v>
      </c>
      <c r="F132" s="218">
        <f t="shared" si="7"/>
        <v>21172167736.860043</v>
      </c>
      <c r="G132" s="218">
        <f t="shared" si="7"/>
        <v>20933387459.860039</v>
      </c>
      <c r="H132" s="218">
        <f t="shared" si="7"/>
        <v>20631534630.120041</v>
      </c>
      <c r="I132" s="218">
        <f t="shared" si="7"/>
        <v>20981197438.040039</v>
      </c>
      <c r="J132" s="218">
        <f t="shared" si="7"/>
        <v>20681819104.700043</v>
      </c>
      <c r="K132" s="218">
        <f t="shared" si="7"/>
        <v>20409781087.160042</v>
      </c>
      <c r="L132" s="218">
        <f t="shared" si="7"/>
        <v>20255289045.069042</v>
      </c>
      <c r="M132" s="218">
        <f t="shared" si="7"/>
        <v>20255289045.05904</v>
      </c>
      <c r="N132" s="218">
        <f t="shared" si="7"/>
        <v>20255289043.400043</v>
      </c>
      <c r="O132" s="218">
        <f t="shared" si="7"/>
        <v>20255289043.400043</v>
      </c>
      <c r="P132" s="218">
        <f t="shared" si="7"/>
        <v>20255289043.400043</v>
      </c>
    </row>
    <row r="133" spans="1:18" ht="11.25" customHeight="1" x14ac:dyDescent="0.35">
      <c r="A133" s="214"/>
      <c r="C133" s="215" t="s">
        <v>4647</v>
      </c>
      <c r="D133" s="215"/>
      <c r="E133" s="211"/>
      <c r="F133" s="211"/>
      <c r="G133" s="211"/>
      <c r="H133" s="211"/>
      <c r="I133" s="211"/>
      <c r="J133" s="211"/>
      <c r="K133" s="211"/>
      <c r="L133" s="211"/>
      <c r="M133" s="211"/>
      <c r="N133" s="211"/>
      <c r="O133" s="211"/>
      <c r="P133" s="211"/>
    </row>
    <row r="134" spans="1:18" ht="11.25" customHeight="1" x14ac:dyDescent="0.35">
      <c r="A134" s="214"/>
      <c r="C134" s="215" t="s">
        <v>4648</v>
      </c>
      <c r="D134" s="215"/>
      <c r="E134" s="211">
        <v>0</v>
      </c>
      <c r="F134" s="211">
        <v>0</v>
      </c>
      <c r="G134" s="211">
        <v>0</v>
      </c>
      <c r="H134" s="211">
        <v>0</v>
      </c>
      <c r="I134" s="211">
        <v>0</v>
      </c>
      <c r="J134" s="211">
        <v>0</v>
      </c>
      <c r="K134" s="211">
        <v>0</v>
      </c>
      <c r="L134" s="211">
        <v>0</v>
      </c>
      <c r="M134" s="211">
        <v>0</v>
      </c>
      <c r="N134" s="211">
        <v>0</v>
      </c>
      <c r="O134" s="211">
        <v>0</v>
      </c>
      <c r="P134" s="211">
        <v>0</v>
      </c>
    </row>
    <row r="135" spans="1:18" ht="11.25" customHeight="1" x14ac:dyDescent="0.35">
      <c r="A135" s="214"/>
      <c r="C135" s="215" t="s">
        <v>4649</v>
      </c>
      <c r="D135" s="215"/>
      <c r="E135" s="218">
        <f t="shared" ref="E135:P135" si="8">E84+E132</f>
        <v>42084155825.429977</v>
      </c>
      <c r="F135" s="218">
        <f t="shared" si="8"/>
        <v>43033809257.909996</v>
      </c>
      <c r="G135" s="218">
        <f t="shared" si="8"/>
        <v>40877047815.62999</v>
      </c>
      <c r="H135" s="218">
        <f t="shared" si="8"/>
        <v>41544727564.109978</v>
      </c>
      <c r="I135" s="218">
        <f t="shared" si="8"/>
        <v>42961910108.569977</v>
      </c>
      <c r="J135" s="218">
        <f t="shared" si="8"/>
        <v>53004102525.429962</v>
      </c>
      <c r="K135" s="218">
        <f t="shared" si="8"/>
        <v>42650489684.42997</v>
      </c>
      <c r="L135" s="218">
        <f t="shared" si="8"/>
        <v>45065117884.848976</v>
      </c>
      <c r="M135" s="218">
        <f t="shared" si="8"/>
        <v>43565117884.838974</v>
      </c>
      <c r="N135" s="218">
        <f t="shared" si="8"/>
        <v>43565117883.179977</v>
      </c>
      <c r="O135" s="218">
        <f t="shared" si="8"/>
        <v>43565117883.179977</v>
      </c>
      <c r="P135" s="218">
        <f t="shared" si="8"/>
        <v>43565117883.179977</v>
      </c>
    </row>
    <row r="136" spans="1:18" ht="11.25" customHeight="1" x14ac:dyDescent="0.35">
      <c r="A136" s="214"/>
      <c r="C136" s="215" t="s">
        <v>4650</v>
      </c>
      <c r="D136" s="215"/>
      <c r="E136" s="211">
        <f>E135-'BMG Business Plan'!L226*10^6</f>
        <v>-7.0037841796875E-2</v>
      </c>
      <c r="F136" s="211"/>
      <c r="G136" s="211"/>
      <c r="H136" s="211"/>
      <c r="I136" s="211"/>
      <c r="J136" s="211"/>
      <c r="K136" s="211"/>
      <c r="L136" s="211"/>
      <c r="M136" s="211"/>
      <c r="N136" s="211"/>
      <c r="O136" s="211"/>
      <c r="P136" s="211"/>
    </row>
    <row r="137" spans="1:18" ht="11.25" customHeight="1" x14ac:dyDescent="0.35">
      <c r="A137" s="214"/>
      <c r="C137" s="215" t="s">
        <v>4651</v>
      </c>
      <c r="D137" s="215"/>
      <c r="E137" s="211"/>
      <c r="F137" s="211"/>
      <c r="G137" s="211"/>
      <c r="H137" s="211"/>
      <c r="I137" s="211"/>
      <c r="J137" s="211"/>
      <c r="K137" s="211"/>
      <c r="L137" s="211"/>
      <c r="M137" s="211"/>
      <c r="N137" s="211"/>
      <c r="O137" s="211"/>
      <c r="P137" s="211"/>
    </row>
    <row r="138" spans="1:18" ht="11.25" customHeight="1" x14ac:dyDescent="0.35">
      <c r="A138" s="214"/>
      <c r="C138" s="215" t="s">
        <v>4652</v>
      </c>
      <c r="D138" s="215"/>
      <c r="E138" s="211"/>
      <c r="F138" s="211"/>
      <c r="G138" s="211"/>
      <c r="H138" s="211"/>
      <c r="I138" s="211"/>
      <c r="J138" s="211"/>
      <c r="K138" s="211"/>
      <c r="L138" s="211"/>
      <c r="M138" s="211"/>
      <c r="N138" s="211"/>
      <c r="O138" s="211"/>
      <c r="P138" s="211"/>
    </row>
    <row r="139" spans="1:18" ht="11.25" customHeight="1" x14ac:dyDescent="0.35">
      <c r="A139" s="214"/>
      <c r="C139" s="215" t="s">
        <v>4653</v>
      </c>
      <c r="D139" s="215"/>
      <c r="E139" s="211"/>
      <c r="F139" s="211"/>
      <c r="G139" s="211"/>
      <c r="H139" s="211"/>
      <c r="I139" s="211"/>
      <c r="J139" s="211"/>
      <c r="K139" s="211"/>
      <c r="L139" s="211"/>
      <c r="M139" s="211"/>
      <c r="N139" s="211"/>
      <c r="O139" s="211"/>
      <c r="P139" s="211"/>
    </row>
    <row r="140" spans="1:18" ht="11.25" customHeight="1" x14ac:dyDescent="0.35">
      <c r="A140" s="214">
        <v>2101</v>
      </c>
      <c r="C140" s="215" t="s">
        <v>4654</v>
      </c>
      <c r="D140" s="215"/>
      <c r="E140" s="211">
        <v>0</v>
      </c>
      <c r="F140" s="211">
        <v>0</v>
      </c>
      <c r="G140" s="211">
        <v>0</v>
      </c>
      <c r="H140" s="211">
        <v>0</v>
      </c>
      <c r="I140" s="211">
        <v>0</v>
      </c>
      <c r="J140" s="211">
        <v>0</v>
      </c>
      <c r="K140" s="211">
        <v>0</v>
      </c>
      <c r="L140" s="211">
        <v>0</v>
      </c>
      <c r="M140" s="211">
        <v>0</v>
      </c>
      <c r="N140" s="211">
        <v>0</v>
      </c>
      <c r="O140" s="211">
        <v>0</v>
      </c>
      <c r="P140" s="211">
        <v>0</v>
      </c>
    </row>
    <row r="141" spans="1:18" ht="11.25" customHeight="1" x14ac:dyDescent="0.35">
      <c r="A141" s="214" t="s">
        <v>4655</v>
      </c>
      <c r="C141" s="214" t="s">
        <v>4656</v>
      </c>
      <c r="D141" s="214" t="s">
        <v>4657</v>
      </c>
      <c r="E141" s="211">
        <v>3662055681.3400002</v>
      </c>
      <c r="F141" s="211">
        <v>3815904374.25</v>
      </c>
      <c r="G141" s="211">
        <v>2588109895.6100001</v>
      </c>
      <c r="H141" s="211">
        <v>3069878814.4000001</v>
      </c>
      <c r="I141" s="211">
        <v>3808978724.1799998</v>
      </c>
      <c r="J141" s="211">
        <v>3458055791.8800001</v>
      </c>
      <c r="K141" s="211">
        <v>2721732357.75</v>
      </c>
      <c r="L141" s="211">
        <v>3718790908.6500001</v>
      </c>
      <c r="M141" s="211">
        <v>3718790908.6500001</v>
      </c>
      <c r="N141" s="211">
        <v>3718790908.6500001</v>
      </c>
      <c r="O141" s="211">
        <v>3718790908.6500001</v>
      </c>
      <c r="P141" s="211">
        <v>3718790908.6500001</v>
      </c>
      <c r="R141" s="214" t="s">
        <v>198</v>
      </c>
    </row>
    <row r="142" spans="1:18" ht="11.25" customHeight="1" x14ac:dyDescent="0.35">
      <c r="A142" s="214" t="s">
        <v>4658</v>
      </c>
      <c r="C142" s="214" t="s">
        <v>4659</v>
      </c>
      <c r="D142" s="214" t="s">
        <v>4660</v>
      </c>
      <c r="E142" s="211">
        <v>0</v>
      </c>
      <c r="F142" s="211">
        <v>0</v>
      </c>
      <c r="G142" s="211">
        <v>0</v>
      </c>
      <c r="H142" s="211">
        <v>0</v>
      </c>
      <c r="I142" s="211">
        <v>0</v>
      </c>
      <c r="J142" s="211">
        <v>0</v>
      </c>
      <c r="K142" s="211">
        <v>0</v>
      </c>
      <c r="L142" s="211">
        <v>0</v>
      </c>
      <c r="M142" s="211">
        <v>0</v>
      </c>
      <c r="N142" s="211">
        <v>0</v>
      </c>
      <c r="O142" s="211">
        <v>0</v>
      </c>
      <c r="P142" s="211">
        <v>0</v>
      </c>
      <c r="R142" s="214">
        <v>0</v>
      </c>
    </row>
    <row r="143" spans="1:18" ht="11.25" customHeight="1" x14ac:dyDescent="0.35">
      <c r="A143" s="214" t="s">
        <v>4661</v>
      </c>
      <c r="C143" s="214" t="s">
        <v>4662</v>
      </c>
      <c r="D143" s="214" t="s">
        <v>4663</v>
      </c>
      <c r="E143" s="211">
        <v>711584288.54999995</v>
      </c>
      <c r="F143" s="211">
        <v>596602032.10000002</v>
      </c>
      <c r="G143" s="211">
        <v>427073601.75</v>
      </c>
      <c r="H143" s="211">
        <v>584535256.62</v>
      </c>
      <c r="I143" s="211">
        <v>572432910.82000005</v>
      </c>
      <c r="J143" s="211">
        <v>447728547.36000001</v>
      </c>
      <c r="K143" s="211">
        <v>460005453.86000001</v>
      </c>
      <c r="L143" s="211">
        <v>529287263.02999997</v>
      </c>
      <c r="M143" s="211">
        <v>529287263.02999997</v>
      </c>
      <c r="N143" s="211">
        <v>529287263.02999997</v>
      </c>
      <c r="O143" s="211">
        <v>529287263.02999997</v>
      </c>
      <c r="P143" s="211">
        <v>529287263.02999997</v>
      </c>
      <c r="R143" s="214" t="s">
        <v>201</v>
      </c>
    </row>
    <row r="144" spans="1:18" ht="11.25" customHeight="1" x14ac:dyDescent="0.35">
      <c r="A144" s="214" t="s">
        <v>4664</v>
      </c>
      <c r="C144" s="214" t="s">
        <v>4665</v>
      </c>
      <c r="D144" s="214" t="s">
        <v>4666</v>
      </c>
      <c r="E144" s="211">
        <v>1765412</v>
      </c>
      <c r="F144" s="211">
        <v>497693</v>
      </c>
      <c r="G144" s="211">
        <v>31904137.25</v>
      </c>
      <c r="H144" s="211">
        <v>-6584</v>
      </c>
      <c r="I144" s="211">
        <v>-6584</v>
      </c>
      <c r="J144" s="211">
        <v>-6584</v>
      </c>
      <c r="K144" s="211">
        <v>3254616</v>
      </c>
      <c r="L144" s="211">
        <v>0</v>
      </c>
      <c r="M144" s="211">
        <v>0</v>
      </c>
      <c r="N144" s="211">
        <v>0</v>
      </c>
      <c r="O144" s="211">
        <v>0</v>
      </c>
      <c r="P144" s="211">
        <v>0</v>
      </c>
      <c r="R144" s="214" t="s">
        <v>202</v>
      </c>
    </row>
    <row r="145" spans="1:18" ht="11.25" customHeight="1" x14ac:dyDescent="0.35">
      <c r="A145" s="214" t="s">
        <v>4667</v>
      </c>
      <c r="C145" s="214" t="s">
        <v>4668</v>
      </c>
      <c r="D145" s="214" t="s">
        <v>4669</v>
      </c>
      <c r="E145" s="211">
        <v>200000.000000114</v>
      </c>
      <c r="F145" s="211">
        <v>167100.000000114</v>
      </c>
      <c r="G145" s="211">
        <v>167100.000000114</v>
      </c>
      <c r="H145" s="211">
        <v>167100.000000114</v>
      </c>
      <c r="I145" s="211">
        <v>424914.00000011403</v>
      </c>
      <c r="J145" s="211">
        <v>424914.00000011403</v>
      </c>
      <c r="K145" s="211">
        <v>424914.00000011403</v>
      </c>
      <c r="L145" s="211">
        <v>424914.00000011403</v>
      </c>
      <c r="M145" s="211">
        <v>424914.00000011403</v>
      </c>
      <c r="N145" s="211">
        <v>424914.00000011403</v>
      </c>
      <c r="O145" s="211">
        <v>424914.00000011403</v>
      </c>
      <c r="P145" s="211">
        <v>424914.00000011403</v>
      </c>
      <c r="R145" s="214" t="s">
        <v>210</v>
      </c>
    </row>
    <row r="146" spans="1:18" ht="11.25" customHeight="1" x14ac:dyDescent="0.35">
      <c r="A146" s="214" t="s">
        <v>4670</v>
      </c>
      <c r="C146" s="214" t="s">
        <v>4671</v>
      </c>
      <c r="D146" s="214" t="s">
        <v>4669</v>
      </c>
      <c r="E146" s="211">
        <v>792222</v>
      </c>
      <c r="F146" s="211">
        <v>792222</v>
      </c>
      <c r="G146" s="211">
        <v>792222</v>
      </c>
      <c r="H146" s="211">
        <v>792222</v>
      </c>
      <c r="I146" s="211">
        <v>792222</v>
      </c>
      <c r="J146" s="211">
        <v>792222</v>
      </c>
      <c r="K146" s="211">
        <v>792222</v>
      </c>
      <c r="L146" s="211">
        <v>792222</v>
      </c>
      <c r="M146" s="211">
        <v>792222</v>
      </c>
      <c r="N146" s="211">
        <v>792222</v>
      </c>
      <c r="O146" s="211">
        <v>792222</v>
      </c>
      <c r="P146" s="211">
        <v>792222</v>
      </c>
      <c r="R146" s="214" t="s">
        <v>201</v>
      </c>
    </row>
    <row r="147" spans="1:18" ht="11.25" customHeight="1" x14ac:dyDescent="0.35">
      <c r="A147" s="214" t="s">
        <v>4672</v>
      </c>
      <c r="C147" s="214" t="s">
        <v>4673</v>
      </c>
      <c r="D147" s="214" t="s">
        <v>4674</v>
      </c>
      <c r="E147" s="211">
        <v>0</v>
      </c>
      <c r="F147" s="211">
        <v>0</v>
      </c>
      <c r="G147" s="211">
        <v>0</v>
      </c>
      <c r="H147" s="211">
        <v>0</v>
      </c>
      <c r="I147" s="211">
        <v>0</v>
      </c>
      <c r="J147" s="211">
        <v>0</v>
      </c>
      <c r="K147" s="211">
        <v>0</v>
      </c>
      <c r="L147" s="211">
        <v>0</v>
      </c>
      <c r="M147" s="211">
        <v>0</v>
      </c>
      <c r="N147" s="211">
        <v>0</v>
      </c>
      <c r="O147" s="211">
        <v>0</v>
      </c>
      <c r="P147" s="211">
        <v>0</v>
      </c>
      <c r="R147" s="214">
        <v>0</v>
      </c>
    </row>
    <row r="148" spans="1:18" ht="11.25" customHeight="1" x14ac:dyDescent="0.35">
      <c r="A148" s="214" t="s">
        <v>4675</v>
      </c>
      <c r="C148" s="214" t="s">
        <v>4676</v>
      </c>
      <c r="D148" s="214" t="s">
        <v>4677</v>
      </c>
      <c r="E148" s="211">
        <v>127800000</v>
      </c>
      <c r="F148" s="211">
        <v>127800000</v>
      </c>
      <c r="G148" s="211">
        <v>127800000</v>
      </c>
      <c r="H148" s="211">
        <v>127800000</v>
      </c>
      <c r="I148" s="211">
        <v>127800000</v>
      </c>
      <c r="J148" s="211">
        <v>127800000</v>
      </c>
      <c r="K148" s="211">
        <v>127800000</v>
      </c>
      <c r="L148" s="211">
        <v>0</v>
      </c>
      <c r="M148" s="211">
        <v>0</v>
      </c>
      <c r="N148" s="211">
        <v>0</v>
      </c>
      <c r="O148" s="211">
        <v>0</v>
      </c>
      <c r="P148" s="211">
        <v>0</v>
      </c>
      <c r="R148" s="214" t="s">
        <v>218</v>
      </c>
    </row>
    <row r="149" spans="1:18" ht="11.25" customHeight="1" x14ac:dyDescent="0.35">
      <c r="A149" s="214" t="s">
        <v>4678</v>
      </c>
      <c r="C149" s="214" t="s">
        <v>4679</v>
      </c>
      <c r="D149" s="214" t="s">
        <v>4680</v>
      </c>
      <c r="E149" s="211">
        <v>0</v>
      </c>
      <c r="F149" s="211">
        <v>0</v>
      </c>
      <c r="G149" s="211">
        <v>0</v>
      </c>
      <c r="H149" s="211">
        <v>0</v>
      </c>
      <c r="I149" s="211">
        <v>0</v>
      </c>
      <c r="J149" s="211">
        <v>0</v>
      </c>
      <c r="K149" s="211">
        <v>0</v>
      </c>
      <c r="L149" s="211">
        <v>0</v>
      </c>
      <c r="M149" s="211">
        <v>0</v>
      </c>
      <c r="N149" s="211">
        <v>0</v>
      </c>
      <c r="O149" s="211">
        <v>0</v>
      </c>
      <c r="P149" s="211">
        <v>0</v>
      </c>
      <c r="R149" s="214" t="s">
        <v>4681</v>
      </c>
    </row>
    <row r="150" spans="1:18" ht="11.25" customHeight="1" x14ac:dyDescent="0.35">
      <c r="A150" s="214" t="s">
        <v>4682</v>
      </c>
      <c r="C150" s="214" t="s">
        <v>4683</v>
      </c>
      <c r="D150" s="214" t="s">
        <v>4680</v>
      </c>
      <c r="E150" s="211">
        <v>0</v>
      </c>
      <c r="F150" s="211">
        <v>0</v>
      </c>
      <c r="G150" s="211">
        <v>0</v>
      </c>
      <c r="H150" s="211">
        <v>0</v>
      </c>
      <c r="I150" s="211">
        <v>0</v>
      </c>
      <c r="J150" s="211">
        <v>0</v>
      </c>
      <c r="K150" s="211">
        <v>0</v>
      </c>
      <c r="L150" s="211">
        <v>0</v>
      </c>
      <c r="M150" s="211">
        <v>0</v>
      </c>
      <c r="N150" s="211">
        <v>0</v>
      </c>
      <c r="O150" s="211">
        <v>0</v>
      </c>
      <c r="P150" s="211">
        <v>0</v>
      </c>
      <c r="R150" s="214" t="s">
        <v>4681</v>
      </c>
    </row>
    <row r="151" spans="1:18" ht="11.25" customHeight="1" x14ac:dyDescent="0.35">
      <c r="A151" s="214" t="s">
        <v>4684</v>
      </c>
      <c r="C151" s="214" t="s">
        <v>4685</v>
      </c>
      <c r="D151" s="214" t="s">
        <v>4680</v>
      </c>
      <c r="E151" s="211">
        <v>0</v>
      </c>
      <c r="F151" s="211">
        <v>0</v>
      </c>
      <c r="G151" s="211">
        <v>0</v>
      </c>
      <c r="H151" s="211">
        <v>0</v>
      </c>
      <c r="I151" s="211">
        <v>0</v>
      </c>
      <c r="J151" s="211">
        <v>0</v>
      </c>
      <c r="K151" s="211">
        <v>0</v>
      </c>
      <c r="L151" s="211">
        <v>0</v>
      </c>
      <c r="M151" s="211">
        <v>0</v>
      </c>
      <c r="N151" s="211">
        <v>0</v>
      </c>
      <c r="O151" s="211">
        <v>0</v>
      </c>
      <c r="P151" s="211">
        <v>0</v>
      </c>
      <c r="R151" s="214" t="s">
        <v>4681</v>
      </c>
    </row>
    <row r="152" spans="1:18" ht="11.25" customHeight="1" x14ac:dyDescent="0.35">
      <c r="A152" s="214" t="s">
        <v>4686</v>
      </c>
      <c r="C152" s="214" t="s">
        <v>4687</v>
      </c>
      <c r="D152" s="214" t="s">
        <v>4680</v>
      </c>
      <c r="E152" s="211">
        <v>0</v>
      </c>
      <c r="F152" s="211">
        <v>0</v>
      </c>
      <c r="G152" s="211">
        <v>0</v>
      </c>
      <c r="H152" s="211">
        <v>0</v>
      </c>
      <c r="I152" s="211">
        <v>0</v>
      </c>
      <c r="J152" s="211">
        <v>0</v>
      </c>
      <c r="K152" s="211">
        <v>0</v>
      </c>
      <c r="L152" s="211">
        <v>0</v>
      </c>
      <c r="M152" s="211">
        <v>0</v>
      </c>
      <c r="N152" s="211">
        <v>0</v>
      </c>
      <c r="O152" s="211">
        <v>0</v>
      </c>
      <c r="P152" s="211">
        <v>0</v>
      </c>
      <c r="R152" s="214" t="s">
        <v>4681</v>
      </c>
    </row>
    <row r="153" spans="1:18" ht="11.25" customHeight="1" x14ac:dyDescent="0.35">
      <c r="A153" s="214" t="s">
        <v>4688</v>
      </c>
      <c r="C153" s="214" t="s">
        <v>4689</v>
      </c>
      <c r="D153" s="214" t="s">
        <v>4663</v>
      </c>
      <c r="E153" s="211">
        <v>0</v>
      </c>
      <c r="F153" s="211">
        <v>0</v>
      </c>
      <c r="G153" s="211">
        <v>0</v>
      </c>
      <c r="H153" s="211">
        <v>0</v>
      </c>
      <c r="I153" s="211">
        <v>0</v>
      </c>
      <c r="J153" s="211">
        <v>0</v>
      </c>
      <c r="K153" s="211">
        <v>0</v>
      </c>
      <c r="L153" s="211">
        <v>0</v>
      </c>
      <c r="M153" s="211">
        <v>0</v>
      </c>
      <c r="N153" s="211">
        <v>0</v>
      </c>
      <c r="O153" s="211">
        <v>0</v>
      </c>
      <c r="P153" s="211">
        <v>0</v>
      </c>
      <c r="R153" s="214" t="s">
        <v>4681</v>
      </c>
    </row>
    <row r="154" spans="1:18" ht="11.25" customHeight="1" x14ac:dyDescent="0.35">
      <c r="A154" s="214" t="s">
        <v>4690</v>
      </c>
      <c r="C154" s="214" t="s">
        <v>4691</v>
      </c>
      <c r="D154" s="214" t="s">
        <v>4692</v>
      </c>
      <c r="E154" s="211">
        <v>0</v>
      </c>
      <c r="F154" s="211">
        <v>0</v>
      </c>
      <c r="G154" s="211">
        <v>0</v>
      </c>
      <c r="H154" s="211">
        <v>17999677</v>
      </c>
      <c r="I154" s="211">
        <v>0</v>
      </c>
      <c r="J154" s="211">
        <v>9994807187</v>
      </c>
      <c r="K154" s="211">
        <v>0</v>
      </c>
      <c r="L154" s="211">
        <v>0</v>
      </c>
      <c r="M154" s="211">
        <v>0</v>
      </c>
      <c r="N154" s="211">
        <v>0</v>
      </c>
      <c r="O154" s="211">
        <v>0</v>
      </c>
      <c r="P154" s="211">
        <v>0</v>
      </c>
      <c r="R154" s="214" t="s">
        <v>196</v>
      </c>
    </row>
    <row r="155" spans="1:18" ht="11.25" customHeight="1" x14ac:dyDescent="0.35">
      <c r="A155" s="214" t="s">
        <v>4693</v>
      </c>
      <c r="C155" s="214" t="s">
        <v>4694</v>
      </c>
      <c r="D155" s="214"/>
      <c r="E155" s="211">
        <v>0</v>
      </c>
      <c r="F155" s="211">
        <v>0</v>
      </c>
      <c r="G155" s="211">
        <v>0</v>
      </c>
      <c r="H155" s="211">
        <v>0</v>
      </c>
      <c r="I155" s="211">
        <v>0</v>
      </c>
      <c r="J155" s="211">
        <v>0</v>
      </c>
      <c r="K155" s="211">
        <v>0</v>
      </c>
      <c r="L155" s="211">
        <v>0</v>
      </c>
      <c r="M155" s="211">
        <v>0</v>
      </c>
      <c r="N155" s="211">
        <v>0</v>
      </c>
      <c r="O155" s="211">
        <v>0</v>
      </c>
      <c r="P155" s="211">
        <v>0</v>
      </c>
      <c r="R155" s="214" t="s">
        <v>4681</v>
      </c>
    </row>
    <row r="156" spans="1:18" ht="11.25" customHeight="1" x14ac:dyDescent="0.35">
      <c r="A156" s="214" t="s">
        <v>4695</v>
      </c>
      <c r="C156" s="214" t="s">
        <v>4696</v>
      </c>
      <c r="D156" s="214" t="s">
        <v>4680</v>
      </c>
      <c r="E156" s="211">
        <v>0</v>
      </c>
      <c r="F156" s="211">
        <v>0</v>
      </c>
      <c r="G156" s="211">
        <v>0</v>
      </c>
      <c r="H156" s="211">
        <v>0</v>
      </c>
      <c r="I156" s="211">
        <v>0</v>
      </c>
      <c r="J156" s="211">
        <v>0</v>
      </c>
      <c r="K156" s="211">
        <v>0</v>
      </c>
      <c r="L156" s="211">
        <v>0</v>
      </c>
      <c r="M156" s="211">
        <v>0</v>
      </c>
      <c r="N156" s="211">
        <v>0</v>
      </c>
      <c r="O156" s="211">
        <v>0</v>
      </c>
      <c r="P156" s="211">
        <v>0</v>
      </c>
      <c r="R156" s="214" t="s">
        <v>4681</v>
      </c>
    </row>
    <row r="157" spans="1:18" ht="11.25" customHeight="1" x14ac:dyDescent="0.35">
      <c r="A157" s="214">
        <v>210102</v>
      </c>
      <c r="C157" s="214" t="s">
        <v>4697</v>
      </c>
      <c r="D157" s="214"/>
      <c r="E157" s="211">
        <v>0</v>
      </c>
      <c r="F157" s="211">
        <v>0</v>
      </c>
      <c r="G157" s="211">
        <v>0</v>
      </c>
      <c r="H157" s="211">
        <v>0</v>
      </c>
      <c r="I157" s="211">
        <v>0</v>
      </c>
      <c r="J157" s="211">
        <v>0</v>
      </c>
      <c r="K157" s="211">
        <v>0</v>
      </c>
      <c r="L157" s="211">
        <v>0</v>
      </c>
      <c r="M157" s="211">
        <v>0</v>
      </c>
      <c r="N157" s="211">
        <v>0</v>
      </c>
      <c r="O157" s="211">
        <v>0</v>
      </c>
      <c r="P157" s="211">
        <v>0</v>
      </c>
      <c r="R157" s="214" t="s">
        <v>4681</v>
      </c>
    </row>
    <row r="158" spans="1:18" ht="11.25" customHeight="1" x14ac:dyDescent="0.35">
      <c r="A158" s="214" t="s">
        <v>4698</v>
      </c>
      <c r="C158" s="214" t="s">
        <v>4699</v>
      </c>
      <c r="D158" s="214"/>
      <c r="E158" s="211">
        <v>0</v>
      </c>
      <c r="F158" s="211">
        <v>0</v>
      </c>
      <c r="G158" s="211">
        <v>0</v>
      </c>
      <c r="H158" s="211">
        <v>0</v>
      </c>
      <c r="I158" s="211">
        <v>0</v>
      </c>
      <c r="J158" s="211">
        <v>0</v>
      </c>
      <c r="K158" s="211">
        <v>0</v>
      </c>
      <c r="L158" s="211">
        <v>0</v>
      </c>
      <c r="M158" s="211">
        <v>0</v>
      </c>
      <c r="N158" s="211">
        <v>0</v>
      </c>
      <c r="O158" s="211">
        <v>0</v>
      </c>
      <c r="P158" s="211">
        <v>0</v>
      </c>
      <c r="R158" s="214" t="s">
        <v>4681</v>
      </c>
    </row>
    <row r="159" spans="1:18" ht="11.25" customHeight="1" x14ac:dyDescent="0.35">
      <c r="A159" s="214" t="s">
        <v>4700</v>
      </c>
      <c r="C159" s="214" t="s">
        <v>4701</v>
      </c>
      <c r="D159" s="214"/>
      <c r="E159" s="211">
        <v>0</v>
      </c>
      <c r="F159" s="211">
        <v>0</v>
      </c>
      <c r="G159" s="211">
        <v>0</v>
      </c>
      <c r="H159" s="211">
        <v>0</v>
      </c>
      <c r="I159" s="211">
        <v>0</v>
      </c>
      <c r="J159" s="211">
        <v>0</v>
      </c>
      <c r="K159" s="211">
        <v>0</v>
      </c>
      <c r="L159" s="211">
        <v>0</v>
      </c>
      <c r="M159" s="211">
        <v>0</v>
      </c>
      <c r="N159" s="211">
        <v>0</v>
      </c>
      <c r="O159" s="211">
        <v>0</v>
      </c>
      <c r="P159" s="211">
        <v>0</v>
      </c>
      <c r="R159" s="214" t="s">
        <v>4681</v>
      </c>
    </row>
    <row r="160" spans="1:18" ht="11.25" customHeight="1" x14ac:dyDescent="0.35">
      <c r="A160" s="214" t="s">
        <v>4702</v>
      </c>
      <c r="C160" s="214" t="s">
        <v>4703</v>
      </c>
      <c r="D160" s="214" t="s">
        <v>4704</v>
      </c>
      <c r="E160" s="211">
        <v>0</v>
      </c>
      <c r="F160" s="211">
        <v>0</v>
      </c>
      <c r="G160" s="211">
        <v>0</v>
      </c>
      <c r="H160" s="211">
        <v>0</v>
      </c>
      <c r="I160" s="211">
        <v>0</v>
      </c>
      <c r="J160" s="211">
        <v>0</v>
      </c>
      <c r="K160" s="211">
        <v>0</v>
      </c>
      <c r="L160" s="211">
        <v>0</v>
      </c>
      <c r="M160" s="211">
        <v>0</v>
      </c>
      <c r="N160" s="211">
        <v>0</v>
      </c>
      <c r="O160" s="211">
        <v>0</v>
      </c>
      <c r="P160" s="211">
        <v>0</v>
      </c>
      <c r="R160" s="214" t="s">
        <v>4681</v>
      </c>
    </row>
    <row r="161" spans="1:18" ht="11.25" customHeight="1" x14ac:dyDescent="0.35">
      <c r="A161" s="214"/>
      <c r="C161" s="215" t="s">
        <v>4705</v>
      </c>
      <c r="D161" s="215"/>
      <c r="E161" s="218">
        <f t="shared" ref="E161:P161" si="9">SUM(E141:E160)</f>
        <v>4504197603.8900003</v>
      </c>
      <c r="F161" s="218">
        <f t="shared" si="9"/>
        <v>4541763421.3500004</v>
      </c>
      <c r="G161" s="218">
        <f t="shared" si="9"/>
        <v>3175846956.6100001</v>
      </c>
      <c r="H161" s="218">
        <f t="shared" si="9"/>
        <v>3801166486.02</v>
      </c>
      <c r="I161" s="218">
        <f t="shared" si="9"/>
        <v>4510422187</v>
      </c>
      <c r="J161" s="218">
        <f t="shared" si="9"/>
        <v>14029602078.24</v>
      </c>
      <c r="K161" s="218">
        <f t="shared" si="9"/>
        <v>3314009563.6100001</v>
      </c>
      <c r="L161" s="218">
        <f t="shared" si="9"/>
        <v>4249295307.6800003</v>
      </c>
      <c r="M161" s="218">
        <f t="shared" si="9"/>
        <v>4249295307.6800003</v>
      </c>
      <c r="N161" s="218">
        <f t="shared" si="9"/>
        <v>4249295307.6800003</v>
      </c>
      <c r="O161" s="218">
        <f t="shared" si="9"/>
        <v>4249295307.6800003</v>
      </c>
      <c r="P161" s="218">
        <f t="shared" si="9"/>
        <v>4249295307.6800003</v>
      </c>
    </row>
    <row r="162" spans="1:18" ht="11.25" customHeight="1" x14ac:dyDescent="0.35">
      <c r="A162" s="214"/>
      <c r="C162" s="215" t="s">
        <v>4706</v>
      </c>
      <c r="D162" s="215"/>
      <c r="E162" s="211"/>
      <c r="F162" s="211"/>
      <c r="G162" s="211"/>
      <c r="H162" s="211"/>
      <c r="I162" s="211"/>
      <c r="J162" s="211"/>
      <c r="K162" s="211"/>
      <c r="L162" s="211"/>
      <c r="M162" s="211"/>
      <c r="N162" s="211"/>
      <c r="O162" s="211"/>
      <c r="P162" s="211"/>
    </row>
    <row r="163" spans="1:18" ht="11.25" customHeight="1" x14ac:dyDescent="0.35">
      <c r="A163" s="214">
        <v>2102</v>
      </c>
      <c r="C163" s="215" t="s">
        <v>4707</v>
      </c>
      <c r="D163" s="215"/>
      <c r="E163" s="211">
        <v>0</v>
      </c>
      <c r="F163" s="211">
        <v>0</v>
      </c>
      <c r="G163" s="211">
        <v>0</v>
      </c>
      <c r="H163" s="211">
        <v>0</v>
      </c>
      <c r="I163" s="211">
        <v>0</v>
      </c>
      <c r="J163" s="211">
        <v>0</v>
      </c>
      <c r="K163" s="211">
        <v>0</v>
      </c>
      <c r="L163" s="211">
        <v>0</v>
      </c>
      <c r="M163" s="211">
        <v>0</v>
      </c>
      <c r="N163" s="211">
        <v>0</v>
      </c>
      <c r="O163" s="211">
        <v>0</v>
      </c>
      <c r="P163" s="211">
        <v>0</v>
      </c>
    </row>
    <row r="164" spans="1:18" ht="11.25" customHeight="1" x14ac:dyDescent="0.35">
      <c r="A164" s="214" t="s">
        <v>4708</v>
      </c>
      <c r="C164" s="214" t="s">
        <v>4709</v>
      </c>
      <c r="D164" s="214" t="s">
        <v>4710</v>
      </c>
      <c r="E164" s="211">
        <v>5160862.75</v>
      </c>
      <c r="F164" s="211">
        <v>20819553.25</v>
      </c>
      <c r="G164" s="211">
        <v>192078009</v>
      </c>
      <c r="H164" s="211">
        <v>10499381</v>
      </c>
      <c r="I164" s="211">
        <v>13088140</v>
      </c>
      <c r="J164" s="211">
        <v>10894770</v>
      </c>
      <c r="K164" s="211">
        <v>11156441</v>
      </c>
      <c r="L164" s="211">
        <v>11335889</v>
      </c>
      <c r="M164" s="211">
        <v>11335889</v>
      </c>
      <c r="N164" s="211">
        <v>11335889</v>
      </c>
      <c r="O164" s="211">
        <v>11335889</v>
      </c>
      <c r="P164" s="211">
        <v>11335889</v>
      </c>
      <c r="R164" s="214" t="s">
        <v>204</v>
      </c>
    </row>
    <row r="165" spans="1:18" ht="11.25" customHeight="1" x14ac:dyDescent="0.35">
      <c r="A165" s="214" t="s">
        <v>4711</v>
      </c>
      <c r="C165" s="214" t="s">
        <v>4712</v>
      </c>
      <c r="D165" s="214" t="s">
        <v>4710</v>
      </c>
      <c r="E165" s="211">
        <v>5652849.1999999601</v>
      </c>
      <c r="F165" s="211">
        <v>5338951.5799999498</v>
      </c>
      <c r="G165" s="211">
        <v>3975605.4699999499</v>
      </c>
      <c r="H165" s="211">
        <v>4664914.5199999502</v>
      </c>
      <c r="I165" s="211">
        <v>5735677.5299999397</v>
      </c>
      <c r="J165" s="211">
        <v>7071259.2499999404</v>
      </c>
      <c r="K165" s="211">
        <v>7129092.58999993</v>
      </c>
      <c r="L165" s="211">
        <v>8748235.4399999306</v>
      </c>
      <c r="M165" s="211">
        <v>8748235.4399999306</v>
      </c>
      <c r="N165" s="211">
        <v>8748235.4399999306</v>
      </c>
      <c r="O165" s="211">
        <v>8748235.4399999306</v>
      </c>
      <c r="P165" s="211">
        <v>8748235.4399999306</v>
      </c>
      <c r="R165" s="214" t="s">
        <v>205</v>
      </c>
    </row>
    <row r="166" spans="1:18" ht="11.25" customHeight="1" x14ac:dyDescent="0.35">
      <c r="A166" s="214" t="s">
        <v>4713</v>
      </c>
      <c r="C166" s="214" t="s">
        <v>4714</v>
      </c>
      <c r="D166" s="214" t="s">
        <v>4710</v>
      </c>
      <c r="E166" s="211">
        <v>5285945.8600000003</v>
      </c>
      <c r="F166" s="211">
        <v>4923147.24</v>
      </c>
      <c r="G166" s="211">
        <v>4187567.68</v>
      </c>
      <c r="H166" s="211">
        <v>5227736.82</v>
      </c>
      <c r="I166" s="211">
        <v>5824117.4900000002</v>
      </c>
      <c r="J166" s="211">
        <v>5663305.1900000004</v>
      </c>
      <c r="K166" s="211">
        <v>6152295.4900000002</v>
      </c>
      <c r="L166" s="211">
        <v>5110680.03</v>
      </c>
      <c r="M166" s="211">
        <v>5110680.03</v>
      </c>
      <c r="N166" s="211">
        <v>5110680.03</v>
      </c>
      <c r="O166" s="211">
        <v>5110680.03</v>
      </c>
      <c r="P166" s="211">
        <v>5110680.03</v>
      </c>
      <c r="R166" s="214" t="s">
        <v>206</v>
      </c>
    </row>
    <row r="167" spans="1:18" ht="11.25" customHeight="1" x14ac:dyDescent="0.35">
      <c r="A167" s="214" t="s">
        <v>4715</v>
      </c>
      <c r="C167" s="214" t="s">
        <v>4716</v>
      </c>
      <c r="D167" s="214" t="s">
        <v>4710</v>
      </c>
      <c r="E167" s="211">
        <v>267620818</v>
      </c>
      <c r="F167" s="211">
        <v>267620818</v>
      </c>
      <c r="G167" s="211">
        <v>267620818</v>
      </c>
      <c r="H167" s="211">
        <v>160454423</v>
      </c>
      <c r="I167" s="211">
        <v>160454423</v>
      </c>
      <c r="J167" s="211">
        <v>0</v>
      </c>
      <c r="K167" s="211">
        <v>119605770</v>
      </c>
      <c r="L167" s="211">
        <v>160454423</v>
      </c>
      <c r="M167" s="211">
        <v>160454423</v>
      </c>
      <c r="N167" s="211">
        <v>160454423</v>
      </c>
      <c r="O167" s="211">
        <v>160454423</v>
      </c>
      <c r="P167" s="211">
        <v>160454423</v>
      </c>
      <c r="R167" s="214" t="s">
        <v>207</v>
      </c>
    </row>
    <row r="168" spans="1:18" ht="11.25" customHeight="1" x14ac:dyDescent="0.35">
      <c r="A168" s="214" t="s">
        <v>4717</v>
      </c>
      <c r="C168" s="214" t="s">
        <v>4718</v>
      </c>
      <c r="D168" s="214" t="s">
        <v>4710</v>
      </c>
      <c r="E168" s="211">
        <v>0</v>
      </c>
      <c r="F168" s="211">
        <v>0</v>
      </c>
      <c r="G168" s="211">
        <v>0</v>
      </c>
      <c r="H168" s="211">
        <v>0</v>
      </c>
      <c r="I168" s="211">
        <v>0</v>
      </c>
      <c r="J168" s="211">
        <v>0</v>
      </c>
      <c r="K168" s="211">
        <v>0</v>
      </c>
      <c r="L168" s="211">
        <v>0</v>
      </c>
      <c r="M168" s="211">
        <v>0</v>
      </c>
      <c r="N168" s="211">
        <v>0</v>
      </c>
      <c r="O168" s="211">
        <v>0</v>
      </c>
      <c r="P168" s="211">
        <v>0</v>
      </c>
      <c r="R168" s="214" t="s">
        <v>4719</v>
      </c>
    </row>
    <row r="169" spans="1:18" ht="11.25" customHeight="1" x14ac:dyDescent="0.35">
      <c r="A169" s="214" t="s">
        <v>4720</v>
      </c>
      <c r="C169" s="214" t="s">
        <v>4721</v>
      </c>
      <c r="D169" s="214" t="s">
        <v>4710</v>
      </c>
      <c r="E169" s="211">
        <v>957230412</v>
      </c>
      <c r="F169" s="211">
        <v>674166934</v>
      </c>
      <c r="G169" s="211">
        <v>547826292</v>
      </c>
      <c r="H169" s="211">
        <v>545501703</v>
      </c>
      <c r="I169" s="211">
        <v>632665520</v>
      </c>
      <c r="J169" s="211">
        <v>754995391</v>
      </c>
      <c r="K169" s="211">
        <v>737803578</v>
      </c>
      <c r="L169" s="211">
        <v>1077243785</v>
      </c>
      <c r="M169" s="211">
        <v>1077243785</v>
      </c>
      <c r="N169" s="211">
        <v>1077243785</v>
      </c>
      <c r="O169" s="211">
        <v>1077243785</v>
      </c>
      <c r="P169" s="211">
        <v>1077243785</v>
      </c>
      <c r="R169" s="214" t="s">
        <v>208</v>
      </c>
    </row>
    <row r="170" spans="1:18" ht="11.25" customHeight="1" x14ac:dyDescent="0.35">
      <c r="A170" s="214" t="s">
        <v>4722</v>
      </c>
      <c r="C170" s="214" t="s">
        <v>4723</v>
      </c>
      <c r="D170" s="214" t="s">
        <v>4710</v>
      </c>
      <c r="E170" s="211">
        <v>0</v>
      </c>
      <c r="F170" s="211">
        <v>0</v>
      </c>
      <c r="G170" s="211">
        <v>0</v>
      </c>
      <c r="H170" s="211">
        <v>0</v>
      </c>
      <c r="I170" s="211">
        <v>0</v>
      </c>
      <c r="J170" s="211">
        <v>0</v>
      </c>
      <c r="K170" s="211">
        <v>0</v>
      </c>
      <c r="L170" s="211">
        <v>0</v>
      </c>
      <c r="M170" s="211">
        <v>0</v>
      </c>
      <c r="N170" s="211">
        <v>0</v>
      </c>
      <c r="O170" s="211">
        <v>0</v>
      </c>
      <c r="P170" s="211">
        <v>0</v>
      </c>
      <c r="R170" s="214">
        <v>0</v>
      </c>
    </row>
    <row r="171" spans="1:18" ht="11.25" customHeight="1" x14ac:dyDescent="0.35">
      <c r="A171" s="214" t="s">
        <v>4724</v>
      </c>
      <c r="C171" s="214" t="s">
        <v>4725</v>
      </c>
      <c r="D171" s="214" t="s">
        <v>4710</v>
      </c>
      <c r="E171" s="211">
        <v>0</v>
      </c>
      <c r="F171" s="211">
        <v>0</v>
      </c>
      <c r="G171" s="211">
        <v>3000000</v>
      </c>
      <c r="H171" s="211">
        <v>0</v>
      </c>
      <c r="I171" s="211">
        <v>0</v>
      </c>
      <c r="J171" s="211">
        <v>0</v>
      </c>
      <c r="K171" s="211">
        <v>222000</v>
      </c>
      <c r="L171" s="211">
        <v>224000</v>
      </c>
      <c r="M171" s="211">
        <v>224000</v>
      </c>
      <c r="N171" s="211">
        <v>224000</v>
      </c>
      <c r="O171" s="211">
        <v>224000</v>
      </c>
      <c r="P171" s="211">
        <v>224000</v>
      </c>
      <c r="R171" s="214" t="s">
        <v>209</v>
      </c>
    </row>
    <row r="172" spans="1:18" ht="11.25" customHeight="1" x14ac:dyDescent="0.35">
      <c r="A172" s="214" t="s">
        <v>4726</v>
      </c>
      <c r="C172" s="214" t="s">
        <v>4727</v>
      </c>
      <c r="D172" s="214" t="s">
        <v>4710</v>
      </c>
      <c r="E172" s="211">
        <v>0</v>
      </c>
      <c r="F172" s="211">
        <v>0</v>
      </c>
      <c r="G172" s="211">
        <v>0</v>
      </c>
      <c r="H172" s="211">
        <v>0</v>
      </c>
      <c r="I172" s="211">
        <v>0</v>
      </c>
      <c r="J172" s="211">
        <v>0</v>
      </c>
      <c r="K172" s="211">
        <v>0</v>
      </c>
      <c r="L172" s="211">
        <v>0</v>
      </c>
      <c r="M172" s="211">
        <v>0</v>
      </c>
      <c r="N172" s="211">
        <v>0</v>
      </c>
      <c r="O172" s="211">
        <v>0</v>
      </c>
      <c r="P172" s="211">
        <v>0</v>
      </c>
      <c r="R172" s="214" t="s">
        <v>4719</v>
      </c>
    </row>
    <row r="173" spans="1:18" ht="11.25" customHeight="1" x14ac:dyDescent="0.35">
      <c r="A173" s="214" t="s">
        <v>4728</v>
      </c>
      <c r="C173" s="214" t="s">
        <v>4729</v>
      </c>
      <c r="D173" s="214"/>
      <c r="E173" s="211">
        <v>0</v>
      </c>
      <c r="F173" s="211">
        <v>0</v>
      </c>
      <c r="G173" s="211">
        <v>0</v>
      </c>
      <c r="H173" s="211">
        <v>0</v>
      </c>
      <c r="I173" s="211">
        <v>0</v>
      </c>
      <c r="J173" s="211">
        <v>0</v>
      </c>
      <c r="K173" s="211">
        <v>0</v>
      </c>
      <c r="L173" s="217">
        <v>0</v>
      </c>
      <c r="M173" s="211">
        <v>0</v>
      </c>
      <c r="N173" s="211">
        <v>0</v>
      </c>
      <c r="O173" s="211">
        <v>0</v>
      </c>
      <c r="P173" s="211">
        <v>0</v>
      </c>
      <c r="R173" s="214">
        <v>0</v>
      </c>
    </row>
    <row r="174" spans="1:18" ht="11.25" customHeight="1" x14ac:dyDescent="0.35">
      <c r="A174" s="214">
        <v>2103</v>
      </c>
      <c r="C174" s="215" t="s">
        <v>4730</v>
      </c>
      <c r="D174" s="215"/>
      <c r="E174" s="211">
        <v>0</v>
      </c>
      <c r="F174" s="211">
        <v>0</v>
      </c>
      <c r="G174" s="211">
        <v>0</v>
      </c>
      <c r="H174" s="211">
        <v>0</v>
      </c>
      <c r="I174" s="211">
        <v>0</v>
      </c>
      <c r="J174" s="211">
        <v>0</v>
      </c>
      <c r="K174" s="211">
        <v>0</v>
      </c>
      <c r="L174" s="211">
        <v>0</v>
      </c>
      <c r="M174" s="211">
        <v>0</v>
      </c>
      <c r="N174" s="211">
        <v>0</v>
      </c>
      <c r="O174" s="211">
        <v>0</v>
      </c>
      <c r="P174" s="211">
        <v>0</v>
      </c>
    </row>
    <row r="175" spans="1:18" ht="11.25" customHeight="1" x14ac:dyDescent="0.35">
      <c r="A175" s="214" t="s">
        <v>4731</v>
      </c>
      <c r="C175" s="214" t="s">
        <v>4679</v>
      </c>
      <c r="D175" s="214" t="s">
        <v>4732</v>
      </c>
      <c r="E175" s="211">
        <v>63200248</v>
      </c>
      <c r="F175" s="211">
        <v>53714213</v>
      </c>
      <c r="G175" s="211">
        <v>42052478</v>
      </c>
      <c r="H175" s="211">
        <v>50583217</v>
      </c>
      <c r="I175" s="211">
        <v>54459087</v>
      </c>
      <c r="J175" s="211">
        <v>56812239</v>
      </c>
      <c r="K175" s="211">
        <v>59173608</v>
      </c>
      <c r="L175" s="211">
        <v>538380</v>
      </c>
      <c r="M175" s="211">
        <v>538380</v>
      </c>
      <c r="N175" s="211">
        <v>538380</v>
      </c>
      <c r="O175" s="211">
        <v>538380</v>
      </c>
      <c r="P175" s="211">
        <v>538380</v>
      </c>
      <c r="R175" s="214" t="s">
        <v>215</v>
      </c>
    </row>
    <row r="176" spans="1:18" ht="11.25" customHeight="1" x14ac:dyDescent="0.35">
      <c r="A176" s="214" t="s">
        <v>4733</v>
      </c>
      <c r="C176" s="214" t="s">
        <v>4734</v>
      </c>
      <c r="D176" s="214" t="s">
        <v>4732</v>
      </c>
      <c r="E176" s="211">
        <v>632537</v>
      </c>
      <c r="F176" s="211">
        <v>623490</v>
      </c>
      <c r="G176" s="211">
        <v>623490</v>
      </c>
      <c r="H176" s="211">
        <v>0</v>
      </c>
      <c r="I176" s="211">
        <v>0</v>
      </c>
      <c r="J176" s="211">
        <v>0</v>
      </c>
      <c r="K176" s="211">
        <v>0</v>
      </c>
      <c r="L176" s="211">
        <v>0</v>
      </c>
      <c r="M176" s="211">
        <v>0</v>
      </c>
      <c r="N176" s="211">
        <v>0</v>
      </c>
      <c r="O176" s="211">
        <v>0</v>
      </c>
      <c r="P176" s="211">
        <v>0</v>
      </c>
      <c r="R176" s="214" t="s">
        <v>215</v>
      </c>
    </row>
    <row r="177" spans="1:18" ht="11.25" customHeight="1" x14ac:dyDescent="0.35">
      <c r="A177" s="214" t="s">
        <v>4735</v>
      </c>
      <c r="C177" s="214" t="s">
        <v>4687</v>
      </c>
      <c r="D177" s="214" t="s">
        <v>4732</v>
      </c>
      <c r="E177" s="211">
        <v>0</v>
      </c>
      <c r="F177" s="211">
        <v>0</v>
      </c>
      <c r="G177" s="211">
        <v>0</v>
      </c>
      <c r="H177" s="211">
        <v>0</v>
      </c>
      <c r="I177" s="211">
        <v>0</v>
      </c>
      <c r="J177" s="211">
        <v>0</v>
      </c>
      <c r="K177" s="211">
        <v>0</v>
      </c>
      <c r="L177" s="211">
        <v>0</v>
      </c>
      <c r="M177" s="211">
        <v>0</v>
      </c>
      <c r="N177" s="211">
        <v>0</v>
      </c>
      <c r="O177" s="211">
        <v>0</v>
      </c>
      <c r="P177" s="211">
        <v>0</v>
      </c>
      <c r="R177" s="214" t="s">
        <v>4681</v>
      </c>
    </row>
    <row r="178" spans="1:18" ht="11.25" customHeight="1" x14ac:dyDescent="0.35">
      <c r="A178" s="214" t="s">
        <v>4736</v>
      </c>
      <c r="C178" s="214" t="s">
        <v>4685</v>
      </c>
      <c r="D178" s="214" t="s">
        <v>4732</v>
      </c>
      <c r="E178" s="211">
        <v>2326934838</v>
      </c>
      <c r="F178" s="211">
        <v>2475690381</v>
      </c>
      <c r="G178" s="211">
        <v>2465748508</v>
      </c>
      <c r="H178" s="211">
        <v>2538073283</v>
      </c>
      <c r="I178" s="211">
        <v>2671220328</v>
      </c>
      <c r="J178" s="211">
        <v>2797738603</v>
      </c>
      <c r="K178" s="211">
        <v>2506118028</v>
      </c>
      <c r="L178" s="211">
        <v>2592692877</v>
      </c>
      <c r="M178" s="211">
        <v>2592692877</v>
      </c>
      <c r="N178" s="211">
        <v>2592692877</v>
      </c>
      <c r="O178" s="211">
        <v>2592692877</v>
      </c>
      <c r="P178" s="211">
        <v>2592692877</v>
      </c>
      <c r="R178" s="214" t="s">
        <v>213</v>
      </c>
    </row>
    <row r="179" spans="1:18" ht="11.25" customHeight="1" x14ac:dyDescent="0.35">
      <c r="A179" s="214" t="s">
        <v>4737</v>
      </c>
      <c r="C179" s="214" t="s">
        <v>4696</v>
      </c>
      <c r="D179" s="214" t="s">
        <v>4732</v>
      </c>
      <c r="E179" s="211">
        <v>0</v>
      </c>
      <c r="F179" s="211">
        <v>0</v>
      </c>
      <c r="G179" s="211">
        <v>0</v>
      </c>
      <c r="H179" s="211">
        <v>0</v>
      </c>
      <c r="I179" s="211">
        <v>0</v>
      </c>
      <c r="J179" s="211">
        <v>0</v>
      </c>
      <c r="K179" s="211">
        <v>0</v>
      </c>
      <c r="L179" s="211">
        <v>0</v>
      </c>
      <c r="M179" s="211">
        <v>0</v>
      </c>
      <c r="N179" s="211">
        <v>0</v>
      </c>
      <c r="O179" s="211">
        <v>0</v>
      </c>
      <c r="P179" s="211">
        <v>0</v>
      </c>
      <c r="R179" s="214" t="s">
        <v>4681</v>
      </c>
    </row>
    <row r="180" spans="1:18" ht="11.25" customHeight="1" x14ac:dyDescent="0.35">
      <c r="A180" s="214" t="s">
        <v>4738</v>
      </c>
      <c r="C180" s="222" t="s">
        <v>4739</v>
      </c>
      <c r="D180" s="214"/>
      <c r="E180" s="211">
        <v>0</v>
      </c>
      <c r="F180" s="211">
        <v>0</v>
      </c>
      <c r="G180" s="211">
        <v>0</v>
      </c>
      <c r="H180" s="211">
        <v>0</v>
      </c>
      <c r="I180" s="211">
        <v>0</v>
      </c>
      <c r="J180" s="211">
        <v>0</v>
      </c>
      <c r="K180" s="211">
        <v>0</v>
      </c>
      <c r="L180" s="211">
        <v>0</v>
      </c>
      <c r="M180" s="211">
        <v>0</v>
      </c>
      <c r="N180" s="211">
        <v>0</v>
      </c>
      <c r="O180" s="211">
        <v>0</v>
      </c>
      <c r="P180" s="211">
        <v>0</v>
      </c>
      <c r="R180" s="214" t="s">
        <v>4681</v>
      </c>
    </row>
    <row r="181" spans="1:18" ht="11.25" customHeight="1" x14ac:dyDescent="0.35">
      <c r="A181" s="214"/>
      <c r="C181" s="215" t="s">
        <v>4740</v>
      </c>
      <c r="D181" s="215"/>
      <c r="E181" s="221">
        <f t="shared" ref="E181:P181" si="10">SUM(E164:E180)</f>
        <v>3631718510.8099999</v>
      </c>
      <c r="F181" s="221">
        <f t="shared" si="10"/>
        <v>3502897488.0699997</v>
      </c>
      <c r="G181" s="221">
        <f t="shared" si="10"/>
        <v>3527112768.1500001</v>
      </c>
      <c r="H181" s="221">
        <f t="shared" si="10"/>
        <v>3315004658.3400002</v>
      </c>
      <c r="I181" s="221">
        <f t="shared" si="10"/>
        <v>3543447293.02</v>
      </c>
      <c r="J181" s="221">
        <f t="shared" si="10"/>
        <v>3633175567.4400001</v>
      </c>
      <c r="K181" s="221">
        <f t="shared" si="10"/>
        <v>3447360813.0799999</v>
      </c>
      <c r="L181" s="221">
        <f t="shared" si="10"/>
        <v>3856348269.4700003</v>
      </c>
      <c r="M181" s="221">
        <f t="shared" si="10"/>
        <v>3856348269.4700003</v>
      </c>
      <c r="N181" s="221">
        <f t="shared" si="10"/>
        <v>3856348269.4700003</v>
      </c>
      <c r="O181" s="221">
        <f t="shared" si="10"/>
        <v>3856348269.4700003</v>
      </c>
      <c r="P181" s="221">
        <f t="shared" si="10"/>
        <v>3856348269.4700003</v>
      </c>
    </row>
    <row r="182" spans="1:18" ht="11.25" customHeight="1" x14ac:dyDescent="0.35">
      <c r="A182" s="214"/>
      <c r="C182" s="215" t="s">
        <v>4741</v>
      </c>
      <c r="D182" s="215"/>
      <c r="E182" s="216">
        <f t="shared" ref="E182:P182" si="11">E161+E181</f>
        <v>8135916114.7000008</v>
      </c>
      <c r="F182" s="216">
        <f t="shared" si="11"/>
        <v>8044660909.4200001</v>
      </c>
      <c r="G182" s="216">
        <f t="shared" si="11"/>
        <v>6702959724.7600002</v>
      </c>
      <c r="H182" s="216">
        <f t="shared" si="11"/>
        <v>7116171144.3600006</v>
      </c>
      <c r="I182" s="216">
        <f t="shared" si="11"/>
        <v>8053869480.0200005</v>
      </c>
      <c r="J182" s="216">
        <f t="shared" si="11"/>
        <v>17662777645.68</v>
      </c>
      <c r="K182" s="216">
        <f t="shared" si="11"/>
        <v>6761370376.6900005</v>
      </c>
      <c r="L182" s="216">
        <f t="shared" si="11"/>
        <v>8105643577.1500006</v>
      </c>
      <c r="M182" s="216">
        <f t="shared" si="11"/>
        <v>8105643577.1500006</v>
      </c>
      <c r="N182" s="216">
        <f t="shared" si="11"/>
        <v>8105643577.1500006</v>
      </c>
      <c r="O182" s="216">
        <f t="shared" si="11"/>
        <v>8105643577.1500006</v>
      </c>
      <c r="P182" s="216">
        <f t="shared" si="11"/>
        <v>8105643577.1500006</v>
      </c>
    </row>
    <row r="183" spans="1:18" ht="11.25" customHeight="1" x14ac:dyDescent="0.35">
      <c r="A183" s="214"/>
      <c r="C183" s="215" t="s">
        <v>4742</v>
      </c>
      <c r="D183" s="215"/>
      <c r="E183" s="211"/>
      <c r="F183" s="211"/>
      <c r="G183" s="211"/>
      <c r="H183" s="211"/>
      <c r="I183" s="211"/>
      <c r="J183" s="211"/>
      <c r="K183" s="211"/>
      <c r="L183" s="211"/>
      <c r="M183" s="211"/>
      <c r="N183" s="211"/>
      <c r="O183" s="211"/>
      <c r="P183" s="211"/>
    </row>
    <row r="184" spans="1:18" ht="11.25" customHeight="1" x14ac:dyDescent="0.35">
      <c r="A184" s="214">
        <v>2201</v>
      </c>
      <c r="C184" s="215" t="s">
        <v>4743</v>
      </c>
      <c r="D184" s="215"/>
      <c r="E184" s="211">
        <v>0</v>
      </c>
      <c r="F184" s="211">
        <v>0</v>
      </c>
      <c r="G184" s="211">
        <v>0</v>
      </c>
      <c r="H184" s="211">
        <v>0</v>
      </c>
      <c r="I184" s="211">
        <v>0</v>
      </c>
      <c r="J184" s="211">
        <v>0</v>
      </c>
      <c r="K184" s="211">
        <v>0</v>
      </c>
      <c r="L184" s="211">
        <v>0</v>
      </c>
      <c r="M184" s="211">
        <v>0</v>
      </c>
      <c r="N184" s="211">
        <v>0</v>
      </c>
      <c r="O184" s="211">
        <v>0</v>
      </c>
      <c r="P184" s="211">
        <v>0</v>
      </c>
    </row>
    <row r="185" spans="1:18" ht="11.25" customHeight="1" x14ac:dyDescent="0.35">
      <c r="A185" s="214" t="s">
        <v>4744</v>
      </c>
      <c r="C185" s="214" t="s">
        <v>4745</v>
      </c>
      <c r="D185" s="214" t="s">
        <v>4746</v>
      </c>
      <c r="E185" s="211">
        <v>1318262388</v>
      </c>
      <c r="F185" s="211">
        <v>1318262388</v>
      </c>
      <c r="G185" s="211">
        <v>1318262388</v>
      </c>
      <c r="H185" s="211">
        <v>1318262388</v>
      </c>
      <c r="I185" s="211">
        <v>1318262388</v>
      </c>
      <c r="J185" s="211">
        <v>1318262388</v>
      </c>
      <c r="K185" s="211">
        <v>1318262388</v>
      </c>
      <c r="L185" s="211">
        <v>1318262388</v>
      </c>
      <c r="M185" s="211">
        <v>1318262388</v>
      </c>
      <c r="N185" s="211">
        <v>1318262388</v>
      </c>
      <c r="O185" s="211">
        <v>1318262388</v>
      </c>
      <c r="P185" s="211">
        <v>1318262388</v>
      </c>
      <c r="R185" s="214" t="s">
        <v>220</v>
      </c>
    </row>
    <row r="186" spans="1:18" ht="11.25" customHeight="1" x14ac:dyDescent="0.35">
      <c r="A186" s="214" t="s">
        <v>4747</v>
      </c>
      <c r="C186" s="214" t="s">
        <v>4748</v>
      </c>
      <c r="D186" s="214" t="s">
        <v>4692</v>
      </c>
      <c r="E186" s="211">
        <v>0</v>
      </c>
      <c r="F186" s="211">
        <v>0</v>
      </c>
      <c r="G186" s="211">
        <v>0</v>
      </c>
      <c r="H186" s="211">
        <v>0</v>
      </c>
      <c r="I186" s="211">
        <v>0</v>
      </c>
      <c r="J186" s="211">
        <v>0</v>
      </c>
      <c r="K186" s="211">
        <v>0</v>
      </c>
      <c r="L186" s="211">
        <v>0</v>
      </c>
      <c r="M186" s="211">
        <v>0</v>
      </c>
      <c r="N186" s="211">
        <v>0</v>
      </c>
      <c r="O186" s="211">
        <v>0</v>
      </c>
      <c r="P186" s="211">
        <v>0</v>
      </c>
      <c r="R186" s="214">
        <v>0</v>
      </c>
    </row>
    <row r="187" spans="1:18" ht="11.25" customHeight="1" x14ac:dyDescent="0.35">
      <c r="A187" s="214"/>
      <c r="C187" s="215" t="s">
        <v>4749</v>
      </c>
      <c r="D187" s="215"/>
      <c r="E187" s="221">
        <f t="shared" ref="E187:P187" si="12">SUM(E185:E186)</f>
        <v>1318262388</v>
      </c>
      <c r="F187" s="221">
        <f t="shared" si="12"/>
        <v>1318262388</v>
      </c>
      <c r="G187" s="221">
        <f t="shared" si="12"/>
        <v>1318262388</v>
      </c>
      <c r="H187" s="221">
        <f t="shared" si="12"/>
        <v>1318262388</v>
      </c>
      <c r="I187" s="221">
        <f t="shared" si="12"/>
        <v>1318262388</v>
      </c>
      <c r="J187" s="221">
        <f t="shared" si="12"/>
        <v>1318262388</v>
      </c>
      <c r="K187" s="221">
        <f t="shared" si="12"/>
        <v>1318262388</v>
      </c>
      <c r="L187" s="221">
        <f t="shared" si="12"/>
        <v>1318262388</v>
      </c>
      <c r="M187" s="221">
        <f t="shared" si="12"/>
        <v>1318262388</v>
      </c>
      <c r="N187" s="221">
        <f t="shared" si="12"/>
        <v>1318262388</v>
      </c>
      <c r="O187" s="221">
        <f t="shared" si="12"/>
        <v>1318262388</v>
      </c>
      <c r="P187" s="221">
        <f t="shared" si="12"/>
        <v>1318262388</v>
      </c>
    </row>
    <row r="188" spans="1:18" ht="11.25" customHeight="1" x14ac:dyDescent="0.35">
      <c r="A188" s="214"/>
      <c r="C188" s="215" t="s">
        <v>4750</v>
      </c>
      <c r="D188" s="215"/>
      <c r="E188" s="216">
        <f t="shared" ref="E188:P188" si="13">E182+E187</f>
        <v>9454178502.7000008</v>
      </c>
      <c r="F188" s="216">
        <f t="shared" si="13"/>
        <v>9362923297.4200001</v>
      </c>
      <c r="G188" s="216">
        <f t="shared" si="13"/>
        <v>8021222112.7600002</v>
      </c>
      <c r="H188" s="216">
        <f t="shared" si="13"/>
        <v>8434433532.3600006</v>
      </c>
      <c r="I188" s="216">
        <f t="shared" si="13"/>
        <v>9372131868.0200005</v>
      </c>
      <c r="J188" s="216">
        <f t="shared" si="13"/>
        <v>18981040033.68</v>
      </c>
      <c r="K188" s="216">
        <f t="shared" si="13"/>
        <v>8079632764.6900005</v>
      </c>
      <c r="L188" s="216">
        <f t="shared" si="13"/>
        <v>9423905965.1500015</v>
      </c>
      <c r="M188" s="216">
        <f t="shared" si="13"/>
        <v>9423905965.1500015</v>
      </c>
      <c r="N188" s="216">
        <f t="shared" si="13"/>
        <v>9423905965.1500015</v>
      </c>
      <c r="O188" s="216">
        <f t="shared" si="13"/>
        <v>9423905965.1500015</v>
      </c>
      <c r="P188" s="216">
        <f t="shared" si="13"/>
        <v>9423905965.1500015</v>
      </c>
    </row>
    <row r="189" spans="1:18" ht="11.25" customHeight="1" x14ac:dyDescent="0.35">
      <c r="A189" s="223"/>
      <c r="C189" s="215" t="s">
        <v>4751</v>
      </c>
      <c r="D189" s="215"/>
      <c r="E189" s="211"/>
      <c r="F189" s="211"/>
      <c r="G189" s="211"/>
      <c r="H189" s="211"/>
      <c r="I189" s="211"/>
      <c r="J189" s="211"/>
      <c r="K189" s="211"/>
      <c r="L189" s="211"/>
      <c r="M189" s="211"/>
      <c r="N189" s="211"/>
      <c r="O189" s="211"/>
      <c r="P189" s="211"/>
    </row>
    <row r="190" spans="1:18" ht="11.25" customHeight="1" x14ac:dyDescent="0.35">
      <c r="A190" s="214">
        <v>3101</v>
      </c>
      <c r="C190" s="215" t="s">
        <v>4752</v>
      </c>
      <c r="D190" s="215"/>
      <c r="E190" s="211">
        <v>0</v>
      </c>
      <c r="F190" s="211">
        <v>0</v>
      </c>
      <c r="G190" s="211">
        <v>0</v>
      </c>
      <c r="H190" s="211">
        <v>0</v>
      </c>
      <c r="I190" s="211">
        <v>0</v>
      </c>
      <c r="J190" s="211">
        <v>0</v>
      </c>
      <c r="K190" s="211">
        <v>0</v>
      </c>
      <c r="L190" s="211">
        <v>0</v>
      </c>
      <c r="M190" s="211">
        <v>0</v>
      </c>
      <c r="N190" s="211">
        <v>0</v>
      </c>
      <c r="O190" s="211">
        <v>0</v>
      </c>
      <c r="P190" s="211">
        <v>0</v>
      </c>
    </row>
    <row r="191" spans="1:18" ht="11.25" customHeight="1" x14ac:dyDescent="0.35">
      <c r="A191" s="214" t="s">
        <v>4753</v>
      </c>
      <c r="C191" s="214" t="s">
        <v>4754</v>
      </c>
      <c r="D191" s="214" t="s">
        <v>4755</v>
      </c>
      <c r="E191" s="211">
        <v>1000000001</v>
      </c>
      <c r="F191" s="211">
        <v>1000000001</v>
      </c>
      <c r="G191" s="211">
        <v>1000000001</v>
      </c>
      <c r="H191" s="211">
        <v>1000000001</v>
      </c>
      <c r="I191" s="211">
        <v>1000000001</v>
      </c>
      <c r="J191" s="211">
        <v>1000000001</v>
      </c>
      <c r="K191" s="211">
        <v>1000000001</v>
      </c>
      <c r="L191" s="211">
        <v>1000000001</v>
      </c>
      <c r="M191" s="211">
        <v>1000000001</v>
      </c>
      <c r="N191" s="211">
        <v>1000000001</v>
      </c>
      <c r="O191" s="211">
        <v>1000000001</v>
      </c>
      <c r="P191" s="211">
        <v>1000000001</v>
      </c>
      <c r="R191" s="214" t="s">
        <v>4756</v>
      </c>
    </row>
    <row r="192" spans="1:18" ht="11.25" customHeight="1" x14ac:dyDescent="0.35">
      <c r="A192" s="214" t="s">
        <v>4757</v>
      </c>
      <c r="C192" s="214" t="s">
        <v>4758</v>
      </c>
      <c r="D192" s="214" t="s">
        <v>4759</v>
      </c>
      <c r="E192" s="211">
        <v>41611853187.449303</v>
      </c>
      <c r="F192" s="211">
        <v>41611853187.449303</v>
      </c>
      <c r="G192" s="211">
        <v>41611853187.449303</v>
      </c>
      <c r="H192" s="211">
        <v>41611853187.449303</v>
      </c>
      <c r="I192" s="211">
        <v>41611853187.449303</v>
      </c>
      <c r="J192" s="211">
        <v>41611853187.449303</v>
      </c>
      <c r="K192" s="211">
        <v>41611853187.449303</v>
      </c>
      <c r="L192" s="211">
        <v>41611853187.449303</v>
      </c>
      <c r="M192" s="211">
        <v>41611853187.449303</v>
      </c>
      <c r="N192" s="211">
        <v>41611853187.449303</v>
      </c>
      <c r="O192" s="211">
        <v>41611853187.449303</v>
      </c>
      <c r="P192" s="211">
        <v>41611853187.449303</v>
      </c>
      <c r="R192" s="214" t="s">
        <v>4760</v>
      </c>
    </row>
    <row r="193" spans="1:18" ht="11.25" customHeight="1" x14ac:dyDescent="0.35">
      <c r="A193" s="214" t="s">
        <v>4761</v>
      </c>
      <c r="C193" s="214" t="s">
        <v>4762</v>
      </c>
      <c r="D193" s="214" t="s">
        <v>4759</v>
      </c>
      <c r="E193" s="211">
        <v>-782631898</v>
      </c>
      <c r="F193" s="211">
        <v>-782631898</v>
      </c>
      <c r="G193" s="211">
        <v>-782631898</v>
      </c>
      <c r="H193" s="211">
        <v>-782631898</v>
      </c>
      <c r="I193" s="211">
        <v>-782631898</v>
      </c>
      <c r="J193" s="211">
        <v>-782631898</v>
      </c>
      <c r="K193" s="211">
        <v>-782631898</v>
      </c>
      <c r="L193" s="211">
        <v>-782631898</v>
      </c>
      <c r="M193" s="211">
        <v>-782631898</v>
      </c>
      <c r="N193" s="211">
        <v>-782631898</v>
      </c>
      <c r="O193" s="211">
        <v>-782631898</v>
      </c>
      <c r="P193" s="211">
        <v>-782631898</v>
      </c>
      <c r="R193" s="214" t="s">
        <v>4763</v>
      </c>
    </row>
    <row r="194" spans="1:18" ht="11.25" customHeight="1" x14ac:dyDescent="0.35">
      <c r="A194" s="214" t="s">
        <v>4764</v>
      </c>
      <c r="C194" s="214" t="s">
        <v>4765</v>
      </c>
      <c r="D194" s="214" t="s">
        <v>4759</v>
      </c>
      <c r="E194" s="211">
        <v>0</v>
      </c>
      <c r="F194" s="211">
        <v>0</v>
      </c>
      <c r="G194" s="211">
        <v>0</v>
      </c>
      <c r="H194" s="211">
        <v>0</v>
      </c>
      <c r="I194" s="211">
        <v>0</v>
      </c>
      <c r="J194" s="211">
        <v>0</v>
      </c>
      <c r="K194" s="211">
        <v>0</v>
      </c>
      <c r="L194" s="211">
        <v>0</v>
      </c>
      <c r="M194" s="211">
        <v>0</v>
      </c>
      <c r="N194" s="211">
        <v>0</v>
      </c>
      <c r="O194" s="211">
        <v>0</v>
      </c>
      <c r="P194" s="211">
        <v>0</v>
      </c>
      <c r="R194" s="214">
        <v>0</v>
      </c>
    </row>
    <row r="195" spans="1:18" ht="11.25" customHeight="1" x14ac:dyDescent="0.35">
      <c r="A195" s="214" t="s">
        <v>4766</v>
      </c>
      <c r="C195" s="214" t="s">
        <v>4767</v>
      </c>
      <c r="D195" s="214" t="s">
        <v>4759</v>
      </c>
      <c r="E195" s="211">
        <v>0</v>
      </c>
      <c r="F195" s="211">
        <v>0</v>
      </c>
      <c r="G195" s="211">
        <v>0</v>
      </c>
      <c r="H195" s="211">
        <v>0</v>
      </c>
      <c r="I195" s="211">
        <v>0</v>
      </c>
      <c r="J195" s="211">
        <v>0</v>
      </c>
      <c r="K195" s="211">
        <v>0</v>
      </c>
      <c r="L195" s="211">
        <v>0</v>
      </c>
      <c r="M195" s="211">
        <v>0</v>
      </c>
      <c r="N195" s="211">
        <v>0</v>
      </c>
      <c r="O195" s="211">
        <v>0</v>
      </c>
      <c r="P195" s="211">
        <v>0</v>
      </c>
      <c r="R195" s="214">
        <v>0</v>
      </c>
    </row>
    <row r="196" spans="1:18" ht="11.25" customHeight="1" x14ac:dyDescent="0.35">
      <c r="A196" s="214" t="s">
        <v>4768</v>
      </c>
      <c r="C196" s="222" t="s">
        <v>4769</v>
      </c>
      <c r="D196" s="214" t="s">
        <v>4770</v>
      </c>
      <c r="E196" s="211">
        <v>-11000000000</v>
      </c>
      <c r="F196" s="211">
        <v>-11000000000</v>
      </c>
      <c r="G196" s="211">
        <v>-11000000000</v>
      </c>
      <c r="H196" s="211">
        <v>-11000000000</v>
      </c>
      <c r="I196" s="211">
        <v>-11000000000</v>
      </c>
      <c r="J196" s="211">
        <v>-11000000000</v>
      </c>
      <c r="K196" s="211">
        <v>-11000000000</v>
      </c>
      <c r="L196" s="211">
        <v>-11000000000</v>
      </c>
      <c r="M196" s="211">
        <v>-11000000000</v>
      </c>
      <c r="N196" s="211">
        <v>-11000000000</v>
      </c>
      <c r="O196" s="211">
        <v>-11000000000</v>
      </c>
      <c r="P196" s="211">
        <v>-11000000000</v>
      </c>
      <c r="R196" s="214" t="s">
        <v>228</v>
      </c>
    </row>
    <row r="197" spans="1:18" ht="11.25" customHeight="1" x14ac:dyDescent="0.35">
      <c r="A197" s="224" t="s">
        <v>4771</v>
      </c>
      <c r="B197" s="222"/>
      <c r="C197" s="222" t="s">
        <v>4772</v>
      </c>
      <c r="D197" s="214" t="s">
        <v>4773</v>
      </c>
      <c r="E197" s="211">
        <v>100000000</v>
      </c>
      <c r="F197" s="211">
        <v>100000000</v>
      </c>
      <c r="G197" s="211">
        <v>100000000</v>
      </c>
      <c r="H197" s="211">
        <v>100000000</v>
      </c>
      <c r="I197" s="211">
        <v>100000000</v>
      </c>
      <c r="J197" s="211">
        <v>100000000</v>
      </c>
      <c r="K197" s="211">
        <v>100000000</v>
      </c>
      <c r="L197" s="211">
        <v>100000000</v>
      </c>
      <c r="M197" s="211"/>
      <c r="N197" s="211"/>
      <c r="O197" s="211"/>
      <c r="P197" s="211"/>
      <c r="R197" s="214" t="s">
        <v>4774</v>
      </c>
    </row>
    <row r="198" spans="1:18" ht="11.25" customHeight="1" x14ac:dyDescent="0.35">
      <c r="A198" s="214"/>
      <c r="C198" s="214" t="s">
        <v>4775</v>
      </c>
      <c r="D198" s="214" t="s">
        <v>4776</v>
      </c>
      <c r="E198" s="216">
        <v>1700756032.29</v>
      </c>
      <c r="F198" s="216">
        <v>2741664670.0500002</v>
      </c>
      <c r="G198" s="216">
        <v>1926604412.4200001</v>
      </c>
      <c r="H198" s="216">
        <v>2181072741.1900001</v>
      </c>
      <c r="I198" s="216">
        <v>2660556950</v>
      </c>
      <c r="J198" s="216">
        <v>3093841201.1900001</v>
      </c>
      <c r="K198" s="216">
        <v>3641635629.1900001</v>
      </c>
      <c r="L198" s="216">
        <v>4711990627.4700003</v>
      </c>
      <c r="M198" s="216">
        <v>4711990627.4700003</v>
      </c>
      <c r="N198" s="216">
        <v>4711990627.4700003</v>
      </c>
      <c r="O198" s="216">
        <v>4711990627.4700003</v>
      </c>
      <c r="P198" s="216">
        <v>4711990627.4700003</v>
      </c>
    </row>
    <row r="199" spans="1:18" ht="11.25" customHeight="1" x14ac:dyDescent="0.35">
      <c r="A199" s="214"/>
      <c r="C199" s="215" t="s">
        <v>4777</v>
      </c>
      <c r="D199" s="215"/>
      <c r="E199" s="221">
        <f t="shared" ref="E199:P199" si="14">SUM(E191:E198)</f>
        <v>32629977322.739304</v>
      </c>
      <c r="F199" s="221">
        <f t="shared" si="14"/>
        <v>33670885960.499302</v>
      </c>
      <c r="G199" s="221">
        <f t="shared" si="14"/>
        <v>32855825702.869301</v>
      </c>
      <c r="H199" s="221">
        <f t="shared" si="14"/>
        <v>33110294031.639301</v>
      </c>
      <c r="I199" s="221">
        <f t="shared" si="14"/>
        <v>33589778240.449303</v>
      </c>
      <c r="J199" s="221">
        <f t="shared" si="14"/>
        <v>34023062491.639301</v>
      </c>
      <c r="K199" s="221">
        <f t="shared" si="14"/>
        <v>34570856919.639305</v>
      </c>
      <c r="L199" s="221">
        <f t="shared" si="14"/>
        <v>35641211917.919304</v>
      </c>
      <c r="M199" s="221">
        <f t="shared" si="14"/>
        <v>35541211917.919304</v>
      </c>
      <c r="N199" s="221">
        <f t="shared" si="14"/>
        <v>35541211917.919304</v>
      </c>
      <c r="O199" s="221">
        <f t="shared" si="14"/>
        <v>35541211917.919304</v>
      </c>
      <c r="P199" s="221">
        <f t="shared" si="14"/>
        <v>35541211917.919304</v>
      </c>
    </row>
    <row r="200" spans="1:18" ht="11.25" customHeight="1" x14ac:dyDescent="0.35">
      <c r="A200" s="214"/>
      <c r="C200" s="215" t="s">
        <v>4778</v>
      </c>
      <c r="D200" s="215"/>
      <c r="E200" s="216">
        <f t="shared" ref="E200:P200" si="15">E188+E199</f>
        <v>42084155825.439301</v>
      </c>
      <c r="F200" s="216">
        <f t="shared" si="15"/>
        <v>43033809257.919304</v>
      </c>
      <c r="G200" s="216">
        <f t="shared" si="15"/>
        <v>40877047815.629303</v>
      </c>
      <c r="H200" s="216">
        <f t="shared" si="15"/>
        <v>41544727563.999298</v>
      </c>
      <c r="I200" s="216">
        <f t="shared" si="15"/>
        <v>42961910108.469299</v>
      </c>
      <c r="J200" s="216">
        <f t="shared" si="15"/>
        <v>53004102525.319305</v>
      </c>
      <c r="K200" s="216">
        <f t="shared" si="15"/>
        <v>42650489684.329308</v>
      </c>
      <c r="L200" s="216">
        <f t="shared" si="15"/>
        <v>45065117883.069305</v>
      </c>
      <c r="M200" s="216">
        <f t="shared" si="15"/>
        <v>44965117883.069305</v>
      </c>
      <c r="N200" s="216">
        <f t="shared" si="15"/>
        <v>44965117883.069305</v>
      </c>
      <c r="O200" s="216">
        <f t="shared" si="15"/>
        <v>44965117883.069305</v>
      </c>
      <c r="P200" s="216">
        <f t="shared" si="15"/>
        <v>44965117883.069305</v>
      </c>
    </row>
    <row r="201" spans="1:18" s="225" customFormat="1" ht="11.25" customHeight="1" x14ac:dyDescent="0.35">
      <c r="E201" s="226">
        <f t="shared" ref="E201:P201" si="16">E135-E200</f>
        <v>-9.3231201171875E-3</v>
      </c>
      <c r="F201" s="226">
        <f t="shared" si="16"/>
        <v>-9.307861328125E-3</v>
      </c>
      <c r="G201" s="226">
        <f t="shared" si="16"/>
        <v>6.866455078125E-4</v>
      </c>
      <c r="H201" s="226">
        <f t="shared" si="16"/>
        <v>0.11067962646484375</v>
      </c>
      <c r="I201" s="226">
        <f t="shared" si="16"/>
        <v>0.100677490234375</v>
      </c>
      <c r="J201" s="226">
        <f t="shared" si="16"/>
        <v>0.11065673828125</v>
      </c>
      <c r="K201" s="226">
        <f t="shared" si="16"/>
        <v>0.1006622314453125</v>
      </c>
      <c r="L201" s="226">
        <f t="shared" si="16"/>
        <v>1.7796707153320313</v>
      </c>
      <c r="M201" s="226">
        <f t="shared" si="16"/>
        <v>-1399999998.2303314</v>
      </c>
      <c r="N201" s="226">
        <f t="shared" si="16"/>
        <v>-1399999999.889328</v>
      </c>
      <c r="O201" s="226">
        <f t="shared" si="16"/>
        <v>-1399999999.889328</v>
      </c>
      <c r="P201" s="226">
        <f t="shared" si="16"/>
        <v>-1399999999.889328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65"/>
  <sheetViews>
    <sheetView zoomScaleNormal="100" workbookViewId="0"/>
  </sheetViews>
  <sheetFormatPr defaultColWidth="9.08984375" defaultRowHeight="10" x14ac:dyDescent="0.2"/>
  <cols>
    <col min="1" max="1" width="9.90625" style="227" customWidth="1"/>
    <col min="2" max="2" width="44.36328125" style="227" customWidth="1"/>
    <col min="3" max="3" width="9.54296875" style="227" customWidth="1"/>
    <col min="4" max="4" width="12.54296875" style="228" customWidth="1"/>
    <col min="5" max="10" width="11.6328125" style="228" customWidth="1"/>
    <col min="11" max="11" width="12.453125" style="228" customWidth="1"/>
    <col min="12" max="13" width="11.6328125" style="228" customWidth="1"/>
    <col min="14" max="15" width="12.6328125" style="228" customWidth="1"/>
    <col min="16" max="17" width="14.90625" style="228" customWidth="1"/>
    <col min="18" max="19" width="14.08984375" style="227" customWidth="1"/>
    <col min="20" max="20" width="12.453125" style="227" customWidth="1"/>
    <col min="21" max="16384" width="9.08984375" style="227"/>
  </cols>
  <sheetData>
    <row r="1" spans="1:19" ht="15" customHeight="1" x14ac:dyDescent="0.2">
      <c r="A1" s="229"/>
      <c r="B1" s="230" t="s">
        <v>4410</v>
      </c>
      <c r="C1" s="229"/>
      <c r="D1" s="231"/>
    </row>
    <row r="2" spans="1:19" ht="15" customHeight="1" x14ac:dyDescent="0.2">
      <c r="A2" s="229"/>
      <c r="B2" s="232" t="s">
        <v>4779</v>
      </c>
      <c r="C2" s="229"/>
      <c r="D2" s="231"/>
    </row>
    <row r="3" spans="1:19" ht="15" customHeight="1" x14ac:dyDescent="0.2">
      <c r="A3" s="229"/>
      <c r="B3" s="232" t="s">
        <v>4412</v>
      </c>
      <c r="C3" s="229"/>
      <c r="D3" s="231"/>
    </row>
    <row r="4" spans="1:19" ht="11.25" customHeight="1" x14ac:dyDescent="0.2">
      <c r="A4" s="217"/>
      <c r="B4" s="217"/>
      <c r="C4" s="217"/>
      <c r="D4" s="231"/>
    </row>
    <row r="5" spans="1:19" ht="11.25" customHeight="1" x14ac:dyDescent="0.2">
      <c r="A5" s="233" t="s">
        <v>4413</v>
      </c>
      <c r="B5" s="233" t="s">
        <v>4414</v>
      </c>
      <c r="C5" s="233" t="s">
        <v>333</v>
      </c>
      <c r="D5" s="234" t="s">
        <v>4780</v>
      </c>
      <c r="E5" s="234" t="s">
        <v>4781</v>
      </c>
      <c r="F5" s="234" t="s">
        <v>4782</v>
      </c>
      <c r="G5" s="234" t="s">
        <v>4783</v>
      </c>
      <c r="H5" s="234" t="s">
        <v>4784</v>
      </c>
      <c r="I5" s="234" t="s">
        <v>4785</v>
      </c>
      <c r="J5" s="234" t="s">
        <v>4421</v>
      </c>
      <c r="K5" s="234" t="s">
        <v>4786</v>
      </c>
      <c r="L5" s="234" t="s">
        <v>4787</v>
      </c>
      <c r="M5" s="234" t="s">
        <v>4788</v>
      </c>
      <c r="N5" s="234" t="s">
        <v>4789</v>
      </c>
      <c r="O5" s="234" t="s">
        <v>4790</v>
      </c>
      <c r="P5" s="234" t="s">
        <v>7</v>
      </c>
      <c r="Q5" s="234" t="s">
        <v>4791</v>
      </c>
      <c r="R5" s="234" t="s">
        <v>4427</v>
      </c>
      <c r="S5" s="234" t="s">
        <v>4792</v>
      </c>
    </row>
    <row r="6" spans="1:19" ht="11.25" customHeight="1" x14ac:dyDescent="0.2">
      <c r="A6" s="222"/>
      <c r="B6" s="235" t="s">
        <v>4793</v>
      </c>
      <c r="C6" s="235"/>
    </row>
    <row r="7" spans="1:19" ht="11.25" customHeight="1" x14ac:dyDescent="0.2">
      <c r="A7" s="222">
        <v>4101</v>
      </c>
      <c r="B7" s="235" t="s">
        <v>4794</v>
      </c>
      <c r="C7" s="235"/>
      <c r="D7" s="236">
        <v>0</v>
      </c>
      <c r="E7" s="236">
        <v>0</v>
      </c>
      <c r="F7" s="236">
        <v>0</v>
      </c>
      <c r="G7" s="236">
        <v>0</v>
      </c>
      <c r="H7" s="236">
        <v>0</v>
      </c>
      <c r="I7" s="236">
        <v>0</v>
      </c>
      <c r="J7" s="236">
        <v>0</v>
      </c>
      <c r="K7" s="236">
        <v>0</v>
      </c>
      <c r="L7" s="236">
        <v>0</v>
      </c>
      <c r="M7" s="236">
        <v>0</v>
      </c>
      <c r="N7" s="236">
        <v>0</v>
      </c>
      <c r="O7" s="236">
        <v>0</v>
      </c>
      <c r="P7" s="236">
        <f t="shared" ref="P7:P38" si="0">SUM(D7:O7)</f>
        <v>0</v>
      </c>
      <c r="Q7" s="236"/>
    </row>
    <row r="8" spans="1:19" ht="11.25" customHeight="1" x14ac:dyDescent="0.2">
      <c r="A8" s="222" t="s">
        <v>4795</v>
      </c>
      <c r="B8" s="237" t="s">
        <v>4796</v>
      </c>
      <c r="C8" s="237" t="s">
        <v>4797</v>
      </c>
      <c r="D8" s="236">
        <v>0</v>
      </c>
      <c r="E8" s="236">
        <v>0</v>
      </c>
      <c r="F8" s="236">
        <v>0</v>
      </c>
      <c r="G8" s="236">
        <v>0</v>
      </c>
      <c r="H8" s="236">
        <v>0</v>
      </c>
      <c r="I8" s="236">
        <v>0</v>
      </c>
      <c r="J8" s="236">
        <v>0</v>
      </c>
      <c r="K8" s="236">
        <v>0</v>
      </c>
      <c r="L8" s="236">
        <v>0</v>
      </c>
      <c r="M8" s="236">
        <v>0</v>
      </c>
      <c r="N8" s="236">
        <v>0</v>
      </c>
      <c r="O8" s="236">
        <v>0</v>
      </c>
      <c r="P8" s="236">
        <f t="shared" si="0"/>
        <v>0</v>
      </c>
      <c r="Q8" s="236">
        <v>0</v>
      </c>
      <c r="R8" s="238" t="s">
        <v>28</v>
      </c>
      <c r="S8" s="238"/>
    </row>
    <row r="9" spans="1:19" ht="11.25" customHeight="1" x14ac:dyDescent="0.2">
      <c r="A9" s="222" t="s">
        <v>4798</v>
      </c>
      <c r="B9" s="237" t="s">
        <v>4799</v>
      </c>
      <c r="C9" s="237" t="s">
        <v>4797</v>
      </c>
      <c r="D9" s="236">
        <v>0</v>
      </c>
      <c r="E9" s="236">
        <v>0</v>
      </c>
      <c r="F9" s="236">
        <v>0</v>
      </c>
      <c r="G9" s="236">
        <v>0</v>
      </c>
      <c r="H9" s="236">
        <v>0</v>
      </c>
      <c r="I9" s="236">
        <v>0</v>
      </c>
      <c r="J9" s="236">
        <v>0</v>
      </c>
      <c r="K9" s="236">
        <v>0</v>
      </c>
      <c r="L9" s="236">
        <v>0</v>
      </c>
      <c r="M9" s="236">
        <v>0</v>
      </c>
      <c r="N9" s="236">
        <v>0</v>
      </c>
      <c r="O9" s="236">
        <v>0</v>
      </c>
      <c r="P9" s="236">
        <f t="shared" si="0"/>
        <v>0</v>
      </c>
      <c r="Q9" s="236">
        <v>0</v>
      </c>
      <c r="R9" s="238" t="s">
        <v>28</v>
      </c>
      <c r="S9" s="238"/>
    </row>
    <row r="10" spans="1:19" ht="11.25" customHeight="1" x14ac:dyDescent="0.2">
      <c r="A10" s="222" t="s">
        <v>4800</v>
      </c>
      <c r="B10" s="237" t="s">
        <v>4801</v>
      </c>
      <c r="C10" s="237" t="s">
        <v>4802</v>
      </c>
      <c r="D10" s="236">
        <v>0</v>
      </c>
      <c r="E10" s="236">
        <v>0</v>
      </c>
      <c r="F10" s="236">
        <v>-62701100</v>
      </c>
      <c r="G10" s="236">
        <v>0</v>
      </c>
      <c r="H10" s="236">
        <v>0</v>
      </c>
      <c r="I10" s="236">
        <v>0</v>
      </c>
      <c r="J10" s="236">
        <v>-15599650</v>
      </c>
      <c r="K10" s="236">
        <v>0</v>
      </c>
      <c r="L10" s="236">
        <v>0</v>
      </c>
      <c r="M10" s="236">
        <v>0</v>
      </c>
      <c r="N10" s="236">
        <v>0</v>
      </c>
      <c r="O10" s="236">
        <v>0</v>
      </c>
      <c r="P10" s="236">
        <f t="shared" si="0"/>
        <v>-78300750</v>
      </c>
      <c r="Q10" s="236">
        <v>0</v>
      </c>
      <c r="R10" s="238" t="s">
        <v>27</v>
      </c>
      <c r="S10" s="238"/>
    </row>
    <row r="11" spans="1:19" ht="11.25" customHeight="1" x14ac:dyDescent="0.2">
      <c r="A11" s="222" t="s">
        <v>4803</v>
      </c>
      <c r="B11" s="237" t="s">
        <v>4804</v>
      </c>
      <c r="C11" s="237" t="s">
        <v>4802</v>
      </c>
      <c r="D11" s="236">
        <v>0</v>
      </c>
      <c r="E11" s="236">
        <v>0</v>
      </c>
      <c r="F11" s="236">
        <v>0</v>
      </c>
      <c r="G11" s="236">
        <v>0</v>
      </c>
      <c r="H11" s="236">
        <v>0</v>
      </c>
      <c r="I11" s="236">
        <v>0</v>
      </c>
      <c r="J11" s="236">
        <v>0</v>
      </c>
      <c r="K11" s="236">
        <v>0</v>
      </c>
      <c r="L11" s="236">
        <v>0</v>
      </c>
      <c r="M11" s="236">
        <v>0</v>
      </c>
      <c r="N11" s="236">
        <v>0</v>
      </c>
      <c r="O11" s="236">
        <v>0</v>
      </c>
      <c r="P11" s="236">
        <f t="shared" si="0"/>
        <v>0</v>
      </c>
      <c r="Q11" s="236">
        <v>0</v>
      </c>
      <c r="R11" s="238" t="s">
        <v>28</v>
      </c>
      <c r="S11" s="238"/>
    </row>
    <row r="12" spans="1:19" ht="11.25" customHeight="1" x14ac:dyDescent="0.2">
      <c r="A12" s="222" t="s">
        <v>4805</v>
      </c>
      <c r="B12" s="237" t="s">
        <v>26</v>
      </c>
      <c r="C12" s="237" t="s">
        <v>4806</v>
      </c>
      <c r="D12" s="236">
        <v>0</v>
      </c>
      <c r="E12" s="236">
        <v>0</v>
      </c>
      <c r="F12" s="236">
        <v>0</v>
      </c>
      <c r="G12" s="236">
        <v>0</v>
      </c>
      <c r="H12" s="236">
        <v>0</v>
      </c>
      <c r="I12" s="236">
        <v>0</v>
      </c>
      <c r="J12" s="236">
        <v>0</v>
      </c>
      <c r="K12" s="236">
        <v>0</v>
      </c>
      <c r="L12" s="236">
        <v>0</v>
      </c>
      <c r="M12" s="236">
        <v>0</v>
      </c>
      <c r="N12" s="236">
        <v>0</v>
      </c>
      <c r="O12" s="236">
        <v>0</v>
      </c>
      <c r="P12" s="236">
        <f t="shared" si="0"/>
        <v>0</v>
      </c>
      <c r="Q12" s="236">
        <v>0</v>
      </c>
      <c r="R12" s="238" t="s">
        <v>28</v>
      </c>
      <c r="S12" s="238"/>
    </row>
    <row r="13" spans="1:19" ht="11.25" customHeight="1" x14ac:dyDescent="0.2">
      <c r="A13" s="222" t="s">
        <v>4807</v>
      </c>
      <c r="B13" s="237" t="s">
        <v>4808</v>
      </c>
      <c r="C13" s="237" t="s">
        <v>4806</v>
      </c>
      <c r="D13" s="236">
        <v>0</v>
      </c>
      <c r="E13" s="236">
        <v>0</v>
      </c>
      <c r="F13" s="236">
        <v>0</v>
      </c>
      <c r="G13" s="236">
        <v>0</v>
      </c>
      <c r="H13" s="236">
        <v>0</v>
      </c>
      <c r="I13" s="236">
        <v>0</v>
      </c>
      <c r="J13" s="236">
        <v>0</v>
      </c>
      <c r="K13" s="236">
        <v>0</v>
      </c>
      <c r="L13" s="236">
        <v>0</v>
      </c>
      <c r="M13" s="236">
        <v>0</v>
      </c>
      <c r="N13" s="236">
        <v>0</v>
      </c>
      <c r="O13" s="236">
        <v>0</v>
      </c>
      <c r="P13" s="236">
        <f t="shared" si="0"/>
        <v>0</v>
      </c>
      <c r="Q13" s="236">
        <v>0</v>
      </c>
      <c r="R13" s="238" t="s">
        <v>28</v>
      </c>
      <c r="S13" s="238"/>
    </row>
    <row r="14" spans="1:19" ht="11.25" customHeight="1" x14ac:dyDescent="0.2">
      <c r="A14" s="222" t="s">
        <v>4809</v>
      </c>
      <c r="B14" s="237" t="s">
        <v>4810</v>
      </c>
      <c r="C14" s="237" t="s">
        <v>4797</v>
      </c>
      <c r="D14" s="236">
        <v>9369446560.8400002</v>
      </c>
      <c r="E14" s="236">
        <v>8659570665.1700096</v>
      </c>
      <c r="F14" s="236">
        <v>6547257881.0500002</v>
      </c>
      <c r="G14" s="236">
        <v>6850528696.7399998</v>
      </c>
      <c r="H14" s="236">
        <v>7705416863.1599998</v>
      </c>
      <c r="I14" s="236">
        <v>8295287755.2200003</v>
      </c>
      <c r="J14" s="236">
        <v>8929680505.8299999</v>
      </c>
      <c r="K14" s="236">
        <v>9793125452.0599995</v>
      </c>
      <c r="L14" s="236">
        <v>0</v>
      </c>
      <c r="M14" s="236">
        <v>0</v>
      </c>
      <c r="N14" s="236">
        <v>0</v>
      </c>
      <c r="O14" s="236">
        <v>0</v>
      </c>
      <c r="P14" s="236">
        <f t="shared" si="0"/>
        <v>66150314380.070007</v>
      </c>
      <c r="Q14" s="236">
        <v>58625084974.900002</v>
      </c>
      <c r="R14" s="238" t="s">
        <v>28</v>
      </c>
      <c r="S14" s="238"/>
    </row>
    <row r="15" spans="1:19" ht="11.25" customHeight="1" x14ac:dyDescent="0.2">
      <c r="A15" s="222">
        <v>4102</v>
      </c>
      <c r="B15" s="237" t="s">
        <v>4811</v>
      </c>
      <c r="C15" s="237" t="s">
        <v>4806</v>
      </c>
      <c r="D15" s="236">
        <v>0</v>
      </c>
      <c r="E15" s="236">
        <v>0</v>
      </c>
      <c r="F15" s="236">
        <v>0</v>
      </c>
      <c r="G15" s="236">
        <v>0</v>
      </c>
      <c r="H15" s="236">
        <v>0</v>
      </c>
      <c r="I15" s="236">
        <v>0</v>
      </c>
      <c r="J15" s="236">
        <v>0</v>
      </c>
      <c r="K15" s="236">
        <v>0</v>
      </c>
      <c r="L15" s="236">
        <v>0</v>
      </c>
      <c r="M15" s="236">
        <v>0</v>
      </c>
      <c r="N15" s="236">
        <v>0</v>
      </c>
      <c r="O15" s="236">
        <v>0</v>
      </c>
      <c r="P15" s="236">
        <f t="shared" si="0"/>
        <v>0</v>
      </c>
      <c r="Q15" s="236">
        <v>0</v>
      </c>
      <c r="R15" s="238" t="s">
        <v>28</v>
      </c>
      <c r="S15" s="238"/>
    </row>
    <row r="16" spans="1:19" ht="11.25" customHeight="1" x14ac:dyDescent="0.2">
      <c r="A16" s="222">
        <v>4103</v>
      </c>
      <c r="B16" s="237" t="s">
        <v>4812</v>
      </c>
      <c r="C16" s="237" t="s">
        <v>4806</v>
      </c>
      <c r="D16" s="236">
        <v>0</v>
      </c>
      <c r="E16" s="236">
        <v>0</v>
      </c>
      <c r="F16" s="236">
        <v>0</v>
      </c>
      <c r="G16" s="236">
        <v>0</v>
      </c>
      <c r="H16" s="236">
        <v>0</v>
      </c>
      <c r="I16" s="236">
        <v>0</v>
      </c>
      <c r="J16" s="236">
        <v>0</v>
      </c>
      <c r="K16" s="236">
        <v>0</v>
      </c>
      <c r="L16" s="236">
        <v>0</v>
      </c>
      <c r="M16" s="236">
        <v>0</v>
      </c>
      <c r="N16" s="236">
        <v>0</v>
      </c>
      <c r="O16" s="236">
        <v>0</v>
      </c>
      <c r="P16" s="236">
        <f t="shared" si="0"/>
        <v>0</v>
      </c>
      <c r="Q16" s="236">
        <v>0</v>
      </c>
      <c r="R16" s="238" t="s">
        <v>28</v>
      </c>
      <c r="S16" s="238"/>
    </row>
    <row r="17" spans="1:21" s="240" customFormat="1" ht="11.25" customHeight="1" x14ac:dyDescent="0.25">
      <c r="A17" s="235"/>
      <c r="B17" s="235" t="s">
        <v>4813</v>
      </c>
      <c r="C17" s="235"/>
      <c r="D17" s="239">
        <f t="shared" ref="D17:O17" si="1">SUM(D7:D16)</f>
        <v>9369446560.8400002</v>
      </c>
      <c r="E17" s="239">
        <f t="shared" si="1"/>
        <v>8659570665.1700096</v>
      </c>
      <c r="F17" s="239">
        <f t="shared" si="1"/>
        <v>6484556781.0500002</v>
      </c>
      <c r="G17" s="239">
        <f t="shared" si="1"/>
        <v>6850528696.7399998</v>
      </c>
      <c r="H17" s="239">
        <f t="shared" si="1"/>
        <v>7705416863.1599998</v>
      </c>
      <c r="I17" s="239">
        <f t="shared" si="1"/>
        <v>8295287755.2200003</v>
      </c>
      <c r="J17" s="239">
        <f t="shared" si="1"/>
        <v>8914080855.8299999</v>
      </c>
      <c r="K17" s="239">
        <f t="shared" si="1"/>
        <v>9793125452.0599995</v>
      </c>
      <c r="L17" s="239">
        <f t="shared" si="1"/>
        <v>0</v>
      </c>
      <c r="M17" s="239">
        <f t="shared" si="1"/>
        <v>0</v>
      </c>
      <c r="N17" s="239">
        <f t="shared" si="1"/>
        <v>0</v>
      </c>
      <c r="O17" s="239">
        <f t="shared" si="1"/>
        <v>0</v>
      </c>
      <c r="P17" s="239">
        <f t="shared" si="0"/>
        <v>66072013630.070007</v>
      </c>
      <c r="Q17" s="239">
        <f>SUM(Q8:Q16)</f>
        <v>58625084974.900002</v>
      </c>
    </row>
    <row r="18" spans="1:21" s="240" customFormat="1" ht="11.25" customHeight="1" x14ac:dyDescent="0.25">
      <c r="A18" s="235"/>
      <c r="B18" s="235" t="s">
        <v>4814</v>
      </c>
      <c r="C18" s="235"/>
      <c r="D18" s="239"/>
      <c r="E18" s="239"/>
      <c r="F18" s="239"/>
      <c r="G18" s="239"/>
      <c r="H18" s="239"/>
      <c r="I18" s="239"/>
      <c r="J18" s="239"/>
      <c r="K18" s="239"/>
      <c r="L18" s="239"/>
      <c r="M18" s="239"/>
      <c r="N18" s="236"/>
      <c r="O18" s="236"/>
      <c r="P18" s="239">
        <f t="shared" si="0"/>
        <v>0</v>
      </c>
      <c r="Q18" s="239"/>
    </row>
    <row r="19" spans="1:21" s="240" customFormat="1" ht="11.25" customHeight="1" x14ac:dyDescent="0.25">
      <c r="A19" s="235">
        <v>5101</v>
      </c>
      <c r="B19" s="235" t="s">
        <v>4815</v>
      </c>
      <c r="C19" s="235"/>
      <c r="D19" s="239"/>
      <c r="E19" s="239"/>
      <c r="F19" s="239"/>
      <c r="G19" s="239"/>
      <c r="H19" s="239"/>
      <c r="I19" s="239"/>
      <c r="J19" s="239"/>
      <c r="K19" s="239"/>
      <c r="L19" s="239"/>
      <c r="M19" s="239"/>
      <c r="N19" s="236"/>
      <c r="O19" s="236"/>
      <c r="P19" s="239">
        <f t="shared" si="0"/>
        <v>0</v>
      </c>
      <c r="Q19" s="239"/>
    </row>
    <row r="20" spans="1:21" ht="11.25" customHeight="1" x14ac:dyDescent="0.2">
      <c r="A20" s="222" t="s">
        <v>4816</v>
      </c>
      <c r="B20" s="237" t="s">
        <v>4817</v>
      </c>
      <c r="C20" s="237" t="s">
        <v>4818</v>
      </c>
      <c r="D20" s="236">
        <v>5841163955.3900003</v>
      </c>
      <c r="E20" s="236">
        <v>5529607916.1400099</v>
      </c>
      <c r="F20" s="236">
        <v>4147447823.6900101</v>
      </c>
      <c r="G20" s="236">
        <v>4434186869.5600004</v>
      </c>
      <c r="H20" s="236">
        <v>5421291482.6400003</v>
      </c>
      <c r="I20" s="236">
        <v>5441384045.96</v>
      </c>
      <c r="J20" s="236">
        <v>5961607191.0699997</v>
      </c>
      <c r="K20" s="236">
        <v>6104020713.25</v>
      </c>
      <c r="L20" s="236">
        <v>0</v>
      </c>
      <c r="M20" s="236">
        <v>0</v>
      </c>
      <c r="N20" s="236">
        <v>0</v>
      </c>
      <c r="O20" s="236">
        <v>0</v>
      </c>
      <c r="P20" s="236">
        <f t="shared" si="0"/>
        <v>42880709997.70002</v>
      </c>
      <c r="Q20" s="236">
        <v>38916062301.660004</v>
      </c>
      <c r="R20" s="238" t="s">
        <v>4819</v>
      </c>
      <c r="S20" s="238" t="s">
        <v>46</v>
      </c>
    </row>
    <row r="21" spans="1:21" ht="11.25" customHeight="1" x14ac:dyDescent="0.2">
      <c r="A21" s="222" t="s">
        <v>4820</v>
      </c>
      <c r="B21" s="237" t="s">
        <v>4821</v>
      </c>
      <c r="C21" s="237" t="s">
        <v>4822</v>
      </c>
      <c r="D21" s="236">
        <v>836253454</v>
      </c>
      <c r="E21" s="236">
        <v>736842285</v>
      </c>
      <c r="F21" s="236">
        <v>610128896</v>
      </c>
      <c r="G21" s="236">
        <v>874743990</v>
      </c>
      <c r="H21" s="236">
        <v>937223872</v>
      </c>
      <c r="I21" s="236">
        <v>976098507</v>
      </c>
      <c r="J21" s="236">
        <v>1003243362</v>
      </c>
      <c r="K21" s="236">
        <v>961759797</v>
      </c>
      <c r="L21" s="236">
        <v>0</v>
      </c>
      <c r="M21" s="236">
        <v>0</v>
      </c>
      <c r="N21" s="236">
        <v>0</v>
      </c>
      <c r="O21" s="236">
        <v>0</v>
      </c>
      <c r="P21" s="236">
        <f t="shared" si="0"/>
        <v>6936294163</v>
      </c>
      <c r="Q21" s="236">
        <v>4885728813</v>
      </c>
      <c r="R21" s="238" t="s">
        <v>4819</v>
      </c>
      <c r="S21" s="238" t="s">
        <v>48</v>
      </c>
    </row>
    <row r="22" spans="1:21" ht="11.25" customHeight="1" x14ac:dyDescent="0.2">
      <c r="A22" s="222" t="s">
        <v>4823</v>
      </c>
      <c r="B22" s="237" t="s">
        <v>4824</v>
      </c>
      <c r="C22" s="237" t="s">
        <v>4822</v>
      </c>
      <c r="D22" s="236">
        <v>118646844.33</v>
      </c>
      <c r="E22" s="236">
        <v>118646844.33</v>
      </c>
      <c r="F22" s="236">
        <v>59921023.049999997</v>
      </c>
      <c r="G22" s="236">
        <v>117038791.68000001</v>
      </c>
      <c r="H22" s="236">
        <v>84235464.670000002</v>
      </c>
      <c r="I22" s="236">
        <v>63137128.350000001</v>
      </c>
      <c r="J22" s="236">
        <v>63137128.350000001</v>
      </c>
      <c r="K22" s="236">
        <v>63137128</v>
      </c>
      <c r="L22" s="236">
        <v>0</v>
      </c>
      <c r="M22" s="236">
        <v>0</v>
      </c>
      <c r="N22" s="236">
        <v>0</v>
      </c>
      <c r="O22" s="236">
        <v>0</v>
      </c>
      <c r="P22" s="236">
        <f t="shared" si="0"/>
        <v>687900352.75999999</v>
      </c>
      <c r="Q22" s="236">
        <v>1412811650.6500001</v>
      </c>
      <c r="R22" s="238" t="s">
        <v>4819</v>
      </c>
      <c r="S22" s="238" t="s">
        <v>49</v>
      </c>
    </row>
    <row r="23" spans="1:21" ht="11.25" customHeight="1" x14ac:dyDescent="0.2">
      <c r="A23" s="222" t="s">
        <v>4825</v>
      </c>
      <c r="B23" s="237" t="s">
        <v>4826</v>
      </c>
      <c r="C23" s="237" t="s">
        <v>4822</v>
      </c>
      <c r="D23" s="236">
        <v>0</v>
      </c>
      <c r="E23" s="236">
        <v>0</v>
      </c>
      <c r="F23" s="236">
        <v>0</v>
      </c>
      <c r="G23" s="236">
        <v>0</v>
      </c>
      <c r="H23" s="236">
        <v>0</v>
      </c>
      <c r="I23" s="236">
        <v>0</v>
      </c>
      <c r="J23" s="236">
        <v>0</v>
      </c>
      <c r="K23" s="236">
        <v>0</v>
      </c>
      <c r="L23" s="236">
        <v>0</v>
      </c>
      <c r="M23" s="236">
        <v>0</v>
      </c>
      <c r="N23" s="236">
        <v>0</v>
      </c>
      <c r="O23" s="236">
        <v>0</v>
      </c>
      <c r="P23" s="236">
        <f t="shared" si="0"/>
        <v>0</v>
      </c>
      <c r="Q23" s="236">
        <v>5461976</v>
      </c>
      <c r="R23" s="238" t="s">
        <v>4819</v>
      </c>
      <c r="S23" s="238" t="s">
        <v>51</v>
      </c>
      <c r="U23" s="227" t="s">
        <v>57</v>
      </c>
    </row>
    <row r="24" spans="1:21" ht="11.25" customHeight="1" x14ac:dyDescent="0.2">
      <c r="A24" s="222" t="s">
        <v>4827</v>
      </c>
      <c r="B24" s="237" t="s">
        <v>4828</v>
      </c>
      <c r="C24" s="237" t="s">
        <v>4822</v>
      </c>
      <c r="D24" s="236">
        <v>96531968</v>
      </c>
      <c r="E24" s="236">
        <v>109526484</v>
      </c>
      <c r="F24" s="236">
        <v>105148642</v>
      </c>
      <c r="G24" s="236">
        <v>122009803</v>
      </c>
      <c r="H24" s="236">
        <v>123298743</v>
      </c>
      <c r="I24" s="236">
        <v>132544964</v>
      </c>
      <c r="J24" s="236">
        <v>132457451</v>
      </c>
      <c r="K24" s="236">
        <v>128572648</v>
      </c>
      <c r="L24" s="236">
        <v>0</v>
      </c>
      <c r="M24" s="236">
        <v>0</v>
      </c>
      <c r="N24" s="236">
        <v>0</v>
      </c>
      <c r="O24" s="236">
        <v>0</v>
      </c>
      <c r="P24" s="236">
        <f t="shared" si="0"/>
        <v>950090703</v>
      </c>
      <c r="Q24" s="236">
        <v>826777218</v>
      </c>
      <c r="R24" s="238" t="s">
        <v>4819</v>
      </c>
      <c r="S24" s="238" t="s">
        <v>50</v>
      </c>
      <c r="U24" s="227" t="s">
        <v>58</v>
      </c>
    </row>
    <row r="25" spans="1:21" ht="11.25" customHeight="1" x14ac:dyDescent="0.2">
      <c r="A25" s="222" t="s">
        <v>4829</v>
      </c>
      <c r="B25" s="237" t="s">
        <v>4830</v>
      </c>
      <c r="C25" s="237" t="s">
        <v>4831</v>
      </c>
      <c r="D25" s="236">
        <v>63184268</v>
      </c>
      <c r="E25" s="236">
        <v>53698233</v>
      </c>
      <c r="F25" s="236">
        <v>42036498</v>
      </c>
      <c r="G25" s="236">
        <v>50567237</v>
      </c>
      <c r="H25" s="236">
        <v>54443107</v>
      </c>
      <c r="I25" s="236">
        <v>56260859</v>
      </c>
      <c r="J25" s="236">
        <v>58622228</v>
      </c>
      <c r="K25" s="236">
        <v>56566114</v>
      </c>
      <c r="L25" s="236">
        <v>0</v>
      </c>
      <c r="M25" s="236">
        <v>0</v>
      </c>
      <c r="N25" s="236">
        <v>0</v>
      </c>
      <c r="O25" s="236">
        <v>0</v>
      </c>
      <c r="P25" s="236">
        <f t="shared" si="0"/>
        <v>435378544</v>
      </c>
      <c r="Q25" s="236">
        <v>410288663</v>
      </c>
      <c r="R25" s="238" t="s">
        <v>4819</v>
      </c>
      <c r="S25" s="238" t="s">
        <v>57</v>
      </c>
      <c r="U25" s="227" t="s">
        <v>59</v>
      </c>
    </row>
    <row r="26" spans="1:21" ht="11.25" customHeight="1" x14ac:dyDescent="0.2">
      <c r="A26" s="222" t="s">
        <v>4832</v>
      </c>
      <c r="B26" s="237" t="s">
        <v>4833</v>
      </c>
      <c r="C26" s="237" t="s">
        <v>4834</v>
      </c>
      <c r="D26" s="236">
        <v>76900</v>
      </c>
      <c r="E26" s="236">
        <v>79400</v>
      </c>
      <c r="F26" s="236">
        <v>79000</v>
      </c>
      <c r="G26" s="236">
        <v>79000</v>
      </c>
      <c r="H26" s="236">
        <v>79000</v>
      </c>
      <c r="I26" s="236">
        <v>79000</v>
      </c>
      <c r="J26" s="236">
        <v>79000</v>
      </c>
      <c r="K26" s="236">
        <v>79000</v>
      </c>
      <c r="L26" s="236">
        <v>0</v>
      </c>
      <c r="M26" s="236">
        <v>0</v>
      </c>
      <c r="N26" s="236">
        <v>0</v>
      </c>
      <c r="O26" s="236">
        <v>0</v>
      </c>
      <c r="P26" s="236">
        <f t="shared" si="0"/>
        <v>630300</v>
      </c>
      <c r="Q26" s="236">
        <v>307600</v>
      </c>
      <c r="R26" s="238" t="s">
        <v>4819</v>
      </c>
      <c r="S26" s="238" t="s">
        <v>58</v>
      </c>
      <c r="U26" s="227" t="s">
        <v>60</v>
      </c>
    </row>
    <row r="27" spans="1:21" ht="11.25" customHeight="1" x14ac:dyDescent="0.2">
      <c r="A27" s="222" t="s">
        <v>4835</v>
      </c>
      <c r="B27" s="237" t="s">
        <v>4836</v>
      </c>
      <c r="C27" s="237" t="s">
        <v>4837</v>
      </c>
      <c r="D27" s="236">
        <v>0</v>
      </c>
      <c r="E27" s="236">
        <v>0</v>
      </c>
      <c r="F27" s="236">
        <v>0</v>
      </c>
      <c r="G27" s="236">
        <v>0</v>
      </c>
      <c r="H27" s="236">
        <v>0</v>
      </c>
      <c r="I27" s="236">
        <v>0</v>
      </c>
      <c r="J27" s="236">
        <v>0</v>
      </c>
      <c r="K27" s="236">
        <v>0</v>
      </c>
      <c r="L27" s="236">
        <v>0</v>
      </c>
      <c r="M27" s="236">
        <v>0</v>
      </c>
      <c r="N27" s="236">
        <v>0</v>
      </c>
      <c r="O27" s="236">
        <v>0</v>
      </c>
      <c r="P27" s="236">
        <f t="shared" si="0"/>
        <v>0</v>
      </c>
      <c r="Q27" s="236">
        <v>0</v>
      </c>
      <c r="R27" s="238" t="s">
        <v>4819</v>
      </c>
      <c r="S27" s="238"/>
      <c r="U27" s="227" t="s">
        <v>61</v>
      </c>
    </row>
    <row r="28" spans="1:21" ht="11.25" customHeight="1" x14ac:dyDescent="0.2">
      <c r="A28" s="222" t="s">
        <v>4838</v>
      </c>
      <c r="B28" s="237" t="s">
        <v>4839</v>
      </c>
      <c r="C28" s="237" t="s">
        <v>4840</v>
      </c>
      <c r="D28" s="236">
        <v>19782842</v>
      </c>
      <c r="E28" s="236">
        <v>20472039.629999999</v>
      </c>
      <c r="F28" s="236">
        <v>49527425.990000002</v>
      </c>
      <c r="G28" s="236">
        <v>26756279</v>
      </c>
      <c r="H28" s="236">
        <v>17482207</v>
      </c>
      <c r="I28" s="236">
        <v>21592538</v>
      </c>
      <c r="J28" s="236">
        <v>33935730</v>
      </c>
      <c r="K28" s="236">
        <v>24213641</v>
      </c>
      <c r="L28" s="236">
        <v>0</v>
      </c>
      <c r="M28" s="236">
        <v>0</v>
      </c>
      <c r="N28" s="236">
        <v>0</v>
      </c>
      <c r="O28" s="236">
        <v>0</v>
      </c>
      <c r="P28" s="236">
        <f t="shared" si="0"/>
        <v>213762702.62</v>
      </c>
      <c r="Q28" s="236">
        <v>180981131.53999999</v>
      </c>
      <c r="R28" s="238" t="s">
        <v>4819</v>
      </c>
      <c r="S28" s="238" t="s">
        <v>59</v>
      </c>
      <c r="U28" s="227" t="s">
        <v>62</v>
      </c>
    </row>
    <row r="29" spans="1:21" ht="11.25" customHeight="1" x14ac:dyDescent="0.2">
      <c r="A29" s="222" t="s">
        <v>4841</v>
      </c>
      <c r="B29" s="237" t="s">
        <v>4842</v>
      </c>
      <c r="C29" s="237" t="s">
        <v>4843</v>
      </c>
      <c r="D29" s="236">
        <v>144388938.72</v>
      </c>
      <c r="E29" s="236">
        <v>77736043.060000002</v>
      </c>
      <c r="F29" s="236">
        <v>156875427.59999999</v>
      </c>
      <c r="G29" s="236">
        <v>254437776.31</v>
      </c>
      <c r="H29" s="236">
        <v>122615692.8</v>
      </c>
      <c r="I29" s="236">
        <v>111863957.91</v>
      </c>
      <c r="J29" s="236">
        <v>115696845.45</v>
      </c>
      <c r="K29" s="236">
        <v>103655346.40000001</v>
      </c>
      <c r="L29" s="236">
        <v>0</v>
      </c>
      <c r="M29" s="236">
        <v>0</v>
      </c>
      <c r="N29" s="236">
        <v>0</v>
      </c>
      <c r="O29" s="236">
        <v>0</v>
      </c>
      <c r="P29" s="236">
        <f t="shared" si="0"/>
        <v>1087270028.25</v>
      </c>
      <c r="Q29" s="236">
        <v>1024839951.34</v>
      </c>
      <c r="R29" s="238" t="s">
        <v>4819</v>
      </c>
      <c r="S29" s="238" t="s">
        <v>60</v>
      </c>
      <c r="U29" s="227" t="s">
        <v>63</v>
      </c>
    </row>
    <row r="30" spans="1:21" ht="11.25" customHeight="1" x14ac:dyDescent="0.2">
      <c r="A30" s="222" t="s">
        <v>4844</v>
      </c>
      <c r="B30" s="237" t="s">
        <v>4845</v>
      </c>
      <c r="C30" s="237" t="s">
        <v>4843</v>
      </c>
      <c r="D30" s="236">
        <v>50198350</v>
      </c>
      <c r="E30" s="236">
        <v>186480700</v>
      </c>
      <c r="F30" s="236">
        <v>133949550</v>
      </c>
      <c r="G30" s="236">
        <v>73955000</v>
      </c>
      <c r="H30" s="236">
        <v>6537500</v>
      </c>
      <c r="I30" s="236">
        <v>612000</v>
      </c>
      <c r="J30" s="236">
        <v>17100000</v>
      </c>
      <c r="K30" s="236">
        <v>41591502</v>
      </c>
      <c r="L30" s="236">
        <v>0</v>
      </c>
      <c r="M30" s="236">
        <v>0</v>
      </c>
      <c r="N30" s="236">
        <v>0</v>
      </c>
      <c r="O30" s="236">
        <v>0</v>
      </c>
      <c r="P30" s="236">
        <f t="shared" si="0"/>
        <v>510424602</v>
      </c>
      <c r="Q30" s="236">
        <v>453174837.01999998</v>
      </c>
      <c r="R30" s="238" t="s">
        <v>4819</v>
      </c>
      <c r="S30" s="238" t="s">
        <v>61</v>
      </c>
      <c r="U30" s="227" t="s">
        <v>66</v>
      </c>
    </row>
    <row r="31" spans="1:21" ht="11.25" customHeight="1" x14ac:dyDescent="0.2">
      <c r="A31" s="222" t="s">
        <v>4846</v>
      </c>
      <c r="B31" s="237" t="s">
        <v>4847</v>
      </c>
      <c r="C31" s="237" t="s">
        <v>4843</v>
      </c>
      <c r="D31" s="236">
        <v>3700000</v>
      </c>
      <c r="E31" s="236">
        <v>1344631</v>
      </c>
      <c r="F31" s="236">
        <v>2075000</v>
      </c>
      <c r="G31" s="236">
        <v>17203000</v>
      </c>
      <c r="H31" s="236">
        <v>4850000</v>
      </c>
      <c r="I31" s="236">
        <v>8118919</v>
      </c>
      <c r="J31" s="236">
        <v>17597180</v>
      </c>
      <c r="K31" s="236">
        <v>4703135</v>
      </c>
      <c r="L31" s="236">
        <v>0</v>
      </c>
      <c r="M31" s="236">
        <v>0</v>
      </c>
      <c r="N31" s="236">
        <v>0</v>
      </c>
      <c r="O31" s="236">
        <v>0</v>
      </c>
      <c r="P31" s="236">
        <f t="shared" si="0"/>
        <v>59591865</v>
      </c>
      <c r="Q31" s="236">
        <v>41093096.840000004</v>
      </c>
      <c r="R31" s="238" t="s">
        <v>4819</v>
      </c>
      <c r="S31" s="238" t="s">
        <v>62</v>
      </c>
      <c r="U31" s="227" t="s">
        <v>68</v>
      </c>
    </row>
    <row r="32" spans="1:21" ht="11.25" customHeight="1" x14ac:dyDescent="0.2">
      <c r="A32" s="222" t="s">
        <v>3118</v>
      </c>
      <c r="B32" s="237" t="s">
        <v>4848</v>
      </c>
      <c r="C32" s="237" t="s">
        <v>4849</v>
      </c>
      <c r="D32" s="236">
        <v>10290902.66</v>
      </c>
      <c r="E32" s="236">
        <v>16793680.670000002</v>
      </c>
      <c r="F32" s="236">
        <v>16793680.670000002</v>
      </c>
      <c r="G32" s="236">
        <v>15659222.34</v>
      </c>
      <c r="H32" s="236">
        <v>16700889.01</v>
      </c>
      <c r="I32" s="236">
        <v>16700889.01</v>
      </c>
      <c r="J32" s="236">
        <v>16700889.01</v>
      </c>
      <c r="K32" s="236">
        <v>16700889.01</v>
      </c>
      <c r="L32" s="236">
        <v>0</v>
      </c>
      <c r="M32" s="236">
        <v>0</v>
      </c>
      <c r="N32" s="236">
        <v>0</v>
      </c>
      <c r="O32" s="236">
        <v>0</v>
      </c>
      <c r="P32" s="236">
        <f t="shared" si="0"/>
        <v>126341042.38000003</v>
      </c>
      <c r="Q32" s="236">
        <v>78158657.5</v>
      </c>
      <c r="R32" s="238" t="s">
        <v>4819</v>
      </c>
      <c r="S32" s="238" t="s">
        <v>63</v>
      </c>
    </row>
    <row r="33" spans="1:19" ht="11.25" customHeight="1" x14ac:dyDescent="0.2">
      <c r="A33" s="222" t="s">
        <v>3174</v>
      </c>
      <c r="B33" s="237" t="s">
        <v>4850</v>
      </c>
      <c r="C33" s="237" t="s">
        <v>4849</v>
      </c>
      <c r="D33" s="236">
        <v>138720636.68000001</v>
      </c>
      <c r="E33" s="236">
        <v>138720636.68000001</v>
      </c>
      <c r="F33" s="236">
        <v>138720636.68000001</v>
      </c>
      <c r="G33" s="236">
        <v>137626886.69</v>
      </c>
      <c r="H33" s="236">
        <v>137626886.69</v>
      </c>
      <c r="I33" s="236">
        <v>137626886.69</v>
      </c>
      <c r="J33" s="236">
        <v>137626886.69</v>
      </c>
      <c r="K33" s="236">
        <v>137626886.69</v>
      </c>
      <c r="L33" s="236">
        <v>0</v>
      </c>
      <c r="M33" s="236">
        <v>0</v>
      </c>
      <c r="N33" s="236">
        <v>0</v>
      </c>
      <c r="O33" s="236">
        <v>0</v>
      </c>
      <c r="P33" s="236">
        <f t="shared" si="0"/>
        <v>1104296343.4900002</v>
      </c>
      <c r="Q33" s="236">
        <v>1123874723.73</v>
      </c>
      <c r="R33" s="238" t="s">
        <v>4819</v>
      </c>
      <c r="S33" s="238" t="s">
        <v>63</v>
      </c>
    </row>
    <row r="34" spans="1:19" ht="11.25" customHeight="1" x14ac:dyDescent="0.2">
      <c r="A34" s="222" t="s">
        <v>4851</v>
      </c>
      <c r="B34" s="237" t="s">
        <v>4852</v>
      </c>
      <c r="C34" s="237" t="s">
        <v>4818</v>
      </c>
      <c r="D34" s="236">
        <v>-5040426033.8000002</v>
      </c>
      <c r="E34" s="236">
        <v>-2247050736.79</v>
      </c>
      <c r="F34" s="236">
        <v>-1029377722.47</v>
      </c>
      <c r="G34" s="236">
        <v>-2198906874.8299999</v>
      </c>
      <c r="H34" s="236">
        <v>-378150037.69999999</v>
      </c>
      <c r="I34" s="236">
        <v>117139176.02</v>
      </c>
      <c r="J34" s="236">
        <v>-84128812.300000206</v>
      </c>
      <c r="K34" s="236">
        <v>-123398793.91</v>
      </c>
      <c r="L34" s="236">
        <v>0</v>
      </c>
      <c r="M34" s="236">
        <v>0</v>
      </c>
      <c r="N34" s="236">
        <v>0</v>
      </c>
      <c r="O34" s="236">
        <v>0</v>
      </c>
      <c r="P34" s="236">
        <f t="shared" si="0"/>
        <v>-10984299835.780001</v>
      </c>
      <c r="Q34" s="236">
        <v>-5474827152.9499998</v>
      </c>
      <c r="R34" s="238" t="s">
        <v>4819</v>
      </c>
      <c r="S34" s="238" t="s">
        <v>66</v>
      </c>
    </row>
    <row r="35" spans="1:19" ht="11.25" customHeight="1" x14ac:dyDescent="0.2">
      <c r="A35" s="222" t="s">
        <v>4853</v>
      </c>
      <c r="B35" s="237" t="s">
        <v>4854</v>
      </c>
      <c r="C35" s="237" t="s">
        <v>4855</v>
      </c>
      <c r="D35" s="236">
        <v>1865200</v>
      </c>
      <c r="E35" s="236">
        <v>10639288</v>
      </c>
      <c r="F35" s="236">
        <v>504800</v>
      </c>
      <c r="G35" s="236">
        <v>1221625</v>
      </c>
      <c r="H35" s="236">
        <v>558499</v>
      </c>
      <c r="I35" s="236">
        <v>3901714</v>
      </c>
      <c r="J35" s="236">
        <v>11113022</v>
      </c>
      <c r="K35" s="236">
        <v>12505355.35</v>
      </c>
      <c r="L35" s="236">
        <v>0</v>
      </c>
      <c r="M35" s="236">
        <v>0</v>
      </c>
      <c r="N35" s="236">
        <v>0</v>
      </c>
      <c r="O35" s="236">
        <v>0</v>
      </c>
      <c r="P35" s="236">
        <f t="shared" si="0"/>
        <v>42309503.350000001</v>
      </c>
      <c r="Q35" s="236">
        <v>113356927.95</v>
      </c>
      <c r="R35" s="238" t="s">
        <v>4819</v>
      </c>
      <c r="S35" s="238" t="s">
        <v>68</v>
      </c>
    </row>
    <row r="36" spans="1:19" ht="11.25" customHeight="1" x14ac:dyDescent="0.2">
      <c r="A36" s="222">
        <v>5102</v>
      </c>
      <c r="B36" s="235" t="s">
        <v>4173</v>
      </c>
      <c r="C36" s="235" t="s">
        <v>4818</v>
      </c>
      <c r="D36" s="236">
        <v>0</v>
      </c>
      <c r="E36" s="236">
        <v>0</v>
      </c>
      <c r="F36" s="236">
        <v>0</v>
      </c>
      <c r="G36" s="236">
        <v>0</v>
      </c>
      <c r="H36" s="236">
        <v>0</v>
      </c>
      <c r="I36" s="236">
        <v>0</v>
      </c>
      <c r="J36" s="236">
        <v>0</v>
      </c>
      <c r="K36" s="236">
        <v>0</v>
      </c>
      <c r="L36" s="236">
        <v>0</v>
      </c>
      <c r="M36" s="236">
        <v>0</v>
      </c>
      <c r="N36" s="236">
        <v>0</v>
      </c>
      <c r="O36" s="236">
        <v>0</v>
      </c>
      <c r="P36" s="236">
        <f t="shared" si="0"/>
        <v>0</v>
      </c>
      <c r="Q36" s="236">
        <v>0</v>
      </c>
    </row>
    <row r="37" spans="1:19" ht="11.25" customHeight="1" x14ac:dyDescent="0.2">
      <c r="A37" s="222" t="s">
        <v>4856</v>
      </c>
      <c r="B37" s="237" t="s">
        <v>4173</v>
      </c>
      <c r="C37" s="237" t="s">
        <v>4818</v>
      </c>
      <c r="D37" s="236">
        <v>0</v>
      </c>
      <c r="E37" s="236">
        <v>0</v>
      </c>
      <c r="F37" s="236">
        <v>0</v>
      </c>
      <c r="G37" s="236">
        <v>0</v>
      </c>
      <c r="H37" s="236">
        <v>0</v>
      </c>
      <c r="I37" s="236">
        <v>0</v>
      </c>
      <c r="J37" s="236">
        <v>0</v>
      </c>
      <c r="K37" s="236">
        <v>0</v>
      </c>
      <c r="L37" s="236">
        <v>0</v>
      </c>
      <c r="M37" s="236">
        <v>0</v>
      </c>
      <c r="N37" s="236">
        <v>0</v>
      </c>
      <c r="O37" s="236">
        <v>0</v>
      </c>
      <c r="P37" s="236">
        <f t="shared" si="0"/>
        <v>0</v>
      </c>
      <c r="Q37" s="236">
        <v>0</v>
      </c>
      <c r="R37" s="238" t="s">
        <v>4819</v>
      </c>
      <c r="S37" s="238"/>
    </row>
    <row r="38" spans="1:19" ht="11.25" customHeight="1" x14ac:dyDescent="0.2">
      <c r="A38" s="222" t="s">
        <v>4857</v>
      </c>
      <c r="B38" s="237" t="s">
        <v>4858</v>
      </c>
      <c r="C38" s="237" t="s">
        <v>4818</v>
      </c>
      <c r="D38" s="236">
        <v>4318407455.0299997</v>
      </c>
      <c r="E38" s="236">
        <v>1776320851.6300001</v>
      </c>
      <c r="F38" s="236">
        <v>720333263.79999995</v>
      </c>
      <c r="G38" s="236">
        <v>1890555185.1700001</v>
      </c>
      <c r="H38" s="236">
        <v>19191622.32</v>
      </c>
      <c r="I38" s="236">
        <v>10030416.76</v>
      </c>
      <c r="J38" s="236">
        <v>56948827.490000002</v>
      </c>
      <c r="K38" s="236">
        <v>254871113.46000001</v>
      </c>
      <c r="L38" s="236">
        <v>0</v>
      </c>
      <c r="M38" s="236">
        <v>0</v>
      </c>
      <c r="N38" s="236">
        <v>0</v>
      </c>
      <c r="O38" s="236">
        <v>0</v>
      </c>
      <c r="P38" s="236">
        <f t="shared" si="0"/>
        <v>9046658735.6599998</v>
      </c>
      <c r="Q38" s="236">
        <v>304381446.39999998</v>
      </c>
      <c r="R38" s="238" t="s">
        <v>4819</v>
      </c>
      <c r="S38" s="238" t="s">
        <v>46</v>
      </c>
    </row>
    <row r="39" spans="1:19" ht="11.25" customHeight="1" x14ac:dyDescent="0.2">
      <c r="A39" s="222" t="s">
        <v>4859</v>
      </c>
      <c r="B39" s="237" t="s">
        <v>4860</v>
      </c>
      <c r="C39" s="237" t="s">
        <v>4818</v>
      </c>
      <c r="D39" s="236">
        <v>1800000</v>
      </c>
      <c r="E39" s="236">
        <v>1800000</v>
      </c>
      <c r="F39" s="236">
        <v>1800000</v>
      </c>
      <c r="G39" s="236">
        <v>4593750</v>
      </c>
      <c r="H39" s="236">
        <v>1800000</v>
      </c>
      <c r="I39" s="236">
        <v>0</v>
      </c>
      <c r="J39" s="236">
        <v>0</v>
      </c>
      <c r="K39" s="236">
        <v>0</v>
      </c>
      <c r="L39" s="236">
        <v>0</v>
      </c>
      <c r="M39" s="236">
        <v>0</v>
      </c>
      <c r="N39" s="236">
        <v>0</v>
      </c>
      <c r="O39" s="236">
        <v>0</v>
      </c>
      <c r="P39" s="236">
        <f t="shared" ref="P39:P70" si="2">SUM(D39:O39)</f>
        <v>11793750</v>
      </c>
      <c r="Q39" s="236">
        <v>20728000</v>
      </c>
      <c r="R39" s="238" t="s">
        <v>4819</v>
      </c>
      <c r="S39" s="238" t="s">
        <v>46</v>
      </c>
    </row>
    <row r="40" spans="1:19" s="240" customFormat="1" ht="11.25" customHeight="1" x14ac:dyDescent="0.25">
      <c r="A40" s="235"/>
      <c r="B40" s="235" t="s">
        <v>4861</v>
      </c>
      <c r="C40" s="235"/>
      <c r="D40" s="239">
        <f t="shared" ref="D40:O40" si="3">SUM(D20:D39)</f>
        <v>6604585681.0100002</v>
      </c>
      <c r="E40" s="239">
        <f t="shared" si="3"/>
        <v>6531658296.3500109</v>
      </c>
      <c r="F40" s="239">
        <f t="shared" si="3"/>
        <v>5155963945.0100107</v>
      </c>
      <c r="G40" s="239">
        <f t="shared" si="3"/>
        <v>5821727540.920001</v>
      </c>
      <c r="H40" s="239">
        <f t="shared" si="3"/>
        <v>6569784928.4300003</v>
      </c>
      <c r="I40" s="239">
        <f t="shared" si="3"/>
        <v>7097091001.7000008</v>
      </c>
      <c r="J40" s="239">
        <f t="shared" si="3"/>
        <v>7541736928.7599993</v>
      </c>
      <c r="K40" s="239">
        <f t="shared" si="3"/>
        <v>7786604475.25</v>
      </c>
      <c r="L40" s="239">
        <f t="shared" si="3"/>
        <v>0</v>
      </c>
      <c r="M40" s="239">
        <f t="shared" si="3"/>
        <v>0</v>
      </c>
      <c r="N40" s="239">
        <f t="shared" si="3"/>
        <v>0</v>
      </c>
      <c r="O40" s="239">
        <f t="shared" si="3"/>
        <v>0</v>
      </c>
      <c r="P40" s="239">
        <f t="shared" si="2"/>
        <v>53109152797.430031</v>
      </c>
      <c r="Q40" s="239">
        <f>SUM(Q20:Q39)</f>
        <v>44323199841.68</v>
      </c>
    </row>
    <row r="41" spans="1:19" s="240" customFormat="1" ht="11.25" customHeight="1" x14ac:dyDescent="0.25">
      <c r="A41" s="235"/>
      <c r="B41" s="235" t="s">
        <v>4862</v>
      </c>
      <c r="C41" s="235"/>
      <c r="D41" s="239">
        <f t="shared" ref="D41:O41" si="4">D17-D40</f>
        <v>2764860879.8299999</v>
      </c>
      <c r="E41" s="239">
        <f t="shared" si="4"/>
        <v>2127912368.8199987</v>
      </c>
      <c r="F41" s="239">
        <f t="shared" si="4"/>
        <v>1328592836.0399895</v>
      </c>
      <c r="G41" s="239">
        <f t="shared" si="4"/>
        <v>1028801155.8199987</v>
      </c>
      <c r="H41" s="239">
        <f t="shared" si="4"/>
        <v>1135631934.7299995</v>
      </c>
      <c r="I41" s="239">
        <f t="shared" si="4"/>
        <v>1198196753.5199995</v>
      </c>
      <c r="J41" s="239">
        <f t="shared" si="4"/>
        <v>1372343927.0700006</v>
      </c>
      <c r="K41" s="239">
        <f t="shared" si="4"/>
        <v>2006520976.8099995</v>
      </c>
      <c r="L41" s="239">
        <f t="shared" si="4"/>
        <v>0</v>
      </c>
      <c r="M41" s="239">
        <f t="shared" si="4"/>
        <v>0</v>
      </c>
      <c r="N41" s="239">
        <f t="shared" si="4"/>
        <v>0</v>
      </c>
      <c r="O41" s="239">
        <f t="shared" si="4"/>
        <v>0</v>
      </c>
      <c r="P41" s="239">
        <f t="shared" si="2"/>
        <v>12962860832.639986</v>
      </c>
      <c r="Q41" s="239">
        <f>Q17-Q40</f>
        <v>14301885133.220001</v>
      </c>
    </row>
    <row r="42" spans="1:19" ht="11.25" customHeight="1" x14ac:dyDescent="0.2">
      <c r="A42" s="222"/>
      <c r="B42" s="235" t="s">
        <v>4863</v>
      </c>
      <c r="C42" s="235"/>
      <c r="D42" s="236"/>
      <c r="E42" s="236"/>
      <c r="F42" s="236"/>
      <c r="G42" s="236"/>
      <c r="H42" s="236"/>
      <c r="I42" s="236"/>
      <c r="J42" s="236"/>
      <c r="K42" s="236"/>
      <c r="L42" s="236"/>
      <c r="M42" s="236"/>
      <c r="N42" s="236"/>
      <c r="O42" s="236"/>
      <c r="P42" s="236">
        <f t="shared" si="2"/>
        <v>0</v>
      </c>
      <c r="Q42" s="236"/>
    </row>
    <row r="43" spans="1:19" ht="11.25" customHeight="1" x14ac:dyDescent="0.2">
      <c r="A43" s="222">
        <v>6100</v>
      </c>
      <c r="B43" s="235" t="s">
        <v>4864</v>
      </c>
      <c r="C43" s="235"/>
      <c r="D43" s="236">
        <v>0</v>
      </c>
      <c r="E43" s="236">
        <v>0</v>
      </c>
      <c r="F43" s="236">
        <v>0</v>
      </c>
      <c r="G43" s="236">
        <v>0</v>
      </c>
      <c r="H43" s="236">
        <v>0</v>
      </c>
      <c r="I43" s="236">
        <v>0</v>
      </c>
      <c r="J43" s="236">
        <v>0</v>
      </c>
      <c r="K43" s="236">
        <v>0</v>
      </c>
      <c r="L43" s="236">
        <v>0</v>
      </c>
      <c r="M43" s="236">
        <v>0</v>
      </c>
      <c r="N43" s="236">
        <v>0</v>
      </c>
      <c r="O43" s="236">
        <v>0</v>
      </c>
      <c r="P43" s="236">
        <f t="shared" si="2"/>
        <v>0</v>
      </c>
      <c r="Q43" s="236"/>
    </row>
    <row r="44" spans="1:19" ht="11.25" customHeight="1" x14ac:dyDescent="0.2">
      <c r="A44" s="222" t="s">
        <v>4865</v>
      </c>
      <c r="B44" s="237" t="s">
        <v>4866</v>
      </c>
      <c r="C44" s="237" t="s">
        <v>4867</v>
      </c>
      <c r="D44" s="236">
        <v>1370144.4</v>
      </c>
      <c r="E44" s="236">
        <v>0</v>
      </c>
      <c r="F44" s="236">
        <v>0</v>
      </c>
      <c r="G44" s="236">
        <v>0</v>
      </c>
      <c r="H44" s="236">
        <v>0</v>
      </c>
      <c r="I44" s="236">
        <v>1254190</v>
      </c>
      <c r="J44" s="236">
        <v>0</v>
      </c>
      <c r="K44" s="236">
        <v>1001459</v>
      </c>
      <c r="L44" s="236">
        <v>0</v>
      </c>
      <c r="M44" s="236">
        <v>0</v>
      </c>
      <c r="N44" s="236">
        <v>0</v>
      </c>
      <c r="O44" s="236">
        <v>0</v>
      </c>
      <c r="P44" s="236">
        <f t="shared" si="2"/>
        <v>3625793.4</v>
      </c>
      <c r="Q44" s="236">
        <v>0</v>
      </c>
      <c r="R44" s="238" t="s">
        <v>79</v>
      </c>
      <c r="S44" s="238"/>
    </row>
    <row r="45" spans="1:19" ht="11.25" customHeight="1" x14ac:dyDescent="0.2">
      <c r="A45" s="222" t="s">
        <v>4868</v>
      </c>
      <c r="B45" s="237" t="s">
        <v>4869</v>
      </c>
      <c r="C45" s="237" t="s">
        <v>4867</v>
      </c>
      <c r="D45" s="236">
        <v>0</v>
      </c>
      <c r="E45" s="236">
        <v>0</v>
      </c>
      <c r="F45" s="236">
        <v>0</v>
      </c>
      <c r="G45" s="236">
        <v>0</v>
      </c>
      <c r="H45" s="236">
        <v>0</v>
      </c>
      <c r="I45" s="236">
        <v>0</v>
      </c>
      <c r="J45" s="236">
        <v>0</v>
      </c>
      <c r="K45" s="236">
        <v>0</v>
      </c>
      <c r="L45" s="236">
        <v>0</v>
      </c>
      <c r="M45" s="236">
        <v>0</v>
      </c>
      <c r="N45" s="236">
        <v>0</v>
      </c>
      <c r="O45" s="236">
        <v>0</v>
      </c>
      <c r="P45" s="236">
        <f t="shared" si="2"/>
        <v>0</v>
      </c>
      <c r="Q45" s="236">
        <v>0</v>
      </c>
      <c r="R45" s="238">
        <v>0</v>
      </c>
      <c r="S45" s="238"/>
    </row>
    <row r="46" spans="1:19" ht="11.25" customHeight="1" x14ac:dyDescent="0.2">
      <c r="A46" s="222" t="s">
        <v>4870</v>
      </c>
      <c r="B46" s="237" t="s">
        <v>4871</v>
      </c>
      <c r="C46" s="237" t="s">
        <v>4872</v>
      </c>
      <c r="D46" s="236">
        <v>1000000</v>
      </c>
      <c r="E46" s="236">
        <v>0</v>
      </c>
      <c r="F46" s="236">
        <v>0</v>
      </c>
      <c r="G46" s="236">
        <v>0</v>
      </c>
      <c r="H46" s="236">
        <v>100000000</v>
      </c>
      <c r="I46" s="236">
        <v>0</v>
      </c>
      <c r="J46" s="236">
        <v>0</v>
      </c>
      <c r="K46" s="236">
        <v>0</v>
      </c>
      <c r="L46" s="236">
        <v>0</v>
      </c>
      <c r="M46" s="236">
        <v>0</v>
      </c>
      <c r="N46" s="236">
        <v>0</v>
      </c>
      <c r="O46" s="236">
        <v>0</v>
      </c>
      <c r="P46" s="236">
        <f t="shared" si="2"/>
        <v>101000000</v>
      </c>
      <c r="Q46" s="236">
        <v>0</v>
      </c>
      <c r="R46" s="238" t="s">
        <v>78</v>
      </c>
      <c r="S46" s="238"/>
    </row>
    <row r="47" spans="1:19" ht="11.25" customHeight="1" x14ac:dyDescent="0.25">
      <c r="A47" s="222" t="s">
        <v>4873</v>
      </c>
      <c r="B47" s="237" t="s">
        <v>4874</v>
      </c>
      <c r="C47" s="241" t="s">
        <v>4875</v>
      </c>
      <c r="D47" s="236">
        <v>166626200</v>
      </c>
      <c r="E47" s="236">
        <v>161667800</v>
      </c>
      <c r="F47" s="236">
        <v>131479684</v>
      </c>
      <c r="G47" s="236">
        <v>137750800</v>
      </c>
      <c r="H47" s="236">
        <v>186572219</v>
      </c>
      <c r="I47" s="236">
        <v>184995600</v>
      </c>
      <c r="J47" s="236">
        <v>243587970</v>
      </c>
      <c r="K47" s="236">
        <v>220565335</v>
      </c>
      <c r="L47" s="236">
        <v>0</v>
      </c>
      <c r="M47" s="236">
        <v>0</v>
      </c>
      <c r="N47" s="236">
        <v>0</v>
      </c>
      <c r="O47" s="236">
        <v>0</v>
      </c>
      <c r="P47" s="236">
        <f t="shared" si="2"/>
        <v>1433245608</v>
      </c>
      <c r="Q47" s="236">
        <v>1105168200</v>
      </c>
      <c r="R47" s="238" t="s">
        <v>77</v>
      </c>
      <c r="S47" s="238"/>
    </row>
    <row r="48" spans="1:19" ht="11.25" customHeight="1" x14ac:dyDescent="0.2">
      <c r="A48" s="222">
        <v>6200</v>
      </c>
      <c r="B48" s="235" t="s">
        <v>4876</v>
      </c>
      <c r="C48" s="235"/>
      <c r="D48" s="236">
        <v>0</v>
      </c>
      <c r="E48" s="236">
        <v>0</v>
      </c>
      <c r="F48" s="236">
        <v>0</v>
      </c>
      <c r="G48" s="236">
        <v>0</v>
      </c>
      <c r="H48" s="236">
        <v>0</v>
      </c>
      <c r="I48" s="236">
        <v>0</v>
      </c>
      <c r="J48" s="236">
        <v>0</v>
      </c>
      <c r="K48" s="236">
        <v>0</v>
      </c>
      <c r="L48" s="236">
        <v>0</v>
      </c>
      <c r="M48" s="236">
        <v>0</v>
      </c>
      <c r="N48" s="236">
        <v>0</v>
      </c>
      <c r="O48" s="236">
        <v>0</v>
      </c>
      <c r="P48" s="236">
        <f t="shared" si="2"/>
        <v>0</v>
      </c>
      <c r="Q48" s="236"/>
    </row>
    <row r="49" spans="1:19" ht="11.25" customHeight="1" x14ac:dyDescent="0.2">
      <c r="A49" s="222" t="s">
        <v>4877</v>
      </c>
      <c r="B49" s="237" t="s">
        <v>4878</v>
      </c>
      <c r="C49" s="237" t="s">
        <v>4879</v>
      </c>
      <c r="D49" s="236">
        <v>354793223</v>
      </c>
      <c r="E49" s="236">
        <v>393273393</v>
      </c>
      <c r="F49" s="236">
        <v>1125378315</v>
      </c>
      <c r="G49" s="236">
        <v>128795820</v>
      </c>
      <c r="H49" s="236">
        <v>137118842</v>
      </c>
      <c r="I49" s="236">
        <v>132217992</v>
      </c>
      <c r="J49" s="236">
        <v>128347648</v>
      </c>
      <c r="K49" s="236">
        <v>257901890</v>
      </c>
      <c r="L49" s="236">
        <v>0</v>
      </c>
      <c r="M49" s="236">
        <v>0</v>
      </c>
      <c r="N49" s="236">
        <v>0</v>
      </c>
      <c r="O49" s="236">
        <v>0</v>
      </c>
      <c r="P49" s="236">
        <f t="shared" si="2"/>
        <v>2657827123</v>
      </c>
      <c r="Q49" s="236">
        <v>2672458816</v>
      </c>
      <c r="R49" s="238" t="s">
        <v>81</v>
      </c>
      <c r="S49" s="238"/>
    </row>
    <row r="50" spans="1:19" ht="11.25" customHeight="1" x14ac:dyDescent="0.2">
      <c r="A50" s="222" t="s">
        <v>4880</v>
      </c>
      <c r="B50" s="237" t="s">
        <v>4881</v>
      </c>
      <c r="C50" s="237" t="s">
        <v>4879</v>
      </c>
      <c r="D50" s="236">
        <v>46441072.670000002</v>
      </c>
      <c r="E50" s="236">
        <v>46441072.670000002</v>
      </c>
      <c r="F50" s="236">
        <v>109403142.95</v>
      </c>
      <c r="G50" s="236">
        <v>49461208.32</v>
      </c>
      <c r="H50" s="236">
        <v>82264535.329999998</v>
      </c>
      <c r="I50" s="236">
        <v>28362871.600000001</v>
      </c>
      <c r="J50" s="236">
        <v>28362871.649999999</v>
      </c>
      <c r="K50" s="236">
        <v>28362872</v>
      </c>
      <c r="L50" s="236">
        <v>0</v>
      </c>
      <c r="M50" s="236">
        <v>0</v>
      </c>
      <c r="N50" s="236">
        <v>0</v>
      </c>
      <c r="O50" s="236">
        <v>0</v>
      </c>
      <c r="P50" s="236">
        <f t="shared" si="2"/>
        <v>419099647.19</v>
      </c>
      <c r="Q50" s="236">
        <v>855536155.35000002</v>
      </c>
      <c r="R50" s="238" t="s">
        <v>81</v>
      </c>
      <c r="S50" s="238"/>
    </row>
    <row r="51" spans="1:19" ht="11.25" customHeight="1" x14ac:dyDescent="0.2">
      <c r="A51" s="222" t="s">
        <v>4882</v>
      </c>
      <c r="B51" s="237" t="s">
        <v>4883</v>
      </c>
      <c r="C51" s="237" t="s">
        <v>4879</v>
      </c>
      <c r="D51" s="236">
        <v>28749705</v>
      </c>
      <c r="E51" s="236">
        <v>31356793</v>
      </c>
      <c r="F51" s="236">
        <v>30254399</v>
      </c>
      <c r="G51" s="236">
        <v>10898918</v>
      </c>
      <c r="H51" s="236">
        <v>10752462</v>
      </c>
      <c r="I51" s="236">
        <v>10769742</v>
      </c>
      <c r="J51" s="236">
        <v>11009742</v>
      </c>
      <c r="K51" s="236">
        <v>10416680</v>
      </c>
      <c r="L51" s="236">
        <v>0</v>
      </c>
      <c r="M51" s="236">
        <v>0</v>
      </c>
      <c r="N51" s="236">
        <v>0</v>
      </c>
      <c r="O51" s="236">
        <v>0</v>
      </c>
      <c r="P51" s="236">
        <f t="shared" si="2"/>
        <v>144208441</v>
      </c>
      <c r="Q51" s="236">
        <v>231090068</v>
      </c>
      <c r="R51" s="238" t="s">
        <v>81</v>
      </c>
      <c r="S51" s="238"/>
    </row>
    <row r="52" spans="1:19" ht="11.25" customHeight="1" x14ac:dyDescent="0.2">
      <c r="A52" s="222" t="s">
        <v>4884</v>
      </c>
      <c r="B52" s="237" t="s">
        <v>4885</v>
      </c>
      <c r="C52" s="237" t="s">
        <v>4879</v>
      </c>
      <c r="D52" s="236">
        <v>0</v>
      </c>
      <c r="E52" s="236">
        <v>0</v>
      </c>
      <c r="F52" s="236">
        <v>0</v>
      </c>
      <c r="G52" s="236">
        <v>0</v>
      </c>
      <c r="H52" s="236">
        <v>0</v>
      </c>
      <c r="I52" s="236">
        <v>0</v>
      </c>
      <c r="J52" s="236">
        <v>0</v>
      </c>
      <c r="K52" s="236">
        <v>0</v>
      </c>
      <c r="L52" s="236">
        <v>0</v>
      </c>
      <c r="M52" s="236">
        <v>0</v>
      </c>
      <c r="N52" s="236">
        <v>0</v>
      </c>
      <c r="O52" s="236">
        <v>0</v>
      </c>
      <c r="P52" s="236">
        <f t="shared" si="2"/>
        <v>0</v>
      </c>
      <c r="Q52" s="236">
        <v>0</v>
      </c>
      <c r="R52" s="238" t="s">
        <v>81</v>
      </c>
      <c r="S52" s="238"/>
    </row>
    <row r="53" spans="1:19" ht="11.25" customHeight="1" x14ac:dyDescent="0.2">
      <c r="A53" s="222" t="s">
        <v>4886</v>
      </c>
      <c r="B53" s="237" t="s">
        <v>4887</v>
      </c>
      <c r="C53" s="237" t="s">
        <v>4879</v>
      </c>
      <c r="D53" s="236">
        <v>0</v>
      </c>
      <c r="E53" s="236">
        <v>0</v>
      </c>
      <c r="F53" s="236">
        <v>0</v>
      </c>
      <c r="G53" s="236">
        <v>0</v>
      </c>
      <c r="H53" s="236">
        <v>0</v>
      </c>
      <c r="I53" s="236">
        <v>0</v>
      </c>
      <c r="J53" s="236">
        <v>0</v>
      </c>
      <c r="K53" s="236">
        <v>0</v>
      </c>
      <c r="L53" s="236">
        <v>0</v>
      </c>
      <c r="M53" s="236">
        <v>0</v>
      </c>
      <c r="N53" s="236">
        <v>0</v>
      </c>
      <c r="O53" s="236">
        <v>0</v>
      </c>
      <c r="P53" s="236">
        <f t="shared" si="2"/>
        <v>0</v>
      </c>
      <c r="Q53" s="236">
        <v>0</v>
      </c>
      <c r="R53" s="238" t="s">
        <v>81</v>
      </c>
      <c r="S53" s="238"/>
    </row>
    <row r="54" spans="1:19" ht="11.25" customHeight="1" x14ac:dyDescent="0.2">
      <c r="A54" s="222">
        <v>6300</v>
      </c>
      <c r="B54" s="235" t="s">
        <v>4888</v>
      </c>
      <c r="C54" s="235"/>
      <c r="D54" s="236">
        <v>0</v>
      </c>
      <c r="E54" s="236">
        <v>0</v>
      </c>
      <c r="F54" s="236">
        <v>0</v>
      </c>
      <c r="G54" s="236">
        <v>0</v>
      </c>
      <c r="H54" s="236">
        <v>0</v>
      </c>
      <c r="I54" s="236">
        <v>0</v>
      </c>
      <c r="J54" s="236">
        <v>0</v>
      </c>
      <c r="K54" s="236">
        <v>0</v>
      </c>
      <c r="L54" s="236">
        <v>0</v>
      </c>
      <c r="M54" s="236">
        <v>0</v>
      </c>
      <c r="N54" s="236">
        <v>0</v>
      </c>
      <c r="O54" s="236">
        <v>0</v>
      </c>
      <c r="P54" s="236">
        <f t="shared" si="2"/>
        <v>0</v>
      </c>
      <c r="Q54" s="236"/>
    </row>
    <row r="55" spans="1:19" ht="11.25" customHeight="1" x14ac:dyDescent="0.2">
      <c r="A55" s="222" t="s">
        <v>4889</v>
      </c>
      <c r="B55" s="237" t="s">
        <v>4890</v>
      </c>
      <c r="C55" s="237" t="s">
        <v>4891</v>
      </c>
      <c r="D55" s="236">
        <v>276000</v>
      </c>
      <c r="E55" s="236">
        <v>940000</v>
      </c>
      <c r="F55" s="236">
        <v>1785000</v>
      </c>
      <c r="G55" s="236">
        <v>1070000</v>
      </c>
      <c r="H55" s="236">
        <v>7235000</v>
      </c>
      <c r="I55" s="236">
        <v>5324000</v>
      </c>
      <c r="J55" s="236">
        <v>6985000</v>
      </c>
      <c r="K55" s="236">
        <v>10038000</v>
      </c>
      <c r="L55" s="236">
        <v>0</v>
      </c>
      <c r="M55" s="236">
        <v>0</v>
      </c>
      <c r="N55" s="236">
        <v>0</v>
      </c>
      <c r="O55" s="236">
        <v>0</v>
      </c>
      <c r="P55" s="236">
        <f t="shared" si="2"/>
        <v>33653000</v>
      </c>
      <c r="Q55" s="236">
        <v>11646000</v>
      </c>
      <c r="R55" s="238" t="s">
        <v>68</v>
      </c>
      <c r="S55" s="238"/>
    </row>
    <row r="56" spans="1:19" ht="11.25" customHeight="1" x14ac:dyDescent="0.2">
      <c r="A56" s="222" t="s">
        <v>4892</v>
      </c>
      <c r="B56" s="237" t="s">
        <v>4893</v>
      </c>
      <c r="C56" s="237" t="s">
        <v>4894</v>
      </c>
      <c r="D56" s="236">
        <v>34115000</v>
      </c>
      <c r="E56" s="236">
        <v>37610000</v>
      </c>
      <c r="F56" s="236">
        <v>31998600</v>
      </c>
      <c r="G56" s="236">
        <v>44404400</v>
      </c>
      <c r="H56" s="236">
        <v>47325800</v>
      </c>
      <c r="I56" s="236">
        <v>44828600</v>
      </c>
      <c r="J56" s="236">
        <v>28770000</v>
      </c>
      <c r="K56" s="236">
        <v>31700000</v>
      </c>
      <c r="L56" s="236">
        <v>0</v>
      </c>
      <c r="M56" s="236">
        <v>0</v>
      </c>
      <c r="N56" s="236">
        <v>0</v>
      </c>
      <c r="O56" s="236">
        <v>0</v>
      </c>
      <c r="P56" s="236">
        <f t="shared" si="2"/>
        <v>300752400</v>
      </c>
      <c r="Q56" s="236">
        <v>314071900</v>
      </c>
      <c r="R56" s="238" t="s">
        <v>68</v>
      </c>
      <c r="S56" s="238"/>
    </row>
    <row r="57" spans="1:19" ht="11.25" customHeight="1" x14ac:dyDescent="0.2">
      <c r="A57" s="222" t="s">
        <v>4895</v>
      </c>
      <c r="B57" s="237" t="s">
        <v>4896</v>
      </c>
      <c r="C57" s="237" t="s">
        <v>4897</v>
      </c>
      <c r="D57" s="236">
        <v>9135000</v>
      </c>
      <c r="E57" s="236">
        <v>8500000</v>
      </c>
      <c r="F57" s="236">
        <v>6360000</v>
      </c>
      <c r="G57" s="236">
        <v>5121000</v>
      </c>
      <c r="H57" s="236">
        <v>7890000</v>
      </c>
      <c r="I57" s="236">
        <v>6785000</v>
      </c>
      <c r="J57" s="236">
        <v>11120000</v>
      </c>
      <c r="K57" s="236">
        <v>13320000</v>
      </c>
      <c r="L57" s="236">
        <v>0</v>
      </c>
      <c r="M57" s="236">
        <v>0</v>
      </c>
      <c r="N57" s="236">
        <v>0</v>
      </c>
      <c r="O57" s="236">
        <v>0</v>
      </c>
      <c r="P57" s="236">
        <f t="shared" si="2"/>
        <v>68231000</v>
      </c>
      <c r="Q57" s="236">
        <v>54805000</v>
      </c>
      <c r="R57" s="238" t="s">
        <v>68</v>
      </c>
      <c r="S57" s="238"/>
    </row>
    <row r="58" spans="1:19" ht="11.25" customHeight="1" x14ac:dyDescent="0.2">
      <c r="A58" s="222" t="s">
        <v>4898</v>
      </c>
      <c r="B58" s="237" t="s">
        <v>4874</v>
      </c>
      <c r="C58" s="237" t="s">
        <v>4875</v>
      </c>
      <c r="D58" s="236">
        <v>0</v>
      </c>
      <c r="E58" s="236">
        <v>4016222</v>
      </c>
      <c r="F58" s="236">
        <v>4016222</v>
      </c>
      <c r="G58" s="236">
        <v>0</v>
      </c>
      <c r="H58" s="236">
        <v>-8032444</v>
      </c>
      <c r="I58" s="236">
        <v>0</v>
      </c>
      <c r="J58" s="236">
        <v>0</v>
      </c>
      <c r="K58" s="236">
        <v>0</v>
      </c>
      <c r="L58" s="236">
        <v>0</v>
      </c>
      <c r="M58" s="236">
        <v>0</v>
      </c>
      <c r="N58" s="236">
        <v>0</v>
      </c>
      <c r="O58" s="236">
        <v>0</v>
      </c>
      <c r="P58" s="236">
        <f t="shared" si="2"/>
        <v>0</v>
      </c>
      <c r="Q58" s="236">
        <v>0</v>
      </c>
      <c r="R58" s="238" t="s">
        <v>68</v>
      </c>
      <c r="S58" s="238"/>
    </row>
    <row r="59" spans="1:19" ht="11.25" customHeight="1" x14ac:dyDescent="0.2">
      <c r="A59" s="222" t="s">
        <v>4899</v>
      </c>
      <c r="B59" s="237" t="s">
        <v>4900</v>
      </c>
      <c r="C59" s="237" t="s">
        <v>4901</v>
      </c>
      <c r="D59" s="236">
        <v>12655517</v>
      </c>
      <c r="E59" s="236">
        <v>14687005</v>
      </c>
      <c r="F59" s="236">
        <v>12379380</v>
      </c>
      <c r="G59" s="236">
        <v>9393520</v>
      </c>
      <c r="H59" s="236">
        <v>6446232</v>
      </c>
      <c r="I59" s="236">
        <v>6640768</v>
      </c>
      <c r="J59" s="236">
        <v>6517096</v>
      </c>
      <c r="K59" s="236">
        <v>6676138</v>
      </c>
      <c r="L59" s="236">
        <v>0</v>
      </c>
      <c r="M59" s="236">
        <v>0</v>
      </c>
      <c r="N59" s="236">
        <v>0</v>
      </c>
      <c r="O59" s="236">
        <v>0</v>
      </c>
      <c r="P59" s="236">
        <f t="shared" si="2"/>
        <v>75395656</v>
      </c>
      <c r="Q59" s="236">
        <v>139376472</v>
      </c>
      <c r="R59" s="238" t="s">
        <v>84</v>
      </c>
      <c r="S59" s="238"/>
    </row>
    <row r="60" spans="1:19" ht="11.25" customHeight="1" x14ac:dyDescent="0.2">
      <c r="A60" s="222" t="s">
        <v>4902</v>
      </c>
      <c r="B60" s="237" t="s">
        <v>4903</v>
      </c>
      <c r="C60" s="237" t="s">
        <v>4904</v>
      </c>
      <c r="D60" s="236">
        <v>9406514</v>
      </c>
      <c r="E60" s="236">
        <v>20371500</v>
      </c>
      <c r="F60" s="236">
        <v>1846888</v>
      </c>
      <c r="G60" s="236">
        <v>16748000</v>
      </c>
      <c r="H60" s="236">
        <v>917500</v>
      </c>
      <c r="I60" s="236">
        <v>25718000.039999999</v>
      </c>
      <c r="J60" s="236">
        <v>3333252</v>
      </c>
      <c r="K60" s="236">
        <v>16142000</v>
      </c>
      <c r="L60" s="236">
        <v>0</v>
      </c>
      <c r="M60" s="236">
        <v>0</v>
      </c>
      <c r="N60" s="236">
        <v>0</v>
      </c>
      <c r="O60" s="236">
        <v>0</v>
      </c>
      <c r="P60" s="236">
        <f t="shared" si="2"/>
        <v>94483654.039999992</v>
      </c>
      <c r="Q60" s="236">
        <v>105588807</v>
      </c>
      <c r="R60" s="238" t="s">
        <v>82</v>
      </c>
      <c r="S60" s="238"/>
    </row>
    <row r="61" spans="1:19" ht="11.25" customHeight="1" x14ac:dyDescent="0.2">
      <c r="A61" s="222" t="s">
        <v>4905</v>
      </c>
      <c r="B61" s="237" t="s">
        <v>4906</v>
      </c>
      <c r="C61" s="237" t="s">
        <v>4907</v>
      </c>
      <c r="D61" s="236">
        <v>8791378.3800000008</v>
      </c>
      <c r="E61" s="236">
        <v>6832529.7699999996</v>
      </c>
      <c r="F61" s="236">
        <v>2060000</v>
      </c>
      <c r="G61" s="236">
        <v>3439000</v>
      </c>
      <c r="H61" s="236">
        <v>518000</v>
      </c>
      <c r="I61" s="236">
        <v>3257000</v>
      </c>
      <c r="J61" s="236">
        <v>5385000</v>
      </c>
      <c r="K61" s="236">
        <v>2477072</v>
      </c>
      <c r="L61" s="236">
        <v>0</v>
      </c>
      <c r="M61" s="236">
        <v>0</v>
      </c>
      <c r="N61" s="236">
        <v>0</v>
      </c>
      <c r="O61" s="236">
        <v>0</v>
      </c>
      <c r="P61" s="236">
        <f t="shared" si="2"/>
        <v>32759980.149999999</v>
      </c>
      <c r="Q61" s="236">
        <v>26209517.149999999</v>
      </c>
      <c r="R61" s="238" t="s">
        <v>82</v>
      </c>
      <c r="S61" s="238"/>
    </row>
    <row r="62" spans="1:19" ht="11.25" customHeight="1" x14ac:dyDescent="0.2">
      <c r="A62" s="222" t="s">
        <v>4908</v>
      </c>
      <c r="B62" s="237" t="s">
        <v>4909</v>
      </c>
      <c r="C62" s="237" t="s">
        <v>4910</v>
      </c>
      <c r="D62" s="236">
        <v>13399000</v>
      </c>
      <c r="E62" s="236">
        <v>8513887</v>
      </c>
      <c r="F62" s="236">
        <v>8690789</v>
      </c>
      <c r="G62" s="236">
        <v>7220217</v>
      </c>
      <c r="H62" s="236">
        <v>17630266.510000002</v>
      </c>
      <c r="I62" s="236">
        <v>23617513.52</v>
      </c>
      <c r="J62" s="236">
        <v>29295792.16</v>
      </c>
      <c r="K62" s="236">
        <v>4683000</v>
      </c>
      <c r="L62" s="236">
        <v>0</v>
      </c>
      <c r="M62" s="236">
        <v>0</v>
      </c>
      <c r="N62" s="236">
        <v>0</v>
      </c>
      <c r="O62" s="236">
        <v>0</v>
      </c>
      <c r="P62" s="236">
        <f t="shared" si="2"/>
        <v>113050465.19</v>
      </c>
      <c r="Q62" s="236">
        <v>116386283.58</v>
      </c>
      <c r="R62" s="238" t="s">
        <v>82</v>
      </c>
      <c r="S62" s="238"/>
    </row>
    <row r="63" spans="1:19" ht="11.25" customHeight="1" x14ac:dyDescent="0.2">
      <c r="A63" s="222" t="s">
        <v>4911</v>
      </c>
      <c r="B63" s="237" t="s">
        <v>4912</v>
      </c>
      <c r="C63" s="237" t="s">
        <v>4913</v>
      </c>
      <c r="D63" s="236">
        <v>4072348.39</v>
      </c>
      <c r="E63" s="236">
        <v>4072348.39</v>
      </c>
      <c r="F63" s="236">
        <v>4072348.39</v>
      </c>
      <c r="G63" s="236">
        <v>4072348.39</v>
      </c>
      <c r="H63" s="236">
        <v>4072348.39</v>
      </c>
      <c r="I63" s="236">
        <v>4072348.39</v>
      </c>
      <c r="J63" s="236">
        <v>0</v>
      </c>
      <c r="K63" s="236">
        <v>0</v>
      </c>
      <c r="L63" s="236">
        <v>0</v>
      </c>
      <c r="M63" s="236">
        <v>0</v>
      </c>
      <c r="N63" s="236">
        <v>0</v>
      </c>
      <c r="O63" s="236">
        <v>0</v>
      </c>
      <c r="P63" s="236">
        <f t="shared" si="2"/>
        <v>24434090.34</v>
      </c>
      <c r="Q63" s="236">
        <v>32678787.149999999</v>
      </c>
      <c r="R63" s="238" t="s">
        <v>85</v>
      </c>
      <c r="S63" s="238"/>
    </row>
    <row r="64" spans="1:19" ht="11.25" customHeight="1" x14ac:dyDescent="0.2">
      <c r="A64" s="222" t="s">
        <v>4914</v>
      </c>
      <c r="B64" s="237" t="s">
        <v>4915</v>
      </c>
      <c r="C64" s="237" t="s">
        <v>4916</v>
      </c>
      <c r="D64" s="236">
        <v>1724030.17</v>
      </c>
      <c r="E64" s="236">
        <v>1724030.17</v>
      </c>
      <c r="F64" s="236">
        <v>1724030.17</v>
      </c>
      <c r="G64" s="236">
        <v>1724030.17</v>
      </c>
      <c r="H64" s="236">
        <v>1724030.17</v>
      </c>
      <c r="I64" s="236">
        <v>0</v>
      </c>
      <c r="J64" s="236">
        <v>0</v>
      </c>
      <c r="K64" s="236">
        <v>0</v>
      </c>
      <c r="L64" s="236">
        <v>0</v>
      </c>
      <c r="M64" s="236">
        <v>0</v>
      </c>
      <c r="N64" s="236">
        <v>0</v>
      </c>
      <c r="O64" s="236">
        <v>0</v>
      </c>
      <c r="P64" s="236">
        <f t="shared" si="2"/>
        <v>8620150.8499999996</v>
      </c>
      <c r="Q64" s="236">
        <v>15426619.93</v>
      </c>
      <c r="R64" s="238" t="s">
        <v>85</v>
      </c>
      <c r="S64" s="238"/>
    </row>
    <row r="65" spans="1:19" ht="11.25" customHeight="1" x14ac:dyDescent="0.2">
      <c r="A65" s="222" t="s">
        <v>4917</v>
      </c>
      <c r="B65" s="237" t="s">
        <v>4918</v>
      </c>
      <c r="C65" s="237" t="s">
        <v>4919</v>
      </c>
      <c r="D65" s="236">
        <v>0</v>
      </c>
      <c r="E65" s="236">
        <v>6440666.6600000001</v>
      </c>
      <c r="F65" s="236">
        <v>3210333.33</v>
      </c>
      <c r="G65" s="236">
        <v>3210333.33</v>
      </c>
      <c r="H65" s="236">
        <v>3210333.33</v>
      </c>
      <c r="I65" s="236">
        <v>3210333.33</v>
      </c>
      <c r="J65" s="236">
        <v>3210333.33</v>
      </c>
      <c r="K65" s="236">
        <v>3210333.33</v>
      </c>
      <c r="L65" s="236">
        <v>0</v>
      </c>
      <c r="M65" s="236">
        <v>0</v>
      </c>
      <c r="N65" s="236">
        <v>0</v>
      </c>
      <c r="O65" s="236">
        <v>0</v>
      </c>
      <c r="P65" s="236">
        <f t="shared" si="2"/>
        <v>25702666.640000001</v>
      </c>
      <c r="Q65" s="236">
        <v>19331700.02</v>
      </c>
      <c r="R65" s="238" t="s">
        <v>85</v>
      </c>
      <c r="S65" s="238"/>
    </row>
    <row r="66" spans="1:19" ht="11.25" customHeight="1" x14ac:dyDescent="0.2">
      <c r="A66" s="222" t="s">
        <v>4920</v>
      </c>
      <c r="B66" s="237" t="s">
        <v>4921</v>
      </c>
      <c r="C66" s="237" t="s">
        <v>4922</v>
      </c>
      <c r="D66" s="236">
        <v>16485500</v>
      </c>
      <c r="E66" s="236">
        <v>11917051</v>
      </c>
      <c r="F66" s="236">
        <v>23259800</v>
      </c>
      <c r="G66" s="236">
        <v>13679780</v>
      </c>
      <c r="H66" s="236">
        <v>18122000</v>
      </c>
      <c r="I66" s="236">
        <v>8949396</v>
      </c>
      <c r="J66" s="236">
        <v>18679700</v>
      </c>
      <c r="K66" s="236">
        <v>4204500</v>
      </c>
      <c r="L66" s="236">
        <v>0</v>
      </c>
      <c r="M66" s="236">
        <v>0</v>
      </c>
      <c r="N66" s="236">
        <v>0</v>
      </c>
      <c r="O66" s="236">
        <v>0</v>
      </c>
      <c r="P66" s="236">
        <f t="shared" si="2"/>
        <v>115297727</v>
      </c>
      <c r="Q66" s="236">
        <v>155850321</v>
      </c>
      <c r="R66" s="238" t="s">
        <v>87</v>
      </c>
      <c r="S66" s="238"/>
    </row>
    <row r="67" spans="1:19" ht="11.25" customHeight="1" x14ac:dyDescent="0.2">
      <c r="A67" s="222" t="s">
        <v>4923</v>
      </c>
      <c r="B67" s="237" t="s">
        <v>4924</v>
      </c>
      <c r="C67" s="237" t="s">
        <v>4925</v>
      </c>
      <c r="D67" s="236">
        <v>3088000</v>
      </c>
      <c r="E67" s="236">
        <v>7950840</v>
      </c>
      <c r="F67" s="236">
        <v>3093500</v>
      </c>
      <c r="G67" s="236">
        <v>4710486</v>
      </c>
      <c r="H67" s="236">
        <v>3027000</v>
      </c>
      <c r="I67" s="236">
        <v>2305000</v>
      </c>
      <c r="J67" s="236">
        <v>2707500</v>
      </c>
      <c r="K67" s="236">
        <v>7541840</v>
      </c>
      <c r="L67" s="236">
        <v>0</v>
      </c>
      <c r="M67" s="236">
        <v>0</v>
      </c>
      <c r="N67" s="236">
        <v>0</v>
      </c>
      <c r="O67" s="236">
        <v>0</v>
      </c>
      <c r="P67" s="236">
        <f t="shared" si="2"/>
        <v>34424166</v>
      </c>
      <c r="Q67" s="236">
        <v>39053660.149999999</v>
      </c>
      <c r="R67" s="238" t="s">
        <v>87</v>
      </c>
      <c r="S67" s="238"/>
    </row>
    <row r="68" spans="1:19" ht="11.25" customHeight="1" x14ac:dyDescent="0.2">
      <c r="A68" s="222" t="s">
        <v>4926</v>
      </c>
      <c r="B68" s="237" t="s">
        <v>4927</v>
      </c>
      <c r="C68" s="237" t="s">
        <v>4928</v>
      </c>
      <c r="D68" s="236">
        <v>578300</v>
      </c>
      <c r="E68" s="236">
        <v>732400</v>
      </c>
      <c r="F68" s="236">
        <v>439200</v>
      </c>
      <c r="G68" s="236">
        <v>126450</v>
      </c>
      <c r="H68" s="236">
        <v>681500</v>
      </c>
      <c r="I68" s="236">
        <v>506000</v>
      </c>
      <c r="J68" s="236">
        <v>567000</v>
      </c>
      <c r="K68" s="236">
        <v>454200</v>
      </c>
      <c r="L68" s="236">
        <v>0</v>
      </c>
      <c r="M68" s="236">
        <v>0</v>
      </c>
      <c r="N68" s="236">
        <v>0</v>
      </c>
      <c r="O68" s="236">
        <v>0</v>
      </c>
      <c r="P68" s="236">
        <f t="shared" si="2"/>
        <v>4085050</v>
      </c>
      <c r="Q68" s="236">
        <v>7879943</v>
      </c>
      <c r="R68" s="238" t="s">
        <v>87</v>
      </c>
      <c r="S68" s="238"/>
    </row>
    <row r="69" spans="1:19" ht="11.25" customHeight="1" x14ac:dyDescent="0.2">
      <c r="A69" s="222" t="s">
        <v>4929</v>
      </c>
      <c r="B69" s="237" t="s">
        <v>4930</v>
      </c>
      <c r="C69" s="237" t="s">
        <v>4931</v>
      </c>
      <c r="D69" s="236">
        <v>17023279.77</v>
      </c>
      <c r="E69" s="236">
        <v>20687518.690000001</v>
      </c>
      <c r="F69" s="236">
        <v>16056649.720000001</v>
      </c>
      <c r="G69" s="236">
        <v>20959716.289999999</v>
      </c>
      <c r="H69" s="236">
        <v>12097447.08</v>
      </c>
      <c r="I69" s="236">
        <v>30117168.210000001</v>
      </c>
      <c r="J69" s="236">
        <v>23425183.870000001</v>
      </c>
      <c r="K69" s="236">
        <v>35107393.100000001</v>
      </c>
      <c r="L69" s="236">
        <v>0</v>
      </c>
      <c r="M69" s="236">
        <v>0</v>
      </c>
      <c r="N69" s="236">
        <v>0</v>
      </c>
      <c r="O69" s="236">
        <v>0</v>
      </c>
      <c r="P69" s="236">
        <f t="shared" si="2"/>
        <v>175474356.72999999</v>
      </c>
      <c r="Q69" s="236">
        <v>120337557.95</v>
      </c>
      <c r="R69" s="238" t="s">
        <v>87</v>
      </c>
      <c r="S69" s="238"/>
    </row>
    <row r="70" spans="1:19" ht="11.25" customHeight="1" x14ac:dyDescent="0.2">
      <c r="A70" s="222" t="s">
        <v>4932</v>
      </c>
      <c r="B70" s="237" t="s">
        <v>4933</v>
      </c>
      <c r="C70" s="237" t="s">
        <v>4934</v>
      </c>
      <c r="D70" s="236">
        <v>40994409</v>
      </c>
      <c r="E70" s="236">
        <v>18474277</v>
      </c>
      <c r="F70" s="236">
        <v>200280010.02000001</v>
      </c>
      <c r="G70" s="236">
        <v>34143727</v>
      </c>
      <c r="H70" s="236">
        <v>9276943</v>
      </c>
      <c r="I70" s="236">
        <v>9070393</v>
      </c>
      <c r="J70" s="236">
        <v>15737274</v>
      </c>
      <c r="K70" s="236">
        <v>31295877.440000001</v>
      </c>
      <c r="L70" s="236">
        <v>0</v>
      </c>
      <c r="M70" s="236">
        <v>0</v>
      </c>
      <c r="N70" s="236">
        <v>0</v>
      </c>
      <c r="O70" s="236">
        <v>0</v>
      </c>
      <c r="P70" s="236">
        <f t="shared" si="2"/>
        <v>359272910.45999998</v>
      </c>
      <c r="Q70" s="236">
        <v>352494639</v>
      </c>
      <c r="R70" s="238" t="s">
        <v>87</v>
      </c>
      <c r="S70" s="238"/>
    </row>
    <row r="71" spans="1:19" ht="11.25" customHeight="1" x14ac:dyDescent="0.2">
      <c r="A71" s="222" t="s">
        <v>4935</v>
      </c>
      <c r="B71" s="237" t="s">
        <v>4936</v>
      </c>
      <c r="C71" s="237" t="s">
        <v>4937</v>
      </c>
      <c r="D71" s="236">
        <v>0</v>
      </c>
      <c r="E71" s="236">
        <v>0</v>
      </c>
      <c r="F71" s="236">
        <v>0</v>
      </c>
      <c r="G71" s="236">
        <v>0</v>
      </c>
      <c r="H71" s="236">
        <v>0</v>
      </c>
      <c r="I71" s="236">
        <v>0</v>
      </c>
      <c r="J71" s="236">
        <v>0</v>
      </c>
      <c r="K71" s="236">
        <v>0</v>
      </c>
      <c r="L71" s="236">
        <v>0</v>
      </c>
      <c r="M71" s="236">
        <v>0</v>
      </c>
      <c r="N71" s="236">
        <v>0</v>
      </c>
      <c r="O71" s="236">
        <v>0</v>
      </c>
      <c r="P71" s="236">
        <f t="shared" ref="P71:P99" si="5">SUM(D71:O71)</f>
        <v>0</v>
      </c>
      <c r="Q71" s="236">
        <v>146617128</v>
      </c>
      <c r="R71" s="238" t="s">
        <v>87</v>
      </c>
      <c r="S71" s="238"/>
    </row>
    <row r="72" spans="1:19" ht="11.25" customHeight="1" x14ac:dyDescent="0.2">
      <c r="A72" s="222" t="s">
        <v>4938</v>
      </c>
      <c r="B72" s="237" t="s">
        <v>4939</v>
      </c>
      <c r="C72" s="237" t="s">
        <v>4940</v>
      </c>
      <c r="D72" s="236">
        <v>2629537</v>
      </c>
      <c r="E72" s="236">
        <v>2620490</v>
      </c>
      <c r="F72" s="236">
        <v>2620490</v>
      </c>
      <c r="G72" s="236">
        <v>2000000</v>
      </c>
      <c r="H72" s="236">
        <v>2620490</v>
      </c>
      <c r="I72" s="236">
        <v>2622421</v>
      </c>
      <c r="J72" s="236">
        <v>2621323</v>
      </c>
      <c r="K72" s="236">
        <v>1624098</v>
      </c>
      <c r="L72" s="236">
        <v>0</v>
      </c>
      <c r="M72" s="236">
        <v>0</v>
      </c>
      <c r="N72" s="236">
        <v>0</v>
      </c>
      <c r="O72" s="236">
        <v>0</v>
      </c>
      <c r="P72" s="236">
        <f t="shared" si="5"/>
        <v>19358849</v>
      </c>
      <c r="Q72" s="236">
        <v>19829375</v>
      </c>
      <c r="R72" s="238" t="s">
        <v>83</v>
      </c>
      <c r="S72" s="238"/>
    </row>
    <row r="73" spans="1:19" ht="11.25" customHeight="1" x14ac:dyDescent="0.2">
      <c r="A73" s="222" t="s">
        <v>4941</v>
      </c>
      <c r="B73" s="237" t="s">
        <v>4942</v>
      </c>
      <c r="C73" s="237" t="s">
        <v>4943</v>
      </c>
      <c r="D73" s="236">
        <v>404000</v>
      </c>
      <c r="E73" s="236">
        <v>404000</v>
      </c>
      <c r="F73" s="236">
        <v>404000</v>
      </c>
      <c r="G73" s="236">
        <v>0</v>
      </c>
      <c r="H73" s="236">
        <v>0</v>
      </c>
      <c r="I73" s="236">
        <v>0</v>
      </c>
      <c r="J73" s="236">
        <v>0</v>
      </c>
      <c r="K73" s="236">
        <v>0</v>
      </c>
      <c r="L73" s="236">
        <v>0</v>
      </c>
      <c r="M73" s="236">
        <v>0</v>
      </c>
      <c r="N73" s="236">
        <v>0</v>
      </c>
      <c r="O73" s="236">
        <v>0</v>
      </c>
      <c r="P73" s="236">
        <f t="shared" si="5"/>
        <v>1212000</v>
      </c>
      <c r="Q73" s="236">
        <v>0</v>
      </c>
      <c r="R73" s="238" t="s">
        <v>83</v>
      </c>
      <c r="S73" s="238"/>
    </row>
    <row r="74" spans="1:19" ht="11.25" customHeight="1" x14ac:dyDescent="0.2">
      <c r="A74" s="222" t="s">
        <v>4944</v>
      </c>
      <c r="B74" s="237" t="s">
        <v>4945</v>
      </c>
      <c r="C74" s="237" t="s">
        <v>4946</v>
      </c>
      <c r="D74" s="236">
        <v>2500000</v>
      </c>
      <c r="E74" s="236">
        <v>2500000</v>
      </c>
      <c r="F74" s="236">
        <v>2500000</v>
      </c>
      <c r="G74" s="236">
        <v>2500000</v>
      </c>
      <c r="H74" s="236">
        <v>2500000</v>
      </c>
      <c r="I74" s="236">
        <v>2500000</v>
      </c>
      <c r="J74" s="236">
        <v>2500000</v>
      </c>
      <c r="K74" s="236">
        <v>2500000</v>
      </c>
      <c r="L74" s="236">
        <v>0</v>
      </c>
      <c r="M74" s="236">
        <v>0</v>
      </c>
      <c r="N74" s="236">
        <v>0</v>
      </c>
      <c r="O74" s="236">
        <v>0</v>
      </c>
      <c r="P74" s="236">
        <f t="shared" si="5"/>
        <v>20000000</v>
      </c>
      <c r="Q74" s="236">
        <v>20000000</v>
      </c>
      <c r="R74" s="238" t="s">
        <v>86</v>
      </c>
      <c r="S74" s="238"/>
    </row>
    <row r="75" spans="1:19" ht="11.25" customHeight="1" x14ac:dyDescent="0.2">
      <c r="A75" s="222" t="s">
        <v>4947</v>
      </c>
      <c r="B75" s="237" t="s">
        <v>4948</v>
      </c>
      <c r="C75" s="237" t="s">
        <v>4949</v>
      </c>
      <c r="D75" s="236">
        <v>0</v>
      </c>
      <c r="E75" s="236">
        <v>0</v>
      </c>
      <c r="F75" s="236">
        <v>0</v>
      </c>
      <c r="G75" s="236">
        <v>0</v>
      </c>
      <c r="H75" s="236">
        <v>0</v>
      </c>
      <c r="I75" s="236">
        <v>0</v>
      </c>
      <c r="J75" s="236">
        <v>0</v>
      </c>
      <c r="K75" s="236">
        <v>0</v>
      </c>
      <c r="L75" s="236">
        <v>0</v>
      </c>
      <c r="M75" s="236">
        <v>0</v>
      </c>
      <c r="N75" s="236">
        <v>0</v>
      </c>
      <c r="O75" s="236">
        <v>0</v>
      </c>
      <c r="P75" s="236">
        <f t="shared" si="5"/>
        <v>0</v>
      </c>
      <c r="Q75" s="236">
        <v>0</v>
      </c>
      <c r="R75" s="238">
        <v>0</v>
      </c>
      <c r="S75" s="238"/>
    </row>
    <row r="76" spans="1:19" ht="11.25" customHeight="1" x14ac:dyDescent="0.2">
      <c r="A76" s="222" t="s">
        <v>4950</v>
      </c>
      <c r="B76" s="237" t="s">
        <v>4951</v>
      </c>
      <c r="C76" s="237" t="s">
        <v>4952</v>
      </c>
      <c r="D76" s="236">
        <v>735833</v>
      </c>
      <c r="E76" s="236">
        <v>885833</v>
      </c>
      <c r="F76" s="236">
        <v>735833.33</v>
      </c>
      <c r="G76" s="236">
        <v>735833.33</v>
      </c>
      <c r="H76" s="236">
        <v>3535833</v>
      </c>
      <c r="I76" s="236">
        <v>740000</v>
      </c>
      <c r="J76" s="236">
        <v>740000</v>
      </c>
      <c r="K76" s="236">
        <v>2430000</v>
      </c>
      <c r="L76" s="236">
        <v>0</v>
      </c>
      <c r="M76" s="236">
        <v>0</v>
      </c>
      <c r="N76" s="236">
        <v>0</v>
      </c>
      <c r="O76" s="236">
        <v>0</v>
      </c>
      <c r="P76" s="236">
        <f t="shared" si="5"/>
        <v>10539165.66</v>
      </c>
      <c r="Q76" s="236">
        <v>11497399</v>
      </c>
      <c r="R76" s="238" t="s">
        <v>86</v>
      </c>
      <c r="S76" s="238"/>
    </row>
    <row r="77" spans="1:19" ht="11.25" customHeight="1" x14ac:dyDescent="0.2">
      <c r="A77" s="222" t="s">
        <v>4953</v>
      </c>
      <c r="B77" s="237" t="s">
        <v>4954</v>
      </c>
      <c r="C77" s="237" t="s">
        <v>4955</v>
      </c>
      <c r="D77" s="236">
        <v>71000</v>
      </c>
      <c r="E77" s="236">
        <v>19533522.510000002</v>
      </c>
      <c r="F77" s="236">
        <v>1226500</v>
      </c>
      <c r="G77" s="236">
        <v>340000</v>
      </c>
      <c r="H77" s="236">
        <v>18570000</v>
      </c>
      <c r="I77" s="236">
        <v>2250000</v>
      </c>
      <c r="J77" s="236">
        <v>0</v>
      </c>
      <c r="K77" s="236">
        <v>156000</v>
      </c>
      <c r="L77" s="236">
        <v>0</v>
      </c>
      <c r="M77" s="236">
        <v>0</v>
      </c>
      <c r="N77" s="236">
        <v>0</v>
      </c>
      <c r="O77" s="236">
        <v>0</v>
      </c>
      <c r="P77" s="236">
        <f t="shared" si="5"/>
        <v>42147022.510000005</v>
      </c>
      <c r="Q77" s="236">
        <v>1895491</v>
      </c>
      <c r="R77" s="238" t="s">
        <v>87</v>
      </c>
      <c r="S77" s="238"/>
    </row>
    <row r="78" spans="1:19" ht="11.25" customHeight="1" x14ac:dyDescent="0.2">
      <c r="A78" s="222" t="s">
        <v>4956</v>
      </c>
      <c r="B78" s="237" t="s">
        <v>4957</v>
      </c>
      <c r="C78" s="237" t="s">
        <v>4958</v>
      </c>
      <c r="D78" s="236">
        <v>0</v>
      </c>
      <c r="E78" s="236">
        <v>0</v>
      </c>
      <c r="F78" s="236">
        <v>0</v>
      </c>
      <c r="G78" s="236">
        <v>0</v>
      </c>
      <c r="H78" s="236">
        <v>0</v>
      </c>
      <c r="I78" s="236">
        <v>0</v>
      </c>
      <c r="J78" s="236">
        <v>0</v>
      </c>
      <c r="K78" s="236">
        <v>0</v>
      </c>
      <c r="L78" s="236">
        <v>0</v>
      </c>
      <c r="M78" s="236">
        <v>0</v>
      </c>
      <c r="N78" s="236">
        <v>0</v>
      </c>
      <c r="O78" s="236">
        <v>0</v>
      </c>
      <c r="P78" s="236">
        <f t="shared" si="5"/>
        <v>0</v>
      </c>
      <c r="Q78" s="236">
        <v>0</v>
      </c>
      <c r="R78" s="238">
        <v>0</v>
      </c>
      <c r="S78" s="238"/>
    </row>
    <row r="79" spans="1:19" ht="11.25" customHeight="1" x14ac:dyDescent="0.2">
      <c r="A79" s="222" t="s">
        <v>4959</v>
      </c>
      <c r="B79" s="237" t="s">
        <v>4960</v>
      </c>
      <c r="C79" s="237" t="s">
        <v>4961</v>
      </c>
      <c r="D79" s="236">
        <v>3800000</v>
      </c>
      <c r="E79" s="236">
        <v>4300000</v>
      </c>
      <c r="F79" s="236">
        <v>4750000</v>
      </c>
      <c r="G79" s="236">
        <v>4850000</v>
      </c>
      <c r="H79" s="236">
        <v>3500000</v>
      </c>
      <c r="I79" s="236">
        <v>3800000</v>
      </c>
      <c r="J79" s="236">
        <v>4500000</v>
      </c>
      <c r="K79" s="236">
        <v>5300000</v>
      </c>
      <c r="L79" s="236">
        <v>0</v>
      </c>
      <c r="M79" s="236">
        <v>0</v>
      </c>
      <c r="N79" s="236">
        <v>0</v>
      </c>
      <c r="O79" s="236">
        <v>0</v>
      </c>
      <c r="P79" s="236">
        <f t="shared" si="5"/>
        <v>34800000</v>
      </c>
      <c r="Q79" s="236">
        <v>190619600</v>
      </c>
      <c r="R79" s="238" t="s">
        <v>88</v>
      </c>
      <c r="S79" s="238"/>
    </row>
    <row r="80" spans="1:19" ht="11.25" customHeight="1" x14ac:dyDescent="0.2">
      <c r="A80" s="222" t="s">
        <v>4962</v>
      </c>
      <c r="B80" s="237" t="s">
        <v>4963</v>
      </c>
      <c r="C80" s="237" t="s">
        <v>4964</v>
      </c>
      <c r="D80" s="236">
        <v>25329195</v>
      </c>
      <c r="E80" s="236">
        <v>8529000</v>
      </c>
      <c r="F80" s="236">
        <v>31946086</v>
      </c>
      <c r="G80" s="236">
        <v>20550800</v>
      </c>
      <c r="H80" s="236">
        <v>14250980</v>
      </c>
      <c r="I80" s="236">
        <v>6767570</v>
      </c>
      <c r="J80" s="236">
        <v>8358119</v>
      </c>
      <c r="K80" s="236">
        <v>18370408</v>
      </c>
      <c r="L80" s="236">
        <v>0</v>
      </c>
      <c r="M80" s="236">
        <v>0</v>
      </c>
      <c r="N80" s="236">
        <v>0</v>
      </c>
      <c r="O80" s="236">
        <v>0</v>
      </c>
      <c r="P80" s="236">
        <f t="shared" si="5"/>
        <v>134102158</v>
      </c>
      <c r="Q80" s="236">
        <v>13629847</v>
      </c>
      <c r="R80" s="238" t="s">
        <v>84</v>
      </c>
      <c r="S80" s="238"/>
    </row>
    <row r="81" spans="1:19" ht="11.25" customHeight="1" x14ac:dyDescent="0.2">
      <c r="A81" s="222" t="s">
        <v>4965</v>
      </c>
      <c r="B81" s="237" t="s">
        <v>4966</v>
      </c>
      <c r="C81" s="237" t="s">
        <v>4967</v>
      </c>
      <c r="D81" s="236">
        <v>1750000</v>
      </c>
      <c r="E81" s="236">
        <v>1800000</v>
      </c>
      <c r="F81" s="236">
        <v>1750000</v>
      </c>
      <c r="G81" s="236">
        <v>1000000</v>
      </c>
      <c r="H81" s="236">
        <v>1000000</v>
      </c>
      <c r="I81" s="236">
        <v>1000000</v>
      </c>
      <c r="J81" s="236">
        <v>1000000</v>
      </c>
      <c r="K81" s="236">
        <v>1000000</v>
      </c>
      <c r="L81" s="236">
        <v>0</v>
      </c>
      <c r="M81" s="236">
        <v>0</v>
      </c>
      <c r="N81" s="236">
        <v>0</v>
      </c>
      <c r="O81" s="236">
        <v>0</v>
      </c>
      <c r="P81" s="236">
        <f t="shared" si="5"/>
        <v>10300000</v>
      </c>
      <c r="Q81" s="236">
        <v>29378461</v>
      </c>
      <c r="R81" s="238" t="s">
        <v>88</v>
      </c>
      <c r="S81" s="238"/>
    </row>
    <row r="82" spans="1:19" ht="11.25" customHeight="1" x14ac:dyDescent="0.2">
      <c r="A82" s="222" t="s">
        <v>4968</v>
      </c>
      <c r="B82" s="237" t="s">
        <v>4969</v>
      </c>
      <c r="C82" s="237" t="s">
        <v>4970</v>
      </c>
      <c r="D82" s="236">
        <v>51884335</v>
      </c>
      <c r="E82" s="236">
        <v>17226536</v>
      </c>
      <c r="F82" s="236">
        <v>15025000</v>
      </c>
      <c r="G82" s="236">
        <v>11886000</v>
      </c>
      <c r="H82" s="236">
        <v>57025000</v>
      </c>
      <c r="I82" s="236">
        <v>24155000</v>
      </c>
      <c r="J82" s="236">
        <v>56520000</v>
      </c>
      <c r="K82" s="236">
        <v>10182051</v>
      </c>
      <c r="L82" s="236">
        <v>0</v>
      </c>
      <c r="M82" s="236">
        <v>0</v>
      </c>
      <c r="N82" s="236">
        <v>0</v>
      </c>
      <c r="O82" s="236">
        <v>0</v>
      </c>
      <c r="P82" s="236">
        <f t="shared" si="5"/>
        <v>243903922</v>
      </c>
      <c r="Q82" s="236">
        <v>169316250</v>
      </c>
      <c r="R82" s="238" t="s">
        <v>89</v>
      </c>
      <c r="S82" s="238"/>
    </row>
    <row r="83" spans="1:19" ht="11.25" customHeight="1" x14ac:dyDescent="0.2">
      <c r="A83" s="222" t="s">
        <v>4971</v>
      </c>
      <c r="B83" s="237" t="s">
        <v>4972</v>
      </c>
      <c r="C83" s="237" t="s">
        <v>4973</v>
      </c>
      <c r="D83" s="236">
        <v>3107600</v>
      </c>
      <c r="E83" s="236">
        <v>2881700</v>
      </c>
      <c r="F83" s="236">
        <v>2700550</v>
      </c>
      <c r="G83" s="236">
        <v>2499100</v>
      </c>
      <c r="H83" s="236">
        <v>2556550</v>
      </c>
      <c r="I83" s="236">
        <v>2071320</v>
      </c>
      <c r="J83" s="236">
        <v>3486300</v>
      </c>
      <c r="K83" s="236">
        <v>20750555</v>
      </c>
      <c r="L83" s="236">
        <v>0</v>
      </c>
      <c r="M83" s="236">
        <v>0</v>
      </c>
      <c r="N83" s="236">
        <v>0</v>
      </c>
      <c r="O83" s="236">
        <v>0</v>
      </c>
      <c r="P83" s="236">
        <f t="shared" si="5"/>
        <v>40053675</v>
      </c>
      <c r="Q83" s="236">
        <v>40636869</v>
      </c>
      <c r="R83" s="238" t="s">
        <v>91</v>
      </c>
      <c r="S83" s="238"/>
    </row>
    <row r="84" spans="1:19" ht="11.25" customHeight="1" x14ac:dyDescent="0.2">
      <c r="A84" s="222" t="s">
        <v>4974</v>
      </c>
      <c r="B84" s="237" t="s">
        <v>4975</v>
      </c>
      <c r="C84" s="237" t="s">
        <v>4976</v>
      </c>
      <c r="D84" s="236">
        <v>0</v>
      </c>
      <c r="E84" s="236">
        <v>0</v>
      </c>
      <c r="F84" s="236">
        <v>0</v>
      </c>
      <c r="G84" s="236">
        <v>0</v>
      </c>
      <c r="H84" s="236">
        <v>0</v>
      </c>
      <c r="I84" s="236">
        <v>0</v>
      </c>
      <c r="J84" s="236">
        <v>0</v>
      </c>
      <c r="K84" s="236">
        <v>0</v>
      </c>
      <c r="L84" s="236">
        <v>0</v>
      </c>
      <c r="M84" s="236">
        <v>0</v>
      </c>
      <c r="N84" s="236">
        <v>0</v>
      </c>
      <c r="O84" s="236">
        <v>0</v>
      </c>
      <c r="P84" s="236">
        <f t="shared" si="5"/>
        <v>0</v>
      </c>
      <c r="Q84" s="236">
        <v>0</v>
      </c>
      <c r="R84" s="238">
        <v>0</v>
      </c>
      <c r="S84" s="238"/>
    </row>
    <row r="85" spans="1:19" ht="11.25" customHeight="1" x14ac:dyDescent="0.2">
      <c r="A85" s="222" t="s">
        <v>4977</v>
      </c>
      <c r="B85" s="237" t="s">
        <v>4978</v>
      </c>
      <c r="C85" s="237" t="s">
        <v>4979</v>
      </c>
      <c r="D85" s="236">
        <v>0</v>
      </c>
      <c r="E85" s="236">
        <v>0</v>
      </c>
      <c r="F85" s="236">
        <v>0</v>
      </c>
      <c r="G85" s="236">
        <v>0</v>
      </c>
      <c r="H85" s="236">
        <v>0</v>
      </c>
      <c r="I85" s="236">
        <v>0</v>
      </c>
      <c r="J85" s="236">
        <v>0</v>
      </c>
      <c r="K85" s="236">
        <v>0</v>
      </c>
      <c r="L85" s="236">
        <v>0</v>
      </c>
      <c r="M85" s="236">
        <v>0</v>
      </c>
      <c r="N85" s="236">
        <v>0</v>
      </c>
      <c r="O85" s="236">
        <v>0</v>
      </c>
      <c r="P85" s="236">
        <f t="shared" si="5"/>
        <v>0</v>
      </c>
      <c r="Q85" s="236">
        <v>0</v>
      </c>
      <c r="R85" s="238">
        <v>0</v>
      </c>
      <c r="S85" s="238"/>
    </row>
    <row r="86" spans="1:19" ht="11.25" customHeight="1" x14ac:dyDescent="0.2">
      <c r="A86" s="222" t="s">
        <v>4980</v>
      </c>
      <c r="B86" s="237" t="s">
        <v>4981</v>
      </c>
      <c r="C86" s="237" t="s">
        <v>4982</v>
      </c>
      <c r="D86" s="236">
        <v>0</v>
      </c>
      <c r="E86" s="236">
        <v>0</v>
      </c>
      <c r="F86" s="236">
        <v>0</v>
      </c>
      <c r="G86" s="236">
        <v>0</v>
      </c>
      <c r="H86" s="236">
        <v>0</v>
      </c>
      <c r="I86" s="236">
        <v>0</v>
      </c>
      <c r="J86" s="236">
        <v>0</v>
      </c>
      <c r="K86" s="236">
        <v>0</v>
      </c>
      <c r="L86" s="236">
        <v>0</v>
      </c>
      <c r="M86" s="236">
        <v>0</v>
      </c>
      <c r="N86" s="236">
        <v>0</v>
      </c>
      <c r="O86" s="236">
        <v>0</v>
      </c>
      <c r="P86" s="236">
        <f t="shared" si="5"/>
        <v>0</v>
      </c>
      <c r="Q86" s="236">
        <v>0</v>
      </c>
      <c r="R86" s="238">
        <v>0</v>
      </c>
      <c r="S86" s="238"/>
    </row>
    <row r="87" spans="1:19" ht="11.25" customHeight="1" x14ac:dyDescent="0.2">
      <c r="A87" s="222" t="s">
        <v>4983</v>
      </c>
      <c r="B87" s="237" t="s">
        <v>4984</v>
      </c>
      <c r="C87" s="237" t="s">
        <v>4985</v>
      </c>
      <c r="D87" s="236">
        <v>0</v>
      </c>
      <c r="E87" s="236">
        <v>0</v>
      </c>
      <c r="F87" s="236">
        <v>0</v>
      </c>
      <c r="G87" s="236">
        <v>0</v>
      </c>
      <c r="H87" s="236">
        <v>0</v>
      </c>
      <c r="I87" s="236">
        <v>0</v>
      </c>
      <c r="J87" s="236">
        <v>0</v>
      </c>
      <c r="K87" s="236">
        <v>0</v>
      </c>
      <c r="L87" s="236">
        <v>0</v>
      </c>
      <c r="M87" s="236">
        <v>0</v>
      </c>
      <c r="N87" s="236">
        <v>0</v>
      </c>
      <c r="O87" s="236">
        <v>0</v>
      </c>
      <c r="P87" s="236">
        <f t="shared" si="5"/>
        <v>0</v>
      </c>
      <c r="Q87" s="236">
        <v>0</v>
      </c>
      <c r="R87" s="238">
        <v>0</v>
      </c>
      <c r="S87" s="238"/>
    </row>
    <row r="88" spans="1:19" ht="11.25" customHeight="1" x14ac:dyDescent="0.2">
      <c r="A88" s="222" t="s">
        <v>4986</v>
      </c>
      <c r="B88" s="237" t="s">
        <v>4987</v>
      </c>
      <c r="C88" s="237" t="s">
        <v>4988</v>
      </c>
      <c r="D88" s="236">
        <v>0</v>
      </c>
      <c r="E88" s="236">
        <v>0</v>
      </c>
      <c r="F88" s="236">
        <v>0</v>
      </c>
      <c r="G88" s="236">
        <v>0</v>
      </c>
      <c r="H88" s="236">
        <v>0</v>
      </c>
      <c r="I88" s="236">
        <v>0</v>
      </c>
      <c r="J88" s="236">
        <v>0</v>
      </c>
      <c r="K88" s="236">
        <v>0</v>
      </c>
      <c r="L88" s="236">
        <v>0</v>
      </c>
      <c r="M88" s="236">
        <v>0</v>
      </c>
      <c r="N88" s="236">
        <v>0</v>
      </c>
      <c r="O88" s="236">
        <v>0</v>
      </c>
      <c r="P88" s="236">
        <f t="shared" si="5"/>
        <v>0</v>
      </c>
      <c r="Q88" s="236">
        <v>0</v>
      </c>
      <c r="R88" s="238">
        <v>0</v>
      </c>
      <c r="S88" s="238"/>
    </row>
    <row r="89" spans="1:19" ht="11.25" customHeight="1" x14ac:dyDescent="0.2">
      <c r="A89" s="222" t="s">
        <v>4989</v>
      </c>
      <c r="B89" s="237" t="s">
        <v>4990</v>
      </c>
      <c r="C89" s="237" t="s">
        <v>4991</v>
      </c>
      <c r="D89" s="236">
        <v>0</v>
      </c>
      <c r="E89" s="236">
        <v>0</v>
      </c>
      <c r="F89" s="236">
        <v>0</v>
      </c>
      <c r="G89" s="236">
        <v>0</v>
      </c>
      <c r="H89" s="236">
        <v>0</v>
      </c>
      <c r="I89" s="236">
        <v>0</v>
      </c>
      <c r="J89" s="236">
        <v>0</v>
      </c>
      <c r="K89" s="236">
        <v>0</v>
      </c>
      <c r="L89" s="236">
        <v>0</v>
      </c>
      <c r="M89" s="236">
        <v>0</v>
      </c>
      <c r="N89" s="236">
        <v>0</v>
      </c>
      <c r="O89" s="236">
        <v>0</v>
      </c>
      <c r="P89" s="236">
        <f t="shared" si="5"/>
        <v>0</v>
      </c>
      <c r="Q89" s="236">
        <v>0</v>
      </c>
      <c r="R89" s="238">
        <v>0</v>
      </c>
      <c r="S89" s="238"/>
    </row>
    <row r="90" spans="1:19" ht="11.25" customHeight="1" x14ac:dyDescent="0.2">
      <c r="A90" s="222" t="s">
        <v>4992</v>
      </c>
      <c r="B90" s="237" t="s">
        <v>4993</v>
      </c>
      <c r="C90" s="237" t="s">
        <v>4994</v>
      </c>
      <c r="D90" s="236">
        <v>0</v>
      </c>
      <c r="E90" s="236">
        <v>0</v>
      </c>
      <c r="F90" s="236">
        <v>0</v>
      </c>
      <c r="G90" s="236">
        <v>0</v>
      </c>
      <c r="H90" s="236">
        <v>0</v>
      </c>
      <c r="I90" s="236">
        <v>0</v>
      </c>
      <c r="J90" s="236">
        <v>0</v>
      </c>
      <c r="K90" s="236">
        <v>0</v>
      </c>
      <c r="L90" s="236">
        <v>0</v>
      </c>
      <c r="M90" s="236">
        <v>0</v>
      </c>
      <c r="N90" s="236">
        <v>0</v>
      </c>
      <c r="O90" s="236">
        <v>0</v>
      </c>
      <c r="P90" s="236">
        <f t="shared" si="5"/>
        <v>0</v>
      </c>
      <c r="Q90" s="236">
        <v>307700</v>
      </c>
      <c r="R90" s="238" t="s">
        <v>89</v>
      </c>
      <c r="S90" s="238"/>
    </row>
    <row r="91" spans="1:19" ht="11.25" customHeight="1" x14ac:dyDescent="0.2">
      <c r="A91" s="222" t="s">
        <v>4995</v>
      </c>
      <c r="B91" s="237" t="s">
        <v>4996</v>
      </c>
      <c r="C91" s="237" t="s">
        <v>4997</v>
      </c>
      <c r="D91" s="236">
        <v>38256757</v>
      </c>
      <c r="E91" s="236">
        <v>38256757</v>
      </c>
      <c r="F91" s="236">
        <v>38256757</v>
      </c>
      <c r="G91" s="236">
        <v>55692529</v>
      </c>
      <c r="H91" s="236">
        <v>38256757</v>
      </c>
      <c r="I91" s="236">
        <v>38256757</v>
      </c>
      <c r="J91" s="236">
        <v>38256757</v>
      </c>
      <c r="K91" s="236">
        <v>38256757</v>
      </c>
      <c r="L91" s="236">
        <v>0</v>
      </c>
      <c r="M91" s="236">
        <v>0</v>
      </c>
      <c r="N91" s="236">
        <v>0</v>
      </c>
      <c r="O91" s="236">
        <v>0</v>
      </c>
      <c r="P91" s="236">
        <f t="shared" si="5"/>
        <v>323489828</v>
      </c>
      <c r="Q91" s="236">
        <v>302508424</v>
      </c>
      <c r="R91" s="238" t="s">
        <v>89</v>
      </c>
      <c r="S91" s="238"/>
    </row>
    <row r="92" spans="1:19" ht="11.25" customHeight="1" x14ac:dyDescent="0.2">
      <c r="A92" s="222" t="s">
        <v>4998</v>
      </c>
      <c r="B92" s="237" t="s">
        <v>4999</v>
      </c>
      <c r="C92" s="237" t="s">
        <v>5000</v>
      </c>
      <c r="D92" s="236">
        <v>19127700</v>
      </c>
      <c r="E92" s="236">
        <v>19713333</v>
      </c>
      <c r="F92" s="236">
        <v>19446667</v>
      </c>
      <c r="G92" s="236">
        <v>8498975</v>
      </c>
      <c r="H92" s="236">
        <v>8446667</v>
      </c>
      <c r="I92" s="236">
        <v>8472820</v>
      </c>
      <c r="J92" s="236">
        <v>8498974</v>
      </c>
      <c r="K92" s="236">
        <v>8498974</v>
      </c>
      <c r="L92" s="236">
        <v>0</v>
      </c>
      <c r="M92" s="236">
        <v>0</v>
      </c>
      <c r="N92" s="236">
        <v>0</v>
      </c>
      <c r="O92" s="236">
        <v>0</v>
      </c>
      <c r="P92" s="236">
        <f t="shared" si="5"/>
        <v>100704110</v>
      </c>
      <c r="Q92" s="236">
        <v>131987852.45999999</v>
      </c>
      <c r="R92" s="238" t="s">
        <v>89</v>
      </c>
      <c r="S92" s="238"/>
    </row>
    <row r="93" spans="1:19" ht="11.25" customHeight="1" x14ac:dyDescent="0.2">
      <c r="A93" s="222" t="s">
        <v>5001</v>
      </c>
      <c r="B93" s="237" t="s">
        <v>5002</v>
      </c>
      <c r="C93" s="237" t="s">
        <v>5003</v>
      </c>
      <c r="D93" s="236">
        <v>1221160</v>
      </c>
      <c r="E93" s="236">
        <v>0</v>
      </c>
      <c r="F93" s="236">
        <v>0</v>
      </c>
      <c r="G93" s="236">
        <v>0</v>
      </c>
      <c r="H93" s="236">
        <v>0</v>
      </c>
      <c r="I93" s="236">
        <v>300000</v>
      </c>
      <c r="J93" s="236">
        <v>300000</v>
      </c>
      <c r="K93" s="236">
        <v>0</v>
      </c>
      <c r="L93" s="236">
        <v>0</v>
      </c>
      <c r="M93" s="236">
        <v>0</v>
      </c>
      <c r="N93" s="236">
        <v>0</v>
      </c>
      <c r="O93" s="236">
        <v>0</v>
      </c>
      <c r="P93" s="236">
        <f t="shared" si="5"/>
        <v>1821160</v>
      </c>
      <c r="Q93" s="236">
        <v>12164000</v>
      </c>
      <c r="R93" s="238" t="s">
        <v>91</v>
      </c>
      <c r="S93" s="238"/>
    </row>
    <row r="94" spans="1:19" ht="11.25" customHeight="1" x14ac:dyDescent="0.2">
      <c r="A94" s="222" t="s">
        <v>5004</v>
      </c>
      <c r="B94" s="237" t="s">
        <v>5005</v>
      </c>
      <c r="C94" s="237" t="s">
        <v>5006</v>
      </c>
      <c r="D94" s="236">
        <v>12569500</v>
      </c>
      <c r="E94" s="236">
        <v>2411501</v>
      </c>
      <c r="F94" s="236">
        <v>4246000</v>
      </c>
      <c r="G94" s="236">
        <v>0</v>
      </c>
      <c r="H94" s="236">
        <v>6947000</v>
      </c>
      <c r="I94" s="236">
        <v>0</v>
      </c>
      <c r="J94" s="236">
        <v>4953000</v>
      </c>
      <c r="K94" s="236">
        <v>1150000</v>
      </c>
      <c r="L94" s="236">
        <v>0</v>
      </c>
      <c r="M94" s="236">
        <v>0</v>
      </c>
      <c r="N94" s="236">
        <v>0</v>
      </c>
      <c r="O94" s="236">
        <v>0</v>
      </c>
      <c r="P94" s="236">
        <f t="shared" si="5"/>
        <v>32277001</v>
      </c>
      <c r="Q94" s="236">
        <v>26154500</v>
      </c>
      <c r="R94" s="238" t="s">
        <v>91</v>
      </c>
      <c r="S94" s="238"/>
    </row>
    <row r="95" spans="1:19" ht="11.25" customHeight="1" x14ac:dyDescent="0.2">
      <c r="A95" s="222" t="s">
        <v>5007</v>
      </c>
      <c r="B95" s="237" t="s">
        <v>5008</v>
      </c>
      <c r="C95" s="237" t="s">
        <v>5009</v>
      </c>
      <c r="D95" s="236">
        <v>0</v>
      </c>
      <c r="E95" s="236">
        <v>0</v>
      </c>
      <c r="F95" s="236">
        <v>0</v>
      </c>
      <c r="G95" s="236">
        <v>0</v>
      </c>
      <c r="H95" s="236">
        <v>0</v>
      </c>
      <c r="I95" s="236">
        <v>0</v>
      </c>
      <c r="J95" s="236">
        <v>0</v>
      </c>
      <c r="K95" s="236">
        <v>0</v>
      </c>
      <c r="L95" s="236">
        <v>0</v>
      </c>
      <c r="M95" s="236">
        <v>0</v>
      </c>
      <c r="N95" s="236">
        <v>0</v>
      </c>
      <c r="O95" s="236">
        <v>0</v>
      </c>
      <c r="P95" s="236">
        <f t="shared" si="5"/>
        <v>0</v>
      </c>
      <c r="Q95" s="236">
        <v>0</v>
      </c>
      <c r="R95" s="238">
        <v>0</v>
      </c>
      <c r="S95" s="238"/>
    </row>
    <row r="96" spans="1:19" ht="11.25" customHeight="1" x14ac:dyDescent="0.2">
      <c r="A96" s="222">
        <v>6600</v>
      </c>
      <c r="B96" s="237" t="s">
        <v>5010</v>
      </c>
      <c r="C96" s="237" t="s">
        <v>5011</v>
      </c>
      <c r="D96" s="236">
        <v>20315122.84</v>
      </c>
      <c r="E96" s="236">
        <v>23181198.690000001</v>
      </c>
      <c r="F96" s="236">
        <v>193300318.87</v>
      </c>
      <c r="G96" s="236">
        <v>13032574.16</v>
      </c>
      <c r="H96" s="236">
        <v>13831797.109999999</v>
      </c>
      <c r="I96" s="236">
        <v>14613425.050000001</v>
      </c>
      <c r="J96" s="236">
        <v>14243426.949999999</v>
      </c>
      <c r="K96" s="236">
        <v>14464070.720000001</v>
      </c>
      <c r="L96" s="236">
        <v>0</v>
      </c>
      <c r="M96" s="236">
        <v>0</v>
      </c>
      <c r="N96" s="236">
        <v>0</v>
      </c>
      <c r="O96" s="236">
        <v>0</v>
      </c>
      <c r="P96" s="236">
        <f t="shared" si="5"/>
        <v>306981934.39000005</v>
      </c>
      <c r="Q96" s="236">
        <v>327844845.80000001</v>
      </c>
      <c r="R96" s="238" t="s">
        <v>91</v>
      </c>
      <c r="S96" s="238"/>
    </row>
    <row r="97" spans="1:20" s="240" customFormat="1" ht="11.25" customHeight="1" x14ac:dyDescent="0.25">
      <c r="A97" s="235"/>
      <c r="B97" s="235" t="s">
        <v>5012</v>
      </c>
      <c r="C97" s="235"/>
      <c r="D97" s="242">
        <f t="shared" ref="D97:O97" si="6">SUM(D44:D96)</f>
        <v>954426361.61999989</v>
      </c>
      <c r="E97" s="242">
        <f t="shared" si="6"/>
        <v>950453205.54999995</v>
      </c>
      <c r="F97" s="242">
        <f t="shared" si="6"/>
        <v>2036696493.7800002</v>
      </c>
      <c r="G97" s="242">
        <f t="shared" si="6"/>
        <v>620515565.98999989</v>
      </c>
      <c r="H97" s="242">
        <f t="shared" si="6"/>
        <v>821891088.91999996</v>
      </c>
      <c r="I97" s="242">
        <f t="shared" si="6"/>
        <v>639551229.13999987</v>
      </c>
      <c r="J97" s="242">
        <f t="shared" si="6"/>
        <v>713019262.96000004</v>
      </c>
      <c r="K97" s="242">
        <f t="shared" si="6"/>
        <v>809781503.59000015</v>
      </c>
      <c r="L97" s="242">
        <f t="shared" si="6"/>
        <v>0</v>
      </c>
      <c r="M97" s="242">
        <f t="shared" si="6"/>
        <v>0</v>
      </c>
      <c r="N97" s="242">
        <f t="shared" si="6"/>
        <v>0</v>
      </c>
      <c r="O97" s="242">
        <f t="shared" si="6"/>
        <v>0</v>
      </c>
      <c r="P97" s="239">
        <f t="shared" si="5"/>
        <v>7546334711.5500002</v>
      </c>
      <c r="Q97" s="239">
        <f>SUM(Q44:Q96)</f>
        <v>7819778189.54</v>
      </c>
      <c r="R97" s="238">
        <v>0</v>
      </c>
      <c r="S97" s="238"/>
    </row>
    <row r="98" spans="1:20" s="240" customFormat="1" ht="11.25" customHeight="1" x14ac:dyDescent="0.25">
      <c r="A98" s="235"/>
      <c r="B98" s="243" t="s">
        <v>5013</v>
      </c>
      <c r="C98" s="243"/>
      <c r="D98" s="244">
        <f t="shared" ref="D98:O98" si="7">D41-D97</f>
        <v>1810434518.21</v>
      </c>
      <c r="E98" s="244">
        <f t="shared" si="7"/>
        <v>1177459163.2699988</v>
      </c>
      <c r="F98" s="244">
        <f t="shared" si="7"/>
        <v>-708103657.74001074</v>
      </c>
      <c r="G98" s="244">
        <f t="shared" si="7"/>
        <v>408285589.82999885</v>
      </c>
      <c r="H98" s="244">
        <f t="shared" si="7"/>
        <v>313740845.80999959</v>
      </c>
      <c r="I98" s="244">
        <f t="shared" si="7"/>
        <v>558645524.37999964</v>
      </c>
      <c r="J98" s="244">
        <f t="shared" si="7"/>
        <v>659324664.11000061</v>
      </c>
      <c r="K98" s="244">
        <f t="shared" si="7"/>
        <v>1196739473.2199993</v>
      </c>
      <c r="L98" s="244">
        <f t="shared" si="7"/>
        <v>0</v>
      </c>
      <c r="M98" s="244">
        <f t="shared" si="7"/>
        <v>0</v>
      </c>
      <c r="N98" s="244">
        <f t="shared" si="7"/>
        <v>0</v>
      </c>
      <c r="O98" s="244">
        <f t="shared" si="7"/>
        <v>0</v>
      </c>
      <c r="P98" s="244">
        <f t="shared" si="5"/>
        <v>5416526121.0899858</v>
      </c>
      <c r="Q98" s="244">
        <f>Q41-Q97</f>
        <v>6482106943.6800013</v>
      </c>
      <c r="R98" s="238">
        <v>0</v>
      </c>
      <c r="S98" s="238"/>
    </row>
    <row r="99" spans="1:20" ht="11.25" customHeight="1" x14ac:dyDescent="0.2">
      <c r="A99" s="222"/>
      <c r="B99" s="235" t="s">
        <v>5014</v>
      </c>
      <c r="C99" s="235"/>
      <c r="D99" s="236"/>
      <c r="E99" s="236"/>
      <c r="F99" s="236"/>
      <c r="G99" s="236"/>
      <c r="H99" s="236"/>
      <c r="I99" s="236"/>
      <c r="J99" s="236"/>
      <c r="K99" s="236"/>
      <c r="L99" s="236"/>
      <c r="M99" s="236"/>
      <c r="N99" s="236"/>
      <c r="O99" s="236"/>
      <c r="P99" s="236">
        <f t="shared" si="5"/>
        <v>0</v>
      </c>
      <c r="Q99" s="236"/>
      <c r="R99" s="238">
        <v>0</v>
      </c>
      <c r="S99" s="238"/>
    </row>
    <row r="100" spans="1:20" ht="11.25" customHeight="1" x14ac:dyDescent="0.2">
      <c r="A100" s="222"/>
      <c r="B100" s="235" t="s">
        <v>5015</v>
      </c>
      <c r="C100" s="235"/>
      <c r="D100" s="236"/>
      <c r="E100" s="236"/>
      <c r="F100" s="236"/>
      <c r="G100" s="236"/>
      <c r="H100" s="236"/>
      <c r="I100" s="236"/>
      <c r="J100" s="236"/>
      <c r="K100" s="236"/>
      <c r="L100" s="236"/>
      <c r="M100" s="236"/>
      <c r="N100" s="236"/>
      <c r="O100" s="236"/>
      <c r="P100" s="236"/>
      <c r="Q100" s="236"/>
      <c r="R100" s="238">
        <v>0</v>
      </c>
      <c r="S100" s="238"/>
    </row>
    <row r="101" spans="1:20" ht="11.25" customHeight="1" x14ac:dyDescent="0.2">
      <c r="A101" s="222">
        <v>7100</v>
      </c>
      <c r="B101" s="237" t="s">
        <v>5016</v>
      </c>
      <c r="C101" s="237" t="s">
        <v>5017</v>
      </c>
      <c r="D101" s="236">
        <v>0</v>
      </c>
      <c r="E101" s="236">
        <v>0</v>
      </c>
      <c r="F101" s="236">
        <v>0</v>
      </c>
      <c r="G101" s="236">
        <v>0</v>
      </c>
      <c r="H101" s="236">
        <v>0</v>
      </c>
      <c r="I101" s="236">
        <v>0</v>
      </c>
      <c r="J101" s="236">
        <v>0</v>
      </c>
      <c r="K101" s="236">
        <v>0</v>
      </c>
      <c r="L101" s="236">
        <v>0</v>
      </c>
      <c r="M101" s="236">
        <v>0</v>
      </c>
      <c r="N101" s="236">
        <v>0</v>
      </c>
      <c r="O101" s="236">
        <v>0</v>
      </c>
      <c r="P101" s="236">
        <f t="shared" ref="P101:P128" si="8">SUM(D101:O101)</f>
        <v>0</v>
      </c>
      <c r="Q101" s="236"/>
      <c r="R101" s="238">
        <v>0</v>
      </c>
      <c r="S101" s="238"/>
      <c r="T101" s="227">
        <v>0</v>
      </c>
    </row>
    <row r="102" spans="1:20" ht="11.25" customHeight="1" x14ac:dyDescent="0.2">
      <c r="A102" s="222" t="s">
        <v>5018</v>
      </c>
      <c r="B102" s="237" t="s">
        <v>5019</v>
      </c>
      <c r="C102" s="237" t="s">
        <v>5020</v>
      </c>
      <c r="D102" s="236">
        <v>21800652.5</v>
      </c>
      <c r="E102" s="236">
        <v>20243097.170000002</v>
      </c>
      <c r="F102" s="236">
        <v>22595236.289999999</v>
      </c>
      <c r="G102" s="236">
        <v>14652968.470000001</v>
      </c>
      <c r="H102" s="236">
        <v>17529881.440000001</v>
      </c>
      <c r="I102" s="236">
        <v>18728895.280000001</v>
      </c>
      <c r="J102" s="236">
        <v>6512507.0700000003</v>
      </c>
      <c r="K102" s="236">
        <v>5000273.2699999996</v>
      </c>
      <c r="L102" s="236">
        <v>0</v>
      </c>
      <c r="M102" s="236">
        <v>0</v>
      </c>
      <c r="N102" s="236">
        <v>0</v>
      </c>
      <c r="O102" s="236">
        <v>0</v>
      </c>
      <c r="P102" s="236">
        <f t="shared" si="8"/>
        <v>127063511.48999999</v>
      </c>
      <c r="Q102" s="236">
        <v>332930469.48000002</v>
      </c>
      <c r="R102" s="238" t="s">
        <v>94</v>
      </c>
      <c r="S102" s="238"/>
      <c r="T102" s="227" t="s">
        <v>94</v>
      </c>
    </row>
    <row r="103" spans="1:20" ht="11.25" customHeight="1" x14ac:dyDescent="0.2">
      <c r="A103" s="222" t="s">
        <v>5021</v>
      </c>
      <c r="B103" s="237" t="s">
        <v>5022</v>
      </c>
      <c r="C103" s="237" t="s">
        <v>5023</v>
      </c>
      <c r="D103" s="236">
        <v>0</v>
      </c>
      <c r="E103" s="236">
        <v>0</v>
      </c>
      <c r="F103" s="236">
        <v>0</v>
      </c>
      <c r="G103" s="236">
        <v>0</v>
      </c>
      <c r="H103" s="236">
        <v>0</v>
      </c>
      <c r="I103" s="236">
        <v>0</v>
      </c>
      <c r="J103" s="236">
        <v>0</v>
      </c>
      <c r="K103" s="236">
        <v>0</v>
      </c>
      <c r="L103" s="236">
        <v>0</v>
      </c>
      <c r="M103" s="236">
        <v>0</v>
      </c>
      <c r="N103" s="236">
        <v>0</v>
      </c>
      <c r="O103" s="236">
        <v>0</v>
      </c>
      <c r="P103" s="236">
        <f t="shared" si="8"/>
        <v>0</v>
      </c>
      <c r="Q103" s="236">
        <v>0</v>
      </c>
      <c r="R103" s="238">
        <v>0</v>
      </c>
      <c r="S103" s="238"/>
      <c r="T103" s="227" t="s">
        <v>98</v>
      </c>
    </row>
    <row r="104" spans="1:20" ht="11.25" customHeight="1" x14ac:dyDescent="0.2">
      <c r="A104" s="222" t="s">
        <v>5024</v>
      </c>
      <c r="B104" s="237" t="s">
        <v>5025</v>
      </c>
      <c r="C104" s="237" t="s">
        <v>5026</v>
      </c>
      <c r="D104" s="236">
        <v>0</v>
      </c>
      <c r="E104" s="236">
        <v>0</v>
      </c>
      <c r="F104" s="236">
        <v>0</v>
      </c>
      <c r="G104" s="236">
        <v>0</v>
      </c>
      <c r="H104" s="236">
        <v>0</v>
      </c>
      <c r="I104" s="236">
        <v>0</v>
      </c>
      <c r="J104" s="236">
        <v>0</v>
      </c>
      <c r="K104" s="236">
        <v>0</v>
      </c>
      <c r="L104" s="236">
        <v>0</v>
      </c>
      <c r="M104" s="236">
        <v>0</v>
      </c>
      <c r="N104" s="236">
        <v>0</v>
      </c>
      <c r="O104" s="236">
        <v>0</v>
      </c>
      <c r="P104" s="236">
        <f t="shared" si="8"/>
        <v>0</v>
      </c>
      <c r="Q104" s="236">
        <v>0</v>
      </c>
      <c r="R104" s="238">
        <v>0</v>
      </c>
      <c r="S104" s="238"/>
      <c r="T104" s="227" t="s">
        <v>96</v>
      </c>
    </row>
    <row r="105" spans="1:20" ht="11.25" customHeight="1" x14ac:dyDescent="0.2">
      <c r="A105" s="222" t="s">
        <v>5027</v>
      </c>
      <c r="B105" s="237" t="s">
        <v>5028</v>
      </c>
      <c r="C105" s="237" t="s">
        <v>5029</v>
      </c>
      <c r="D105" s="236">
        <v>0</v>
      </c>
      <c r="E105" s="236">
        <v>0</v>
      </c>
      <c r="F105" s="236">
        <v>0</v>
      </c>
      <c r="G105" s="236">
        <v>0</v>
      </c>
      <c r="H105" s="236">
        <v>1263888.8899999999</v>
      </c>
      <c r="I105" s="236">
        <v>12648611.619999999</v>
      </c>
      <c r="J105" s="236">
        <v>40658333.329999998</v>
      </c>
      <c r="K105" s="236">
        <v>31911111.109999999</v>
      </c>
      <c r="L105" s="236">
        <v>0</v>
      </c>
      <c r="M105" s="236">
        <v>0</v>
      </c>
      <c r="N105" s="236">
        <v>0</v>
      </c>
      <c r="O105" s="236">
        <v>0</v>
      </c>
      <c r="P105" s="236">
        <f t="shared" si="8"/>
        <v>86481944.949999988</v>
      </c>
      <c r="Q105" s="236">
        <v>42320833.340000004</v>
      </c>
      <c r="R105" s="238" t="s">
        <v>94</v>
      </c>
      <c r="S105" s="238"/>
      <c r="T105" s="227" t="s">
        <v>95</v>
      </c>
    </row>
    <row r="106" spans="1:20" ht="11.25" customHeight="1" x14ac:dyDescent="0.2">
      <c r="A106" s="222" t="s">
        <v>5030</v>
      </c>
      <c r="B106" s="237" t="s">
        <v>5031</v>
      </c>
      <c r="C106" s="237" t="s">
        <v>5032</v>
      </c>
      <c r="D106" s="236">
        <v>0</v>
      </c>
      <c r="E106" s="236">
        <v>0</v>
      </c>
      <c r="F106" s="236">
        <v>0</v>
      </c>
      <c r="G106" s="236">
        <v>0</v>
      </c>
      <c r="H106" s="236">
        <v>0</v>
      </c>
      <c r="I106" s="236">
        <v>213602</v>
      </c>
      <c r="J106" s="236">
        <v>0</v>
      </c>
      <c r="K106" s="236">
        <v>0</v>
      </c>
      <c r="L106" s="236">
        <v>0</v>
      </c>
      <c r="M106" s="236">
        <v>0</v>
      </c>
      <c r="N106" s="236">
        <v>0</v>
      </c>
      <c r="O106" s="236">
        <v>0</v>
      </c>
      <c r="P106" s="236">
        <f t="shared" si="8"/>
        <v>213602</v>
      </c>
      <c r="Q106" s="236">
        <v>161384.88</v>
      </c>
      <c r="R106" s="238" t="s">
        <v>94</v>
      </c>
      <c r="S106" s="238"/>
      <c r="T106" s="227" t="s">
        <v>97</v>
      </c>
    </row>
    <row r="107" spans="1:20" ht="11.25" customHeight="1" x14ac:dyDescent="0.2">
      <c r="A107" s="222" t="s">
        <v>5033</v>
      </c>
      <c r="B107" s="237" t="s">
        <v>5034</v>
      </c>
      <c r="C107" s="237" t="s">
        <v>5035</v>
      </c>
      <c r="D107" s="236">
        <v>18197916.670000099</v>
      </c>
      <c r="E107" s="236">
        <v>0</v>
      </c>
      <c r="F107" s="236">
        <v>0</v>
      </c>
      <c r="G107" s="236">
        <v>0</v>
      </c>
      <c r="H107" s="236">
        <v>300000000</v>
      </c>
      <c r="I107" s="236">
        <v>0</v>
      </c>
      <c r="J107" s="236">
        <v>0</v>
      </c>
      <c r="K107" s="236">
        <v>0</v>
      </c>
      <c r="L107" s="236">
        <v>0</v>
      </c>
      <c r="M107" s="236">
        <v>0</v>
      </c>
      <c r="N107" s="236">
        <v>0</v>
      </c>
      <c r="O107" s="236">
        <v>0</v>
      </c>
      <c r="P107" s="236">
        <f t="shared" si="8"/>
        <v>318197916.67000008</v>
      </c>
      <c r="Q107" s="236">
        <v>99420045.5</v>
      </c>
      <c r="R107" s="238" t="s">
        <v>98</v>
      </c>
      <c r="S107" s="238"/>
      <c r="T107" s="227">
        <v>0</v>
      </c>
    </row>
    <row r="108" spans="1:20" ht="11.25" customHeight="1" x14ac:dyDescent="0.2">
      <c r="A108" s="222" t="s">
        <v>5036</v>
      </c>
      <c r="B108" s="237" t="s">
        <v>5037</v>
      </c>
      <c r="C108" s="237" t="s">
        <v>5038</v>
      </c>
      <c r="D108" s="236">
        <v>0</v>
      </c>
      <c r="E108" s="236">
        <v>0</v>
      </c>
      <c r="F108" s="236">
        <v>0</v>
      </c>
      <c r="G108" s="236">
        <v>0</v>
      </c>
      <c r="H108" s="236">
        <v>0</v>
      </c>
      <c r="I108" s="236">
        <v>0</v>
      </c>
      <c r="J108" s="236">
        <v>0</v>
      </c>
      <c r="K108" s="236">
        <v>0</v>
      </c>
      <c r="L108" s="236">
        <v>0</v>
      </c>
      <c r="M108" s="236">
        <v>0</v>
      </c>
      <c r="N108" s="236">
        <v>0</v>
      </c>
      <c r="O108" s="236">
        <v>0</v>
      </c>
      <c r="P108" s="236">
        <f t="shared" si="8"/>
        <v>0</v>
      </c>
      <c r="Q108" s="236">
        <v>0</v>
      </c>
      <c r="R108" s="238">
        <v>0</v>
      </c>
      <c r="S108" s="238"/>
      <c r="T108" s="227" t="s">
        <v>90</v>
      </c>
    </row>
    <row r="109" spans="1:20" ht="11.25" customHeight="1" x14ac:dyDescent="0.2">
      <c r="A109" s="222" t="s">
        <v>5039</v>
      </c>
      <c r="B109" s="237" t="s">
        <v>5016</v>
      </c>
      <c r="C109" s="237" t="s">
        <v>5040</v>
      </c>
      <c r="D109" s="236">
        <v>135135136</v>
      </c>
      <c r="E109" s="236">
        <v>1051643</v>
      </c>
      <c r="F109" s="236">
        <v>21748053.329999998</v>
      </c>
      <c r="G109" s="236">
        <v>89890</v>
      </c>
      <c r="H109" s="236">
        <v>0</v>
      </c>
      <c r="I109" s="236">
        <v>0</v>
      </c>
      <c r="J109" s="236">
        <v>0</v>
      </c>
      <c r="K109" s="236">
        <v>0</v>
      </c>
      <c r="L109" s="236">
        <v>0</v>
      </c>
      <c r="M109" s="236">
        <v>0</v>
      </c>
      <c r="N109" s="236">
        <v>0</v>
      </c>
      <c r="O109" s="236">
        <v>0</v>
      </c>
      <c r="P109" s="236">
        <f t="shared" si="8"/>
        <v>158024722.32999998</v>
      </c>
      <c r="Q109" s="236">
        <v>14235858</v>
      </c>
      <c r="R109" s="238" t="s">
        <v>96</v>
      </c>
      <c r="S109" s="238"/>
      <c r="T109" s="227" t="s">
        <v>4819</v>
      </c>
    </row>
    <row r="110" spans="1:20" s="240" customFormat="1" ht="11.25" customHeight="1" x14ac:dyDescent="0.25">
      <c r="A110" s="235"/>
      <c r="B110" s="243" t="s">
        <v>5041</v>
      </c>
      <c r="C110" s="243"/>
      <c r="D110" s="244">
        <f t="shared" ref="D110:O110" si="9">SUM(D101:D109)</f>
        <v>175133705.17000011</v>
      </c>
      <c r="E110" s="245">
        <f t="shared" si="9"/>
        <v>21294740.170000002</v>
      </c>
      <c r="F110" s="245">
        <f t="shared" si="9"/>
        <v>44343289.619999997</v>
      </c>
      <c r="G110" s="245">
        <f t="shared" si="9"/>
        <v>14742858.470000001</v>
      </c>
      <c r="H110" s="245">
        <f t="shared" si="9"/>
        <v>318793770.32999998</v>
      </c>
      <c r="I110" s="245">
        <f t="shared" si="9"/>
        <v>31591108.899999999</v>
      </c>
      <c r="J110" s="245">
        <f t="shared" si="9"/>
        <v>47170840.399999999</v>
      </c>
      <c r="K110" s="245">
        <f t="shared" si="9"/>
        <v>36911384.379999995</v>
      </c>
      <c r="L110" s="245">
        <f t="shared" si="9"/>
        <v>0</v>
      </c>
      <c r="M110" s="245">
        <f t="shared" si="9"/>
        <v>0</v>
      </c>
      <c r="N110" s="245">
        <f t="shared" si="9"/>
        <v>0</v>
      </c>
      <c r="O110" s="245">
        <f t="shared" si="9"/>
        <v>0</v>
      </c>
      <c r="P110" s="244">
        <f t="shared" si="8"/>
        <v>689981697.44000006</v>
      </c>
      <c r="Q110" s="244">
        <f>SUM(Q101:Q109)</f>
        <v>489068591.20000005</v>
      </c>
      <c r="R110" s="238">
        <v>0</v>
      </c>
      <c r="S110" s="238"/>
    </row>
    <row r="111" spans="1:20" ht="11.25" customHeight="1" x14ac:dyDescent="0.2">
      <c r="A111" s="222"/>
      <c r="B111" s="237" t="s">
        <v>5042</v>
      </c>
      <c r="C111" s="237"/>
      <c r="D111" s="236"/>
      <c r="E111" s="236"/>
      <c r="F111" s="236"/>
      <c r="G111" s="236"/>
      <c r="H111" s="236"/>
      <c r="I111" s="236"/>
      <c r="J111" s="236"/>
      <c r="K111" s="236"/>
      <c r="L111" s="236"/>
      <c r="M111" s="236"/>
      <c r="N111" s="236"/>
      <c r="O111" s="236"/>
      <c r="P111" s="236">
        <f t="shared" si="8"/>
        <v>0</v>
      </c>
      <c r="Q111" s="236"/>
      <c r="R111" s="238">
        <v>0</v>
      </c>
      <c r="S111" s="238"/>
    </row>
    <row r="112" spans="1:20" ht="11.25" customHeight="1" x14ac:dyDescent="0.2">
      <c r="A112" s="222">
        <v>6400</v>
      </c>
      <c r="B112" s="235" t="s">
        <v>5043</v>
      </c>
      <c r="C112" s="235"/>
      <c r="D112" s="236">
        <v>0</v>
      </c>
      <c r="E112" s="236">
        <v>0</v>
      </c>
      <c r="F112" s="236">
        <v>0</v>
      </c>
      <c r="G112" s="236">
        <v>0</v>
      </c>
      <c r="H112" s="236">
        <v>0</v>
      </c>
      <c r="I112" s="236">
        <v>0</v>
      </c>
      <c r="J112" s="236">
        <v>0</v>
      </c>
      <c r="K112" s="236">
        <v>0</v>
      </c>
      <c r="L112" s="236">
        <v>0</v>
      </c>
      <c r="M112" s="236">
        <v>0</v>
      </c>
      <c r="N112" s="236">
        <v>0</v>
      </c>
      <c r="O112" s="236">
        <v>0</v>
      </c>
      <c r="P112" s="236">
        <f t="shared" si="8"/>
        <v>0</v>
      </c>
      <c r="Q112" s="236"/>
      <c r="R112" s="238">
        <v>0</v>
      </c>
      <c r="S112" s="238"/>
    </row>
    <row r="113" spans="1:19" ht="11.25" customHeight="1" x14ac:dyDescent="0.2">
      <c r="A113" s="222" t="s">
        <v>5044</v>
      </c>
      <c r="B113" s="227" t="s">
        <v>5045</v>
      </c>
      <c r="C113" s="227" t="s">
        <v>5046</v>
      </c>
      <c r="D113" s="236">
        <v>2184743.5499999998</v>
      </c>
      <c r="E113" s="236">
        <v>2200712.2400000002</v>
      </c>
      <c r="F113" s="236">
        <v>2891900.08</v>
      </c>
      <c r="G113" s="236">
        <v>22221828</v>
      </c>
      <c r="H113" s="236">
        <v>1595939.04</v>
      </c>
      <c r="I113" s="236">
        <v>1426600.63</v>
      </c>
      <c r="J113" s="236">
        <v>2437364.65</v>
      </c>
      <c r="K113" s="236">
        <v>1403891.72</v>
      </c>
      <c r="L113" s="236">
        <v>0</v>
      </c>
      <c r="M113" s="236">
        <v>0</v>
      </c>
      <c r="N113" s="236">
        <v>0</v>
      </c>
      <c r="O113" s="236">
        <v>0</v>
      </c>
      <c r="P113" s="236">
        <f t="shared" si="8"/>
        <v>36362979.909999996</v>
      </c>
      <c r="Q113" s="236">
        <v>20537758.789999999</v>
      </c>
      <c r="R113" s="238" t="s">
        <v>95</v>
      </c>
      <c r="S113" s="238"/>
    </row>
    <row r="114" spans="1:19" ht="11.25" customHeight="1" x14ac:dyDescent="0.2">
      <c r="A114" s="222" t="s">
        <v>5047</v>
      </c>
      <c r="B114" s="227" t="s">
        <v>5048</v>
      </c>
      <c r="C114" s="227" t="s">
        <v>5049</v>
      </c>
      <c r="D114" s="236">
        <v>0</v>
      </c>
      <c r="E114" s="236">
        <v>0</v>
      </c>
      <c r="F114" s="236">
        <v>0</v>
      </c>
      <c r="G114" s="236">
        <v>0</v>
      </c>
      <c r="H114" s="236">
        <v>0</v>
      </c>
      <c r="I114" s="236">
        <v>0</v>
      </c>
      <c r="J114" s="236">
        <v>0</v>
      </c>
      <c r="K114" s="236">
        <v>0</v>
      </c>
      <c r="L114" s="236">
        <v>0</v>
      </c>
      <c r="M114" s="236">
        <v>0</v>
      </c>
      <c r="N114" s="236">
        <v>0</v>
      </c>
      <c r="O114" s="236">
        <v>0</v>
      </c>
      <c r="P114" s="236">
        <f t="shared" si="8"/>
        <v>0</v>
      </c>
      <c r="Q114" s="236">
        <v>0</v>
      </c>
      <c r="R114" s="238">
        <v>0</v>
      </c>
      <c r="S114" s="238"/>
    </row>
    <row r="115" spans="1:19" ht="11.25" customHeight="1" x14ac:dyDescent="0.2">
      <c r="A115" s="222" t="s">
        <v>5050</v>
      </c>
      <c r="B115" s="227" t="s">
        <v>5051</v>
      </c>
      <c r="C115" s="227" t="s">
        <v>5052</v>
      </c>
      <c r="D115" s="236">
        <v>0</v>
      </c>
      <c r="E115" s="236">
        <v>0</v>
      </c>
      <c r="F115" s="236">
        <v>0</v>
      </c>
      <c r="G115" s="236">
        <v>0</v>
      </c>
      <c r="H115" s="236">
        <v>0</v>
      </c>
      <c r="I115" s="236">
        <v>0</v>
      </c>
      <c r="J115" s="236">
        <v>0</v>
      </c>
      <c r="K115" s="236">
        <v>0</v>
      </c>
      <c r="L115" s="236">
        <v>0</v>
      </c>
      <c r="M115" s="236">
        <v>0</v>
      </c>
      <c r="N115" s="236">
        <v>0</v>
      </c>
      <c r="O115" s="236">
        <v>0</v>
      </c>
      <c r="P115" s="236">
        <f t="shared" si="8"/>
        <v>0</v>
      </c>
      <c r="Q115" s="236">
        <v>0</v>
      </c>
      <c r="R115" s="238">
        <v>0</v>
      </c>
      <c r="S115" s="238"/>
    </row>
    <row r="116" spans="1:19" ht="11.25" customHeight="1" x14ac:dyDescent="0.2">
      <c r="A116" s="222" t="s">
        <v>5053</v>
      </c>
      <c r="B116" s="227" t="s">
        <v>5054</v>
      </c>
      <c r="C116" s="227" t="s">
        <v>5055</v>
      </c>
      <c r="D116" s="236">
        <v>0</v>
      </c>
      <c r="E116" s="236">
        <v>0</v>
      </c>
      <c r="F116" s="236">
        <v>0</v>
      </c>
      <c r="G116" s="236">
        <v>0</v>
      </c>
      <c r="H116" s="236">
        <v>0</v>
      </c>
      <c r="I116" s="236">
        <v>0</v>
      </c>
      <c r="J116" s="236">
        <v>0</v>
      </c>
      <c r="K116" s="236">
        <v>-36980</v>
      </c>
      <c r="L116" s="236">
        <v>0</v>
      </c>
      <c r="M116" s="236">
        <v>0</v>
      </c>
      <c r="N116" s="236">
        <v>0</v>
      </c>
      <c r="O116" s="236">
        <v>0</v>
      </c>
      <c r="P116" s="236">
        <f t="shared" si="8"/>
        <v>-36980</v>
      </c>
      <c r="Q116" s="236">
        <v>-10737297.810000001</v>
      </c>
      <c r="R116" s="238" t="s">
        <v>97</v>
      </c>
      <c r="S116" s="238"/>
    </row>
    <row r="117" spans="1:19" ht="11.25" customHeight="1" x14ac:dyDescent="0.2">
      <c r="A117" s="222" t="s">
        <v>5056</v>
      </c>
      <c r="B117" s="227" t="s">
        <v>5057</v>
      </c>
      <c r="C117" s="227" t="s">
        <v>5058</v>
      </c>
      <c r="D117" s="236">
        <v>4223.53</v>
      </c>
      <c r="E117" s="236">
        <v>4077.62</v>
      </c>
      <c r="F117" s="236">
        <v>2004.79</v>
      </c>
      <c r="G117" s="236">
        <v>1091.79</v>
      </c>
      <c r="H117" s="236">
        <v>2296.1999999999998</v>
      </c>
      <c r="I117" s="236">
        <v>-7692.67</v>
      </c>
      <c r="J117" s="236">
        <v>-2271.42</v>
      </c>
      <c r="K117" s="236">
        <v>-4921.1000000000004</v>
      </c>
      <c r="L117" s="236">
        <v>0</v>
      </c>
      <c r="M117" s="236">
        <v>0</v>
      </c>
      <c r="N117" s="236">
        <v>0</v>
      </c>
      <c r="O117" s="236">
        <v>0</v>
      </c>
      <c r="P117" s="236">
        <f t="shared" si="8"/>
        <v>-1191.2600000000002</v>
      </c>
      <c r="Q117" s="236">
        <v>1191.43</v>
      </c>
      <c r="R117" s="238" t="s">
        <v>97</v>
      </c>
      <c r="S117" s="238"/>
    </row>
    <row r="118" spans="1:19" ht="11.25" customHeight="1" x14ac:dyDescent="0.2">
      <c r="A118" s="222" t="s">
        <v>5059</v>
      </c>
      <c r="B118" s="227" t="s">
        <v>5060</v>
      </c>
      <c r="C118" s="227" t="s">
        <v>5061</v>
      </c>
      <c r="D118" s="236">
        <v>0</v>
      </c>
      <c r="E118" s="236">
        <v>0</v>
      </c>
      <c r="F118" s="236">
        <v>0</v>
      </c>
      <c r="G118" s="236">
        <v>0</v>
      </c>
      <c r="H118" s="236">
        <v>0</v>
      </c>
      <c r="I118" s="236">
        <v>0</v>
      </c>
      <c r="J118" s="236">
        <v>0</v>
      </c>
      <c r="K118" s="236">
        <v>0</v>
      </c>
      <c r="L118" s="236">
        <v>0</v>
      </c>
      <c r="M118" s="236">
        <v>0</v>
      </c>
      <c r="N118" s="236">
        <v>0</v>
      </c>
      <c r="O118" s="236">
        <v>0</v>
      </c>
      <c r="P118" s="236">
        <f t="shared" si="8"/>
        <v>0</v>
      </c>
      <c r="Q118" s="236">
        <v>0</v>
      </c>
      <c r="R118" s="238">
        <v>0</v>
      </c>
      <c r="S118" s="238"/>
    </row>
    <row r="119" spans="1:19" ht="11.25" customHeight="1" x14ac:dyDescent="0.2">
      <c r="A119" s="222" t="s">
        <v>5062</v>
      </c>
      <c r="B119" s="227" t="s">
        <v>5063</v>
      </c>
      <c r="C119" s="227" t="s">
        <v>5064</v>
      </c>
      <c r="D119" s="236">
        <v>122395000</v>
      </c>
      <c r="E119" s="236">
        <v>0</v>
      </c>
      <c r="F119" s="236">
        <v>0</v>
      </c>
      <c r="G119" s="236">
        <v>0</v>
      </c>
      <c r="H119" s="236">
        <v>0</v>
      </c>
      <c r="I119" s="236">
        <v>0</v>
      </c>
      <c r="J119" s="236">
        <v>0</v>
      </c>
      <c r="K119" s="236">
        <v>0</v>
      </c>
      <c r="L119" s="236">
        <v>0</v>
      </c>
      <c r="M119" s="236">
        <v>0</v>
      </c>
      <c r="N119" s="236">
        <v>0</v>
      </c>
      <c r="O119" s="236">
        <v>0</v>
      </c>
      <c r="P119" s="236">
        <f t="shared" si="8"/>
        <v>122395000</v>
      </c>
      <c r="Q119" s="236">
        <v>0</v>
      </c>
      <c r="R119" s="238" t="s">
        <v>97</v>
      </c>
      <c r="S119" s="238"/>
    </row>
    <row r="120" spans="1:19" ht="11.25" customHeight="1" x14ac:dyDescent="0.2">
      <c r="A120" s="222" t="s">
        <v>5065</v>
      </c>
      <c r="B120" s="227" t="s">
        <v>5066</v>
      </c>
      <c r="C120" s="227" t="s">
        <v>5067</v>
      </c>
      <c r="D120" s="236">
        <v>0</v>
      </c>
      <c r="E120" s="236">
        <v>0</v>
      </c>
      <c r="F120" s="236">
        <v>0</v>
      </c>
      <c r="G120" s="236">
        <v>0</v>
      </c>
      <c r="H120" s="236">
        <v>0</v>
      </c>
      <c r="I120" s="236">
        <v>0</v>
      </c>
      <c r="J120" s="236">
        <v>0</v>
      </c>
      <c r="K120" s="236">
        <v>0</v>
      </c>
      <c r="L120" s="236">
        <v>0</v>
      </c>
      <c r="M120" s="236">
        <v>0</v>
      </c>
      <c r="N120" s="236">
        <v>0</v>
      </c>
      <c r="O120" s="236">
        <v>0</v>
      </c>
      <c r="P120" s="236">
        <f t="shared" si="8"/>
        <v>0</v>
      </c>
      <c r="Q120" s="236">
        <v>92206.66</v>
      </c>
      <c r="R120" s="238" t="s">
        <v>97</v>
      </c>
      <c r="S120" s="238"/>
    </row>
    <row r="121" spans="1:19" ht="11.25" customHeight="1" x14ac:dyDescent="0.2">
      <c r="A121" s="222" t="s">
        <v>5068</v>
      </c>
      <c r="B121" s="227" t="s">
        <v>5069</v>
      </c>
      <c r="C121" s="227" t="s">
        <v>5070</v>
      </c>
      <c r="D121" s="236">
        <v>0</v>
      </c>
      <c r="E121" s="236">
        <v>0</v>
      </c>
      <c r="F121" s="236">
        <v>0</v>
      </c>
      <c r="G121" s="236">
        <v>0</v>
      </c>
      <c r="H121" s="236">
        <v>0</v>
      </c>
      <c r="I121" s="236">
        <v>0</v>
      </c>
      <c r="J121" s="236">
        <v>0</v>
      </c>
      <c r="K121" s="236">
        <v>0</v>
      </c>
      <c r="L121" s="236">
        <v>0</v>
      </c>
      <c r="M121" s="236">
        <v>0</v>
      </c>
      <c r="N121" s="236">
        <v>0</v>
      </c>
      <c r="O121" s="236">
        <v>0</v>
      </c>
      <c r="P121" s="236">
        <f t="shared" si="8"/>
        <v>0</v>
      </c>
      <c r="Q121" s="236">
        <v>0</v>
      </c>
      <c r="R121" s="238">
        <v>0</v>
      </c>
      <c r="S121" s="238"/>
    </row>
    <row r="122" spans="1:19" ht="11.25" customHeight="1" x14ac:dyDescent="0.2">
      <c r="A122" s="222" t="s">
        <v>5071</v>
      </c>
      <c r="B122" s="227" t="s">
        <v>5072</v>
      </c>
      <c r="C122" s="227" t="s">
        <v>5073</v>
      </c>
      <c r="D122" s="236">
        <v>0</v>
      </c>
      <c r="E122" s="236">
        <v>0</v>
      </c>
      <c r="F122" s="236">
        <v>0</v>
      </c>
      <c r="G122" s="236">
        <v>0</v>
      </c>
      <c r="H122" s="236">
        <v>0</v>
      </c>
      <c r="I122" s="236">
        <v>0</v>
      </c>
      <c r="J122" s="236">
        <v>0</v>
      </c>
      <c r="K122" s="236">
        <v>0</v>
      </c>
      <c r="L122" s="236">
        <v>0</v>
      </c>
      <c r="M122" s="236">
        <v>0</v>
      </c>
      <c r="N122" s="236">
        <v>0</v>
      </c>
      <c r="O122" s="236">
        <v>0</v>
      </c>
      <c r="P122" s="236">
        <f t="shared" si="8"/>
        <v>0</v>
      </c>
      <c r="Q122" s="236">
        <v>0</v>
      </c>
      <c r="R122" s="238">
        <v>0</v>
      </c>
      <c r="S122" s="238"/>
    </row>
    <row r="123" spans="1:19" ht="11.25" customHeight="1" x14ac:dyDescent="0.2">
      <c r="A123" s="222" t="s">
        <v>5074</v>
      </c>
      <c r="B123" s="227" t="s">
        <v>5075</v>
      </c>
      <c r="C123" s="227" t="s">
        <v>5076</v>
      </c>
      <c r="D123" s="236">
        <v>0</v>
      </c>
      <c r="E123" s="236">
        <v>0</v>
      </c>
      <c r="F123" s="236">
        <v>0</v>
      </c>
      <c r="G123" s="236">
        <v>0</v>
      </c>
      <c r="H123" s="236">
        <v>0</v>
      </c>
      <c r="I123" s="236">
        <v>0</v>
      </c>
      <c r="J123" s="236">
        <v>0</v>
      </c>
      <c r="K123" s="236">
        <v>0</v>
      </c>
      <c r="L123" s="236">
        <v>0</v>
      </c>
      <c r="M123" s="236">
        <v>0</v>
      </c>
      <c r="N123" s="236">
        <v>0</v>
      </c>
      <c r="O123" s="236">
        <v>0</v>
      </c>
      <c r="P123" s="236">
        <f t="shared" si="8"/>
        <v>0</v>
      </c>
      <c r="Q123" s="236">
        <v>0</v>
      </c>
      <c r="R123" s="238">
        <v>0</v>
      </c>
      <c r="S123" s="238"/>
    </row>
    <row r="124" spans="1:19" ht="11.25" customHeight="1" x14ac:dyDescent="0.2">
      <c r="A124" s="222" t="s">
        <v>5077</v>
      </c>
      <c r="B124" s="227" t="s">
        <v>5078</v>
      </c>
      <c r="C124" s="227" t="s">
        <v>5079</v>
      </c>
      <c r="D124" s="236">
        <v>39.869999999999997</v>
      </c>
      <c r="E124" s="236">
        <v>67.03</v>
      </c>
      <c r="F124" s="236">
        <v>50.57</v>
      </c>
      <c r="G124" s="236">
        <v>166.75</v>
      </c>
      <c r="H124" s="236">
        <v>5.2100000000000399</v>
      </c>
      <c r="I124" s="236">
        <v>19.39</v>
      </c>
      <c r="J124" s="236">
        <v>247.84</v>
      </c>
      <c r="K124" s="236">
        <v>30.89</v>
      </c>
      <c r="L124" s="236">
        <v>0</v>
      </c>
      <c r="M124" s="236">
        <v>0</v>
      </c>
      <c r="N124" s="236">
        <v>0</v>
      </c>
      <c r="O124" s="236">
        <v>0</v>
      </c>
      <c r="P124" s="236">
        <f t="shared" si="8"/>
        <v>627.55000000000007</v>
      </c>
      <c r="Q124" s="236">
        <v>-198.78</v>
      </c>
      <c r="R124" s="238" t="s">
        <v>97</v>
      </c>
      <c r="S124" s="238"/>
    </row>
    <row r="125" spans="1:19" ht="11.25" customHeight="1" x14ac:dyDescent="0.2">
      <c r="A125" s="222" t="s">
        <v>5080</v>
      </c>
      <c r="B125" s="227" t="s">
        <v>5081</v>
      </c>
      <c r="C125" s="227" t="s">
        <v>5082</v>
      </c>
      <c r="D125" s="236">
        <v>-35306.68</v>
      </c>
      <c r="E125" s="236">
        <v>-1758558.74</v>
      </c>
      <c r="F125" s="236">
        <v>-2061842.89</v>
      </c>
      <c r="G125" s="236">
        <v>-3447787.72</v>
      </c>
      <c r="H125" s="236">
        <v>-4623323.5</v>
      </c>
      <c r="I125" s="236">
        <v>-603155.9</v>
      </c>
      <c r="J125" s="236">
        <v>-2562792.4</v>
      </c>
      <c r="K125" s="236">
        <v>3776732.5</v>
      </c>
      <c r="L125" s="236">
        <v>0</v>
      </c>
      <c r="M125" s="236">
        <v>0</v>
      </c>
      <c r="N125" s="236">
        <v>0</v>
      </c>
      <c r="O125" s="236">
        <v>0</v>
      </c>
      <c r="P125" s="236">
        <f t="shared" si="8"/>
        <v>-11316035.33</v>
      </c>
      <c r="Q125" s="236">
        <v>10402124.789999999</v>
      </c>
      <c r="R125" s="238" t="s">
        <v>97</v>
      </c>
      <c r="S125" s="238"/>
    </row>
    <row r="126" spans="1:19" ht="11.25" customHeight="1" x14ac:dyDescent="0.2">
      <c r="A126" s="222" t="s">
        <v>5083</v>
      </c>
      <c r="B126" s="227" t="s">
        <v>5084</v>
      </c>
      <c r="D126" s="236"/>
      <c r="E126" s="236"/>
      <c r="F126" s="236"/>
      <c r="G126" s="236"/>
      <c r="H126" s="236"/>
      <c r="I126" s="236"/>
      <c r="J126" s="236">
        <v>0</v>
      </c>
      <c r="K126" s="236">
        <v>0</v>
      </c>
      <c r="L126" s="236">
        <v>0</v>
      </c>
      <c r="M126" s="236">
        <v>0</v>
      </c>
      <c r="N126" s="236">
        <v>0</v>
      </c>
      <c r="O126" s="236">
        <v>0</v>
      </c>
      <c r="P126" s="236">
        <f t="shared" si="8"/>
        <v>0</v>
      </c>
      <c r="Q126" s="236"/>
      <c r="R126" s="238">
        <v>0</v>
      </c>
      <c r="S126" s="238"/>
    </row>
    <row r="127" spans="1:19" s="240" customFormat="1" ht="11.25" customHeight="1" x14ac:dyDescent="0.25">
      <c r="A127" s="235"/>
      <c r="B127" s="243" t="s">
        <v>5085</v>
      </c>
      <c r="C127" s="243"/>
      <c r="D127" s="245">
        <f t="shared" ref="D127:O127" si="10">SUM(D113:D125)</f>
        <v>124548700.27</v>
      </c>
      <c r="E127" s="245">
        <f t="shared" si="10"/>
        <v>446298.15000000014</v>
      </c>
      <c r="F127" s="245">
        <f t="shared" si="10"/>
        <v>832112.55</v>
      </c>
      <c r="G127" s="245">
        <f t="shared" si="10"/>
        <v>18775298.82</v>
      </c>
      <c r="H127" s="245">
        <f t="shared" si="10"/>
        <v>-3025083.05</v>
      </c>
      <c r="I127" s="245">
        <f t="shared" si="10"/>
        <v>815771.44999999984</v>
      </c>
      <c r="J127" s="245">
        <f t="shared" si="10"/>
        <v>-127451.33000000007</v>
      </c>
      <c r="K127" s="245">
        <f t="shared" si="10"/>
        <v>5138754.01</v>
      </c>
      <c r="L127" s="245">
        <f t="shared" si="10"/>
        <v>0</v>
      </c>
      <c r="M127" s="245">
        <f t="shared" si="10"/>
        <v>0</v>
      </c>
      <c r="N127" s="245">
        <f t="shared" si="10"/>
        <v>0</v>
      </c>
      <c r="O127" s="245">
        <f t="shared" si="10"/>
        <v>0</v>
      </c>
      <c r="P127" s="244">
        <f t="shared" si="8"/>
        <v>147404400.86999995</v>
      </c>
      <c r="Q127" s="244">
        <f>SUM(E127:P127)</f>
        <v>170260101.46999994</v>
      </c>
      <c r="R127" s="238">
        <v>0</v>
      </c>
      <c r="S127" s="238"/>
    </row>
    <row r="128" spans="1:19" s="240" customFormat="1" ht="11.25" customHeight="1" x14ac:dyDescent="0.25">
      <c r="A128" s="235"/>
      <c r="B128" s="235" t="s">
        <v>5086</v>
      </c>
      <c r="C128" s="235"/>
      <c r="D128" s="246">
        <f t="shared" ref="D128:O128" si="11">D110-D127</f>
        <v>50585004.90000011</v>
      </c>
      <c r="E128" s="246">
        <f t="shared" si="11"/>
        <v>20848442.020000003</v>
      </c>
      <c r="F128" s="246">
        <f t="shared" si="11"/>
        <v>43511177.07</v>
      </c>
      <c r="G128" s="246">
        <f t="shared" si="11"/>
        <v>-4032440.3499999996</v>
      </c>
      <c r="H128" s="246">
        <f t="shared" si="11"/>
        <v>321818853.38</v>
      </c>
      <c r="I128" s="246">
        <f t="shared" si="11"/>
        <v>30775337.449999999</v>
      </c>
      <c r="J128" s="246">
        <f t="shared" si="11"/>
        <v>47298291.729999997</v>
      </c>
      <c r="K128" s="246">
        <f t="shared" si="11"/>
        <v>31772630.369999997</v>
      </c>
      <c r="L128" s="246">
        <f t="shared" si="11"/>
        <v>0</v>
      </c>
      <c r="M128" s="246">
        <f t="shared" si="11"/>
        <v>0</v>
      </c>
      <c r="N128" s="246">
        <f t="shared" si="11"/>
        <v>0</v>
      </c>
      <c r="O128" s="246">
        <f t="shared" si="11"/>
        <v>0</v>
      </c>
      <c r="P128" s="239">
        <f t="shared" si="8"/>
        <v>542577296.57000005</v>
      </c>
      <c r="Q128" s="246">
        <f>Q110-Q127</f>
        <v>318808489.73000014</v>
      </c>
      <c r="R128" s="238">
        <v>0</v>
      </c>
      <c r="S128" s="238"/>
    </row>
    <row r="129" spans="1:20" s="240" customFormat="1" ht="11.25" customHeight="1" x14ac:dyDescent="0.25">
      <c r="A129" s="235"/>
      <c r="B129" s="235"/>
      <c r="C129" s="235"/>
      <c r="D129" s="242"/>
      <c r="E129" s="242"/>
      <c r="F129" s="242"/>
      <c r="G129" s="242"/>
      <c r="H129" s="242"/>
      <c r="I129" s="242"/>
      <c r="J129" s="242"/>
      <c r="K129" s="242"/>
      <c r="L129" s="242"/>
      <c r="M129" s="242"/>
      <c r="N129" s="242"/>
      <c r="O129" s="242"/>
      <c r="P129" s="239"/>
      <c r="Q129" s="239"/>
      <c r="R129" s="227"/>
      <c r="S129" s="227"/>
    </row>
    <row r="130" spans="1:20" s="240" customFormat="1" ht="11.25" customHeight="1" x14ac:dyDescent="0.25">
      <c r="A130" s="235"/>
      <c r="B130" s="235" t="s">
        <v>104</v>
      </c>
      <c r="C130" s="235"/>
      <c r="D130" s="242">
        <f t="shared" ref="D130:O130" si="12">D98+D128</f>
        <v>1861019523.1100001</v>
      </c>
      <c r="E130" s="242">
        <f t="shared" si="12"/>
        <v>1198307605.2899988</v>
      </c>
      <c r="F130" s="242">
        <f t="shared" si="12"/>
        <v>-664592480.67001069</v>
      </c>
      <c r="G130" s="242">
        <f t="shared" si="12"/>
        <v>404253149.47999883</v>
      </c>
      <c r="H130" s="242">
        <f t="shared" si="12"/>
        <v>635559699.18999958</v>
      </c>
      <c r="I130" s="242">
        <f t="shared" si="12"/>
        <v>589420861.82999969</v>
      </c>
      <c r="J130" s="242">
        <f t="shared" si="12"/>
        <v>706622955.84000063</v>
      </c>
      <c r="K130" s="242">
        <f t="shared" si="12"/>
        <v>1228512103.5899992</v>
      </c>
      <c r="L130" s="242">
        <f t="shared" si="12"/>
        <v>0</v>
      </c>
      <c r="M130" s="242">
        <f t="shared" si="12"/>
        <v>0</v>
      </c>
      <c r="N130" s="242">
        <f t="shared" si="12"/>
        <v>0</v>
      </c>
      <c r="O130" s="242">
        <f t="shared" si="12"/>
        <v>0</v>
      </c>
      <c r="P130" s="239">
        <f>SUM(D130:O130)</f>
        <v>5959103417.6599855</v>
      </c>
      <c r="Q130" s="242">
        <f>Q98+Q128</f>
        <v>6800915433.4100018</v>
      </c>
    </row>
    <row r="131" spans="1:20" s="240" customFormat="1" ht="11.25" customHeight="1" x14ac:dyDescent="0.25">
      <c r="A131" s="235"/>
      <c r="B131" s="235"/>
      <c r="C131" s="235"/>
      <c r="D131" s="239"/>
      <c r="E131" s="239"/>
      <c r="F131" s="239"/>
      <c r="G131" s="239"/>
      <c r="H131" s="239"/>
      <c r="I131" s="239"/>
      <c r="J131" s="239"/>
      <c r="K131" s="239"/>
      <c r="L131" s="239"/>
      <c r="M131" s="239"/>
      <c r="N131" s="236"/>
      <c r="O131" s="236"/>
      <c r="P131" s="239">
        <f>SUM(D131:O131)</f>
        <v>0</v>
      </c>
      <c r="Q131" s="239"/>
    </row>
    <row r="132" spans="1:20" s="240" customFormat="1" ht="11.25" customHeight="1" x14ac:dyDescent="0.25">
      <c r="A132" s="222" t="s">
        <v>5087</v>
      </c>
      <c r="B132" s="227" t="s">
        <v>5088</v>
      </c>
      <c r="C132" s="227" t="s">
        <v>5089</v>
      </c>
      <c r="D132" s="236">
        <v>416101</v>
      </c>
      <c r="E132" s="236">
        <v>0</v>
      </c>
      <c r="F132" s="236">
        <v>0</v>
      </c>
      <c r="G132" s="236">
        <v>0</v>
      </c>
      <c r="H132" s="236">
        <v>51750</v>
      </c>
      <c r="I132" s="236">
        <v>20760</v>
      </c>
      <c r="J132" s="236">
        <v>2082251</v>
      </c>
      <c r="K132" s="236">
        <v>0</v>
      </c>
      <c r="L132" s="236">
        <v>0</v>
      </c>
      <c r="M132" s="236">
        <v>0</v>
      </c>
      <c r="N132" s="236">
        <v>0</v>
      </c>
      <c r="O132" s="236">
        <v>0</v>
      </c>
      <c r="P132" s="236">
        <f>SUM(D132:O132)</f>
        <v>2570862</v>
      </c>
      <c r="Q132" s="236">
        <v>0</v>
      </c>
      <c r="R132" s="238" t="s">
        <v>95</v>
      </c>
      <c r="S132" s="238"/>
    </row>
    <row r="133" spans="1:20" s="240" customFormat="1" ht="11.25" customHeight="1" x14ac:dyDescent="0.25">
      <c r="A133" s="222" t="s">
        <v>5090</v>
      </c>
      <c r="B133" s="227" t="s">
        <v>5091</v>
      </c>
      <c r="C133" s="227" t="s">
        <v>5092</v>
      </c>
      <c r="D133" s="236">
        <v>0</v>
      </c>
      <c r="E133" s="236">
        <v>0</v>
      </c>
      <c r="F133" s="236">
        <v>0</v>
      </c>
      <c r="G133" s="236">
        <v>0</v>
      </c>
      <c r="H133" s="236">
        <v>0</v>
      </c>
      <c r="I133" s="236">
        <v>0</v>
      </c>
      <c r="J133" s="236">
        <v>0</v>
      </c>
      <c r="K133" s="236">
        <v>0</v>
      </c>
      <c r="L133" s="236">
        <v>0</v>
      </c>
      <c r="M133" s="236">
        <v>0</v>
      </c>
      <c r="N133" s="236">
        <v>0</v>
      </c>
      <c r="O133" s="236">
        <v>0</v>
      </c>
      <c r="P133" s="236">
        <f>SUM(D133:O133)</f>
        <v>0</v>
      </c>
      <c r="Q133" s="236">
        <v>0</v>
      </c>
      <c r="R133" s="238">
        <v>0</v>
      </c>
      <c r="S133" s="238"/>
    </row>
    <row r="134" spans="1:20" s="240" customFormat="1" ht="11.25" customHeight="1" x14ac:dyDescent="0.25">
      <c r="A134" s="235"/>
      <c r="B134" s="235"/>
      <c r="C134" s="235"/>
      <c r="D134" s="239"/>
      <c r="E134" s="239"/>
      <c r="F134" s="239"/>
      <c r="G134" s="239"/>
      <c r="H134" s="239"/>
      <c r="I134" s="239"/>
      <c r="J134" s="239"/>
      <c r="K134" s="239"/>
      <c r="L134" s="239"/>
      <c r="M134" s="239"/>
      <c r="N134" s="236"/>
      <c r="O134" s="236"/>
      <c r="P134" s="239"/>
      <c r="Q134" s="239"/>
    </row>
    <row r="135" spans="1:20" s="240" customFormat="1" ht="11.25" customHeight="1" x14ac:dyDescent="0.25">
      <c r="A135" s="222">
        <v>6500</v>
      </c>
      <c r="B135" s="235" t="s">
        <v>5093</v>
      </c>
      <c r="C135" s="235"/>
      <c r="D135" s="236">
        <v>0</v>
      </c>
      <c r="E135" s="236">
        <v>0</v>
      </c>
      <c r="F135" s="236">
        <v>0</v>
      </c>
      <c r="G135" s="236">
        <v>0</v>
      </c>
      <c r="H135" s="236">
        <v>0</v>
      </c>
      <c r="I135" s="236">
        <v>0</v>
      </c>
      <c r="J135" s="236">
        <v>0</v>
      </c>
      <c r="K135" s="236">
        <v>0</v>
      </c>
      <c r="L135" s="236">
        <v>0</v>
      </c>
      <c r="M135" s="236">
        <v>0</v>
      </c>
      <c r="N135" s="236">
        <v>0</v>
      </c>
      <c r="O135" s="236">
        <v>0</v>
      </c>
      <c r="P135" s="236">
        <f t="shared" ref="P135:P148" si="13">SUM(D135:O135)</f>
        <v>0</v>
      </c>
      <c r="Q135" s="236"/>
    </row>
    <row r="136" spans="1:20" s="240" customFormat="1" ht="11.25" customHeight="1" x14ac:dyDescent="0.25">
      <c r="A136" s="222" t="s">
        <v>378</v>
      </c>
      <c r="B136" s="237" t="s">
        <v>5094</v>
      </c>
      <c r="C136" s="237" t="s">
        <v>5095</v>
      </c>
      <c r="D136" s="236">
        <v>61730368.5</v>
      </c>
      <c r="E136" s="236">
        <v>61730368.5</v>
      </c>
      <c r="F136" s="236">
        <v>61730368.5</v>
      </c>
      <c r="G136" s="236">
        <v>61730368.5</v>
      </c>
      <c r="H136" s="236">
        <v>61730368.5</v>
      </c>
      <c r="I136" s="236">
        <v>61730368.5</v>
      </c>
      <c r="J136" s="236">
        <v>61730368.5</v>
      </c>
      <c r="K136" s="236">
        <v>62104535.170000002</v>
      </c>
      <c r="L136" s="236">
        <v>0</v>
      </c>
      <c r="M136" s="236">
        <v>0</v>
      </c>
      <c r="N136" s="236">
        <v>0</v>
      </c>
      <c r="O136" s="236">
        <v>0</v>
      </c>
      <c r="P136" s="236">
        <f t="shared" si="13"/>
        <v>494217114.67000002</v>
      </c>
      <c r="Q136" s="236">
        <v>489311906.39999998</v>
      </c>
      <c r="R136" s="238" t="s">
        <v>90</v>
      </c>
      <c r="S136" s="238"/>
    </row>
    <row r="137" spans="1:20" s="240" customFormat="1" ht="11.25" customHeight="1" x14ac:dyDescent="0.25">
      <c r="A137" s="222" t="s">
        <v>5096</v>
      </c>
      <c r="B137" s="237" t="s">
        <v>5097</v>
      </c>
      <c r="C137" s="237" t="s">
        <v>5095</v>
      </c>
      <c r="D137" s="236">
        <v>0</v>
      </c>
      <c r="E137" s="236">
        <v>0</v>
      </c>
      <c r="F137" s="236">
        <v>0</v>
      </c>
      <c r="G137" s="236">
        <v>0</v>
      </c>
      <c r="H137" s="236">
        <v>0</v>
      </c>
      <c r="I137" s="236">
        <v>0</v>
      </c>
      <c r="J137" s="236">
        <v>0</v>
      </c>
      <c r="K137" s="236">
        <v>0</v>
      </c>
      <c r="L137" s="236">
        <v>0</v>
      </c>
      <c r="M137" s="236">
        <v>0</v>
      </c>
      <c r="N137" s="236">
        <v>0</v>
      </c>
      <c r="O137" s="236">
        <v>0</v>
      </c>
      <c r="P137" s="236">
        <f t="shared" si="13"/>
        <v>0</v>
      </c>
      <c r="Q137" s="236">
        <v>2574681.83</v>
      </c>
      <c r="R137" s="238" t="s">
        <v>90</v>
      </c>
      <c r="S137" s="238"/>
    </row>
    <row r="138" spans="1:20" s="240" customFormat="1" ht="11.25" customHeight="1" x14ac:dyDescent="0.25">
      <c r="A138" s="222" t="s">
        <v>482</v>
      </c>
      <c r="B138" s="237" t="s">
        <v>5098</v>
      </c>
      <c r="C138" s="237" t="s">
        <v>5095</v>
      </c>
      <c r="D138" s="236">
        <v>24154522.629999999</v>
      </c>
      <c r="E138" s="236">
        <v>24154522.629999999</v>
      </c>
      <c r="F138" s="236">
        <v>24154522.629999999</v>
      </c>
      <c r="G138" s="236">
        <v>24154522.629999999</v>
      </c>
      <c r="H138" s="236">
        <v>30404522.629999999</v>
      </c>
      <c r="I138" s="236">
        <v>30404522.629999999</v>
      </c>
      <c r="J138" s="236">
        <v>30404522.629999999</v>
      </c>
      <c r="K138" s="236">
        <v>30404522.629999999</v>
      </c>
      <c r="L138" s="236">
        <v>0</v>
      </c>
      <c r="M138" s="236">
        <v>0</v>
      </c>
      <c r="N138" s="236">
        <v>0</v>
      </c>
      <c r="O138" s="236">
        <v>0</v>
      </c>
      <c r="P138" s="236">
        <f t="shared" si="13"/>
        <v>218236181.03999999</v>
      </c>
      <c r="Q138" s="236">
        <v>140791500.22</v>
      </c>
      <c r="R138" s="238" t="s">
        <v>90</v>
      </c>
      <c r="S138" s="238"/>
    </row>
    <row r="139" spans="1:20" s="240" customFormat="1" ht="11.25" customHeight="1" x14ac:dyDescent="0.25">
      <c r="A139" s="222" t="s">
        <v>949</v>
      </c>
      <c r="B139" s="237" t="s">
        <v>5099</v>
      </c>
      <c r="C139" s="237" t="s">
        <v>5095</v>
      </c>
      <c r="D139" s="236">
        <v>8593637.4600000009</v>
      </c>
      <c r="E139" s="236">
        <v>8448444.3300000001</v>
      </c>
      <c r="F139" s="236">
        <v>8594488.1699999999</v>
      </c>
      <c r="G139" s="236">
        <v>8619865.25</v>
      </c>
      <c r="H139" s="236">
        <v>8649618.25</v>
      </c>
      <c r="I139" s="236">
        <v>8711968.0999999996</v>
      </c>
      <c r="J139" s="236">
        <v>9380380.2400000002</v>
      </c>
      <c r="K139" s="236">
        <v>9960897.6999999993</v>
      </c>
      <c r="L139" s="236">
        <v>0</v>
      </c>
      <c r="M139" s="236">
        <v>0</v>
      </c>
      <c r="N139" s="236">
        <v>0</v>
      </c>
      <c r="O139" s="236">
        <v>0</v>
      </c>
      <c r="P139" s="236">
        <f t="shared" si="13"/>
        <v>70959299.5</v>
      </c>
      <c r="Q139" s="236">
        <v>61041630.420000002</v>
      </c>
      <c r="R139" s="238" t="s">
        <v>90</v>
      </c>
      <c r="S139" s="238"/>
    </row>
    <row r="140" spans="1:20" s="240" customFormat="1" ht="11.25" customHeight="1" x14ac:dyDescent="0.25">
      <c r="A140" s="222" t="s">
        <v>874</v>
      </c>
      <c r="B140" s="237" t="s">
        <v>5100</v>
      </c>
      <c r="C140" s="237" t="s">
        <v>5095</v>
      </c>
      <c r="D140" s="236">
        <v>2772395.83</v>
      </c>
      <c r="E140" s="236">
        <v>2772395.83</v>
      </c>
      <c r="F140" s="236">
        <v>197916.67</v>
      </c>
      <c r="G140" s="236">
        <v>145833.34</v>
      </c>
      <c r="H140" s="236">
        <v>145833.34</v>
      </c>
      <c r="I140" s="236">
        <v>145833.34</v>
      </c>
      <c r="J140" s="236">
        <v>145833.34</v>
      </c>
      <c r="K140" s="236">
        <v>145833.34</v>
      </c>
      <c r="L140" s="236">
        <v>0</v>
      </c>
      <c r="M140" s="236">
        <v>0</v>
      </c>
      <c r="N140" s="236">
        <v>0</v>
      </c>
      <c r="O140" s="236">
        <v>0</v>
      </c>
      <c r="P140" s="236">
        <f t="shared" si="13"/>
        <v>6471875.0299999993</v>
      </c>
      <c r="Q140" s="236">
        <v>22312500</v>
      </c>
      <c r="R140" s="238" t="s">
        <v>90</v>
      </c>
      <c r="S140" s="238"/>
    </row>
    <row r="141" spans="1:20" s="240" customFormat="1" ht="11.25" customHeight="1" x14ac:dyDescent="0.25">
      <c r="A141" s="222" t="s">
        <v>2334</v>
      </c>
      <c r="B141" s="237" t="s">
        <v>5101</v>
      </c>
      <c r="C141" s="237" t="s">
        <v>5095</v>
      </c>
      <c r="D141" s="236">
        <v>48063194.57</v>
      </c>
      <c r="E141" s="236">
        <v>45759965.409999996</v>
      </c>
      <c r="F141" s="236">
        <v>41257210.159999996</v>
      </c>
      <c r="G141" s="236">
        <v>40600960.159999996</v>
      </c>
      <c r="H141" s="236">
        <v>40560126.829999998</v>
      </c>
      <c r="I141" s="236">
        <v>40589887.240000002</v>
      </c>
      <c r="J141" s="236">
        <v>40551901.299999997</v>
      </c>
      <c r="K141" s="236">
        <v>41008045.640000001</v>
      </c>
      <c r="L141" s="236">
        <v>0</v>
      </c>
      <c r="M141" s="236">
        <v>0</v>
      </c>
      <c r="N141" s="236">
        <v>0</v>
      </c>
      <c r="O141" s="236">
        <v>0</v>
      </c>
      <c r="P141" s="236">
        <f t="shared" si="13"/>
        <v>338391291.31</v>
      </c>
      <c r="Q141" s="236">
        <v>377118432.01999998</v>
      </c>
      <c r="R141" s="238" t="s">
        <v>63</v>
      </c>
      <c r="S141" s="238" t="s">
        <v>63</v>
      </c>
      <c r="T141" s="247"/>
    </row>
    <row r="142" spans="1:20" s="240" customFormat="1" ht="11.25" customHeight="1" x14ac:dyDescent="0.25">
      <c r="A142" s="222" t="s">
        <v>2285</v>
      </c>
      <c r="B142" s="237" t="s">
        <v>5102</v>
      </c>
      <c r="C142" s="237" t="s">
        <v>5095</v>
      </c>
      <c r="D142" s="236">
        <v>14533270.83</v>
      </c>
      <c r="E142" s="236">
        <v>14533270.83</v>
      </c>
      <c r="F142" s="236">
        <v>14533270.83</v>
      </c>
      <c r="G142" s="236">
        <v>14533270.83</v>
      </c>
      <c r="H142" s="236">
        <v>14533270.83</v>
      </c>
      <c r="I142" s="236">
        <v>14533270.83</v>
      </c>
      <c r="J142" s="236">
        <v>14533270.83</v>
      </c>
      <c r="K142" s="236">
        <v>14533270.83</v>
      </c>
      <c r="L142" s="236">
        <v>0</v>
      </c>
      <c r="M142" s="236">
        <v>0</v>
      </c>
      <c r="N142" s="236">
        <v>0</v>
      </c>
      <c r="O142" s="236">
        <v>0</v>
      </c>
      <c r="P142" s="236">
        <f t="shared" si="13"/>
        <v>116266166.64</v>
      </c>
      <c r="Q142" s="236">
        <v>66165645.829999998</v>
      </c>
      <c r="R142" s="238" t="s">
        <v>63</v>
      </c>
      <c r="S142" s="238" t="s">
        <v>63</v>
      </c>
    </row>
    <row r="143" spans="1:20" s="240" customFormat="1" ht="11.25" customHeight="1" x14ac:dyDescent="0.25">
      <c r="A143" s="222" t="s">
        <v>1322</v>
      </c>
      <c r="B143" s="237" t="s">
        <v>5103</v>
      </c>
      <c r="C143" s="237" t="s">
        <v>5095</v>
      </c>
      <c r="D143" s="236">
        <v>0</v>
      </c>
      <c r="E143" s="236">
        <v>0</v>
      </c>
      <c r="F143" s="236">
        <v>0</v>
      </c>
      <c r="G143" s="236">
        <v>0</v>
      </c>
      <c r="H143" s="236">
        <v>0</v>
      </c>
      <c r="I143" s="236">
        <v>0</v>
      </c>
      <c r="J143" s="236">
        <v>0</v>
      </c>
      <c r="K143" s="236">
        <v>0</v>
      </c>
      <c r="L143" s="236">
        <v>0</v>
      </c>
      <c r="M143" s="236">
        <v>0</v>
      </c>
      <c r="N143" s="236">
        <v>0</v>
      </c>
      <c r="O143" s="236">
        <v>0</v>
      </c>
      <c r="P143" s="236">
        <f t="shared" si="13"/>
        <v>0</v>
      </c>
      <c r="Q143" s="236">
        <v>0</v>
      </c>
      <c r="R143" s="238" t="s">
        <v>90</v>
      </c>
      <c r="S143" s="238"/>
    </row>
    <row r="144" spans="1:20" s="240" customFormat="1" ht="11.25" customHeight="1" x14ac:dyDescent="0.25">
      <c r="A144" s="222" t="s">
        <v>590</v>
      </c>
      <c r="B144" s="237" t="s">
        <v>5104</v>
      </c>
      <c r="C144" s="237" t="s">
        <v>5095</v>
      </c>
      <c r="D144" s="236">
        <v>0</v>
      </c>
      <c r="E144" s="236">
        <v>0</v>
      </c>
      <c r="F144" s="236">
        <v>0</v>
      </c>
      <c r="G144" s="236">
        <v>0</v>
      </c>
      <c r="H144" s="236">
        <v>0</v>
      </c>
      <c r="I144" s="236">
        <v>0</v>
      </c>
      <c r="J144" s="236">
        <v>0</v>
      </c>
      <c r="K144" s="236">
        <v>0</v>
      </c>
      <c r="L144" s="236">
        <v>0</v>
      </c>
      <c r="M144" s="236">
        <v>0</v>
      </c>
      <c r="N144" s="236">
        <v>0</v>
      </c>
      <c r="O144" s="236">
        <v>0</v>
      </c>
      <c r="P144" s="236">
        <f t="shared" si="13"/>
        <v>0</v>
      </c>
      <c r="Q144" s="236">
        <v>0</v>
      </c>
      <c r="R144" s="238" t="s">
        <v>90</v>
      </c>
      <c r="S144" s="238"/>
    </row>
    <row r="145" spans="1:19" s="240" customFormat="1" ht="11.25" customHeight="1" x14ac:dyDescent="0.25">
      <c r="A145" s="222" t="s">
        <v>1329</v>
      </c>
      <c r="B145" s="237" t="s">
        <v>5105</v>
      </c>
      <c r="C145" s="237" t="s">
        <v>5095</v>
      </c>
      <c r="D145" s="236">
        <v>0</v>
      </c>
      <c r="E145" s="236">
        <v>0</v>
      </c>
      <c r="F145" s="236">
        <v>0</v>
      </c>
      <c r="G145" s="236">
        <v>0</v>
      </c>
      <c r="H145" s="236">
        <v>0</v>
      </c>
      <c r="I145" s="236">
        <v>0</v>
      </c>
      <c r="J145" s="236">
        <v>0</v>
      </c>
      <c r="K145" s="236">
        <v>0</v>
      </c>
      <c r="L145" s="236">
        <v>0</v>
      </c>
      <c r="M145" s="236">
        <v>0</v>
      </c>
      <c r="N145" s="236">
        <v>0</v>
      </c>
      <c r="O145" s="236">
        <v>0</v>
      </c>
      <c r="P145" s="236">
        <f t="shared" si="13"/>
        <v>0</v>
      </c>
      <c r="Q145" s="236">
        <v>0</v>
      </c>
      <c r="R145" s="238" t="s">
        <v>90</v>
      </c>
      <c r="S145" s="238"/>
    </row>
    <row r="146" spans="1:19" s="240" customFormat="1" ht="11.25" customHeight="1" x14ac:dyDescent="0.25">
      <c r="A146" s="222" t="s">
        <v>2818</v>
      </c>
      <c r="B146" s="237" t="s">
        <v>5106</v>
      </c>
      <c r="C146" s="237" t="s">
        <v>4849</v>
      </c>
      <c r="D146" s="236">
        <v>0</v>
      </c>
      <c r="E146" s="236">
        <v>0</v>
      </c>
      <c r="F146" s="236">
        <v>0</v>
      </c>
      <c r="G146" s="236">
        <v>0</v>
      </c>
      <c r="H146" s="236">
        <v>0</v>
      </c>
      <c r="I146" s="236">
        <v>0</v>
      </c>
      <c r="J146" s="236">
        <v>0</v>
      </c>
      <c r="K146" s="236">
        <v>0</v>
      </c>
      <c r="L146" s="236">
        <v>0</v>
      </c>
      <c r="M146" s="236">
        <v>0</v>
      </c>
      <c r="N146" s="236">
        <v>0</v>
      </c>
      <c r="O146" s="236">
        <v>0</v>
      </c>
      <c r="P146" s="236">
        <f t="shared" si="13"/>
        <v>0</v>
      </c>
      <c r="Q146" s="236">
        <v>0</v>
      </c>
      <c r="R146" s="238" t="s">
        <v>90</v>
      </c>
      <c r="S146" s="238"/>
    </row>
    <row r="147" spans="1:19" s="240" customFormat="1" ht="11.25" customHeight="1" x14ac:dyDescent="0.25">
      <c r="A147" s="222" t="s">
        <v>3829</v>
      </c>
      <c r="B147" s="237" t="s">
        <v>5107</v>
      </c>
      <c r="C147" s="237" t="s">
        <v>4849</v>
      </c>
      <c r="D147" s="236">
        <v>0</v>
      </c>
      <c r="E147" s="236">
        <v>0</v>
      </c>
      <c r="F147" s="236">
        <v>0</v>
      </c>
      <c r="G147" s="236">
        <v>0</v>
      </c>
      <c r="H147" s="236">
        <v>0</v>
      </c>
      <c r="I147" s="236">
        <v>0</v>
      </c>
      <c r="J147" s="236">
        <v>0</v>
      </c>
      <c r="K147" s="236">
        <v>0</v>
      </c>
      <c r="L147" s="236">
        <v>0</v>
      </c>
      <c r="M147" s="236">
        <v>0</v>
      </c>
      <c r="N147" s="236">
        <v>0</v>
      </c>
      <c r="O147" s="236">
        <v>0</v>
      </c>
      <c r="P147" s="236">
        <f t="shared" si="13"/>
        <v>0</v>
      </c>
      <c r="Q147" s="236">
        <v>0</v>
      </c>
      <c r="R147" s="238" t="s">
        <v>90</v>
      </c>
      <c r="S147" s="238"/>
    </row>
    <row r="148" spans="1:19" s="240" customFormat="1" ht="11.25" customHeight="1" x14ac:dyDescent="0.25">
      <c r="A148" s="222" t="s">
        <v>5108</v>
      </c>
      <c r="B148" s="237" t="s">
        <v>5109</v>
      </c>
      <c r="C148" s="237" t="s">
        <v>5095</v>
      </c>
      <c r="D148" s="236">
        <v>0</v>
      </c>
      <c r="E148" s="236">
        <v>0</v>
      </c>
      <c r="F148" s="236">
        <v>0</v>
      </c>
      <c r="G148" s="236">
        <v>0</v>
      </c>
      <c r="H148" s="236">
        <v>0</v>
      </c>
      <c r="I148" s="236">
        <v>0</v>
      </c>
      <c r="J148" s="236">
        <v>0</v>
      </c>
      <c r="K148" s="236">
        <v>0</v>
      </c>
      <c r="L148" s="236">
        <v>0</v>
      </c>
      <c r="M148" s="236">
        <v>0</v>
      </c>
      <c r="N148" s="236">
        <v>0</v>
      </c>
      <c r="O148" s="236">
        <v>0</v>
      </c>
      <c r="P148" s="236">
        <f t="shared" si="13"/>
        <v>0</v>
      </c>
      <c r="Q148" s="236">
        <v>0</v>
      </c>
      <c r="R148" s="238" t="s">
        <v>90</v>
      </c>
      <c r="S148" s="238"/>
    </row>
    <row r="149" spans="1:19" s="240" customFormat="1" ht="11.25" customHeight="1" x14ac:dyDescent="0.25">
      <c r="A149" s="235"/>
      <c r="B149" s="235"/>
      <c r="C149" s="235"/>
      <c r="D149" s="239"/>
      <c r="E149" s="239"/>
      <c r="F149" s="239"/>
      <c r="G149" s="239"/>
      <c r="H149" s="239"/>
      <c r="I149" s="239"/>
      <c r="J149" s="239"/>
      <c r="K149" s="239"/>
      <c r="L149" s="239"/>
      <c r="M149" s="239"/>
      <c r="N149" s="236"/>
      <c r="O149" s="236"/>
      <c r="P149" s="239"/>
      <c r="Q149" s="239"/>
    </row>
    <row r="150" spans="1:19" s="240" customFormat="1" ht="11.25" customHeight="1" x14ac:dyDescent="0.25">
      <c r="A150" s="235"/>
      <c r="B150" s="235" t="s">
        <v>5110</v>
      </c>
      <c r="C150" s="235"/>
      <c r="D150" s="242">
        <f t="shared" ref="D150:Q150" si="14">D130-SUM(D132:D148)</f>
        <v>1700756032.2900002</v>
      </c>
      <c r="E150" s="242">
        <f t="shared" si="14"/>
        <v>1040908637.7599988</v>
      </c>
      <c r="F150" s="242">
        <f t="shared" si="14"/>
        <v>-815060257.63001072</v>
      </c>
      <c r="G150" s="242">
        <f t="shared" si="14"/>
        <v>254468328.76999882</v>
      </c>
      <c r="H150" s="242">
        <f t="shared" si="14"/>
        <v>479484208.80999959</v>
      </c>
      <c r="I150" s="242">
        <f t="shared" si="14"/>
        <v>433284251.1899997</v>
      </c>
      <c r="J150" s="242">
        <f t="shared" si="14"/>
        <v>547794428.0000006</v>
      </c>
      <c r="K150" s="242">
        <f t="shared" si="14"/>
        <v>1070354998.2799991</v>
      </c>
      <c r="L150" s="242">
        <f t="shared" si="14"/>
        <v>0</v>
      </c>
      <c r="M150" s="242">
        <f t="shared" si="14"/>
        <v>0</v>
      </c>
      <c r="N150" s="242">
        <f t="shared" si="14"/>
        <v>0</v>
      </c>
      <c r="O150" s="242">
        <f t="shared" si="14"/>
        <v>0</v>
      </c>
      <c r="P150" s="242">
        <f t="shared" si="14"/>
        <v>4711990627.469986</v>
      </c>
      <c r="Q150" s="242">
        <f t="shared" si="14"/>
        <v>5641599136.6900024</v>
      </c>
    </row>
    <row r="151" spans="1:19" s="240" customFormat="1" ht="11.25" customHeight="1" x14ac:dyDescent="0.25">
      <c r="A151" s="235"/>
      <c r="B151" s="235"/>
      <c r="C151" s="235"/>
      <c r="D151" s="239"/>
      <c r="E151" s="239"/>
      <c r="F151" s="239"/>
      <c r="G151" s="239"/>
      <c r="H151" s="239"/>
      <c r="I151" s="239"/>
      <c r="J151" s="239"/>
      <c r="K151" s="239"/>
      <c r="L151" s="239"/>
      <c r="M151" s="239"/>
      <c r="N151" s="236"/>
      <c r="O151" s="236"/>
      <c r="P151" s="239"/>
      <c r="Q151" s="239"/>
    </row>
    <row r="152" spans="1:19" s="240" customFormat="1" ht="11.25" customHeight="1" x14ac:dyDescent="0.25">
      <c r="A152" s="235">
        <v>8300</v>
      </c>
      <c r="B152" s="235" t="s">
        <v>5111</v>
      </c>
      <c r="C152" s="235"/>
      <c r="D152" s="239"/>
      <c r="E152" s="239"/>
      <c r="F152" s="239"/>
      <c r="G152" s="239"/>
      <c r="H152" s="239"/>
      <c r="I152" s="239"/>
      <c r="J152" s="239"/>
      <c r="K152" s="239"/>
      <c r="L152" s="239"/>
      <c r="M152" s="239"/>
      <c r="N152" s="236">
        <v>0</v>
      </c>
      <c r="O152" s="236">
        <v>0</v>
      </c>
      <c r="P152" s="239"/>
      <c r="Q152" s="239"/>
    </row>
    <row r="153" spans="1:19" s="240" customFormat="1" ht="11.25" customHeight="1" x14ac:dyDescent="0.25">
      <c r="A153" s="222" t="s">
        <v>5112</v>
      </c>
      <c r="B153" s="222" t="s">
        <v>5111</v>
      </c>
      <c r="C153" s="222" t="s">
        <v>5113</v>
      </c>
      <c r="D153" s="236">
        <v>0</v>
      </c>
      <c r="E153" s="236">
        <v>0</v>
      </c>
      <c r="F153" s="236">
        <v>0</v>
      </c>
      <c r="G153" s="236">
        <v>0</v>
      </c>
      <c r="H153" s="236">
        <v>0</v>
      </c>
      <c r="I153" s="236">
        <v>0</v>
      </c>
      <c r="J153" s="236">
        <v>0</v>
      </c>
      <c r="K153" s="236">
        <v>0</v>
      </c>
      <c r="L153" s="236">
        <v>0</v>
      </c>
      <c r="M153" s="236">
        <v>0</v>
      </c>
      <c r="N153" s="236">
        <v>0</v>
      </c>
      <c r="O153" s="236">
        <v>0</v>
      </c>
      <c r="P153" s="236">
        <f>SUM(D153:O153)</f>
        <v>0</v>
      </c>
      <c r="Q153" s="236"/>
    </row>
    <row r="154" spans="1:19" s="240" customFormat="1" ht="11.25" customHeight="1" x14ac:dyDescent="0.25">
      <c r="A154" s="235">
        <v>8100</v>
      </c>
      <c r="B154" s="235" t="s">
        <v>5114</v>
      </c>
      <c r="C154" s="235"/>
      <c r="D154" s="239"/>
      <c r="E154" s="239"/>
      <c r="F154" s="239"/>
      <c r="G154" s="239"/>
      <c r="H154" s="239"/>
      <c r="I154" s="239"/>
      <c r="J154" s="239"/>
      <c r="K154" s="239"/>
      <c r="L154" s="239"/>
      <c r="M154" s="239"/>
      <c r="N154" s="236">
        <v>0</v>
      </c>
      <c r="O154" s="236">
        <v>0</v>
      </c>
      <c r="P154" s="239"/>
      <c r="Q154" s="239"/>
    </row>
    <row r="155" spans="1:19" s="240" customFormat="1" ht="11.25" customHeight="1" x14ac:dyDescent="0.25">
      <c r="A155" s="222" t="s">
        <v>5115</v>
      </c>
      <c r="B155" s="222" t="s">
        <v>5114</v>
      </c>
      <c r="C155" s="222" t="s">
        <v>5116</v>
      </c>
      <c r="D155" s="236">
        <v>0</v>
      </c>
      <c r="E155" s="236">
        <v>0</v>
      </c>
      <c r="F155" s="236">
        <v>0</v>
      </c>
      <c r="G155" s="236">
        <v>0</v>
      </c>
      <c r="H155" s="236">
        <v>0</v>
      </c>
      <c r="I155" s="236">
        <v>0</v>
      </c>
      <c r="J155" s="236">
        <v>0</v>
      </c>
      <c r="K155" s="236">
        <v>0</v>
      </c>
      <c r="L155" s="236">
        <v>0</v>
      </c>
      <c r="M155" s="236">
        <v>0</v>
      </c>
      <c r="N155" s="236">
        <v>0</v>
      </c>
      <c r="O155" s="236">
        <v>0</v>
      </c>
      <c r="P155" s="236">
        <f>SUM(D155:O155)</f>
        <v>0</v>
      </c>
      <c r="Q155" s="236"/>
    </row>
    <row r="156" spans="1:19" s="240" customFormat="1" ht="11.25" customHeight="1" x14ac:dyDescent="0.25">
      <c r="A156" s="235"/>
      <c r="B156" s="235"/>
      <c r="C156" s="235"/>
      <c r="D156" s="239"/>
      <c r="E156" s="239"/>
      <c r="F156" s="239"/>
      <c r="G156" s="239"/>
      <c r="H156" s="239"/>
      <c r="I156" s="239"/>
      <c r="J156" s="239"/>
      <c r="K156" s="239"/>
      <c r="L156" s="239"/>
      <c r="M156" s="239"/>
      <c r="N156" s="236"/>
      <c r="O156" s="236"/>
      <c r="P156" s="239"/>
      <c r="Q156" s="239"/>
    </row>
    <row r="157" spans="1:19" s="240" customFormat="1" ht="11.25" customHeight="1" x14ac:dyDescent="0.25">
      <c r="A157" s="235"/>
      <c r="B157" s="235" t="s">
        <v>5117</v>
      </c>
      <c r="C157" s="235"/>
      <c r="D157" s="242">
        <f t="shared" ref="D157:Q157" si="15">D150-D153-D155</f>
        <v>1700756032.2900002</v>
      </c>
      <c r="E157" s="242">
        <f t="shared" si="15"/>
        <v>1040908637.7599988</v>
      </c>
      <c r="F157" s="242">
        <f t="shared" si="15"/>
        <v>-815060257.63001072</v>
      </c>
      <c r="G157" s="242">
        <f t="shared" si="15"/>
        <v>254468328.76999882</v>
      </c>
      <c r="H157" s="242">
        <f t="shared" si="15"/>
        <v>479484208.80999959</v>
      </c>
      <c r="I157" s="242">
        <f t="shared" si="15"/>
        <v>433284251.1899997</v>
      </c>
      <c r="J157" s="242">
        <f t="shared" si="15"/>
        <v>547794428.0000006</v>
      </c>
      <c r="K157" s="242">
        <f t="shared" si="15"/>
        <v>1070354998.2799991</v>
      </c>
      <c r="L157" s="242">
        <f t="shared" si="15"/>
        <v>0</v>
      </c>
      <c r="M157" s="242">
        <f t="shared" si="15"/>
        <v>0</v>
      </c>
      <c r="N157" s="242">
        <f t="shared" si="15"/>
        <v>0</v>
      </c>
      <c r="O157" s="242">
        <f t="shared" si="15"/>
        <v>0</v>
      </c>
      <c r="P157" s="242">
        <f t="shared" si="15"/>
        <v>4711990627.469986</v>
      </c>
      <c r="Q157" s="242">
        <f t="shared" si="15"/>
        <v>5641599136.6900024</v>
      </c>
    </row>
    <row r="158" spans="1:19" ht="11.25" customHeight="1" x14ac:dyDescent="0.2">
      <c r="N158" s="236"/>
      <c r="O158" s="236"/>
    </row>
    <row r="159" spans="1:19" ht="9.75" customHeight="1" x14ac:dyDescent="0.2">
      <c r="A159" s="235">
        <v>8200</v>
      </c>
      <c r="B159" s="235" t="s">
        <v>5118</v>
      </c>
      <c r="N159" s="236">
        <v>0</v>
      </c>
      <c r="O159" s="236">
        <v>0</v>
      </c>
    </row>
    <row r="160" spans="1:19" ht="9.75" customHeight="1" x14ac:dyDescent="0.2">
      <c r="A160" s="222" t="s">
        <v>5119</v>
      </c>
      <c r="B160" s="222" t="s">
        <v>5118</v>
      </c>
      <c r="C160" s="222" t="s">
        <v>5120</v>
      </c>
      <c r="D160" s="236">
        <v>0</v>
      </c>
      <c r="E160" s="236">
        <v>0</v>
      </c>
      <c r="F160" s="248">
        <f>732000000-732000000</f>
        <v>0</v>
      </c>
      <c r="G160" s="236">
        <v>0</v>
      </c>
      <c r="H160" s="236">
        <v>0</v>
      </c>
      <c r="I160" s="236">
        <v>0</v>
      </c>
      <c r="J160" s="236">
        <v>0</v>
      </c>
      <c r="K160" s="236">
        <v>0</v>
      </c>
      <c r="L160" s="236">
        <v>0</v>
      </c>
      <c r="M160" s="236">
        <v>0</v>
      </c>
      <c r="N160" s="236">
        <v>0</v>
      </c>
      <c r="O160" s="236">
        <v>0</v>
      </c>
      <c r="P160" s="236">
        <f>SUM(D160:O160)</f>
        <v>0</v>
      </c>
      <c r="Q160" s="236"/>
    </row>
    <row r="161" spans="2:17" ht="9.75" customHeight="1" x14ac:dyDescent="0.2">
      <c r="N161" s="236"/>
      <c r="O161" s="236"/>
    </row>
    <row r="162" spans="2:17" ht="9.75" customHeight="1" x14ac:dyDescent="0.2">
      <c r="B162" s="235" t="s">
        <v>5121</v>
      </c>
      <c r="D162" s="242">
        <f t="shared" ref="D162:P162" si="16">D157-D160</f>
        <v>1700756032.2900002</v>
      </c>
      <c r="E162" s="242">
        <f t="shared" si="16"/>
        <v>1040908637.7599988</v>
      </c>
      <c r="F162" s="242">
        <f t="shared" si="16"/>
        <v>-815060257.63001072</v>
      </c>
      <c r="G162" s="242">
        <f t="shared" si="16"/>
        <v>254468328.76999882</v>
      </c>
      <c r="H162" s="242">
        <f t="shared" si="16"/>
        <v>479484208.80999959</v>
      </c>
      <c r="I162" s="242">
        <f t="shared" si="16"/>
        <v>433284251.1899997</v>
      </c>
      <c r="J162" s="242">
        <f t="shared" si="16"/>
        <v>547794428.0000006</v>
      </c>
      <c r="K162" s="242">
        <f t="shared" si="16"/>
        <v>1070354998.2799991</v>
      </c>
      <c r="L162" s="242">
        <f t="shared" si="16"/>
        <v>0</v>
      </c>
      <c r="M162" s="242">
        <f t="shared" si="16"/>
        <v>0</v>
      </c>
      <c r="N162" s="242">
        <f t="shared" si="16"/>
        <v>0</v>
      </c>
      <c r="O162" s="242">
        <f t="shared" si="16"/>
        <v>0</v>
      </c>
      <c r="P162" s="242">
        <f t="shared" si="16"/>
        <v>4711990627.469986</v>
      </c>
      <c r="Q162" s="242"/>
    </row>
    <row r="164" spans="2:17" ht="9.75" customHeight="1" x14ac:dyDescent="0.2">
      <c r="F164" s="249">
        <v>-834307024.93000805</v>
      </c>
      <c r="G164" s="228" t="s">
        <v>5122</v>
      </c>
      <c r="H164" s="228">
        <v>349573152.33999997</v>
      </c>
      <c r="P164" s="228">
        <v>2530645893.0599999</v>
      </c>
    </row>
    <row r="165" spans="2:17" ht="9.75" customHeight="1" x14ac:dyDescent="0.25">
      <c r="F165" s="247">
        <f>F162-F164</f>
        <v>19246767.29999733</v>
      </c>
      <c r="G165" s="228" t="s">
        <v>4852</v>
      </c>
      <c r="H165" s="228">
        <f>H162-H164</f>
        <v>129911056.46999961</v>
      </c>
      <c r="P165" s="228">
        <f>P162-P164</f>
        <v>2181344734.409986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83"/>
  <sheetViews>
    <sheetView zoomScaleNormal="100" workbookViewId="0"/>
  </sheetViews>
  <sheetFormatPr defaultColWidth="8.6328125" defaultRowHeight="14.5" x14ac:dyDescent="0.35"/>
  <cols>
    <col min="1" max="1" width="12" customWidth="1"/>
    <col min="2" max="2" width="48" customWidth="1"/>
    <col min="3" max="3" width="16" customWidth="1"/>
    <col min="4" max="6" width="12.08984375" customWidth="1"/>
    <col min="11" max="11" width="18" customWidth="1"/>
  </cols>
  <sheetData>
    <row r="1" spans="1:11" ht="14.25" customHeight="1" x14ac:dyDescent="0.35">
      <c r="A1" s="250" t="s">
        <v>5123</v>
      </c>
    </row>
    <row r="2" spans="1:11" ht="14.25" customHeight="1" x14ac:dyDescent="0.35">
      <c r="A2" s="251"/>
    </row>
    <row r="3" spans="1:11" ht="14.25" customHeight="1" x14ac:dyDescent="0.35">
      <c r="A3" s="251"/>
    </row>
    <row r="4" spans="1:11" ht="15" customHeight="1" x14ac:dyDescent="0.35">
      <c r="A4" s="252"/>
    </row>
    <row r="5" spans="1:11" ht="21.75" customHeight="1" x14ac:dyDescent="0.35">
      <c r="A5" s="253" t="s">
        <v>3812</v>
      </c>
      <c r="B5" s="253" t="s">
        <v>337</v>
      </c>
      <c r="C5" s="253" t="s">
        <v>5124</v>
      </c>
      <c r="D5" s="253" t="s">
        <v>4781</v>
      </c>
      <c r="E5" s="253" t="s">
        <v>4782</v>
      </c>
      <c r="F5" s="253" t="s">
        <v>4783</v>
      </c>
      <c r="G5" s="253" t="s">
        <v>4419</v>
      </c>
      <c r="H5" s="253" t="s">
        <v>4785</v>
      </c>
      <c r="I5" s="253" t="s">
        <v>5125</v>
      </c>
      <c r="J5" s="253" t="s">
        <v>5126</v>
      </c>
      <c r="K5" s="253" t="s">
        <v>5127</v>
      </c>
    </row>
    <row r="6" spans="1:11" ht="14.25" customHeight="1" x14ac:dyDescent="0.35">
      <c r="A6" s="254"/>
      <c r="B6" s="255" t="s">
        <v>4793</v>
      </c>
      <c r="C6" s="254"/>
      <c r="D6" s="254"/>
      <c r="E6" s="254"/>
      <c r="F6" s="254"/>
      <c r="G6" s="254"/>
      <c r="H6" s="254"/>
      <c r="I6" s="254"/>
      <c r="J6" s="254"/>
      <c r="K6" s="254"/>
    </row>
    <row r="7" spans="1:11" ht="14.25" customHeight="1" x14ac:dyDescent="0.35">
      <c r="A7" s="256" t="s">
        <v>5128</v>
      </c>
      <c r="B7" s="256" t="s">
        <v>4794</v>
      </c>
      <c r="C7" s="257"/>
      <c r="D7" s="257"/>
      <c r="E7" s="257"/>
      <c r="F7" s="257"/>
      <c r="G7" s="257"/>
      <c r="H7" s="257"/>
      <c r="I7" s="257"/>
      <c r="J7" s="257"/>
      <c r="K7" s="258">
        <f>SUM(C7:J7)</f>
        <v>0</v>
      </c>
    </row>
    <row r="8" spans="1:11" ht="14.25" customHeight="1" x14ac:dyDescent="0.35">
      <c r="A8" s="256" t="s">
        <v>4809</v>
      </c>
      <c r="B8" s="256" t="s">
        <v>4794</v>
      </c>
      <c r="C8" s="257">
        <v>9369446560.8400002</v>
      </c>
      <c r="D8" s="257">
        <v>8659570665.1700096</v>
      </c>
      <c r="E8" s="257">
        <v>6484556781.0500002</v>
      </c>
      <c r="F8" s="257">
        <v>6850528696.7399998</v>
      </c>
      <c r="G8" s="257">
        <v>7705416863.1599998</v>
      </c>
      <c r="H8" s="257">
        <v>8295287755.2200003</v>
      </c>
      <c r="I8" s="257">
        <v>8914080855.8299999</v>
      </c>
      <c r="J8" s="257">
        <v>9793125452.0599995</v>
      </c>
      <c r="K8" s="258">
        <f>SUM(C8:J8)</f>
        <v>66072013630.070007</v>
      </c>
    </row>
    <row r="9" spans="1:11" ht="14.25" customHeight="1" x14ac:dyDescent="0.35">
      <c r="A9" s="256"/>
      <c r="B9" s="256" t="s">
        <v>5129</v>
      </c>
      <c r="C9" s="257">
        <v>8939460794</v>
      </c>
      <c r="D9" s="257">
        <v>8442586900</v>
      </c>
      <c r="E9" s="257">
        <v>6392198000</v>
      </c>
      <c r="F9" s="257">
        <v>6566850570</v>
      </c>
      <c r="G9" s="257">
        <v>7508684450</v>
      </c>
      <c r="H9" s="257">
        <v>8119680800</v>
      </c>
      <c r="I9" s="257">
        <v>8560476100</v>
      </c>
      <c r="J9" s="257">
        <v>9302214900</v>
      </c>
      <c r="K9" s="258">
        <f>SUM(C9:J9)</f>
        <v>63832152514</v>
      </c>
    </row>
    <row r="10" spans="1:11" ht="14.25" customHeight="1" x14ac:dyDescent="0.35">
      <c r="A10" s="254"/>
      <c r="B10" s="255" t="s">
        <v>5130</v>
      </c>
      <c r="C10" s="254"/>
      <c r="D10" s="254"/>
      <c r="E10" s="254"/>
      <c r="F10" s="254"/>
      <c r="G10" s="254"/>
      <c r="H10" s="254"/>
      <c r="I10" s="254"/>
      <c r="J10" s="254"/>
      <c r="K10" s="254"/>
    </row>
    <row r="11" spans="1:11" ht="14.25" customHeight="1" x14ac:dyDescent="0.35">
      <c r="A11" s="256"/>
      <c r="B11" s="256" t="s">
        <v>5131</v>
      </c>
      <c r="C11" s="257">
        <v>429985766.83999801</v>
      </c>
      <c r="D11" s="257">
        <v>216983765.17001</v>
      </c>
      <c r="E11" s="257">
        <v>92358781.049998298</v>
      </c>
      <c r="F11" s="257">
        <v>283678126.74000001</v>
      </c>
      <c r="G11" s="257">
        <v>196732413.15999901</v>
      </c>
      <c r="H11" s="257">
        <v>175606955.22</v>
      </c>
      <c r="I11" s="257">
        <v>353604755.83000398</v>
      </c>
      <c r="J11" s="257">
        <v>490910552.06</v>
      </c>
      <c r="K11" s="258">
        <f>SUM(C11:J11)</f>
        <v>2239861116.0700092</v>
      </c>
    </row>
    <row r="12" spans="1:11" ht="14.25" customHeight="1" x14ac:dyDescent="0.35">
      <c r="A12" s="259"/>
      <c r="B12" s="255" t="s">
        <v>4813</v>
      </c>
      <c r="C12" s="260">
        <v>9369446560.8400002</v>
      </c>
      <c r="D12" s="260">
        <v>8659570665.1700096</v>
      </c>
      <c r="E12" s="260">
        <v>6484556781.0500002</v>
      </c>
      <c r="F12" s="260">
        <v>6850528696.7399998</v>
      </c>
      <c r="G12" s="260">
        <v>7705416863.1599998</v>
      </c>
      <c r="H12" s="260">
        <v>8295287755.2200003</v>
      </c>
      <c r="I12" s="260">
        <v>8914080855.8299999</v>
      </c>
      <c r="J12" s="260">
        <v>9793125452.0599995</v>
      </c>
      <c r="K12" s="260">
        <f>SUM(C12:J12)</f>
        <v>66072013630.070007</v>
      </c>
    </row>
    <row r="13" spans="1:11" ht="14.25" customHeight="1" x14ac:dyDescent="0.35">
      <c r="A13" s="254"/>
      <c r="B13" s="255" t="s">
        <v>4814</v>
      </c>
      <c r="C13" s="254"/>
      <c r="D13" s="254"/>
      <c r="E13" s="254"/>
      <c r="F13" s="254"/>
      <c r="G13" s="254"/>
      <c r="H13" s="254"/>
      <c r="I13" s="254"/>
      <c r="J13" s="254"/>
      <c r="K13" s="254"/>
    </row>
    <row r="14" spans="1:11" ht="14.25" customHeight="1" x14ac:dyDescent="0.35">
      <c r="A14" s="256" t="s">
        <v>5132</v>
      </c>
      <c r="B14" s="256" t="s">
        <v>4815</v>
      </c>
      <c r="C14" s="257"/>
      <c r="D14" s="257"/>
      <c r="E14" s="257"/>
      <c r="F14" s="257"/>
      <c r="G14" s="257"/>
      <c r="H14" s="257"/>
      <c r="I14" s="257"/>
      <c r="J14" s="257"/>
      <c r="K14" s="258">
        <f t="shared" ref="K14:K38" si="0">SUM(C14:J14)</f>
        <v>0</v>
      </c>
    </row>
    <row r="15" spans="1:11" ht="14.25" customHeight="1" x14ac:dyDescent="0.35">
      <c r="A15" s="256" t="s">
        <v>4820</v>
      </c>
      <c r="B15" s="256" t="s">
        <v>4821</v>
      </c>
      <c r="C15" s="257">
        <v>836253454</v>
      </c>
      <c r="D15" s="257">
        <v>736842285</v>
      </c>
      <c r="E15" s="257">
        <v>610128896</v>
      </c>
      <c r="F15" s="257">
        <v>874743990</v>
      </c>
      <c r="G15" s="257">
        <v>937223872</v>
      </c>
      <c r="H15" s="257">
        <v>976098507</v>
      </c>
      <c r="I15" s="257">
        <v>1003243362</v>
      </c>
      <c r="J15" s="257">
        <v>961759797</v>
      </c>
      <c r="K15" s="258">
        <f t="shared" si="0"/>
        <v>6936294163</v>
      </c>
    </row>
    <row r="16" spans="1:11" ht="14.25" customHeight="1" x14ac:dyDescent="0.35">
      <c r="A16" s="256" t="s">
        <v>4823</v>
      </c>
      <c r="B16" s="256" t="s">
        <v>4824</v>
      </c>
      <c r="C16" s="257">
        <v>118646844.33</v>
      </c>
      <c r="D16" s="257">
        <v>118646844.33</v>
      </c>
      <c r="E16" s="257">
        <v>59921023.049999997</v>
      </c>
      <c r="F16" s="257">
        <v>117038791.68000001</v>
      </c>
      <c r="G16" s="257">
        <v>84235464.670000002</v>
      </c>
      <c r="H16" s="257">
        <v>63137128.350000001</v>
      </c>
      <c r="I16" s="257">
        <v>63137128.350000001</v>
      </c>
      <c r="J16" s="257">
        <v>63137128</v>
      </c>
      <c r="K16" s="258">
        <f t="shared" si="0"/>
        <v>687900352.75999999</v>
      </c>
    </row>
    <row r="17" spans="1:11" ht="14.25" customHeight="1" x14ac:dyDescent="0.35">
      <c r="A17" s="256" t="s">
        <v>4825</v>
      </c>
      <c r="B17" s="256" t="s">
        <v>4826</v>
      </c>
      <c r="C17" s="257">
        <v>0</v>
      </c>
      <c r="D17" s="257">
        <v>0</v>
      </c>
      <c r="E17" s="257">
        <v>0</v>
      </c>
      <c r="F17" s="257">
        <v>0</v>
      </c>
      <c r="G17" s="257">
        <v>0</v>
      </c>
      <c r="H17" s="257">
        <v>0</v>
      </c>
      <c r="I17" s="257">
        <v>0</v>
      </c>
      <c r="J17" s="257">
        <v>0</v>
      </c>
      <c r="K17" s="258">
        <f t="shared" si="0"/>
        <v>0</v>
      </c>
    </row>
    <row r="18" spans="1:11" ht="14.25" customHeight="1" x14ac:dyDescent="0.35">
      <c r="A18" s="256" t="s">
        <v>4827</v>
      </c>
      <c r="B18" s="256" t="s">
        <v>4828</v>
      </c>
      <c r="C18" s="257">
        <v>96531968</v>
      </c>
      <c r="D18" s="257">
        <v>109526484</v>
      </c>
      <c r="E18" s="257">
        <v>105148642</v>
      </c>
      <c r="F18" s="257">
        <v>122009803</v>
      </c>
      <c r="G18" s="257">
        <v>123298743</v>
      </c>
      <c r="H18" s="257">
        <v>132544964</v>
      </c>
      <c r="I18" s="257">
        <v>132457451</v>
      </c>
      <c r="J18" s="257">
        <v>128572648</v>
      </c>
      <c r="K18" s="258">
        <f t="shared" si="0"/>
        <v>950090703</v>
      </c>
    </row>
    <row r="19" spans="1:11" ht="14.25" customHeight="1" x14ac:dyDescent="0.35">
      <c r="A19" s="256" t="s">
        <v>4829</v>
      </c>
      <c r="B19" s="256" t="s">
        <v>4830</v>
      </c>
      <c r="C19" s="257">
        <v>63184268</v>
      </c>
      <c r="D19" s="257">
        <v>53698233</v>
      </c>
      <c r="E19" s="257">
        <v>42036498</v>
      </c>
      <c r="F19" s="257">
        <v>50567237</v>
      </c>
      <c r="G19" s="257">
        <v>54443107</v>
      </c>
      <c r="H19" s="257">
        <v>56260859</v>
      </c>
      <c r="I19" s="257">
        <v>58622228</v>
      </c>
      <c r="J19" s="257">
        <v>56566114</v>
      </c>
      <c r="K19" s="258">
        <f t="shared" si="0"/>
        <v>435378544</v>
      </c>
    </row>
    <row r="20" spans="1:11" ht="14.25" customHeight="1" x14ac:dyDescent="0.35">
      <c r="A20" s="256" t="s">
        <v>4832</v>
      </c>
      <c r="B20" s="256" t="s">
        <v>4833</v>
      </c>
      <c r="C20" s="257">
        <v>76900</v>
      </c>
      <c r="D20" s="257">
        <v>79400</v>
      </c>
      <c r="E20" s="257">
        <v>79000</v>
      </c>
      <c r="F20" s="257">
        <v>79000</v>
      </c>
      <c r="G20" s="257">
        <v>79000</v>
      </c>
      <c r="H20" s="257">
        <v>79000</v>
      </c>
      <c r="I20" s="257">
        <v>79000</v>
      </c>
      <c r="J20" s="257">
        <v>79000</v>
      </c>
      <c r="K20" s="258">
        <f t="shared" si="0"/>
        <v>630300</v>
      </c>
    </row>
    <row r="21" spans="1:11" ht="14.25" customHeight="1" x14ac:dyDescent="0.35">
      <c r="A21" s="256" t="s">
        <v>4835</v>
      </c>
      <c r="B21" s="256" t="s">
        <v>4836</v>
      </c>
      <c r="C21" s="257">
        <v>0</v>
      </c>
      <c r="D21" s="257">
        <v>0</v>
      </c>
      <c r="E21" s="257">
        <v>0</v>
      </c>
      <c r="F21" s="257">
        <v>0</v>
      </c>
      <c r="G21" s="257">
        <v>0</v>
      </c>
      <c r="H21" s="257">
        <v>0</v>
      </c>
      <c r="I21" s="257">
        <v>0</v>
      </c>
      <c r="J21" s="257">
        <v>0</v>
      </c>
      <c r="K21" s="258">
        <f t="shared" si="0"/>
        <v>0</v>
      </c>
    </row>
    <row r="22" spans="1:11" ht="14.25" customHeight="1" x14ac:dyDescent="0.35">
      <c r="A22" s="256" t="s">
        <v>4838</v>
      </c>
      <c r="B22" s="256" t="s">
        <v>4839</v>
      </c>
      <c r="C22" s="257">
        <v>19782842</v>
      </c>
      <c r="D22" s="257">
        <v>20472039.629999999</v>
      </c>
      <c r="E22" s="257">
        <v>49527425.990000002</v>
      </c>
      <c r="F22" s="257">
        <v>26756279</v>
      </c>
      <c r="G22" s="257">
        <v>17482207</v>
      </c>
      <c r="H22" s="257">
        <v>21592538</v>
      </c>
      <c r="I22" s="257">
        <v>33935730</v>
      </c>
      <c r="J22" s="257">
        <v>24213641</v>
      </c>
      <c r="K22" s="258">
        <f t="shared" si="0"/>
        <v>213762702.62</v>
      </c>
    </row>
    <row r="23" spans="1:11" ht="14.25" customHeight="1" x14ac:dyDescent="0.35">
      <c r="A23" s="256" t="s">
        <v>4841</v>
      </c>
      <c r="B23" s="256" t="s">
        <v>4842</v>
      </c>
      <c r="C23" s="257">
        <v>144388938.72</v>
      </c>
      <c r="D23" s="257">
        <v>77736043.060000002</v>
      </c>
      <c r="E23" s="257">
        <v>156875427.59999999</v>
      </c>
      <c r="F23" s="257">
        <v>254437776.31</v>
      </c>
      <c r="G23" s="257">
        <v>122615692.8</v>
      </c>
      <c r="H23" s="257">
        <v>111863957.91</v>
      </c>
      <c r="I23" s="257">
        <v>115696845.45</v>
      </c>
      <c r="J23" s="257">
        <v>103655346.40000001</v>
      </c>
      <c r="K23" s="258">
        <f t="shared" si="0"/>
        <v>1087270028.25</v>
      </c>
    </row>
    <row r="24" spans="1:11" ht="14.25" customHeight="1" x14ac:dyDescent="0.35">
      <c r="A24" s="256" t="s">
        <v>4844</v>
      </c>
      <c r="B24" s="256" t="s">
        <v>4845</v>
      </c>
      <c r="C24" s="257">
        <v>50198350</v>
      </c>
      <c r="D24" s="257">
        <v>186480700</v>
      </c>
      <c r="E24" s="257">
        <v>133949550</v>
      </c>
      <c r="F24" s="257">
        <v>73955000</v>
      </c>
      <c r="G24" s="257">
        <v>6537500</v>
      </c>
      <c r="H24" s="257">
        <v>612000</v>
      </c>
      <c r="I24" s="257">
        <v>17100000</v>
      </c>
      <c r="J24" s="257">
        <v>41591502</v>
      </c>
      <c r="K24" s="258">
        <f t="shared" si="0"/>
        <v>510424602</v>
      </c>
    </row>
    <row r="25" spans="1:11" ht="14.25" customHeight="1" x14ac:dyDescent="0.35">
      <c r="A25" s="256" t="s">
        <v>4846</v>
      </c>
      <c r="B25" s="256" t="s">
        <v>5133</v>
      </c>
      <c r="C25" s="257">
        <v>3700000</v>
      </c>
      <c r="D25" s="257">
        <v>1344631</v>
      </c>
      <c r="E25" s="257">
        <v>2075000</v>
      </c>
      <c r="F25" s="257">
        <v>17203000</v>
      </c>
      <c r="G25" s="257">
        <v>4850000</v>
      </c>
      <c r="H25" s="257">
        <v>8118919</v>
      </c>
      <c r="I25" s="257">
        <v>17597180</v>
      </c>
      <c r="J25" s="257">
        <v>4703135</v>
      </c>
      <c r="K25" s="258">
        <f t="shared" si="0"/>
        <v>59591865</v>
      </c>
    </row>
    <row r="26" spans="1:11" ht="14.25" customHeight="1" x14ac:dyDescent="0.35">
      <c r="A26" s="256" t="s">
        <v>3118</v>
      </c>
      <c r="B26" s="256" t="s">
        <v>4848</v>
      </c>
      <c r="C26" s="257">
        <v>10290902.66</v>
      </c>
      <c r="D26" s="257">
        <v>16793680.670000002</v>
      </c>
      <c r="E26" s="257">
        <v>16793680.670000002</v>
      </c>
      <c r="F26" s="257">
        <v>15659222.34</v>
      </c>
      <c r="G26" s="257">
        <v>16700889.01</v>
      </c>
      <c r="H26" s="257">
        <v>16700889.01</v>
      </c>
      <c r="I26" s="257">
        <v>16700889.01</v>
      </c>
      <c r="J26" s="257">
        <v>16700889.01</v>
      </c>
      <c r="K26" s="258">
        <f t="shared" si="0"/>
        <v>126341042.38000003</v>
      </c>
    </row>
    <row r="27" spans="1:11" ht="14.25" customHeight="1" x14ac:dyDescent="0.35">
      <c r="A27" s="256" t="s">
        <v>3174</v>
      </c>
      <c r="B27" s="256" t="s">
        <v>4850</v>
      </c>
      <c r="C27" s="257">
        <v>138720636.68000001</v>
      </c>
      <c r="D27" s="257">
        <v>138720636.68000001</v>
      </c>
      <c r="E27" s="257">
        <v>138720636.68000001</v>
      </c>
      <c r="F27" s="257">
        <v>137626886.69</v>
      </c>
      <c r="G27" s="257">
        <v>137626886.69</v>
      </c>
      <c r="H27" s="257">
        <v>137626886.69</v>
      </c>
      <c r="I27" s="257">
        <v>137626886.69</v>
      </c>
      <c r="J27" s="257">
        <v>137626886.69</v>
      </c>
      <c r="K27" s="258">
        <f t="shared" si="0"/>
        <v>1104296343.4900002</v>
      </c>
    </row>
    <row r="28" spans="1:11" ht="14.25" customHeight="1" x14ac:dyDescent="0.35">
      <c r="A28" s="256" t="s">
        <v>4853</v>
      </c>
      <c r="B28" s="256" t="s">
        <v>4854</v>
      </c>
      <c r="C28" s="257">
        <v>1865200</v>
      </c>
      <c r="D28" s="257">
        <v>10639288</v>
      </c>
      <c r="E28" s="257">
        <v>504800</v>
      </c>
      <c r="F28" s="257">
        <v>1221625</v>
      </c>
      <c r="G28" s="257">
        <v>558499</v>
      </c>
      <c r="H28" s="257">
        <v>3901714</v>
      </c>
      <c r="I28" s="257">
        <v>11113022</v>
      </c>
      <c r="J28" s="257">
        <v>12505355.35</v>
      </c>
      <c r="K28" s="258">
        <f t="shared" si="0"/>
        <v>42309503.350000001</v>
      </c>
    </row>
    <row r="29" spans="1:11" ht="14.25" customHeight="1" x14ac:dyDescent="0.35">
      <c r="A29" s="256" t="s">
        <v>2334</v>
      </c>
      <c r="B29" s="256" t="s">
        <v>5134</v>
      </c>
      <c r="C29" s="257">
        <v>48063194.57</v>
      </c>
      <c r="D29" s="257">
        <v>45759965.409999996</v>
      </c>
      <c r="E29" s="257">
        <v>41257210.159999996</v>
      </c>
      <c r="F29" s="257">
        <v>40600960.159999996</v>
      </c>
      <c r="G29" s="257">
        <v>40560126.829999998</v>
      </c>
      <c r="H29" s="257">
        <v>40589887.240000002</v>
      </c>
      <c r="I29" s="257">
        <v>40551901.299999997</v>
      </c>
      <c r="J29" s="257">
        <v>41008045.640000001</v>
      </c>
      <c r="K29" s="258">
        <f t="shared" si="0"/>
        <v>338391291.31</v>
      </c>
    </row>
    <row r="30" spans="1:11" ht="14.25" customHeight="1" x14ac:dyDescent="0.35">
      <c r="A30" s="256" t="s">
        <v>2285</v>
      </c>
      <c r="B30" s="256" t="s">
        <v>5135</v>
      </c>
      <c r="C30" s="257">
        <v>14533270.83</v>
      </c>
      <c r="D30" s="257">
        <v>14533270.83</v>
      </c>
      <c r="E30" s="257">
        <v>14533270.83</v>
      </c>
      <c r="F30" s="257">
        <v>14533270.83</v>
      </c>
      <c r="G30" s="257">
        <v>14533270.83</v>
      </c>
      <c r="H30" s="257">
        <v>14533270.83</v>
      </c>
      <c r="I30" s="257">
        <v>14533270.83</v>
      </c>
      <c r="J30" s="257">
        <v>14533270.83</v>
      </c>
      <c r="K30" s="258">
        <f t="shared" si="0"/>
        <v>116266166.64</v>
      </c>
    </row>
    <row r="31" spans="1:11" ht="14.25" customHeight="1" x14ac:dyDescent="0.35">
      <c r="A31" s="256" t="s">
        <v>1329</v>
      </c>
      <c r="B31" s="256" t="s">
        <v>5105</v>
      </c>
      <c r="C31" s="257">
        <v>0</v>
      </c>
      <c r="D31" s="257">
        <v>0</v>
      </c>
      <c r="E31" s="257">
        <v>0</v>
      </c>
      <c r="F31" s="257">
        <v>0</v>
      </c>
      <c r="G31" s="257">
        <v>0</v>
      </c>
      <c r="H31" s="257">
        <v>0</v>
      </c>
      <c r="I31" s="257">
        <v>0</v>
      </c>
      <c r="J31" s="257">
        <v>0</v>
      </c>
      <c r="K31" s="258">
        <f t="shared" si="0"/>
        <v>0</v>
      </c>
    </row>
    <row r="32" spans="1:11" ht="14.25" customHeight="1" x14ac:dyDescent="0.35">
      <c r="A32" s="256" t="s">
        <v>2818</v>
      </c>
      <c r="B32" s="256" t="s">
        <v>5106</v>
      </c>
      <c r="C32" s="257">
        <v>0</v>
      </c>
      <c r="D32" s="257">
        <v>0</v>
      </c>
      <c r="E32" s="257">
        <v>0</v>
      </c>
      <c r="F32" s="257">
        <v>0</v>
      </c>
      <c r="G32" s="257">
        <v>0</v>
      </c>
      <c r="H32" s="257">
        <v>0</v>
      </c>
      <c r="I32" s="257">
        <v>0</v>
      </c>
      <c r="J32" s="257">
        <v>0</v>
      </c>
      <c r="K32" s="258">
        <f t="shared" si="0"/>
        <v>0</v>
      </c>
    </row>
    <row r="33" spans="1:11" ht="14.25" customHeight="1" x14ac:dyDescent="0.35">
      <c r="A33" s="256" t="s">
        <v>3829</v>
      </c>
      <c r="B33" s="256" t="s">
        <v>5107</v>
      </c>
      <c r="C33" s="257">
        <v>0</v>
      </c>
      <c r="D33" s="257">
        <v>0</v>
      </c>
      <c r="E33" s="257">
        <v>0</v>
      </c>
      <c r="F33" s="257">
        <v>0</v>
      </c>
      <c r="G33" s="257">
        <v>0</v>
      </c>
      <c r="H33" s="257">
        <v>0</v>
      </c>
      <c r="I33" s="257">
        <v>0</v>
      </c>
      <c r="J33" s="257">
        <v>0</v>
      </c>
      <c r="K33" s="258">
        <f t="shared" si="0"/>
        <v>0</v>
      </c>
    </row>
    <row r="34" spans="1:11" ht="14.25" customHeight="1" x14ac:dyDescent="0.35">
      <c r="A34" s="256" t="s">
        <v>4816</v>
      </c>
      <c r="B34" s="256" t="s">
        <v>4173</v>
      </c>
      <c r="C34" s="257">
        <v>5120945399.5682001</v>
      </c>
      <c r="D34" s="257">
        <v>5060678030.98001</v>
      </c>
      <c r="E34" s="257">
        <v>3840203365.02001</v>
      </c>
      <c r="F34" s="257">
        <v>4130428929.9000001</v>
      </c>
      <c r="G34" s="257">
        <v>5064133067.2600002</v>
      </c>
      <c r="H34" s="257">
        <v>5568553638.7399998</v>
      </c>
      <c r="I34" s="257">
        <v>5934427206.2600002</v>
      </c>
      <c r="J34" s="257">
        <v>6235493032.8000002</v>
      </c>
      <c r="K34" s="258">
        <f t="shared" si="0"/>
        <v>40954862670.528221</v>
      </c>
    </row>
    <row r="35" spans="1:11" ht="14.25" customHeight="1" x14ac:dyDescent="0.35">
      <c r="A35" s="256"/>
      <c r="B35" s="256" t="s">
        <v>5136</v>
      </c>
      <c r="C35" s="257">
        <v>710424147.74528301</v>
      </c>
      <c r="D35" s="257">
        <v>459242576.41802502</v>
      </c>
      <c r="E35" s="257">
        <v>669852649.86946905</v>
      </c>
      <c r="F35" s="257">
        <v>791570742.48291302</v>
      </c>
      <c r="G35" s="257">
        <v>818162880.64624798</v>
      </c>
      <c r="H35" s="257">
        <v>1055938198.1574</v>
      </c>
      <c r="I35" s="257">
        <v>738105693.00587499</v>
      </c>
      <c r="J35" s="257">
        <v>981312779.07767701</v>
      </c>
      <c r="K35" s="258">
        <f t="shared" si="0"/>
        <v>6224609667.4028893</v>
      </c>
    </row>
    <row r="36" spans="1:11" ht="14.25" customHeight="1" x14ac:dyDescent="0.35">
      <c r="A36" s="256"/>
      <c r="B36" s="256" t="s">
        <v>5137</v>
      </c>
      <c r="C36" s="257">
        <v>5243509967.3199997</v>
      </c>
      <c r="D36" s="257">
        <v>5093379215.3000002</v>
      </c>
      <c r="E36" s="257">
        <v>3575957307</v>
      </c>
      <c r="F36" s="257">
        <v>4356433318</v>
      </c>
      <c r="G36" s="257">
        <v>5325592796.9499998</v>
      </c>
      <c r="H36" s="257">
        <v>5241501435</v>
      </c>
      <c r="I36" s="257">
        <v>5898944311.4498701</v>
      </c>
      <c r="J36" s="257">
        <v>6471218349.6999998</v>
      </c>
      <c r="K36" s="258">
        <f t="shared" si="0"/>
        <v>41206536700.719864</v>
      </c>
    </row>
    <row r="37" spans="1:11" ht="14.25" customHeight="1" x14ac:dyDescent="0.35">
      <c r="A37" s="256"/>
      <c r="B37" s="256" t="s">
        <v>5138</v>
      </c>
      <c r="C37" s="257"/>
      <c r="D37" s="257"/>
      <c r="E37" s="257"/>
      <c r="F37" s="257"/>
      <c r="G37" s="257"/>
      <c r="H37" s="257"/>
      <c r="I37" s="257">
        <v>32</v>
      </c>
      <c r="J37" s="257"/>
      <c r="K37" s="258">
        <f t="shared" si="0"/>
        <v>32</v>
      </c>
    </row>
    <row r="38" spans="1:11" ht="14.25" customHeight="1" x14ac:dyDescent="0.35">
      <c r="A38" s="256"/>
      <c r="B38" s="256" t="s">
        <v>5139</v>
      </c>
      <c r="C38" s="257">
        <v>5492891538.6472502</v>
      </c>
      <c r="D38" s="257">
        <v>4880969141.8485603</v>
      </c>
      <c r="E38" s="257">
        <v>3452439214.38656</v>
      </c>
      <c r="F38" s="257">
        <v>4325247429.8366699</v>
      </c>
      <c r="G38" s="257">
        <v>5086017479.4388599</v>
      </c>
      <c r="H38" s="257">
        <v>5559333940.1515198</v>
      </c>
      <c r="I38" s="257">
        <v>5655737257.3381996</v>
      </c>
      <c r="J38" s="257">
        <v>6713523880.4370003</v>
      </c>
      <c r="K38" s="258">
        <f t="shared" si="0"/>
        <v>41166159882.08461</v>
      </c>
    </row>
    <row r="39" spans="1:11" ht="14.25" customHeight="1" x14ac:dyDescent="0.35">
      <c r="A39" s="254"/>
      <c r="B39" s="255" t="s">
        <v>5140</v>
      </c>
      <c r="C39" s="254"/>
      <c r="D39" s="254"/>
      <c r="E39" s="254"/>
      <c r="F39" s="254"/>
      <c r="G39" s="254"/>
      <c r="H39" s="254"/>
      <c r="I39" s="254"/>
      <c r="J39" s="254"/>
      <c r="K39" s="254"/>
    </row>
    <row r="40" spans="1:11" ht="14.25" customHeight="1" x14ac:dyDescent="0.35">
      <c r="A40" s="254"/>
      <c r="B40" s="255" t="s">
        <v>5141</v>
      </c>
      <c r="C40" s="254"/>
      <c r="D40" s="254"/>
      <c r="E40" s="254"/>
      <c r="F40" s="254"/>
      <c r="G40" s="254"/>
      <c r="H40" s="254"/>
      <c r="I40" s="254"/>
      <c r="J40" s="254"/>
      <c r="K40" s="254"/>
    </row>
    <row r="41" spans="1:11" ht="14.25" customHeight="1" x14ac:dyDescent="0.35">
      <c r="A41" s="256"/>
      <c r="B41" s="256" t="s">
        <v>5142</v>
      </c>
      <c r="C41" s="257">
        <v>1800000</v>
      </c>
      <c r="D41" s="257">
        <v>1800000</v>
      </c>
      <c r="E41" s="257">
        <v>1800000</v>
      </c>
      <c r="F41" s="257">
        <v>4593750</v>
      </c>
      <c r="G41" s="257">
        <v>1800000</v>
      </c>
      <c r="H41" s="257">
        <v>0</v>
      </c>
      <c r="I41" s="257"/>
      <c r="J41" s="257"/>
      <c r="K41" s="258">
        <f>SUM(C41:J41)</f>
        <v>11793750</v>
      </c>
    </row>
    <row r="42" spans="1:11" ht="14.25" customHeight="1" x14ac:dyDescent="0.35">
      <c r="A42" s="256"/>
      <c r="B42" s="256" t="s">
        <v>5143</v>
      </c>
      <c r="C42" s="257">
        <v>459242576.41802502</v>
      </c>
      <c r="D42" s="257">
        <v>669852649.86946905</v>
      </c>
      <c r="E42" s="257">
        <v>791570742.48291302</v>
      </c>
      <c r="F42" s="257">
        <v>818162880.64624798</v>
      </c>
      <c r="G42" s="257">
        <v>1055938198.1574</v>
      </c>
      <c r="H42" s="257">
        <v>738105693.00587499</v>
      </c>
      <c r="I42" s="257">
        <v>981312779.07767701</v>
      </c>
      <c r="J42" s="257">
        <v>739007248.34066701</v>
      </c>
      <c r="K42" s="258">
        <f>SUM(C42:J42)</f>
        <v>6253192767.9982738</v>
      </c>
    </row>
    <row r="43" spans="1:11" ht="14.25" customHeight="1" x14ac:dyDescent="0.35">
      <c r="A43" s="256"/>
      <c r="B43" s="256" t="s">
        <v>5144</v>
      </c>
      <c r="C43" s="257">
        <v>5492891538.6472502</v>
      </c>
      <c r="D43" s="257">
        <v>4880969141.8485603</v>
      </c>
      <c r="E43" s="257">
        <v>3452439214.38656</v>
      </c>
      <c r="F43" s="257">
        <v>4325247429.8366699</v>
      </c>
      <c r="G43" s="257">
        <v>5086017479.4388599</v>
      </c>
      <c r="H43" s="257">
        <v>5559333940.1515198</v>
      </c>
      <c r="I43" s="257">
        <v>5655737257.3381996</v>
      </c>
      <c r="J43" s="257">
        <v>6713523880.4370003</v>
      </c>
      <c r="K43" s="258">
        <f>SUM(C43:J43)</f>
        <v>41166159882.08461</v>
      </c>
    </row>
    <row r="44" spans="1:11" ht="14.25" customHeight="1" x14ac:dyDescent="0.35">
      <c r="A44" s="256"/>
      <c r="B44" s="256" t="s">
        <v>5145</v>
      </c>
      <c r="C44" s="257">
        <v>1800000</v>
      </c>
      <c r="D44" s="257">
        <v>1800000</v>
      </c>
      <c r="E44" s="257">
        <v>1800000</v>
      </c>
      <c r="F44" s="257">
        <v>4593750</v>
      </c>
      <c r="G44" s="257">
        <v>1800000</v>
      </c>
      <c r="H44" s="257">
        <v>0</v>
      </c>
      <c r="I44" s="257">
        <v>0</v>
      </c>
      <c r="J44" s="257">
        <v>0</v>
      </c>
      <c r="K44" s="258">
        <f>SUM(C44:J44)</f>
        <v>11793750</v>
      </c>
    </row>
    <row r="45" spans="1:11" ht="14.25" customHeight="1" x14ac:dyDescent="0.35">
      <c r="A45" s="254"/>
      <c r="B45" s="255" t="s">
        <v>5146</v>
      </c>
      <c r="C45" s="254"/>
      <c r="D45" s="254"/>
      <c r="E45" s="254"/>
      <c r="F45" s="254"/>
      <c r="G45" s="254"/>
      <c r="H45" s="254"/>
      <c r="I45" s="254"/>
      <c r="J45" s="254"/>
      <c r="K45" s="254"/>
    </row>
    <row r="46" spans="1:11" ht="14.25" customHeight="1" x14ac:dyDescent="0.35">
      <c r="A46" s="256"/>
      <c r="B46" s="256" t="s">
        <v>5147</v>
      </c>
      <c r="C46" s="257">
        <v>493893687.62558103</v>
      </c>
      <c r="D46" s="257">
        <v>821230992.92180204</v>
      </c>
      <c r="E46" s="257">
        <v>505799099.29702902</v>
      </c>
      <c r="F46" s="257">
        <v>284032585.14179897</v>
      </c>
      <c r="G46" s="257">
        <v>418285143.58542401</v>
      </c>
      <c r="H46" s="257">
        <v>575095379.56573403</v>
      </c>
      <c r="I46" s="257">
        <v>309790701.10262197</v>
      </c>
      <c r="J46" s="257">
        <v>238973459.696273</v>
      </c>
      <c r="K46" s="258">
        <f t="shared" ref="K46:K52" si="1">SUM(C46:J46)</f>
        <v>3647101048.936264</v>
      </c>
    </row>
    <row r="47" spans="1:11" ht="14.25" customHeight="1" x14ac:dyDescent="0.35">
      <c r="A47" s="256"/>
      <c r="B47" s="256" t="s">
        <v>5148</v>
      </c>
      <c r="C47" s="257">
        <v>5492891538.6472502</v>
      </c>
      <c r="D47" s="257">
        <v>4880969141.8485603</v>
      </c>
      <c r="E47" s="257">
        <v>3452439214.38656</v>
      </c>
      <c r="F47" s="257">
        <v>4325247429.8366699</v>
      </c>
      <c r="G47" s="257">
        <v>5086017479.4388599</v>
      </c>
      <c r="H47" s="257">
        <v>5559333940.1515198</v>
      </c>
      <c r="I47" s="257">
        <v>5655737257.3381996</v>
      </c>
      <c r="J47" s="257">
        <v>6713523880.4370003</v>
      </c>
      <c r="K47" s="258">
        <f t="shared" si="1"/>
        <v>41166159882.08461</v>
      </c>
    </row>
    <row r="48" spans="1:11" ht="14.25" customHeight="1" x14ac:dyDescent="0.35">
      <c r="A48" s="256"/>
      <c r="B48" s="256" t="s">
        <v>5149</v>
      </c>
      <c r="C48" s="257">
        <v>5165554233.3510303</v>
      </c>
      <c r="D48" s="257">
        <v>5196401035.4733295</v>
      </c>
      <c r="E48" s="257">
        <v>3674205728.54179</v>
      </c>
      <c r="F48" s="257">
        <v>4190994871.3930402</v>
      </c>
      <c r="G48" s="257">
        <v>4929207243.4585505</v>
      </c>
      <c r="H48" s="257">
        <v>5824638618.6146402</v>
      </c>
      <c r="I48" s="257">
        <v>5726554498.7445498</v>
      </c>
      <c r="J48" s="257">
        <v>6458494558.3675299</v>
      </c>
      <c r="K48" s="258">
        <f t="shared" si="1"/>
        <v>41166050787.944458</v>
      </c>
    </row>
    <row r="49" spans="1:11" ht="14.25" customHeight="1" x14ac:dyDescent="0.35">
      <c r="A49" s="256"/>
      <c r="B49" s="256" t="s">
        <v>5150</v>
      </c>
      <c r="C49" s="257">
        <v>821230992.92180204</v>
      </c>
      <c r="D49" s="257">
        <v>505799099.29702902</v>
      </c>
      <c r="E49" s="257">
        <v>284032585.14179897</v>
      </c>
      <c r="F49" s="257">
        <v>418285143.58542401</v>
      </c>
      <c r="G49" s="257">
        <v>575095379.56573403</v>
      </c>
      <c r="H49" s="257">
        <v>309790701.10262197</v>
      </c>
      <c r="I49" s="257">
        <v>238973459.696273</v>
      </c>
      <c r="J49" s="257">
        <v>494002781.76574302</v>
      </c>
      <c r="K49" s="258">
        <f t="shared" si="1"/>
        <v>3647210143.0764256</v>
      </c>
    </row>
    <row r="50" spans="1:11" ht="14.25" customHeight="1" x14ac:dyDescent="0.35">
      <c r="A50" s="256"/>
      <c r="B50" s="256" t="s">
        <v>5151</v>
      </c>
      <c r="C50" s="257">
        <v>0</v>
      </c>
      <c r="D50" s="257">
        <v>0</v>
      </c>
      <c r="E50" s="257">
        <v>0</v>
      </c>
      <c r="F50" s="257">
        <v>0</v>
      </c>
      <c r="G50" s="257">
        <v>0</v>
      </c>
      <c r="H50" s="257">
        <v>9.5367431640625E-7</v>
      </c>
      <c r="I50" s="257">
        <v>3.5762786865234401E-7</v>
      </c>
      <c r="J50" s="257">
        <v>0</v>
      </c>
      <c r="K50" s="258">
        <f t="shared" si="1"/>
        <v>1.311302185058594E-6</v>
      </c>
    </row>
    <row r="51" spans="1:11" ht="14.25" customHeight="1" x14ac:dyDescent="0.35">
      <c r="A51" s="256"/>
      <c r="B51" s="256" t="s">
        <v>5152</v>
      </c>
      <c r="C51" s="257">
        <v>276708026.33831698</v>
      </c>
      <c r="D51" s="257">
        <v>323117015.33313602</v>
      </c>
      <c r="E51" s="257">
        <v>460640088.87027103</v>
      </c>
      <c r="F51" s="257">
        <v>296442426.41013002</v>
      </c>
      <c r="G51" s="257">
        <v>361602077.60173398</v>
      </c>
      <c r="H51" s="257">
        <v>228476222.15775201</v>
      </c>
      <c r="I51" s="257">
        <v>484561145.50898498</v>
      </c>
      <c r="J51" s="257">
        <v>276688460.92343998</v>
      </c>
      <c r="K51" s="258">
        <f t="shared" si="1"/>
        <v>2708235463.143765</v>
      </c>
    </row>
    <row r="52" spans="1:11" ht="14.25" customHeight="1" x14ac:dyDescent="0.35">
      <c r="A52" s="256"/>
      <c r="B52" s="256" t="s">
        <v>5153</v>
      </c>
      <c r="C52" s="257">
        <v>5165554233.3510303</v>
      </c>
      <c r="D52" s="257">
        <v>5196401035.4733295</v>
      </c>
      <c r="E52" s="257">
        <v>3674205728.54179</v>
      </c>
      <c r="F52" s="257">
        <v>4190994871.3930402</v>
      </c>
      <c r="G52" s="257">
        <v>4929207243.4585505</v>
      </c>
      <c r="H52" s="257">
        <v>5824638618.6146402</v>
      </c>
      <c r="I52" s="257">
        <v>5726554498.7445498</v>
      </c>
      <c r="J52" s="257">
        <v>6458494558.3675299</v>
      </c>
      <c r="K52" s="258">
        <f t="shared" si="1"/>
        <v>41166050787.944458</v>
      </c>
    </row>
    <row r="53" spans="1:11" ht="14.25" customHeight="1" x14ac:dyDescent="0.35">
      <c r="A53" s="254"/>
      <c r="B53" s="255" t="s">
        <v>5154</v>
      </c>
      <c r="C53" s="254"/>
      <c r="D53" s="254"/>
      <c r="E53" s="254"/>
      <c r="F53" s="254"/>
      <c r="G53" s="254"/>
      <c r="H53" s="254"/>
      <c r="I53" s="254"/>
      <c r="J53" s="254"/>
      <c r="K53" s="254"/>
    </row>
    <row r="54" spans="1:11" ht="14.25" customHeight="1" x14ac:dyDescent="0.35">
      <c r="A54" s="256"/>
      <c r="B54" s="256" t="s">
        <v>5155</v>
      </c>
      <c r="C54" s="257">
        <v>5119145244.3562098</v>
      </c>
      <c r="D54" s="257">
        <v>5058877961.9361897</v>
      </c>
      <c r="E54" s="257">
        <v>3838403391.0019302</v>
      </c>
      <c r="F54" s="257">
        <v>4125835220.2014399</v>
      </c>
      <c r="G54" s="257">
        <v>5062333098.9025297</v>
      </c>
      <c r="H54" s="257">
        <v>5568553695.2634001</v>
      </c>
      <c r="I54" s="257">
        <v>5934427183.3257399</v>
      </c>
      <c r="J54" s="257">
        <v>6235492954.78864</v>
      </c>
      <c r="K54" s="258">
        <f>SUM(C54:J54)</f>
        <v>40943068749.776085</v>
      </c>
    </row>
    <row r="55" spans="1:11" ht="14.25" customHeight="1" x14ac:dyDescent="0.35">
      <c r="A55" s="254"/>
      <c r="B55" s="255" t="s">
        <v>5156</v>
      </c>
      <c r="C55" s="254"/>
      <c r="D55" s="254"/>
      <c r="E55" s="254"/>
      <c r="F55" s="254"/>
      <c r="G55" s="254"/>
      <c r="H55" s="254"/>
      <c r="I55" s="254"/>
      <c r="J55" s="254"/>
      <c r="K55" s="254"/>
    </row>
    <row r="56" spans="1:11" ht="14.25" customHeight="1" x14ac:dyDescent="0.35">
      <c r="A56" s="254"/>
      <c r="B56" s="255" t="s">
        <v>5157</v>
      </c>
      <c r="C56" s="254"/>
      <c r="D56" s="254"/>
      <c r="E56" s="254"/>
      <c r="F56" s="254"/>
      <c r="G56" s="254"/>
      <c r="H56" s="254"/>
      <c r="I56" s="254"/>
      <c r="J56" s="254"/>
      <c r="K56" s="254"/>
    </row>
    <row r="57" spans="1:11" ht="14.25" customHeight="1" x14ac:dyDescent="0.35">
      <c r="A57" s="256"/>
      <c r="B57" s="256" t="s">
        <v>5158</v>
      </c>
      <c r="C57" s="257">
        <v>323117015.33313602</v>
      </c>
      <c r="D57" s="257">
        <v>460640088.87027103</v>
      </c>
      <c r="E57" s="257">
        <v>296442426.41013002</v>
      </c>
      <c r="F57" s="257">
        <v>361602077.60173398</v>
      </c>
      <c r="G57" s="257">
        <v>228476222.15775201</v>
      </c>
      <c r="H57" s="257">
        <v>484561145.50898498</v>
      </c>
      <c r="I57" s="257">
        <v>276688460.92343998</v>
      </c>
      <c r="J57" s="257">
        <v>499690064.50233299</v>
      </c>
      <c r="K57" s="258">
        <f>SUM(C57:J57)</f>
        <v>2931217501.3077812</v>
      </c>
    </row>
    <row r="58" spans="1:11" ht="14.25" customHeight="1" x14ac:dyDescent="0.35">
      <c r="A58" s="256"/>
      <c r="B58" s="256" t="s">
        <v>5159</v>
      </c>
      <c r="C58" s="257">
        <v>5119145244.3562098</v>
      </c>
      <c r="D58" s="257">
        <v>5058877961.9361897</v>
      </c>
      <c r="E58" s="257">
        <v>3838403391.0019302</v>
      </c>
      <c r="F58" s="257">
        <v>4125835220.2014399</v>
      </c>
      <c r="G58" s="257">
        <v>5062333098.9025297</v>
      </c>
      <c r="H58" s="257">
        <v>-7.1525573730468803E-7</v>
      </c>
      <c r="I58" s="257">
        <v>4.3501853942871102E-3</v>
      </c>
      <c r="J58" s="257">
        <v>5.9604644775390604E-7</v>
      </c>
      <c r="K58" s="258">
        <f>SUM(C58:J58)</f>
        <v>23204594916.402649</v>
      </c>
    </row>
    <row r="59" spans="1:11" ht="14.25" customHeight="1" x14ac:dyDescent="0.35">
      <c r="A59" s="254"/>
      <c r="B59" s="255" t="s">
        <v>5160</v>
      </c>
      <c r="C59" s="254"/>
      <c r="D59" s="254"/>
      <c r="E59" s="254"/>
      <c r="F59" s="254"/>
      <c r="G59" s="254"/>
      <c r="H59" s="254"/>
      <c r="I59" s="254"/>
      <c r="J59" s="254"/>
      <c r="K59" s="254"/>
    </row>
    <row r="60" spans="1:11" ht="14.25" customHeight="1" x14ac:dyDescent="0.35">
      <c r="A60" s="259"/>
      <c r="B60" s="255" t="s">
        <v>5161</v>
      </c>
      <c r="C60" s="260">
        <v>5120945244.3562098</v>
      </c>
      <c r="D60" s="260">
        <v>5060677961.9361897</v>
      </c>
      <c r="E60" s="260">
        <v>3840203391.0019302</v>
      </c>
      <c r="F60" s="260">
        <v>4130428970.2014399</v>
      </c>
      <c r="G60" s="260">
        <v>5064133098.9025297</v>
      </c>
      <c r="H60" s="260">
        <v>5568553695.2634001</v>
      </c>
      <c r="I60" s="260">
        <v>5934427183.3257399</v>
      </c>
      <c r="J60" s="260">
        <v>6235492954.78864</v>
      </c>
      <c r="K60" s="260">
        <f t="shared" ref="K60:K69" si="2">SUM(C60:J60)</f>
        <v>40954862499.776085</v>
      </c>
    </row>
    <row r="61" spans="1:11" ht="14.25" customHeight="1" x14ac:dyDescent="0.35">
      <c r="A61" s="256" t="s">
        <v>4851</v>
      </c>
      <c r="B61" s="256" t="s">
        <v>5162</v>
      </c>
      <c r="C61" s="257">
        <v>-22.948200225830099</v>
      </c>
      <c r="D61" s="257">
        <v>0</v>
      </c>
      <c r="E61" s="257">
        <v>0</v>
      </c>
      <c r="F61" s="257">
        <v>0</v>
      </c>
      <c r="G61" s="257">
        <v>0</v>
      </c>
      <c r="H61" s="257">
        <v>-4.9173831939697297E-7</v>
      </c>
      <c r="I61" s="257">
        <v>0</v>
      </c>
      <c r="J61" s="257">
        <v>1.4901161193847701E-7</v>
      </c>
      <c r="K61" s="258">
        <f t="shared" si="2"/>
        <v>-22.948200568556807</v>
      </c>
    </row>
    <row r="62" spans="1:11" ht="14.25" customHeight="1" x14ac:dyDescent="0.35">
      <c r="A62" s="256" t="s">
        <v>5163</v>
      </c>
      <c r="B62" s="256" t="s">
        <v>4173</v>
      </c>
      <c r="C62" s="257">
        <v>0</v>
      </c>
      <c r="D62" s="257">
        <v>0</v>
      </c>
      <c r="E62" s="257">
        <v>0</v>
      </c>
      <c r="F62" s="257">
        <v>0</v>
      </c>
      <c r="G62" s="257">
        <v>0</v>
      </c>
      <c r="H62" s="257">
        <v>0</v>
      </c>
      <c r="I62" s="257">
        <v>0</v>
      </c>
      <c r="J62" s="257">
        <v>0</v>
      </c>
      <c r="K62" s="258">
        <f t="shared" si="2"/>
        <v>0</v>
      </c>
    </row>
    <row r="63" spans="1:11" ht="14.25" customHeight="1" x14ac:dyDescent="0.35">
      <c r="A63" s="256" t="s">
        <v>4856</v>
      </c>
      <c r="B63" s="256" t="s">
        <v>4173</v>
      </c>
      <c r="C63" s="257">
        <v>0</v>
      </c>
      <c r="D63" s="257">
        <v>0</v>
      </c>
      <c r="E63" s="257">
        <v>0</v>
      </c>
      <c r="F63" s="257">
        <v>0</v>
      </c>
      <c r="G63" s="257">
        <v>0</v>
      </c>
      <c r="H63" s="257">
        <v>0</v>
      </c>
      <c r="I63" s="257">
        <v>0</v>
      </c>
      <c r="J63" s="257">
        <v>0</v>
      </c>
      <c r="K63" s="258">
        <f t="shared" si="2"/>
        <v>0</v>
      </c>
    </row>
    <row r="64" spans="1:11" ht="14.25" customHeight="1" x14ac:dyDescent="0.35">
      <c r="A64" s="256" t="s">
        <v>4857</v>
      </c>
      <c r="B64" s="256" t="s">
        <v>4858</v>
      </c>
      <c r="C64" s="257">
        <v>0</v>
      </c>
      <c r="D64" s="257">
        <v>0</v>
      </c>
      <c r="E64" s="257">
        <v>0</v>
      </c>
      <c r="F64" s="257">
        <v>0</v>
      </c>
      <c r="G64" s="257">
        <v>0</v>
      </c>
      <c r="H64" s="257">
        <v>0</v>
      </c>
      <c r="I64" s="257">
        <v>0</v>
      </c>
      <c r="J64" s="257">
        <v>0</v>
      </c>
      <c r="K64" s="258">
        <f t="shared" si="2"/>
        <v>0</v>
      </c>
    </row>
    <row r="65" spans="1:11" ht="14.25" customHeight="1" x14ac:dyDescent="0.35">
      <c r="A65" s="256" t="s">
        <v>4859</v>
      </c>
      <c r="B65" s="256" t="s">
        <v>4860</v>
      </c>
      <c r="C65" s="257">
        <v>0</v>
      </c>
      <c r="D65" s="257">
        <v>0</v>
      </c>
      <c r="E65" s="257">
        <v>0</v>
      </c>
      <c r="F65" s="257">
        <v>0</v>
      </c>
      <c r="G65" s="257">
        <v>0</v>
      </c>
      <c r="H65" s="257">
        <v>0</v>
      </c>
      <c r="I65" s="257">
        <v>0</v>
      </c>
      <c r="J65" s="257">
        <v>0</v>
      </c>
      <c r="K65" s="258">
        <f t="shared" si="2"/>
        <v>0</v>
      </c>
    </row>
    <row r="66" spans="1:11" ht="14.25" customHeight="1" x14ac:dyDescent="0.35">
      <c r="A66" s="259"/>
      <c r="B66" s="255" t="s">
        <v>4861</v>
      </c>
      <c r="C66" s="260">
        <v>6667182146.4099998</v>
      </c>
      <c r="D66" s="260">
        <v>6591951532.5900097</v>
      </c>
      <c r="E66" s="260">
        <v>5211754426.0000095</v>
      </c>
      <c r="F66" s="260">
        <v>5876861771.9099998</v>
      </c>
      <c r="G66" s="260">
        <v>6624878326.0900002</v>
      </c>
      <c r="H66" s="260">
        <v>7152214159.7700005</v>
      </c>
      <c r="I66" s="260">
        <v>7596822100.8900003</v>
      </c>
      <c r="J66" s="260">
        <v>7842145791.7200003</v>
      </c>
      <c r="K66" s="260">
        <f t="shared" si="2"/>
        <v>53563810255.38002</v>
      </c>
    </row>
    <row r="67" spans="1:11" ht="14.25" customHeight="1" x14ac:dyDescent="0.35">
      <c r="A67" s="256"/>
      <c r="B67" s="256" t="s">
        <v>5129</v>
      </c>
      <c r="C67" s="257">
        <v>5817688559.7600002</v>
      </c>
      <c r="D67" s="257">
        <v>5720388076.5900002</v>
      </c>
      <c r="E67" s="257">
        <v>4336295338.2939997</v>
      </c>
      <c r="F67" s="257">
        <v>4654162200.5672503</v>
      </c>
      <c r="G67" s="257">
        <v>5640561586.0004301</v>
      </c>
      <c r="H67" s="257">
        <v>5421302327.375</v>
      </c>
      <c r="I67" s="257">
        <v>6326019302.4791298</v>
      </c>
      <c r="J67" s="257">
        <v>6233979044.7844496</v>
      </c>
      <c r="K67" s="258">
        <f t="shared" si="2"/>
        <v>44150396435.850258</v>
      </c>
    </row>
    <row r="68" spans="1:11" ht="14.25" customHeight="1" x14ac:dyDescent="0.35">
      <c r="A68" s="256"/>
      <c r="B68" s="256" t="s">
        <v>5164</v>
      </c>
      <c r="C68" s="257">
        <v>849493586.649997</v>
      </c>
      <c r="D68" s="257">
        <v>871563456.00000703</v>
      </c>
      <c r="E68" s="257">
        <v>875459087.70600498</v>
      </c>
      <c r="F68" s="257">
        <v>1222699571.3427501</v>
      </c>
      <c r="G68" s="257">
        <v>984316740.08956206</v>
      </c>
      <c r="H68" s="257">
        <v>1730911832.395</v>
      </c>
      <c r="I68" s="257">
        <v>1270802798.4108801</v>
      </c>
      <c r="J68" s="257">
        <v>1608166746.93554</v>
      </c>
      <c r="K68" s="258">
        <f t="shared" si="2"/>
        <v>9413413819.5297413</v>
      </c>
    </row>
    <row r="69" spans="1:11" ht="14.25" customHeight="1" x14ac:dyDescent="0.35">
      <c r="A69" s="259"/>
      <c r="B69" s="255" t="s">
        <v>4862</v>
      </c>
      <c r="C69" s="260">
        <v>2702264414.4299998</v>
      </c>
      <c r="D69" s="260">
        <v>2067619132.5799999</v>
      </c>
      <c r="E69" s="260">
        <v>1272802355.0499899</v>
      </c>
      <c r="F69" s="260">
        <v>973666924.83000398</v>
      </c>
      <c r="G69" s="260">
        <v>1080538537.0699999</v>
      </c>
      <c r="H69" s="260">
        <v>1143073595.45</v>
      </c>
      <c r="I69" s="260">
        <v>1317258754.9400001</v>
      </c>
      <c r="J69" s="260">
        <v>1950979660.3399999</v>
      </c>
      <c r="K69" s="260">
        <f t="shared" si="2"/>
        <v>12508203374.689995</v>
      </c>
    </row>
    <row r="70" spans="1:11" ht="14.25" customHeight="1" x14ac:dyDescent="0.35">
      <c r="A70" s="254"/>
      <c r="B70" s="255" t="s">
        <v>4863</v>
      </c>
      <c r="C70" s="254"/>
      <c r="D70" s="254"/>
      <c r="E70" s="254"/>
      <c r="F70" s="254"/>
      <c r="G70" s="254"/>
      <c r="H70" s="254"/>
      <c r="I70" s="254"/>
      <c r="J70" s="254"/>
      <c r="K70" s="254"/>
    </row>
    <row r="71" spans="1:11" ht="14.25" customHeight="1" x14ac:dyDescent="0.35">
      <c r="A71" s="256" t="s">
        <v>5165</v>
      </c>
      <c r="B71" s="256" t="s">
        <v>4864</v>
      </c>
      <c r="C71" s="257">
        <v>0</v>
      </c>
      <c r="D71" s="257">
        <v>0</v>
      </c>
      <c r="E71" s="257">
        <v>0</v>
      </c>
      <c r="F71" s="257">
        <v>0</v>
      </c>
      <c r="G71" s="257">
        <v>0</v>
      </c>
      <c r="H71" s="257">
        <v>0</v>
      </c>
      <c r="I71" s="257">
        <v>0</v>
      </c>
      <c r="J71" s="257">
        <v>0</v>
      </c>
      <c r="K71" s="258">
        <f t="shared" ref="K71:K102" si="3">SUM(C71:J71)</f>
        <v>0</v>
      </c>
    </row>
    <row r="72" spans="1:11" ht="14.25" customHeight="1" x14ac:dyDescent="0.35">
      <c r="A72" s="256" t="s">
        <v>4865</v>
      </c>
      <c r="B72" s="256" t="s">
        <v>4866</v>
      </c>
      <c r="C72" s="257">
        <v>1370144.4</v>
      </c>
      <c r="D72" s="257">
        <v>0</v>
      </c>
      <c r="E72" s="257">
        <v>0</v>
      </c>
      <c r="F72" s="257">
        <v>0</v>
      </c>
      <c r="G72" s="257">
        <v>0</v>
      </c>
      <c r="H72" s="257">
        <v>1254190</v>
      </c>
      <c r="I72" s="257">
        <v>0</v>
      </c>
      <c r="J72" s="257">
        <v>1001459</v>
      </c>
      <c r="K72" s="258">
        <f t="shared" si="3"/>
        <v>3625793.4</v>
      </c>
    </row>
    <row r="73" spans="1:11" ht="14.25" customHeight="1" x14ac:dyDescent="0.35">
      <c r="A73" s="256" t="s">
        <v>4868</v>
      </c>
      <c r="B73" s="256" t="s">
        <v>4869</v>
      </c>
      <c r="C73" s="257">
        <v>0</v>
      </c>
      <c r="D73" s="257">
        <v>0</v>
      </c>
      <c r="E73" s="257">
        <v>0</v>
      </c>
      <c r="F73" s="257">
        <v>0</v>
      </c>
      <c r="G73" s="257">
        <v>0</v>
      </c>
      <c r="H73" s="257">
        <v>0</v>
      </c>
      <c r="I73" s="257">
        <v>0</v>
      </c>
      <c r="J73" s="257">
        <v>0</v>
      </c>
      <c r="K73" s="258">
        <f t="shared" si="3"/>
        <v>0</v>
      </c>
    </row>
    <row r="74" spans="1:11" ht="14.25" customHeight="1" x14ac:dyDescent="0.35">
      <c r="A74" s="256" t="s">
        <v>4870</v>
      </c>
      <c r="B74" s="256" t="s">
        <v>4871</v>
      </c>
      <c r="C74" s="257">
        <v>1000000</v>
      </c>
      <c r="D74" s="257">
        <v>0</v>
      </c>
      <c r="E74" s="257">
        <v>0</v>
      </c>
      <c r="F74" s="257">
        <v>0</v>
      </c>
      <c r="G74" s="257">
        <v>100000000</v>
      </c>
      <c r="H74" s="257">
        <v>0</v>
      </c>
      <c r="I74" s="257">
        <v>0</v>
      </c>
      <c r="J74" s="257">
        <v>0</v>
      </c>
      <c r="K74" s="258">
        <f t="shared" si="3"/>
        <v>101000000</v>
      </c>
    </row>
    <row r="75" spans="1:11" ht="14.25" customHeight="1" x14ac:dyDescent="0.35">
      <c r="A75" s="256" t="s">
        <v>4873</v>
      </c>
      <c r="B75" s="256" t="s">
        <v>4874</v>
      </c>
      <c r="C75" s="257">
        <v>166626200</v>
      </c>
      <c r="D75" s="257">
        <v>161667800</v>
      </c>
      <c r="E75" s="257">
        <v>131479684</v>
      </c>
      <c r="F75" s="257">
        <v>137750800</v>
      </c>
      <c r="G75" s="257">
        <v>186572219</v>
      </c>
      <c r="H75" s="257">
        <v>184995600</v>
      </c>
      <c r="I75" s="257">
        <v>243587970</v>
      </c>
      <c r="J75" s="257">
        <v>220565335</v>
      </c>
      <c r="K75" s="258">
        <f t="shared" si="3"/>
        <v>1433245608</v>
      </c>
    </row>
    <row r="76" spans="1:11" ht="14.25" customHeight="1" x14ac:dyDescent="0.35">
      <c r="A76" s="256" t="s">
        <v>5166</v>
      </c>
      <c r="B76" s="256" t="s">
        <v>4876</v>
      </c>
      <c r="C76" s="257">
        <v>0</v>
      </c>
      <c r="D76" s="257">
        <v>0</v>
      </c>
      <c r="E76" s="257">
        <v>0</v>
      </c>
      <c r="F76" s="257">
        <v>0</v>
      </c>
      <c r="G76" s="257">
        <v>0</v>
      </c>
      <c r="H76" s="257">
        <v>0</v>
      </c>
      <c r="I76" s="257">
        <v>0</v>
      </c>
      <c r="J76" s="257">
        <v>0</v>
      </c>
      <c r="K76" s="258">
        <f t="shared" si="3"/>
        <v>0</v>
      </c>
    </row>
    <row r="77" spans="1:11" ht="14.25" customHeight="1" x14ac:dyDescent="0.35">
      <c r="A77" s="256" t="s">
        <v>4877</v>
      </c>
      <c r="B77" s="256" t="s">
        <v>4878</v>
      </c>
      <c r="C77" s="257">
        <v>354793223</v>
      </c>
      <c r="D77" s="257">
        <v>393273393</v>
      </c>
      <c r="E77" s="257">
        <v>393378315</v>
      </c>
      <c r="F77" s="257">
        <v>128795820</v>
      </c>
      <c r="G77" s="257">
        <v>137118842</v>
      </c>
      <c r="H77" s="257">
        <v>132217992</v>
      </c>
      <c r="I77" s="257">
        <v>128347648</v>
      </c>
      <c r="J77" s="257">
        <v>257901890</v>
      </c>
      <c r="K77" s="258">
        <f t="shared" si="3"/>
        <v>1925827123</v>
      </c>
    </row>
    <row r="78" spans="1:11" ht="14.25" customHeight="1" x14ac:dyDescent="0.35">
      <c r="A78" s="256" t="s">
        <v>4880</v>
      </c>
      <c r="B78" s="256" t="s">
        <v>4881</v>
      </c>
      <c r="C78" s="257">
        <v>46441072.670000002</v>
      </c>
      <c r="D78" s="257">
        <v>46441072.670000002</v>
      </c>
      <c r="E78" s="257">
        <v>109403142.95</v>
      </c>
      <c r="F78" s="257">
        <v>49461208.32</v>
      </c>
      <c r="G78" s="257">
        <v>82264535.329999998</v>
      </c>
      <c r="H78" s="257">
        <v>28362871.600000001</v>
      </c>
      <c r="I78" s="257">
        <v>28362871.649999999</v>
      </c>
      <c r="J78" s="257">
        <v>28362872</v>
      </c>
      <c r="K78" s="258">
        <f t="shared" si="3"/>
        <v>419099647.19</v>
      </c>
    </row>
    <row r="79" spans="1:11" ht="14.25" customHeight="1" x14ac:dyDescent="0.35">
      <c r="A79" s="256" t="s">
        <v>4882</v>
      </c>
      <c r="B79" s="256" t="s">
        <v>4883</v>
      </c>
      <c r="C79" s="257">
        <v>28749705</v>
      </c>
      <c r="D79" s="257">
        <v>31356793</v>
      </c>
      <c r="E79" s="257">
        <v>30254399</v>
      </c>
      <c r="F79" s="257">
        <v>10898918</v>
      </c>
      <c r="G79" s="257">
        <v>10752462</v>
      </c>
      <c r="H79" s="257">
        <v>10769742</v>
      </c>
      <c r="I79" s="257">
        <v>11009742</v>
      </c>
      <c r="J79" s="257">
        <v>10416680</v>
      </c>
      <c r="K79" s="258">
        <f t="shared" si="3"/>
        <v>144208441</v>
      </c>
    </row>
    <row r="80" spans="1:11" ht="14.25" customHeight="1" x14ac:dyDescent="0.35">
      <c r="A80" s="256" t="s">
        <v>4884</v>
      </c>
      <c r="B80" s="256" t="s">
        <v>4885</v>
      </c>
      <c r="C80" s="257">
        <v>0</v>
      </c>
      <c r="D80" s="257">
        <v>0</v>
      </c>
      <c r="E80" s="257">
        <v>0</v>
      </c>
      <c r="F80" s="257">
        <v>0</v>
      </c>
      <c r="G80" s="257">
        <v>0</v>
      </c>
      <c r="H80" s="257">
        <v>0</v>
      </c>
      <c r="I80" s="257">
        <v>0</v>
      </c>
      <c r="J80" s="257">
        <v>0</v>
      </c>
      <c r="K80" s="258">
        <f t="shared" si="3"/>
        <v>0</v>
      </c>
    </row>
    <row r="81" spans="1:11" ht="14.25" customHeight="1" x14ac:dyDescent="0.35">
      <c r="A81" s="256" t="s">
        <v>4886</v>
      </c>
      <c r="B81" s="256" t="s">
        <v>4887</v>
      </c>
      <c r="C81" s="257">
        <v>0</v>
      </c>
      <c r="D81" s="257">
        <v>0</v>
      </c>
      <c r="E81" s="257">
        <v>0</v>
      </c>
      <c r="F81" s="257">
        <v>0</v>
      </c>
      <c r="G81" s="257">
        <v>0</v>
      </c>
      <c r="H81" s="257">
        <v>0</v>
      </c>
      <c r="I81" s="257">
        <v>0</v>
      </c>
      <c r="J81" s="257">
        <v>0</v>
      </c>
      <c r="K81" s="258">
        <f t="shared" si="3"/>
        <v>0</v>
      </c>
    </row>
    <row r="82" spans="1:11" ht="14.25" customHeight="1" x14ac:dyDescent="0.35">
      <c r="A82" s="256" t="s">
        <v>5167</v>
      </c>
      <c r="B82" s="256" t="s">
        <v>5168</v>
      </c>
      <c r="C82" s="257"/>
      <c r="D82" s="257"/>
      <c r="E82" s="257"/>
      <c r="F82" s="257"/>
      <c r="G82" s="257"/>
      <c r="H82" s="257"/>
      <c r="I82" s="257"/>
      <c r="J82" s="257"/>
      <c r="K82" s="258">
        <f t="shared" si="3"/>
        <v>0</v>
      </c>
    </row>
    <row r="83" spans="1:11" ht="14.25" customHeight="1" x14ac:dyDescent="0.35">
      <c r="A83" s="256" t="s">
        <v>4889</v>
      </c>
      <c r="B83" s="256" t="s">
        <v>4890</v>
      </c>
      <c r="C83" s="257">
        <v>276000</v>
      </c>
      <c r="D83" s="257">
        <v>940000</v>
      </c>
      <c r="E83" s="257">
        <v>1785000</v>
      </c>
      <c r="F83" s="257">
        <v>1070000</v>
      </c>
      <c r="G83" s="257">
        <v>7235000</v>
      </c>
      <c r="H83" s="257">
        <v>5324000</v>
      </c>
      <c r="I83" s="257">
        <v>6985000</v>
      </c>
      <c r="J83" s="257">
        <v>10038000</v>
      </c>
      <c r="K83" s="258">
        <f t="shared" si="3"/>
        <v>33653000</v>
      </c>
    </row>
    <row r="84" spans="1:11" ht="14.25" customHeight="1" x14ac:dyDescent="0.35">
      <c r="A84" s="256" t="s">
        <v>4892</v>
      </c>
      <c r="B84" s="256" t="s">
        <v>4893</v>
      </c>
      <c r="C84" s="257">
        <v>34115000</v>
      </c>
      <c r="D84" s="257">
        <v>37610000</v>
      </c>
      <c r="E84" s="257">
        <v>31998600</v>
      </c>
      <c r="F84" s="257">
        <v>44404400</v>
      </c>
      <c r="G84" s="257">
        <v>47325800</v>
      </c>
      <c r="H84" s="257">
        <v>44828600</v>
      </c>
      <c r="I84" s="257">
        <v>28770000</v>
      </c>
      <c r="J84" s="257">
        <v>31700000</v>
      </c>
      <c r="K84" s="258">
        <f t="shared" si="3"/>
        <v>300752400</v>
      </c>
    </row>
    <row r="85" spans="1:11" ht="14.25" customHeight="1" x14ac:dyDescent="0.35">
      <c r="A85" s="256" t="s">
        <v>4895</v>
      </c>
      <c r="B85" s="256" t="s">
        <v>4896</v>
      </c>
      <c r="C85" s="257">
        <v>9135000</v>
      </c>
      <c r="D85" s="257">
        <v>8500000</v>
      </c>
      <c r="E85" s="257">
        <v>6360000</v>
      </c>
      <c r="F85" s="257">
        <v>5121000</v>
      </c>
      <c r="G85" s="257">
        <v>7890000</v>
      </c>
      <c r="H85" s="257">
        <v>6785000</v>
      </c>
      <c r="I85" s="257">
        <v>11120000</v>
      </c>
      <c r="J85" s="257">
        <v>13320000</v>
      </c>
      <c r="K85" s="258">
        <f t="shared" si="3"/>
        <v>68231000</v>
      </c>
    </row>
    <row r="86" spans="1:11" ht="14.25" customHeight="1" x14ac:dyDescent="0.35">
      <c r="A86" s="256" t="s">
        <v>4898</v>
      </c>
      <c r="B86" s="256" t="s">
        <v>4874</v>
      </c>
      <c r="C86" s="257">
        <v>0</v>
      </c>
      <c r="D86" s="257">
        <v>4016222</v>
      </c>
      <c r="E86" s="257">
        <v>4016222</v>
      </c>
      <c r="F86" s="257">
        <v>0</v>
      </c>
      <c r="G86" s="257">
        <v>-8032444</v>
      </c>
      <c r="H86" s="257">
        <v>0</v>
      </c>
      <c r="I86" s="257">
        <v>0</v>
      </c>
      <c r="J86" s="257">
        <v>0</v>
      </c>
      <c r="K86" s="258">
        <f t="shared" si="3"/>
        <v>0</v>
      </c>
    </row>
    <row r="87" spans="1:11" ht="14.25" customHeight="1" x14ac:dyDescent="0.35">
      <c r="A87" s="256" t="s">
        <v>4899</v>
      </c>
      <c r="B87" s="256" t="s">
        <v>4900</v>
      </c>
      <c r="C87" s="257">
        <v>12655517</v>
      </c>
      <c r="D87" s="257">
        <v>14687005</v>
      </c>
      <c r="E87" s="257">
        <v>12379380</v>
      </c>
      <c r="F87" s="257">
        <v>9393520</v>
      </c>
      <c r="G87" s="257">
        <v>6446232</v>
      </c>
      <c r="H87" s="257">
        <v>6640768</v>
      </c>
      <c r="I87" s="257">
        <v>6517096</v>
      </c>
      <c r="J87" s="257">
        <v>6676138</v>
      </c>
      <c r="K87" s="258">
        <f t="shared" si="3"/>
        <v>75395656</v>
      </c>
    </row>
    <row r="88" spans="1:11" ht="14.25" customHeight="1" x14ac:dyDescent="0.35">
      <c r="A88" s="256" t="s">
        <v>4902</v>
      </c>
      <c r="B88" s="256" t="s">
        <v>4903</v>
      </c>
      <c r="C88" s="257">
        <v>9406514</v>
      </c>
      <c r="D88" s="257">
        <v>20371500</v>
      </c>
      <c r="E88" s="257">
        <v>1846888</v>
      </c>
      <c r="F88" s="257">
        <v>16748000</v>
      </c>
      <c r="G88" s="257">
        <v>917500</v>
      </c>
      <c r="H88" s="257">
        <v>25718000.039999999</v>
      </c>
      <c r="I88" s="257">
        <v>3333252</v>
      </c>
      <c r="J88" s="257">
        <v>16142000</v>
      </c>
      <c r="K88" s="258">
        <f t="shared" si="3"/>
        <v>94483654.039999992</v>
      </c>
    </row>
    <row r="89" spans="1:11" ht="14.25" customHeight="1" x14ac:dyDescent="0.35">
      <c r="A89" s="256" t="s">
        <v>4905</v>
      </c>
      <c r="B89" s="256" t="s">
        <v>4906</v>
      </c>
      <c r="C89" s="257">
        <v>8791378.3800000008</v>
      </c>
      <c r="D89" s="257">
        <v>6832529.7699999996</v>
      </c>
      <c r="E89" s="257">
        <v>2060000</v>
      </c>
      <c r="F89" s="257">
        <v>3439000</v>
      </c>
      <c r="G89" s="257">
        <v>518000</v>
      </c>
      <c r="H89" s="257">
        <v>3257000</v>
      </c>
      <c r="I89" s="257">
        <v>5385000</v>
      </c>
      <c r="J89" s="257">
        <v>2477072</v>
      </c>
      <c r="K89" s="258">
        <f t="shared" si="3"/>
        <v>32759980.149999999</v>
      </c>
    </row>
    <row r="90" spans="1:11" ht="14.25" customHeight="1" x14ac:dyDescent="0.35">
      <c r="A90" s="256" t="s">
        <v>4908</v>
      </c>
      <c r="B90" s="256" t="s">
        <v>4909</v>
      </c>
      <c r="C90" s="257">
        <v>13399000</v>
      </c>
      <c r="D90" s="257">
        <v>8513887</v>
      </c>
      <c r="E90" s="257">
        <v>8690789</v>
      </c>
      <c r="F90" s="257">
        <v>7220217</v>
      </c>
      <c r="G90" s="257">
        <v>17630266.510000002</v>
      </c>
      <c r="H90" s="257">
        <v>23617513.52</v>
      </c>
      <c r="I90" s="257">
        <v>29295792.16</v>
      </c>
      <c r="J90" s="257">
        <v>4683000</v>
      </c>
      <c r="K90" s="258">
        <f t="shared" si="3"/>
        <v>113050465.19</v>
      </c>
    </row>
    <row r="91" spans="1:11" ht="14.25" customHeight="1" x14ac:dyDescent="0.35">
      <c r="A91" s="256" t="s">
        <v>4911</v>
      </c>
      <c r="B91" s="256" t="s">
        <v>4912</v>
      </c>
      <c r="C91" s="257">
        <v>4072348.39</v>
      </c>
      <c r="D91" s="257">
        <v>4072348.39</v>
      </c>
      <c r="E91" s="257">
        <v>4072348.39</v>
      </c>
      <c r="F91" s="257">
        <v>4072348.39</v>
      </c>
      <c r="G91" s="257">
        <v>4072348.39</v>
      </c>
      <c r="H91" s="257">
        <v>4072348.39</v>
      </c>
      <c r="I91" s="257">
        <v>0</v>
      </c>
      <c r="J91" s="257">
        <v>0</v>
      </c>
      <c r="K91" s="258">
        <f t="shared" si="3"/>
        <v>24434090.34</v>
      </c>
    </row>
    <row r="92" spans="1:11" ht="14.25" customHeight="1" x14ac:dyDescent="0.35">
      <c r="A92" s="256" t="s">
        <v>4914</v>
      </c>
      <c r="B92" s="256" t="s">
        <v>4915</v>
      </c>
      <c r="C92" s="257">
        <v>1724030.17</v>
      </c>
      <c r="D92" s="257">
        <v>1724030.17</v>
      </c>
      <c r="E92" s="257">
        <v>1724030.17</v>
      </c>
      <c r="F92" s="257">
        <v>1724030.17</v>
      </c>
      <c r="G92" s="257">
        <v>1724030.17</v>
      </c>
      <c r="H92" s="257">
        <v>0</v>
      </c>
      <c r="I92" s="257">
        <v>0</v>
      </c>
      <c r="J92" s="257">
        <v>0</v>
      </c>
      <c r="K92" s="258">
        <f t="shared" si="3"/>
        <v>8620150.8499999996</v>
      </c>
    </row>
    <row r="93" spans="1:11" ht="14.25" customHeight="1" x14ac:dyDescent="0.35">
      <c r="A93" s="256" t="s">
        <v>4917</v>
      </c>
      <c r="B93" s="256" t="s">
        <v>4918</v>
      </c>
      <c r="C93" s="257">
        <v>0</v>
      </c>
      <c r="D93" s="257">
        <v>6440666.6600000001</v>
      </c>
      <c r="E93" s="257">
        <v>3210333.33</v>
      </c>
      <c r="F93" s="257">
        <v>3210333.33</v>
      </c>
      <c r="G93" s="257">
        <v>3210333.33</v>
      </c>
      <c r="H93" s="257">
        <v>3210333.33</v>
      </c>
      <c r="I93" s="257">
        <v>3210333.33</v>
      </c>
      <c r="J93" s="257">
        <v>3210333.33</v>
      </c>
      <c r="K93" s="258">
        <f t="shared" si="3"/>
        <v>25702666.640000001</v>
      </c>
    </row>
    <row r="94" spans="1:11" ht="14.25" customHeight="1" x14ac:dyDescent="0.35">
      <c r="A94" s="256" t="s">
        <v>4920</v>
      </c>
      <c r="B94" s="256" t="s">
        <v>4921</v>
      </c>
      <c r="C94" s="257">
        <v>16485500</v>
      </c>
      <c r="D94" s="257">
        <v>11917051</v>
      </c>
      <c r="E94" s="257">
        <v>23259800</v>
      </c>
      <c r="F94" s="257">
        <v>13679780</v>
      </c>
      <c r="G94" s="257">
        <v>18122000</v>
      </c>
      <c r="H94" s="257">
        <v>8949396</v>
      </c>
      <c r="I94" s="257">
        <v>18679700</v>
      </c>
      <c r="J94" s="257">
        <v>4204500</v>
      </c>
      <c r="K94" s="258">
        <f t="shared" si="3"/>
        <v>115297727</v>
      </c>
    </row>
    <row r="95" spans="1:11" ht="14.25" customHeight="1" x14ac:dyDescent="0.35">
      <c r="A95" s="256" t="s">
        <v>4923</v>
      </c>
      <c r="B95" s="256" t="s">
        <v>4924</v>
      </c>
      <c r="C95" s="257">
        <v>3088000</v>
      </c>
      <c r="D95" s="257">
        <v>7950840</v>
      </c>
      <c r="E95" s="257">
        <v>3093500</v>
      </c>
      <c r="F95" s="257">
        <v>4710486</v>
      </c>
      <c r="G95" s="257">
        <v>3027000</v>
      </c>
      <c r="H95" s="257">
        <v>2305000</v>
      </c>
      <c r="I95" s="257">
        <v>2707500</v>
      </c>
      <c r="J95" s="257">
        <v>7541840</v>
      </c>
      <c r="K95" s="258">
        <f t="shared" si="3"/>
        <v>34424166</v>
      </c>
    </row>
    <row r="96" spans="1:11" ht="14.25" customHeight="1" x14ac:dyDescent="0.35">
      <c r="A96" s="256" t="s">
        <v>4926</v>
      </c>
      <c r="B96" s="256" t="s">
        <v>4927</v>
      </c>
      <c r="C96" s="257">
        <v>578300</v>
      </c>
      <c r="D96" s="257">
        <v>732400</v>
      </c>
      <c r="E96" s="257">
        <v>439200</v>
      </c>
      <c r="F96" s="257">
        <v>126450</v>
      </c>
      <c r="G96" s="257">
        <v>681500</v>
      </c>
      <c r="H96" s="257">
        <v>506000</v>
      </c>
      <c r="I96" s="257">
        <v>567000</v>
      </c>
      <c r="J96" s="257">
        <v>454200</v>
      </c>
      <c r="K96" s="258">
        <f t="shared" si="3"/>
        <v>4085050</v>
      </c>
    </row>
    <row r="97" spans="1:11" ht="14.25" customHeight="1" x14ac:dyDescent="0.35">
      <c r="A97" s="256" t="s">
        <v>4929</v>
      </c>
      <c r="B97" s="256" t="s">
        <v>4930</v>
      </c>
      <c r="C97" s="257">
        <v>17023279.77</v>
      </c>
      <c r="D97" s="257">
        <v>20687518.690000001</v>
      </c>
      <c r="E97" s="257">
        <v>16056649.720000001</v>
      </c>
      <c r="F97" s="257">
        <v>20959716.289999999</v>
      </c>
      <c r="G97" s="257">
        <v>12097447.08</v>
      </c>
      <c r="H97" s="257">
        <v>30117168.210000001</v>
      </c>
      <c r="I97" s="257">
        <v>23425183.870000001</v>
      </c>
      <c r="J97" s="257">
        <v>35107393.100000001</v>
      </c>
      <c r="K97" s="258">
        <f t="shared" si="3"/>
        <v>175474356.72999999</v>
      </c>
    </row>
    <row r="98" spans="1:11" ht="14.25" customHeight="1" x14ac:dyDescent="0.35">
      <c r="A98" s="256" t="s">
        <v>4932</v>
      </c>
      <c r="B98" s="256" t="s">
        <v>4933</v>
      </c>
      <c r="C98" s="257">
        <v>40994409</v>
      </c>
      <c r="D98" s="257">
        <v>18474277</v>
      </c>
      <c r="E98" s="257">
        <v>200280010.02000001</v>
      </c>
      <c r="F98" s="257">
        <v>34143727</v>
      </c>
      <c r="G98" s="257">
        <v>9276943</v>
      </c>
      <c r="H98" s="257">
        <v>9070393</v>
      </c>
      <c r="I98" s="257">
        <v>15737274</v>
      </c>
      <c r="J98" s="257">
        <v>31295877.440000001</v>
      </c>
      <c r="K98" s="258">
        <f t="shared" si="3"/>
        <v>359272910.45999998</v>
      </c>
    </row>
    <row r="99" spans="1:11" ht="14.25" customHeight="1" x14ac:dyDescent="0.35">
      <c r="A99" s="256" t="s">
        <v>4935</v>
      </c>
      <c r="B99" s="256" t="s">
        <v>4936</v>
      </c>
      <c r="C99" s="257">
        <v>0</v>
      </c>
      <c r="D99" s="257">
        <v>0</v>
      </c>
      <c r="E99" s="257">
        <v>0</v>
      </c>
      <c r="F99" s="257">
        <v>0</v>
      </c>
      <c r="G99" s="257">
        <v>0</v>
      </c>
      <c r="H99" s="257">
        <v>0</v>
      </c>
      <c r="I99" s="257">
        <v>0</v>
      </c>
      <c r="J99" s="257">
        <v>0</v>
      </c>
      <c r="K99" s="258">
        <f t="shared" si="3"/>
        <v>0</v>
      </c>
    </row>
    <row r="100" spans="1:11" ht="14.25" customHeight="1" x14ac:dyDescent="0.35">
      <c r="A100" s="256" t="s">
        <v>4938</v>
      </c>
      <c r="B100" s="256" t="s">
        <v>4939</v>
      </c>
      <c r="C100" s="257">
        <v>2629537</v>
      </c>
      <c r="D100" s="257">
        <v>2620490</v>
      </c>
      <c r="E100" s="257">
        <v>2620490</v>
      </c>
      <c r="F100" s="257">
        <v>2000000</v>
      </c>
      <c r="G100" s="257">
        <v>2620490</v>
      </c>
      <c r="H100" s="257">
        <v>2622421</v>
      </c>
      <c r="I100" s="257">
        <v>2621323</v>
      </c>
      <c r="J100" s="257">
        <v>1624098</v>
      </c>
      <c r="K100" s="258">
        <f t="shared" si="3"/>
        <v>19358849</v>
      </c>
    </row>
    <row r="101" spans="1:11" ht="14.25" customHeight="1" x14ac:dyDescent="0.35">
      <c r="A101" s="256" t="s">
        <v>4941</v>
      </c>
      <c r="B101" s="256" t="s">
        <v>4942</v>
      </c>
      <c r="C101" s="257">
        <v>404000</v>
      </c>
      <c r="D101" s="257">
        <v>404000</v>
      </c>
      <c r="E101" s="257">
        <v>404000</v>
      </c>
      <c r="F101" s="257">
        <v>0</v>
      </c>
      <c r="G101" s="257">
        <v>0</v>
      </c>
      <c r="H101" s="257">
        <v>0</v>
      </c>
      <c r="I101" s="257">
        <v>0</v>
      </c>
      <c r="J101" s="257">
        <v>0</v>
      </c>
      <c r="K101" s="258">
        <f t="shared" si="3"/>
        <v>1212000</v>
      </c>
    </row>
    <row r="102" spans="1:11" ht="14.25" customHeight="1" x14ac:dyDescent="0.35">
      <c r="A102" s="256" t="s">
        <v>4944</v>
      </c>
      <c r="B102" s="256" t="s">
        <v>4945</v>
      </c>
      <c r="C102" s="257">
        <v>2500000</v>
      </c>
      <c r="D102" s="257">
        <v>2500000</v>
      </c>
      <c r="E102" s="257">
        <v>0</v>
      </c>
      <c r="F102" s="257">
        <v>5000000</v>
      </c>
      <c r="G102" s="257">
        <v>2500000</v>
      </c>
      <c r="H102" s="257">
        <v>2500000</v>
      </c>
      <c r="I102" s="257">
        <v>2500000</v>
      </c>
      <c r="J102" s="257">
        <v>2500000</v>
      </c>
      <c r="K102" s="258">
        <f t="shared" si="3"/>
        <v>20000000</v>
      </c>
    </row>
    <row r="103" spans="1:11" ht="14.25" customHeight="1" x14ac:dyDescent="0.35">
      <c r="A103" s="256" t="s">
        <v>4947</v>
      </c>
      <c r="B103" s="256" t="s">
        <v>4948</v>
      </c>
      <c r="C103" s="257">
        <v>0</v>
      </c>
      <c r="D103" s="257">
        <v>0</v>
      </c>
      <c r="E103" s="257">
        <v>0</v>
      </c>
      <c r="F103" s="257">
        <v>0</v>
      </c>
      <c r="G103" s="257">
        <v>0</v>
      </c>
      <c r="H103" s="257">
        <v>0</v>
      </c>
      <c r="I103" s="257">
        <v>0</v>
      </c>
      <c r="J103" s="257">
        <v>0</v>
      </c>
      <c r="K103" s="258">
        <f t="shared" ref="K103:K126" si="4">SUM(C103:J103)</f>
        <v>0</v>
      </c>
    </row>
    <row r="104" spans="1:11" ht="14.25" customHeight="1" x14ac:dyDescent="0.35">
      <c r="A104" s="256" t="s">
        <v>4950</v>
      </c>
      <c r="B104" s="256" t="s">
        <v>4951</v>
      </c>
      <c r="C104" s="257">
        <v>735833</v>
      </c>
      <c r="D104" s="257">
        <v>885833</v>
      </c>
      <c r="E104" s="257">
        <v>735833.33</v>
      </c>
      <c r="F104" s="257">
        <v>735833.33</v>
      </c>
      <c r="G104" s="257">
        <v>3535833</v>
      </c>
      <c r="H104" s="257">
        <v>740000</v>
      </c>
      <c r="I104" s="257">
        <v>740000</v>
      </c>
      <c r="J104" s="257">
        <v>2430000</v>
      </c>
      <c r="K104" s="258">
        <f t="shared" si="4"/>
        <v>10539165.66</v>
      </c>
    </row>
    <row r="105" spans="1:11" ht="14.25" customHeight="1" x14ac:dyDescent="0.35">
      <c r="A105" s="256" t="s">
        <v>4953</v>
      </c>
      <c r="B105" s="256" t="s">
        <v>4954</v>
      </c>
      <c r="C105" s="257">
        <v>71000</v>
      </c>
      <c r="D105" s="257">
        <v>19533522.510000002</v>
      </c>
      <c r="E105" s="257">
        <v>1226500</v>
      </c>
      <c r="F105" s="257">
        <v>340000</v>
      </c>
      <c r="G105" s="257">
        <v>18570000</v>
      </c>
      <c r="H105" s="257">
        <v>2250000</v>
      </c>
      <c r="I105" s="257">
        <v>0</v>
      </c>
      <c r="J105" s="257">
        <v>156000</v>
      </c>
      <c r="K105" s="258">
        <f t="shared" si="4"/>
        <v>42147022.510000005</v>
      </c>
    </row>
    <row r="106" spans="1:11" ht="14.25" customHeight="1" x14ac:dyDescent="0.35">
      <c r="A106" s="256" t="s">
        <v>4956</v>
      </c>
      <c r="B106" s="256" t="s">
        <v>4957</v>
      </c>
      <c r="C106" s="257">
        <v>0</v>
      </c>
      <c r="D106" s="257">
        <v>0</v>
      </c>
      <c r="E106" s="257">
        <v>0</v>
      </c>
      <c r="F106" s="257">
        <v>0</v>
      </c>
      <c r="G106" s="257">
        <v>0</v>
      </c>
      <c r="H106" s="257">
        <v>0</v>
      </c>
      <c r="I106" s="257">
        <v>0</v>
      </c>
      <c r="J106" s="257">
        <v>0</v>
      </c>
      <c r="K106" s="258">
        <f t="shared" si="4"/>
        <v>0</v>
      </c>
    </row>
    <row r="107" spans="1:11" ht="14.25" customHeight="1" x14ac:dyDescent="0.35">
      <c r="A107" s="256" t="s">
        <v>4959</v>
      </c>
      <c r="B107" s="256" t="s">
        <v>4960</v>
      </c>
      <c r="C107" s="257">
        <v>3800000</v>
      </c>
      <c r="D107" s="257">
        <v>4300000</v>
      </c>
      <c r="E107" s="257">
        <v>4750000</v>
      </c>
      <c r="F107" s="257">
        <v>4850000</v>
      </c>
      <c r="G107" s="257">
        <v>3500000</v>
      </c>
      <c r="H107" s="257">
        <v>3800000</v>
      </c>
      <c r="I107" s="257">
        <v>4500000</v>
      </c>
      <c r="J107" s="257">
        <v>5300000</v>
      </c>
      <c r="K107" s="258">
        <f t="shared" si="4"/>
        <v>34800000</v>
      </c>
    </row>
    <row r="108" spans="1:11" ht="14.25" customHeight="1" x14ac:dyDescent="0.35">
      <c r="A108" s="256" t="s">
        <v>4962</v>
      </c>
      <c r="B108" s="256" t="s">
        <v>4963</v>
      </c>
      <c r="C108" s="257">
        <v>25329195</v>
      </c>
      <c r="D108" s="257">
        <v>8529000</v>
      </c>
      <c r="E108" s="257">
        <v>31946086</v>
      </c>
      <c r="F108" s="257">
        <v>20550800</v>
      </c>
      <c r="G108" s="257">
        <v>14250980</v>
      </c>
      <c r="H108" s="257">
        <v>6767570</v>
      </c>
      <c r="I108" s="257">
        <v>8358119</v>
      </c>
      <c r="J108" s="257">
        <v>18370408</v>
      </c>
      <c r="K108" s="258">
        <f t="shared" si="4"/>
        <v>134102158</v>
      </c>
    </row>
    <row r="109" spans="1:11" ht="14.25" customHeight="1" x14ac:dyDescent="0.35">
      <c r="A109" s="256" t="s">
        <v>4965</v>
      </c>
      <c r="B109" s="256" t="s">
        <v>4966</v>
      </c>
      <c r="C109" s="257">
        <v>1750000</v>
      </c>
      <c r="D109" s="257">
        <v>1800000</v>
      </c>
      <c r="E109" s="257">
        <v>1750000</v>
      </c>
      <c r="F109" s="257">
        <v>1000000</v>
      </c>
      <c r="G109" s="257">
        <v>1000000</v>
      </c>
      <c r="H109" s="257">
        <v>1000000</v>
      </c>
      <c r="I109" s="257">
        <v>1000000</v>
      </c>
      <c r="J109" s="257">
        <v>1000000</v>
      </c>
      <c r="K109" s="258">
        <f t="shared" si="4"/>
        <v>10300000</v>
      </c>
    </row>
    <row r="110" spans="1:11" ht="14.25" customHeight="1" x14ac:dyDescent="0.35">
      <c r="A110" s="256" t="s">
        <v>4968</v>
      </c>
      <c r="B110" s="256" t="s">
        <v>4969</v>
      </c>
      <c r="C110" s="257">
        <v>51884335</v>
      </c>
      <c r="D110" s="257">
        <v>17226536</v>
      </c>
      <c r="E110" s="257">
        <v>15025000</v>
      </c>
      <c r="F110" s="257">
        <v>11886000</v>
      </c>
      <c r="G110" s="257">
        <v>57025000</v>
      </c>
      <c r="H110" s="257">
        <v>24155000</v>
      </c>
      <c r="I110" s="257">
        <v>56520000</v>
      </c>
      <c r="J110" s="257">
        <v>10182051</v>
      </c>
      <c r="K110" s="258">
        <f t="shared" si="4"/>
        <v>243903922</v>
      </c>
    </row>
    <row r="111" spans="1:11" ht="14.25" customHeight="1" x14ac:dyDescent="0.35">
      <c r="A111" s="256" t="s">
        <v>4971</v>
      </c>
      <c r="B111" s="256" t="s">
        <v>4972</v>
      </c>
      <c r="C111" s="257">
        <v>3107600</v>
      </c>
      <c r="D111" s="257">
        <v>2881700</v>
      </c>
      <c r="E111" s="257">
        <v>2700550</v>
      </c>
      <c r="F111" s="257">
        <v>2499100</v>
      </c>
      <c r="G111" s="257">
        <v>2556550</v>
      </c>
      <c r="H111" s="257">
        <v>2071320</v>
      </c>
      <c r="I111" s="257">
        <v>3486300</v>
      </c>
      <c r="J111" s="257">
        <v>20750555</v>
      </c>
      <c r="K111" s="258">
        <f t="shared" si="4"/>
        <v>40053675</v>
      </c>
    </row>
    <row r="112" spans="1:11" ht="14.25" customHeight="1" x14ac:dyDescent="0.35">
      <c r="A112" s="256" t="s">
        <v>4974</v>
      </c>
      <c r="B112" s="256" t="s">
        <v>4975</v>
      </c>
      <c r="C112" s="257">
        <v>0</v>
      </c>
      <c r="D112" s="257">
        <v>0</v>
      </c>
      <c r="E112" s="257">
        <v>0</v>
      </c>
      <c r="F112" s="257">
        <v>0</v>
      </c>
      <c r="G112" s="257">
        <v>0</v>
      </c>
      <c r="H112" s="257">
        <v>0</v>
      </c>
      <c r="I112" s="257">
        <v>0</v>
      </c>
      <c r="J112" s="257">
        <v>0</v>
      </c>
      <c r="K112" s="258">
        <f t="shared" si="4"/>
        <v>0</v>
      </c>
    </row>
    <row r="113" spans="1:11" ht="14.25" customHeight="1" x14ac:dyDescent="0.35">
      <c r="A113" s="256" t="s">
        <v>4977</v>
      </c>
      <c r="B113" s="256" t="s">
        <v>4978</v>
      </c>
      <c r="C113" s="257">
        <v>0</v>
      </c>
      <c r="D113" s="257">
        <v>0</v>
      </c>
      <c r="E113" s="257">
        <v>0</v>
      </c>
      <c r="F113" s="257">
        <v>0</v>
      </c>
      <c r="G113" s="257">
        <v>0</v>
      </c>
      <c r="H113" s="257">
        <v>0</v>
      </c>
      <c r="I113" s="257">
        <v>0</v>
      </c>
      <c r="J113" s="257">
        <v>0</v>
      </c>
      <c r="K113" s="258">
        <f t="shared" si="4"/>
        <v>0</v>
      </c>
    </row>
    <row r="114" spans="1:11" ht="14.25" customHeight="1" x14ac:dyDescent="0.35">
      <c r="A114" s="256" t="s">
        <v>4980</v>
      </c>
      <c r="B114" s="256" t="s">
        <v>4981</v>
      </c>
      <c r="C114" s="257">
        <v>0</v>
      </c>
      <c r="D114" s="257">
        <v>0</v>
      </c>
      <c r="E114" s="257">
        <v>0</v>
      </c>
      <c r="F114" s="257">
        <v>0</v>
      </c>
      <c r="G114" s="257">
        <v>0</v>
      </c>
      <c r="H114" s="257">
        <v>0</v>
      </c>
      <c r="I114" s="257">
        <v>0</v>
      </c>
      <c r="J114" s="257">
        <v>0</v>
      </c>
      <c r="K114" s="258">
        <f t="shared" si="4"/>
        <v>0</v>
      </c>
    </row>
    <row r="115" spans="1:11" ht="14.25" customHeight="1" x14ac:dyDescent="0.35">
      <c r="A115" s="256" t="s">
        <v>4983</v>
      </c>
      <c r="B115" s="256" t="s">
        <v>4984</v>
      </c>
      <c r="C115" s="257">
        <v>0</v>
      </c>
      <c r="D115" s="257">
        <v>0</v>
      </c>
      <c r="E115" s="257">
        <v>0</v>
      </c>
      <c r="F115" s="257">
        <v>0</v>
      </c>
      <c r="G115" s="257">
        <v>0</v>
      </c>
      <c r="H115" s="257">
        <v>0</v>
      </c>
      <c r="I115" s="257">
        <v>0</v>
      </c>
      <c r="J115" s="257">
        <v>0</v>
      </c>
      <c r="K115" s="258">
        <f t="shared" si="4"/>
        <v>0</v>
      </c>
    </row>
    <row r="116" spans="1:11" ht="14.25" customHeight="1" x14ac:dyDescent="0.35">
      <c r="A116" s="256" t="s">
        <v>4986</v>
      </c>
      <c r="B116" s="256" t="s">
        <v>5169</v>
      </c>
      <c r="C116" s="257">
        <v>0</v>
      </c>
      <c r="D116" s="257">
        <v>0</v>
      </c>
      <c r="E116" s="257">
        <v>0</v>
      </c>
      <c r="F116" s="257">
        <v>0</v>
      </c>
      <c r="G116" s="257">
        <v>0</v>
      </c>
      <c r="H116" s="257">
        <v>0</v>
      </c>
      <c r="I116" s="257">
        <v>0</v>
      </c>
      <c r="J116" s="257">
        <v>0</v>
      </c>
      <c r="K116" s="258">
        <f t="shared" si="4"/>
        <v>0</v>
      </c>
    </row>
    <row r="117" spans="1:11" ht="14.25" customHeight="1" x14ac:dyDescent="0.35">
      <c r="A117" s="256" t="s">
        <v>4989</v>
      </c>
      <c r="B117" s="256" t="s">
        <v>4990</v>
      </c>
      <c r="C117" s="257">
        <v>0</v>
      </c>
      <c r="D117" s="257">
        <v>0</v>
      </c>
      <c r="E117" s="257">
        <v>0</v>
      </c>
      <c r="F117" s="257">
        <v>0</v>
      </c>
      <c r="G117" s="257">
        <v>0</v>
      </c>
      <c r="H117" s="257">
        <v>0</v>
      </c>
      <c r="I117" s="257">
        <v>0</v>
      </c>
      <c r="J117" s="257">
        <v>0</v>
      </c>
      <c r="K117" s="258">
        <f t="shared" si="4"/>
        <v>0</v>
      </c>
    </row>
    <row r="118" spans="1:11" ht="14.25" customHeight="1" x14ac:dyDescent="0.35">
      <c r="A118" s="256" t="s">
        <v>4992</v>
      </c>
      <c r="B118" s="256" t="s">
        <v>4993</v>
      </c>
      <c r="C118" s="257">
        <v>0</v>
      </c>
      <c r="D118" s="257">
        <v>0</v>
      </c>
      <c r="E118" s="257">
        <v>0</v>
      </c>
      <c r="F118" s="257">
        <v>0</v>
      </c>
      <c r="G118" s="257">
        <v>0</v>
      </c>
      <c r="H118" s="257">
        <v>0</v>
      </c>
      <c r="I118" s="257">
        <v>0</v>
      </c>
      <c r="J118" s="257">
        <v>0</v>
      </c>
      <c r="K118" s="258">
        <f t="shared" si="4"/>
        <v>0</v>
      </c>
    </row>
    <row r="119" spans="1:11" ht="14.25" customHeight="1" x14ac:dyDescent="0.35">
      <c r="A119" s="256" t="s">
        <v>4995</v>
      </c>
      <c r="B119" s="256" t="s">
        <v>4996</v>
      </c>
      <c r="C119" s="257">
        <v>38256757</v>
      </c>
      <c r="D119" s="257">
        <v>38256757</v>
      </c>
      <c r="E119" s="257">
        <v>38256757</v>
      </c>
      <c r="F119" s="257">
        <v>55692529</v>
      </c>
      <c r="G119" s="257">
        <v>38256757</v>
      </c>
      <c r="H119" s="257">
        <v>38256757</v>
      </c>
      <c r="I119" s="257">
        <v>38256757</v>
      </c>
      <c r="J119" s="257">
        <v>38256757</v>
      </c>
      <c r="K119" s="258">
        <f t="shared" si="4"/>
        <v>323489828</v>
      </c>
    </row>
    <row r="120" spans="1:11" ht="14.25" customHeight="1" x14ac:dyDescent="0.35">
      <c r="A120" s="256" t="s">
        <v>4998</v>
      </c>
      <c r="B120" s="256" t="s">
        <v>4999</v>
      </c>
      <c r="C120" s="257">
        <v>19127700</v>
      </c>
      <c r="D120" s="257">
        <v>19713333</v>
      </c>
      <c r="E120" s="257">
        <v>19446667</v>
      </c>
      <c r="F120" s="257">
        <v>8498975</v>
      </c>
      <c r="G120" s="257">
        <v>8446667</v>
      </c>
      <c r="H120" s="257">
        <v>8472820</v>
      </c>
      <c r="I120" s="257">
        <v>8498974</v>
      </c>
      <c r="J120" s="257">
        <v>8498974</v>
      </c>
      <c r="K120" s="258">
        <f t="shared" si="4"/>
        <v>100704110</v>
      </c>
    </row>
    <row r="121" spans="1:11" ht="14.25" customHeight="1" x14ac:dyDescent="0.35">
      <c r="A121" s="256" t="s">
        <v>5001</v>
      </c>
      <c r="B121" s="256" t="s">
        <v>5170</v>
      </c>
      <c r="C121" s="257">
        <v>1221160</v>
      </c>
      <c r="D121" s="257">
        <v>0</v>
      </c>
      <c r="E121" s="257">
        <v>0</v>
      </c>
      <c r="F121" s="257">
        <v>0</v>
      </c>
      <c r="G121" s="257">
        <v>0</v>
      </c>
      <c r="H121" s="257">
        <v>300000</v>
      </c>
      <c r="I121" s="257">
        <v>300000</v>
      </c>
      <c r="J121" s="257">
        <v>0</v>
      </c>
      <c r="K121" s="258">
        <f t="shared" si="4"/>
        <v>1821160</v>
      </c>
    </row>
    <row r="122" spans="1:11" ht="14.25" customHeight="1" x14ac:dyDescent="0.35">
      <c r="A122" s="256" t="s">
        <v>5004</v>
      </c>
      <c r="B122" s="256" t="s">
        <v>5005</v>
      </c>
      <c r="C122" s="257">
        <v>12569500</v>
      </c>
      <c r="D122" s="257">
        <v>2411501</v>
      </c>
      <c r="E122" s="257">
        <v>4246000</v>
      </c>
      <c r="F122" s="257">
        <v>0</v>
      </c>
      <c r="G122" s="257">
        <v>6947000</v>
      </c>
      <c r="H122" s="257">
        <v>0</v>
      </c>
      <c r="I122" s="257">
        <v>4953000</v>
      </c>
      <c r="J122" s="257">
        <v>1150000</v>
      </c>
      <c r="K122" s="258">
        <f t="shared" si="4"/>
        <v>32277001</v>
      </c>
    </row>
    <row r="123" spans="1:11" ht="14.25" customHeight="1" x14ac:dyDescent="0.35">
      <c r="A123" s="256" t="s">
        <v>5007</v>
      </c>
      <c r="B123" s="256" t="s">
        <v>5171</v>
      </c>
      <c r="C123" s="257">
        <v>0</v>
      </c>
      <c r="D123" s="257">
        <v>0</v>
      </c>
      <c r="E123" s="257">
        <v>0</v>
      </c>
      <c r="F123" s="257">
        <v>0</v>
      </c>
      <c r="G123" s="257">
        <v>0</v>
      </c>
      <c r="H123" s="257">
        <v>0</v>
      </c>
      <c r="I123" s="257">
        <v>0</v>
      </c>
      <c r="J123" s="257">
        <v>0</v>
      </c>
      <c r="K123" s="258">
        <f t="shared" si="4"/>
        <v>0</v>
      </c>
    </row>
    <row r="124" spans="1:11" ht="14.25" customHeight="1" x14ac:dyDescent="0.35">
      <c r="A124" s="256" t="s">
        <v>5172</v>
      </c>
      <c r="B124" s="256" t="s">
        <v>5010</v>
      </c>
      <c r="C124" s="257">
        <v>20315122.84</v>
      </c>
      <c r="D124" s="257">
        <v>23181198.690000001</v>
      </c>
      <c r="E124" s="257">
        <v>193300318.87</v>
      </c>
      <c r="F124" s="257">
        <v>13032574.16</v>
      </c>
      <c r="G124" s="257">
        <v>13831797.109999999</v>
      </c>
      <c r="H124" s="257">
        <v>14613425.050000001</v>
      </c>
      <c r="I124" s="257">
        <v>14243426.949999999</v>
      </c>
      <c r="J124" s="257">
        <v>14464070.720000001</v>
      </c>
      <c r="K124" s="258">
        <f t="shared" si="4"/>
        <v>306981934.39000005</v>
      </c>
    </row>
    <row r="125" spans="1:11" ht="14.25" customHeight="1" x14ac:dyDescent="0.35">
      <c r="A125" s="259"/>
      <c r="B125" s="255" t="s">
        <v>5012</v>
      </c>
      <c r="C125" s="260">
        <v>954426361.62</v>
      </c>
      <c r="D125" s="260">
        <v>950453205.54999995</v>
      </c>
      <c r="E125" s="260">
        <v>1302196493.78</v>
      </c>
      <c r="F125" s="260">
        <v>623015565.99000001</v>
      </c>
      <c r="G125" s="260">
        <v>821891088.91999996</v>
      </c>
      <c r="H125" s="260">
        <v>639551229.13999999</v>
      </c>
      <c r="I125" s="260">
        <v>713019262.96000004</v>
      </c>
      <c r="J125" s="260">
        <v>809781503.59000003</v>
      </c>
      <c r="K125" s="260">
        <f t="shared" si="4"/>
        <v>6814334711.5500002</v>
      </c>
    </row>
    <row r="126" spans="1:11" ht="14.25" customHeight="1" x14ac:dyDescent="0.35">
      <c r="A126" s="259"/>
      <c r="B126" s="255" t="s">
        <v>5013</v>
      </c>
      <c r="C126" s="260">
        <v>1747838052.8099999</v>
      </c>
      <c r="D126" s="260">
        <v>1117165927.03</v>
      </c>
      <c r="E126" s="260">
        <v>-29394138.730007701</v>
      </c>
      <c r="F126" s="260">
        <v>350651358.84000403</v>
      </c>
      <c r="G126" s="260">
        <v>258647448.15000299</v>
      </c>
      <c r="H126" s="260">
        <v>503522366.30999899</v>
      </c>
      <c r="I126" s="260">
        <v>604239491.98000002</v>
      </c>
      <c r="J126" s="260">
        <v>1141198156.75</v>
      </c>
      <c r="K126" s="260">
        <f t="shared" si="4"/>
        <v>5693868663.1399984</v>
      </c>
    </row>
    <row r="127" spans="1:11" ht="14.25" customHeight="1" x14ac:dyDescent="0.35">
      <c r="A127" s="254"/>
      <c r="B127" s="255" t="s">
        <v>5014</v>
      </c>
      <c r="C127" s="254"/>
      <c r="D127" s="254"/>
      <c r="E127" s="254"/>
      <c r="F127" s="254"/>
      <c r="G127" s="254"/>
      <c r="H127" s="254"/>
      <c r="I127" s="254"/>
      <c r="J127" s="254"/>
      <c r="K127" s="254"/>
    </row>
    <row r="128" spans="1:11" ht="14.25" customHeight="1" x14ac:dyDescent="0.35">
      <c r="A128" s="254"/>
      <c r="B128" s="255" t="s">
        <v>5015</v>
      </c>
      <c r="C128" s="254"/>
      <c r="D128" s="254"/>
      <c r="E128" s="254"/>
      <c r="F128" s="254"/>
      <c r="G128" s="254"/>
      <c r="H128" s="254"/>
      <c r="I128" s="254"/>
      <c r="J128" s="254"/>
      <c r="K128" s="254"/>
    </row>
    <row r="129" spans="1:11" ht="14.25" customHeight="1" x14ac:dyDescent="0.35">
      <c r="A129" s="256" t="s">
        <v>5173</v>
      </c>
      <c r="B129" s="256" t="s">
        <v>5016</v>
      </c>
      <c r="C129" s="257">
        <v>0</v>
      </c>
      <c r="D129" s="257">
        <v>0</v>
      </c>
      <c r="E129" s="257">
        <v>0</v>
      </c>
      <c r="F129" s="257">
        <v>0</v>
      </c>
      <c r="G129" s="257">
        <v>0</v>
      </c>
      <c r="H129" s="257">
        <v>0</v>
      </c>
      <c r="I129" s="257">
        <v>0</v>
      </c>
      <c r="J129" s="257">
        <v>0</v>
      </c>
      <c r="K129" s="258">
        <f t="shared" ref="K129:K137" si="5">SUM(C129:J129)</f>
        <v>0</v>
      </c>
    </row>
    <row r="130" spans="1:11" ht="14.25" customHeight="1" x14ac:dyDescent="0.35">
      <c r="A130" s="256" t="s">
        <v>5018</v>
      </c>
      <c r="B130" s="256" t="s">
        <v>5019</v>
      </c>
      <c r="C130" s="257">
        <v>21800652.5</v>
      </c>
      <c r="D130" s="257">
        <v>20243097.170000002</v>
      </c>
      <c r="E130" s="257">
        <v>22595236.289999999</v>
      </c>
      <c r="F130" s="257">
        <v>14652968.470000001</v>
      </c>
      <c r="G130" s="257">
        <v>17529881.440000001</v>
      </c>
      <c r="H130" s="257">
        <v>18728895.280000001</v>
      </c>
      <c r="I130" s="257">
        <v>6512507.0700000003</v>
      </c>
      <c r="J130" s="257">
        <v>5000273.2699999996</v>
      </c>
      <c r="K130" s="258">
        <f t="shared" si="5"/>
        <v>127063511.48999999</v>
      </c>
    </row>
    <row r="131" spans="1:11" ht="14.25" customHeight="1" x14ac:dyDescent="0.35">
      <c r="A131" s="256" t="s">
        <v>5021</v>
      </c>
      <c r="B131" s="256" t="s">
        <v>5022</v>
      </c>
      <c r="C131" s="257">
        <v>0</v>
      </c>
      <c r="D131" s="257">
        <v>0</v>
      </c>
      <c r="E131" s="257">
        <v>0</v>
      </c>
      <c r="F131" s="257">
        <v>0</v>
      </c>
      <c r="G131" s="257">
        <v>0</v>
      </c>
      <c r="H131" s="257">
        <v>0</v>
      </c>
      <c r="I131" s="257">
        <v>0</v>
      </c>
      <c r="J131" s="257">
        <v>0</v>
      </c>
      <c r="K131" s="258">
        <f t="shared" si="5"/>
        <v>0</v>
      </c>
    </row>
    <row r="132" spans="1:11" ht="14.25" customHeight="1" x14ac:dyDescent="0.35">
      <c r="A132" s="256" t="s">
        <v>5024</v>
      </c>
      <c r="B132" s="256" t="s">
        <v>5025</v>
      </c>
      <c r="C132" s="257">
        <v>0</v>
      </c>
      <c r="D132" s="257">
        <v>0</v>
      </c>
      <c r="E132" s="257">
        <v>0</v>
      </c>
      <c r="F132" s="257">
        <v>0</v>
      </c>
      <c r="G132" s="257">
        <v>0</v>
      </c>
      <c r="H132" s="257">
        <v>0</v>
      </c>
      <c r="I132" s="257">
        <v>0</v>
      </c>
      <c r="J132" s="257">
        <v>0</v>
      </c>
      <c r="K132" s="258">
        <f t="shared" si="5"/>
        <v>0</v>
      </c>
    </row>
    <row r="133" spans="1:11" ht="14.25" customHeight="1" x14ac:dyDescent="0.35">
      <c r="A133" s="256" t="s">
        <v>5027</v>
      </c>
      <c r="B133" s="256" t="s">
        <v>5028</v>
      </c>
      <c r="C133" s="257">
        <v>0</v>
      </c>
      <c r="D133" s="257">
        <v>0</v>
      </c>
      <c r="E133" s="257">
        <v>0</v>
      </c>
      <c r="F133" s="257">
        <v>0</v>
      </c>
      <c r="G133" s="257">
        <v>1263888.8899999999</v>
      </c>
      <c r="H133" s="257">
        <v>12648611.619999999</v>
      </c>
      <c r="I133" s="257">
        <v>40658333.329999998</v>
      </c>
      <c r="J133" s="257">
        <v>31911111.109999999</v>
      </c>
      <c r="K133" s="258">
        <f t="shared" si="5"/>
        <v>86481944.949999988</v>
      </c>
    </row>
    <row r="134" spans="1:11" ht="14.25" customHeight="1" x14ac:dyDescent="0.35">
      <c r="A134" s="256" t="s">
        <v>5030</v>
      </c>
      <c r="B134" s="256" t="s">
        <v>5031</v>
      </c>
      <c r="C134" s="257">
        <v>0</v>
      </c>
      <c r="D134" s="257">
        <v>0</v>
      </c>
      <c r="E134" s="257">
        <v>0</v>
      </c>
      <c r="F134" s="257">
        <v>0</v>
      </c>
      <c r="G134" s="257">
        <v>0</v>
      </c>
      <c r="H134" s="257">
        <v>213602</v>
      </c>
      <c r="I134" s="257">
        <v>0</v>
      </c>
      <c r="J134" s="257">
        <v>0</v>
      </c>
      <c r="K134" s="258">
        <f t="shared" si="5"/>
        <v>213602</v>
      </c>
    </row>
    <row r="135" spans="1:11" ht="14.25" customHeight="1" x14ac:dyDescent="0.35">
      <c r="A135" s="256" t="s">
        <v>5033</v>
      </c>
      <c r="B135" s="256" t="s">
        <v>5034</v>
      </c>
      <c r="C135" s="257">
        <v>18197916.670000099</v>
      </c>
      <c r="D135" s="257">
        <v>0</v>
      </c>
      <c r="E135" s="257">
        <v>0</v>
      </c>
      <c r="F135" s="257">
        <v>0</v>
      </c>
      <c r="G135" s="257">
        <v>300000000</v>
      </c>
      <c r="H135" s="257">
        <v>0</v>
      </c>
      <c r="I135" s="257">
        <v>0</v>
      </c>
      <c r="J135" s="257">
        <v>0</v>
      </c>
      <c r="K135" s="258">
        <f t="shared" si="5"/>
        <v>318197916.67000008</v>
      </c>
    </row>
    <row r="136" spans="1:11" ht="14.25" customHeight="1" x14ac:dyDescent="0.35">
      <c r="A136" s="256" t="s">
        <v>5036</v>
      </c>
      <c r="B136" s="256" t="s">
        <v>5037</v>
      </c>
      <c r="C136" s="257">
        <v>0</v>
      </c>
      <c r="D136" s="257">
        <v>0</v>
      </c>
      <c r="E136" s="257">
        <v>0</v>
      </c>
      <c r="F136" s="257">
        <v>0</v>
      </c>
      <c r="G136" s="257">
        <v>0</v>
      </c>
      <c r="H136" s="257">
        <v>0</v>
      </c>
      <c r="I136" s="257">
        <v>0</v>
      </c>
      <c r="J136" s="257">
        <v>0</v>
      </c>
      <c r="K136" s="258">
        <f t="shared" si="5"/>
        <v>0</v>
      </c>
    </row>
    <row r="137" spans="1:11" ht="14.25" customHeight="1" x14ac:dyDescent="0.35">
      <c r="A137" s="256" t="s">
        <v>5039</v>
      </c>
      <c r="B137" s="256" t="s">
        <v>5016</v>
      </c>
      <c r="C137" s="257">
        <v>135135136</v>
      </c>
      <c r="D137" s="257">
        <v>1051643</v>
      </c>
      <c r="E137" s="257">
        <v>0</v>
      </c>
      <c r="F137" s="257">
        <v>21837943.329999998</v>
      </c>
      <c r="G137" s="257">
        <v>0</v>
      </c>
      <c r="H137" s="257">
        <v>0</v>
      </c>
      <c r="I137" s="257">
        <v>0</v>
      </c>
      <c r="J137" s="257">
        <v>0</v>
      </c>
      <c r="K137" s="258">
        <f t="shared" si="5"/>
        <v>158024722.32999998</v>
      </c>
    </row>
    <row r="138" spans="1:11" ht="14.25" customHeight="1" x14ac:dyDescent="0.35">
      <c r="A138" s="254"/>
      <c r="B138" s="255" t="s">
        <v>5174</v>
      </c>
      <c r="C138" s="254"/>
      <c r="D138" s="254"/>
      <c r="E138" s="254"/>
      <c r="F138" s="254"/>
      <c r="G138" s="254"/>
      <c r="H138" s="254"/>
      <c r="I138" s="254"/>
      <c r="J138" s="254"/>
      <c r="K138" s="254"/>
    </row>
    <row r="139" spans="1:11" ht="14.25" customHeight="1" x14ac:dyDescent="0.35">
      <c r="A139" s="254"/>
      <c r="B139" s="255" t="s">
        <v>5175</v>
      </c>
      <c r="C139" s="254"/>
      <c r="D139" s="254"/>
      <c r="E139" s="254"/>
      <c r="F139" s="254"/>
      <c r="G139" s="254"/>
      <c r="H139" s="254"/>
      <c r="I139" s="254"/>
      <c r="J139" s="254"/>
      <c r="K139" s="254"/>
    </row>
    <row r="140" spans="1:11" ht="14.25" customHeight="1" x14ac:dyDescent="0.35">
      <c r="A140" s="259"/>
      <c r="B140" s="255" t="s">
        <v>5041</v>
      </c>
      <c r="C140" s="260">
        <v>175133705.16999999</v>
      </c>
      <c r="D140" s="260">
        <v>21294740.170000002</v>
      </c>
      <c r="E140" s="260">
        <v>22595236.289999999</v>
      </c>
      <c r="F140" s="260">
        <v>36490911.799999997</v>
      </c>
      <c r="G140" s="260">
        <v>318793770.32999998</v>
      </c>
      <c r="H140" s="260">
        <v>31591108.899999999</v>
      </c>
      <c r="I140" s="260">
        <v>47170840.399999999</v>
      </c>
      <c r="J140" s="260">
        <v>36911384.380000003</v>
      </c>
      <c r="K140" s="260">
        <f>SUM(C140:J140)</f>
        <v>689981697.43999994</v>
      </c>
    </row>
    <row r="141" spans="1:11" ht="14.25" customHeight="1" x14ac:dyDescent="0.35">
      <c r="A141" s="254"/>
      <c r="B141" s="255" t="s">
        <v>5042</v>
      </c>
      <c r="C141" s="254"/>
      <c r="D141" s="254"/>
      <c r="E141" s="254"/>
      <c r="F141" s="254"/>
      <c r="G141" s="254"/>
      <c r="H141" s="254"/>
      <c r="I141" s="254"/>
      <c r="J141" s="254"/>
      <c r="K141" s="254"/>
    </row>
    <row r="142" spans="1:11" ht="14.25" customHeight="1" x14ac:dyDescent="0.35">
      <c r="A142" s="256" t="s">
        <v>5176</v>
      </c>
      <c r="B142" s="256" t="s">
        <v>5043</v>
      </c>
      <c r="C142" s="257">
        <v>0</v>
      </c>
      <c r="D142" s="257">
        <v>0</v>
      </c>
      <c r="E142" s="257">
        <v>0</v>
      </c>
      <c r="F142" s="257">
        <v>0</v>
      </c>
      <c r="G142" s="257">
        <v>0</v>
      </c>
      <c r="H142" s="257">
        <v>0</v>
      </c>
      <c r="I142" s="257">
        <v>0</v>
      </c>
      <c r="J142" s="257">
        <v>0</v>
      </c>
      <c r="K142" s="258">
        <f t="shared" ref="K142:K155" si="6">SUM(C142:J142)</f>
        <v>0</v>
      </c>
    </row>
    <row r="143" spans="1:11" ht="14.25" customHeight="1" x14ac:dyDescent="0.35">
      <c r="A143" s="256" t="s">
        <v>5044</v>
      </c>
      <c r="B143" s="256" t="s">
        <v>5177</v>
      </c>
      <c r="C143" s="257">
        <v>2184743.5499999998</v>
      </c>
      <c r="D143" s="257">
        <v>2200712.2400000002</v>
      </c>
      <c r="E143" s="257">
        <v>2891900.08</v>
      </c>
      <c r="F143" s="257">
        <v>22221828</v>
      </c>
      <c r="G143" s="257">
        <v>1595939.04</v>
      </c>
      <c r="H143" s="257">
        <v>1426600.63</v>
      </c>
      <c r="I143" s="257">
        <v>2437364.65</v>
      </c>
      <c r="J143" s="257">
        <v>1403891.72</v>
      </c>
      <c r="K143" s="258">
        <f t="shared" si="6"/>
        <v>36362979.909999996</v>
      </c>
    </row>
    <row r="144" spans="1:11" ht="14.25" customHeight="1" x14ac:dyDescent="0.35">
      <c r="A144" s="256" t="s">
        <v>5047</v>
      </c>
      <c r="B144" s="256" t="s">
        <v>5048</v>
      </c>
      <c r="C144" s="257">
        <v>0</v>
      </c>
      <c r="D144" s="257">
        <v>0</v>
      </c>
      <c r="E144" s="257">
        <v>0</v>
      </c>
      <c r="F144" s="257">
        <v>0</v>
      </c>
      <c r="G144" s="257">
        <v>0</v>
      </c>
      <c r="H144" s="257">
        <v>0</v>
      </c>
      <c r="I144" s="257">
        <v>0</v>
      </c>
      <c r="J144" s="257">
        <v>0</v>
      </c>
      <c r="K144" s="258">
        <f t="shared" si="6"/>
        <v>0</v>
      </c>
    </row>
    <row r="145" spans="1:11" ht="14.25" customHeight="1" x14ac:dyDescent="0.35">
      <c r="A145" s="256" t="s">
        <v>5050</v>
      </c>
      <c r="B145" s="256" t="s">
        <v>5051</v>
      </c>
      <c r="C145" s="257">
        <v>0</v>
      </c>
      <c r="D145" s="257">
        <v>0</v>
      </c>
      <c r="E145" s="257">
        <v>0</v>
      </c>
      <c r="F145" s="257">
        <v>0</v>
      </c>
      <c r="G145" s="257">
        <v>0</v>
      </c>
      <c r="H145" s="257">
        <v>0</v>
      </c>
      <c r="I145" s="257">
        <v>0</v>
      </c>
      <c r="J145" s="257">
        <v>0</v>
      </c>
      <c r="K145" s="258">
        <f t="shared" si="6"/>
        <v>0</v>
      </c>
    </row>
    <row r="146" spans="1:11" ht="14.25" customHeight="1" x14ac:dyDescent="0.35">
      <c r="A146" s="256" t="s">
        <v>5053</v>
      </c>
      <c r="B146" s="256" t="s">
        <v>5054</v>
      </c>
      <c r="C146" s="257">
        <v>0</v>
      </c>
      <c r="D146" s="257">
        <v>0</v>
      </c>
      <c r="E146" s="257">
        <v>0</v>
      </c>
      <c r="F146" s="257">
        <v>0</v>
      </c>
      <c r="G146" s="257">
        <v>0</v>
      </c>
      <c r="H146" s="257">
        <v>0</v>
      </c>
      <c r="I146" s="257">
        <v>0</v>
      </c>
      <c r="J146" s="257">
        <v>-36980</v>
      </c>
      <c r="K146" s="258">
        <f t="shared" si="6"/>
        <v>-36980</v>
      </c>
    </row>
    <row r="147" spans="1:11" ht="14.25" customHeight="1" x14ac:dyDescent="0.35">
      <c r="A147" s="256" t="s">
        <v>5056</v>
      </c>
      <c r="B147" s="256" t="s">
        <v>5057</v>
      </c>
      <c r="C147" s="257">
        <v>4223.53</v>
      </c>
      <c r="D147" s="257">
        <v>4077.62</v>
      </c>
      <c r="E147" s="257">
        <v>2004.79</v>
      </c>
      <c r="F147" s="257">
        <v>1091.79</v>
      </c>
      <c r="G147" s="257">
        <v>2296.1999999999998</v>
      </c>
      <c r="H147" s="257">
        <v>-7692.67</v>
      </c>
      <c r="I147" s="257">
        <v>-2271.42</v>
      </c>
      <c r="J147" s="257">
        <v>-4921.1000000000004</v>
      </c>
      <c r="K147" s="258">
        <f t="shared" si="6"/>
        <v>-1191.2600000000002</v>
      </c>
    </row>
    <row r="148" spans="1:11" ht="14.25" customHeight="1" x14ac:dyDescent="0.35">
      <c r="A148" s="256" t="s">
        <v>5059</v>
      </c>
      <c r="B148" s="256" t="s">
        <v>5060</v>
      </c>
      <c r="C148" s="257">
        <v>0</v>
      </c>
      <c r="D148" s="257">
        <v>0</v>
      </c>
      <c r="E148" s="257">
        <v>0</v>
      </c>
      <c r="F148" s="257">
        <v>0</v>
      </c>
      <c r="G148" s="257">
        <v>0</v>
      </c>
      <c r="H148" s="257">
        <v>0</v>
      </c>
      <c r="I148" s="257">
        <v>0</v>
      </c>
      <c r="J148" s="257">
        <v>0</v>
      </c>
      <c r="K148" s="258">
        <f t="shared" si="6"/>
        <v>0</v>
      </c>
    </row>
    <row r="149" spans="1:11" ht="14.25" customHeight="1" x14ac:dyDescent="0.35">
      <c r="A149" s="256" t="s">
        <v>5062</v>
      </c>
      <c r="B149" s="256" t="s">
        <v>5063</v>
      </c>
      <c r="C149" s="257">
        <v>122395000</v>
      </c>
      <c r="D149" s="257">
        <v>0</v>
      </c>
      <c r="E149" s="257">
        <v>0</v>
      </c>
      <c r="F149" s="257">
        <v>0</v>
      </c>
      <c r="G149" s="257">
        <v>0</v>
      </c>
      <c r="H149" s="257">
        <v>0</v>
      </c>
      <c r="I149" s="257">
        <v>0</v>
      </c>
      <c r="J149" s="257">
        <v>0</v>
      </c>
      <c r="K149" s="258">
        <f t="shared" si="6"/>
        <v>122395000</v>
      </c>
    </row>
    <row r="150" spans="1:11" ht="14.25" customHeight="1" x14ac:dyDescent="0.35">
      <c r="A150" s="256" t="s">
        <v>5065</v>
      </c>
      <c r="B150" s="256" t="s">
        <v>5066</v>
      </c>
      <c r="C150" s="257">
        <v>0</v>
      </c>
      <c r="D150" s="257">
        <v>0</v>
      </c>
      <c r="E150" s="257">
        <v>0</v>
      </c>
      <c r="F150" s="257">
        <v>0</v>
      </c>
      <c r="G150" s="257">
        <v>0</v>
      </c>
      <c r="H150" s="257">
        <v>0</v>
      </c>
      <c r="I150" s="257">
        <v>0</v>
      </c>
      <c r="J150" s="257">
        <v>0</v>
      </c>
      <c r="K150" s="258">
        <f t="shared" si="6"/>
        <v>0</v>
      </c>
    </row>
    <row r="151" spans="1:11" ht="14.25" customHeight="1" x14ac:dyDescent="0.35">
      <c r="A151" s="256" t="s">
        <v>5068</v>
      </c>
      <c r="B151" s="256" t="s">
        <v>5069</v>
      </c>
      <c r="C151" s="257">
        <v>0</v>
      </c>
      <c r="D151" s="257">
        <v>0</v>
      </c>
      <c r="E151" s="257">
        <v>0</v>
      </c>
      <c r="F151" s="257">
        <v>0</v>
      </c>
      <c r="G151" s="257">
        <v>0</v>
      </c>
      <c r="H151" s="257">
        <v>0</v>
      </c>
      <c r="I151" s="257">
        <v>0</v>
      </c>
      <c r="J151" s="257">
        <v>0</v>
      </c>
      <c r="K151" s="258">
        <f t="shared" si="6"/>
        <v>0</v>
      </c>
    </row>
    <row r="152" spans="1:11" ht="14.25" customHeight="1" x14ac:dyDescent="0.35">
      <c r="A152" s="256" t="s">
        <v>5071</v>
      </c>
      <c r="B152" s="256" t="s">
        <v>5072</v>
      </c>
      <c r="C152" s="257">
        <v>0</v>
      </c>
      <c r="D152" s="257">
        <v>0</v>
      </c>
      <c r="E152" s="257">
        <v>0</v>
      </c>
      <c r="F152" s="257">
        <v>0</v>
      </c>
      <c r="G152" s="257">
        <v>0</v>
      </c>
      <c r="H152" s="257">
        <v>0</v>
      </c>
      <c r="I152" s="257">
        <v>0</v>
      </c>
      <c r="J152" s="257">
        <v>0</v>
      </c>
      <c r="K152" s="258">
        <f t="shared" si="6"/>
        <v>0</v>
      </c>
    </row>
    <row r="153" spans="1:11" ht="14.25" customHeight="1" x14ac:dyDescent="0.35">
      <c r="A153" s="256" t="s">
        <v>5074</v>
      </c>
      <c r="B153" s="256" t="s">
        <v>5075</v>
      </c>
      <c r="C153" s="257">
        <v>0</v>
      </c>
      <c r="D153" s="257">
        <v>0</v>
      </c>
      <c r="E153" s="257">
        <v>0</v>
      </c>
      <c r="F153" s="257">
        <v>0</v>
      </c>
      <c r="G153" s="257">
        <v>0</v>
      </c>
      <c r="H153" s="257">
        <v>0</v>
      </c>
      <c r="I153" s="257">
        <v>0</v>
      </c>
      <c r="J153" s="257">
        <v>0</v>
      </c>
      <c r="K153" s="258">
        <f t="shared" si="6"/>
        <v>0</v>
      </c>
    </row>
    <row r="154" spans="1:11" ht="14.25" customHeight="1" x14ac:dyDescent="0.35">
      <c r="A154" s="256" t="s">
        <v>5077</v>
      </c>
      <c r="B154" s="256" t="s">
        <v>5078</v>
      </c>
      <c r="C154" s="257">
        <v>39.869999999999997</v>
      </c>
      <c r="D154" s="257">
        <v>67.03</v>
      </c>
      <c r="E154" s="257">
        <v>50.57</v>
      </c>
      <c r="F154" s="257">
        <v>166.75</v>
      </c>
      <c r="G154" s="257">
        <v>5.2100000000000399</v>
      </c>
      <c r="H154" s="257">
        <v>19.39</v>
      </c>
      <c r="I154" s="257">
        <v>247.84</v>
      </c>
      <c r="J154" s="257">
        <v>30.89</v>
      </c>
      <c r="K154" s="258">
        <f t="shared" si="6"/>
        <v>627.55000000000007</v>
      </c>
    </row>
    <row r="155" spans="1:11" ht="14.25" customHeight="1" x14ac:dyDescent="0.35">
      <c r="A155" s="256" t="s">
        <v>5080</v>
      </c>
      <c r="B155" s="256" t="s">
        <v>5178</v>
      </c>
      <c r="C155" s="257">
        <v>-35306.68</v>
      </c>
      <c r="D155" s="257">
        <v>-1758558.74</v>
      </c>
      <c r="E155" s="257">
        <v>-2061842.89</v>
      </c>
      <c r="F155" s="257">
        <v>-3447787.72</v>
      </c>
      <c r="G155" s="257">
        <v>-4623323.5</v>
      </c>
      <c r="H155" s="257">
        <v>-603155.9</v>
      </c>
      <c r="I155" s="257">
        <v>-2562792.4</v>
      </c>
      <c r="J155" s="257">
        <v>3776732.5</v>
      </c>
      <c r="K155" s="258">
        <f t="shared" si="6"/>
        <v>-11316035.33</v>
      </c>
    </row>
    <row r="156" spans="1:11" ht="14.25" customHeight="1" x14ac:dyDescent="0.35">
      <c r="A156" s="254"/>
      <c r="B156" s="255" t="s">
        <v>5179</v>
      </c>
      <c r="C156" s="254"/>
      <c r="D156" s="254"/>
      <c r="E156" s="254"/>
      <c r="F156" s="254"/>
      <c r="G156" s="254"/>
      <c r="H156" s="254"/>
      <c r="I156" s="254"/>
      <c r="J156" s="254"/>
      <c r="K156" s="254"/>
    </row>
    <row r="157" spans="1:11" ht="14.25" customHeight="1" x14ac:dyDescent="0.35">
      <c r="A157" s="259"/>
      <c r="B157" s="255" t="s">
        <v>5085</v>
      </c>
      <c r="C157" s="260">
        <v>124548700.27</v>
      </c>
      <c r="D157" s="260">
        <v>446298.15</v>
      </c>
      <c r="E157" s="260">
        <v>832112.55</v>
      </c>
      <c r="F157" s="260">
        <v>18775298.82</v>
      </c>
      <c r="G157" s="260">
        <v>-3025083.05</v>
      </c>
      <c r="H157" s="260">
        <v>815771.45</v>
      </c>
      <c r="I157" s="260">
        <v>-127451.33</v>
      </c>
      <c r="J157" s="260">
        <v>5138754.01</v>
      </c>
      <c r="K157" s="260">
        <f t="shared" ref="K157:K179" si="7">SUM(C157:J157)</f>
        <v>147404400.86999995</v>
      </c>
    </row>
    <row r="158" spans="1:11" ht="14.25" customHeight="1" x14ac:dyDescent="0.35">
      <c r="A158" s="259"/>
      <c r="B158" s="255" t="s">
        <v>5086</v>
      </c>
      <c r="C158" s="260">
        <v>50585004.900000103</v>
      </c>
      <c r="D158" s="260">
        <v>20848442.02</v>
      </c>
      <c r="E158" s="260">
        <v>21763123.739999998</v>
      </c>
      <c r="F158" s="260">
        <v>17715612.98</v>
      </c>
      <c r="G158" s="260">
        <v>321818853.38</v>
      </c>
      <c r="H158" s="260">
        <v>30775337.449999999</v>
      </c>
      <c r="I158" s="260">
        <v>47298291.729999997</v>
      </c>
      <c r="J158" s="260">
        <v>31772630.370000001</v>
      </c>
      <c r="K158" s="260">
        <f t="shared" si="7"/>
        <v>542577296.57000005</v>
      </c>
    </row>
    <row r="159" spans="1:11" ht="14.25" customHeight="1" x14ac:dyDescent="0.35">
      <c r="A159" s="259"/>
      <c r="B159" s="255" t="s">
        <v>104</v>
      </c>
      <c r="C159" s="260">
        <v>1798423057.71</v>
      </c>
      <c r="D159" s="260">
        <v>1138014369.05</v>
      </c>
      <c r="E159" s="260">
        <v>-7631014.9900076501</v>
      </c>
      <c r="F159" s="260">
        <v>368366971.82000399</v>
      </c>
      <c r="G159" s="260">
        <v>580466301.53000295</v>
      </c>
      <c r="H159" s="260">
        <v>534297703.75999898</v>
      </c>
      <c r="I159" s="260">
        <v>651537783.71000004</v>
      </c>
      <c r="J159" s="260">
        <v>1172970787.1199999</v>
      </c>
      <c r="K159" s="260">
        <f t="shared" si="7"/>
        <v>6236445959.7099981</v>
      </c>
    </row>
    <row r="160" spans="1:11" ht="14.25" customHeight="1" x14ac:dyDescent="0.35">
      <c r="A160" s="256" t="s">
        <v>5087</v>
      </c>
      <c r="B160" s="256" t="s">
        <v>5088</v>
      </c>
      <c r="C160" s="257">
        <v>416101</v>
      </c>
      <c r="D160" s="257">
        <v>0</v>
      </c>
      <c r="E160" s="257">
        <v>0</v>
      </c>
      <c r="F160" s="257">
        <v>0</v>
      </c>
      <c r="G160" s="257">
        <v>51750</v>
      </c>
      <c r="H160" s="257">
        <v>20760</v>
      </c>
      <c r="I160" s="257">
        <v>2082251</v>
      </c>
      <c r="J160" s="257">
        <v>0</v>
      </c>
      <c r="K160" s="258">
        <f t="shared" si="7"/>
        <v>2570862</v>
      </c>
    </row>
    <row r="161" spans="1:11" ht="14.25" customHeight="1" x14ac:dyDescent="0.35">
      <c r="A161" s="256" t="s">
        <v>5090</v>
      </c>
      <c r="B161" s="256" t="s">
        <v>5091</v>
      </c>
      <c r="C161" s="257">
        <v>0</v>
      </c>
      <c r="D161" s="257">
        <v>0</v>
      </c>
      <c r="E161" s="257">
        <v>0</v>
      </c>
      <c r="F161" s="257">
        <v>0</v>
      </c>
      <c r="G161" s="257">
        <v>0</v>
      </c>
      <c r="H161" s="257">
        <v>0</v>
      </c>
      <c r="I161" s="257">
        <v>0</v>
      </c>
      <c r="J161" s="257">
        <v>0</v>
      </c>
      <c r="K161" s="258">
        <f t="shared" si="7"/>
        <v>0</v>
      </c>
    </row>
    <row r="162" spans="1:11" ht="14.25" customHeight="1" x14ac:dyDescent="0.35">
      <c r="A162" s="256" t="s">
        <v>5180</v>
      </c>
      <c r="B162" s="256" t="s">
        <v>5093</v>
      </c>
      <c r="C162" s="257"/>
      <c r="D162" s="257"/>
      <c r="E162" s="257"/>
      <c r="F162" s="257"/>
      <c r="G162" s="257"/>
      <c r="H162" s="257"/>
      <c r="I162" s="257"/>
      <c r="J162" s="257"/>
      <c r="K162" s="258">
        <f t="shared" si="7"/>
        <v>0</v>
      </c>
    </row>
    <row r="163" spans="1:11" ht="14.25" customHeight="1" x14ac:dyDescent="0.35">
      <c r="A163" s="256" t="s">
        <v>378</v>
      </c>
      <c r="B163" s="256" t="s">
        <v>5094</v>
      </c>
      <c r="C163" s="257">
        <v>61730368.5</v>
      </c>
      <c r="D163" s="257">
        <v>61730368.5</v>
      </c>
      <c r="E163" s="257">
        <v>61730368.5</v>
      </c>
      <c r="F163" s="257">
        <v>61730368.5</v>
      </c>
      <c r="G163" s="257">
        <v>61730368.5</v>
      </c>
      <c r="H163" s="257">
        <v>61730368.5</v>
      </c>
      <c r="I163" s="257">
        <v>61730368.5</v>
      </c>
      <c r="J163" s="257">
        <v>62104535.170000002</v>
      </c>
      <c r="K163" s="258">
        <f t="shared" si="7"/>
        <v>494217114.67000002</v>
      </c>
    </row>
    <row r="164" spans="1:11" ht="14.25" customHeight="1" x14ac:dyDescent="0.35">
      <c r="A164" s="256" t="s">
        <v>5096</v>
      </c>
      <c r="B164" s="256" t="s">
        <v>5097</v>
      </c>
      <c r="C164" s="257">
        <v>0</v>
      </c>
      <c r="D164" s="257">
        <v>0</v>
      </c>
      <c r="E164" s="257">
        <v>0</v>
      </c>
      <c r="F164" s="257">
        <v>0</v>
      </c>
      <c r="G164" s="257">
        <v>0</v>
      </c>
      <c r="H164" s="257">
        <v>0</v>
      </c>
      <c r="I164" s="257">
        <v>0</v>
      </c>
      <c r="J164" s="257">
        <v>0</v>
      </c>
      <c r="K164" s="258">
        <f t="shared" si="7"/>
        <v>0</v>
      </c>
    </row>
    <row r="165" spans="1:11" ht="14.25" customHeight="1" x14ac:dyDescent="0.35">
      <c r="A165" s="256" t="s">
        <v>482</v>
      </c>
      <c r="B165" s="256" t="s">
        <v>5098</v>
      </c>
      <c r="C165" s="257">
        <v>24154522.629999999</v>
      </c>
      <c r="D165" s="257">
        <v>24154522.629999999</v>
      </c>
      <c r="E165" s="257">
        <v>24154522.629999999</v>
      </c>
      <c r="F165" s="257">
        <v>24154522.629999999</v>
      </c>
      <c r="G165" s="257">
        <v>30404522.629999999</v>
      </c>
      <c r="H165" s="257">
        <v>30404522.629999999</v>
      </c>
      <c r="I165" s="257">
        <v>30404522.629999999</v>
      </c>
      <c r="J165" s="257">
        <v>30404522.629999999</v>
      </c>
      <c r="K165" s="258">
        <f t="shared" si="7"/>
        <v>218236181.03999999</v>
      </c>
    </row>
    <row r="166" spans="1:11" ht="14.25" customHeight="1" x14ac:dyDescent="0.35">
      <c r="A166" s="256" t="s">
        <v>949</v>
      </c>
      <c r="B166" s="256" t="s">
        <v>5099</v>
      </c>
      <c r="C166" s="257">
        <v>8593637.4600000009</v>
      </c>
      <c r="D166" s="257">
        <v>8448444.3300000001</v>
      </c>
      <c r="E166" s="257">
        <v>8594488.1699999999</v>
      </c>
      <c r="F166" s="257">
        <v>8619865.25</v>
      </c>
      <c r="G166" s="257">
        <v>8649618.25</v>
      </c>
      <c r="H166" s="257">
        <v>8711968.0999999996</v>
      </c>
      <c r="I166" s="257">
        <v>9380380.2400000002</v>
      </c>
      <c r="J166" s="257">
        <v>9960897.6999999993</v>
      </c>
      <c r="K166" s="258">
        <f t="shared" si="7"/>
        <v>70959299.5</v>
      </c>
    </row>
    <row r="167" spans="1:11" ht="14.25" customHeight="1" x14ac:dyDescent="0.35">
      <c r="A167" s="256" t="s">
        <v>874</v>
      </c>
      <c r="B167" s="256" t="s">
        <v>5100</v>
      </c>
      <c r="C167" s="257">
        <v>2772395.83</v>
      </c>
      <c r="D167" s="257">
        <v>2772395.83</v>
      </c>
      <c r="E167" s="257">
        <v>197916.67</v>
      </c>
      <c r="F167" s="257">
        <v>145833.34</v>
      </c>
      <c r="G167" s="257">
        <v>145833.34</v>
      </c>
      <c r="H167" s="257">
        <v>145833.34</v>
      </c>
      <c r="I167" s="257">
        <v>145833.34</v>
      </c>
      <c r="J167" s="257">
        <v>145833.34</v>
      </c>
      <c r="K167" s="258">
        <f t="shared" si="7"/>
        <v>6471875.0299999993</v>
      </c>
    </row>
    <row r="168" spans="1:11" ht="14.25" customHeight="1" x14ac:dyDescent="0.35">
      <c r="A168" s="256" t="s">
        <v>1322</v>
      </c>
      <c r="B168" s="256" t="s">
        <v>5103</v>
      </c>
      <c r="C168" s="257">
        <v>0</v>
      </c>
      <c r="D168" s="257">
        <v>0</v>
      </c>
      <c r="E168" s="257">
        <v>0</v>
      </c>
      <c r="F168" s="257">
        <v>0</v>
      </c>
      <c r="G168" s="257">
        <v>0</v>
      </c>
      <c r="H168" s="257">
        <v>0</v>
      </c>
      <c r="I168" s="257">
        <v>0</v>
      </c>
      <c r="J168" s="257">
        <v>0</v>
      </c>
      <c r="K168" s="258">
        <f t="shared" si="7"/>
        <v>0</v>
      </c>
    </row>
    <row r="169" spans="1:11" ht="14.25" customHeight="1" x14ac:dyDescent="0.35">
      <c r="A169" s="256" t="s">
        <v>590</v>
      </c>
      <c r="B169" s="256" t="s">
        <v>5104</v>
      </c>
      <c r="C169" s="257">
        <v>0</v>
      </c>
      <c r="D169" s="257">
        <v>0</v>
      </c>
      <c r="E169" s="257">
        <v>0</v>
      </c>
      <c r="F169" s="257">
        <v>0</v>
      </c>
      <c r="G169" s="257">
        <v>0</v>
      </c>
      <c r="H169" s="257">
        <v>0</v>
      </c>
      <c r="I169" s="257">
        <v>0</v>
      </c>
      <c r="J169" s="257">
        <v>0</v>
      </c>
      <c r="K169" s="258">
        <f t="shared" si="7"/>
        <v>0</v>
      </c>
    </row>
    <row r="170" spans="1:11" ht="14.25" customHeight="1" x14ac:dyDescent="0.35">
      <c r="A170" s="256" t="s">
        <v>5108</v>
      </c>
      <c r="B170" s="256" t="s">
        <v>5109</v>
      </c>
      <c r="C170" s="257">
        <v>0</v>
      </c>
      <c r="D170" s="257">
        <v>0</v>
      </c>
      <c r="E170" s="257">
        <v>0</v>
      </c>
      <c r="F170" s="257">
        <v>0</v>
      </c>
      <c r="G170" s="257">
        <v>0</v>
      </c>
      <c r="H170" s="257">
        <v>0</v>
      </c>
      <c r="I170" s="257">
        <v>0</v>
      </c>
      <c r="J170" s="257">
        <v>0</v>
      </c>
      <c r="K170" s="258">
        <f t="shared" si="7"/>
        <v>0</v>
      </c>
    </row>
    <row r="171" spans="1:11" ht="14.25" customHeight="1" x14ac:dyDescent="0.35">
      <c r="A171" s="259"/>
      <c r="B171" s="255" t="s">
        <v>5181</v>
      </c>
      <c r="C171" s="260">
        <v>1700756032.29</v>
      </c>
      <c r="D171" s="260">
        <v>1040908637.76</v>
      </c>
      <c r="E171" s="260">
        <v>-102308310.960008</v>
      </c>
      <c r="F171" s="260">
        <v>273716382.10000402</v>
      </c>
      <c r="G171" s="260">
        <v>479484208.81000298</v>
      </c>
      <c r="H171" s="260">
        <v>433284251.18999898</v>
      </c>
      <c r="I171" s="260">
        <v>547794428</v>
      </c>
      <c r="J171" s="260">
        <v>1070354998.28</v>
      </c>
      <c r="K171" s="260">
        <f t="shared" si="7"/>
        <v>5443990627.4699984</v>
      </c>
    </row>
    <row r="172" spans="1:11" ht="14.25" customHeight="1" x14ac:dyDescent="0.35">
      <c r="A172" s="256" t="s">
        <v>5182</v>
      </c>
      <c r="B172" s="256" t="s">
        <v>5111</v>
      </c>
      <c r="C172" s="257">
        <v>0</v>
      </c>
      <c r="D172" s="257">
        <v>0</v>
      </c>
      <c r="E172" s="257">
        <v>0</v>
      </c>
      <c r="F172" s="257">
        <v>0</v>
      </c>
      <c r="G172" s="257">
        <v>0</v>
      </c>
      <c r="H172" s="257">
        <v>0</v>
      </c>
      <c r="I172" s="257">
        <v>0</v>
      </c>
      <c r="J172" s="257">
        <v>0</v>
      </c>
      <c r="K172" s="258">
        <f t="shared" si="7"/>
        <v>0</v>
      </c>
    </row>
    <row r="173" spans="1:11" ht="14.25" customHeight="1" x14ac:dyDescent="0.35">
      <c r="A173" s="256" t="s">
        <v>5112</v>
      </c>
      <c r="B173" s="256" t="s">
        <v>5111</v>
      </c>
      <c r="C173" s="257">
        <v>0</v>
      </c>
      <c r="D173" s="257">
        <v>0</v>
      </c>
      <c r="E173" s="257">
        <v>0</v>
      </c>
      <c r="F173" s="257">
        <v>0</v>
      </c>
      <c r="G173" s="257">
        <v>0</v>
      </c>
      <c r="H173" s="257">
        <v>0</v>
      </c>
      <c r="I173" s="257">
        <v>0</v>
      </c>
      <c r="J173" s="257">
        <v>0</v>
      </c>
      <c r="K173" s="258">
        <f t="shared" si="7"/>
        <v>0</v>
      </c>
    </row>
    <row r="174" spans="1:11" ht="14.25" customHeight="1" x14ac:dyDescent="0.35">
      <c r="A174" s="256" t="s">
        <v>5183</v>
      </c>
      <c r="B174" s="256" t="s">
        <v>5114</v>
      </c>
      <c r="C174" s="257">
        <v>0</v>
      </c>
      <c r="D174" s="257">
        <v>0</v>
      </c>
      <c r="E174" s="257">
        <v>0</v>
      </c>
      <c r="F174" s="257">
        <v>0</v>
      </c>
      <c r="G174" s="257">
        <v>0</v>
      </c>
      <c r="H174" s="257">
        <v>0</v>
      </c>
      <c r="I174" s="257">
        <v>0</v>
      </c>
      <c r="J174" s="257">
        <v>0</v>
      </c>
      <c r="K174" s="258">
        <f t="shared" si="7"/>
        <v>0</v>
      </c>
    </row>
    <row r="175" spans="1:11" ht="14.25" customHeight="1" x14ac:dyDescent="0.35">
      <c r="A175" s="256" t="s">
        <v>5115</v>
      </c>
      <c r="B175" s="256" t="s">
        <v>5114</v>
      </c>
      <c r="C175" s="257">
        <v>0</v>
      </c>
      <c r="D175" s="257">
        <v>0</v>
      </c>
      <c r="E175" s="257">
        <v>0</v>
      </c>
      <c r="F175" s="257">
        <v>0</v>
      </c>
      <c r="G175" s="257">
        <v>0</v>
      </c>
      <c r="H175" s="257">
        <v>0</v>
      </c>
      <c r="I175" s="257">
        <v>0</v>
      </c>
      <c r="J175" s="257">
        <v>0</v>
      </c>
      <c r="K175" s="258">
        <f t="shared" si="7"/>
        <v>0</v>
      </c>
    </row>
    <row r="176" spans="1:11" ht="14.25" customHeight="1" x14ac:dyDescent="0.35">
      <c r="A176" s="259"/>
      <c r="B176" s="255" t="s">
        <v>5184</v>
      </c>
      <c r="C176" s="260">
        <v>1700756032.29</v>
      </c>
      <c r="D176" s="260">
        <v>1040908637.76</v>
      </c>
      <c r="E176" s="260">
        <v>-102308310.960008</v>
      </c>
      <c r="F176" s="260">
        <v>273716382.10000402</v>
      </c>
      <c r="G176" s="260">
        <v>479484208.81000298</v>
      </c>
      <c r="H176" s="260">
        <v>433284251.18999898</v>
      </c>
      <c r="I176" s="260">
        <v>547794428</v>
      </c>
      <c r="J176" s="260">
        <v>1070354998.28</v>
      </c>
      <c r="K176" s="260">
        <f t="shared" si="7"/>
        <v>5443990627.4699984</v>
      </c>
    </row>
    <row r="177" spans="1:11" ht="14.25" customHeight="1" x14ac:dyDescent="0.35">
      <c r="A177" s="256" t="s">
        <v>5185</v>
      </c>
      <c r="B177" s="256" t="s">
        <v>5118</v>
      </c>
      <c r="C177" s="257">
        <v>0</v>
      </c>
      <c r="D177" s="257">
        <v>0</v>
      </c>
      <c r="E177" s="257">
        <v>0</v>
      </c>
      <c r="F177" s="257">
        <v>0</v>
      </c>
      <c r="G177" s="257">
        <v>0</v>
      </c>
      <c r="H177" s="257">
        <v>0</v>
      </c>
      <c r="I177" s="257">
        <v>0</v>
      </c>
      <c r="J177" s="257">
        <v>0</v>
      </c>
      <c r="K177" s="258">
        <f t="shared" si="7"/>
        <v>0</v>
      </c>
    </row>
    <row r="178" spans="1:11" ht="14.25" customHeight="1" x14ac:dyDescent="0.35">
      <c r="A178" s="256" t="s">
        <v>5119</v>
      </c>
      <c r="B178" s="256" t="s">
        <v>5118</v>
      </c>
      <c r="C178" s="257">
        <v>0</v>
      </c>
      <c r="D178" s="257">
        <v>0</v>
      </c>
      <c r="E178" s="257">
        <v>732000000</v>
      </c>
      <c r="F178" s="257">
        <v>0</v>
      </c>
      <c r="G178" s="257">
        <v>0</v>
      </c>
      <c r="H178" s="257">
        <v>0</v>
      </c>
      <c r="I178" s="257">
        <v>0</v>
      </c>
      <c r="J178" s="257">
        <v>0</v>
      </c>
      <c r="K178" s="258">
        <f t="shared" si="7"/>
        <v>732000000</v>
      </c>
    </row>
    <row r="179" spans="1:11" ht="14.25" customHeight="1" x14ac:dyDescent="0.35">
      <c r="A179" s="256"/>
      <c r="B179" s="256" t="s">
        <v>5186</v>
      </c>
      <c r="C179" s="257">
        <v>1700756032.29</v>
      </c>
      <c r="D179" s="257">
        <v>1040908637.76</v>
      </c>
      <c r="E179" s="257">
        <v>-834308310.96000803</v>
      </c>
      <c r="F179" s="257">
        <v>273716382.10000402</v>
      </c>
      <c r="G179" s="257">
        <v>479484208.81000298</v>
      </c>
      <c r="H179" s="257">
        <v>433284251.18999898</v>
      </c>
      <c r="I179" s="257">
        <v>547794428</v>
      </c>
      <c r="J179" s="257">
        <v>1070354998.28</v>
      </c>
      <c r="K179" s="258">
        <f t="shared" si="7"/>
        <v>4711990627.4699984</v>
      </c>
    </row>
    <row r="180" spans="1:11" ht="14.25" customHeight="1" x14ac:dyDescent="0.35">
      <c r="A180" s="254"/>
      <c r="B180" s="255" t="s">
        <v>5187</v>
      </c>
      <c r="C180" s="254"/>
      <c r="D180" s="254"/>
      <c r="E180" s="254"/>
      <c r="F180" s="254"/>
      <c r="G180" s="254"/>
      <c r="H180" s="254"/>
      <c r="I180" s="254"/>
      <c r="J180" s="254"/>
      <c r="K180" s="254"/>
    </row>
    <row r="181" spans="1:11" ht="14.25" customHeight="1" x14ac:dyDescent="0.35">
      <c r="A181" s="256"/>
      <c r="B181" s="256" t="s">
        <v>5188</v>
      </c>
      <c r="C181" s="257">
        <v>1700756032.29</v>
      </c>
      <c r="D181" s="257">
        <v>1040908637.76</v>
      </c>
      <c r="E181" s="257">
        <v>-834308310.96000803</v>
      </c>
      <c r="F181" s="257">
        <v>273716382.10000402</v>
      </c>
      <c r="G181" s="257">
        <v>479484208.81000298</v>
      </c>
      <c r="H181" s="257">
        <v>433284251.18999898</v>
      </c>
      <c r="I181" s="257">
        <v>547794428</v>
      </c>
      <c r="J181" s="257">
        <v>1070354998.28</v>
      </c>
      <c r="K181" s="258">
        <f>SUM(C181:J181)</f>
        <v>4711990627.4699984</v>
      </c>
    </row>
    <row r="183" spans="1:11" ht="14.25" customHeight="1" x14ac:dyDescent="0.35">
      <c r="A183" s="261"/>
      <c r="B183" s="262" t="s">
        <v>5189</v>
      </c>
      <c r="C183" s="263">
        <f t="shared" ref="C183:K183" si="8">IFERROR(C69/C12,"")</f>
        <v>0.28841238347249121</v>
      </c>
      <c r="D183" s="263">
        <f t="shared" si="8"/>
        <v>0.23876693343426944</v>
      </c>
      <c r="E183" s="263">
        <f t="shared" si="8"/>
        <v>0.19628208959007584</v>
      </c>
      <c r="F183" s="263">
        <f t="shared" si="8"/>
        <v>0.14213018701656538</v>
      </c>
      <c r="G183" s="263">
        <f t="shared" si="8"/>
        <v>0.14023102919143948</v>
      </c>
      <c r="H183" s="263">
        <f t="shared" si="8"/>
        <v>0.13779794374591703</v>
      </c>
      <c r="I183" s="263">
        <f t="shared" si="8"/>
        <v>0.14777280756641159</v>
      </c>
      <c r="J183" s="263">
        <f t="shared" si="8"/>
        <v>0.19921930642985977</v>
      </c>
      <c r="K183" s="263">
        <f t="shared" si="8"/>
        <v>0.18931167202988636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G261"/>
  <sheetViews>
    <sheetView zoomScaleNormal="100" workbookViewId="0"/>
  </sheetViews>
  <sheetFormatPr defaultColWidth="8.6328125" defaultRowHeight="14.5" x14ac:dyDescent="0.35"/>
  <cols>
    <col min="1" max="1" width="2" customWidth="1"/>
    <col min="2" max="2" width="62" customWidth="1"/>
    <col min="3" max="3" width="14" customWidth="1"/>
    <col min="4" max="4" width="18" customWidth="1"/>
    <col min="5" max="5" width="15" customWidth="1"/>
    <col min="6" max="6" width="16" customWidth="1"/>
    <col min="7" max="7" width="18" customWidth="1"/>
    <col min="8" max="16" width="15" customWidth="1"/>
    <col min="17" max="17" width="15.6328125" customWidth="1"/>
    <col min="18" max="26" width="15" customWidth="1"/>
    <col min="27" max="29" width="11" customWidth="1"/>
  </cols>
  <sheetData>
    <row r="1" spans="2:33" ht="15" customHeight="1" x14ac:dyDescent="0.35">
      <c r="B1" s="1" t="s">
        <v>324</v>
      </c>
    </row>
    <row r="2" spans="2:33" ht="15" customHeight="1" x14ac:dyDescent="0.35">
      <c r="B2" s="2"/>
    </row>
    <row r="3" spans="2:33" ht="15" customHeight="1" x14ac:dyDescent="0.35">
      <c r="B3" s="2"/>
    </row>
    <row r="5" spans="2:33" ht="15" customHeight="1" x14ac:dyDescent="0.35">
      <c r="B5" s="5" t="s">
        <v>5190</v>
      </c>
      <c r="C5" s="264">
        <v>45658</v>
      </c>
      <c r="D5" s="264">
        <v>45689</v>
      </c>
      <c r="E5" s="264">
        <v>45717</v>
      </c>
      <c r="F5" s="264">
        <v>45748</v>
      </c>
      <c r="G5" s="264">
        <v>45778</v>
      </c>
      <c r="H5" s="264">
        <v>45809</v>
      </c>
      <c r="I5" s="264">
        <v>45839</v>
      </c>
      <c r="J5" s="264">
        <v>45870</v>
      </c>
      <c r="K5" s="264">
        <v>46023</v>
      </c>
      <c r="L5" s="264">
        <v>46054</v>
      </c>
      <c r="M5" s="264">
        <v>46082</v>
      </c>
      <c r="N5" s="264">
        <v>46113</v>
      </c>
      <c r="O5" s="264">
        <v>46143</v>
      </c>
      <c r="P5" s="264">
        <v>46174</v>
      </c>
      <c r="Q5" s="264">
        <v>46204</v>
      </c>
      <c r="R5" s="264">
        <v>46235</v>
      </c>
      <c r="T5" s="265" t="s">
        <v>5191</v>
      </c>
      <c r="U5" s="265" t="s">
        <v>5192</v>
      </c>
      <c r="V5" s="265" t="s">
        <v>5193</v>
      </c>
      <c r="W5" s="265" t="s">
        <v>5194</v>
      </c>
      <c r="X5" s="265" t="s">
        <v>5195</v>
      </c>
      <c r="Y5" s="265" t="s">
        <v>5196</v>
      </c>
      <c r="Z5" s="265" t="s">
        <v>5197</v>
      </c>
      <c r="AA5" s="265" t="s">
        <v>5198</v>
      </c>
      <c r="AB5" s="265" t="s">
        <v>5199</v>
      </c>
      <c r="AC5" s="265" t="s">
        <v>5200</v>
      </c>
    </row>
    <row r="6" spans="2:33" ht="15" customHeight="1" x14ac:dyDescent="0.35">
      <c r="B6" s="4" t="s">
        <v>5201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 spans="2:33" ht="15" customHeight="1" x14ac:dyDescent="0.35">
      <c r="B7" s="7" t="s">
        <v>5202</v>
      </c>
      <c r="C7" s="266">
        <v>250891</v>
      </c>
      <c r="D7" s="266">
        <v>294111.5</v>
      </c>
      <c r="E7" s="266">
        <v>251853.6</v>
      </c>
      <c r="F7" s="266">
        <v>281347.5</v>
      </c>
      <c r="G7" s="266">
        <v>305276.5</v>
      </c>
      <c r="H7" s="266">
        <v>273114</v>
      </c>
      <c r="I7" s="266">
        <v>286025.5</v>
      </c>
      <c r="J7" s="266">
        <v>349054</v>
      </c>
      <c r="K7" s="266">
        <v>350705.13</v>
      </c>
      <c r="L7" s="266">
        <v>338276</v>
      </c>
      <c r="M7" s="266">
        <v>248105.60000000001</v>
      </c>
      <c r="N7" s="266">
        <v>248112.5</v>
      </c>
      <c r="O7" s="266">
        <v>275771.5</v>
      </c>
      <c r="P7" s="266">
        <v>281005.09999999998</v>
      </c>
      <c r="Q7" s="266">
        <v>293819.5</v>
      </c>
      <c r="R7" s="266">
        <v>340827.5</v>
      </c>
      <c r="T7" s="147">
        <f t="shared" ref="T7:T33" si="0">AVERAGE(C7:R7)</f>
        <v>291768.52687499998</v>
      </c>
      <c r="U7" s="147">
        <f t="shared" ref="U7:U33" si="1">AVERAGE(C7:J7)</f>
        <v>286459.2</v>
      </c>
      <c r="V7" s="147">
        <f t="shared" ref="V7:V33" si="2">AVERAGE(K7:R7)</f>
        <v>297077.85375000001</v>
      </c>
      <c r="W7" s="147">
        <f t="shared" ref="W7:W33" si="3">MIN(C7:R7)</f>
        <v>248105.60000000001</v>
      </c>
      <c r="X7" s="267">
        <f t="shared" ref="X7:X33" si="4">INDEX($C$5:$R$5,MATCH(MIN(C7:R7),C7:R7,0))</f>
        <v>46082</v>
      </c>
      <c r="Y7" s="147">
        <f t="shared" ref="Y7:Y33" si="5">MAX(C7:R7)</f>
        <v>350705.13</v>
      </c>
      <c r="Z7" s="267">
        <f t="shared" ref="Z7:Z33" si="6">INDEX($C$5:$R$5,MATCH(MAX(C7:R7),C7:R7,0))</f>
        <v>46023</v>
      </c>
      <c r="AA7" s="147">
        <f t="shared" ref="AA7:AA33" si="7">SMALL(C7:R7,ROUND(COUNT(C7:R7)/4,0))</f>
        <v>251853.6</v>
      </c>
      <c r="AB7" s="147">
        <f t="shared" ref="AB7:AB33" si="8">LARGE(C7:R7,ROUND(COUNT(C7:R7)/4,0))</f>
        <v>338276</v>
      </c>
      <c r="AC7" s="268" t="s">
        <v>3900</v>
      </c>
    </row>
    <row r="8" spans="2:33" ht="15" customHeight="1" x14ac:dyDescent="0.35">
      <c r="B8" s="7" t="s">
        <v>5203</v>
      </c>
      <c r="C8" s="266">
        <v>229009</v>
      </c>
      <c r="D8" s="266">
        <v>276515.5</v>
      </c>
      <c r="E8" s="266">
        <v>233384.6</v>
      </c>
      <c r="F8" s="266">
        <v>262515</v>
      </c>
      <c r="G8" s="266">
        <v>288733.5</v>
      </c>
      <c r="H8" s="266">
        <v>259402</v>
      </c>
      <c r="I8" s="266">
        <v>270759.5</v>
      </c>
      <c r="J8" s="266">
        <v>330165</v>
      </c>
      <c r="K8" s="266">
        <v>333120.13</v>
      </c>
      <c r="L8" s="266">
        <v>319330</v>
      </c>
      <c r="M8" s="266">
        <v>233585.7</v>
      </c>
      <c r="N8" s="266">
        <v>230362</v>
      </c>
      <c r="O8" s="266">
        <v>256294.5</v>
      </c>
      <c r="P8" s="266">
        <v>262525.09999999998</v>
      </c>
      <c r="Q8" s="266">
        <v>270961.5</v>
      </c>
      <c r="R8" s="266">
        <v>317712.5</v>
      </c>
      <c r="T8" s="147">
        <f t="shared" si="0"/>
        <v>273398.47062500002</v>
      </c>
      <c r="U8" s="147">
        <f t="shared" si="1"/>
        <v>268810.51250000001</v>
      </c>
      <c r="V8" s="147">
        <f t="shared" si="2"/>
        <v>277986.42875000002</v>
      </c>
      <c r="W8" s="147">
        <f t="shared" si="3"/>
        <v>229009</v>
      </c>
      <c r="X8" s="267">
        <f t="shared" si="4"/>
        <v>45658</v>
      </c>
      <c r="Y8" s="147">
        <f t="shared" si="5"/>
        <v>333120.13</v>
      </c>
      <c r="Z8" s="267">
        <f t="shared" si="6"/>
        <v>46023</v>
      </c>
      <c r="AA8" s="147">
        <f t="shared" si="7"/>
        <v>233585.7</v>
      </c>
      <c r="AB8" s="147">
        <f t="shared" si="8"/>
        <v>317712.5</v>
      </c>
      <c r="AC8" s="268" t="s">
        <v>3900</v>
      </c>
    </row>
    <row r="9" spans="2:33" ht="15" customHeight="1" x14ac:dyDescent="0.35">
      <c r="B9" s="7" t="s">
        <v>5204</v>
      </c>
      <c r="C9" s="266">
        <v>11872</v>
      </c>
      <c r="D9" s="266">
        <v>8316</v>
      </c>
      <c r="E9" s="266">
        <v>8391</v>
      </c>
      <c r="F9" s="266">
        <v>9412.5</v>
      </c>
      <c r="G9" s="266">
        <v>8134</v>
      </c>
      <c r="H9" s="266">
        <v>6272</v>
      </c>
      <c r="I9" s="266">
        <v>6643</v>
      </c>
      <c r="J9" s="266">
        <v>8729</v>
      </c>
      <c r="K9" s="266">
        <v>8005</v>
      </c>
      <c r="L9" s="266">
        <v>9261</v>
      </c>
      <c r="M9" s="266">
        <v>7274</v>
      </c>
      <c r="N9" s="266">
        <v>9900.5</v>
      </c>
      <c r="O9" s="266">
        <v>10437</v>
      </c>
      <c r="P9" s="266">
        <v>10850</v>
      </c>
      <c r="Q9" s="266">
        <v>12962</v>
      </c>
      <c r="R9" s="266">
        <v>13755</v>
      </c>
      <c r="T9" s="147">
        <f t="shared" si="0"/>
        <v>9388.375</v>
      </c>
      <c r="U9" s="147">
        <f t="shared" si="1"/>
        <v>8471.1875</v>
      </c>
      <c r="V9" s="147">
        <f t="shared" si="2"/>
        <v>10305.5625</v>
      </c>
      <c r="W9" s="147">
        <f t="shared" si="3"/>
        <v>6272</v>
      </c>
      <c r="X9" s="267">
        <f t="shared" si="4"/>
        <v>45809</v>
      </c>
      <c r="Y9" s="147">
        <f t="shared" si="5"/>
        <v>13755</v>
      </c>
      <c r="Z9" s="267">
        <f t="shared" si="6"/>
        <v>46235</v>
      </c>
      <c r="AA9" s="147">
        <f t="shared" si="7"/>
        <v>8005</v>
      </c>
      <c r="AB9" s="147">
        <f t="shared" si="8"/>
        <v>10850</v>
      </c>
      <c r="AC9" s="268" t="s">
        <v>3900</v>
      </c>
    </row>
    <row r="10" spans="2:33" ht="15" customHeight="1" x14ac:dyDescent="0.35">
      <c r="B10" s="7" t="s">
        <v>5205</v>
      </c>
      <c r="C10" s="266">
        <v>10010</v>
      </c>
      <c r="D10" s="266">
        <v>9280</v>
      </c>
      <c r="E10" s="266">
        <v>10078</v>
      </c>
      <c r="F10" s="266">
        <v>9420</v>
      </c>
      <c r="G10" s="266">
        <v>8409</v>
      </c>
      <c r="H10" s="266">
        <v>7440</v>
      </c>
      <c r="I10" s="266">
        <v>8623</v>
      </c>
      <c r="J10" s="266">
        <v>10160</v>
      </c>
      <c r="K10" s="266">
        <v>9580</v>
      </c>
      <c r="L10" s="266">
        <v>9685</v>
      </c>
      <c r="M10" s="266">
        <v>7245.9</v>
      </c>
      <c r="N10" s="266">
        <v>7850</v>
      </c>
      <c r="O10" s="266">
        <v>9040</v>
      </c>
      <c r="P10" s="266">
        <v>7630</v>
      </c>
      <c r="Q10" s="266">
        <v>9896</v>
      </c>
      <c r="R10" s="266">
        <v>9360</v>
      </c>
      <c r="T10" s="147">
        <f t="shared" si="0"/>
        <v>8981.6812499999996</v>
      </c>
      <c r="U10" s="147">
        <f t="shared" si="1"/>
        <v>9177.5</v>
      </c>
      <c r="V10" s="147">
        <f t="shared" si="2"/>
        <v>8785.8624999999993</v>
      </c>
      <c r="W10" s="147">
        <f t="shared" si="3"/>
        <v>7245.9</v>
      </c>
      <c r="X10" s="267">
        <f t="shared" si="4"/>
        <v>46082</v>
      </c>
      <c r="Y10" s="147">
        <f t="shared" si="5"/>
        <v>10160</v>
      </c>
      <c r="Z10" s="267">
        <f t="shared" si="6"/>
        <v>45870</v>
      </c>
      <c r="AA10" s="147">
        <f t="shared" si="7"/>
        <v>7850</v>
      </c>
      <c r="AB10" s="147">
        <f t="shared" si="8"/>
        <v>9896</v>
      </c>
      <c r="AC10" s="268" t="s">
        <v>3900</v>
      </c>
    </row>
    <row r="11" spans="2:33" ht="15" customHeight="1" x14ac:dyDescent="0.35">
      <c r="B11" s="7" t="s">
        <v>5206</v>
      </c>
      <c r="C11" s="266">
        <v>815090.14285714296</v>
      </c>
      <c r="D11" s="266">
        <v>945853.42857142899</v>
      </c>
      <c r="E11" s="266">
        <v>828884.42857142899</v>
      </c>
      <c r="F11" s="266">
        <v>939671.14285714296</v>
      </c>
      <c r="G11" s="266">
        <v>974698</v>
      </c>
      <c r="H11" s="266">
        <v>864498.42857142899</v>
      </c>
      <c r="I11" s="266">
        <v>883576.42857142899</v>
      </c>
      <c r="J11" s="266">
        <v>1076653.57142857</v>
      </c>
      <c r="K11" s="266">
        <v>1151802</v>
      </c>
      <c r="L11" s="266">
        <v>1048813.57142857</v>
      </c>
      <c r="M11" s="266">
        <v>836154.28571428603</v>
      </c>
      <c r="N11" s="266">
        <v>800377.14285714296</v>
      </c>
      <c r="O11" s="266">
        <v>918665</v>
      </c>
      <c r="P11" s="266">
        <v>899172.85714285704</v>
      </c>
      <c r="Q11" s="266">
        <v>823647.14285714296</v>
      </c>
      <c r="R11" s="266">
        <v>625461.88571428601</v>
      </c>
      <c r="T11" s="147">
        <f t="shared" si="0"/>
        <v>902063.7160714285</v>
      </c>
      <c r="U11" s="147">
        <f t="shared" si="1"/>
        <v>916115.69642857148</v>
      </c>
      <c r="V11" s="147">
        <f t="shared" si="2"/>
        <v>888011.73571428563</v>
      </c>
      <c r="W11" s="147">
        <f t="shared" si="3"/>
        <v>625461.88571428601</v>
      </c>
      <c r="X11" s="267">
        <f t="shared" si="4"/>
        <v>46235</v>
      </c>
      <c r="Y11" s="147">
        <f t="shared" si="5"/>
        <v>1151802</v>
      </c>
      <c r="Z11" s="267">
        <f t="shared" si="6"/>
        <v>46023</v>
      </c>
      <c r="AA11" s="147">
        <f t="shared" si="7"/>
        <v>823647.14285714296</v>
      </c>
      <c r="AB11" s="147">
        <f t="shared" si="8"/>
        <v>974698</v>
      </c>
      <c r="AC11" s="268" t="s">
        <v>3900</v>
      </c>
    </row>
    <row r="12" spans="2:33" ht="15" customHeight="1" x14ac:dyDescent="0.35">
      <c r="B12" s="7" t="s">
        <v>5207</v>
      </c>
      <c r="C12" s="266">
        <v>0</v>
      </c>
      <c r="D12" s="266">
        <v>0</v>
      </c>
      <c r="E12" s="266">
        <v>0</v>
      </c>
      <c r="F12" s="266">
        <v>0</v>
      </c>
      <c r="G12" s="266">
        <v>0</v>
      </c>
      <c r="H12" s="266">
        <v>0</v>
      </c>
      <c r="I12" s="266">
        <v>0</v>
      </c>
      <c r="J12" s="266">
        <v>0</v>
      </c>
      <c r="K12" s="266">
        <v>0</v>
      </c>
      <c r="L12" s="266">
        <v>0</v>
      </c>
      <c r="M12" s="266">
        <v>0</v>
      </c>
      <c r="N12" s="266">
        <v>16530</v>
      </c>
      <c r="O12" s="266">
        <v>0</v>
      </c>
      <c r="P12" s="266">
        <v>0</v>
      </c>
      <c r="Q12" s="266">
        <v>68520</v>
      </c>
      <c r="R12" s="266">
        <v>316290</v>
      </c>
      <c r="T12" s="147">
        <f t="shared" si="0"/>
        <v>25083.75</v>
      </c>
      <c r="U12" s="147">
        <f t="shared" si="1"/>
        <v>0</v>
      </c>
      <c r="V12" s="147">
        <f t="shared" si="2"/>
        <v>50167.5</v>
      </c>
      <c r="W12" s="147">
        <f t="shared" si="3"/>
        <v>0</v>
      </c>
      <c r="X12" s="267">
        <f t="shared" si="4"/>
        <v>45658</v>
      </c>
      <c r="Y12" s="147">
        <f t="shared" si="5"/>
        <v>316290</v>
      </c>
      <c r="Z12" s="267">
        <f t="shared" si="6"/>
        <v>46235</v>
      </c>
      <c r="AA12" s="147">
        <f t="shared" si="7"/>
        <v>0</v>
      </c>
      <c r="AB12" s="147">
        <f t="shared" si="8"/>
        <v>0</v>
      </c>
      <c r="AC12" s="268" t="s">
        <v>3900</v>
      </c>
    </row>
    <row r="13" spans="2:33" ht="15" customHeight="1" x14ac:dyDescent="0.35">
      <c r="B13" s="7" t="s">
        <v>5208</v>
      </c>
      <c r="C13" s="266">
        <v>567792</v>
      </c>
      <c r="D13" s="266">
        <v>661686</v>
      </c>
      <c r="E13" s="266">
        <v>576575</v>
      </c>
      <c r="F13" s="266">
        <v>662140</v>
      </c>
      <c r="G13" s="266">
        <v>688317</v>
      </c>
      <c r="H13" s="266">
        <v>602647</v>
      </c>
      <c r="I13" s="266">
        <v>621250</v>
      </c>
      <c r="J13" s="266">
        <v>772249</v>
      </c>
      <c r="K13" s="266">
        <v>821318</v>
      </c>
      <c r="L13" s="266">
        <v>723788</v>
      </c>
      <c r="M13" s="266">
        <v>575170</v>
      </c>
      <c r="N13" s="266">
        <v>544860</v>
      </c>
      <c r="O13" s="266">
        <v>633059</v>
      </c>
      <c r="P13" s="266">
        <v>646304</v>
      </c>
      <c r="Q13" s="266">
        <v>584088</v>
      </c>
      <c r="R13" s="266">
        <v>409266</v>
      </c>
      <c r="T13" s="147">
        <f t="shared" si="0"/>
        <v>630656.8125</v>
      </c>
      <c r="U13" s="147">
        <f t="shared" si="1"/>
        <v>644082</v>
      </c>
      <c r="V13" s="147">
        <f t="shared" si="2"/>
        <v>617231.625</v>
      </c>
      <c r="W13" s="147">
        <f t="shared" si="3"/>
        <v>409266</v>
      </c>
      <c r="X13" s="267">
        <f t="shared" si="4"/>
        <v>46235</v>
      </c>
      <c r="Y13" s="147">
        <f t="shared" si="5"/>
        <v>821318</v>
      </c>
      <c r="Z13" s="267">
        <f t="shared" si="6"/>
        <v>46023</v>
      </c>
      <c r="AA13" s="147">
        <f t="shared" si="7"/>
        <v>575170</v>
      </c>
      <c r="AB13" s="147">
        <f t="shared" si="8"/>
        <v>688317</v>
      </c>
      <c r="AC13" s="268" t="s">
        <v>3900</v>
      </c>
    </row>
    <row r="14" spans="2:33" ht="15" customHeight="1" x14ac:dyDescent="0.35">
      <c r="B14" s="7" t="s">
        <v>5209</v>
      </c>
      <c r="C14" s="266">
        <v>569099</v>
      </c>
      <c r="D14" s="266">
        <v>665498</v>
      </c>
      <c r="E14" s="266">
        <v>579205</v>
      </c>
      <c r="F14" s="266">
        <v>654452</v>
      </c>
      <c r="G14" s="266">
        <v>683144</v>
      </c>
      <c r="H14" s="266">
        <v>612574</v>
      </c>
      <c r="I14" s="266">
        <v>624184</v>
      </c>
      <c r="J14" s="266">
        <v>767882</v>
      </c>
      <c r="K14" s="266">
        <v>821318</v>
      </c>
      <c r="L14" s="266">
        <v>722422</v>
      </c>
      <c r="M14" s="266">
        <v>570028</v>
      </c>
      <c r="N14" s="266">
        <v>564496</v>
      </c>
      <c r="O14" s="266">
        <v>636461</v>
      </c>
      <c r="P14" s="266">
        <v>643968</v>
      </c>
      <c r="Q14" s="266">
        <v>654520</v>
      </c>
      <c r="R14" s="266">
        <v>719609</v>
      </c>
      <c r="T14" s="147">
        <f t="shared" si="0"/>
        <v>655553.75</v>
      </c>
      <c r="U14" s="147">
        <f t="shared" si="1"/>
        <v>644504.75</v>
      </c>
      <c r="V14" s="147">
        <f t="shared" si="2"/>
        <v>666602.75</v>
      </c>
      <c r="W14" s="147">
        <f t="shared" si="3"/>
        <v>564496</v>
      </c>
      <c r="X14" s="267">
        <f t="shared" si="4"/>
        <v>46113</v>
      </c>
      <c r="Y14" s="147">
        <f t="shared" si="5"/>
        <v>821318</v>
      </c>
      <c r="Z14" s="267">
        <f t="shared" si="6"/>
        <v>46023</v>
      </c>
      <c r="AA14" s="147">
        <f t="shared" si="7"/>
        <v>579205</v>
      </c>
      <c r="AB14" s="147">
        <f t="shared" si="8"/>
        <v>719609</v>
      </c>
      <c r="AC14" s="268" t="s">
        <v>3900</v>
      </c>
    </row>
    <row r="15" spans="2:33" ht="15" customHeight="1" x14ac:dyDescent="0.35">
      <c r="B15" s="7" t="s">
        <v>5210</v>
      </c>
      <c r="C15" s="266">
        <v>79697</v>
      </c>
      <c r="D15" s="266">
        <v>93762.929289874606</v>
      </c>
      <c r="E15" s="266">
        <v>77860</v>
      </c>
      <c r="F15" s="266">
        <v>89420</v>
      </c>
      <c r="G15" s="266">
        <v>92330</v>
      </c>
      <c r="H15" s="266">
        <v>81655</v>
      </c>
      <c r="I15" s="266">
        <v>83980</v>
      </c>
      <c r="J15" s="266">
        <v>101187</v>
      </c>
      <c r="K15" s="266">
        <v>96628</v>
      </c>
      <c r="L15" s="266">
        <v>85433</v>
      </c>
      <c r="M15" s="266">
        <v>65901</v>
      </c>
      <c r="N15" s="266">
        <v>66824.5</v>
      </c>
      <c r="O15" s="266">
        <v>73075</v>
      </c>
      <c r="P15" s="266">
        <v>72207</v>
      </c>
      <c r="Q15" s="266">
        <v>77417.5</v>
      </c>
      <c r="R15" s="266">
        <v>78928</v>
      </c>
      <c r="T15" s="147">
        <f t="shared" si="0"/>
        <v>82269.120580617164</v>
      </c>
      <c r="U15" s="147">
        <f t="shared" si="1"/>
        <v>87486.491161234328</v>
      </c>
      <c r="V15" s="147">
        <f t="shared" si="2"/>
        <v>77051.75</v>
      </c>
      <c r="W15" s="147">
        <f t="shared" si="3"/>
        <v>65901</v>
      </c>
      <c r="X15" s="267">
        <f t="shared" si="4"/>
        <v>46082</v>
      </c>
      <c r="Y15" s="147">
        <f t="shared" si="5"/>
        <v>101187</v>
      </c>
      <c r="Z15" s="267">
        <f t="shared" si="6"/>
        <v>45870</v>
      </c>
      <c r="AA15" s="147">
        <f t="shared" si="7"/>
        <v>73075</v>
      </c>
      <c r="AB15" s="147">
        <f t="shared" si="8"/>
        <v>92330</v>
      </c>
      <c r="AC15" s="268" t="s">
        <v>3900</v>
      </c>
    </row>
    <row r="16" spans="2:33" ht="15" customHeight="1" x14ac:dyDescent="0.35">
      <c r="B16" s="7" t="s">
        <v>5211</v>
      </c>
      <c r="C16" s="266">
        <v>75792.637063409202</v>
      </c>
      <c r="D16" s="266">
        <v>86860.842946461606</v>
      </c>
      <c r="E16" s="266">
        <v>78594.494634458097</v>
      </c>
      <c r="F16" s="266">
        <v>87892.708040494297</v>
      </c>
      <c r="G16" s="266">
        <v>93916.444092505102</v>
      </c>
      <c r="H16" s="266">
        <v>84463.572799602494</v>
      </c>
      <c r="I16" s="266">
        <v>83632.028163074996</v>
      </c>
      <c r="J16" s="266">
        <v>104003.37786691501</v>
      </c>
      <c r="K16" s="266">
        <v>115083.666701599</v>
      </c>
      <c r="L16" s="266">
        <v>105936.86701564401</v>
      </c>
      <c r="M16" s="266">
        <v>84351.730124276801</v>
      </c>
      <c r="N16" s="266">
        <v>86233.2750842815</v>
      </c>
      <c r="O16" s="266">
        <v>98041.647256638302</v>
      </c>
      <c r="P16" s="266">
        <v>100345.229838397</v>
      </c>
      <c r="Q16" s="266">
        <v>102157.826784256</v>
      </c>
      <c r="R16" s="266">
        <v>113698.754480121</v>
      </c>
      <c r="T16" s="147">
        <f t="shared" si="0"/>
        <v>93812.818930758382</v>
      </c>
      <c r="U16" s="147">
        <f t="shared" si="1"/>
        <v>86894.513200865083</v>
      </c>
      <c r="V16" s="147">
        <f t="shared" si="2"/>
        <v>100731.12466065171</v>
      </c>
      <c r="W16" s="147">
        <f t="shared" si="3"/>
        <v>75792.637063409202</v>
      </c>
      <c r="X16" s="267">
        <f t="shared" si="4"/>
        <v>45658</v>
      </c>
      <c r="Y16" s="147">
        <f t="shared" si="5"/>
        <v>115083.666701599</v>
      </c>
      <c r="Z16" s="267">
        <f t="shared" si="6"/>
        <v>46023</v>
      </c>
      <c r="AA16" s="147">
        <f t="shared" si="7"/>
        <v>84351.730124276801</v>
      </c>
      <c r="AB16" s="147">
        <f t="shared" si="8"/>
        <v>104003.37786691501</v>
      </c>
      <c r="AC16" s="268" t="s">
        <v>5212</v>
      </c>
    </row>
    <row r="17" spans="2:29" ht="15" customHeight="1" x14ac:dyDescent="0.35">
      <c r="B17" s="7" t="s">
        <v>5213</v>
      </c>
      <c r="C17" s="266">
        <v>2225</v>
      </c>
      <c r="D17" s="266">
        <v>2450</v>
      </c>
      <c r="E17" s="266">
        <v>1868</v>
      </c>
      <c r="F17" s="266">
        <v>1907</v>
      </c>
      <c r="G17" s="266">
        <v>2215</v>
      </c>
      <c r="H17" s="266">
        <v>1835</v>
      </c>
      <c r="I17" s="266">
        <v>2100</v>
      </c>
      <c r="J17" s="266">
        <v>2500</v>
      </c>
      <c r="K17" s="266">
        <v>2313</v>
      </c>
      <c r="L17" s="266">
        <v>2387</v>
      </c>
      <c r="M17" s="266">
        <v>1675</v>
      </c>
      <c r="N17" s="266">
        <v>1800</v>
      </c>
      <c r="O17" s="266">
        <v>2225</v>
      </c>
      <c r="P17" s="266">
        <v>2100</v>
      </c>
      <c r="Q17" s="266">
        <v>2325</v>
      </c>
      <c r="R17" s="266">
        <v>2300</v>
      </c>
      <c r="T17" s="147">
        <f t="shared" si="0"/>
        <v>2139.0625</v>
      </c>
      <c r="U17" s="147">
        <f t="shared" si="1"/>
        <v>2137.5</v>
      </c>
      <c r="V17" s="147">
        <f t="shared" si="2"/>
        <v>2140.625</v>
      </c>
      <c r="W17" s="147">
        <f t="shared" si="3"/>
        <v>1675</v>
      </c>
      <c r="X17" s="267">
        <f t="shared" si="4"/>
        <v>46082</v>
      </c>
      <c r="Y17" s="147">
        <f t="shared" si="5"/>
        <v>2500</v>
      </c>
      <c r="Z17" s="267">
        <f t="shared" si="6"/>
        <v>45870</v>
      </c>
      <c r="AA17" s="147">
        <f t="shared" si="7"/>
        <v>1868</v>
      </c>
      <c r="AB17" s="147">
        <f t="shared" si="8"/>
        <v>2325</v>
      </c>
      <c r="AC17" s="268" t="s">
        <v>3900</v>
      </c>
    </row>
    <row r="18" spans="2:29" ht="15" customHeight="1" x14ac:dyDescent="0.35">
      <c r="B18" s="7" t="s">
        <v>5214</v>
      </c>
      <c r="C18" s="266">
        <v>163.5</v>
      </c>
      <c r="D18" s="266">
        <v>212.3</v>
      </c>
      <c r="E18" s="266">
        <v>141.13</v>
      </c>
      <c r="F18" s="266">
        <v>161.27000000000001</v>
      </c>
      <c r="G18" s="266">
        <v>141.30000000000001</v>
      </c>
      <c r="H18" s="266">
        <v>130.25</v>
      </c>
      <c r="I18" s="266">
        <v>128.25</v>
      </c>
      <c r="J18" s="266">
        <v>156.27000000000001</v>
      </c>
      <c r="K18" s="266">
        <v>164.55</v>
      </c>
      <c r="L18" s="266">
        <v>177.27</v>
      </c>
      <c r="M18" s="266">
        <v>161.56</v>
      </c>
      <c r="N18" s="266">
        <v>689.85</v>
      </c>
      <c r="O18" s="266">
        <v>757</v>
      </c>
      <c r="P18" s="266">
        <v>147.65</v>
      </c>
      <c r="Q18" s="266">
        <v>159.85</v>
      </c>
      <c r="R18" s="266">
        <v>163.9</v>
      </c>
      <c r="T18" s="147">
        <f t="shared" si="0"/>
        <v>228.49375000000001</v>
      </c>
      <c r="U18" s="147">
        <f t="shared" si="1"/>
        <v>154.28375</v>
      </c>
      <c r="V18" s="147">
        <f t="shared" si="2"/>
        <v>302.70375000000001</v>
      </c>
      <c r="W18" s="147">
        <f t="shared" si="3"/>
        <v>128.25</v>
      </c>
      <c r="X18" s="267">
        <f t="shared" si="4"/>
        <v>45839</v>
      </c>
      <c r="Y18" s="147">
        <f t="shared" si="5"/>
        <v>757</v>
      </c>
      <c r="Z18" s="267">
        <f t="shared" si="6"/>
        <v>46143</v>
      </c>
      <c r="AA18" s="147">
        <f t="shared" si="7"/>
        <v>141.30000000000001</v>
      </c>
      <c r="AB18" s="147">
        <f t="shared" si="8"/>
        <v>177.27</v>
      </c>
      <c r="AC18" s="268" t="s">
        <v>3900</v>
      </c>
    </row>
    <row r="19" spans="2:29" ht="15" customHeight="1" x14ac:dyDescent="0.35">
      <c r="B19" s="7" t="s">
        <v>5215</v>
      </c>
      <c r="C19" s="266">
        <v>1404.65</v>
      </c>
      <c r="D19" s="266">
        <v>2067.35</v>
      </c>
      <c r="E19" s="266">
        <v>2242.5500000000002</v>
      </c>
      <c r="F19" s="266">
        <v>2460.65</v>
      </c>
      <c r="G19" s="266">
        <v>2487.1999999999998</v>
      </c>
      <c r="H19" s="266">
        <v>2181.8000000000002</v>
      </c>
      <c r="I19" s="266">
        <v>2473.1999999999998</v>
      </c>
      <c r="J19" s="266">
        <v>3222</v>
      </c>
      <c r="K19" s="266">
        <v>3185.15</v>
      </c>
      <c r="L19" s="266">
        <v>2791.15</v>
      </c>
      <c r="M19" s="266">
        <v>1985.4</v>
      </c>
      <c r="N19" s="266">
        <v>1062.7</v>
      </c>
      <c r="O19" s="266">
        <v>1059</v>
      </c>
      <c r="P19" s="266">
        <v>2104.6999999999998</v>
      </c>
      <c r="Q19" s="266">
        <v>1783.97</v>
      </c>
      <c r="R19" s="266">
        <v>2587.33</v>
      </c>
      <c r="T19" s="147">
        <f t="shared" si="0"/>
        <v>2193.6750000000006</v>
      </c>
      <c r="U19" s="147">
        <f t="shared" si="1"/>
        <v>2317.4250000000002</v>
      </c>
      <c r="V19" s="147">
        <f t="shared" si="2"/>
        <v>2069.9250000000002</v>
      </c>
      <c r="W19" s="147">
        <f t="shared" si="3"/>
        <v>1059</v>
      </c>
      <c r="X19" s="267">
        <f t="shared" si="4"/>
        <v>46143</v>
      </c>
      <c r="Y19" s="147">
        <f t="shared" si="5"/>
        <v>3222</v>
      </c>
      <c r="Z19" s="267">
        <f t="shared" si="6"/>
        <v>45870</v>
      </c>
      <c r="AA19" s="147">
        <f t="shared" si="7"/>
        <v>1783.97</v>
      </c>
      <c r="AB19" s="147">
        <f t="shared" si="8"/>
        <v>2587.33</v>
      </c>
      <c r="AC19" s="268" t="s">
        <v>3900</v>
      </c>
    </row>
    <row r="20" spans="2:29" ht="15" customHeight="1" x14ac:dyDescent="0.35">
      <c r="B20" s="7" t="s">
        <v>5216</v>
      </c>
      <c r="C20" s="266">
        <v>2638.95</v>
      </c>
      <c r="D20" s="266">
        <v>2459.5</v>
      </c>
      <c r="E20" s="266">
        <v>1489.8</v>
      </c>
      <c r="F20" s="266">
        <v>1815.7</v>
      </c>
      <c r="G20" s="266">
        <v>2313.1</v>
      </c>
      <c r="H20" s="266">
        <v>2113.8000000000002</v>
      </c>
      <c r="I20" s="266">
        <v>1912.1</v>
      </c>
      <c r="J20" s="266">
        <v>2160.98</v>
      </c>
      <c r="K20" s="266">
        <v>2188.8000000000002</v>
      </c>
      <c r="L20" s="266">
        <v>2017.96</v>
      </c>
      <c r="M20" s="266">
        <v>1810.5</v>
      </c>
      <c r="N20" s="266">
        <v>2498.85</v>
      </c>
      <c r="O20" s="266">
        <v>2858.64</v>
      </c>
      <c r="P20" s="266">
        <v>2217.0700000000002</v>
      </c>
      <c r="Q20" s="266">
        <v>2854.82</v>
      </c>
      <c r="R20" s="266">
        <v>2636.83</v>
      </c>
      <c r="T20" s="147">
        <f t="shared" si="0"/>
        <v>2249.2125000000001</v>
      </c>
      <c r="U20" s="147">
        <f t="shared" si="1"/>
        <v>2112.9912500000005</v>
      </c>
      <c r="V20" s="147">
        <f t="shared" si="2"/>
        <v>2385.4337500000001</v>
      </c>
      <c r="W20" s="147">
        <f t="shared" si="3"/>
        <v>1489.8</v>
      </c>
      <c r="X20" s="267">
        <f t="shared" si="4"/>
        <v>45717</v>
      </c>
      <c r="Y20" s="147">
        <f t="shared" si="5"/>
        <v>2858.64</v>
      </c>
      <c r="Z20" s="267">
        <f t="shared" si="6"/>
        <v>46143</v>
      </c>
      <c r="AA20" s="147">
        <f t="shared" si="7"/>
        <v>1912.1</v>
      </c>
      <c r="AB20" s="147">
        <f t="shared" si="8"/>
        <v>2636.83</v>
      </c>
      <c r="AC20" s="268" t="s">
        <v>3900</v>
      </c>
    </row>
    <row r="21" spans="2:29" ht="15" customHeight="1" x14ac:dyDescent="0.35">
      <c r="B21" s="7" t="s">
        <v>5217</v>
      </c>
      <c r="C21" s="266">
        <v>4330</v>
      </c>
      <c r="D21" s="266">
        <v>7497</v>
      </c>
      <c r="E21" s="266">
        <v>6937</v>
      </c>
      <c r="F21" s="266">
        <v>6560</v>
      </c>
      <c r="G21" s="266">
        <v>8460</v>
      </c>
      <c r="H21" s="266">
        <v>6370</v>
      </c>
      <c r="I21" s="266">
        <v>4640</v>
      </c>
      <c r="J21" s="266">
        <v>8480</v>
      </c>
      <c r="K21" s="266">
        <v>10445</v>
      </c>
      <c r="L21" s="266">
        <v>5080</v>
      </c>
      <c r="M21" s="266">
        <v>3560</v>
      </c>
      <c r="N21" s="266">
        <v>5510</v>
      </c>
      <c r="O21" s="266">
        <v>6750</v>
      </c>
      <c r="P21" s="266">
        <v>10040</v>
      </c>
      <c r="Q21" s="266">
        <v>2510</v>
      </c>
      <c r="R21" s="266">
        <v>9430</v>
      </c>
      <c r="T21" s="147">
        <f t="shared" si="0"/>
        <v>6662.4375</v>
      </c>
      <c r="U21" s="147">
        <f t="shared" si="1"/>
        <v>6659.25</v>
      </c>
      <c r="V21" s="147">
        <f t="shared" si="2"/>
        <v>6665.625</v>
      </c>
      <c r="W21" s="147">
        <f t="shared" si="3"/>
        <v>2510</v>
      </c>
      <c r="X21" s="267">
        <f t="shared" si="4"/>
        <v>46204</v>
      </c>
      <c r="Y21" s="147">
        <f t="shared" si="5"/>
        <v>10445</v>
      </c>
      <c r="Z21" s="267">
        <f t="shared" si="6"/>
        <v>46023</v>
      </c>
      <c r="AA21" s="147">
        <f t="shared" si="7"/>
        <v>4640</v>
      </c>
      <c r="AB21" s="147">
        <f t="shared" si="8"/>
        <v>8480</v>
      </c>
      <c r="AC21" s="268" t="s">
        <v>4128</v>
      </c>
    </row>
    <row r="22" spans="2:29" ht="15" customHeight="1" x14ac:dyDescent="0.35">
      <c r="B22" s="7" t="s">
        <v>5218</v>
      </c>
      <c r="C22" s="266">
        <v>622</v>
      </c>
      <c r="D22" s="266">
        <v>644</v>
      </c>
      <c r="E22" s="266">
        <v>504</v>
      </c>
      <c r="F22" s="266">
        <v>592</v>
      </c>
      <c r="G22" s="266">
        <v>648</v>
      </c>
      <c r="H22" s="266">
        <v>571</v>
      </c>
      <c r="I22" s="266">
        <v>577</v>
      </c>
      <c r="J22" s="266">
        <v>700</v>
      </c>
      <c r="K22" s="266">
        <v>671</v>
      </c>
      <c r="L22" s="266">
        <v>655</v>
      </c>
      <c r="M22" s="266">
        <v>496</v>
      </c>
      <c r="N22" s="266">
        <v>592</v>
      </c>
      <c r="O22" s="266">
        <v>669</v>
      </c>
      <c r="P22" s="266">
        <v>613</v>
      </c>
      <c r="Q22" s="266">
        <v>622</v>
      </c>
      <c r="R22" s="266">
        <v>673</v>
      </c>
      <c r="T22" s="147">
        <f t="shared" si="0"/>
        <v>615.5625</v>
      </c>
      <c r="U22" s="147">
        <f t="shared" si="1"/>
        <v>607.25</v>
      </c>
      <c r="V22" s="147">
        <f t="shared" si="2"/>
        <v>623.875</v>
      </c>
      <c r="W22" s="147">
        <f t="shared" si="3"/>
        <v>496</v>
      </c>
      <c r="X22" s="267">
        <f t="shared" si="4"/>
        <v>46082</v>
      </c>
      <c r="Y22" s="147">
        <f t="shared" si="5"/>
        <v>700</v>
      </c>
      <c r="Z22" s="267">
        <f t="shared" si="6"/>
        <v>45870</v>
      </c>
      <c r="AA22" s="147">
        <f t="shared" si="7"/>
        <v>577</v>
      </c>
      <c r="AB22" s="147">
        <f t="shared" si="8"/>
        <v>669</v>
      </c>
      <c r="AC22" s="268" t="s">
        <v>3893</v>
      </c>
    </row>
    <row r="23" spans="2:29" ht="15" customHeight="1" x14ac:dyDescent="0.35">
      <c r="B23" s="7" t="s">
        <v>5219</v>
      </c>
      <c r="C23" s="266">
        <v>1540</v>
      </c>
      <c r="D23" s="266">
        <v>1967</v>
      </c>
      <c r="E23" s="266">
        <v>1638</v>
      </c>
      <c r="F23" s="266">
        <v>2464</v>
      </c>
      <c r="G23" s="266">
        <v>2382</v>
      </c>
      <c r="H23" s="266">
        <v>2003</v>
      </c>
      <c r="I23" s="266">
        <v>1888</v>
      </c>
      <c r="J23" s="266">
        <v>2222</v>
      </c>
      <c r="K23" s="266">
        <v>1743</v>
      </c>
      <c r="L23" s="266">
        <v>1558</v>
      </c>
      <c r="M23" s="266">
        <v>1239</v>
      </c>
      <c r="N23" s="266">
        <v>1274</v>
      </c>
      <c r="O23" s="266">
        <v>1438</v>
      </c>
      <c r="P23" s="266">
        <v>1450</v>
      </c>
      <c r="Q23" s="266">
        <v>1539</v>
      </c>
      <c r="R23" s="266">
        <v>1730</v>
      </c>
      <c r="T23" s="147">
        <f t="shared" si="0"/>
        <v>1754.6875</v>
      </c>
      <c r="U23" s="147">
        <f t="shared" si="1"/>
        <v>2013</v>
      </c>
      <c r="V23" s="147">
        <f t="shared" si="2"/>
        <v>1496.375</v>
      </c>
      <c r="W23" s="147">
        <f t="shared" si="3"/>
        <v>1239</v>
      </c>
      <c r="X23" s="267">
        <f t="shared" si="4"/>
        <v>46082</v>
      </c>
      <c r="Y23" s="147">
        <f t="shared" si="5"/>
        <v>2464</v>
      </c>
      <c r="Z23" s="267">
        <f t="shared" si="6"/>
        <v>45748</v>
      </c>
      <c r="AA23" s="147">
        <f t="shared" si="7"/>
        <v>1450</v>
      </c>
      <c r="AB23" s="147">
        <f t="shared" si="8"/>
        <v>2003</v>
      </c>
      <c r="AC23" s="268" t="s">
        <v>3893</v>
      </c>
    </row>
    <row r="24" spans="2:29" ht="15" customHeight="1" x14ac:dyDescent="0.35">
      <c r="B24" s="7" t="s">
        <v>5220</v>
      </c>
      <c r="C24" s="266">
        <v>2569.9499999999998</v>
      </c>
      <c r="D24" s="266">
        <v>3443.5</v>
      </c>
      <c r="E24" s="266">
        <v>2932.6</v>
      </c>
      <c r="F24" s="266">
        <v>3197.45</v>
      </c>
      <c r="G24" s="266">
        <v>3302.05</v>
      </c>
      <c r="H24" s="266">
        <v>2897.9</v>
      </c>
      <c r="I24" s="266">
        <v>2875.9</v>
      </c>
      <c r="J24" s="266">
        <v>3358</v>
      </c>
      <c r="K24" s="266">
        <v>676</v>
      </c>
      <c r="L24" s="266">
        <v>655</v>
      </c>
      <c r="M24" s="266">
        <v>502</v>
      </c>
      <c r="N24" s="266">
        <v>1953.5</v>
      </c>
      <c r="O24" s="266">
        <v>670</v>
      </c>
      <c r="P24" s="266">
        <v>3723</v>
      </c>
      <c r="Q24" s="266">
        <v>3072</v>
      </c>
      <c r="R24" s="266">
        <v>3455.5</v>
      </c>
      <c r="T24" s="147">
        <f t="shared" si="0"/>
        <v>2455.2718750000004</v>
      </c>
      <c r="U24" s="147">
        <f t="shared" si="1"/>
        <v>3072.1687500000003</v>
      </c>
      <c r="V24" s="147">
        <f t="shared" si="2"/>
        <v>1838.375</v>
      </c>
      <c r="W24" s="147">
        <f t="shared" si="3"/>
        <v>502</v>
      </c>
      <c r="X24" s="267">
        <f t="shared" si="4"/>
        <v>46082</v>
      </c>
      <c r="Y24" s="147">
        <f t="shared" si="5"/>
        <v>3723</v>
      </c>
      <c r="Z24" s="267">
        <f t="shared" si="6"/>
        <v>46174</v>
      </c>
      <c r="AA24" s="147">
        <f t="shared" si="7"/>
        <v>676</v>
      </c>
      <c r="AB24" s="147">
        <f t="shared" si="8"/>
        <v>3358</v>
      </c>
      <c r="AC24" s="268" t="s">
        <v>3893</v>
      </c>
    </row>
    <row r="25" spans="2:29" ht="15" customHeight="1" x14ac:dyDescent="0.35">
      <c r="B25" s="7" t="s">
        <v>5221</v>
      </c>
      <c r="C25" s="266">
        <v>20491</v>
      </c>
      <c r="D25" s="266">
        <v>23592</v>
      </c>
      <c r="E25" s="266">
        <v>20370</v>
      </c>
      <c r="F25" s="266">
        <v>23881</v>
      </c>
      <c r="G25" s="266">
        <v>23592</v>
      </c>
      <c r="H25" s="266">
        <v>20746</v>
      </c>
      <c r="I25" s="266">
        <v>20998</v>
      </c>
      <c r="J25" s="266">
        <v>26445</v>
      </c>
      <c r="K25" s="266">
        <v>24913</v>
      </c>
      <c r="L25" s="266">
        <v>22406</v>
      </c>
      <c r="M25" s="266">
        <v>18709</v>
      </c>
      <c r="N25" s="266">
        <v>20215</v>
      </c>
      <c r="O25" s="266">
        <v>21446</v>
      </c>
      <c r="P25" s="266">
        <v>20122</v>
      </c>
      <c r="Q25" s="266">
        <v>24047</v>
      </c>
      <c r="R25" s="266">
        <v>24741</v>
      </c>
      <c r="T25" s="147">
        <f t="shared" si="0"/>
        <v>22294.625</v>
      </c>
      <c r="U25" s="147">
        <f t="shared" si="1"/>
        <v>22514.375</v>
      </c>
      <c r="V25" s="147">
        <f t="shared" si="2"/>
        <v>22074.875</v>
      </c>
      <c r="W25" s="147">
        <f t="shared" si="3"/>
        <v>18709</v>
      </c>
      <c r="X25" s="267">
        <f t="shared" si="4"/>
        <v>46082</v>
      </c>
      <c r="Y25" s="147">
        <f t="shared" si="5"/>
        <v>26445</v>
      </c>
      <c r="Z25" s="267">
        <f t="shared" si="6"/>
        <v>45870</v>
      </c>
      <c r="AA25" s="147">
        <f t="shared" si="7"/>
        <v>20370</v>
      </c>
      <c r="AB25" s="147">
        <f t="shared" si="8"/>
        <v>24047</v>
      </c>
      <c r="AC25" s="268" t="s">
        <v>5222</v>
      </c>
    </row>
    <row r="26" spans="2:29" ht="15" customHeight="1" x14ac:dyDescent="0.35">
      <c r="B26" s="7" t="s">
        <v>5223</v>
      </c>
      <c r="C26" s="266">
        <v>80</v>
      </c>
      <c r="D26" s="266">
        <v>84</v>
      </c>
      <c r="E26" s="266">
        <v>65</v>
      </c>
      <c r="F26" s="266">
        <v>75</v>
      </c>
      <c r="G26" s="266">
        <v>83</v>
      </c>
      <c r="H26" s="266">
        <v>73</v>
      </c>
      <c r="I26" s="266">
        <v>76</v>
      </c>
      <c r="J26" s="266">
        <v>89</v>
      </c>
      <c r="K26" s="266">
        <v>85</v>
      </c>
      <c r="L26" s="266">
        <v>82</v>
      </c>
      <c r="M26" s="266">
        <v>64</v>
      </c>
      <c r="N26" s="266">
        <v>64</v>
      </c>
      <c r="O26" s="266">
        <v>86</v>
      </c>
      <c r="P26" s="266">
        <v>86</v>
      </c>
      <c r="Q26" s="266">
        <v>86</v>
      </c>
      <c r="R26" s="266">
        <v>87</v>
      </c>
      <c r="T26" s="147">
        <f t="shared" si="0"/>
        <v>79.0625</v>
      </c>
      <c r="U26" s="147">
        <f t="shared" si="1"/>
        <v>78.125</v>
      </c>
      <c r="V26" s="147">
        <f t="shared" si="2"/>
        <v>80</v>
      </c>
      <c r="W26" s="147">
        <f t="shared" si="3"/>
        <v>64</v>
      </c>
      <c r="X26" s="267">
        <f t="shared" si="4"/>
        <v>46082</v>
      </c>
      <c r="Y26" s="147">
        <f t="shared" si="5"/>
        <v>89</v>
      </c>
      <c r="Z26" s="267">
        <f t="shared" si="6"/>
        <v>45870</v>
      </c>
      <c r="AA26" s="147">
        <f t="shared" si="7"/>
        <v>73</v>
      </c>
      <c r="AB26" s="147">
        <f t="shared" si="8"/>
        <v>86</v>
      </c>
      <c r="AC26" s="268" t="s">
        <v>5224</v>
      </c>
    </row>
    <row r="27" spans="2:29" ht="15" customHeight="1" x14ac:dyDescent="0.35">
      <c r="B27" s="7" t="s">
        <v>5225</v>
      </c>
      <c r="C27" s="266">
        <v>23548.433333333302</v>
      </c>
      <c r="D27" s="266">
        <v>28436.25</v>
      </c>
      <c r="E27" s="266">
        <v>25241.5</v>
      </c>
      <c r="F27" s="266">
        <v>27491.0333333333</v>
      </c>
      <c r="G27" s="266">
        <v>27518.683333333302</v>
      </c>
      <c r="H27" s="266">
        <v>23579.95</v>
      </c>
      <c r="I27" s="266">
        <v>24096.9</v>
      </c>
      <c r="J27" s="266">
        <v>28348</v>
      </c>
      <c r="K27" s="266">
        <v>30849.666666666599</v>
      </c>
      <c r="L27" s="266">
        <v>26765.516666666699</v>
      </c>
      <c r="M27" s="266">
        <v>21806.9666666667</v>
      </c>
      <c r="N27" s="266">
        <v>25030.416666666701</v>
      </c>
      <c r="O27" s="266">
        <v>26797.816666666698</v>
      </c>
      <c r="P27" s="266">
        <v>29597.466666666602</v>
      </c>
      <c r="Q27" s="266">
        <v>32825.016666666699</v>
      </c>
      <c r="R27" s="266">
        <v>32036.133333333401</v>
      </c>
      <c r="T27" s="147">
        <f t="shared" si="0"/>
        <v>27123.109375000004</v>
      </c>
      <c r="U27" s="147">
        <f t="shared" si="1"/>
        <v>26032.593749999989</v>
      </c>
      <c r="V27" s="147">
        <f t="shared" si="2"/>
        <v>28213.625000000007</v>
      </c>
      <c r="W27" s="147">
        <f t="shared" si="3"/>
        <v>21806.9666666667</v>
      </c>
      <c r="X27" s="267">
        <f t="shared" si="4"/>
        <v>46082</v>
      </c>
      <c r="Y27" s="147">
        <f t="shared" si="5"/>
        <v>32825.016666666699</v>
      </c>
      <c r="Z27" s="267">
        <f t="shared" si="6"/>
        <v>46204</v>
      </c>
      <c r="AA27" s="147">
        <f t="shared" si="7"/>
        <v>24096.9</v>
      </c>
      <c r="AB27" s="147">
        <f t="shared" si="8"/>
        <v>29597.466666666602</v>
      </c>
      <c r="AC27" s="268" t="s">
        <v>5222</v>
      </c>
    </row>
    <row r="28" spans="2:29" ht="15" customHeight="1" x14ac:dyDescent="0.35">
      <c r="B28" s="7" t="s">
        <v>5226</v>
      </c>
      <c r="C28" s="266">
        <v>13522.7424895924</v>
      </c>
      <c r="D28" s="266">
        <v>13497.489999560399</v>
      </c>
      <c r="E28" s="266">
        <v>13496.769209436799</v>
      </c>
      <c r="F28" s="266">
        <v>13527.778148269001</v>
      </c>
      <c r="G28" s="266">
        <v>13495.703827884199</v>
      </c>
      <c r="H28" s="266">
        <v>13511.042220191301</v>
      </c>
      <c r="I28" s="266">
        <v>13483.522776788701</v>
      </c>
      <c r="J28" s="266">
        <v>13501.8343445746</v>
      </c>
      <c r="K28" s="266">
        <v>15573.0726426002</v>
      </c>
      <c r="L28" s="266">
        <v>15686.426129142499</v>
      </c>
      <c r="M28" s="266">
        <v>15504.2012567849</v>
      </c>
      <c r="N28" s="266">
        <v>15822.768964426599</v>
      </c>
      <c r="O28" s="266">
        <v>16084.4745436351</v>
      </c>
      <c r="P28" s="266">
        <v>15844.2411737942</v>
      </c>
      <c r="Q28" s="266">
        <v>15573.277698259601</v>
      </c>
      <c r="R28" s="266">
        <v>15951.653549533599</v>
      </c>
      <c r="T28" s="147">
        <f t="shared" si="0"/>
        <v>14629.812435904629</v>
      </c>
      <c r="U28" s="147">
        <f t="shared" si="1"/>
        <v>13504.610377037174</v>
      </c>
      <c r="V28" s="147">
        <f t="shared" si="2"/>
        <v>15755.014494772087</v>
      </c>
      <c r="W28" s="147">
        <f t="shared" si="3"/>
        <v>13483.522776788701</v>
      </c>
      <c r="X28" s="267">
        <f t="shared" si="4"/>
        <v>45839</v>
      </c>
      <c r="Y28" s="147">
        <f t="shared" si="5"/>
        <v>16084.4745436351</v>
      </c>
      <c r="Z28" s="267">
        <f t="shared" si="6"/>
        <v>46143</v>
      </c>
      <c r="AA28" s="147">
        <f t="shared" si="7"/>
        <v>13497.489999560399</v>
      </c>
      <c r="AB28" s="147">
        <f t="shared" si="8"/>
        <v>15822.768964426599</v>
      </c>
      <c r="AC28" s="268" t="s">
        <v>5227</v>
      </c>
    </row>
    <row r="29" spans="2:29" ht="15" customHeight="1" x14ac:dyDescent="0.35">
      <c r="B29" s="7" t="s">
        <v>5228</v>
      </c>
      <c r="C29" s="266">
        <v>318439400</v>
      </c>
      <c r="D29" s="266">
        <v>383818000</v>
      </c>
      <c r="E29" s="266">
        <v>340678700</v>
      </c>
      <c r="F29" s="266">
        <v>371892600</v>
      </c>
      <c r="G29" s="266">
        <v>371384000</v>
      </c>
      <c r="H29" s="266">
        <v>318589700</v>
      </c>
      <c r="I29" s="266">
        <v>324911100</v>
      </c>
      <c r="J29" s="266">
        <v>382750000</v>
      </c>
      <c r="K29" s="266">
        <v>480424100</v>
      </c>
      <c r="L29" s="266">
        <v>419855300</v>
      </c>
      <c r="M29" s="266">
        <v>338099600</v>
      </c>
      <c r="N29" s="266">
        <v>396050500</v>
      </c>
      <c r="O29" s="266">
        <v>431028800</v>
      </c>
      <c r="P29" s="266">
        <v>468949400</v>
      </c>
      <c r="Q29" s="266">
        <v>511193100</v>
      </c>
      <c r="R29" s="266">
        <v>511029300</v>
      </c>
      <c r="T29" s="147">
        <f t="shared" si="0"/>
        <v>398068350</v>
      </c>
      <c r="U29" s="147">
        <f t="shared" si="1"/>
        <v>351557937.5</v>
      </c>
      <c r="V29" s="147">
        <f t="shared" si="2"/>
        <v>444578762.5</v>
      </c>
      <c r="W29" s="147">
        <f t="shared" si="3"/>
        <v>318439400</v>
      </c>
      <c r="X29" s="267">
        <f t="shared" si="4"/>
        <v>45658</v>
      </c>
      <c r="Y29" s="147">
        <f t="shared" si="5"/>
        <v>511193100</v>
      </c>
      <c r="Z29" s="267">
        <f t="shared" si="6"/>
        <v>46204</v>
      </c>
      <c r="AA29" s="147">
        <f t="shared" si="7"/>
        <v>338099600</v>
      </c>
      <c r="AB29" s="147">
        <f t="shared" si="8"/>
        <v>468949400</v>
      </c>
      <c r="AC29" s="268" t="s">
        <v>3861</v>
      </c>
    </row>
    <row r="30" spans="2:29" ht="15" customHeight="1" x14ac:dyDescent="0.35">
      <c r="B30" s="7" t="s">
        <v>5229</v>
      </c>
      <c r="C30" s="266">
        <v>2016.5032578256601</v>
      </c>
      <c r="D30" s="266">
        <v>1969.93797509249</v>
      </c>
      <c r="E30" s="266">
        <v>1940.6089823254099</v>
      </c>
      <c r="F30" s="266">
        <v>1893.6581158865399</v>
      </c>
      <c r="G30" s="266">
        <v>1917.7796592566001</v>
      </c>
      <c r="H30" s="266">
        <v>1909.94892009398</v>
      </c>
      <c r="I30" s="266">
        <v>1912.3101711925499</v>
      </c>
      <c r="J30" s="266">
        <v>1894.73497994625</v>
      </c>
      <c r="K30" s="266">
        <v>1868.9025652846601</v>
      </c>
      <c r="L30" s="266">
        <v>1886.75606114782</v>
      </c>
      <c r="M30" s="266">
        <v>1906.31892135269</v>
      </c>
      <c r="N30" s="266">
        <v>2001.60403245049</v>
      </c>
      <c r="O30" s="266">
        <v>2202.97196898021</v>
      </c>
      <c r="P30" s="266">
        <v>2600.1174401980702</v>
      </c>
      <c r="Q30" s="266">
        <v>2757.9522868243498</v>
      </c>
      <c r="R30" s="266">
        <v>2673.5488886888002</v>
      </c>
      <c r="T30" s="147">
        <f t="shared" si="0"/>
        <v>2084.603389159161</v>
      </c>
      <c r="U30" s="147">
        <f t="shared" si="1"/>
        <v>1931.9352577024351</v>
      </c>
      <c r="V30" s="147">
        <f t="shared" si="2"/>
        <v>2237.2715206158864</v>
      </c>
      <c r="W30" s="147">
        <f t="shared" si="3"/>
        <v>1868.9025652846601</v>
      </c>
      <c r="X30" s="267">
        <f t="shared" si="4"/>
        <v>46023</v>
      </c>
      <c r="Y30" s="147">
        <f t="shared" si="5"/>
        <v>2757.9522868243498</v>
      </c>
      <c r="Z30" s="267">
        <f t="shared" si="6"/>
        <v>46204</v>
      </c>
      <c r="AA30" s="147">
        <f t="shared" si="7"/>
        <v>1894.73497994625</v>
      </c>
      <c r="AB30" s="147">
        <f t="shared" si="8"/>
        <v>2202.97196898021</v>
      </c>
      <c r="AC30" s="268" t="s">
        <v>3915</v>
      </c>
    </row>
    <row r="31" spans="2:29" ht="15" customHeight="1" x14ac:dyDescent="0.35">
      <c r="B31" s="7" t="s">
        <v>5230</v>
      </c>
      <c r="C31" s="266">
        <v>3300</v>
      </c>
      <c r="D31" s="266">
        <v>3300</v>
      </c>
      <c r="E31" s="266">
        <v>3300</v>
      </c>
      <c r="F31" s="266">
        <v>3300</v>
      </c>
      <c r="G31" s="266">
        <v>3300</v>
      </c>
      <c r="H31" s="266">
        <v>3300</v>
      </c>
      <c r="I31" s="266">
        <v>3300</v>
      </c>
      <c r="J31" s="266">
        <v>3300</v>
      </c>
      <c r="K31" s="266">
        <v>0</v>
      </c>
      <c r="L31" s="266">
        <v>0</v>
      </c>
      <c r="M31" s="266">
        <v>0</v>
      </c>
      <c r="N31" s="266">
        <v>2950</v>
      </c>
      <c r="O31" s="266">
        <v>0</v>
      </c>
      <c r="P31" s="266">
        <v>0</v>
      </c>
      <c r="Q31" s="266">
        <v>4450.6129597197896</v>
      </c>
      <c r="R31" s="266">
        <v>4526.8045148439696</v>
      </c>
      <c r="T31" s="147">
        <f t="shared" si="0"/>
        <v>2395.4635921602348</v>
      </c>
      <c r="U31" s="147">
        <f t="shared" si="1"/>
        <v>3300</v>
      </c>
      <c r="V31" s="147">
        <f t="shared" si="2"/>
        <v>1490.9271843204699</v>
      </c>
      <c r="W31" s="147">
        <f t="shared" si="3"/>
        <v>0</v>
      </c>
      <c r="X31" s="267">
        <f t="shared" si="4"/>
        <v>46023</v>
      </c>
      <c r="Y31" s="147">
        <f t="shared" si="5"/>
        <v>4526.8045148439696</v>
      </c>
      <c r="Z31" s="267">
        <f t="shared" si="6"/>
        <v>46235</v>
      </c>
      <c r="AA31" s="147">
        <f t="shared" si="7"/>
        <v>0</v>
      </c>
      <c r="AB31" s="147">
        <f t="shared" si="8"/>
        <v>3300</v>
      </c>
      <c r="AC31" s="268" t="s">
        <v>3915</v>
      </c>
    </row>
    <row r="32" spans="2:29" ht="15" customHeight="1" x14ac:dyDescent="0.35">
      <c r="B32" s="7" t="s">
        <v>5231</v>
      </c>
      <c r="C32" s="266">
        <v>16334.923015476799</v>
      </c>
      <c r="D32" s="266">
        <v>15852.309493978901</v>
      </c>
      <c r="E32" s="266">
        <v>16399.2899406904</v>
      </c>
      <c r="F32" s="266">
        <v>16384.1079903149</v>
      </c>
      <c r="G32" s="266">
        <v>15732.449188000101</v>
      </c>
      <c r="H32" s="266">
        <v>15119.3717617238</v>
      </c>
      <c r="I32" s="266">
        <v>15129.1289025512</v>
      </c>
      <c r="J32" s="266">
        <v>15670.5265777848</v>
      </c>
      <c r="K32" s="266">
        <v>15543.041330030999</v>
      </c>
      <c r="L32" s="266">
        <v>16240.054653028499</v>
      </c>
      <c r="M32" s="266">
        <v>16327.731217809</v>
      </c>
      <c r="N32" s="266">
        <v>17165.665626502501</v>
      </c>
      <c r="O32" s="266">
        <v>17381.708880801001</v>
      </c>
      <c r="P32" s="266">
        <v>17437.818543501799</v>
      </c>
      <c r="Q32" s="266">
        <v>17240.006011421701</v>
      </c>
      <c r="R32" s="266">
        <v>17257.997793724498</v>
      </c>
      <c r="T32" s="147">
        <f t="shared" si="0"/>
        <v>16326.008182958807</v>
      </c>
      <c r="U32" s="147">
        <f t="shared" si="1"/>
        <v>15827.763358815111</v>
      </c>
      <c r="V32" s="147">
        <f t="shared" si="2"/>
        <v>16824.253007102503</v>
      </c>
      <c r="W32" s="147">
        <f t="shared" si="3"/>
        <v>15119.3717617238</v>
      </c>
      <c r="X32" s="267">
        <f t="shared" si="4"/>
        <v>45809</v>
      </c>
      <c r="Y32" s="147">
        <f t="shared" si="5"/>
        <v>17437.818543501799</v>
      </c>
      <c r="Z32" s="267">
        <f t="shared" si="6"/>
        <v>46174</v>
      </c>
      <c r="AA32" s="147">
        <f t="shared" si="7"/>
        <v>15670.5265777848</v>
      </c>
      <c r="AB32" s="147">
        <f t="shared" si="8"/>
        <v>17240.006011421701</v>
      </c>
      <c r="AC32" s="268" t="s">
        <v>3915</v>
      </c>
    </row>
    <row r="33" spans="2:33" ht="15" customHeight="1" x14ac:dyDescent="0.35">
      <c r="B33" s="7" t="s">
        <v>5232</v>
      </c>
      <c r="C33" s="266">
        <v>9510.3218647035101</v>
      </c>
      <c r="D33" s="266">
        <v>9572.1046270108</v>
      </c>
      <c r="E33" s="266">
        <v>9587.9641961130692</v>
      </c>
      <c r="F33" s="266">
        <v>9761.9971049790802</v>
      </c>
      <c r="G33" s="266">
        <v>9483.8497934871502</v>
      </c>
      <c r="H33" s="266">
        <v>9303.2734004019294</v>
      </c>
      <c r="I33" s="266">
        <v>9341.8374467272497</v>
      </c>
      <c r="J33" s="266">
        <v>9324.3287146052098</v>
      </c>
      <c r="K33" s="266">
        <v>0</v>
      </c>
      <c r="L33" s="266">
        <v>9614.3578259747501</v>
      </c>
      <c r="M33" s="266">
        <v>9697.1230870599793</v>
      </c>
      <c r="N33" s="266">
        <v>9865.2499228835404</v>
      </c>
      <c r="O33" s="266">
        <v>10106.7372710203</v>
      </c>
      <c r="P33" s="266">
        <v>10190.7121924931</v>
      </c>
      <c r="Q33" s="266">
        <v>10328.134039705699</v>
      </c>
      <c r="R33" s="266">
        <v>10173.3658840402</v>
      </c>
      <c r="T33" s="147">
        <f t="shared" si="0"/>
        <v>9116.334835700347</v>
      </c>
      <c r="U33" s="147">
        <f t="shared" si="1"/>
        <v>9485.7096435034982</v>
      </c>
      <c r="V33" s="147">
        <f t="shared" si="2"/>
        <v>8746.9600278971957</v>
      </c>
      <c r="W33" s="147">
        <f t="shared" si="3"/>
        <v>0</v>
      </c>
      <c r="X33" s="267">
        <f t="shared" si="4"/>
        <v>46023</v>
      </c>
      <c r="Y33" s="147">
        <f t="shared" si="5"/>
        <v>10328.134039705699</v>
      </c>
      <c r="Z33" s="267">
        <f t="shared" si="6"/>
        <v>46204</v>
      </c>
      <c r="AA33" s="147">
        <f t="shared" si="7"/>
        <v>9341.8374467272497</v>
      </c>
      <c r="AB33" s="147">
        <f t="shared" si="8"/>
        <v>10106.7372710203</v>
      </c>
      <c r="AC33" s="268" t="s">
        <v>5233</v>
      </c>
    </row>
    <row r="35" spans="2:33" ht="15" customHeight="1" x14ac:dyDescent="0.35">
      <c r="B35" s="4" t="s">
        <v>5234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 spans="2:33" ht="15" customHeight="1" x14ac:dyDescent="0.35">
      <c r="B36" s="7" t="s">
        <v>5235</v>
      </c>
      <c r="C36" s="269">
        <f t="shared" ref="C36:R36" si="9">IF(C11=0,0,(C14-C12)/C11)</f>
        <v>0.69820375695519032</v>
      </c>
      <c r="D36" s="269">
        <f t="shared" si="9"/>
        <v>0.70359527163223989</v>
      </c>
      <c r="E36" s="269">
        <f t="shared" si="9"/>
        <v>0.6987765483762941</v>
      </c>
      <c r="F36" s="269">
        <f t="shared" si="9"/>
        <v>0.69646919028511178</v>
      </c>
      <c r="G36" s="269">
        <f t="shared" si="9"/>
        <v>0.7008776051659078</v>
      </c>
      <c r="H36" s="269">
        <f t="shared" si="9"/>
        <v>0.70858891092754162</v>
      </c>
      <c r="I36" s="269">
        <f t="shared" si="9"/>
        <v>0.70642898544632293</v>
      </c>
      <c r="J36" s="269">
        <f t="shared" si="9"/>
        <v>0.71321177059871455</v>
      </c>
      <c r="K36" s="269">
        <f t="shared" si="9"/>
        <v>0.71307221206422633</v>
      </c>
      <c r="L36" s="269">
        <f t="shared" si="9"/>
        <v>0.6887992486748642</v>
      </c>
      <c r="M36" s="269">
        <f t="shared" si="9"/>
        <v>0.68172586057255302</v>
      </c>
      <c r="N36" s="269">
        <f t="shared" si="9"/>
        <v>0.68463474362086441</v>
      </c>
      <c r="O36" s="269">
        <f t="shared" si="9"/>
        <v>0.69281076344478132</v>
      </c>
      <c r="P36" s="269">
        <f t="shared" si="9"/>
        <v>0.7161782018712437</v>
      </c>
      <c r="Q36" s="269">
        <f t="shared" si="9"/>
        <v>0.71146971744141463</v>
      </c>
      <c r="R36" s="269">
        <f t="shared" si="9"/>
        <v>0.6448338567255848</v>
      </c>
      <c r="T36" s="269">
        <f t="shared" ref="T36:T46" si="10">AVERAGE(C36:R36)</f>
        <v>0.69747979023767837</v>
      </c>
      <c r="U36" s="269">
        <f t="shared" ref="U36:U46" si="11">AVERAGE(C36:J36)</f>
        <v>0.70326900492341538</v>
      </c>
      <c r="V36" s="269">
        <f t="shared" ref="V36:V46" si="12">AVERAGE(K36:R36)</f>
        <v>0.69169057555194158</v>
      </c>
      <c r="W36" s="269">
        <f t="shared" ref="W36:W46" si="13">MIN(C36:R36)</f>
        <v>0.6448338567255848</v>
      </c>
      <c r="X36" s="267">
        <f t="shared" ref="X36:X46" si="14">INDEX($C$5:$R$5,MATCH(MIN(C36:R36),C36:R36,0))</f>
        <v>46235</v>
      </c>
      <c r="Y36" s="269">
        <f t="shared" ref="Y36:Y46" si="15">MAX(C36:R36)</f>
        <v>0.7161782018712437</v>
      </c>
      <c r="Z36" s="267">
        <f t="shared" ref="Z36:Z46" si="16">INDEX($C$5:$R$5,MATCH(MAX(C36:R36),C36:R36,0))</f>
        <v>46174</v>
      </c>
      <c r="AA36" s="269">
        <f t="shared" ref="AA36:AA46" si="17">SMALL(C36:R36,ROUND(COUNT(C36:R36)/4,0))</f>
        <v>0.6887992486748642</v>
      </c>
      <c r="AB36" s="269">
        <f t="shared" ref="AB36:AB46" si="18">LARGE(C36:R36,ROUND(COUNT(C36:R36)/4,0))</f>
        <v>0.71146971744141463</v>
      </c>
      <c r="AC36" s="268" t="s">
        <v>13</v>
      </c>
    </row>
    <row r="37" spans="2:33" ht="15" customHeight="1" x14ac:dyDescent="0.35">
      <c r="B37" s="7" t="s">
        <v>5236</v>
      </c>
      <c r="C37" s="269">
        <f t="shared" ref="C37:R37" si="19">IF(C14=0,0,C7/C14)</f>
        <v>0.44085651178441715</v>
      </c>
      <c r="D37" s="269">
        <f t="shared" si="19"/>
        <v>0.44194197428091442</v>
      </c>
      <c r="E37" s="269">
        <f t="shared" si="19"/>
        <v>0.43482635681667114</v>
      </c>
      <c r="F37" s="269">
        <f t="shared" si="19"/>
        <v>0.42989783819134175</v>
      </c>
      <c r="G37" s="269">
        <f t="shared" si="19"/>
        <v>0.4468699132247374</v>
      </c>
      <c r="H37" s="269">
        <f t="shared" si="19"/>
        <v>0.44584654262178935</v>
      </c>
      <c r="I37" s="269">
        <f t="shared" si="19"/>
        <v>0.45823907693885135</v>
      </c>
      <c r="J37" s="269">
        <f t="shared" si="19"/>
        <v>0.45456723819545192</v>
      </c>
      <c r="K37" s="269">
        <f t="shared" si="19"/>
        <v>0.42700285394938381</v>
      </c>
      <c r="L37" s="269">
        <f t="shared" si="19"/>
        <v>0.46825262796537204</v>
      </c>
      <c r="M37" s="269">
        <f t="shared" si="19"/>
        <v>0.43525160167570714</v>
      </c>
      <c r="N37" s="269">
        <f t="shared" si="19"/>
        <v>0.43952924378560698</v>
      </c>
      <c r="O37" s="269">
        <f t="shared" si="19"/>
        <v>0.43328892108078892</v>
      </c>
      <c r="P37" s="269">
        <f t="shared" si="19"/>
        <v>0.43636500571456965</v>
      </c>
      <c r="Q37" s="269">
        <f t="shared" si="19"/>
        <v>0.44890836032512377</v>
      </c>
      <c r="R37" s="269">
        <f t="shared" si="19"/>
        <v>0.47362873449331511</v>
      </c>
      <c r="T37" s="269">
        <f t="shared" si="10"/>
        <v>0.44470455006525261</v>
      </c>
      <c r="U37" s="269">
        <f t="shared" si="11"/>
        <v>0.44413068150677182</v>
      </c>
      <c r="V37" s="269">
        <f t="shared" si="12"/>
        <v>0.44527841862373346</v>
      </c>
      <c r="W37" s="269">
        <f t="shared" si="13"/>
        <v>0.42700285394938381</v>
      </c>
      <c r="X37" s="267">
        <f t="shared" si="14"/>
        <v>46023</v>
      </c>
      <c r="Y37" s="269">
        <f t="shared" si="15"/>
        <v>0.47362873449331511</v>
      </c>
      <c r="Z37" s="267">
        <f t="shared" si="16"/>
        <v>46235</v>
      </c>
      <c r="AA37" s="269">
        <f t="shared" si="17"/>
        <v>0.43482635681667114</v>
      </c>
      <c r="AB37" s="269">
        <f t="shared" si="18"/>
        <v>0.45456723819545192</v>
      </c>
      <c r="AC37" s="268" t="s">
        <v>13</v>
      </c>
    </row>
    <row r="38" spans="2:33" ht="15" customHeight="1" x14ac:dyDescent="0.35">
      <c r="B38" s="7" t="s">
        <v>5237</v>
      </c>
      <c r="C38" s="269">
        <f t="shared" ref="C38:R38" si="20">IF(C7=0,0,C8/C7)</f>
        <v>0.91278284195128567</v>
      </c>
      <c r="D38" s="269">
        <f t="shared" si="20"/>
        <v>0.94017234960210672</v>
      </c>
      <c r="E38" s="269">
        <f t="shared" si="20"/>
        <v>0.9266677148946848</v>
      </c>
      <c r="F38" s="269">
        <f t="shared" si="20"/>
        <v>0.93306320475568472</v>
      </c>
      <c r="G38" s="269">
        <f t="shared" si="20"/>
        <v>0.94580978227934343</v>
      </c>
      <c r="H38" s="269">
        <f t="shared" si="20"/>
        <v>0.94979385897464064</v>
      </c>
      <c r="I38" s="269">
        <f t="shared" si="20"/>
        <v>0.94662713639168539</v>
      </c>
      <c r="J38" s="269">
        <f t="shared" si="20"/>
        <v>0.94588516390014155</v>
      </c>
      <c r="K38" s="269">
        <f t="shared" si="20"/>
        <v>0.94985816147029267</v>
      </c>
      <c r="L38" s="269">
        <f t="shared" si="20"/>
        <v>0.94399247951376986</v>
      </c>
      <c r="M38" s="269">
        <f t="shared" si="20"/>
        <v>0.94147693562741031</v>
      </c>
      <c r="N38" s="269">
        <f t="shared" si="20"/>
        <v>0.9284578568189833</v>
      </c>
      <c r="O38" s="269">
        <f t="shared" si="20"/>
        <v>0.92937268717035659</v>
      </c>
      <c r="P38" s="269">
        <f t="shared" si="20"/>
        <v>0.93423606902508172</v>
      </c>
      <c r="Q38" s="269">
        <f t="shared" si="20"/>
        <v>0.92220393813208446</v>
      </c>
      <c r="R38" s="269">
        <f t="shared" si="20"/>
        <v>0.93217976835789362</v>
      </c>
      <c r="T38" s="269">
        <f t="shared" si="10"/>
        <v>0.93641124680409038</v>
      </c>
      <c r="U38" s="269">
        <f t="shared" si="11"/>
        <v>0.93760025659369672</v>
      </c>
      <c r="V38" s="269">
        <f t="shared" si="12"/>
        <v>0.93522223701448404</v>
      </c>
      <c r="W38" s="269">
        <f t="shared" si="13"/>
        <v>0.91278284195128567</v>
      </c>
      <c r="X38" s="267">
        <f t="shared" si="14"/>
        <v>45658</v>
      </c>
      <c r="Y38" s="269">
        <f t="shared" si="15"/>
        <v>0.94985816147029267</v>
      </c>
      <c r="Z38" s="267">
        <f t="shared" si="16"/>
        <v>46023</v>
      </c>
      <c r="AA38" s="269">
        <f t="shared" si="17"/>
        <v>0.9284578568189833</v>
      </c>
      <c r="AB38" s="269">
        <f t="shared" si="18"/>
        <v>0.94588516390014155</v>
      </c>
      <c r="AC38" s="268" t="s">
        <v>13</v>
      </c>
    </row>
    <row r="39" spans="2:33" ht="15" customHeight="1" x14ac:dyDescent="0.35">
      <c r="B39" s="7" t="s">
        <v>5238</v>
      </c>
      <c r="C39" s="269">
        <f t="shared" ref="C39:R39" si="21">IF(C7=0,0,C9/C7)</f>
        <v>4.7319353822974919E-2</v>
      </c>
      <c r="D39" s="269">
        <f t="shared" si="21"/>
        <v>2.8274990947310799E-2</v>
      </c>
      <c r="E39" s="269">
        <f t="shared" si="21"/>
        <v>3.3316974623352612E-2</v>
      </c>
      <c r="F39" s="269">
        <f t="shared" si="21"/>
        <v>3.3455068909444725E-2</v>
      </c>
      <c r="G39" s="269">
        <f t="shared" si="21"/>
        <v>2.664469751192771E-2</v>
      </c>
      <c r="H39" s="269">
        <f t="shared" si="21"/>
        <v>2.2964769290479435E-2</v>
      </c>
      <c r="I39" s="269">
        <f t="shared" si="21"/>
        <v>2.3225201948777294E-2</v>
      </c>
      <c r="J39" s="269">
        <f t="shared" si="21"/>
        <v>2.5007591948523724E-2</v>
      </c>
      <c r="K39" s="269">
        <f t="shared" si="21"/>
        <v>2.2825443129389066E-2</v>
      </c>
      <c r="L39" s="269">
        <f t="shared" si="21"/>
        <v>2.7377053057266846E-2</v>
      </c>
      <c r="M39" s="269">
        <f t="shared" si="21"/>
        <v>2.9318161299059755E-2</v>
      </c>
      <c r="N39" s="269">
        <f t="shared" si="21"/>
        <v>3.9903269686130283E-2</v>
      </c>
      <c r="O39" s="269">
        <f t="shared" si="21"/>
        <v>3.7846550495609588E-2</v>
      </c>
      <c r="P39" s="269">
        <f t="shared" si="21"/>
        <v>3.8611398867849735E-2</v>
      </c>
      <c r="Q39" s="269">
        <f t="shared" si="21"/>
        <v>4.4115519902525192E-2</v>
      </c>
      <c r="R39" s="269">
        <f t="shared" si="21"/>
        <v>4.0357658933037971E-2</v>
      </c>
      <c r="T39" s="269">
        <f t="shared" si="10"/>
        <v>3.2535231523353733E-2</v>
      </c>
      <c r="U39" s="269">
        <f t="shared" si="11"/>
        <v>3.0026081125348904E-2</v>
      </c>
      <c r="V39" s="269">
        <f t="shared" si="12"/>
        <v>3.5044381921358558E-2</v>
      </c>
      <c r="W39" s="269">
        <f t="shared" si="13"/>
        <v>2.2825443129389066E-2</v>
      </c>
      <c r="X39" s="267">
        <f t="shared" si="14"/>
        <v>46023</v>
      </c>
      <c r="Y39" s="269">
        <f t="shared" si="15"/>
        <v>4.7319353822974919E-2</v>
      </c>
      <c r="Z39" s="267">
        <f t="shared" si="16"/>
        <v>45658</v>
      </c>
      <c r="AA39" s="269">
        <f t="shared" si="17"/>
        <v>2.5007591948523724E-2</v>
      </c>
      <c r="AB39" s="269">
        <f t="shared" si="18"/>
        <v>3.9903269686130283E-2</v>
      </c>
      <c r="AC39" s="268" t="s">
        <v>13</v>
      </c>
    </row>
    <row r="40" spans="2:33" ht="15" customHeight="1" x14ac:dyDescent="0.35">
      <c r="B40" s="7" t="s">
        <v>5239</v>
      </c>
      <c r="C40" s="269">
        <f t="shared" ref="C40:R40" si="22">IF(C7=0,0,C10/C7)</f>
        <v>3.9897804225739464E-2</v>
      </c>
      <c r="D40" s="269">
        <f t="shared" si="22"/>
        <v>3.1552659450582519E-2</v>
      </c>
      <c r="E40" s="269">
        <f t="shared" si="22"/>
        <v>4.0015310481962538E-2</v>
      </c>
      <c r="F40" s="269">
        <f t="shared" si="22"/>
        <v>3.3481726334870579E-2</v>
      </c>
      <c r="G40" s="269">
        <f t="shared" si="22"/>
        <v>2.7545520208728809E-2</v>
      </c>
      <c r="H40" s="269">
        <f t="shared" si="22"/>
        <v>2.7241371734879942E-2</v>
      </c>
      <c r="I40" s="269">
        <f t="shared" si="22"/>
        <v>3.0147661659537348E-2</v>
      </c>
      <c r="J40" s="269">
        <f t="shared" si="22"/>
        <v>2.9107244151334751E-2</v>
      </c>
      <c r="K40" s="269">
        <f t="shared" si="22"/>
        <v>2.7316395400318209E-2</v>
      </c>
      <c r="L40" s="269">
        <f t="shared" si="22"/>
        <v>2.8630467428963333E-2</v>
      </c>
      <c r="M40" s="269">
        <f t="shared" si="22"/>
        <v>2.9204903073529978E-2</v>
      </c>
      <c r="N40" s="269">
        <f t="shared" si="22"/>
        <v>3.1638873494886394E-2</v>
      </c>
      <c r="O40" s="269">
        <f t="shared" si="22"/>
        <v>3.2780762334033792E-2</v>
      </c>
      <c r="P40" s="269">
        <f t="shared" si="22"/>
        <v>2.7152532107068521E-2</v>
      </c>
      <c r="Q40" s="269">
        <f t="shared" si="22"/>
        <v>3.3680541965390318E-2</v>
      </c>
      <c r="R40" s="269">
        <f t="shared" si="22"/>
        <v>2.7462572709068371E-2</v>
      </c>
      <c r="T40" s="269">
        <f t="shared" si="10"/>
        <v>3.1053521672555935E-2</v>
      </c>
      <c r="U40" s="269">
        <f t="shared" si="11"/>
        <v>3.2373662280954493E-2</v>
      </c>
      <c r="V40" s="269">
        <f t="shared" si="12"/>
        <v>2.973338106415737E-2</v>
      </c>
      <c r="W40" s="269">
        <f t="shared" si="13"/>
        <v>2.7152532107068521E-2</v>
      </c>
      <c r="X40" s="267">
        <f t="shared" si="14"/>
        <v>46174</v>
      </c>
      <c r="Y40" s="269">
        <f t="shared" si="15"/>
        <v>4.0015310481962538E-2</v>
      </c>
      <c r="Z40" s="267">
        <f t="shared" si="16"/>
        <v>45717</v>
      </c>
      <c r="AA40" s="269">
        <f t="shared" si="17"/>
        <v>2.7462572709068371E-2</v>
      </c>
      <c r="AB40" s="269">
        <f t="shared" si="18"/>
        <v>3.3481726334870579E-2</v>
      </c>
      <c r="AC40" s="268" t="s">
        <v>13</v>
      </c>
    </row>
    <row r="41" spans="2:33" ht="15" customHeight="1" x14ac:dyDescent="0.35">
      <c r="B41" s="7" t="s">
        <v>5240</v>
      </c>
      <c r="C41" s="270">
        <f t="shared" ref="C41:R41" si="23">IF(C7=0,0,C15/C7)</f>
        <v>0.31765587446341242</v>
      </c>
      <c r="D41" s="270">
        <f t="shared" si="23"/>
        <v>0.31880062251858432</v>
      </c>
      <c r="E41" s="270">
        <f t="shared" si="23"/>
        <v>0.30914785415018881</v>
      </c>
      <c r="F41" s="270">
        <f t="shared" si="23"/>
        <v>0.31782759754396256</v>
      </c>
      <c r="G41" s="270">
        <f t="shared" si="23"/>
        <v>0.30244712580234639</v>
      </c>
      <c r="H41" s="270">
        <f t="shared" si="23"/>
        <v>0.29897771626500291</v>
      </c>
      <c r="I41" s="270">
        <f t="shared" si="23"/>
        <v>0.29361018510587344</v>
      </c>
      <c r="J41" s="270">
        <f t="shared" si="23"/>
        <v>0.28988924349814071</v>
      </c>
      <c r="K41" s="270">
        <f t="shared" si="23"/>
        <v>0.27552491176847055</v>
      </c>
      <c r="L41" s="270">
        <f t="shared" si="23"/>
        <v>0.25255412739892869</v>
      </c>
      <c r="M41" s="270">
        <f t="shared" si="23"/>
        <v>0.26561673738924069</v>
      </c>
      <c r="N41" s="270">
        <f t="shared" si="23"/>
        <v>0.26933145246611923</v>
      </c>
      <c r="O41" s="270">
        <f t="shared" si="23"/>
        <v>0.26498387251764594</v>
      </c>
      <c r="P41" s="270">
        <f t="shared" si="23"/>
        <v>0.25695974912910835</v>
      </c>
      <c r="Q41" s="270">
        <f t="shared" si="23"/>
        <v>0.26348659636273292</v>
      </c>
      <c r="R41" s="270">
        <f t="shared" si="23"/>
        <v>0.23157755756210988</v>
      </c>
      <c r="T41" s="270">
        <f t="shared" si="10"/>
        <v>0.28302445149636679</v>
      </c>
      <c r="U41" s="270">
        <f t="shared" si="11"/>
        <v>0.30604452741843896</v>
      </c>
      <c r="V41" s="270">
        <f t="shared" si="12"/>
        <v>0.26000437557429451</v>
      </c>
      <c r="W41" s="270">
        <f t="shared" si="13"/>
        <v>0.23157755756210988</v>
      </c>
      <c r="X41" s="267">
        <f t="shared" si="14"/>
        <v>46235</v>
      </c>
      <c r="Y41" s="270">
        <f t="shared" si="15"/>
        <v>0.31880062251858432</v>
      </c>
      <c r="Z41" s="267">
        <f t="shared" si="16"/>
        <v>45689</v>
      </c>
      <c r="AA41" s="270">
        <f t="shared" si="17"/>
        <v>0.26348659636273292</v>
      </c>
      <c r="AB41" s="270">
        <f t="shared" si="18"/>
        <v>0.30914785415018881</v>
      </c>
      <c r="AC41" s="268" t="s">
        <v>4266</v>
      </c>
    </row>
    <row r="42" spans="2:33" ht="15" customHeight="1" x14ac:dyDescent="0.35">
      <c r="B42" s="7" t="s">
        <v>5241</v>
      </c>
      <c r="C42" s="270">
        <f t="shared" ref="C42:R42" si="24">IF(C7=0,0,C16/C7)</f>
        <v>0.30209388564519735</v>
      </c>
      <c r="D42" s="270">
        <f t="shared" si="24"/>
        <v>0.29533303847847364</v>
      </c>
      <c r="E42" s="270">
        <f t="shared" si="24"/>
        <v>0.31206420966171655</v>
      </c>
      <c r="F42" s="270">
        <f t="shared" si="24"/>
        <v>0.31239910800875892</v>
      </c>
      <c r="G42" s="270">
        <f t="shared" si="24"/>
        <v>0.3076438706959268</v>
      </c>
      <c r="H42" s="270">
        <f t="shared" si="24"/>
        <v>0.3092612345013529</v>
      </c>
      <c r="I42" s="270">
        <f t="shared" si="24"/>
        <v>0.29239360883234183</v>
      </c>
      <c r="J42" s="270">
        <f t="shared" si="24"/>
        <v>0.29795784568265943</v>
      </c>
      <c r="K42" s="270">
        <f t="shared" si="24"/>
        <v>0.32814936782247522</v>
      </c>
      <c r="L42" s="270">
        <f t="shared" si="24"/>
        <v>0.31316696134412136</v>
      </c>
      <c r="M42" s="270">
        <f t="shared" si="24"/>
        <v>0.33998317701928854</v>
      </c>
      <c r="N42" s="270">
        <f t="shared" si="24"/>
        <v>0.34755715687150585</v>
      </c>
      <c r="O42" s="270">
        <f t="shared" si="24"/>
        <v>0.35551769220763674</v>
      </c>
      <c r="P42" s="270">
        <f t="shared" si="24"/>
        <v>0.35709398099321688</v>
      </c>
      <c r="Q42" s="270">
        <f t="shared" si="24"/>
        <v>0.34768906347011008</v>
      </c>
      <c r="R42" s="270">
        <f t="shared" si="24"/>
        <v>0.33359618716248252</v>
      </c>
      <c r="T42" s="270">
        <f t="shared" si="10"/>
        <v>0.32199377427482906</v>
      </c>
      <c r="U42" s="270">
        <f t="shared" si="11"/>
        <v>0.30364335018830341</v>
      </c>
      <c r="V42" s="270">
        <f t="shared" si="12"/>
        <v>0.3403441983613546</v>
      </c>
      <c r="W42" s="270">
        <f t="shared" si="13"/>
        <v>0.29239360883234183</v>
      </c>
      <c r="X42" s="267">
        <f t="shared" si="14"/>
        <v>45839</v>
      </c>
      <c r="Y42" s="270">
        <f t="shared" si="15"/>
        <v>0.35709398099321688</v>
      </c>
      <c r="Z42" s="267">
        <f t="shared" si="16"/>
        <v>46174</v>
      </c>
      <c r="AA42" s="270">
        <f t="shared" si="17"/>
        <v>0.30209388564519735</v>
      </c>
      <c r="AB42" s="270">
        <f t="shared" si="18"/>
        <v>0.34755715687150585</v>
      </c>
      <c r="AC42" s="268" t="s">
        <v>5242</v>
      </c>
    </row>
    <row r="43" spans="2:33" ht="15" customHeight="1" x14ac:dyDescent="0.35">
      <c r="B43" s="7" t="s">
        <v>5243</v>
      </c>
      <c r="C43" s="147">
        <f t="shared" ref="C43:R43" si="25">C26*8</f>
        <v>640</v>
      </c>
      <c r="D43" s="147">
        <f t="shared" si="25"/>
        <v>672</v>
      </c>
      <c r="E43" s="147">
        <f t="shared" si="25"/>
        <v>520</v>
      </c>
      <c r="F43" s="147">
        <f t="shared" si="25"/>
        <v>600</v>
      </c>
      <c r="G43" s="147">
        <f t="shared" si="25"/>
        <v>664</v>
      </c>
      <c r="H43" s="147">
        <f t="shared" si="25"/>
        <v>584</v>
      </c>
      <c r="I43" s="147">
        <f t="shared" si="25"/>
        <v>608</v>
      </c>
      <c r="J43" s="147">
        <f t="shared" si="25"/>
        <v>712</v>
      </c>
      <c r="K43" s="147">
        <f t="shared" si="25"/>
        <v>680</v>
      </c>
      <c r="L43" s="147">
        <f t="shared" si="25"/>
        <v>656</v>
      </c>
      <c r="M43" s="147">
        <f t="shared" si="25"/>
        <v>512</v>
      </c>
      <c r="N43" s="147">
        <f t="shared" si="25"/>
        <v>512</v>
      </c>
      <c r="O43" s="147">
        <f t="shared" si="25"/>
        <v>688</v>
      </c>
      <c r="P43" s="147">
        <f t="shared" si="25"/>
        <v>688</v>
      </c>
      <c r="Q43" s="147">
        <f t="shared" si="25"/>
        <v>688</v>
      </c>
      <c r="R43" s="147">
        <f t="shared" si="25"/>
        <v>696</v>
      </c>
      <c r="T43" s="147">
        <f t="shared" si="10"/>
        <v>632.5</v>
      </c>
      <c r="U43" s="147">
        <f t="shared" si="11"/>
        <v>625</v>
      </c>
      <c r="V43" s="147">
        <f t="shared" si="12"/>
        <v>640</v>
      </c>
      <c r="W43" s="147">
        <f t="shared" si="13"/>
        <v>512</v>
      </c>
      <c r="X43" s="267">
        <f t="shared" si="14"/>
        <v>46082</v>
      </c>
      <c r="Y43" s="147">
        <f t="shared" si="15"/>
        <v>712</v>
      </c>
      <c r="Z43" s="267">
        <f t="shared" si="16"/>
        <v>45870</v>
      </c>
      <c r="AA43" s="147">
        <f t="shared" si="17"/>
        <v>584</v>
      </c>
      <c r="AB43" s="147">
        <f t="shared" si="18"/>
        <v>688</v>
      </c>
      <c r="AC43" s="268" t="s">
        <v>3893</v>
      </c>
    </row>
    <row r="44" spans="2:33" ht="15" customHeight="1" x14ac:dyDescent="0.35">
      <c r="B44" s="7" t="s">
        <v>5244</v>
      </c>
      <c r="C44" s="147">
        <f t="shared" ref="C44:R44" si="26">IF(C43=0,0,C7/C43)</f>
        <v>392.01718749999998</v>
      </c>
      <c r="D44" s="147">
        <f t="shared" si="26"/>
        <v>437.66592261904759</v>
      </c>
      <c r="E44" s="147">
        <f t="shared" si="26"/>
        <v>484.33384615384614</v>
      </c>
      <c r="F44" s="147">
        <f t="shared" si="26"/>
        <v>468.91250000000002</v>
      </c>
      <c r="G44" s="147">
        <f t="shared" si="26"/>
        <v>459.75376506024094</v>
      </c>
      <c r="H44" s="147">
        <f t="shared" si="26"/>
        <v>467.66095890410958</v>
      </c>
      <c r="I44" s="147">
        <f t="shared" si="26"/>
        <v>470.43667763157896</v>
      </c>
      <c r="J44" s="147">
        <f t="shared" si="26"/>
        <v>490.24438202247188</v>
      </c>
      <c r="K44" s="147">
        <f t="shared" si="26"/>
        <v>515.74283823529413</v>
      </c>
      <c r="L44" s="147">
        <f t="shared" si="26"/>
        <v>515.66463414634143</v>
      </c>
      <c r="M44" s="147">
        <f t="shared" si="26"/>
        <v>484.58125000000001</v>
      </c>
      <c r="N44" s="147">
        <f t="shared" si="26"/>
        <v>484.5947265625</v>
      </c>
      <c r="O44" s="147">
        <f t="shared" si="26"/>
        <v>400.83066860465118</v>
      </c>
      <c r="P44" s="147">
        <f t="shared" si="26"/>
        <v>408.43764534883718</v>
      </c>
      <c r="Q44" s="147">
        <f t="shared" si="26"/>
        <v>427.06322674418607</v>
      </c>
      <c r="R44" s="147">
        <f t="shared" si="26"/>
        <v>489.69468390804599</v>
      </c>
      <c r="T44" s="147">
        <f t="shared" si="10"/>
        <v>462.35218209007184</v>
      </c>
      <c r="U44" s="147">
        <f t="shared" si="11"/>
        <v>458.8781549864118</v>
      </c>
      <c r="V44" s="147">
        <f t="shared" si="12"/>
        <v>465.82620919373198</v>
      </c>
      <c r="W44" s="147">
        <f t="shared" si="13"/>
        <v>392.01718749999998</v>
      </c>
      <c r="X44" s="267">
        <f t="shared" si="14"/>
        <v>45658</v>
      </c>
      <c r="Y44" s="147">
        <f t="shared" si="15"/>
        <v>515.74283823529413</v>
      </c>
      <c r="Z44" s="267">
        <f t="shared" si="16"/>
        <v>46023</v>
      </c>
      <c r="AA44" s="147">
        <f t="shared" si="17"/>
        <v>427.06322674418607</v>
      </c>
      <c r="AB44" s="147">
        <f t="shared" si="18"/>
        <v>489.69468390804599</v>
      </c>
      <c r="AC44" s="268" t="s">
        <v>5245</v>
      </c>
    </row>
    <row r="45" spans="2:33" ht="15" customHeight="1" x14ac:dyDescent="0.35">
      <c r="B45" s="7" t="s">
        <v>5246</v>
      </c>
      <c r="C45" s="270">
        <f t="shared" ref="C45:R45" si="27">IF(C43=0,0,C27/C43)</f>
        <v>36.794427083333282</v>
      </c>
      <c r="D45" s="270">
        <f t="shared" si="27"/>
        <v>42.315848214285715</v>
      </c>
      <c r="E45" s="270">
        <f t="shared" si="27"/>
        <v>48.541346153846156</v>
      </c>
      <c r="F45" s="270">
        <f t="shared" si="27"/>
        <v>45.818388888888833</v>
      </c>
      <c r="G45" s="270">
        <f t="shared" si="27"/>
        <v>41.443800200803167</v>
      </c>
      <c r="H45" s="270">
        <f t="shared" si="27"/>
        <v>40.376626712328772</v>
      </c>
      <c r="I45" s="270">
        <f t="shared" si="27"/>
        <v>39.633059210526319</v>
      </c>
      <c r="J45" s="270">
        <f t="shared" si="27"/>
        <v>39.814606741573037</v>
      </c>
      <c r="K45" s="270">
        <f t="shared" si="27"/>
        <v>45.367156862744999</v>
      </c>
      <c r="L45" s="270">
        <f t="shared" si="27"/>
        <v>40.80109247967485</v>
      </c>
      <c r="M45" s="270">
        <f t="shared" si="27"/>
        <v>42.591731770833398</v>
      </c>
      <c r="N45" s="270">
        <f t="shared" si="27"/>
        <v>48.8875325520834</v>
      </c>
      <c r="O45" s="270">
        <f t="shared" si="27"/>
        <v>38.950314922480665</v>
      </c>
      <c r="P45" s="270">
        <f t="shared" si="27"/>
        <v>43.019573643410759</v>
      </c>
      <c r="Q45" s="270">
        <f t="shared" si="27"/>
        <v>47.710780038759736</v>
      </c>
      <c r="R45" s="270">
        <f t="shared" si="27"/>
        <v>46.02892720306523</v>
      </c>
      <c r="T45" s="270">
        <f t="shared" si="10"/>
        <v>43.005950792414893</v>
      </c>
      <c r="U45" s="270">
        <f t="shared" si="11"/>
        <v>41.842262900698159</v>
      </c>
      <c r="V45" s="270">
        <f t="shared" si="12"/>
        <v>44.169638684131627</v>
      </c>
      <c r="W45" s="270">
        <f t="shared" si="13"/>
        <v>36.794427083333282</v>
      </c>
      <c r="X45" s="267">
        <f t="shared" si="14"/>
        <v>45658</v>
      </c>
      <c r="Y45" s="270">
        <f t="shared" si="15"/>
        <v>48.8875325520834</v>
      </c>
      <c r="Z45" s="267">
        <f t="shared" si="16"/>
        <v>46113</v>
      </c>
      <c r="AA45" s="270">
        <f t="shared" si="17"/>
        <v>39.814606741573037</v>
      </c>
      <c r="AB45" s="270">
        <f t="shared" si="18"/>
        <v>46.02892720306523</v>
      </c>
      <c r="AC45" s="268" t="s">
        <v>5247</v>
      </c>
    </row>
    <row r="46" spans="2:33" ht="15" customHeight="1" x14ac:dyDescent="0.35">
      <c r="B46" s="7" t="s">
        <v>5248</v>
      </c>
      <c r="C46" s="270">
        <f t="shared" ref="C46:R46" si="28">IF(C7=0,0,C11/C7)</f>
        <v>3.2487819126917383</v>
      </c>
      <c r="D46" s="270">
        <f t="shared" si="28"/>
        <v>3.2159688708922602</v>
      </c>
      <c r="E46" s="270">
        <f t="shared" si="28"/>
        <v>3.2911359161490208</v>
      </c>
      <c r="F46" s="270">
        <f t="shared" si="28"/>
        <v>3.3398951220719679</v>
      </c>
      <c r="G46" s="270">
        <f t="shared" si="28"/>
        <v>3.1928366579150378</v>
      </c>
      <c r="H46" s="270">
        <f t="shared" si="28"/>
        <v>3.1653391205556249</v>
      </c>
      <c r="I46" s="270">
        <f t="shared" si="28"/>
        <v>3.0891526404863519</v>
      </c>
      <c r="J46" s="270">
        <f t="shared" si="28"/>
        <v>3.0844899970450701</v>
      </c>
      <c r="K46" s="270">
        <f t="shared" si="28"/>
        <v>3.2842462270226842</v>
      </c>
      <c r="L46" s="270">
        <f t="shared" si="28"/>
        <v>3.100466989761526</v>
      </c>
      <c r="M46" s="270">
        <f t="shared" si="28"/>
        <v>3.3701548280824216</v>
      </c>
      <c r="N46" s="270">
        <f t="shared" si="28"/>
        <v>3.2258638434465938</v>
      </c>
      <c r="O46" s="270">
        <f t="shared" si="28"/>
        <v>3.3312543174330922</v>
      </c>
      <c r="P46" s="270">
        <f t="shared" si="28"/>
        <v>3.1998453307176886</v>
      </c>
      <c r="Q46" s="270">
        <f t="shared" si="28"/>
        <v>2.803241932060816</v>
      </c>
      <c r="R46" s="270">
        <f t="shared" si="28"/>
        <v>1.8351274052542299</v>
      </c>
      <c r="T46" s="270">
        <f t="shared" si="10"/>
        <v>3.1111125694741326</v>
      </c>
      <c r="U46" s="270">
        <f t="shared" si="11"/>
        <v>3.2034500297258841</v>
      </c>
      <c r="V46" s="270">
        <f t="shared" si="12"/>
        <v>3.0187751092223816</v>
      </c>
      <c r="W46" s="270">
        <f t="shared" si="13"/>
        <v>1.8351274052542299</v>
      </c>
      <c r="X46" s="267">
        <f t="shared" si="14"/>
        <v>46235</v>
      </c>
      <c r="Y46" s="270">
        <f t="shared" si="15"/>
        <v>3.3701548280824216</v>
      </c>
      <c r="Z46" s="267">
        <f t="shared" si="16"/>
        <v>46082</v>
      </c>
      <c r="AA46" s="270">
        <f t="shared" si="17"/>
        <v>3.0891526404863519</v>
      </c>
      <c r="AB46" s="270">
        <f t="shared" si="18"/>
        <v>3.2911359161490208</v>
      </c>
      <c r="AC46" s="268" t="s">
        <v>4266</v>
      </c>
    </row>
    <row r="48" spans="2:33" ht="15.5" x14ac:dyDescent="0.35">
      <c r="B48" s="1" t="s">
        <v>5249</v>
      </c>
    </row>
    <row r="49" spans="2:17" x14ac:dyDescent="0.35">
      <c r="B49" s="2"/>
    </row>
    <row r="50" spans="2:17" x14ac:dyDescent="0.35">
      <c r="B50" s="3"/>
    </row>
    <row r="52" spans="2:17" x14ac:dyDescent="0.35">
      <c r="B52" s="5" t="s">
        <v>5250</v>
      </c>
      <c r="C52" s="5" t="s">
        <v>5200</v>
      </c>
      <c r="D52" s="5" t="s">
        <v>3813</v>
      </c>
      <c r="I52" s="99">
        <f>'Business Plan - Model Details'!J4</f>
        <v>46053</v>
      </c>
      <c r="J52" s="99">
        <f>'Business Plan - Model Details'!K4</f>
        <v>46081</v>
      </c>
      <c r="K52" s="99">
        <f>'Business Plan - Model Details'!L4</f>
        <v>46112</v>
      </c>
      <c r="L52" s="99">
        <f>'Business Plan - Model Details'!M4</f>
        <v>46142</v>
      </c>
      <c r="M52" s="99">
        <f>'Business Plan - Model Details'!N4</f>
        <v>46173</v>
      </c>
      <c r="N52" s="99">
        <f>'Business Plan - Model Details'!O4</f>
        <v>46203</v>
      </c>
      <c r="O52" s="99">
        <f>'Business Plan - Model Details'!P4</f>
        <v>46234</v>
      </c>
      <c r="P52" s="99">
        <f>'Business Plan - Model Details'!Q4</f>
        <v>46265</v>
      </c>
      <c r="Q52" s="271" t="s">
        <v>5251</v>
      </c>
    </row>
    <row r="53" spans="2:17" x14ac:dyDescent="0.35">
      <c r="B53" s="4" t="s">
        <v>5252</v>
      </c>
    </row>
    <row r="54" spans="2:17" x14ac:dyDescent="0.35">
      <c r="B54" s="7" t="s">
        <v>5253</v>
      </c>
      <c r="C54" s="268" t="s">
        <v>5254</v>
      </c>
      <c r="D54" s="2" t="s">
        <v>5255</v>
      </c>
      <c r="I54" s="10">
        <v>337068.5</v>
      </c>
      <c r="J54" s="10">
        <v>319330</v>
      </c>
      <c r="K54" s="10">
        <v>227535.88</v>
      </c>
      <c r="L54" s="10">
        <v>226963</v>
      </c>
      <c r="M54" s="10">
        <v>263224.5</v>
      </c>
      <c r="N54" s="10">
        <v>255491.5</v>
      </c>
      <c r="O54" s="10">
        <v>277436.5</v>
      </c>
      <c r="P54" s="10">
        <v>301075.5</v>
      </c>
      <c r="Q54" s="272">
        <f t="shared" ref="Q54:Q60" si="29">SUM(I54:P54)</f>
        <v>2208125.38</v>
      </c>
    </row>
    <row r="55" spans="2:17" x14ac:dyDescent="0.35">
      <c r="B55" s="7" t="s">
        <v>5256</v>
      </c>
      <c r="C55" s="268" t="s">
        <v>5254</v>
      </c>
      <c r="D55" s="2" t="s">
        <v>5255</v>
      </c>
      <c r="I55" s="10">
        <v>1281</v>
      </c>
      <c r="J55" s="10">
        <v>497</v>
      </c>
      <c r="K55" s="10">
        <v>420</v>
      </c>
      <c r="L55" s="10">
        <v>3437</v>
      </c>
      <c r="M55" s="10">
        <v>2982</v>
      </c>
      <c r="N55" s="10">
        <v>5460</v>
      </c>
      <c r="O55" s="10">
        <v>5089</v>
      </c>
      <c r="P55" s="10">
        <v>6062</v>
      </c>
      <c r="Q55" s="272">
        <f t="shared" si="29"/>
        <v>25228</v>
      </c>
    </row>
    <row r="56" spans="2:17" x14ac:dyDescent="0.35">
      <c r="B56" s="7" t="s">
        <v>5257</v>
      </c>
      <c r="C56" s="268" t="s">
        <v>5254</v>
      </c>
      <c r="D56" s="2" t="s">
        <v>5255</v>
      </c>
      <c r="I56" s="10">
        <v>5161.9799999999996</v>
      </c>
      <c r="J56" s="10">
        <v>6529.98</v>
      </c>
      <c r="K56" s="10">
        <v>3362.99</v>
      </c>
      <c r="L56" s="10">
        <v>2258</v>
      </c>
      <c r="M56" s="10">
        <v>3389</v>
      </c>
      <c r="N56" s="10">
        <v>3924</v>
      </c>
      <c r="O56" s="10">
        <v>4577</v>
      </c>
      <c r="P56" s="10">
        <v>4155</v>
      </c>
      <c r="Q56" s="272">
        <f t="shared" si="29"/>
        <v>33357.949999999997</v>
      </c>
    </row>
    <row r="57" spans="2:17" x14ac:dyDescent="0.35">
      <c r="B57" s="7" t="s">
        <v>5258</v>
      </c>
      <c r="C57" s="268" t="s">
        <v>5254</v>
      </c>
      <c r="D57" s="2" t="s">
        <v>5255</v>
      </c>
      <c r="I57" s="10">
        <v>676.5</v>
      </c>
      <c r="J57" s="10">
        <v>5.5</v>
      </c>
      <c r="K57" s="10">
        <v>3112.9</v>
      </c>
      <c r="L57" s="10">
        <v>5643</v>
      </c>
      <c r="M57" s="10">
        <v>4986</v>
      </c>
      <c r="N57" s="10">
        <v>14107.5</v>
      </c>
      <c r="O57" s="10">
        <v>8871.5</v>
      </c>
      <c r="P57" s="10">
        <v>7210.5</v>
      </c>
      <c r="Q57" s="272">
        <f t="shared" si="29"/>
        <v>44613.4</v>
      </c>
    </row>
    <row r="58" spans="2:17" x14ac:dyDescent="0.35">
      <c r="B58" s="7" t="s">
        <v>5259</v>
      </c>
      <c r="C58" s="268" t="s">
        <v>5254</v>
      </c>
      <c r="D58" s="2" t="s">
        <v>5255</v>
      </c>
      <c r="I58" s="10">
        <v>473</v>
      </c>
      <c r="J58" s="10">
        <v>10.4</v>
      </c>
      <c r="K58" s="10">
        <v>3151.5</v>
      </c>
      <c r="L58" s="10">
        <v>5511.5</v>
      </c>
      <c r="M58" s="10">
        <v>5335</v>
      </c>
      <c r="N58" s="10">
        <v>13651</v>
      </c>
      <c r="O58" s="10">
        <v>8448</v>
      </c>
      <c r="P58" s="10">
        <v>7403</v>
      </c>
      <c r="Q58" s="272">
        <f t="shared" si="29"/>
        <v>43983.4</v>
      </c>
    </row>
    <row r="59" spans="2:17" x14ac:dyDescent="0.35">
      <c r="B59" s="7" t="s">
        <v>5260</v>
      </c>
      <c r="C59" s="268" t="s">
        <v>5261</v>
      </c>
      <c r="D59" s="2" t="s">
        <v>5255</v>
      </c>
      <c r="I59" s="10">
        <v>417823.4</v>
      </c>
      <c r="J59" s="10">
        <v>185696</v>
      </c>
      <c r="K59" s="10">
        <v>83182</v>
      </c>
      <c r="L59" s="10">
        <v>188701</v>
      </c>
      <c r="M59" s="10">
        <v>66701</v>
      </c>
      <c r="N59" s="10">
        <v>53605</v>
      </c>
      <c r="O59" s="10">
        <v>122686</v>
      </c>
      <c r="P59" s="10">
        <v>217011</v>
      </c>
      <c r="Q59" s="272">
        <f t="shared" si="29"/>
        <v>1335405.3999999999</v>
      </c>
    </row>
    <row r="60" spans="2:17" x14ac:dyDescent="0.35">
      <c r="B60" s="7" t="s">
        <v>5262</v>
      </c>
      <c r="C60" s="268" t="s">
        <v>5263</v>
      </c>
      <c r="D60" s="2" t="s">
        <v>5255</v>
      </c>
      <c r="I60" s="10">
        <v>5</v>
      </c>
      <c r="J60" s="10">
        <v>2</v>
      </c>
      <c r="K60" s="10">
        <v>3</v>
      </c>
      <c r="L60" s="10">
        <v>4</v>
      </c>
      <c r="M60" s="10">
        <v>7</v>
      </c>
      <c r="N60" s="10">
        <v>9</v>
      </c>
      <c r="O60" s="10">
        <v>10</v>
      </c>
      <c r="P60" s="10">
        <v>3</v>
      </c>
      <c r="Q60" s="272">
        <f t="shared" si="29"/>
        <v>43</v>
      </c>
    </row>
    <row r="62" spans="2:17" x14ac:dyDescent="0.35">
      <c r="B62" s="4" t="s">
        <v>5264</v>
      </c>
    </row>
    <row r="63" spans="2:17" x14ac:dyDescent="0.35">
      <c r="B63" s="7" t="s">
        <v>5253</v>
      </c>
      <c r="C63" s="268" t="s">
        <v>5265</v>
      </c>
      <c r="D63" s="2" t="s">
        <v>5266</v>
      </c>
      <c r="I63" s="10">
        <v>8886249100</v>
      </c>
      <c r="J63" s="10">
        <v>8445756000</v>
      </c>
      <c r="K63" s="10">
        <v>6030777887.0900002</v>
      </c>
      <c r="L63" s="10">
        <v>6031608317.0200005</v>
      </c>
      <c r="M63" s="10">
        <v>7011316950</v>
      </c>
      <c r="N63" s="10">
        <v>6784455150</v>
      </c>
      <c r="O63" s="10">
        <v>7725549150</v>
      </c>
      <c r="P63" s="10">
        <v>8598231950</v>
      </c>
      <c r="Q63" s="272">
        <f t="shared" ref="Q63:Q69" si="30">SUM(I63:P63)</f>
        <v>59513944504.110001</v>
      </c>
    </row>
    <row r="64" spans="2:17" x14ac:dyDescent="0.35">
      <c r="B64" s="7" t="s">
        <v>5256</v>
      </c>
      <c r="C64" s="268" t="s">
        <v>5265</v>
      </c>
      <c r="D64" s="2" t="s">
        <v>5266</v>
      </c>
      <c r="I64" s="10">
        <v>14443962.33</v>
      </c>
      <c r="J64" s="10">
        <v>5563422.8300000001</v>
      </c>
      <c r="K64" s="10">
        <v>3325946.82</v>
      </c>
      <c r="L64" s="10">
        <v>40278681.799999997</v>
      </c>
      <c r="M64" s="10">
        <v>34042528.100000001</v>
      </c>
      <c r="N64" s="10">
        <v>64262651.740000002</v>
      </c>
      <c r="O64" s="10">
        <v>61000890.649999999</v>
      </c>
      <c r="P64" s="10">
        <v>73865752.450000003</v>
      </c>
      <c r="Q64" s="272">
        <f t="shared" si="30"/>
        <v>296783836.72000003</v>
      </c>
    </row>
    <row r="65" spans="2:17" x14ac:dyDescent="0.35">
      <c r="B65" s="7" t="s">
        <v>5257</v>
      </c>
      <c r="C65" s="268" t="s">
        <v>5265</v>
      </c>
      <c r="D65" s="2" t="s">
        <v>5266</v>
      </c>
      <c r="I65" s="10">
        <v>43814453.880000003</v>
      </c>
      <c r="J65" s="10">
        <v>53673917.159999996</v>
      </c>
      <c r="K65" s="10">
        <v>27543273.18</v>
      </c>
      <c r="L65" s="10">
        <v>20900775.100000001</v>
      </c>
      <c r="M65" s="10">
        <v>27478350.899999999</v>
      </c>
      <c r="N65" s="10">
        <v>31816184.399999999</v>
      </c>
      <c r="O65" s="10">
        <v>37110773.700000003</v>
      </c>
      <c r="P65" s="10">
        <v>33689155.5</v>
      </c>
      <c r="Q65" s="272">
        <f t="shared" si="30"/>
        <v>276026883.81999999</v>
      </c>
    </row>
    <row r="66" spans="2:17" x14ac:dyDescent="0.35">
      <c r="B66" s="7" t="s">
        <v>5258</v>
      </c>
      <c r="C66" s="268" t="s">
        <v>5265</v>
      </c>
      <c r="D66" s="2" t="s">
        <v>5266</v>
      </c>
      <c r="I66" s="10">
        <v>30560211</v>
      </c>
      <c r="J66" s="10">
        <v>266750</v>
      </c>
      <c r="K66" s="10">
        <v>150975650</v>
      </c>
      <c r="L66" s="10">
        <v>273685500</v>
      </c>
      <c r="M66" s="10">
        <v>241821000</v>
      </c>
      <c r="N66" s="10">
        <v>684213750</v>
      </c>
      <c r="O66" s="10">
        <v>430267750</v>
      </c>
      <c r="P66" s="10">
        <v>349709250</v>
      </c>
      <c r="Q66" s="272">
        <f t="shared" si="30"/>
        <v>2161499861</v>
      </c>
    </row>
    <row r="67" spans="2:17" x14ac:dyDescent="0.35">
      <c r="B67" s="7" t="s">
        <v>5259</v>
      </c>
      <c r="C67" s="268" t="s">
        <v>5265</v>
      </c>
      <c r="D67" s="2" t="s">
        <v>5266</v>
      </c>
      <c r="I67" s="10">
        <v>25717483</v>
      </c>
      <c r="J67" s="10">
        <v>498160</v>
      </c>
      <c r="K67" s="10">
        <v>150956850</v>
      </c>
      <c r="L67" s="10">
        <v>264000850</v>
      </c>
      <c r="M67" s="10">
        <v>255546500</v>
      </c>
      <c r="N67" s="10">
        <v>653882900</v>
      </c>
      <c r="O67" s="10">
        <v>404659200</v>
      </c>
      <c r="P67" s="10">
        <v>354603700</v>
      </c>
      <c r="Q67" s="272">
        <f t="shared" si="30"/>
        <v>2109865643</v>
      </c>
    </row>
    <row r="68" spans="2:17" x14ac:dyDescent="0.35">
      <c r="B68" s="7" t="s">
        <v>5260</v>
      </c>
      <c r="C68" s="268" t="s">
        <v>5265</v>
      </c>
      <c r="D68" s="2" t="s">
        <v>5266</v>
      </c>
      <c r="I68" s="10">
        <v>368661350.63</v>
      </c>
      <c r="J68" s="10">
        <v>153812415.18000001</v>
      </c>
      <c r="K68" s="10">
        <v>120977173.95999999</v>
      </c>
      <c r="L68" s="10">
        <v>220054572.81999999</v>
      </c>
      <c r="M68" s="10">
        <v>135211534.16</v>
      </c>
      <c r="N68" s="10">
        <v>76657119.079999998</v>
      </c>
      <c r="O68" s="10">
        <v>255493091.47999999</v>
      </c>
      <c r="P68" s="10">
        <v>383025644.11000001</v>
      </c>
      <c r="Q68" s="272">
        <f t="shared" si="30"/>
        <v>1713892901.4200001</v>
      </c>
    </row>
    <row r="69" spans="2:17" x14ac:dyDescent="0.35">
      <c r="B69" s="7" t="s">
        <v>5262</v>
      </c>
      <c r="C69" s="268" t="s">
        <v>5265</v>
      </c>
      <c r="D69" s="2" t="s">
        <v>5266</v>
      </c>
      <c r="I69" s="10">
        <v>2004980136</v>
      </c>
      <c r="J69" s="10">
        <v>1195357</v>
      </c>
      <c r="K69" s="10">
        <v>1000300000</v>
      </c>
      <c r="L69" s="10">
        <v>201735000</v>
      </c>
      <c r="M69" s="10">
        <v>802690888.88999999</v>
      </c>
      <c r="N69" s="10">
        <v>3031985019.6199999</v>
      </c>
      <c r="O69" s="10">
        <v>1540658333.3299999</v>
      </c>
      <c r="P69" s="10">
        <v>1232361111.1099999</v>
      </c>
      <c r="Q69" s="272">
        <f t="shared" si="30"/>
        <v>9815905845.9500008</v>
      </c>
    </row>
    <row r="71" spans="2:17" x14ac:dyDescent="0.35">
      <c r="B71" s="4" t="s">
        <v>5267</v>
      </c>
    </row>
    <row r="72" spans="2:17" x14ac:dyDescent="0.35">
      <c r="B72" s="7" t="s">
        <v>5268</v>
      </c>
      <c r="Q72" s="273">
        <f>IF(Q54=0,NA(),Q63/Q54)</f>
        <v>26952.248745997385</v>
      </c>
    </row>
    <row r="73" spans="2:17" x14ac:dyDescent="0.35">
      <c r="B73" s="7" t="s">
        <v>5269</v>
      </c>
      <c r="Q73" s="273">
        <f>IF(Q57=0,NA(),Q66/Q57)</f>
        <v>48449.565847929094</v>
      </c>
    </row>
    <row r="74" spans="2:17" x14ac:dyDescent="0.35">
      <c r="B74" s="7" t="s">
        <v>5270</v>
      </c>
      <c r="Q74" s="273">
        <f>IF(Q58=0,NA(),Q67/Q58)</f>
        <v>47969.589504222044</v>
      </c>
    </row>
    <row r="76" spans="2:17" x14ac:dyDescent="0.35">
      <c r="B76" s="7" t="s">
        <v>5271</v>
      </c>
      <c r="D76" s="2" t="s">
        <v>5272</v>
      </c>
      <c r="Q76" s="273">
        <f>IF(Q55+Q56=0,NA(),(Q64+Q65)/(Q55+Q56))</f>
        <v>9777.2711808889326</v>
      </c>
    </row>
    <row r="78" spans="2:17" x14ac:dyDescent="0.35">
      <c r="B78" s="4" t="s">
        <v>5273</v>
      </c>
    </row>
    <row r="79" spans="2:17" x14ac:dyDescent="0.35">
      <c r="B79" s="7" t="s">
        <v>5274</v>
      </c>
      <c r="Q79" s="9">
        <v>82444.500000000102</v>
      </c>
    </row>
    <row r="80" spans="2:17" x14ac:dyDescent="0.35">
      <c r="B80" s="7" t="s">
        <v>5275</v>
      </c>
      <c r="Q80" s="9">
        <f>Q55+Q56</f>
        <v>58585.95</v>
      </c>
    </row>
    <row r="81" spans="2:17" x14ac:dyDescent="0.35">
      <c r="B81" s="7" t="s">
        <v>5276</v>
      </c>
      <c r="Q81" s="274">
        <f>IF(Q79=0,NA(),Q80/Q79)</f>
        <v>0.71061077452104049</v>
      </c>
    </row>
    <row r="84" spans="2:17" x14ac:dyDescent="0.35">
      <c r="B84" s="4" t="s">
        <v>5277</v>
      </c>
    </row>
    <row r="85" spans="2:17" x14ac:dyDescent="0.35">
      <c r="B85" s="7" t="s">
        <v>5278</v>
      </c>
      <c r="Q85" s="273">
        <f>SUM('Business Plan - Model Details'!$J$80:$Q$80)</f>
        <v>63832152514</v>
      </c>
    </row>
    <row r="86" spans="2:17" x14ac:dyDescent="0.35">
      <c r="B86" s="7" t="s">
        <v>5279</v>
      </c>
      <c r="Q86" s="273">
        <f>(Q63+Q66+Q67)-Q85</f>
        <v>-46842505.88999939</v>
      </c>
    </row>
    <row r="87" spans="2:17" x14ac:dyDescent="0.35">
      <c r="B87" s="7" t="s">
        <v>5280</v>
      </c>
      <c r="Q87" s="273">
        <f>SUM(Q63:Q69)</f>
        <v>75887919476.020004</v>
      </c>
    </row>
    <row r="88" spans="2:17" x14ac:dyDescent="0.35">
      <c r="B88" s="7" t="s">
        <v>5281</v>
      </c>
      <c r="Q88" s="273">
        <f>SUM('Business Plan - Model Details'!$J$83:$Q$83)</f>
        <v>2239861116.0700092</v>
      </c>
    </row>
    <row r="89" spans="2:17" x14ac:dyDescent="0.35">
      <c r="B89" s="7" t="s">
        <v>5282</v>
      </c>
      <c r="Q89" s="273">
        <f>Q88-(Q64+Q65+Q68+Q86)</f>
        <v>8.58306884765625E-6</v>
      </c>
    </row>
    <row r="90" spans="2:17" x14ac:dyDescent="0.35">
      <c r="B90" s="7" t="s">
        <v>5283</v>
      </c>
      <c r="Q90" s="9">
        <f>Q86/COUNT('Business Plan - Model Details'!$J$83:$Q$83)</f>
        <v>-5855313.2362499237</v>
      </c>
    </row>
    <row r="91" spans="2:17" x14ac:dyDescent="0.35">
      <c r="B91" s="2"/>
    </row>
    <row r="92" spans="2:17" x14ac:dyDescent="0.35">
      <c r="B92" s="2"/>
    </row>
    <row r="97" spans="2:8" x14ac:dyDescent="0.35">
      <c r="B97" s="252" t="s">
        <v>5284</v>
      </c>
    </row>
    <row r="99" spans="2:8" x14ac:dyDescent="0.35">
      <c r="B99" s="4" t="s">
        <v>5285</v>
      </c>
    </row>
    <row r="100" spans="2:8" x14ac:dyDescent="0.35">
      <c r="B100" s="5" t="s">
        <v>5286</v>
      </c>
      <c r="C100" s="5" t="s">
        <v>5287</v>
      </c>
      <c r="D100" s="5" t="s">
        <v>5200</v>
      </c>
      <c r="E100" s="5" t="s">
        <v>5288</v>
      </c>
      <c r="F100" s="5" t="s">
        <v>5289</v>
      </c>
      <c r="G100" s="5" t="s">
        <v>5290</v>
      </c>
      <c r="H100" s="5" t="s">
        <v>5291</v>
      </c>
    </row>
    <row r="101" spans="2:8" x14ac:dyDescent="0.35">
      <c r="B101" s="7" t="s">
        <v>5292</v>
      </c>
      <c r="C101" s="7" t="s">
        <v>5293</v>
      </c>
      <c r="D101" s="7" t="s">
        <v>5254</v>
      </c>
      <c r="E101" s="7" t="s">
        <v>5294</v>
      </c>
      <c r="F101" s="10">
        <v>2678</v>
      </c>
      <c r="G101" s="10">
        <v>20887376.370000001</v>
      </c>
      <c r="H101" s="266">
        <v>51</v>
      </c>
    </row>
    <row r="102" spans="2:8" x14ac:dyDescent="0.35">
      <c r="B102" s="7" t="s">
        <v>5295</v>
      </c>
      <c r="C102" s="7" t="s">
        <v>5293</v>
      </c>
      <c r="D102" s="7" t="s">
        <v>5254</v>
      </c>
      <c r="E102" s="7" t="s">
        <v>5294</v>
      </c>
      <c r="F102" s="10">
        <v>8606</v>
      </c>
      <c r="G102" s="10">
        <v>66903570.409999996</v>
      </c>
      <c r="H102" s="266">
        <v>57</v>
      </c>
    </row>
    <row r="103" spans="2:8" x14ac:dyDescent="0.35">
      <c r="B103" s="7" t="s">
        <v>5296</v>
      </c>
      <c r="C103" s="7" t="s">
        <v>5293</v>
      </c>
      <c r="D103" s="7" t="s">
        <v>5254</v>
      </c>
      <c r="E103" s="7" t="s">
        <v>5294</v>
      </c>
      <c r="F103" s="10">
        <v>13956</v>
      </c>
      <c r="G103" s="10">
        <v>108035987.29000001</v>
      </c>
      <c r="H103" s="266">
        <v>62</v>
      </c>
    </row>
    <row r="104" spans="2:8" x14ac:dyDescent="0.35">
      <c r="B104" s="7" t="s">
        <v>5297</v>
      </c>
      <c r="C104" s="7" t="s">
        <v>5293</v>
      </c>
      <c r="D104" s="7" t="s">
        <v>5254</v>
      </c>
      <c r="E104" s="7" t="s">
        <v>5294</v>
      </c>
      <c r="F104" s="10">
        <v>3303</v>
      </c>
      <c r="G104" s="10">
        <v>25652239.879999999</v>
      </c>
      <c r="H104" s="266">
        <v>50</v>
      </c>
    </row>
    <row r="105" spans="2:8" x14ac:dyDescent="0.35">
      <c r="B105" s="7" t="s">
        <v>5298</v>
      </c>
      <c r="C105" s="7" t="s">
        <v>5293</v>
      </c>
      <c r="D105" s="7" t="s">
        <v>5254</v>
      </c>
      <c r="E105" s="7" t="s">
        <v>5294</v>
      </c>
      <c r="F105" s="10">
        <v>4814.95</v>
      </c>
      <c r="G105" s="10">
        <v>54547709.869999997</v>
      </c>
      <c r="H105" s="266">
        <v>6</v>
      </c>
    </row>
    <row r="106" spans="2:8" x14ac:dyDescent="0.35">
      <c r="B106" s="7" t="s">
        <v>5299</v>
      </c>
      <c r="C106" s="7" t="s">
        <v>5300</v>
      </c>
      <c r="D106" s="7" t="s">
        <v>5254</v>
      </c>
      <c r="E106" s="7" t="s">
        <v>5301</v>
      </c>
      <c r="F106" s="10">
        <v>2208125.38</v>
      </c>
      <c r="G106" s="10">
        <v>59513944504.110001</v>
      </c>
      <c r="H106" s="266">
        <v>1027</v>
      </c>
    </row>
    <row r="107" spans="2:8" x14ac:dyDescent="0.35">
      <c r="B107" s="7" t="s">
        <v>5302</v>
      </c>
      <c r="C107" s="7" t="s">
        <v>5303</v>
      </c>
      <c r="D107" s="7" t="s">
        <v>5304</v>
      </c>
      <c r="E107" s="7" t="s">
        <v>5305</v>
      </c>
      <c r="F107" s="10">
        <v>2</v>
      </c>
      <c r="G107" s="10">
        <v>2047000000</v>
      </c>
      <c r="H107" s="266">
        <v>2</v>
      </c>
    </row>
    <row r="108" spans="2:8" x14ac:dyDescent="0.35">
      <c r="B108" s="7" t="s">
        <v>5306</v>
      </c>
      <c r="C108" s="7" t="s">
        <v>5303</v>
      </c>
      <c r="D108" s="7" t="s">
        <v>0</v>
      </c>
      <c r="E108" s="7" t="s">
        <v>5305</v>
      </c>
      <c r="F108" s="10">
        <v>1</v>
      </c>
      <c r="G108" s="10">
        <v>1045357</v>
      </c>
      <c r="H108" s="266">
        <v>1</v>
      </c>
    </row>
    <row r="109" spans="2:8" x14ac:dyDescent="0.35">
      <c r="B109" s="7" t="s">
        <v>5307</v>
      </c>
      <c r="C109" s="7" t="s">
        <v>5303</v>
      </c>
      <c r="D109" s="7" t="s">
        <v>5308</v>
      </c>
      <c r="E109" s="7" t="s">
        <v>5305</v>
      </c>
      <c r="F109" s="10">
        <v>1</v>
      </c>
      <c r="G109" s="10">
        <v>135135136</v>
      </c>
      <c r="H109" s="266">
        <v>1</v>
      </c>
    </row>
    <row r="110" spans="2:8" x14ac:dyDescent="0.35">
      <c r="B110" s="7" t="s">
        <v>5309</v>
      </c>
      <c r="C110" s="7" t="s">
        <v>5303</v>
      </c>
      <c r="D110" s="7" t="s">
        <v>5304</v>
      </c>
      <c r="E110" s="7" t="s">
        <v>5305</v>
      </c>
      <c r="F110" s="10">
        <v>1</v>
      </c>
      <c r="G110" s="10">
        <v>1000000000</v>
      </c>
      <c r="H110" s="266">
        <v>1</v>
      </c>
    </row>
    <row r="111" spans="2:8" x14ac:dyDescent="0.35">
      <c r="B111" s="7" t="s">
        <v>5310</v>
      </c>
      <c r="C111" s="7" t="s">
        <v>5303</v>
      </c>
      <c r="D111" s="7" t="s">
        <v>0</v>
      </c>
      <c r="E111" s="7" t="s">
        <v>5305</v>
      </c>
      <c r="F111" s="10">
        <v>10</v>
      </c>
      <c r="G111" s="10">
        <v>86481944.950000003</v>
      </c>
      <c r="H111" s="266">
        <v>10</v>
      </c>
    </row>
    <row r="112" spans="2:8" x14ac:dyDescent="0.35">
      <c r="B112" s="7" t="s">
        <v>5311</v>
      </c>
      <c r="C112" s="7" t="s">
        <v>5303</v>
      </c>
      <c r="D112" s="7" t="s">
        <v>0</v>
      </c>
      <c r="E112" s="7" t="s">
        <v>5305</v>
      </c>
      <c r="F112" s="10">
        <v>12</v>
      </c>
      <c r="G112" s="10">
        <v>6417386408</v>
      </c>
      <c r="H112" s="266">
        <v>12</v>
      </c>
    </row>
    <row r="113" spans="2:8" x14ac:dyDescent="0.35">
      <c r="B113" s="7" t="s">
        <v>5312</v>
      </c>
      <c r="C113" s="7" t="s">
        <v>5303</v>
      </c>
      <c r="D113" s="7" t="s">
        <v>0</v>
      </c>
      <c r="E113" s="7" t="s">
        <v>5305</v>
      </c>
      <c r="F113" s="10">
        <v>9</v>
      </c>
      <c r="G113" s="10">
        <v>1650000</v>
      </c>
      <c r="H113" s="266">
        <v>9</v>
      </c>
    </row>
    <row r="114" spans="2:8" x14ac:dyDescent="0.35">
      <c r="B114" s="7" t="s">
        <v>5313</v>
      </c>
      <c r="C114" s="7" t="s">
        <v>5303</v>
      </c>
      <c r="D114" s="7" t="s">
        <v>0</v>
      </c>
      <c r="E114" s="7" t="s">
        <v>5305</v>
      </c>
      <c r="F114" s="10">
        <v>4</v>
      </c>
      <c r="G114" s="10">
        <v>3600000</v>
      </c>
      <c r="H114" s="266">
        <v>4</v>
      </c>
    </row>
    <row r="115" spans="2:8" x14ac:dyDescent="0.35">
      <c r="B115" s="7" t="s">
        <v>5314</v>
      </c>
      <c r="C115" s="7" t="s">
        <v>5303</v>
      </c>
      <c r="D115" s="7" t="s">
        <v>0</v>
      </c>
      <c r="E115" s="7" t="s">
        <v>5305</v>
      </c>
      <c r="F115" s="10">
        <v>2</v>
      </c>
      <c r="G115" s="10">
        <v>1212000</v>
      </c>
      <c r="H115" s="266">
        <v>2</v>
      </c>
    </row>
    <row r="116" spans="2:8" x14ac:dyDescent="0.35">
      <c r="B116" s="7" t="s">
        <v>4554</v>
      </c>
      <c r="C116" s="7" t="s">
        <v>5303</v>
      </c>
      <c r="D116" s="7" t="s">
        <v>0</v>
      </c>
      <c r="E116" s="7" t="s">
        <v>5305</v>
      </c>
      <c r="F116" s="10">
        <v>1</v>
      </c>
      <c r="G116" s="10">
        <v>122395000</v>
      </c>
      <c r="H116" s="266">
        <v>1</v>
      </c>
    </row>
    <row r="117" spans="2:8" x14ac:dyDescent="0.35">
      <c r="B117" s="7" t="s">
        <v>5315</v>
      </c>
      <c r="C117" s="7" t="s">
        <v>5316</v>
      </c>
      <c r="D117" s="7" t="s">
        <v>5254</v>
      </c>
      <c r="E117" s="7" t="s">
        <v>5317</v>
      </c>
      <c r="F117" s="10">
        <v>1</v>
      </c>
      <c r="G117" s="10">
        <v>27928</v>
      </c>
      <c r="H117" s="266">
        <v>1</v>
      </c>
    </row>
    <row r="118" spans="2:8" x14ac:dyDescent="0.35">
      <c r="B118" s="7" t="s">
        <v>5318</v>
      </c>
      <c r="C118" s="7" t="s">
        <v>5316</v>
      </c>
      <c r="D118" s="7" t="s">
        <v>5254</v>
      </c>
      <c r="E118" s="7" t="s">
        <v>5317</v>
      </c>
      <c r="F118" s="10">
        <v>2</v>
      </c>
      <c r="G118" s="10">
        <v>63300</v>
      </c>
      <c r="H118" s="266">
        <v>1</v>
      </c>
    </row>
    <row r="119" spans="2:8" x14ac:dyDescent="0.35">
      <c r="B119" s="7" t="s">
        <v>5319</v>
      </c>
      <c r="C119" s="7" t="s">
        <v>5316</v>
      </c>
      <c r="D119" s="7" t="s">
        <v>4079</v>
      </c>
      <c r="E119" s="7" t="s">
        <v>5317</v>
      </c>
      <c r="F119" s="10">
        <v>26433</v>
      </c>
      <c r="G119" s="10">
        <v>59685714</v>
      </c>
      <c r="H119" s="266">
        <v>2</v>
      </c>
    </row>
    <row r="120" spans="2:8" x14ac:dyDescent="0.35">
      <c r="B120" s="7" t="s">
        <v>5320</v>
      </c>
      <c r="C120" s="7" t="s">
        <v>5316</v>
      </c>
      <c r="D120" s="7" t="s">
        <v>4079</v>
      </c>
      <c r="E120" s="7" t="s">
        <v>5317</v>
      </c>
      <c r="F120" s="10">
        <v>28659</v>
      </c>
      <c r="G120" s="10">
        <v>18341760</v>
      </c>
      <c r="H120" s="266">
        <v>2</v>
      </c>
    </row>
    <row r="121" spans="2:8" x14ac:dyDescent="0.35">
      <c r="B121" s="7" t="s">
        <v>5321</v>
      </c>
      <c r="C121" s="7" t="s">
        <v>5316</v>
      </c>
      <c r="D121" s="7" t="s">
        <v>4079</v>
      </c>
      <c r="E121" s="7" t="s">
        <v>5317</v>
      </c>
      <c r="F121" s="10">
        <v>30335</v>
      </c>
      <c r="G121" s="10">
        <v>68496430</v>
      </c>
      <c r="H121" s="266">
        <v>3</v>
      </c>
    </row>
    <row r="122" spans="2:8" x14ac:dyDescent="0.35">
      <c r="B122" s="7" t="s">
        <v>5322</v>
      </c>
      <c r="C122" s="7" t="s">
        <v>5316</v>
      </c>
      <c r="D122" s="7" t="s">
        <v>4079</v>
      </c>
      <c r="E122" s="7" t="s">
        <v>5317</v>
      </c>
      <c r="F122" s="10">
        <v>5481</v>
      </c>
      <c r="G122" s="10">
        <v>37122813</v>
      </c>
      <c r="H122" s="266">
        <v>5</v>
      </c>
    </row>
    <row r="123" spans="2:8" x14ac:dyDescent="0.35">
      <c r="B123" s="7" t="s">
        <v>5323</v>
      </c>
      <c r="C123" s="7" t="s">
        <v>5316</v>
      </c>
      <c r="D123" s="7" t="s">
        <v>4079</v>
      </c>
      <c r="E123" s="7" t="s">
        <v>5317</v>
      </c>
      <c r="F123" s="10">
        <v>16</v>
      </c>
      <c r="G123" s="10">
        <v>42565.760000000002</v>
      </c>
      <c r="H123" s="266">
        <v>1</v>
      </c>
    </row>
    <row r="124" spans="2:8" x14ac:dyDescent="0.35">
      <c r="B124" s="7" t="s">
        <v>5324</v>
      </c>
      <c r="C124" s="7" t="s">
        <v>5316</v>
      </c>
      <c r="D124" s="7" t="s">
        <v>4079</v>
      </c>
      <c r="E124" s="7" t="s">
        <v>5317</v>
      </c>
      <c r="F124" s="10">
        <v>84146</v>
      </c>
      <c r="G124" s="10">
        <v>142627470</v>
      </c>
      <c r="H124" s="266">
        <v>5</v>
      </c>
    </row>
    <row r="125" spans="2:8" x14ac:dyDescent="0.35">
      <c r="B125" s="7" t="s">
        <v>5325</v>
      </c>
      <c r="C125" s="7" t="s">
        <v>5316</v>
      </c>
      <c r="D125" s="7" t="s">
        <v>4079</v>
      </c>
      <c r="E125" s="7" t="s">
        <v>5317</v>
      </c>
      <c r="F125" s="10">
        <v>76287</v>
      </c>
      <c r="G125" s="10">
        <v>130450770</v>
      </c>
      <c r="H125" s="266">
        <v>5</v>
      </c>
    </row>
    <row r="126" spans="2:8" x14ac:dyDescent="0.35">
      <c r="B126" s="7" t="s">
        <v>5326</v>
      </c>
      <c r="C126" s="7" t="s">
        <v>5316</v>
      </c>
      <c r="D126" s="7" t="s">
        <v>4079</v>
      </c>
      <c r="E126" s="7" t="s">
        <v>5317</v>
      </c>
      <c r="F126" s="10">
        <v>4569</v>
      </c>
      <c r="G126" s="10">
        <v>53203596.090000004</v>
      </c>
      <c r="H126" s="266">
        <v>14</v>
      </c>
    </row>
    <row r="127" spans="2:8" x14ac:dyDescent="0.35">
      <c r="B127" s="7" t="s">
        <v>5327</v>
      </c>
      <c r="C127" s="7" t="s">
        <v>5316</v>
      </c>
      <c r="D127" s="7" t="s">
        <v>4079</v>
      </c>
      <c r="E127" s="7" t="s">
        <v>5317</v>
      </c>
      <c r="F127" s="10">
        <v>3271</v>
      </c>
      <c r="G127" s="10">
        <v>37709004.009999998</v>
      </c>
      <c r="H127" s="266">
        <v>14</v>
      </c>
    </row>
    <row r="128" spans="2:8" x14ac:dyDescent="0.35">
      <c r="B128" s="7" t="s">
        <v>5328</v>
      </c>
      <c r="C128" s="7" t="s">
        <v>5316</v>
      </c>
      <c r="D128" s="7" t="s">
        <v>5254</v>
      </c>
      <c r="E128" s="7" t="s">
        <v>5317</v>
      </c>
      <c r="F128" s="10">
        <v>246</v>
      </c>
      <c r="G128" s="10">
        <v>3324323.46</v>
      </c>
      <c r="H128" s="266">
        <v>1</v>
      </c>
    </row>
    <row r="129" spans="2:8" x14ac:dyDescent="0.35">
      <c r="B129" s="7" t="s">
        <v>5329</v>
      </c>
      <c r="C129" s="7" t="s">
        <v>5316</v>
      </c>
      <c r="D129" s="7" t="s">
        <v>5330</v>
      </c>
      <c r="E129" s="7" t="s">
        <v>5317</v>
      </c>
      <c r="F129" s="10">
        <v>9</v>
      </c>
      <c r="G129" s="10">
        <v>162162.18</v>
      </c>
      <c r="H129" s="266">
        <v>1</v>
      </c>
    </row>
    <row r="130" spans="2:8" x14ac:dyDescent="0.35">
      <c r="B130" s="7" t="s">
        <v>5331</v>
      </c>
      <c r="C130" s="7" t="s">
        <v>5316</v>
      </c>
      <c r="D130" s="7" t="s">
        <v>5330</v>
      </c>
      <c r="E130" s="7" t="s">
        <v>5317</v>
      </c>
      <c r="F130" s="10">
        <v>9</v>
      </c>
      <c r="G130" s="10">
        <v>162162.18</v>
      </c>
      <c r="H130" s="266">
        <v>1</v>
      </c>
    </row>
    <row r="131" spans="2:8" x14ac:dyDescent="0.35">
      <c r="B131" s="7" t="s">
        <v>5332</v>
      </c>
      <c r="C131" s="7" t="s">
        <v>5316</v>
      </c>
      <c r="D131" s="7" t="s">
        <v>4079</v>
      </c>
      <c r="E131" s="7" t="s">
        <v>5317</v>
      </c>
      <c r="F131" s="10">
        <v>226080</v>
      </c>
      <c r="G131" s="10">
        <v>148616762.40000001</v>
      </c>
      <c r="H131" s="266">
        <v>23</v>
      </c>
    </row>
    <row r="132" spans="2:8" x14ac:dyDescent="0.35">
      <c r="B132" s="7" t="s">
        <v>5333</v>
      </c>
      <c r="C132" s="7" t="s">
        <v>5316</v>
      </c>
      <c r="D132" s="7" t="s">
        <v>4079</v>
      </c>
      <c r="E132" s="7" t="s">
        <v>5317</v>
      </c>
      <c r="F132" s="10">
        <v>236400</v>
      </c>
      <c r="G132" s="10">
        <v>155425908</v>
      </c>
      <c r="H132" s="266">
        <v>26</v>
      </c>
    </row>
    <row r="133" spans="2:8" x14ac:dyDescent="0.35">
      <c r="B133" s="7" t="s">
        <v>5334</v>
      </c>
      <c r="C133" s="7" t="s">
        <v>5316</v>
      </c>
      <c r="D133" s="7" t="s">
        <v>4079</v>
      </c>
      <c r="E133" s="7" t="s">
        <v>5317</v>
      </c>
      <c r="F133" s="10">
        <v>227080</v>
      </c>
      <c r="G133" s="10">
        <v>149298287.59999999</v>
      </c>
      <c r="H133" s="266">
        <v>25</v>
      </c>
    </row>
    <row r="134" spans="2:8" x14ac:dyDescent="0.35">
      <c r="B134" s="7" t="s">
        <v>5335</v>
      </c>
      <c r="C134" s="7" t="s">
        <v>5316</v>
      </c>
      <c r="D134" s="7" t="s">
        <v>4079</v>
      </c>
      <c r="E134" s="7" t="s">
        <v>5317</v>
      </c>
      <c r="F134" s="10">
        <v>52720</v>
      </c>
      <c r="G134" s="10">
        <v>21088000</v>
      </c>
      <c r="H134" s="266">
        <v>10</v>
      </c>
    </row>
    <row r="135" spans="2:8" x14ac:dyDescent="0.35">
      <c r="B135" s="7" t="s">
        <v>5336</v>
      </c>
      <c r="C135" s="7" t="s">
        <v>5316</v>
      </c>
      <c r="D135" s="7" t="s">
        <v>4079</v>
      </c>
      <c r="E135" s="7" t="s">
        <v>5317</v>
      </c>
      <c r="F135" s="10">
        <v>11116</v>
      </c>
      <c r="G135" s="10">
        <v>4446400</v>
      </c>
      <c r="H135" s="266">
        <v>7</v>
      </c>
    </row>
    <row r="136" spans="2:8" x14ac:dyDescent="0.35">
      <c r="B136" s="7" t="s">
        <v>5337</v>
      </c>
      <c r="C136" s="7" t="s">
        <v>5316</v>
      </c>
      <c r="D136" s="7" t="s">
        <v>4079</v>
      </c>
      <c r="E136" s="7" t="s">
        <v>5317</v>
      </c>
      <c r="F136" s="10">
        <v>5175</v>
      </c>
      <c r="G136" s="10">
        <v>2070000</v>
      </c>
      <c r="H136" s="266">
        <v>3</v>
      </c>
    </row>
    <row r="137" spans="2:8" x14ac:dyDescent="0.35">
      <c r="B137" s="7" t="s">
        <v>5338</v>
      </c>
      <c r="C137" s="7" t="s">
        <v>5316</v>
      </c>
      <c r="D137" s="7" t="s">
        <v>4079</v>
      </c>
      <c r="E137" s="7" t="s">
        <v>5317</v>
      </c>
      <c r="F137" s="10">
        <v>11830</v>
      </c>
      <c r="G137" s="10">
        <v>4732000</v>
      </c>
      <c r="H137" s="266">
        <v>2</v>
      </c>
    </row>
    <row r="138" spans="2:8" x14ac:dyDescent="0.35">
      <c r="B138" s="7" t="s">
        <v>5339</v>
      </c>
      <c r="C138" s="7" t="s">
        <v>5316</v>
      </c>
      <c r="D138" s="7" t="s">
        <v>4079</v>
      </c>
      <c r="E138" s="7" t="s">
        <v>5317</v>
      </c>
      <c r="F138" s="10">
        <v>10400</v>
      </c>
      <c r="G138" s="10">
        <v>4160000</v>
      </c>
      <c r="H138" s="266">
        <v>4</v>
      </c>
    </row>
    <row r="139" spans="2:8" x14ac:dyDescent="0.35">
      <c r="B139" s="7" t="s">
        <v>5340</v>
      </c>
      <c r="C139" s="7" t="s">
        <v>5316</v>
      </c>
      <c r="D139" s="7" t="s">
        <v>4079</v>
      </c>
      <c r="E139" s="7" t="s">
        <v>5317</v>
      </c>
      <c r="F139" s="10">
        <v>12000</v>
      </c>
      <c r="G139" s="10">
        <v>4800000</v>
      </c>
      <c r="H139" s="266">
        <v>1</v>
      </c>
    </row>
    <row r="140" spans="2:8" x14ac:dyDescent="0.35">
      <c r="B140" s="7" t="s">
        <v>5341</v>
      </c>
      <c r="C140" s="7" t="s">
        <v>5316</v>
      </c>
      <c r="D140" s="7" t="s">
        <v>5254</v>
      </c>
      <c r="E140" s="7" t="s">
        <v>5317</v>
      </c>
      <c r="F140" s="10">
        <v>81565</v>
      </c>
      <c r="G140" s="10">
        <v>163130000</v>
      </c>
      <c r="H140" s="266">
        <v>13</v>
      </c>
    </row>
    <row r="141" spans="2:8" x14ac:dyDescent="0.35">
      <c r="B141" s="7" t="s">
        <v>5342</v>
      </c>
      <c r="C141" s="7" t="s">
        <v>5316</v>
      </c>
      <c r="D141" s="7" t="s">
        <v>5254</v>
      </c>
      <c r="E141" s="7" t="s">
        <v>5317</v>
      </c>
      <c r="F141" s="10">
        <v>60531</v>
      </c>
      <c r="G141" s="10">
        <v>121062000</v>
      </c>
      <c r="H141" s="266">
        <v>12</v>
      </c>
    </row>
    <row r="142" spans="2:8" x14ac:dyDescent="0.35">
      <c r="B142" s="7" t="s">
        <v>5343</v>
      </c>
      <c r="C142" s="7" t="s">
        <v>5316</v>
      </c>
      <c r="D142" s="7" t="s">
        <v>5254</v>
      </c>
      <c r="E142" s="7" t="s">
        <v>5317</v>
      </c>
      <c r="F142" s="10">
        <v>66685</v>
      </c>
      <c r="G142" s="10">
        <v>133370000</v>
      </c>
      <c r="H142" s="266">
        <v>16</v>
      </c>
    </row>
    <row r="143" spans="2:8" x14ac:dyDescent="0.35">
      <c r="B143" s="7" t="s">
        <v>5344</v>
      </c>
      <c r="C143" s="7" t="s">
        <v>5316</v>
      </c>
      <c r="D143" s="7" t="s">
        <v>5254</v>
      </c>
      <c r="E143" s="7" t="s">
        <v>5317</v>
      </c>
      <c r="F143" s="10">
        <v>350.4</v>
      </c>
      <c r="G143" s="10">
        <v>12674344.76</v>
      </c>
      <c r="H143" s="266">
        <v>2</v>
      </c>
    </row>
    <row r="144" spans="2:8" x14ac:dyDescent="0.35">
      <c r="B144" s="7" t="s">
        <v>5345</v>
      </c>
      <c r="C144" s="7" t="s">
        <v>5316</v>
      </c>
      <c r="D144" s="7" t="s">
        <v>5254</v>
      </c>
      <c r="E144" s="7" t="s">
        <v>5317</v>
      </c>
      <c r="F144" s="10">
        <v>5</v>
      </c>
      <c r="G144" s="10">
        <v>175000</v>
      </c>
      <c r="H144" s="266">
        <v>1</v>
      </c>
    </row>
    <row r="145" spans="2:8" x14ac:dyDescent="0.35">
      <c r="B145" s="7" t="s">
        <v>5346</v>
      </c>
      <c r="C145" s="7" t="s">
        <v>5316</v>
      </c>
      <c r="D145" s="7" t="s">
        <v>5254</v>
      </c>
      <c r="E145" s="7" t="s">
        <v>5317</v>
      </c>
      <c r="F145" s="10">
        <v>5</v>
      </c>
      <c r="G145" s="10">
        <v>262500</v>
      </c>
      <c r="H145" s="266">
        <v>1</v>
      </c>
    </row>
    <row r="146" spans="2:8" x14ac:dyDescent="0.35">
      <c r="B146" s="7" t="s">
        <v>5347</v>
      </c>
      <c r="C146" s="7" t="s">
        <v>5316</v>
      </c>
      <c r="D146" s="7" t="s">
        <v>5254</v>
      </c>
      <c r="E146" s="7" t="s">
        <v>5317</v>
      </c>
      <c r="F146" s="10">
        <v>5</v>
      </c>
      <c r="G146" s="10">
        <v>227500</v>
      </c>
      <c r="H146" s="266">
        <v>1</v>
      </c>
    </row>
    <row r="147" spans="2:8" x14ac:dyDescent="0.35">
      <c r="B147" s="7" t="s">
        <v>5348</v>
      </c>
      <c r="C147" s="7" t="s">
        <v>5316</v>
      </c>
      <c r="D147" s="7" t="s">
        <v>5330</v>
      </c>
      <c r="E147" s="7" t="s">
        <v>5317</v>
      </c>
      <c r="F147" s="10">
        <v>1867</v>
      </c>
      <c r="G147" s="10">
        <v>43760350.75</v>
      </c>
      <c r="H147" s="266">
        <v>142</v>
      </c>
    </row>
    <row r="148" spans="2:8" x14ac:dyDescent="0.35">
      <c r="B148" s="7" t="s">
        <v>5349</v>
      </c>
      <c r="C148" s="7" t="s">
        <v>5316</v>
      </c>
      <c r="D148" s="7" t="s">
        <v>5330</v>
      </c>
      <c r="E148" s="7" t="s">
        <v>5317</v>
      </c>
      <c r="F148" s="10">
        <v>2596</v>
      </c>
      <c r="G148" s="10">
        <v>64375664.450000003</v>
      </c>
      <c r="H148" s="266">
        <v>180</v>
      </c>
    </row>
    <row r="149" spans="2:8" x14ac:dyDescent="0.35">
      <c r="B149" s="7" t="s">
        <v>5350</v>
      </c>
      <c r="C149" s="7" t="s">
        <v>5316</v>
      </c>
      <c r="D149" s="7" t="s">
        <v>5330</v>
      </c>
      <c r="E149" s="7" t="s">
        <v>5317</v>
      </c>
      <c r="F149" s="10">
        <v>254</v>
      </c>
      <c r="G149" s="10">
        <v>6024323.79</v>
      </c>
      <c r="H149" s="266">
        <v>55</v>
      </c>
    </row>
    <row r="150" spans="2:8" x14ac:dyDescent="0.35">
      <c r="B150" s="7" t="s">
        <v>5351</v>
      </c>
      <c r="C150" s="7" t="s">
        <v>5316</v>
      </c>
      <c r="D150" s="7" t="s">
        <v>5330</v>
      </c>
      <c r="E150" s="7" t="s">
        <v>5317</v>
      </c>
      <c r="F150" s="10">
        <v>607</v>
      </c>
      <c r="G150" s="10">
        <v>14352249.939999999</v>
      </c>
      <c r="H150" s="266">
        <v>76</v>
      </c>
    </row>
    <row r="151" spans="2:8" x14ac:dyDescent="0.35">
      <c r="B151" s="7" t="s">
        <v>5352</v>
      </c>
      <c r="C151" s="7" t="s">
        <v>5316</v>
      </c>
      <c r="D151" s="7" t="s">
        <v>5330</v>
      </c>
      <c r="E151" s="7" t="s">
        <v>5317</v>
      </c>
      <c r="F151" s="10">
        <v>1</v>
      </c>
      <c r="G151" s="10">
        <v>27027.02</v>
      </c>
      <c r="H151" s="266">
        <v>1</v>
      </c>
    </row>
    <row r="152" spans="2:8" x14ac:dyDescent="0.35">
      <c r="B152" s="7" t="s">
        <v>5353</v>
      </c>
      <c r="C152" s="7" t="s">
        <v>5316</v>
      </c>
      <c r="D152" s="7" t="s">
        <v>5330</v>
      </c>
      <c r="E152" s="7" t="s">
        <v>5317</v>
      </c>
      <c r="F152" s="10">
        <v>2</v>
      </c>
      <c r="G152" s="10">
        <v>144144.4</v>
      </c>
      <c r="H152" s="266">
        <v>1</v>
      </c>
    </row>
    <row r="153" spans="2:8" x14ac:dyDescent="0.35">
      <c r="B153" s="7" t="s">
        <v>5354</v>
      </c>
      <c r="C153" s="7" t="s">
        <v>5316</v>
      </c>
      <c r="D153" s="7" t="s">
        <v>5330</v>
      </c>
      <c r="E153" s="7" t="s">
        <v>5317</v>
      </c>
      <c r="F153" s="10">
        <v>14</v>
      </c>
      <c r="G153" s="10">
        <v>959459.76</v>
      </c>
      <c r="H153" s="266">
        <v>5</v>
      </c>
    </row>
    <row r="154" spans="2:8" x14ac:dyDescent="0.35">
      <c r="B154" s="7" t="s">
        <v>5355</v>
      </c>
      <c r="C154" s="7" t="s">
        <v>5316</v>
      </c>
      <c r="D154" s="7" t="s">
        <v>4079</v>
      </c>
      <c r="E154" s="7" t="s">
        <v>5317</v>
      </c>
      <c r="F154" s="10">
        <v>337</v>
      </c>
      <c r="G154" s="10">
        <v>1603601.63</v>
      </c>
      <c r="H154" s="266">
        <v>8</v>
      </c>
    </row>
    <row r="155" spans="2:8" x14ac:dyDescent="0.35">
      <c r="B155" s="7" t="s">
        <v>5356</v>
      </c>
      <c r="C155" s="7" t="s">
        <v>5316</v>
      </c>
      <c r="D155" s="7" t="s">
        <v>4079</v>
      </c>
      <c r="E155" s="7" t="s">
        <v>5317</v>
      </c>
      <c r="F155" s="10">
        <v>432</v>
      </c>
      <c r="G155" s="10">
        <v>1297296</v>
      </c>
      <c r="H155" s="266">
        <v>4</v>
      </c>
    </row>
    <row r="156" spans="2:8" x14ac:dyDescent="0.35">
      <c r="B156" s="7" t="s">
        <v>5357</v>
      </c>
      <c r="C156" s="7" t="s">
        <v>5316</v>
      </c>
      <c r="D156" s="7" t="s">
        <v>4079</v>
      </c>
      <c r="E156" s="7" t="s">
        <v>5317</v>
      </c>
      <c r="F156" s="10">
        <v>96</v>
      </c>
      <c r="G156" s="10">
        <v>162162.23999999999</v>
      </c>
      <c r="H156" s="266">
        <v>2</v>
      </c>
    </row>
    <row r="157" spans="2:8" x14ac:dyDescent="0.35">
      <c r="B157" s="7" t="s">
        <v>5358</v>
      </c>
      <c r="C157" s="7" t="s">
        <v>5316</v>
      </c>
      <c r="D157" s="7" t="s">
        <v>4079</v>
      </c>
      <c r="E157" s="7" t="s">
        <v>5317</v>
      </c>
      <c r="F157" s="10">
        <v>22320</v>
      </c>
      <c r="G157" s="10">
        <v>11963520</v>
      </c>
      <c r="H157" s="266">
        <v>1</v>
      </c>
    </row>
    <row r="158" spans="2:8" x14ac:dyDescent="0.35">
      <c r="B158" s="7" t="s">
        <v>5359</v>
      </c>
      <c r="C158" s="7" t="s">
        <v>5316</v>
      </c>
      <c r="D158" s="7" t="s">
        <v>4079</v>
      </c>
      <c r="E158" s="7" t="s">
        <v>5317</v>
      </c>
      <c r="F158" s="10">
        <v>14688</v>
      </c>
      <c r="G158" s="10">
        <v>44064000</v>
      </c>
      <c r="H158" s="266">
        <v>2</v>
      </c>
    </row>
    <row r="159" spans="2:8" x14ac:dyDescent="0.35">
      <c r="B159" s="7" t="s">
        <v>5360</v>
      </c>
      <c r="C159" s="7" t="s">
        <v>5316</v>
      </c>
      <c r="D159" s="7" t="s">
        <v>4079</v>
      </c>
      <c r="E159" s="7" t="s">
        <v>5317</v>
      </c>
      <c r="F159" s="10">
        <v>21600</v>
      </c>
      <c r="G159" s="10">
        <v>15336000</v>
      </c>
      <c r="H159" s="266">
        <v>1</v>
      </c>
    </row>
    <row r="160" spans="2:8" x14ac:dyDescent="0.35">
      <c r="B160" s="7" t="s">
        <v>5361</v>
      </c>
      <c r="C160" s="7" t="s">
        <v>5316</v>
      </c>
      <c r="D160" s="7" t="s">
        <v>4079</v>
      </c>
      <c r="E160" s="7" t="s">
        <v>5317</v>
      </c>
      <c r="F160" s="10">
        <v>9180</v>
      </c>
      <c r="G160" s="10">
        <v>32864400</v>
      </c>
      <c r="H160" s="266">
        <v>2</v>
      </c>
    </row>
    <row r="161" spans="2:8" x14ac:dyDescent="0.35">
      <c r="B161" s="7" t="s">
        <v>5362</v>
      </c>
      <c r="C161" s="7" t="s">
        <v>5363</v>
      </c>
      <c r="D161" s="7" t="s">
        <v>5254</v>
      </c>
      <c r="E161" s="7" t="s">
        <v>5364</v>
      </c>
      <c r="F161" s="10">
        <v>25228</v>
      </c>
      <c r="G161" s="10">
        <v>296783836.72000003</v>
      </c>
      <c r="H161" s="266">
        <v>95</v>
      </c>
    </row>
    <row r="162" spans="2:8" x14ac:dyDescent="0.35">
      <c r="B162" s="7" t="s">
        <v>5365</v>
      </c>
      <c r="C162" s="7" t="s">
        <v>5366</v>
      </c>
      <c r="D162" s="7" t="s">
        <v>5254</v>
      </c>
      <c r="E162" s="7" t="s">
        <v>5367</v>
      </c>
      <c r="F162" s="10">
        <v>473</v>
      </c>
      <c r="G162" s="10">
        <v>25717483</v>
      </c>
      <c r="H162" s="266">
        <v>1</v>
      </c>
    </row>
    <row r="163" spans="2:8" x14ac:dyDescent="0.35">
      <c r="B163" s="7" t="s">
        <v>5368</v>
      </c>
      <c r="C163" s="7" t="s">
        <v>5366</v>
      </c>
      <c r="D163" s="7" t="s">
        <v>5254</v>
      </c>
      <c r="E163" s="7" t="s">
        <v>5367</v>
      </c>
      <c r="F163" s="10">
        <v>43510.400000000001</v>
      </c>
      <c r="G163" s="10">
        <v>2084148160</v>
      </c>
      <c r="H163" s="266">
        <v>54</v>
      </c>
    </row>
    <row r="164" spans="2:8" x14ac:dyDescent="0.35">
      <c r="B164" s="7" t="s">
        <v>5369</v>
      </c>
      <c r="C164" s="7" t="s">
        <v>5370</v>
      </c>
      <c r="D164" s="7" t="s">
        <v>5254</v>
      </c>
      <c r="E164" s="7" t="s">
        <v>5371</v>
      </c>
      <c r="F164" s="10">
        <v>676.5</v>
      </c>
      <c r="G164" s="10">
        <v>30560211</v>
      </c>
      <c r="H164" s="266">
        <v>1</v>
      </c>
    </row>
    <row r="165" spans="2:8" x14ac:dyDescent="0.35">
      <c r="B165" s="7" t="s">
        <v>5372</v>
      </c>
      <c r="C165" s="7" t="s">
        <v>5370</v>
      </c>
      <c r="D165" s="7" t="s">
        <v>5254</v>
      </c>
      <c r="E165" s="7" t="s">
        <v>5371</v>
      </c>
      <c r="F165" s="10">
        <v>43936.9</v>
      </c>
      <c r="G165" s="10">
        <v>2130939650</v>
      </c>
      <c r="H165" s="266">
        <v>51</v>
      </c>
    </row>
    <row r="176" spans="2:8" ht="15.5" x14ac:dyDescent="0.35">
      <c r="B176" s="1" t="s">
        <v>5373</v>
      </c>
    </row>
    <row r="177" spans="2:17" x14ac:dyDescent="0.35">
      <c r="B177" s="2"/>
    </row>
    <row r="178" spans="2:17" x14ac:dyDescent="0.35">
      <c r="B178" s="3"/>
    </row>
    <row r="179" spans="2:17" x14ac:dyDescent="0.35">
      <c r="H179" s="6" t="s">
        <v>5374</v>
      </c>
    </row>
    <row r="180" spans="2:17" x14ac:dyDescent="0.35">
      <c r="B180" s="5" t="s">
        <v>5375</v>
      </c>
      <c r="C180" s="5" t="s">
        <v>5200</v>
      </c>
      <c r="D180" s="5" t="s">
        <v>5376</v>
      </c>
      <c r="H180" s="6" t="s">
        <v>5377</v>
      </c>
      <c r="I180" s="99">
        <f>'Business Plan - Model Details'!J4</f>
        <v>46053</v>
      </c>
      <c r="J180" s="99">
        <f>'Business Plan - Model Details'!K4</f>
        <v>46081</v>
      </c>
      <c r="K180" s="99">
        <f>'Business Plan - Model Details'!L4</f>
        <v>46112</v>
      </c>
      <c r="L180" s="99">
        <f>'Business Plan - Model Details'!M4</f>
        <v>46142</v>
      </c>
      <c r="M180" s="99">
        <f>'Business Plan - Model Details'!N4</f>
        <v>46173</v>
      </c>
      <c r="N180" s="99">
        <f>'Business Plan - Model Details'!O4</f>
        <v>46203</v>
      </c>
      <c r="O180" s="99">
        <f>'Business Plan - Model Details'!P4</f>
        <v>46234</v>
      </c>
      <c r="P180" s="99">
        <f>'Business Plan - Model Details'!Q4</f>
        <v>46265</v>
      </c>
      <c r="Q180" s="271" t="s">
        <v>5378</v>
      </c>
    </row>
    <row r="181" spans="2:17" x14ac:dyDescent="0.35">
      <c r="B181" s="4" t="s">
        <v>5379</v>
      </c>
    </row>
    <row r="182" spans="2:17" x14ac:dyDescent="0.35">
      <c r="B182" s="7" t="s">
        <v>5380</v>
      </c>
      <c r="C182" s="268" t="s">
        <v>319</v>
      </c>
      <c r="D182" s="2" t="s">
        <v>5381</v>
      </c>
      <c r="I182" s="273">
        <v>333120.13</v>
      </c>
      <c r="J182" s="273">
        <v>319330</v>
      </c>
      <c r="K182" s="273">
        <v>233585.7</v>
      </c>
      <c r="L182" s="273">
        <v>230362</v>
      </c>
      <c r="M182" s="273">
        <v>256294.5</v>
      </c>
      <c r="N182" s="273">
        <v>262525.09999999998</v>
      </c>
      <c r="O182" s="273">
        <v>270961.5</v>
      </c>
      <c r="P182" s="273">
        <v>317712.5</v>
      </c>
      <c r="Q182" s="273">
        <f>SUM(I182:P182)</f>
        <v>2223891.4300000002</v>
      </c>
    </row>
    <row r="183" spans="2:17" x14ac:dyDescent="0.35">
      <c r="B183" s="7" t="s">
        <v>5382</v>
      </c>
      <c r="C183" s="268" t="s">
        <v>319</v>
      </c>
      <c r="D183" s="2" t="s">
        <v>5383</v>
      </c>
      <c r="I183" s="10">
        <v>350705.13</v>
      </c>
      <c r="J183" s="10">
        <v>338276</v>
      </c>
      <c r="K183" s="10">
        <v>248105.60000000001</v>
      </c>
      <c r="L183" s="10">
        <v>248112.5</v>
      </c>
      <c r="M183" s="10">
        <v>275771.5</v>
      </c>
      <c r="N183" s="10">
        <v>281005.09999999998</v>
      </c>
      <c r="O183" s="10">
        <v>293819.5</v>
      </c>
      <c r="P183" s="10">
        <v>340827.5</v>
      </c>
      <c r="Q183" s="273">
        <f>SUM(I183:P183)</f>
        <v>2376622.83</v>
      </c>
    </row>
    <row r="184" spans="2:17" x14ac:dyDescent="0.35">
      <c r="B184" s="7" t="s">
        <v>5384</v>
      </c>
      <c r="C184" s="268" t="s">
        <v>319</v>
      </c>
      <c r="D184" s="2" t="s">
        <v>5385</v>
      </c>
      <c r="H184" s="10">
        <v>16285.5</v>
      </c>
      <c r="I184" s="10">
        <v>23897.5</v>
      </c>
      <c r="J184" s="10">
        <v>3162.5</v>
      </c>
      <c r="K184" s="10">
        <v>1996.5</v>
      </c>
      <c r="L184" s="10">
        <v>2876.5</v>
      </c>
      <c r="M184" s="10">
        <v>4130.5</v>
      </c>
      <c r="N184" s="10">
        <v>1534.5</v>
      </c>
      <c r="O184" s="10">
        <v>2431</v>
      </c>
      <c r="P184" s="10">
        <v>357.5</v>
      </c>
      <c r="Q184" s="273">
        <f>P184</f>
        <v>357.5</v>
      </c>
    </row>
    <row r="185" spans="2:17" x14ac:dyDescent="0.35">
      <c r="B185" s="7" t="s">
        <v>5386</v>
      </c>
      <c r="C185" s="268" t="s">
        <v>5265</v>
      </c>
      <c r="D185" s="2" t="s">
        <v>5387</v>
      </c>
      <c r="H185" s="10">
        <v>277226824.76376498</v>
      </c>
      <c r="I185" s="10">
        <v>412605402.22820002</v>
      </c>
      <c r="J185" s="10">
        <v>56673605.314499997</v>
      </c>
      <c r="K185" s="10">
        <v>36842047.376000002</v>
      </c>
      <c r="L185" s="10">
        <v>56249979.285700001</v>
      </c>
      <c r="M185" s="10">
        <v>85171715.970400006</v>
      </c>
      <c r="N185" s="10">
        <v>32574749.1351</v>
      </c>
      <c r="O185" s="10">
        <v>52116466.267099999</v>
      </c>
      <c r="P185" s="10">
        <v>7402503.9934999999</v>
      </c>
      <c r="Q185" s="273">
        <f>P185</f>
        <v>7402503.9934999999</v>
      </c>
    </row>
    <row r="186" spans="2:17" x14ac:dyDescent="0.35">
      <c r="B186" s="7" t="s">
        <v>5388</v>
      </c>
      <c r="C186" s="268" t="s">
        <v>5389</v>
      </c>
      <c r="D186" s="2" t="s">
        <v>5390</v>
      </c>
      <c r="I186" s="10">
        <v>17265.630399999998</v>
      </c>
      <c r="J186" s="10">
        <v>17920.507600000001</v>
      </c>
      <c r="K186" s="10">
        <v>18453.316999999999</v>
      </c>
      <c r="L186" s="10">
        <v>19555.007600000001</v>
      </c>
      <c r="M186" s="10">
        <v>20620.195100000001</v>
      </c>
      <c r="N186" s="10">
        <v>21228.2497</v>
      </c>
      <c r="O186" s="10">
        <v>21438.283100000001</v>
      </c>
      <c r="P186" s="10">
        <v>20706.304899999999</v>
      </c>
      <c r="Q186" s="273">
        <f>AVERAGE(I186:P186)</f>
        <v>19648.436924999998</v>
      </c>
    </row>
    <row r="187" spans="2:17" x14ac:dyDescent="0.35">
      <c r="B187" s="7" t="s">
        <v>5391</v>
      </c>
      <c r="C187" s="268" t="s">
        <v>319</v>
      </c>
      <c r="D187" s="2" t="s">
        <v>5392</v>
      </c>
      <c r="I187" s="9">
        <f t="shared" ref="I187:P187" si="31">I182+I184-H184</f>
        <v>340732.13</v>
      </c>
      <c r="J187" s="9">
        <f t="shared" si="31"/>
        <v>298595</v>
      </c>
      <c r="K187" s="9">
        <f t="shared" si="31"/>
        <v>232419.7</v>
      </c>
      <c r="L187" s="9">
        <f t="shared" si="31"/>
        <v>231242</v>
      </c>
      <c r="M187" s="9">
        <f t="shared" si="31"/>
        <v>257548.5</v>
      </c>
      <c r="N187" s="9">
        <f t="shared" si="31"/>
        <v>259929.09999999998</v>
      </c>
      <c r="O187" s="9">
        <f t="shared" si="31"/>
        <v>271858</v>
      </c>
      <c r="P187" s="9">
        <f t="shared" si="31"/>
        <v>315639</v>
      </c>
      <c r="Q187" s="273">
        <f>SUM(I187:P187)</f>
        <v>2207963.4300000002</v>
      </c>
    </row>
    <row r="188" spans="2:17" x14ac:dyDescent="0.35">
      <c r="B188" s="2" t="s">
        <v>5393</v>
      </c>
    </row>
    <row r="190" spans="2:17" x14ac:dyDescent="0.35">
      <c r="B190" s="4" t="s">
        <v>5394</v>
      </c>
    </row>
    <row r="191" spans="2:17" x14ac:dyDescent="0.35">
      <c r="B191" s="7" t="s">
        <v>5395</v>
      </c>
      <c r="C191" s="268" t="s">
        <v>319</v>
      </c>
      <c r="D191" s="2" t="s">
        <v>5396</v>
      </c>
      <c r="H191" s="10">
        <v>16285.5</v>
      </c>
      <c r="I191" s="10">
        <v>23897.5</v>
      </c>
      <c r="J191" s="10">
        <v>3162.5</v>
      </c>
      <c r="K191" s="10">
        <v>1996.5</v>
      </c>
      <c r="L191" s="10">
        <v>2876.5</v>
      </c>
      <c r="M191" s="10">
        <v>4130.5</v>
      </c>
      <c r="N191" s="10">
        <v>1534.5</v>
      </c>
      <c r="O191" s="10">
        <v>2585</v>
      </c>
      <c r="P191" s="10">
        <v>357.5</v>
      </c>
      <c r="Q191" s="273">
        <f t="shared" ref="Q191:Q206" si="32">P191</f>
        <v>357.5</v>
      </c>
    </row>
    <row r="192" spans="2:17" x14ac:dyDescent="0.35">
      <c r="B192" s="7" t="s">
        <v>5397</v>
      </c>
      <c r="C192" s="268" t="s">
        <v>5265</v>
      </c>
      <c r="D192" s="2" t="s">
        <v>5396</v>
      </c>
      <c r="H192" s="10">
        <v>277239997.99000001</v>
      </c>
      <c r="I192" s="10">
        <v>412341695.19</v>
      </c>
      <c r="J192" s="10">
        <v>56517949.450000003</v>
      </c>
      <c r="K192" s="10">
        <v>36826433.619999997</v>
      </c>
      <c r="L192" s="10">
        <v>56222689.229999997</v>
      </c>
      <c r="M192" s="10">
        <v>85122655.230000004</v>
      </c>
      <c r="N192" s="10">
        <v>32559824.899999999</v>
      </c>
      <c r="O192" s="10">
        <v>55414868.579999998</v>
      </c>
      <c r="P192" s="10">
        <v>7404521.2699999996</v>
      </c>
      <c r="Q192" s="273">
        <f t="shared" si="32"/>
        <v>7404521.2699999996</v>
      </c>
    </row>
    <row r="193" spans="2:17" x14ac:dyDescent="0.35">
      <c r="B193" s="7" t="s">
        <v>5398</v>
      </c>
      <c r="C193" s="268" t="s">
        <v>319</v>
      </c>
      <c r="D193" s="2" t="s">
        <v>5396</v>
      </c>
      <c r="H193" s="10">
        <v>4026</v>
      </c>
      <c r="I193" s="10">
        <v>0</v>
      </c>
      <c r="J193" s="10">
        <v>0</v>
      </c>
      <c r="K193" s="10">
        <v>3960</v>
      </c>
      <c r="L193" s="10">
        <v>7029</v>
      </c>
      <c r="M193" s="10">
        <v>0</v>
      </c>
      <c r="N193" s="10">
        <v>7029</v>
      </c>
      <c r="O193" s="10">
        <v>0</v>
      </c>
      <c r="P193" s="10">
        <v>7029</v>
      </c>
      <c r="Q193" s="273">
        <f t="shared" si="32"/>
        <v>7029</v>
      </c>
    </row>
    <row r="194" spans="2:17" x14ac:dyDescent="0.35">
      <c r="B194" s="7" t="s">
        <v>5399</v>
      </c>
      <c r="C194" s="268" t="s">
        <v>5265</v>
      </c>
      <c r="D194" s="2" t="s">
        <v>5396</v>
      </c>
      <c r="H194" s="10">
        <v>68577427.5</v>
      </c>
      <c r="I194" s="10">
        <v>-27.27</v>
      </c>
      <c r="J194" s="10">
        <v>-27.27</v>
      </c>
      <c r="K194" s="10">
        <v>73075107.909999996</v>
      </c>
      <c r="L194" s="10">
        <v>137321307.37</v>
      </c>
      <c r="M194" s="10">
        <v>-27.14</v>
      </c>
      <c r="N194" s="10">
        <v>149213340</v>
      </c>
      <c r="O194" s="10">
        <v>-17.55</v>
      </c>
      <c r="P194" s="10">
        <v>145544598.59</v>
      </c>
      <c r="Q194" s="273">
        <f t="shared" si="32"/>
        <v>145544598.59</v>
      </c>
    </row>
    <row r="195" spans="2:17" x14ac:dyDescent="0.35">
      <c r="B195" s="7" t="s">
        <v>5400</v>
      </c>
      <c r="C195" s="268" t="s">
        <v>319</v>
      </c>
      <c r="D195" s="2" t="s">
        <v>5396</v>
      </c>
      <c r="H195" s="10">
        <v>0</v>
      </c>
      <c r="I195" s="10">
        <v>0</v>
      </c>
      <c r="J195" s="10">
        <v>154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4042.5</v>
      </c>
      <c r="Q195" s="273">
        <f t="shared" si="32"/>
        <v>4042.5</v>
      </c>
    </row>
    <row r="196" spans="2:17" x14ac:dyDescent="0.35">
      <c r="B196" s="7" t="s">
        <v>5401</v>
      </c>
      <c r="C196" s="268" t="s">
        <v>5265</v>
      </c>
      <c r="D196" s="2" t="s">
        <v>5396</v>
      </c>
      <c r="H196" s="10">
        <v>0</v>
      </c>
      <c r="I196" s="10">
        <v>0</v>
      </c>
      <c r="J196" s="10">
        <v>4750804.84</v>
      </c>
      <c r="K196" s="10">
        <v>-0.05</v>
      </c>
      <c r="L196" s="10">
        <v>-0.05</v>
      </c>
      <c r="M196" s="10">
        <v>-0.05</v>
      </c>
      <c r="N196" s="10">
        <v>-0.05</v>
      </c>
      <c r="O196" s="10">
        <v>-0.05</v>
      </c>
      <c r="P196" s="10">
        <v>125748778.92</v>
      </c>
      <c r="Q196" s="273">
        <f t="shared" si="32"/>
        <v>125748778.92</v>
      </c>
    </row>
    <row r="197" spans="2:17" x14ac:dyDescent="0.35">
      <c r="B197" s="7" t="s">
        <v>5402</v>
      </c>
      <c r="C197" s="268" t="s">
        <v>319</v>
      </c>
      <c r="D197" s="2" t="s">
        <v>5396</v>
      </c>
      <c r="H197" s="10">
        <v>0</v>
      </c>
      <c r="I197" s="10">
        <v>0</v>
      </c>
      <c r="J197" s="10">
        <v>1825.9</v>
      </c>
      <c r="K197" s="10">
        <v>0</v>
      </c>
      <c r="L197" s="10">
        <v>0</v>
      </c>
      <c r="M197" s="10">
        <v>0</v>
      </c>
      <c r="N197" s="10">
        <v>764.5</v>
      </c>
      <c r="O197" s="10">
        <v>0</v>
      </c>
      <c r="P197" s="10">
        <v>2123</v>
      </c>
      <c r="Q197" s="273">
        <f t="shared" si="32"/>
        <v>2123</v>
      </c>
    </row>
    <row r="198" spans="2:17" x14ac:dyDescent="0.35">
      <c r="B198" s="7" t="s">
        <v>5403</v>
      </c>
      <c r="C198" s="268" t="s">
        <v>5265</v>
      </c>
      <c r="D198" s="2" t="s">
        <v>5396</v>
      </c>
      <c r="H198" s="10">
        <v>0</v>
      </c>
      <c r="I198" s="10">
        <v>0</v>
      </c>
      <c r="J198" s="10">
        <v>56327886.789999999</v>
      </c>
      <c r="K198" s="10">
        <v>0.1</v>
      </c>
      <c r="L198" s="10">
        <v>0.1</v>
      </c>
      <c r="M198" s="10">
        <v>0.1</v>
      </c>
      <c r="N198" s="10">
        <v>25426827.300000001</v>
      </c>
      <c r="O198" s="10">
        <v>1692346.91</v>
      </c>
      <c r="P198" s="10">
        <v>67731841.709999993</v>
      </c>
      <c r="Q198" s="273">
        <f t="shared" si="32"/>
        <v>67731841.709999993</v>
      </c>
    </row>
    <row r="199" spans="2:17" x14ac:dyDescent="0.35">
      <c r="B199" s="7" t="s">
        <v>5404</v>
      </c>
      <c r="C199" s="268" t="s">
        <v>319</v>
      </c>
      <c r="D199" s="2" t="s">
        <v>5396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273">
        <f t="shared" si="32"/>
        <v>0</v>
      </c>
    </row>
    <row r="200" spans="2:17" x14ac:dyDescent="0.35">
      <c r="B200" s="7" t="s">
        <v>5405</v>
      </c>
      <c r="C200" s="268" t="s">
        <v>5265</v>
      </c>
      <c r="D200" s="2" t="s">
        <v>5396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273">
        <f t="shared" si="32"/>
        <v>0</v>
      </c>
    </row>
    <row r="201" spans="2:17" x14ac:dyDescent="0.35">
      <c r="B201" s="7" t="s">
        <v>5406</v>
      </c>
      <c r="C201" s="268" t="s">
        <v>319</v>
      </c>
      <c r="D201" s="2" t="s">
        <v>5396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273">
        <f t="shared" si="32"/>
        <v>0</v>
      </c>
    </row>
    <row r="202" spans="2:17" x14ac:dyDescent="0.35">
      <c r="B202" s="7" t="s">
        <v>5407</v>
      </c>
      <c r="C202" s="268" t="s">
        <v>5265</v>
      </c>
      <c r="D202" s="2" t="s">
        <v>5396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273">
        <f t="shared" si="32"/>
        <v>0</v>
      </c>
    </row>
    <row r="203" spans="2:17" x14ac:dyDescent="0.35">
      <c r="B203" s="7" t="s">
        <v>5408</v>
      </c>
      <c r="C203" s="268" t="s">
        <v>319</v>
      </c>
      <c r="D203" s="2" t="s">
        <v>5396</v>
      </c>
      <c r="H203" s="10">
        <v>0.5</v>
      </c>
      <c r="I203" s="10">
        <v>0.5</v>
      </c>
      <c r="J203" s="10">
        <v>3432.5</v>
      </c>
      <c r="K203" s="10">
        <v>0.5</v>
      </c>
      <c r="L203" s="10">
        <v>0</v>
      </c>
      <c r="M203" s="10">
        <v>0</v>
      </c>
      <c r="N203" s="10">
        <v>698.5</v>
      </c>
      <c r="O203" s="10">
        <v>0</v>
      </c>
      <c r="P203" s="10">
        <v>0</v>
      </c>
      <c r="Q203" s="273">
        <f t="shared" si="32"/>
        <v>0</v>
      </c>
    </row>
    <row r="204" spans="2:17" x14ac:dyDescent="0.35">
      <c r="B204" s="7" t="s">
        <v>5409</v>
      </c>
      <c r="C204" s="268" t="s">
        <v>5265</v>
      </c>
      <c r="D204" s="2" t="s">
        <v>5396</v>
      </c>
      <c r="H204" s="10">
        <v>21236.080000000002</v>
      </c>
      <c r="I204" s="10">
        <v>21236.080000000002</v>
      </c>
      <c r="J204" s="10">
        <v>131836383.05</v>
      </c>
      <c r="K204" s="10">
        <v>19204.419999999998</v>
      </c>
      <c r="L204" s="10">
        <v>0.28999999999999998</v>
      </c>
      <c r="M204" s="10">
        <v>0.28999999999999998</v>
      </c>
      <c r="N204" s="10">
        <v>21890656.329999998</v>
      </c>
      <c r="O204" s="10">
        <v>-974521.91</v>
      </c>
      <c r="P204" s="10">
        <v>-974521.91</v>
      </c>
      <c r="Q204" s="273">
        <f t="shared" si="32"/>
        <v>-974521.91</v>
      </c>
    </row>
    <row r="205" spans="2:17" x14ac:dyDescent="0.35">
      <c r="B205" s="7" t="s">
        <v>5410</v>
      </c>
      <c r="C205" s="268" t="s">
        <v>319</v>
      </c>
      <c r="D205" s="2" t="s">
        <v>5396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273">
        <f t="shared" si="32"/>
        <v>0</v>
      </c>
    </row>
    <row r="206" spans="2:17" x14ac:dyDescent="0.35">
      <c r="B206" s="7" t="s">
        <v>5411</v>
      </c>
      <c r="C206" s="268" t="s">
        <v>5265</v>
      </c>
      <c r="D206" s="2" t="s">
        <v>5396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273">
        <f t="shared" si="32"/>
        <v>0</v>
      </c>
    </row>
    <row r="207" spans="2:17" x14ac:dyDescent="0.35">
      <c r="B207" s="7" t="s">
        <v>5412</v>
      </c>
      <c r="C207" s="268" t="s">
        <v>319</v>
      </c>
      <c r="D207" s="2" t="s">
        <v>5413</v>
      </c>
      <c r="I207" s="10">
        <v>337234.5</v>
      </c>
      <c r="J207" s="10">
        <v>332497</v>
      </c>
      <c r="K207" s="10">
        <v>235820.2</v>
      </c>
      <c r="L207" s="10">
        <v>234421</v>
      </c>
      <c r="M207" s="10">
        <v>267190</v>
      </c>
      <c r="N207" s="10">
        <v>262520.5</v>
      </c>
      <c r="O207" s="10">
        <v>304335.5</v>
      </c>
      <c r="P207" s="10">
        <v>331968.5</v>
      </c>
      <c r="Q207" s="273">
        <f>SUM(I207:P207)</f>
        <v>2305987.2000000002</v>
      </c>
    </row>
    <row r="208" spans="2:17" x14ac:dyDescent="0.35">
      <c r="B208" s="7" t="s">
        <v>5414</v>
      </c>
      <c r="C208" s="268" t="s">
        <v>319</v>
      </c>
      <c r="D208" s="2" t="s">
        <v>5415</v>
      </c>
      <c r="I208" s="10">
        <v>337068.5</v>
      </c>
      <c r="J208" s="10">
        <v>319330</v>
      </c>
      <c r="K208" s="10">
        <v>227535.88</v>
      </c>
      <c r="L208" s="10">
        <v>226963</v>
      </c>
      <c r="M208" s="10">
        <v>263224.5</v>
      </c>
      <c r="N208" s="10">
        <v>255491.5</v>
      </c>
      <c r="O208" s="10">
        <v>277436.5</v>
      </c>
      <c r="P208" s="10">
        <v>301075.5</v>
      </c>
      <c r="Q208" s="273">
        <f>SUM(I208:P208)</f>
        <v>2208125.38</v>
      </c>
    </row>
    <row r="209" spans="2:17" x14ac:dyDescent="0.35">
      <c r="B209" s="7" t="s">
        <v>5416</v>
      </c>
      <c r="C209" s="268" t="s">
        <v>319</v>
      </c>
      <c r="D209" s="2" t="s">
        <v>5413</v>
      </c>
      <c r="I209" s="10">
        <v>4192</v>
      </c>
      <c r="J209" s="10">
        <v>13167</v>
      </c>
      <c r="K209" s="10">
        <v>4324.32</v>
      </c>
      <c r="L209" s="10">
        <v>4389</v>
      </c>
      <c r="M209" s="10">
        <v>10994.5</v>
      </c>
      <c r="N209" s="10">
        <v>0</v>
      </c>
      <c r="O209" s="10">
        <v>33928</v>
      </c>
      <c r="P209" s="10">
        <v>23864</v>
      </c>
      <c r="Q209" s="273">
        <f>SUM(I209:P209)</f>
        <v>94858.82</v>
      </c>
    </row>
    <row r="210" spans="2:17" x14ac:dyDescent="0.35">
      <c r="B210" s="7" t="s">
        <v>5417</v>
      </c>
      <c r="C210" s="268" t="s">
        <v>319</v>
      </c>
      <c r="D210" s="2" t="s">
        <v>5413</v>
      </c>
      <c r="I210" s="10">
        <v>340666.13</v>
      </c>
      <c r="J210" s="10">
        <v>299486</v>
      </c>
      <c r="K210" s="10">
        <v>232419.7</v>
      </c>
      <c r="L210" s="10">
        <v>231731.5</v>
      </c>
      <c r="M210" s="10">
        <v>257548.5</v>
      </c>
      <c r="N210" s="10">
        <v>259929.1</v>
      </c>
      <c r="O210" s="10">
        <v>1050.5</v>
      </c>
      <c r="P210" s="10">
        <v>323559</v>
      </c>
      <c r="Q210" s="273">
        <f>SUM(I210:P210)</f>
        <v>1946390.4300000002</v>
      </c>
    </row>
    <row r="211" spans="2:17" x14ac:dyDescent="0.35">
      <c r="B211" s="7" t="s">
        <v>5418</v>
      </c>
      <c r="C211" s="268" t="s">
        <v>319</v>
      </c>
      <c r="D211" s="2" t="s">
        <v>5413</v>
      </c>
      <c r="I211" s="10">
        <v>333054.13</v>
      </c>
      <c r="J211" s="10">
        <v>320221</v>
      </c>
      <c r="K211" s="10">
        <v>233585.7</v>
      </c>
      <c r="L211" s="10">
        <v>230851.5</v>
      </c>
      <c r="M211" s="10">
        <v>256294.5</v>
      </c>
      <c r="N211" s="10">
        <v>262525.09999999998</v>
      </c>
      <c r="O211" s="10">
        <v>0</v>
      </c>
      <c r="P211" s="10">
        <v>325786.5</v>
      </c>
      <c r="Q211" s="273">
        <f>SUM(I211:P211)</f>
        <v>1962318.4300000002</v>
      </c>
    </row>
    <row r="213" spans="2:17" x14ac:dyDescent="0.35">
      <c r="B213" s="4" t="s">
        <v>5419</v>
      </c>
    </row>
    <row r="214" spans="2:17" x14ac:dyDescent="0.35">
      <c r="B214" s="7" t="s">
        <v>5420</v>
      </c>
      <c r="Q214" s="11">
        <f>IF(Q182=0,NA(),SUM(I184:P184)/Q182)</f>
        <v>1.8160284020699698E-2</v>
      </c>
    </row>
    <row r="215" spans="2:17" x14ac:dyDescent="0.35">
      <c r="B215" s="7" t="s">
        <v>5421</v>
      </c>
      <c r="Q215" s="11">
        <v>8.21222430634444E-2</v>
      </c>
    </row>
    <row r="216" spans="2:17" x14ac:dyDescent="0.35">
      <c r="B216" s="7" t="s">
        <v>5422</v>
      </c>
      <c r="Q216" s="11" t="str">
        <f>IF(SUM('Business Plan - Model Details'!$J$839:$Q$839)=0,"",SUM(I201:P201)/SUM('Business Plan - Model Details'!$J$839:$Q$839))</f>
        <v/>
      </c>
    </row>
    <row r="217" spans="2:17" x14ac:dyDescent="0.35">
      <c r="B217" s="7" t="s">
        <v>5423</v>
      </c>
      <c r="Q217" s="275">
        <f>Q214*30</f>
        <v>0.54480852062099094</v>
      </c>
    </row>
    <row r="219" spans="2:17" x14ac:dyDescent="0.35">
      <c r="B219" s="5" t="s">
        <v>5424</v>
      </c>
      <c r="C219" s="5" t="s">
        <v>319</v>
      </c>
      <c r="D219" s="5" t="s">
        <v>5265</v>
      </c>
    </row>
    <row r="220" spans="2:17" x14ac:dyDescent="0.35">
      <c r="B220" s="7" t="s">
        <v>5425</v>
      </c>
      <c r="C220" s="276">
        <f>H193</f>
        <v>4026</v>
      </c>
      <c r="D220" s="276">
        <f>H194</f>
        <v>68577427.5</v>
      </c>
    </row>
    <row r="221" spans="2:17" x14ac:dyDescent="0.35">
      <c r="B221" s="7" t="s">
        <v>5426</v>
      </c>
      <c r="C221" s="276">
        <f>H197+H199</f>
        <v>0</v>
      </c>
      <c r="D221" s="276">
        <f>H198+H200</f>
        <v>0</v>
      </c>
    </row>
    <row r="222" spans="2:17" x14ac:dyDescent="0.35">
      <c r="B222" s="7" t="s">
        <v>5427</v>
      </c>
      <c r="C222" s="276">
        <f>H203+H205</f>
        <v>0.5</v>
      </c>
      <c r="D222" s="276">
        <f>H204+H206</f>
        <v>21236.080000000002</v>
      </c>
    </row>
    <row r="223" spans="2:17" x14ac:dyDescent="0.35">
      <c r="B223" s="7" t="s">
        <v>5428</v>
      </c>
      <c r="C223" s="9">
        <f>H184-H191</f>
        <v>0</v>
      </c>
      <c r="D223" s="9">
        <f>H185-H192</f>
        <v>-13173.226235032082</v>
      </c>
    </row>
    <row r="224" spans="2:17" x14ac:dyDescent="0.35">
      <c r="B224" s="7" t="s">
        <v>5429</v>
      </c>
      <c r="C224" s="9">
        <f>H184+C220</f>
        <v>20311.5</v>
      </c>
      <c r="D224" s="9">
        <f>H185+D220</f>
        <v>345804252.26376498</v>
      </c>
    </row>
    <row r="235" spans="2:26" ht="15.5" x14ac:dyDescent="0.35">
      <c r="B235" s="1" t="s">
        <v>5430</v>
      </c>
    </row>
    <row r="236" spans="2:26" x14ac:dyDescent="0.35">
      <c r="B236" s="2"/>
    </row>
    <row r="237" spans="2:26" x14ac:dyDescent="0.35">
      <c r="B237" s="3"/>
    </row>
    <row r="239" spans="2:26" x14ac:dyDescent="0.35">
      <c r="B239" s="5" t="s">
        <v>5287</v>
      </c>
      <c r="C239" s="5" t="s">
        <v>5200</v>
      </c>
      <c r="D239" s="5" t="s">
        <v>3813</v>
      </c>
      <c r="E239" s="99">
        <v>45688</v>
      </c>
      <c r="F239" s="99">
        <v>45716</v>
      </c>
      <c r="G239" s="99">
        <v>45747</v>
      </c>
      <c r="H239" s="99">
        <v>45777</v>
      </c>
      <c r="I239" s="99">
        <v>45808</v>
      </c>
      <c r="J239" s="99">
        <v>45838</v>
      </c>
      <c r="K239" s="99">
        <v>45869</v>
      </c>
      <c r="L239" s="99">
        <v>45900</v>
      </c>
      <c r="M239" s="99">
        <v>45930</v>
      </c>
      <c r="N239" s="99">
        <v>45961</v>
      </c>
      <c r="O239" s="99">
        <v>45991</v>
      </c>
      <c r="P239" s="99">
        <v>46022</v>
      </c>
      <c r="Q239" s="99">
        <v>46053</v>
      </c>
      <c r="R239" s="99">
        <v>46081</v>
      </c>
      <c r="S239" s="99">
        <v>46112</v>
      </c>
      <c r="T239" s="99">
        <v>46142</v>
      </c>
      <c r="U239" s="99">
        <v>46173</v>
      </c>
      <c r="V239" s="99">
        <v>46203</v>
      </c>
      <c r="W239" s="99">
        <v>46234</v>
      </c>
      <c r="X239" s="99">
        <v>46265</v>
      </c>
      <c r="Y239" s="271" t="s">
        <v>5431</v>
      </c>
      <c r="Z239" s="271" t="s">
        <v>5251</v>
      </c>
    </row>
    <row r="240" spans="2:26" x14ac:dyDescent="0.35">
      <c r="B240" s="4" t="s">
        <v>5432</v>
      </c>
    </row>
    <row r="241" spans="2:26" x14ac:dyDescent="0.35">
      <c r="B241" s="7" t="s">
        <v>5433</v>
      </c>
      <c r="C241" s="268" t="s">
        <v>5265</v>
      </c>
      <c r="D241" s="2" t="s">
        <v>5266</v>
      </c>
      <c r="E241" s="10">
        <v>6313641400</v>
      </c>
      <c r="F241" s="10">
        <v>7565557078.4200001</v>
      </c>
      <c r="G241" s="10">
        <v>6532597144.3900003</v>
      </c>
      <c r="H241" s="10">
        <v>6907764600</v>
      </c>
      <c r="I241" s="10">
        <v>7400624000</v>
      </c>
      <c r="J241" s="10">
        <v>6549422000</v>
      </c>
      <c r="K241" s="10">
        <v>7686561617.3500004</v>
      </c>
      <c r="L241" s="10">
        <v>8215102500</v>
      </c>
      <c r="M241" s="10">
        <v>7873590559.0600004</v>
      </c>
      <c r="N241" s="10">
        <v>6959720118.1199999</v>
      </c>
      <c r="O241" s="10">
        <v>6217507256.7299995</v>
      </c>
      <c r="P241" s="10">
        <v>7478185878.3599997</v>
      </c>
      <c r="Q241" s="10">
        <v>8886249100</v>
      </c>
      <c r="R241" s="10">
        <v>8445756000</v>
      </c>
      <c r="S241" s="10">
        <v>6030777887.0900002</v>
      </c>
      <c r="T241" s="10">
        <v>6031608317.0200005</v>
      </c>
      <c r="U241" s="10">
        <v>7011316950</v>
      </c>
      <c r="V241" s="10">
        <v>6784455150</v>
      </c>
      <c r="W241" s="10">
        <v>7725549150</v>
      </c>
      <c r="X241" s="10">
        <v>8598231950</v>
      </c>
      <c r="Y241" s="273">
        <f>SUM(E241:P241)</f>
        <v>85700274152.429993</v>
      </c>
      <c r="Z241" s="273">
        <f>SUM(Q241:X241)</f>
        <v>59513944504.110001</v>
      </c>
    </row>
    <row r="242" spans="2:26" x14ac:dyDescent="0.35">
      <c r="B242" s="7" t="s">
        <v>5434</v>
      </c>
      <c r="C242" s="268" t="s">
        <v>5265</v>
      </c>
      <c r="D242" s="2" t="s">
        <v>5266</v>
      </c>
      <c r="E242" s="10">
        <v>92228666.859999999</v>
      </c>
      <c r="F242" s="10">
        <v>79366805.189999998</v>
      </c>
      <c r="G242" s="10">
        <v>42795237.869999997</v>
      </c>
      <c r="H242" s="10">
        <v>52659540.57</v>
      </c>
      <c r="I242" s="10">
        <v>73842967.670000002</v>
      </c>
      <c r="J242" s="10">
        <v>27397669.18</v>
      </c>
      <c r="K242" s="10">
        <v>64837041.030000001</v>
      </c>
      <c r="L242" s="10">
        <v>58384672.479999997</v>
      </c>
      <c r="M242" s="10">
        <v>66556136.030000001</v>
      </c>
      <c r="N242" s="10">
        <v>42120866.549999997</v>
      </c>
      <c r="O242" s="10">
        <v>39839129.579999998</v>
      </c>
      <c r="P242" s="10">
        <v>50741583.689999998</v>
      </c>
      <c r="Q242" s="10">
        <v>58258416.210000001</v>
      </c>
      <c r="R242" s="10">
        <v>59237339.990000002</v>
      </c>
      <c r="S242" s="10">
        <v>30869220</v>
      </c>
      <c r="T242" s="10">
        <v>61179456.899999999</v>
      </c>
      <c r="U242" s="10">
        <v>61520879</v>
      </c>
      <c r="V242" s="10">
        <v>96078836.140000001</v>
      </c>
      <c r="W242" s="10">
        <v>98111664.349999994</v>
      </c>
      <c r="X242" s="10">
        <v>107554907.95</v>
      </c>
      <c r="Y242" s="273">
        <f>SUM(E242:P242)</f>
        <v>690770316.70000005</v>
      </c>
      <c r="Z242" s="273">
        <f>SUM(Q242:X242)</f>
        <v>572810720.54000008</v>
      </c>
    </row>
    <row r="243" spans="2:26" x14ac:dyDescent="0.35">
      <c r="B243" s="7" t="s">
        <v>5435</v>
      </c>
      <c r="C243" s="268" t="s">
        <v>5265</v>
      </c>
      <c r="D243" s="2" t="s">
        <v>5266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18018.02</v>
      </c>
      <c r="O243" s="10">
        <v>0</v>
      </c>
      <c r="P243" s="10">
        <v>0</v>
      </c>
      <c r="Q243" s="10">
        <v>30560211</v>
      </c>
      <c r="R243" s="10">
        <v>266750</v>
      </c>
      <c r="S243" s="10">
        <v>150975650</v>
      </c>
      <c r="T243" s="10">
        <v>273685500</v>
      </c>
      <c r="U243" s="10">
        <v>241821000</v>
      </c>
      <c r="V243" s="10">
        <v>684213750</v>
      </c>
      <c r="W243" s="10">
        <v>430267750</v>
      </c>
      <c r="X243" s="10">
        <v>349709250</v>
      </c>
      <c r="Y243" s="273">
        <f>SUM(E243:P243)</f>
        <v>18018.02</v>
      </c>
      <c r="Z243" s="273">
        <f>SUM(Q243:X243)</f>
        <v>2161499861</v>
      </c>
    </row>
    <row r="244" spans="2:26" x14ac:dyDescent="0.35">
      <c r="B244" s="7" t="s">
        <v>5436</v>
      </c>
      <c r="C244" s="268" t="s">
        <v>5265</v>
      </c>
      <c r="D244" s="2" t="s">
        <v>5266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54054.06</v>
      </c>
      <c r="O244" s="10">
        <v>0</v>
      </c>
      <c r="P244" s="10">
        <v>0</v>
      </c>
      <c r="Q244" s="10">
        <v>25717483</v>
      </c>
      <c r="R244" s="10">
        <v>498160</v>
      </c>
      <c r="S244" s="10">
        <v>150956850</v>
      </c>
      <c r="T244" s="10">
        <v>264000850</v>
      </c>
      <c r="U244" s="10">
        <v>255546500</v>
      </c>
      <c r="V244" s="10">
        <v>653882900</v>
      </c>
      <c r="W244" s="10">
        <v>404659200</v>
      </c>
      <c r="X244" s="10">
        <v>354603700</v>
      </c>
      <c r="Y244" s="273">
        <f>SUM(E244:P244)</f>
        <v>54054.06</v>
      </c>
      <c r="Z244" s="273">
        <f>SUM(Q244:X244)</f>
        <v>2109865643</v>
      </c>
    </row>
    <row r="245" spans="2:26" x14ac:dyDescent="0.35">
      <c r="B245" s="7" t="s">
        <v>5437</v>
      </c>
      <c r="C245" s="268" t="s">
        <v>5265</v>
      </c>
      <c r="D245" s="2" t="s">
        <v>5266</v>
      </c>
      <c r="E245" s="10">
        <v>130188298.66</v>
      </c>
      <c r="F245" s="10">
        <v>72070368.920000002</v>
      </c>
      <c r="G245" s="10">
        <v>392415534.01999998</v>
      </c>
      <c r="H245" s="10">
        <v>106617682.45</v>
      </c>
      <c r="I245" s="10">
        <v>40788928.899999999</v>
      </c>
      <c r="J245" s="10">
        <v>108372568.45999999</v>
      </c>
      <c r="K245" s="10">
        <v>306246093.63</v>
      </c>
      <c r="L245" s="10">
        <v>18417809.82</v>
      </c>
      <c r="M245" s="10">
        <v>145072814.63999999</v>
      </c>
      <c r="N245" s="10">
        <v>293054881.45999998</v>
      </c>
      <c r="O245" s="10">
        <v>496142169.30000001</v>
      </c>
      <c r="P245" s="10">
        <v>437755396.54000002</v>
      </c>
      <c r="Q245" s="10">
        <v>368661350.63</v>
      </c>
      <c r="R245" s="10">
        <v>153812415.18000001</v>
      </c>
      <c r="S245" s="10">
        <f>120977173.96</f>
        <v>120977173.95999999</v>
      </c>
      <c r="T245" s="10">
        <v>220054572.81999999</v>
      </c>
      <c r="U245" s="10">
        <v>135211534.16</v>
      </c>
      <c r="V245" s="10">
        <v>76657119.079999998</v>
      </c>
      <c r="W245" s="10">
        <v>255493091.47999999</v>
      </c>
      <c r="X245" s="10">
        <v>383025644.11000001</v>
      </c>
      <c r="Y245" s="273">
        <f>SUM(E245:P245)</f>
        <v>2547142546.8000002</v>
      </c>
      <c r="Z245" s="273">
        <f>SUM(Q245:X245)</f>
        <v>1713892901.4200001</v>
      </c>
    </row>
    <row r="247" spans="2:26" x14ac:dyDescent="0.35">
      <c r="B247" s="4" t="s">
        <v>5438</v>
      </c>
    </row>
    <row r="248" spans="2:26" x14ac:dyDescent="0.35">
      <c r="B248" s="7" t="s">
        <v>5433</v>
      </c>
      <c r="C248" s="268" t="s">
        <v>5254</v>
      </c>
      <c r="D248" s="2" t="s">
        <v>5255</v>
      </c>
      <c r="E248" s="10">
        <v>230538</v>
      </c>
      <c r="F248" s="10">
        <v>277387</v>
      </c>
      <c r="G248" s="10">
        <v>240614.6</v>
      </c>
      <c r="H248" s="10">
        <v>261745</v>
      </c>
      <c r="I248" s="10">
        <v>280340.5</v>
      </c>
      <c r="J248" s="10">
        <v>247896</v>
      </c>
      <c r="K248" s="10">
        <v>292110.5</v>
      </c>
      <c r="L248" s="10">
        <v>311976.5</v>
      </c>
      <c r="M248" s="10">
        <v>299177.5</v>
      </c>
      <c r="N248" s="10">
        <v>264759</v>
      </c>
      <c r="O248" s="10">
        <v>236956.5</v>
      </c>
      <c r="P248" s="10">
        <v>283338.5</v>
      </c>
      <c r="Q248" s="10">
        <v>337068.5</v>
      </c>
      <c r="R248" s="10">
        <v>319330</v>
      </c>
      <c r="S248" s="10">
        <v>227535.88</v>
      </c>
      <c r="T248" s="10">
        <v>226963</v>
      </c>
      <c r="U248" s="10">
        <v>263224.5</v>
      </c>
      <c r="V248" s="10">
        <v>255491.5</v>
      </c>
      <c r="W248" s="10">
        <v>277436.5</v>
      </c>
      <c r="X248" s="10">
        <v>301075.5</v>
      </c>
      <c r="Y248" s="273">
        <f t="shared" ref="Y248:Y253" si="33">SUM(E248:P248)</f>
        <v>3226839.6</v>
      </c>
      <c r="Z248" s="273">
        <f t="shared" ref="Z248:Z253" si="34">SUM(Q248:X248)</f>
        <v>2208125.38</v>
      </c>
    </row>
    <row r="249" spans="2:26" x14ac:dyDescent="0.35">
      <c r="B249" s="7" t="s">
        <v>5434</v>
      </c>
      <c r="C249" s="268" t="s">
        <v>5254</v>
      </c>
      <c r="D249" s="2" t="s">
        <v>5255</v>
      </c>
      <c r="E249" s="10">
        <v>10395.959999999999</v>
      </c>
      <c r="F249" s="10">
        <v>9150.9699999999993</v>
      </c>
      <c r="G249" s="10">
        <v>5838</v>
      </c>
      <c r="H249" s="10">
        <v>5404</v>
      </c>
      <c r="I249" s="10">
        <v>8861</v>
      </c>
      <c r="J249" s="10">
        <v>3705</v>
      </c>
      <c r="K249" s="10">
        <v>7180.98</v>
      </c>
      <c r="L249" s="10">
        <v>6534.98</v>
      </c>
      <c r="M249" s="10">
        <v>7467.98</v>
      </c>
      <c r="N249" s="10">
        <v>4728.9799999999996</v>
      </c>
      <c r="O249" s="10">
        <v>4654.99</v>
      </c>
      <c r="P249" s="10">
        <v>5589.98</v>
      </c>
      <c r="Q249" s="10">
        <v>6442.98</v>
      </c>
      <c r="R249" s="10">
        <v>7026.98</v>
      </c>
      <c r="S249" s="10">
        <v>3782.99</v>
      </c>
      <c r="T249" s="10">
        <v>5695</v>
      </c>
      <c r="U249" s="10">
        <v>6371</v>
      </c>
      <c r="V249" s="10">
        <v>9384</v>
      </c>
      <c r="W249" s="10">
        <v>9666</v>
      </c>
      <c r="X249" s="10">
        <v>10217</v>
      </c>
      <c r="Y249" s="273">
        <f t="shared" si="33"/>
        <v>79512.819999999992</v>
      </c>
      <c r="Z249" s="273">
        <f t="shared" si="34"/>
        <v>58585.95</v>
      </c>
    </row>
    <row r="250" spans="2:26" x14ac:dyDescent="0.35">
      <c r="B250" s="7" t="s">
        <v>5435</v>
      </c>
      <c r="C250" s="268" t="s">
        <v>5254</v>
      </c>
      <c r="D250" s="2" t="s">
        <v>5255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1</v>
      </c>
      <c r="O250" s="10">
        <v>0</v>
      </c>
      <c r="P250" s="10">
        <v>0</v>
      </c>
      <c r="Q250" s="10">
        <v>676.5</v>
      </c>
      <c r="R250" s="10">
        <v>5.5</v>
      </c>
      <c r="S250" s="10">
        <v>3112.9</v>
      </c>
      <c r="T250" s="10">
        <v>5643</v>
      </c>
      <c r="U250" s="10">
        <v>4986</v>
      </c>
      <c r="V250" s="10">
        <v>14107.5</v>
      </c>
      <c r="W250" s="10">
        <v>8871.5</v>
      </c>
      <c r="X250" s="10">
        <v>7210.5</v>
      </c>
      <c r="Y250" s="273">
        <f t="shared" si="33"/>
        <v>1</v>
      </c>
      <c r="Z250" s="273">
        <f t="shared" si="34"/>
        <v>44613.4</v>
      </c>
    </row>
    <row r="251" spans="2:26" x14ac:dyDescent="0.35">
      <c r="B251" s="7" t="s">
        <v>5436</v>
      </c>
      <c r="C251" s="268" t="s">
        <v>5254</v>
      </c>
      <c r="D251" s="2" t="s">
        <v>5255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3</v>
      </c>
      <c r="O251" s="10">
        <v>0</v>
      </c>
      <c r="P251" s="10">
        <v>0</v>
      </c>
      <c r="Q251" s="10">
        <v>473</v>
      </c>
      <c r="R251" s="10">
        <v>10.4</v>
      </c>
      <c r="S251" s="10">
        <v>3151.5</v>
      </c>
      <c r="T251" s="10">
        <v>5511.5</v>
      </c>
      <c r="U251" s="10">
        <v>5335</v>
      </c>
      <c r="V251" s="10">
        <v>13651</v>
      </c>
      <c r="W251" s="10">
        <v>8448</v>
      </c>
      <c r="X251" s="10">
        <v>7403</v>
      </c>
      <c r="Y251" s="273">
        <f t="shared" si="33"/>
        <v>3</v>
      </c>
      <c r="Z251" s="273">
        <f t="shared" si="34"/>
        <v>43983.4</v>
      </c>
    </row>
    <row r="252" spans="2:26" x14ac:dyDescent="0.35">
      <c r="B252" s="7" t="s">
        <v>5437</v>
      </c>
      <c r="C252" s="268" t="s">
        <v>5261</v>
      </c>
      <c r="D252" s="2" t="s">
        <v>5255</v>
      </c>
      <c r="E252" s="10">
        <v>39794</v>
      </c>
      <c r="F252" s="10">
        <v>35006.800000000003</v>
      </c>
      <c r="G252" s="10">
        <v>53723</v>
      </c>
      <c r="H252" s="10">
        <v>77601</v>
      </c>
      <c r="I252" s="10">
        <v>27236</v>
      </c>
      <c r="J252" s="10">
        <v>52181.98</v>
      </c>
      <c r="K252" s="10">
        <v>63924</v>
      </c>
      <c r="L252" s="10">
        <v>769.7</v>
      </c>
      <c r="M252" s="10">
        <v>66271</v>
      </c>
      <c r="N252" s="10">
        <v>250221.95</v>
      </c>
      <c r="O252" s="10">
        <v>708522</v>
      </c>
      <c r="P252" s="10">
        <v>437844.5</v>
      </c>
      <c r="Q252" s="10">
        <v>417823.4</v>
      </c>
      <c r="R252" s="10">
        <v>185696</v>
      </c>
      <c r="S252" s="10">
        <v>83182</v>
      </c>
      <c r="T252" s="10">
        <v>188701</v>
      </c>
      <c r="U252" s="10">
        <v>66701</v>
      </c>
      <c r="V252" s="10">
        <v>53605</v>
      </c>
      <c r="W252" s="10">
        <v>122686</v>
      </c>
      <c r="X252" s="10">
        <v>217011</v>
      </c>
      <c r="Y252" s="273">
        <f t="shared" si="33"/>
        <v>1813095.93</v>
      </c>
      <c r="Z252" s="273">
        <f t="shared" si="34"/>
        <v>1335405.3999999999</v>
      </c>
    </row>
    <row r="253" spans="2:26" x14ac:dyDescent="0.35">
      <c r="B253" s="7" t="s">
        <v>5439</v>
      </c>
      <c r="C253" s="268" t="s">
        <v>5263</v>
      </c>
      <c r="D253" s="2" t="s">
        <v>5255</v>
      </c>
      <c r="E253" s="10">
        <v>3</v>
      </c>
      <c r="F253" s="10">
        <v>8</v>
      </c>
      <c r="G253" s="10">
        <v>7</v>
      </c>
      <c r="H253" s="10">
        <v>3</v>
      </c>
      <c r="I253" s="10">
        <v>0</v>
      </c>
      <c r="J253" s="10">
        <v>3</v>
      </c>
      <c r="K253" s="10">
        <v>6</v>
      </c>
      <c r="L253" s="10">
        <v>9</v>
      </c>
      <c r="M253" s="10">
        <v>5</v>
      </c>
      <c r="N253" s="10">
        <v>7</v>
      </c>
      <c r="O253" s="10">
        <v>29.5</v>
      </c>
      <c r="P253" s="10">
        <v>3</v>
      </c>
      <c r="Q253" s="10">
        <v>5</v>
      </c>
      <c r="R253" s="10">
        <v>2</v>
      </c>
      <c r="S253" s="10">
        <v>3</v>
      </c>
      <c r="T253" s="10">
        <v>4</v>
      </c>
      <c r="U253" s="10">
        <v>7</v>
      </c>
      <c r="V253" s="10">
        <v>9</v>
      </c>
      <c r="W253" s="10">
        <v>10</v>
      </c>
      <c r="X253" s="10">
        <v>3</v>
      </c>
      <c r="Y253" s="273">
        <f t="shared" si="33"/>
        <v>83.5</v>
      </c>
      <c r="Z253" s="273">
        <f t="shared" si="34"/>
        <v>43</v>
      </c>
    </row>
    <row r="255" spans="2:26" x14ac:dyDescent="0.35">
      <c r="B255" s="4" t="s">
        <v>5440</v>
      </c>
    </row>
    <row r="256" spans="2:26" x14ac:dyDescent="0.35">
      <c r="B256" s="7" t="s">
        <v>5441</v>
      </c>
      <c r="Z256" s="276">
        <f>Z241-('Data Aktual'!$Q$63)</f>
        <v>0</v>
      </c>
    </row>
    <row r="257" spans="2:26" x14ac:dyDescent="0.35">
      <c r="B257" s="7" t="s">
        <v>5442</v>
      </c>
      <c r="Z257" s="276">
        <f>Z242-('Data Aktual'!$Q$64+'Data Aktual'!$Q$65)</f>
        <v>0</v>
      </c>
    </row>
    <row r="258" spans="2:26" x14ac:dyDescent="0.35">
      <c r="B258" s="7" t="s">
        <v>5443</v>
      </c>
      <c r="Z258" s="276">
        <f>Z243-('Data Aktual'!$Q$66)</f>
        <v>0</v>
      </c>
    </row>
    <row r="259" spans="2:26" x14ac:dyDescent="0.35">
      <c r="B259" s="7" t="s">
        <v>5444</v>
      </c>
      <c r="Z259" s="276">
        <f>Z244-('Data Aktual'!$Q$67)</f>
        <v>0</v>
      </c>
    </row>
    <row r="260" spans="2:26" x14ac:dyDescent="0.35">
      <c r="B260" s="7" t="s">
        <v>5445</v>
      </c>
      <c r="Z260" s="276">
        <f>Z245-('Data Aktual'!$Q$68)</f>
        <v>0</v>
      </c>
    </row>
    <row r="261" spans="2:26" x14ac:dyDescent="0.35">
      <c r="B261" s="7"/>
      <c r="Z261" s="27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198"/>
  <sheetViews>
    <sheetView zoomScaleNormal="100" workbookViewId="0">
      <pane xSplit="4" ySplit="5" topLeftCell="R8" activePane="bottomRight" state="frozen"/>
      <selection pane="topRight" activeCell="E1" sqref="E1"/>
      <selection pane="bottomLeft" activeCell="A6" sqref="A6"/>
      <selection pane="bottomRight" activeCell="T11" sqref="T11"/>
    </sheetView>
  </sheetViews>
  <sheetFormatPr defaultColWidth="0" defaultRowHeight="14.5" x14ac:dyDescent="0.35"/>
  <cols>
    <col min="1" max="1" width="2" customWidth="1"/>
    <col min="2" max="2" width="12.1796875" customWidth="1"/>
    <col min="3" max="3" width="30" customWidth="1"/>
    <col min="4" max="4" width="22" customWidth="1"/>
    <col min="5" max="7" width="14" customWidth="1"/>
    <col min="8" max="8" width="11" customWidth="1"/>
    <col min="9" max="32" width="10.54296875" customWidth="1"/>
    <col min="33" max="33" width="8.6328125" hidden="1" customWidth="1"/>
    <col min="34" max="16384" width="8.6328125" hidden="1"/>
  </cols>
  <sheetData>
    <row r="1" spans="2:33" ht="15" customHeight="1" x14ac:dyDescent="0.35">
      <c r="B1" s="1" t="s">
        <v>5455</v>
      </c>
    </row>
    <row r="2" spans="2:33" ht="15" customHeight="1" x14ac:dyDescent="0.35">
      <c r="B2" s="2"/>
    </row>
    <row r="3" spans="2:33" ht="15" customHeight="1" x14ac:dyDescent="0.35">
      <c r="B3" s="3"/>
      <c r="I3" s="277" t="s">
        <v>5456</v>
      </c>
      <c r="Q3" s="278" t="s">
        <v>5457</v>
      </c>
    </row>
    <row r="4" spans="2:33" ht="15" customHeight="1" x14ac:dyDescent="0.35">
      <c r="C4" s="6" t="s">
        <v>5190</v>
      </c>
      <c r="I4" s="279">
        <v>46053</v>
      </c>
      <c r="J4" s="279">
        <f t="shared" ref="J4:AF4" si="0">EOMONTH(I4,1)</f>
        <v>46081</v>
      </c>
      <c r="K4" s="279">
        <f t="shared" si="0"/>
        <v>46112</v>
      </c>
      <c r="L4" s="279">
        <f t="shared" si="0"/>
        <v>46142</v>
      </c>
      <c r="M4" s="279">
        <f t="shared" si="0"/>
        <v>46173</v>
      </c>
      <c r="N4" s="279">
        <f t="shared" si="0"/>
        <v>46203</v>
      </c>
      <c r="O4" s="279">
        <f t="shared" si="0"/>
        <v>46234</v>
      </c>
      <c r="P4" s="279">
        <f t="shared" si="0"/>
        <v>46265</v>
      </c>
      <c r="Q4" s="280">
        <f t="shared" si="0"/>
        <v>46295</v>
      </c>
      <c r="R4" s="280">
        <f t="shared" si="0"/>
        <v>46326</v>
      </c>
      <c r="S4" s="280">
        <f t="shared" si="0"/>
        <v>46356</v>
      </c>
      <c r="T4" s="280">
        <f t="shared" si="0"/>
        <v>46387</v>
      </c>
      <c r="U4" s="280">
        <f t="shared" si="0"/>
        <v>46418</v>
      </c>
      <c r="V4" s="280">
        <f t="shared" si="0"/>
        <v>46446</v>
      </c>
      <c r="W4" s="280">
        <f t="shared" si="0"/>
        <v>46477</v>
      </c>
      <c r="X4" s="280">
        <f t="shared" si="0"/>
        <v>46507</v>
      </c>
      <c r="Y4" s="280">
        <f t="shared" si="0"/>
        <v>46538</v>
      </c>
      <c r="Z4" s="280">
        <f t="shared" si="0"/>
        <v>46568</v>
      </c>
      <c r="AA4" s="280">
        <f t="shared" si="0"/>
        <v>46599</v>
      </c>
      <c r="AB4" s="280">
        <f t="shared" si="0"/>
        <v>46630</v>
      </c>
      <c r="AC4" s="280">
        <f t="shared" si="0"/>
        <v>46660</v>
      </c>
      <c r="AD4" s="280">
        <f t="shared" si="0"/>
        <v>46691</v>
      </c>
      <c r="AE4" s="280">
        <f t="shared" si="0"/>
        <v>46721</v>
      </c>
      <c r="AF4" s="280">
        <f t="shared" si="0"/>
        <v>46752</v>
      </c>
    </row>
    <row r="6" spans="2:33" ht="15" customHeight="1" x14ac:dyDescent="0.35">
      <c r="B6" s="4" t="s">
        <v>5458</v>
      </c>
      <c r="C6" s="13"/>
      <c r="D6" s="281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 spans="2:33" ht="15" customHeight="1" x14ac:dyDescent="0.35">
      <c r="B7" s="6" t="s">
        <v>5459</v>
      </c>
      <c r="C7" s="7" t="s">
        <v>3948</v>
      </c>
      <c r="D7" s="2" t="s">
        <v>5460</v>
      </c>
      <c r="H7" s="268" t="s">
        <v>3874</v>
      </c>
      <c r="I7" s="282">
        <f t="shared" ref="I7:AF7" si="1">DAY(I4)-4</f>
        <v>27</v>
      </c>
      <c r="J7" s="282">
        <f t="shared" si="1"/>
        <v>24</v>
      </c>
      <c r="K7" s="282">
        <f t="shared" si="1"/>
        <v>27</v>
      </c>
      <c r="L7" s="282">
        <f t="shared" si="1"/>
        <v>26</v>
      </c>
      <c r="M7" s="282">
        <f t="shared" si="1"/>
        <v>27</v>
      </c>
      <c r="N7" s="282">
        <f t="shared" si="1"/>
        <v>26</v>
      </c>
      <c r="O7" s="282">
        <f t="shared" si="1"/>
        <v>27</v>
      </c>
      <c r="P7" s="282">
        <f t="shared" si="1"/>
        <v>27</v>
      </c>
      <c r="Q7" s="283">
        <f t="shared" si="1"/>
        <v>26</v>
      </c>
      <c r="R7" s="283">
        <f t="shared" si="1"/>
        <v>27</v>
      </c>
      <c r="S7" s="283">
        <f t="shared" si="1"/>
        <v>26</v>
      </c>
      <c r="T7" s="283">
        <f t="shared" si="1"/>
        <v>27</v>
      </c>
      <c r="U7" s="283">
        <f t="shared" si="1"/>
        <v>27</v>
      </c>
      <c r="V7" s="283">
        <f t="shared" si="1"/>
        <v>24</v>
      </c>
      <c r="W7" s="283">
        <f t="shared" si="1"/>
        <v>27</v>
      </c>
      <c r="X7" s="283">
        <f t="shared" si="1"/>
        <v>26</v>
      </c>
      <c r="Y7" s="283">
        <f t="shared" si="1"/>
        <v>27</v>
      </c>
      <c r="Z7" s="283">
        <f t="shared" si="1"/>
        <v>26</v>
      </c>
      <c r="AA7" s="283">
        <f t="shared" si="1"/>
        <v>27</v>
      </c>
      <c r="AB7" s="283">
        <f t="shared" si="1"/>
        <v>27</v>
      </c>
      <c r="AC7" s="283">
        <f t="shared" si="1"/>
        <v>26</v>
      </c>
      <c r="AD7" s="283">
        <f t="shared" si="1"/>
        <v>27</v>
      </c>
      <c r="AE7" s="283">
        <f t="shared" si="1"/>
        <v>26</v>
      </c>
      <c r="AF7" s="283">
        <f t="shared" si="1"/>
        <v>27</v>
      </c>
    </row>
    <row r="8" spans="2:33" ht="15" customHeight="1" x14ac:dyDescent="0.35">
      <c r="B8" s="4" t="s">
        <v>5461</v>
      </c>
      <c r="C8" s="13"/>
      <c r="D8" s="281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 spans="2:33" ht="15" customHeight="1" x14ac:dyDescent="0.35">
      <c r="B9" s="6" t="s">
        <v>20</v>
      </c>
      <c r="C9" s="7" t="s">
        <v>4038</v>
      </c>
      <c r="D9" s="2" t="s">
        <v>5462</v>
      </c>
      <c r="H9" s="268" t="s">
        <v>3900</v>
      </c>
      <c r="I9" s="282">
        <f>'Data Aktual'!I54</f>
        <v>337068.5</v>
      </c>
      <c r="J9" s="282">
        <f>'Data Aktual'!J54</f>
        <v>319330</v>
      </c>
      <c r="K9" s="282">
        <f>'Data Aktual'!K54</f>
        <v>227535.88</v>
      </c>
      <c r="L9" s="282">
        <f>'Data Aktual'!L54</f>
        <v>226963</v>
      </c>
      <c r="M9" s="282">
        <f>'Data Aktual'!M54</f>
        <v>263224.5</v>
      </c>
      <c r="N9" s="282">
        <f>'Data Aktual'!N54</f>
        <v>255491.5</v>
      </c>
      <c r="O9" s="282">
        <f>'Data Aktual'!O54</f>
        <v>277436.5</v>
      </c>
      <c r="P9" s="282">
        <f>'Data Aktual'!P54</f>
        <v>301075.5</v>
      </c>
      <c r="Q9" s="283">
        <v>278373.51664254075</v>
      </c>
      <c r="R9" s="283">
        <v>278373.51664254075</v>
      </c>
      <c r="S9" s="283">
        <v>278373.51664254075</v>
      </c>
      <c r="T9" s="283">
        <v>278373.51664254075</v>
      </c>
      <c r="U9" s="283">
        <v>278373.51664254075</v>
      </c>
      <c r="V9" s="283">
        <v>278373.51664254075</v>
      </c>
      <c r="W9" s="283">
        <v>278373.51664254075</v>
      </c>
      <c r="X9" s="283">
        <v>278373.51664254075</v>
      </c>
      <c r="Y9" s="283">
        <v>278373.51664254075</v>
      </c>
      <c r="Z9" s="283">
        <v>278373.51664254075</v>
      </c>
      <c r="AA9" s="283">
        <v>278373.51664254075</v>
      </c>
      <c r="AB9" s="283">
        <v>278373.51664254075</v>
      </c>
      <c r="AC9" s="283">
        <v>278373.51664254075</v>
      </c>
      <c r="AD9" s="283">
        <v>278373.51664254075</v>
      </c>
      <c r="AE9" s="283">
        <v>278373.51664254075</v>
      </c>
      <c r="AF9" s="283">
        <v>278373.51664254075</v>
      </c>
    </row>
    <row r="10" spans="2:33" ht="15" customHeight="1" x14ac:dyDescent="0.35">
      <c r="B10" s="6" t="s">
        <v>5447</v>
      </c>
      <c r="C10" s="7" t="s">
        <v>21</v>
      </c>
      <c r="D10" s="2" t="s">
        <v>5462</v>
      </c>
      <c r="H10" s="268" t="s">
        <v>3900</v>
      </c>
      <c r="I10" s="282">
        <f>'Data Aktual'!I57</f>
        <v>676.5</v>
      </c>
      <c r="J10" s="282">
        <f>'Data Aktual'!J57</f>
        <v>5.5</v>
      </c>
      <c r="K10" s="282">
        <f>'Data Aktual'!K57</f>
        <v>3112.9</v>
      </c>
      <c r="L10" s="282">
        <f>'Data Aktual'!L57</f>
        <v>5643</v>
      </c>
      <c r="M10" s="282">
        <f>'Data Aktual'!M57</f>
        <v>4986</v>
      </c>
      <c r="N10" s="282">
        <f>'Data Aktual'!N57</f>
        <v>14107.5</v>
      </c>
      <c r="O10" s="282">
        <f>'Data Aktual'!O57</f>
        <v>8871.5</v>
      </c>
      <c r="P10" s="282">
        <f>'Data Aktual'!P57</f>
        <v>7210.5</v>
      </c>
      <c r="Q10" s="283">
        <v>6388</v>
      </c>
      <c r="R10" s="283">
        <v>6388</v>
      </c>
      <c r="S10" s="283">
        <v>6388</v>
      </c>
      <c r="T10" s="283">
        <v>6388</v>
      </c>
      <c r="U10" s="283">
        <v>6388</v>
      </c>
      <c r="V10" s="283">
        <v>6388</v>
      </c>
      <c r="W10" s="283">
        <v>6388</v>
      </c>
      <c r="X10" s="283">
        <v>6388</v>
      </c>
      <c r="Y10" s="283">
        <v>6388</v>
      </c>
      <c r="Z10" s="283">
        <v>6388</v>
      </c>
      <c r="AA10" s="283">
        <v>6388</v>
      </c>
      <c r="AB10" s="283">
        <v>6388</v>
      </c>
      <c r="AC10" s="283">
        <v>6388</v>
      </c>
      <c r="AD10" s="283">
        <v>6388</v>
      </c>
      <c r="AE10" s="283">
        <v>6388</v>
      </c>
      <c r="AF10" s="283">
        <v>6388</v>
      </c>
    </row>
    <row r="11" spans="2:33" ht="15" customHeight="1" x14ac:dyDescent="0.35">
      <c r="B11" s="6" t="s">
        <v>5448</v>
      </c>
      <c r="C11" s="7" t="s">
        <v>22</v>
      </c>
      <c r="D11" s="2" t="s">
        <v>5462</v>
      </c>
      <c r="H11" s="268" t="s">
        <v>3900</v>
      </c>
      <c r="I11" s="282">
        <f>'Data Aktual'!I58</f>
        <v>473</v>
      </c>
      <c r="J11" s="282">
        <f>'Data Aktual'!J58</f>
        <v>10.4</v>
      </c>
      <c r="K11" s="282">
        <f>'Data Aktual'!K58</f>
        <v>3151.5</v>
      </c>
      <c r="L11" s="282">
        <f>'Data Aktual'!L58</f>
        <v>5511.5</v>
      </c>
      <c r="M11" s="282">
        <f>'Data Aktual'!M58</f>
        <v>5335</v>
      </c>
      <c r="N11" s="282">
        <f>'Data Aktual'!N58</f>
        <v>13651</v>
      </c>
      <c r="O11" s="282">
        <f>'Data Aktual'!O58</f>
        <v>8448</v>
      </c>
      <c r="P11" s="282">
        <f>'Data Aktual'!P58</f>
        <v>7403</v>
      </c>
      <c r="Q11" s="283">
        <v>5564.4250000000002</v>
      </c>
      <c r="R11" s="283">
        <v>5564.4250000000002</v>
      </c>
      <c r="S11" s="283">
        <v>5564.4250000000002</v>
      </c>
      <c r="T11" s="283">
        <v>5564.4250000000002</v>
      </c>
      <c r="U11" s="283">
        <v>5564.4250000000002</v>
      </c>
      <c r="V11" s="283">
        <v>5564.4250000000002</v>
      </c>
      <c r="W11" s="283">
        <v>5564.4250000000002</v>
      </c>
      <c r="X11" s="283">
        <v>5564.4250000000002</v>
      </c>
      <c r="Y11" s="283">
        <v>5564.4250000000002</v>
      </c>
      <c r="Z11" s="283">
        <v>5564.4250000000002</v>
      </c>
      <c r="AA11" s="283">
        <v>5564.4250000000002</v>
      </c>
      <c r="AB11" s="283">
        <v>5564.4250000000002</v>
      </c>
      <c r="AC11" s="283">
        <v>5564.4250000000002</v>
      </c>
      <c r="AD11" s="283">
        <v>5564.4250000000002</v>
      </c>
      <c r="AE11" s="283">
        <v>5564.4250000000002</v>
      </c>
      <c r="AF11" s="283">
        <v>5564.4250000000002</v>
      </c>
    </row>
    <row r="12" spans="2:33" ht="15" customHeight="1" x14ac:dyDescent="0.35">
      <c r="B12" s="6" t="s">
        <v>5449</v>
      </c>
      <c r="C12" s="7" t="s">
        <v>321</v>
      </c>
      <c r="D12" s="2" t="s">
        <v>5462</v>
      </c>
      <c r="H12" s="268" t="s">
        <v>3900</v>
      </c>
      <c r="I12" s="282">
        <f>0</f>
        <v>0</v>
      </c>
      <c r="J12" s="282">
        <f>0</f>
        <v>0</v>
      </c>
      <c r="K12" s="282">
        <f>0</f>
        <v>0</v>
      </c>
      <c r="L12" s="282">
        <f>0</f>
        <v>0</v>
      </c>
      <c r="M12" s="282">
        <f>0</f>
        <v>0</v>
      </c>
      <c r="N12" s="282">
        <f>0</f>
        <v>0</v>
      </c>
      <c r="O12" s="282">
        <f>0</f>
        <v>0</v>
      </c>
      <c r="P12" s="282">
        <f>0</f>
        <v>0</v>
      </c>
      <c r="Q12" s="283">
        <v>0</v>
      </c>
      <c r="R12" s="283">
        <v>0</v>
      </c>
      <c r="S12" s="283">
        <v>0</v>
      </c>
      <c r="T12" s="283">
        <v>0</v>
      </c>
      <c r="U12" s="283">
        <v>0</v>
      </c>
      <c r="V12" s="283">
        <v>0</v>
      </c>
      <c r="W12" s="283">
        <v>0</v>
      </c>
      <c r="X12" s="283">
        <v>0</v>
      </c>
      <c r="Y12" s="283">
        <v>0</v>
      </c>
      <c r="Z12" s="283">
        <v>0</v>
      </c>
      <c r="AA12" s="283">
        <v>0</v>
      </c>
      <c r="AB12" s="283">
        <v>0</v>
      </c>
      <c r="AC12" s="283">
        <v>0</v>
      </c>
      <c r="AD12" s="283">
        <v>0</v>
      </c>
      <c r="AE12" s="283">
        <v>0</v>
      </c>
      <c r="AF12" s="283">
        <v>0</v>
      </c>
    </row>
    <row r="13" spans="2:33" ht="15" customHeight="1" x14ac:dyDescent="0.35">
      <c r="B13" s="4" t="s">
        <v>5463</v>
      </c>
      <c r="C13" s="13"/>
      <c r="D13" s="281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 spans="2:33" ht="15" customHeight="1" x14ac:dyDescent="0.35">
      <c r="B14" s="6" t="s">
        <v>5464</v>
      </c>
      <c r="C14" s="7"/>
      <c r="D14" s="2"/>
      <c r="H14" s="268"/>
      <c r="I14" s="284"/>
      <c r="J14" s="284"/>
      <c r="K14" s="284"/>
      <c r="L14" s="284"/>
      <c r="M14" s="284"/>
      <c r="N14" s="284"/>
      <c r="O14" s="284"/>
      <c r="P14" s="284"/>
      <c r="Q14" s="285">
        <v>0.5</v>
      </c>
      <c r="R14" s="285">
        <v>0.5</v>
      </c>
      <c r="S14" s="285">
        <v>0.5</v>
      </c>
      <c r="T14" s="285">
        <v>0.5</v>
      </c>
      <c r="U14" s="285">
        <v>0.5</v>
      </c>
      <c r="V14" s="285">
        <v>0.5</v>
      </c>
      <c r="W14" s="285">
        <v>0.5</v>
      </c>
      <c r="X14" s="285">
        <v>0.5</v>
      </c>
      <c r="Y14" s="285">
        <v>0.5</v>
      </c>
      <c r="Z14" s="285">
        <v>0.5</v>
      </c>
      <c r="AA14" s="285">
        <v>0.5</v>
      </c>
      <c r="AB14" s="285">
        <v>0.5</v>
      </c>
      <c r="AC14" s="285">
        <v>0.5</v>
      </c>
      <c r="AD14" s="285">
        <v>0.5</v>
      </c>
      <c r="AE14" s="285">
        <v>0.5</v>
      </c>
      <c r="AF14" s="285">
        <v>0.5</v>
      </c>
    </row>
    <row r="15" spans="2:33" ht="15" customHeight="1" x14ac:dyDescent="0.35">
      <c r="B15" s="6" t="s">
        <v>5465</v>
      </c>
      <c r="C15" s="7"/>
      <c r="D15" s="2"/>
      <c r="H15" s="268"/>
      <c r="I15" s="282"/>
      <c r="J15" s="282"/>
      <c r="K15" s="282"/>
      <c r="L15" s="282"/>
      <c r="M15" s="282"/>
      <c r="N15" s="282"/>
      <c r="O15" s="282"/>
      <c r="P15" s="282"/>
      <c r="Q15" s="285">
        <f t="shared" ref="Q15:AF15" si="2">1-Q14</f>
        <v>0.5</v>
      </c>
      <c r="R15" s="285">
        <f t="shared" si="2"/>
        <v>0.5</v>
      </c>
      <c r="S15" s="285">
        <f t="shared" si="2"/>
        <v>0.5</v>
      </c>
      <c r="T15" s="285">
        <f t="shared" si="2"/>
        <v>0.5</v>
      </c>
      <c r="U15" s="285">
        <f t="shared" si="2"/>
        <v>0.5</v>
      </c>
      <c r="V15" s="285">
        <f t="shared" si="2"/>
        <v>0.5</v>
      </c>
      <c r="W15" s="285">
        <f t="shared" si="2"/>
        <v>0.5</v>
      </c>
      <c r="X15" s="285">
        <f t="shared" si="2"/>
        <v>0.5</v>
      </c>
      <c r="Y15" s="285">
        <f t="shared" si="2"/>
        <v>0.5</v>
      </c>
      <c r="Z15" s="285">
        <f t="shared" si="2"/>
        <v>0.5</v>
      </c>
      <c r="AA15" s="285">
        <f t="shared" si="2"/>
        <v>0.5</v>
      </c>
      <c r="AB15" s="285">
        <f t="shared" si="2"/>
        <v>0.5</v>
      </c>
      <c r="AC15" s="285">
        <f t="shared" si="2"/>
        <v>0.5</v>
      </c>
      <c r="AD15" s="285">
        <f t="shared" si="2"/>
        <v>0.5</v>
      </c>
      <c r="AE15" s="285">
        <f t="shared" si="2"/>
        <v>0.5</v>
      </c>
      <c r="AF15" s="285">
        <f t="shared" si="2"/>
        <v>0.5</v>
      </c>
    </row>
    <row r="16" spans="2:33" ht="15" customHeight="1" x14ac:dyDescent="0.35">
      <c r="B16" s="4" t="s">
        <v>5572</v>
      </c>
      <c r="C16" s="13"/>
      <c r="D16" s="281" t="s">
        <v>5466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 spans="2:33" ht="15" customHeight="1" x14ac:dyDescent="0.35">
      <c r="B17" s="6" t="s">
        <v>20</v>
      </c>
      <c r="C17" s="7" t="s">
        <v>4038</v>
      </c>
      <c r="D17" s="2" t="s">
        <v>5464</v>
      </c>
      <c r="H17" s="268" t="s">
        <v>3915</v>
      </c>
      <c r="I17" s="282">
        <v>25100</v>
      </c>
      <c r="J17" s="282">
        <v>25100</v>
      </c>
      <c r="K17" s="282">
        <v>25100</v>
      </c>
      <c r="L17" s="282">
        <v>25100</v>
      </c>
      <c r="M17" s="282">
        <v>26100</v>
      </c>
      <c r="N17" s="282">
        <v>26100</v>
      </c>
      <c r="O17" s="282">
        <v>28100</v>
      </c>
      <c r="P17" s="282">
        <v>28100</v>
      </c>
      <c r="Q17" s="283">
        <f t="shared" ref="Q17:AF17" si="3">P17</f>
        <v>28100</v>
      </c>
      <c r="R17" s="283">
        <f t="shared" ref="R17" si="4">Q17</f>
        <v>28100</v>
      </c>
      <c r="S17" s="283">
        <f t="shared" si="3"/>
        <v>28100</v>
      </c>
      <c r="T17" s="283">
        <f t="shared" si="3"/>
        <v>28100</v>
      </c>
      <c r="U17" s="283">
        <f t="shared" si="3"/>
        <v>28100</v>
      </c>
      <c r="V17" s="283">
        <f t="shared" si="3"/>
        <v>28100</v>
      </c>
      <c r="W17" s="283">
        <f t="shared" si="3"/>
        <v>28100</v>
      </c>
      <c r="X17" s="283">
        <f t="shared" si="3"/>
        <v>28100</v>
      </c>
      <c r="Y17" s="283">
        <f t="shared" si="3"/>
        <v>28100</v>
      </c>
      <c r="Z17" s="283">
        <f t="shared" si="3"/>
        <v>28100</v>
      </c>
      <c r="AA17" s="283">
        <f t="shared" si="3"/>
        <v>28100</v>
      </c>
      <c r="AB17" s="283">
        <f t="shared" si="3"/>
        <v>28100</v>
      </c>
      <c r="AC17" s="283">
        <f t="shared" si="3"/>
        <v>28100</v>
      </c>
      <c r="AD17" s="283">
        <f t="shared" si="3"/>
        <v>28100</v>
      </c>
      <c r="AE17" s="283">
        <f t="shared" si="3"/>
        <v>28100</v>
      </c>
      <c r="AF17" s="283">
        <f t="shared" si="3"/>
        <v>28100</v>
      </c>
    </row>
    <row r="18" spans="2:33" ht="15" customHeight="1" x14ac:dyDescent="0.35">
      <c r="B18" s="6" t="s">
        <v>20</v>
      </c>
      <c r="C18" s="7" t="s">
        <v>4038</v>
      </c>
      <c r="D18" s="2" t="s">
        <v>5465</v>
      </c>
      <c r="H18" s="268" t="s">
        <v>3915</v>
      </c>
      <c r="I18" s="282">
        <v>26100</v>
      </c>
      <c r="J18" s="282">
        <v>26100</v>
      </c>
      <c r="K18" s="282">
        <v>26100</v>
      </c>
      <c r="L18" s="282">
        <v>26100</v>
      </c>
      <c r="M18" s="282">
        <v>27100</v>
      </c>
      <c r="N18" s="282">
        <v>27100</v>
      </c>
      <c r="O18" s="282">
        <v>29100</v>
      </c>
      <c r="P18" s="282">
        <v>29100</v>
      </c>
      <c r="Q18" s="283">
        <f t="shared" ref="Q18:AF18" si="5">P18</f>
        <v>29100</v>
      </c>
      <c r="R18" s="283">
        <f t="shared" ref="R18" si="6">Q18</f>
        <v>29100</v>
      </c>
      <c r="S18" s="283">
        <f t="shared" si="5"/>
        <v>29100</v>
      </c>
      <c r="T18" s="283">
        <f t="shared" si="5"/>
        <v>29100</v>
      </c>
      <c r="U18" s="283">
        <f t="shared" si="5"/>
        <v>29100</v>
      </c>
      <c r="V18" s="283">
        <f t="shared" si="5"/>
        <v>29100</v>
      </c>
      <c r="W18" s="283">
        <f t="shared" si="5"/>
        <v>29100</v>
      </c>
      <c r="X18" s="283">
        <f t="shared" si="5"/>
        <v>29100</v>
      </c>
      <c r="Y18" s="283">
        <f t="shared" si="5"/>
        <v>29100</v>
      </c>
      <c r="Z18" s="283">
        <f t="shared" si="5"/>
        <v>29100</v>
      </c>
      <c r="AA18" s="283">
        <f t="shared" si="5"/>
        <v>29100</v>
      </c>
      <c r="AB18" s="283">
        <f t="shared" si="5"/>
        <v>29100</v>
      </c>
      <c r="AC18" s="283">
        <f t="shared" si="5"/>
        <v>29100</v>
      </c>
      <c r="AD18" s="283">
        <f t="shared" si="5"/>
        <v>29100</v>
      </c>
      <c r="AE18" s="283">
        <f t="shared" si="5"/>
        <v>29100</v>
      </c>
      <c r="AF18" s="283">
        <f t="shared" si="5"/>
        <v>29100</v>
      </c>
    </row>
    <row r="19" spans="2:33" ht="15" customHeight="1" x14ac:dyDescent="0.35">
      <c r="B19" s="6" t="s">
        <v>5447</v>
      </c>
      <c r="C19" s="7" t="s">
        <v>21</v>
      </c>
      <c r="D19" s="2" t="s">
        <v>5467</v>
      </c>
      <c r="H19" s="268" t="s">
        <v>3915</v>
      </c>
      <c r="I19" s="282">
        <v>25039.269892638102</v>
      </c>
      <c r="J19" s="282">
        <v>25738.158206417102</v>
      </c>
      <c r="K19" s="282">
        <v>26986.193223939601</v>
      </c>
      <c r="L19" s="282">
        <v>26799.014327208799</v>
      </c>
      <c r="M19" s="282">
        <v>27733.316281681</v>
      </c>
      <c r="N19" s="282">
        <v>27716.846941349599</v>
      </c>
      <c r="O19" s="282">
        <v>29478.020468178602</v>
      </c>
      <c r="P19" s="282">
        <v>27452.3900026265</v>
      </c>
      <c r="Q19" s="283">
        <v>48449.565847929094</v>
      </c>
      <c r="R19" s="283">
        <v>48449.565847929094</v>
      </c>
      <c r="S19" s="283">
        <v>48449.565847929094</v>
      </c>
      <c r="T19" s="283">
        <v>48449.565847929094</v>
      </c>
      <c r="U19" s="283">
        <v>48449.565847929094</v>
      </c>
      <c r="V19" s="283">
        <v>48449.565847929094</v>
      </c>
      <c r="W19" s="283">
        <v>48449.565847929094</v>
      </c>
      <c r="X19" s="283">
        <v>48449.565847929094</v>
      </c>
      <c r="Y19" s="283">
        <v>48449.565847929094</v>
      </c>
      <c r="Z19" s="283">
        <v>48449.565847929094</v>
      </c>
      <c r="AA19" s="283">
        <v>48449.565847929094</v>
      </c>
      <c r="AB19" s="283">
        <v>48449.565847929094</v>
      </c>
      <c r="AC19" s="283">
        <v>48449.565847929094</v>
      </c>
      <c r="AD19" s="283">
        <v>48449.565847929094</v>
      </c>
      <c r="AE19" s="283">
        <v>48449.565847929094</v>
      </c>
      <c r="AF19" s="283">
        <v>48449.565847929094</v>
      </c>
    </row>
    <row r="20" spans="2:33" ht="15" customHeight="1" x14ac:dyDescent="0.35">
      <c r="B20" s="6" t="s">
        <v>5448</v>
      </c>
      <c r="C20" s="7" t="s">
        <v>22</v>
      </c>
      <c r="D20" s="2" t="s">
        <v>5467</v>
      </c>
      <c r="H20" s="268" t="s">
        <v>3915</v>
      </c>
      <c r="I20" s="282">
        <v>25039.269892638102</v>
      </c>
      <c r="J20" s="282">
        <v>25738.158206417102</v>
      </c>
      <c r="K20" s="282">
        <v>26986.193223939601</v>
      </c>
      <c r="L20" s="282">
        <v>26799.014327208799</v>
      </c>
      <c r="M20" s="282">
        <v>27733.316281681</v>
      </c>
      <c r="N20" s="282">
        <v>27716.846941349599</v>
      </c>
      <c r="O20" s="282">
        <v>29478.020468178602</v>
      </c>
      <c r="P20" s="282">
        <v>27452.3900026265</v>
      </c>
      <c r="Q20" s="283">
        <v>47969.589504222044</v>
      </c>
      <c r="R20" s="283">
        <v>47969.589504222044</v>
      </c>
      <c r="S20" s="283">
        <v>47969.589504222044</v>
      </c>
      <c r="T20" s="283">
        <v>47969.589504222044</v>
      </c>
      <c r="U20" s="283">
        <v>47969.589504222044</v>
      </c>
      <c r="V20" s="283">
        <v>47969.589504222044</v>
      </c>
      <c r="W20" s="283">
        <v>47969.589504222044</v>
      </c>
      <c r="X20" s="283">
        <v>47969.589504222044</v>
      </c>
      <c r="Y20" s="283">
        <v>47969.589504222044</v>
      </c>
      <c r="Z20" s="283">
        <v>47969.589504222044</v>
      </c>
      <c r="AA20" s="283">
        <v>47969.589504222044</v>
      </c>
      <c r="AB20" s="283">
        <v>47969.589504222044</v>
      </c>
      <c r="AC20" s="283">
        <v>47969.589504222044</v>
      </c>
      <c r="AD20" s="283">
        <v>47969.589504222044</v>
      </c>
      <c r="AE20" s="283">
        <v>47969.589504222044</v>
      </c>
      <c r="AF20" s="283">
        <v>47969.589504222044</v>
      </c>
    </row>
    <row r="21" spans="2:33" ht="15" customHeight="1" x14ac:dyDescent="0.35">
      <c r="B21" s="6" t="s">
        <v>5449</v>
      </c>
      <c r="C21" s="7" t="s">
        <v>321</v>
      </c>
      <c r="D21" s="2" t="s">
        <v>5467</v>
      </c>
      <c r="H21" s="268" t="s">
        <v>3915</v>
      </c>
      <c r="I21" s="282">
        <f>'Business Plan - Model Details'!J905</f>
        <v>0</v>
      </c>
      <c r="J21" s="282">
        <f>'Business Plan - Model Details'!K905</f>
        <v>0</v>
      </c>
      <c r="K21" s="282">
        <f>'Business Plan - Model Details'!L905</f>
        <v>0</v>
      </c>
      <c r="L21" s="282">
        <f>'Business Plan - Model Details'!M905</f>
        <v>0</v>
      </c>
      <c r="M21" s="282">
        <f>'Business Plan - Model Details'!N905</f>
        <v>0</v>
      </c>
      <c r="N21" s="282">
        <f>'Business Plan - Model Details'!O905</f>
        <v>0</v>
      </c>
      <c r="O21" s="282">
        <f>'Business Plan - Model Details'!P905</f>
        <v>0</v>
      </c>
      <c r="P21" s="282">
        <f>'Business Plan - Model Details'!Q905</f>
        <v>0</v>
      </c>
      <c r="Q21" s="283">
        <v>0</v>
      </c>
      <c r="R21" s="283">
        <v>0</v>
      </c>
      <c r="S21" s="283">
        <v>0</v>
      </c>
      <c r="T21" s="283">
        <v>0</v>
      </c>
      <c r="U21" s="283">
        <v>0</v>
      </c>
      <c r="V21" s="283">
        <v>0</v>
      </c>
      <c r="W21" s="283">
        <v>0</v>
      </c>
      <c r="X21" s="283">
        <v>0</v>
      </c>
      <c r="Y21" s="283">
        <v>0</v>
      </c>
      <c r="Z21" s="283">
        <v>0</v>
      </c>
      <c r="AA21" s="283">
        <v>0</v>
      </c>
      <c r="AB21" s="283">
        <v>0</v>
      </c>
      <c r="AC21" s="283">
        <v>0</v>
      </c>
      <c r="AD21" s="283">
        <v>0</v>
      </c>
      <c r="AE21" s="283">
        <v>0</v>
      </c>
      <c r="AF21" s="283">
        <v>0</v>
      </c>
    </row>
    <row r="22" spans="2:33" ht="15" customHeight="1" x14ac:dyDescent="0.35">
      <c r="B22" s="6" t="s">
        <v>20</v>
      </c>
      <c r="C22" s="7" t="s">
        <v>4038</v>
      </c>
      <c r="D22" s="2" t="s">
        <v>5468</v>
      </c>
      <c r="H22" s="268" t="s">
        <v>3915</v>
      </c>
      <c r="I22" s="282">
        <v>0</v>
      </c>
      <c r="J22" s="282">
        <v>0</v>
      </c>
      <c r="K22" s="282">
        <v>0</v>
      </c>
      <c r="L22" s="282">
        <v>0</v>
      </c>
      <c r="M22" s="282">
        <v>0</v>
      </c>
      <c r="N22" s="282">
        <v>0</v>
      </c>
      <c r="O22" s="282">
        <v>0</v>
      </c>
      <c r="P22" s="282">
        <v>0</v>
      </c>
      <c r="Q22" s="283">
        <v>9777.2711808889326</v>
      </c>
      <c r="R22" s="283">
        <v>9777.2711808889326</v>
      </c>
      <c r="S22" s="283">
        <v>9777.2711808889326</v>
      </c>
      <c r="T22" s="283">
        <v>9777.2711808889326</v>
      </c>
      <c r="U22" s="283">
        <v>9777.2711808889326</v>
      </c>
      <c r="V22" s="283">
        <v>9777.2711808889326</v>
      </c>
      <c r="W22" s="283">
        <v>9777.2711808889326</v>
      </c>
      <c r="X22" s="283">
        <v>9777.2711808889326</v>
      </c>
      <c r="Y22" s="283">
        <v>9777.2711808889326</v>
      </c>
      <c r="Z22" s="283">
        <v>9777.2711808889326</v>
      </c>
      <c r="AA22" s="283">
        <v>9777.2711808889326</v>
      </c>
      <c r="AB22" s="283">
        <v>9777.2711808889326</v>
      </c>
      <c r="AC22" s="283">
        <v>9777.2711808889326</v>
      </c>
      <c r="AD22" s="283">
        <v>9777.2711808889326</v>
      </c>
      <c r="AE22" s="283">
        <v>9777.2711808889326</v>
      </c>
      <c r="AF22" s="283">
        <v>9777.2711808889326</v>
      </c>
    </row>
    <row r="23" spans="2:33" ht="15" customHeight="1" x14ac:dyDescent="0.35">
      <c r="B23" s="6" t="s">
        <v>5447</v>
      </c>
      <c r="C23" s="7" t="s">
        <v>21</v>
      </c>
      <c r="D23" s="2" t="s">
        <v>5469</v>
      </c>
      <c r="H23" s="268" t="s">
        <v>3915</v>
      </c>
      <c r="I23" s="282">
        <v>0</v>
      </c>
      <c r="J23" s="282">
        <v>0</v>
      </c>
      <c r="K23" s="282">
        <v>0</v>
      </c>
      <c r="L23" s="282">
        <v>0</v>
      </c>
      <c r="M23" s="282">
        <v>0</v>
      </c>
      <c r="N23" s="282">
        <v>0</v>
      </c>
      <c r="O23" s="282">
        <v>0</v>
      </c>
      <c r="P23" s="282">
        <v>0</v>
      </c>
      <c r="Q23" s="283">
        <v>0</v>
      </c>
      <c r="R23" s="283">
        <v>0</v>
      </c>
      <c r="S23" s="283">
        <v>0</v>
      </c>
      <c r="T23" s="283">
        <v>0</v>
      </c>
      <c r="U23" s="283">
        <v>0</v>
      </c>
      <c r="V23" s="283">
        <v>0</v>
      </c>
      <c r="W23" s="283">
        <v>0</v>
      </c>
      <c r="X23" s="283">
        <v>0</v>
      </c>
      <c r="Y23" s="283">
        <v>0</v>
      </c>
      <c r="Z23" s="283">
        <v>0</v>
      </c>
      <c r="AA23" s="283">
        <v>0</v>
      </c>
      <c r="AB23" s="283">
        <v>0</v>
      </c>
      <c r="AC23" s="283">
        <v>0</v>
      </c>
      <c r="AD23" s="283">
        <v>0</v>
      </c>
      <c r="AE23" s="283">
        <v>0</v>
      </c>
      <c r="AF23" s="283">
        <v>0</v>
      </c>
    </row>
    <row r="24" spans="2:33" ht="15" customHeight="1" x14ac:dyDescent="0.35">
      <c r="B24" s="6" t="s">
        <v>5448</v>
      </c>
      <c r="C24" s="7" t="s">
        <v>22</v>
      </c>
      <c r="D24" s="2" t="s">
        <v>5469</v>
      </c>
      <c r="H24" s="268" t="s">
        <v>3915</v>
      </c>
      <c r="I24" s="282">
        <v>0</v>
      </c>
      <c r="J24" s="282">
        <v>0</v>
      </c>
      <c r="K24" s="282">
        <v>0</v>
      </c>
      <c r="L24" s="282">
        <v>0</v>
      </c>
      <c r="M24" s="282">
        <v>0</v>
      </c>
      <c r="N24" s="282">
        <v>0</v>
      </c>
      <c r="O24" s="282">
        <v>0</v>
      </c>
      <c r="P24" s="282">
        <v>0</v>
      </c>
      <c r="Q24" s="283">
        <v>0</v>
      </c>
      <c r="R24" s="283">
        <v>0</v>
      </c>
      <c r="S24" s="283">
        <v>0</v>
      </c>
      <c r="T24" s="283">
        <v>0</v>
      </c>
      <c r="U24" s="283">
        <v>0</v>
      </c>
      <c r="V24" s="283">
        <v>0</v>
      </c>
      <c r="W24" s="283">
        <v>0</v>
      </c>
      <c r="X24" s="283">
        <v>0</v>
      </c>
      <c r="Y24" s="283">
        <v>0</v>
      </c>
      <c r="Z24" s="283">
        <v>0</v>
      </c>
      <c r="AA24" s="283">
        <v>0</v>
      </c>
      <c r="AB24" s="283">
        <v>0</v>
      </c>
      <c r="AC24" s="283">
        <v>0</v>
      </c>
      <c r="AD24" s="283">
        <v>0</v>
      </c>
      <c r="AE24" s="283">
        <v>0</v>
      </c>
      <c r="AF24" s="283">
        <v>0</v>
      </c>
    </row>
    <row r="25" spans="2:33" ht="15" customHeight="1" x14ac:dyDescent="0.35">
      <c r="B25" s="6" t="s">
        <v>5449</v>
      </c>
      <c r="C25" s="7" t="s">
        <v>321</v>
      </c>
      <c r="D25" s="2" t="s">
        <v>5470</v>
      </c>
      <c r="H25" s="268" t="s">
        <v>3915</v>
      </c>
      <c r="I25" s="282">
        <f>'Business Plan - Model Details'!J906</f>
        <v>0</v>
      </c>
      <c r="J25" s="282">
        <f>'Business Plan - Model Details'!K906</f>
        <v>0</v>
      </c>
      <c r="K25" s="282">
        <f>'Business Plan - Model Details'!L906</f>
        <v>0</v>
      </c>
      <c r="L25" s="282">
        <f>'Business Plan - Model Details'!M906</f>
        <v>0</v>
      </c>
      <c r="M25" s="282">
        <f>'Business Plan - Model Details'!N906</f>
        <v>0</v>
      </c>
      <c r="N25" s="282">
        <f>'Business Plan - Model Details'!O906</f>
        <v>0</v>
      </c>
      <c r="O25" s="282">
        <f>'Business Plan - Model Details'!P906</f>
        <v>0</v>
      </c>
      <c r="P25" s="282">
        <f>'Business Plan - Model Details'!Q906</f>
        <v>0</v>
      </c>
      <c r="Q25" s="283">
        <v>0</v>
      </c>
      <c r="R25" s="283">
        <v>0</v>
      </c>
      <c r="S25" s="283">
        <v>0</v>
      </c>
      <c r="T25" s="283">
        <v>0</v>
      </c>
      <c r="U25" s="283">
        <v>0</v>
      </c>
      <c r="V25" s="283">
        <v>0</v>
      </c>
      <c r="W25" s="283">
        <v>0</v>
      </c>
      <c r="X25" s="283">
        <v>0</v>
      </c>
      <c r="Y25" s="283">
        <v>0</v>
      </c>
      <c r="Z25" s="283">
        <v>0</v>
      </c>
      <c r="AA25" s="283">
        <v>0</v>
      </c>
      <c r="AB25" s="283">
        <v>0</v>
      </c>
      <c r="AC25" s="283">
        <v>0</v>
      </c>
      <c r="AD25" s="283">
        <v>0</v>
      </c>
      <c r="AE25" s="283">
        <v>0</v>
      </c>
      <c r="AF25" s="283">
        <v>0</v>
      </c>
    </row>
    <row r="26" spans="2:33" ht="15" customHeight="1" x14ac:dyDescent="0.35">
      <c r="B26" s="6" t="s">
        <v>20</v>
      </c>
      <c r="C26" s="7" t="s">
        <v>4038</v>
      </c>
      <c r="D26" s="2" t="s">
        <v>5471</v>
      </c>
      <c r="H26" s="268" t="s">
        <v>3915</v>
      </c>
      <c r="I26" s="282">
        <v>0</v>
      </c>
      <c r="J26" s="282">
        <v>0</v>
      </c>
      <c r="K26" s="282">
        <v>0</v>
      </c>
      <c r="L26" s="282">
        <v>0</v>
      </c>
      <c r="M26" s="282">
        <v>0</v>
      </c>
      <c r="N26" s="282">
        <v>0</v>
      </c>
      <c r="O26" s="282">
        <v>0</v>
      </c>
      <c r="P26" s="282">
        <v>0</v>
      </c>
      <c r="Q26" s="283">
        <v>0</v>
      </c>
      <c r="R26" s="283">
        <v>0</v>
      </c>
      <c r="S26" s="283">
        <v>0</v>
      </c>
      <c r="T26" s="283">
        <v>0</v>
      </c>
      <c r="U26" s="283">
        <v>0</v>
      </c>
      <c r="V26" s="283">
        <v>0</v>
      </c>
      <c r="W26" s="283">
        <v>0</v>
      </c>
      <c r="X26" s="283">
        <v>0</v>
      </c>
      <c r="Y26" s="283">
        <v>0</v>
      </c>
      <c r="Z26" s="283">
        <v>0</v>
      </c>
      <c r="AA26" s="283">
        <v>0</v>
      </c>
      <c r="AB26" s="283">
        <v>0</v>
      </c>
      <c r="AC26" s="283">
        <v>0</v>
      </c>
      <c r="AD26" s="283">
        <v>0</v>
      </c>
      <c r="AE26" s="283">
        <v>0</v>
      </c>
      <c r="AF26" s="283">
        <v>0</v>
      </c>
    </row>
    <row r="27" spans="2:33" ht="15" customHeight="1" x14ac:dyDescent="0.35">
      <c r="B27" s="6" t="s">
        <v>5447</v>
      </c>
      <c r="C27" s="7" t="s">
        <v>21</v>
      </c>
      <c r="D27" s="2" t="s">
        <v>5472</v>
      </c>
      <c r="H27" s="268" t="s">
        <v>3915</v>
      </c>
      <c r="I27" s="282">
        <v>0</v>
      </c>
      <c r="J27" s="282">
        <v>0</v>
      </c>
      <c r="K27" s="282">
        <v>0</v>
      </c>
      <c r="L27" s="282">
        <v>0</v>
      </c>
      <c r="M27" s="282">
        <v>0</v>
      </c>
      <c r="N27" s="282">
        <v>0</v>
      </c>
      <c r="O27" s="282">
        <v>0</v>
      </c>
      <c r="P27" s="282">
        <v>0</v>
      </c>
      <c r="Q27" s="283">
        <v>0</v>
      </c>
      <c r="R27" s="283">
        <v>0</v>
      </c>
      <c r="S27" s="283">
        <v>0</v>
      </c>
      <c r="T27" s="283">
        <v>0</v>
      </c>
      <c r="U27" s="283">
        <v>0</v>
      </c>
      <c r="V27" s="283">
        <v>0</v>
      </c>
      <c r="W27" s="283">
        <v>0</v>
      </c>
      <c r="X27" s="283">
        <v>0</v>
      </c>
      <c r="Y27" s="283">
        <v>0</v>
      </c>
      <c r="Z27" s="283">
        <v>0</v>
      </c>
      <c r="AA27" s="283">
        <v>0</v>
      </c>
      <c r="AB27" s="283">
        <v>0</v>
      </c>
      <c r="AC27" s="283">
        <v>0</v>
      </c>
      <c r="AD27" s="283">
        <v>0</v>
      </c>
      <c r="AE27" s="283">
        <v>0</v>
      </c>
      <c r="AF27" s="283">
        <v>0</v>
      </c>
    </row>
    <row r="28" spans="2:33" ht="15" customHeight="1" x14ac:dyDescent="0.35">
      <c r="B28" s="6" t="s">
        <v>5448</v>
      </c>
      <c r="C28" s="7" t="s">
        <v>22</v>
      </c>
      <c r="D28" s="2" t="s">
        <v>5472</v>
      </c>
      <c r="H28" s="268" t="s">
        <v>3915</v>
      </c>
      <c r="I28" s="282">
        <v>0</v>
      </c>
      <c r="J28" s="282">
        <v>0</v>
      </c>
      <c r="K28" s="282">
        <v>0</v>
      </c>
      <c r="L28" s="282">
        <v>0</v>
      </c>
      <c r="M28" s="282">
        <v>0</v>
      </c>
      <c r="N28" s="282">
        <v>0</v>
      </c>
      <c r="O28" s="282">
        <v>0</v>
      </c>
      <c r="P28" s="282">
        <v>0</v>
      </c>
      <c r="Q28" s="283">
        <v>0</v>
      </c>
      <c r="R28" s="283">
        <v>0</v>
      </c>
      <c r="S28" s="283">
        <v>0</v>
      </c>
      <c r="T28" s="283">
        <v>0</v>
      </c>
      <c r="U28" s="283">
        <v>0</v>
      </c>
      <c r="V28" s="283">
        <v>0</v>
      </c>
      <c r="W28" s="283">
        <v>0</v>
      </c>
      <c r="X28" s="283">
        <v>0</v>
      </c>
      <c r="Y28" s="283">
        <v>0</v>
      </c>
      <c r="Z28" s="283">
        <v>0</v>
      </c>
      <c r="AA28" s="283">
        <v>0</v>
      </c>
      <c r="AB28" s="283">
        <v>0</v>
      </c>
      <c r="AC28" s="283">
        <v>0</v>
      </c>
      <c r="AD28" s="283">
        <v>0</v>
      </c>
      <c r="AE28" s="283">
        <v>0</v>
      </c>
      <c r="AF28" s="283">
        <v>0</v>
      </c>
    </row>
    <row r="29" spans="2:33" ht="15" customHeight="1" x14ac:dyDescent="0.35">
      <c r="B29" s="6" t="s">
        <v>5449</v>
      </c>
      <c r="C29" s="7" t="s">
        <v>321</v>
      </c>
      <c r="D29" s="2" t="s">
        <v>5472</v>
      </c>
      <c r="H29" s="268" t="s">
        <v>3915</v>
      </c>
      <c r="I29" s="282">
        <f>'Business Plan - Model Details'!J907</f>
        <v>0</v>
      </c>
      <c r="J29" s="282">
        <f>'Business Plan - Model Details'!K907</f>
        <v>0</v>
      </c>
      <c r="K29" s="282">
        <f>'Business Plan - Model Details'!L907</f>
        <v>0</v>
      </c>
      <c r="L29" s="282">
        <f>'Business Plan - Model Details'!M907</f>
        <v>0</v>
      </c>
      <c r="M29" s="282">
        <f>'Business Plan - Model Details'!N907</f>
        <v>0</v>
      </c>
      <c r="N29" s="282">
        <f>'Business Plan - Model Details'!O907</f>
        <v>0</v>
      </c>
      <c r="O29" s="282">
        <f>'Business Plan - Model Details'!P907</f>
        <v>0</v>
      </c>
      <c r="P29" s="282">
        <f>'Business Plan - Model Details'!Q907</f>
        <v>0</v>
      </c>
      <c r="Q29" s="283">
        <v>0</v>
      </c>
      <c r="R29" s="283">
        <v>0</v>
      </c>
      <c r="S29" s="283">
        <v>0</v>
      </c>
      <c r="T29" s="283">
        <v>0</v>
      </c>
      <c r="U29" s="283">
        <v>0</v>
      </c>
      <c r="V29" s="283">
        <v>0</v>
      </c>
      <c r="W29" s="283">
        <v>0</v>
      </c>
      <c r="X29" s="283">
        <v>0</v>
      </c>
      <c r="Y29" s="283">
        <v>0</v>
      </c>
      <c r="Z29" s="283">
        <v>0</v>
      </c>
      <c r="AA29" s="283">
        <v>0</v>
      </c>
      <c r="AB29" s="283">
        <v>0</v>
      </c>
      <c r="AC29" s="283">
        <v>0</v>
      </c>
      <c r="AD29" s="283">
        <v>0</v>
      </c>
      <c r="AE29" s="283">
        <v>0</v>
      </c>
      <c r="AF29" s="283">
        <v>0</v>
      </c>
    </row>
    <row r="30" spans="2:33" ht="15" customHeight="1" x14ac:dyDescent="0.35">
      <c r="B30" s="4" t="s">
        <v>5473</v>
      </c>
      <c r="C30" s="13"/>
      <c r="D30" s="281" t="s">
        <v>5474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 spans="2:33" ht="15" customHeight="1" x14ac:dyDescent="0.35">
      <c r="B31" s="6" t="s">
        <v>20</v>
      </c>
      <c r="C31" s="6" t="s">
        <v>5475</v>
      </c>
      <c r="D31" s="2"/>
      <c r="H31" s="268" t="s">
        <v>13</v>
      </c>
      <c r="I31" s="284">
        <v>0.94985816147029301</v>
      </c>
      <c r="J31" s="284">
        <v>0.94399247951376997</v>
      </c>
      <c r="K31" s="284">
        <v>0.94147693562740997</v>
      </c>
      <c r="L31" s="284">
        <v>0.92845785681898296</v>
      </c>
      <c r="M31" s="284">
        <v>0.92937268717035704</v>
      </c>
      <c r="N31" s="284">
        <v>0.93423606902508205</v>
      </c>
      <c r="O31" s="284">
        <v>0.92220393813208501</v>
      </c>
      <c r="P31" s="284">
        <v>0.93217976835789396</v>
      </c>
      <c r="Q31" s="285">
        <f t="shared" ref="Q31:AF31" si="7">AVERAGE(N31:P31)</f>
        <v>0.92953992517168693</v>
      </c>
      <c r="R31" s="285">
        <f t="shared" si="7"/>
        <v>0.92797454388722189</v>
      </c>
      <c r="S31" s="285">
        <f t="shared" si="7"/>
        <v>0.92989807913893419</v>
      </c>
      <c r="T31" s="285">
        <f t="shared" si="7"/>
        <v>0.92913751606594763</v>
      </c>
      <c r="U31" s="285">
        <f t="shared" si="7"/>
        <v>0.9290033796973679</v>
      </c>
      <c r="V31" s="285">
        <f t="shared" si="7"/>
        <v>0.92934632496741665</v>
      </c>
      <c r="W31" s="285">
        <f t="shared" si="7"/>
        <v>0.9291624069102441</v>
      </c>
      <c r="X31" s="285">
        <f t="shared" si="7"/>
        <v>0.92917070385834288</v>
      </c>
      <c r="Y31" s="285">
        <f t="shared" si="7"/>
        <v>0.9292264785786678</v>
      </c>
      <c r="Z31" s="285">
        <f t="shared" si="7"/>
        <v>0.92918652978241834</v>
      </c>
      <c r="AA31" s="285">
        <f t="shared" si="7"/>
        <v>0.9291945707398096</v>
      </c>
      <c r="AB31" s="285">
        <f t="shared" si="7"/>
        <v>0.92920252636696521</v>
      </c>
      <c r="AC31" s="285">
        <f t="shared" si="7"/>
        <v>0.92919454229639775</v>
      </c>
      <c r="AD31" s="285">
        <f t="shared" si="7"/>
        <v>0.92919721313439085</v>
      </c>
      <c r="AE31" s="285">
        <f t="shared" si="7"/>
        <v>0.92919809393258468</v>
      </c>
      <c r="AF31" s="285">
        <f t="shared" si="7"/>
        <v>0.92919661645445784</v>
      </c>
    </row>
    <row r="32" spans="2:33" ht="15" customHeight="1" x14ac:dyDescent="0.35">
      <c r="B32" s="6" t="s">
        <v>20</v>
      </c>
      <c r="C32" s="6" t="s">
        <v>38</v>
      </c>
      <c r="D32" s="2"/>
      <c r="H32" s="268" t="s">
        <v>13</v>
      </c>
      <c r="I32" s="284">
        <v>2.2825443129389101E-2</v>
      </c>
      <c r="J32" s="284">
        <v>2.7377053057266901E-2</v>
      </c>
      <c r="K32" s="284">
        <v>2.93181612990598E-2</v>
      </c>
      <c r="L32" s="284">
        <v>3.9903269686130297E-2</v>
      </c>
      <c r="M32" s="284">
        <v>3.7846550495609602E-2</v>
      </c>
      <c r="N32" s="284">
        <v>3.86113988678497E-2</v>
      </c>
      <c r="O32" s="284">
        <v>4.4115519902525199E-2</v>
      </c>
      <c r="P32" s="284">
        <v>4.0357658933037999E-2</v>
      </c>
      <c r="Q32" s="285">
        <f t="shared" ref="Q32:AF32" si="8">AVERAGE(I32:P32)</f>
        <v>3.5044381921358572E-2</v>
      </c>
      <c r="R32" s="285">
        <f t="shared" si="8"/>
        <v>3.657174927035476E-2</v>
      </c>
      <c r="S32" s="285">
        <f t="shared" si="8"/>
        <v>3.7721086296990745E-2</v>
      </c>
      <c r="T32" s="285">
        <f t="shared" si="8"/>
        <v>3.8771451921732106E-2</v>
      </c>
      <c r="U32" s="285">
        <f t="shared" si="8"/>
        <v>3.8629974701182332E-2</v>
      </c>
      <c r="V32" s="285">
        <f t="shared" si="8"/>
        <v>3.8727902726878927E-2</v>
      </c>
      <c r="W32" s="285">
        <f t="shared" si="8"/>
        <v>3.874246570925758E-2</v>
      </c>
      <c r="X32" s="285">
        <f t="shared" si="8"/>
        <v>3.8070833935099135E-2</v>
      </c>
      <c r="Y32" s="285">
        <f t="shared" si="8"/>
        <v>3.7784980810356777E-2</v>
      </c>
      <c r="Z32" s="285">
        <f t="shared" si="8"/>
        <v>3.8127555671481544E-2</v>
      </c>
      <c r="AA32" s="285">
        <f t="shared" si="8"/>
        <v>3.8322031471622386E-2</v>
      </c>
      <c r="AB32" s="285">
        <f t="shared" si="8"/>
        <v>3.8397149618451351E-2</v>
      </c>
      <c r="AC32" s="285">
        <f t="shared" si="8"/>
        <v>3.8350361830541253E-2</v>
      </c>
      <c r="AD32" s="285">
        <f t="shared" si="8"/>
        <v>3.8315410221711116E-2</v>
      </c>
      <c r="AE32" s="285">
        <f t="shared" si="8"/>
        <v>3.8263848658565136E-2</v>
      </c>
      <c r="AF32" s="285">
        <f t="shared" si="8"/>
        <v>3.8204021527228585E-2</v>
      </c>
    </row>
    <row r="33" spans="2:33" ht="15" customHeight="1" x14ac:dyDescent="0.35">
      <c r="B33" s="6" t="s">
        <v>20</v>
      </c>
      <c r="C33" s="6" t="s">
        <v>4146</v>
      </c>
      <c r="D33" s="2"/>
      <c r="H33" s="268" t="s">
        <v>13</v>
      </c>
      <c r="I33" s="284">
        <v>2.7316395400318199E-2</v>
      </c>
      <c r="J33" s="284">
        <v>2.8630467428963299E-2</v>
      </c>
      <c r="K33" s="284">
        <v>2.9204903073529999E-2</v>
      </c>
      <c r="L33" s="284">
        <v>3.1638873494886401E-2</v>
      </c>
      <c r="M33" s="284">
        <v>3.2780762334033799E-2</v>
      </c>
      <c r="N33" s="284">
        <v>2.71525321070685E-2</v>
      </c>
      <c r="O33" s="284">
        <v>3.3680541965390297E-2</v>
      </c>
      <c r="P33" s="284">
        <v>2.7462572709068399E-2</v>
      </c>
      <c r="Q33" s="285">
        <f t="shared" ref="Q33:AF33" si="9">1-(SUM(Q31:Q32))</f>
        <v>3.5415692906954455E-2</v>
      </c>
      <c r="R33" s="285">
        <f t="shared" si="9"/>
        <v>3.5453706842423327E-2</v>
      </c>
      <c r="S33" s="285">
        <f t="shared" si="9"/>
        <v>3.2380834564075034E-2</v>
      </c>
      <c r="T33" s="285">
        <f t="shared" si="9"/>
        <v>3.209103201232022E-2</v>
      </c>
      <c r="U33" s="285">
        <f t="shared" si="9"/>
        <v>3.2366645601449751E-2</v>
      </c>
      <c r="V33" s="285">
        <f t="shared" si="9"/>
        <v>3.1925772305704481E-2</v>
      </c>
      <c r="W33" s="285">
        <f t="shared" si="9"/>
        <v>3.2095127380498356E-2</v>
      </c>
      <c r="X33" s="285">
        <f t="shared" si="9"/>
        <v>3.2758462206557981E-2</v>
      </c>
      <c r="Y33" s="285">
        <f t="shared" si="9"/>
        <v>3.2988540610975448E-2</v>
      </c>
      <c r="Z33" s="285">
        <f t="shared" si="9"/>
        <v>3.2685914546100148E-2</v>
      </c>
      <c r="AA33" s="285">
        <f t="shared" si="9"/>
        <v>3.2483397788568014E-2</v>
      </c>
      <c r="AB33" s="285">
        <f t="shared" si="9"/>
        <v>3.2400324014583481E-2</v>
      </c>
      <c r="AC33" s="285">
        <f t="shared" si="9"/>
        <v>3.2455095873060946E-2</v>
      </c>
      <c r="AD33" s="285">
        <f t="shared" si="9"/>
        <v>3.2487376643898003E-2</v>
      </c>
      <c r="AE33" s="285">
        <f t="shared" si="9"/>
        <v>3.2538057408850185E-2</v>
      </c>
      <c r="AF33" s="285">
        <f t="shared" si="9"/>
        <v>3.2599362018313593E-2</v>
      </c>
    </row>
    <row r="34" spans="2:33" ht="15" customHeight="1" x14ac:dyDescent="0.35">
      <c r="B34" s="6" t="s">
        <v>21</v>
      </c>
      <c r="C34" s="6" t="s">
        <v>5475</v>
      </c>
      <c r="D34" s="2"/>
      <c r="H34" s="268" t="s">
        <v>13</v>
      </c>
      <c r="I34" s="284">
        <v>1</v>
      </c>
      <c r="J34" s="284">
        <v>1</v>
      </c>
      <c r="K34" s="284">
        <v>1</v>
      </c>
      <c r="L34" s="284">
        <v>1</v>
      </c>
      <c r="M34" s="284">
        <v>1</v>
      </c>
      <c r="N34" s="284">
        <v>1</v>
      </c>
      <c r="O34" s="284">
        <v>1</v>
      </c>
      <c r="P34" s="284">
        <v>1</v>
      </c>
      <c r="Q34" s="285">
        <f t="shared" ref="Q34:AF34" si="10">1-Q36</f>
        <v>0.99</v>
      </c>
      <c r="R34" s="285">
        <f t="shared" si="10"/>
        <v>0.99</v>
      </c>
      <c r="S34" s="285">
        <f t="shared" si="10"/>
        <v>0.99</v>
      </c>
      <c r="T34" s="285">
        <f t="shared" si="10"/>
        <v>0.99</v>
      </c>
      <c r="U34" s="285">
        <f t="shared" si="10"/>
        <v>0.99</v>
      </c>
      <c r="V34" s="285">
        <f t="shared" si="10"/>
        <v>0.99</v>
      </c>
      <c r="W34" s="285">
        <f t="shared" si="10"/>
        <v>0.99</v>
      </c>
      <c r="X34" s="285">
        <f t="shared" si="10"/>
        <v>0.99</v>
      </c>
      <c r="Y34" s="285">
        <f t="shared" si="10"/>
        <v>0.99</v>
      </c>
      <c r="Z34" s="285">
        <f t="shared" si="10"/>
        <v>0.99</v>
      </c>
      <c r="AA34" s="285">
        <f t="shared" si="10"/>
        <v>0.99</v>
      </c>
      <c r="AB34" s="285">
        <f t="shared" si="10"/>
        <v>0.99</v>
      </c>
      <c r="AC34" s="285">
        <f t="shared" si="10"/>
        <v>0.99</v>
      </c>
      <c r="AD34" s="285">
        <f t="shared" si="10"/>
        <v>0.99</v>
      </c>
      <c r="AE34" s="285">
        <f t="shared" si="10"/>
        <v>0.99</v>
      </c>
      <c r="AF34" s="285">
        <f t="shared" si="10"/>
        <v>0.99</v>
      </c>
    </row>
    <row r="35" spans="2:33" ht="15" customHeight="1" x14ac:dyDescent="0.35">
      <c r="B35" s="6" t="s">
        <v>21</v>
      </c>
      <c r="C35" s="6" t="s">
        <v>38</v>
      </c>
      <c r="D35" s="2"/>
      <c r="H35" s="268" t="s">
        <v>13</v>
      </c>
      <c r="I35" s="284">
        <v>0</v>
      </c>
      <c r="J35" s="284">
        <v>0</v>
      </c>
      <c r="K35" s="284">
        <v>0</v>
      </c>
      <c r="L35" s="284">
        <v>0</v>
      </c>
      <c r="M35" s="284">
        <v>0</v>
      </c>
      <c r="N35" s="284">
        <v>0</v>
      </c>
      <c r="O35" s="284">
        <v>0</v>
      </c>
      <c r="P35" s="284">
        <v>0</v>
      </c>
      <c r="Q35" s="285">
        <f t="shared" ref="Q35:AF35" si="11">AVERAGE(I35:P35)</f>
        <v>0</v>
      </c>
      <c r="R35" s="285">
        <f t="shared" si="11"/>
        <v>0</v>
      </c>
      <c r="S35" s="285">
        <f t="shared" si="11"/>
        <v>0</v>
      </c>
      <c r="T35" s="285">
        <f t="shared" si="11"/>
        <v>0</v>
      </c>
      <c r="U35" s="285">
        <f t="shared" si="11"/>
        <v>0</v>
      </c>
      <c r="V35" s="285">
        <f t="shared" si="11"/>
        <v>0</v>
      </c>
      <c r="W35" s="285">
        <f t="shared" si="11"/>
        <v>0</v>
      </c>
      <c r="X35" s="285">
        <f t="shared" si="11"/>
        <v>0</v>
      </c>
      <c r="Y35" s="285">
        <f t="shared" si="11"/>
        <v>0</v>
      </c>
      <c r="Z35" s="285">
        <f t="shared" si="11"/>
        <v>0</v>
      </c>
      <c r="AA35" s="285">
        <f t="shared" si="11"/>
        <v>0</v>
      </c>
      <c r="AB35" s="285">
        <f t="shared" si="11"/>
        <v>0</v>
      </c>
      <c r="AC35" s="285">
        <f t="shared" si="11"/>
        <v>0</v>
      </c>
      <c r="AD35" s="285">
        <f t="shared" si="11"/>
        <v>0</v>
      </c>
      <c r="AE35" s="285">
        <f t="shared" si="11"/>
        <v>0</v>
      </c>
      <c r="AF35" s="285">
        <f t="shared" si="11"/>
        <v>0</v>
      </c>
    </row>
    <row r="36" spans="2:33" ht="15" customHeight="1" x14ac:dyDescent="0.35">
      <c r="B36" s="6" t="s">
        <v>21</v>
      </c>
      <c r="C36" s="6" t="s">
        <v>4146</v>
      </c>
      <c r="D36" s="2"/>
      <c r="H36" s="268" t="s">
        <v>13</v>
      </c>
      <c r="I36" s="284">
        <v>0</v>
      </c>
      <c r="J36" s="284">
        <v>0</v>
      </c>
      <c r="K36" s="284">
        <v>0</v>
      </c>
      <c r="L36" s="284">
        <v>0</v>
      </c>
      <c r="M36" s="284">
        <v>0</v>
      </c>
      <c r="N36" s="284">
        <v>0</v>
      </c>
      <c r="O36" s="284">
        <v>0</v>
      </c>
      <c r="P36" s="284">
        <v>0</v>
      </c>
      <c r="Q36" s="285">
        <v>0.01</v>
      </c>
      <c r="R36" s="285">
        <v>0.01</v>
      </c>
      <c r="S36" s="285">
        <v>0.01</v>
      </c>
      <c r="T36" s="285">
        <v>0.01</v>
      </c>
      <c r="U36" s="285">
        <v>0.01</v>
      </c>
      <c r="V36" s="285">
        <v>0.01</v>
      </c>
      <c r="W36" s="285">
        <v>0.01</v>
      </c>
      <c r="X36" s="285">
        <v>0.01</v>
      </c>
      <c r="Y36" s="285">
        <v>0.01</v>
      </c>
      <c r="Z36" s="285">
        <v>0.01</v>
      </c>
      <c r="AA36" s="285">
        <v>0.01</v>
      </c>
      <c r="AB36" s="285">
        <v>0.01</v>
      </c>
      <c r="AC36" s="285">
        <v>0.01</v>
      </c>
      <c r="AD36" s="285">
        <v>0.01</v>
      </c>
      <c r="AE36" s="285">
        <v>0.01</v>
      </c>
      <c r="AF36" s="285">
        <v>0.01</v>
      </c>
    </row>
    <row r="37" spans="2:33" ht="15" customHeight="1" x14ac:dyDescent="0.35">
      <c r="B37" s="6" t="s">
        <v>22</v>
      </c>
      <c r="C37" s="6" t="s">
        <v>5475</v>
      </c>
      <c r="D37" s="2"/>
      <c r="H37" s="268" t="s">
        <v>13</v>
      </c>
      <c r="I37" s="284">
        <v>1</v>
      </c>
      <c r="J37" s="284">
        <v>1</v>
      </c>
      <c r="K37" s="284">
        <v>1</v>
      </c>
      <c r="L37" s="284">
        <v>1</v>
      </c>
      <c r="M37" s="284">
        <v>1</v>
      </c>
      <c r="N37" s="284">
        <v>1</v>
      </c>
      <c r="O37" s="284">
        <v>1</v>
      </c>
      <c r="P37" s="284">
        <v>1</v>
      </c>
      <c r="Q37" s="285">
        <v>0.99</v>
      </c>
      <c r="R37" s="285">
        <v>0.99</v>
      </c>
      <c r="S37" s="285">
        <v>0.99</v>
      </c>
      <c r="T37" s="285">
        <v>0.99</v>
      </c>
      <c r="U37" s="285">
        <v>0.99</v>
      </c>
      <c r="V37" s="285">
        <v>0.99</v>
      </c>
      <c r="W37" s="285">
        <v>0.99</v>
      </c>
      <c r="X37" s="285">
        <v>0.99</v>
      </c>
      <c r="Y37" s="285">
        <v>0.99</v>
      </c>
      <c r="Z37" s="285">
        <v>0.99</v>
      </c>
      <c r="AA37" s="285">
        <v>0.99</v>
      </c>
      <c r="AB37" s="285">
        <v>0.99</v>
      </c>
      <c r="AC37" s="285">
        <v>0.99</v>
      </c>
      <c r="AD37" s="285">
        <v>0.99</v>
      </c>
      <c r="AE37" s="285">
        <v>0.99</v>
      </c>
      <c r="AF37" s="285">
        <v>0.99</v>
      </c>
    </row>
    <row r="38" spans="2:33" ht="15" customHeight="1" x14ac:dyDescent="0.35">
      <c r="B38" s="6" t="s">
        <v>22</v>
      </c>
      <c r="C38" s="6" t="s">
        <v>38</v>
      </c>
      <c r="D38" s="2"/>
      <c r="H38" s="268" t="s">
        <v>13</v>
      </c>
      <c r="I38" s="284">
        <v>0</v>
      </c>
      <c r="J38" s="284">
        <v>0</v>
      </c>
      <c r="K38" s="284">
        <v>0</v>
      </c>
      <c r="L38" s="284">
        <v>0</v>
      </c>
      <c r="M38" s="284">
        <v>0</v>
      </c>
      <c r="N38" s="284">
        <v>0</v>
      </c>
      <c r="O38" s="284">
        <v>0</v>
      </c>
      <c r="P38" s="284">
        <v>0</v>
      </c>
      <c r="Q38" s="285">
        <v>0</v>
      </c>
      <c r="R38" s="285">
        <v>0</v>
      </c>
      <c r="S38" s="285">
        <v>0</v>
      </c>
      <c r="T38" s="285">
        <v>0</v>
      </c>
      <c r="U38" s="285">
        <v>0</v>
      </c>
      <c r="V38" s="285">
        <v>0</v>
      </c>
      <c r="W38" s="285">
        <v>0</v>
      </c>
      <c r="X38" s="285">
        <v>0</v>
      </c>
      <c r="Y38" s="285">
        <v>0</v>
      </c>
      <c r="Z38" s="285">
        <v>0</v>
      </c>
      <c r="AA38" s="285">
        <v>0</v>
      </c>
      <c r="AB38" s="285">
        <v>0</v>
      </c>
      <c r="AC38" s="285">
        <v>0</v>
      </c>
      <c r="AD38" s="285">
        <v>0</v>
      </c>
      <c r="AE38" s="285">
        <v>0</v>
      </c>
      <c r="AF38" s="285">
        <v>0</v>
      </c>
    </row>
    <row r="39" spans="2:33" ht="15" customHeight="1" x14ac:dyDescent="0.35">
      <c r="B39" s="6" t="s">
        <v>22</v>
      </c>
      <c r="C39" s="6" t="s">
        <v>4146</v>
      </c>
      <c r="D39" s="2"/>
      <c r="H39" s="268" t="s">
        <v>13</v>
      </c>
      <c r="I39" s="284">
        <v>0</v>
      </c>
      <c r="J39" s="284">
        <v>0</v>
      </c>
      <c r="K39" s="284">
        <v>0</v>
      </c>
      <c r="L39" s="284">
        <v>0</v>
      </c>
      <c r="M39" s="284">
        <v>0</v>
      </c>
      <c r="N39" s="284">
        <v>0</v>
      </c>
      <c r="O39" s="284">
        <v>0</v>
      </c>
      <c r="P39" s="284">
        <v>0</v>
      </c>
      <c r="Q39" s="285">
        <v>0.01</v>
      </c>
      <c r="R39" s="285">
        <v>0.01</v>
      </c>
      <c r="S39" s="285">
        <v>0.01</v>
      </c>
      <c r="T39" s="285">
        <v>0.01</v>
      </c>
      <c r="U39" s="285">
        <v>0.01</v>
      </c>
      <c r="V39" s="285">
        <v>0.01</v>
      </c>
      <c r="W39" s="285">
        <v>0.01</v>
      </c>
      <c r="X39" s="285">
        <v>0.01</v>
      </c>
      <c r="Y39" s="285">
        <v>0.01</v>
      </c>
      <c r="Z39" s="285">
        <v>0.01</v>
      </c>
      <c r="AA39" s="285">
        <v>0.01</v>
      </c>
      <c r="AB39" s="285">
        <v>0.01</v>
      </c>
      <c r="AC39" s="285">
        <v>0.01</v>
      </c>
      <c r="AD39" s="285">
        <v>0.01</v>
      </c>
      <c r="AE39" s="285">
        <v>0.01</v>
      </c>
      <c r="AF39" s="285">
        <v>0.01</v>
      </c>
    </row>
    <row r="40" spans="2:33" ht="5.25" customHeight="1" x14ac:dyDescent="0.35">
      <c r="B40" s="6"/>
      <c r="C40" s="7"/>
      <c r="D40" s="2"/>
      <c r="H40" s="268"/>
      <c r="I40" s="284"/>
      <c r="J40" s="284"/>
      <c r="K40" s="284"/>
      <c r="L40" s="284"/>
      <c r="M40" s="284"/>
      <c r="N40" s="284"/>
      <c r="O40" s="284"/>
      <c r="P40" s="284"/>
      <c r="Q40" s="285"/>
      <c r="R40" s="285"/>
      <c r="S40" s="285"/>
      <c r="T40" s="285"/>
      <c r="U40" s="285"/>
      <c r="V40" s="285"/>
      <c r="W40" s="285"/>
      <c r="X40" s="285"/>
      <c r="Y40" s="285"/>
      <c r="Z40" s="285"/>
      <c r="AA40" s="285"/>
      <c r="AB40" s="285"/>
      <c r="AC40" s="285"/>
      <c r="AD40" s="285"/>
      <c r="AE40" s="285"/>
      <c r="AF40" s="285"/>
    </row>
    <row r="41" spans="2:33" ht="15" customHeight="1" x14ac:dyDescent="0.35">
      <c r="B41" s="6" t="s">
        <v>4093</v>
      </c>
      <c r="C41" s="7"/>
      <c r="D41" s="2"/>
      <c r="H41" s="268" t="s">
        <v>13</v>
      </c>
      <c r="I41" s="284"/>
      <c r="J41" s="284"/>
      <c r="K41" s="284"/>
      <c r="L41" s="284"/>
      <c r="M41" s="284"/>
      <c r="N41" s="284"/>
      <c r="O41" s="284"/>
      <c r="P41" s="284"/>
      <c r="Q41" s="285">
        <v>5.0000000000000001E-4</v>
      </c>
      <c r="R41" s="285">
        <v>5.0000000000000001E-4</v>
      </c>
      <c r="S41" s="285">
        <v>5.0000000000000001E-4</v>
      </c>
      <c r="T41" s="285">
        <v>5.0000000000000001E-4</v>
      </c>
      <c r="U41" s="285">
        <v>5.0000000000000001E-4</v>
      </c>
      <c r="V41" s="285">
        <v>5.0000000000000001E-4</v>
      </c>
      <c r="W41" s="285">
        <v>5.0000000000000001E-4</v>
      </c>
      <c r="X41" s="285">
        <v>5.0000000000000001E-4</v>
      </c>
      <c r="Y41" s="285">
        <v>5.0000000000000001E-4</v>
      </c>
      <c r="Z41" s="285">
        <v>5.0000000000000001E-4</v>
      </c>
      <c r="AA41" s="285">
        <v>5.0000000000000001E-4</v>
      </c>
      <c r="AB41" s="285">
        <v>5.0000000000000001E-4</v>
      </c>
      <c r="AC41" s="285">
        <v>5.0000000000000001E-4</v>
      </c>
      <c r="AD41" s="285">
        <v>5.0000000000000001E-4</v>
      </c>
      <c r="AE41" s="285">
        <v>5.0000000000000001E-4</v>
      </c>
      <c r="AF41" s="285">
        <v>5.0000000000000001E-4</v>
      </c>
    </row>
    <row r="42" spans="2:33" ht="15" customHeight="1" x14ac:dyDescent="0.35">
      <c r="B42" s="6"/>
      <c r="C42" s="7"/>
      <c r="D42" s="2"/>
      <c r="H42" s="268"/>
      <c r="I42" s="282"/>
      <c r="J42" s="282"/>
      <c r="K42" s="282"/>
      <c r="L42" s="282"/>
      <c r="M42" s="282"/>
      <c r="N42" s="282"/>
      <c r="O42" s="282"/>
      <c r="P42" s="282"/>
      <c r="Q42" s="283"/>
      <c r="R42" s="283"/>
      <c r="S42" s="283"/>
      <c r="T42" s="283"/>
      <c r="U42" s="283"/>
      <c r="V42" s="283"/>
      <c r="W42" s="283"/>
      <c r="X42" s="283"/>
      <c r="Y42" s="283"/>
      <c r="Z42" s="283"/>
      <c r="AA42" s="283"/>
      <c r="AB42" s="283"/>
      <c r="AC42" s="283"/>
      <c r="AD42" s="283"/>
      <c r="AE42" s="283"/>
      <c r="AF42" s="283"/>
    </row>
    <row r="43" spans="2:33" ht="15" customHeight="1" x14ac:dyDescent="0.35">
      <c r="B43" s="4" t="s">
        <v>5476</v>
      </c>
      <c r="C43" s="13"/>
      <c r="D43" s="281" t="s">
        <v>5474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 spans="2:33" ht="15" customHeight="1" x14ac:dyDescent="0.35">
      <c r="B44" s="6" t="s">
        <v>20</v>
      </c>
      <c r="C44" s="7" t="s">
        <v>4038</v>
      </c>
      <c r="D44" s="2" t="s">
        <v>5477</v>
      </c>
      <c r="H44" s="268" t="s">
        <v>3900</v>
      </c>
      <c r="I44" s="282">
        <f>'Business Plan - Model Details'!J421</f>
        <v>350705.13</v>
      </c>
      <c r="J44" s="282">
        <f>'Business Plan - Model Details'!K421</f>
        <v>338276</v>
      </c>
      <c r="K44" s="282">
        <f>'Business Plan - Model Details'!L421</f>
        <v>248105.60000000001</v>
      </c>
      <c r="L44" s="282">
        <f>'Business Plan - Model Details'!M421</f>
        <v>248112.5</v>
      </c>
      <c r="M44" s="282">
        <f>'Business Plan - Model Details'!N421</f>
        <v>275771.5</v>
      </c>
      <c r="N44" s="282">
        <f>'Business Plan - Model Details'!O421</f>
        <v>281005.09999999998</v>
      </c>
      <c r="O44" s="282">
        <f>'Business Plan - Model Details'!P421</f>
        <v>293819.5</v>
      </c>
      <c r="P44" s="282">
        <f>'Business Plan - Model Details'!Q421</f>
        <v>340827.5</v>
      </c>
      <c r="Q44" s="283">
        <v>297077.85375000001</v>
      </c>
      <c r="R44" s="283">
        <v>297077.85375000001</v>
      </c>
      <c r="S44" s="283">
        <v>297077.85375000001</v>
      </c>
      <c r="T44" s="283">
        <v>297077.85375000001</v>
      </c>
      <c r="U44" s="283">
        <v>297077.85375000001</v>
      </c>
      <c r="V44" s="283">
        <v>297077.85375000001</v>
      </c>
      <c r="W44" s="283">
        <v>297077.85375000001</v>
      </c>
      <c r="X44" s="283">
        <v>297077.85375000001</v>
      </c>
      <c r="Y44" s="283">
        <v>297077.85375000001</v>
      </c>
      <c r="Z44" s="283">
        <v>297077.85375000001</v>
      </c>
      <c r="AA44" s="283">
        <v>297077.85375000001</v>
      </c>
      <c r="AB44" s="283">
        <v>297077.85375000001</v>
      </c>
      <c r="AC44" s="283">
        <v>297077.85375000001</v>
      </c>
      <c r="AD44" s="283">
        <v>297077.85375000001</v>
      </c>
      <c r="AE44" s="283">
        <v>297077.85375000001</v>
      </c>
      <c r="AF44" s="283">
        <v>297077.85375000001</v>
      </c>
    </row>
    <row r="45" spans="2:33" ht="15" customHeight="1" x14ac:dyDescent="0.35">
      <c r="B45" s="6" t="s">
        <v>5447</v>
      </c>
      <c r="C45" s="7" t="s">
        <v>21</v>
      </c>
      <c r="D45" s="2" t="s">
        <v>5477</v>
      </c>
      <c r="H45" s="268" t="s">
        <v>3900</v>
      </c>
      <c r="I45" s="282">
        <f>'Business Plan - Model Details'!J582</f>
        <v>0</v>
      </c>
      <c r="J45" s="282">
        <f>'Business Plan - Model Details'!K582</f>
        <v>1985.4</v>
      </c>
      <c r="K45" s="282">
        <f>'Business Plan - Model Details'!L582</f>
        <v>1287</v>
      </c>
      <c r="L45" s="282">
        <f>'Business Plan - Model Details'!M582</f>
        <v>5966.25</v>
      </c>
      <c r="M45" s="282">
        <f>'Business Plan - Model Details'!N582</f>
        <v>4986</v>
      </c>
      <c r="N45" s="282">
        <f>'Business Plan - Model Details'!O582</f>
        <v>14778.5</v>
      </c>
      <c r="O45" s="282">
        <f>'Business Plan - Model Details'!P582</f>
        <v>8721.5</v>
      </c>
      <c r="P45" s="282">
        <f>'Business Plan - Model Details'!Q582</f>
        <v>13376</v>
      </c>
      <c r="Q45" s="283">
        <v>6387.5812500000002</v>
      </c>
      <c r="R45" s="283">
        <v>6387.5812500000002</v>
      </c>
      <c r="S45" s="283">
        <v>6387.5812500000002</v>
      </c>
      <c r="T45" s="283">
        <v>6387.5812500000002</v>
      </c>
      <c r="U45" s="283">
        <v>6387.5812500000002</v>
      </c>
      <c r="V45" s="283">
        <v>6387.5812500000002</v>
      </c>
      <c r="W45" s="283">
        <v>6387.5812500000002</v>
      </c>
      <c r="X45" s="283">
        <v>6387.5812500000002</v>
      </c>
      <c r="Y45" s="283">
        <v>6387.5812500000002</v>
      </c>
      <c r="Z45" s="283">
        <v>6387.5812500000002</v>
      </c>
      <c r="AA45" s="283">
        <v>6387.5812500000002</v>
      </c>
      <c r="AB45" s="283">
        <v>6387.5812500000002</v>
      </c>
      <c r="AC45" s="283">
        <v>6387.5812500000002</v>
      </c>
      <c r="AD45" s="283">
        <v>6387.5812500000002</v>
      </c>
      <c r="AE45" s="283">
        <v>6387.5812500000002</v>
      </c>
      <c r="AF45" s="283">
        <v>6387.5812500000002</v>
      </c>
    </row>
    <row r="46" spans="2:33" ht="15" customHeight="1" x14ac:dyDescent="0.35">
      <c r="B46" s="6" t="s">
        <v>5448</v>
      </c>
      <c r="C46" s="7" t="s">
        <v>22</v>
      </c>
      <c r="D46" s="2" t="s">
        <v>5477</v>
      </c>
      <c r="H46" s="268" t="s">
        <v>3900</v>
      </c>
      <c r="I46" s="282">
        <v>0</v>
      </c>
      <c r="J46" s="282">
        <v>3540.4</v>
      </c>
      <c r="K46" s="282">
        <v>0</v>
      </c>
      <c r="L46" s="282">
        <v>5836</v>
      </c>
      <c r="M46" s="282">
        <v>5335</v>
      </c>
      <c r="N46" s="282">
        <v>14113</v>
      </c>
      <c r="O46" s="282">
        <v>8288</v>
      </c>
      <c r="P46" s="282">
        <v>7403</v>
      </c>
      <c r="Q46" s="283">
        <v>5564.4250000000002</v>
      </c>
      <c r="R46" s="283">
        <v>5564.4250000000002</v>
      </c>
      <c r="S46" s="283">
        <v>5564.4250000000002</v>
      </c>
      <c r="T46" s="283">
        <v>5564.4250000000002</v>
      </c>
      <c r="U46" s="283">
        <v>5564.4250000000002</v>
      </c>
      <c r="V46" s="283">
        <v>5564.4250000000002</v>
      </c>
      <c r="W46" s="283">
        <v>5564.4250000000002</v>
      </c>
      <c r="X46" s="283">
        <v>5564.4250000000002</v>
      </c>
      <c r="Y46" s="283">
        <v>5564.4250000000002</v>
      </c>
      <c r="Z46" s="283">
        <v>5564.4250000000002</v>
      </c>
      <c r="AA46" s="283">
        <v>5564.4250000000002</v>
      </c>
      <c r="AB46" s="283">
        <v>5564.4250000000002</v>
      </c>
      <c r="AC46" s="283">
        <v>5564.4250000000002</v>
      </c>
      <c r="AD46" s="283">
        <v>5564.4250000000002</v>
      </c>
      <c r="AE46" s="283">
        <v>5564.4250000000002</v>
      </c>
      <c r="AF46" s="283">
        <v>5564.4250000000002</v>
      </c>
    </row>
    <row r="47" spans="2:33" ht="15" customHeight="1" x14ac:dyDescent="0.35">
      <c r="B47" s="6" t="s">
        <v>5449</v>
      </c>
      <c r="C47" s="7" t="s">
        <v>321</v>
      </c>
      <c r="D47" s="2" t="s">
        <v>5477</v>
      </c>
      <c r="H47" s="268" t="s">
        <v>3900</v>
      </c>
      <c r="I47" s="282">
        <f>0</f>
        <v>0</v>
      </c>
      <c r="J47" s="282">
        <f>0</f>
        <v>0</v>
      </c>
      <c r="K47" s="282">
        <f>0</f>
        <v>0</v>
      </c>
      <c r="L47" s="282">
        <f>0</f>
        <v>0</v>
      </c>
      <c r="M47" s="282">
        <f>0</f>
        <v>0</v>
      </c>
      <c r="N47" s="282">
        <f>0</f>
        <v>0</v>
      </c>
      <c r="O47" s="282">
        <f>0</f>
        <v>0</v>
      </c>
      <c r="P47" s="282">
        <f>0</f>
        <v>0</v>
      </c>
      <c r="Q47" s="283">
        <v>0</v>
      </c>
      <c r="R47" s="283">
        <v>0</v>
      </c>
      <c r="S47" s="283">
        <v>0</v>
      </c>
      <c r="T47" s="283">
        <v>0</v>
      </c>
      <c r="U47" s="283">
        <v>0</v>
      </c>
      <c r="V47" s="283">
        <v>0</v>
      </c>
      <c r="W47" s="283">
        <v>0</v>
      </c>
      <c r="X47" s="283">
        <v>0</v>
      </c>
      <c r="Y47" s="283">
        <v>0</v>
      </c>
      <c r="Z47" s="283">
        <v>0</v>
      </c>
      <c r="AA47" s="283">
        <v>0</v>
      </c>
      <c r="AB47" s="283">
        <v>0</v>
      </c>
      <c r="AC47" s="283">
        <v>0</v>
      </c>
      <c r="AD47" s="283">
        <v>0</v>
      </c>
      <c r="AE47" s="283">
        <v>0</v>
      </c>
      <c r="AF47" s="283">
        <v>0</v>
      </c>
    </row>
    <row r="48" spans="2:33" ht="15" customHeight="1" x14ac:dyDescent="0.35">
      <c r="B48" s="4" t="s">
        <v>5478</v>
      </c>
      <c r="C48" s="13"/>
      <c r="D48" s="281" t="s">
        <v>5479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 spans="2:33" ht="15" customHeight="1" x14ac:dyDescent="0.35">
      <c r="B49" s="6" t="s">
        <v>20</v>
      </c>
      <c r="C49" s="7" t="s">
        <v>4038</v>
      </c>
      <c r="D49" s="2" t="s">
        <v>5480</v>
      </c>
      <c r="H49" s="268" t="s">
        <v>3900</v>
      </c>
      <c r="I49" s="282">
        <v>0</v>
      </c>
      <c r="J49" s="282">
        <v>0</v>
      </c>
      <c r="K49" s="282">
        <v>0</v>
      </c>
      <c r="L49" s="282">
        <v>16530</v>
      </c>
      <c r="M49" s="282">
        <v>0</v>
      </c>
      <c r="N49" s="282">
        <v>0</v>
      </c>
      <c r="O49" s="282">
        <v>68520</v>
      </c>
      <c r="P49" s="282">
        <v>316290</v>
      </c>
      <c r="Q49" s="283">
        <v>50167.5</v>
      </c>
      <c r="R49" s="283">
        <v>50167.5</v>
      </c>
      <c r="S49" s="283">
        <v>50167.5</v>
      </c>
      <c r="T49" s="283">
        <v>50167.5</v>
      </c>
      <c r="U49" s="283">
        <v>50167.5</v>
      </c>
      <c r="V49" s="283">
        <v>50167.5</v>
      </c>
      <c r="W49" s="283">
        <v>50167.5</v>
      </c>
      <c r="X49" s="283">
        <v>50167.5</v>
      </c>
      <c r="Y49" s="283">
        <v>50167.5</v>
      </c>
      <c r="Z49" s="283">
        <v>50167.5</v>
      </c>
      <c r="AA49" s="283">
        <v>50167.5</v>
      </c>
      <c r="AB49" s="283">
        <v>50167.5</v>
      </c>
      <c r="AC49" s="283">
        <v>50167.5</v>
      </c>
      <c r="AD49" s="283">
        <v>50167.5</v>
      </c>
      <c r="AE49" s="283">
        <v>50167.5</v>
      </c>
      <c r="AF49" s="283">
        <v>50167.5</v>
      </c>
    </row>
    <row r="50" spans="2:33" ht="15" customHeight="1" x14ac:dyDescent="0.35">
      <c r="B50" s="6" t="s">
        <v>5447</v>
      </c>
      <c r="C50" s="7" t="s">
        <v>21</v>
      </c>
      <c r="D50" s="2" t="s">
        <v>5480</v>
      </c>
      <c r="H50" s="268" t="s">
        <v>3900</v>
      </c>
      <c r="I50" s="282">
        <v>0</v>
      </c>
      <c r="J50" s="282">
        <v>0</v>
      </c>
      <c r="K50" s="282">
        <v>0</v>
      </c>
      <c r="L50" s="282">
        <v>0</v>
      </c>
      <c r="M50" s="282">
        <v>0</v>
      </c>
      <c r="N50" s="282">
        <v>0</v>
      </c>
      <c r="O50" s="282">
        <v>0</v>
      </c>
      <c r="P50" s="282">
        <v>0</v>
      </c>
      <c r="Q50" s="283">
        <v>0</v>
      </c>
      <c r="R50" s="283">
        <v>0</v>
      </c>
      <c r="S50" s="283">
        <v>0</v>
      </c>
      <c r="T50" s="283">
        <v>0</v>
      </c>
      <c r="U50" s="283">
        <v>0</v>
      </c>
      <c r="V50" s="283">
        <v>0</v>
      </c>
      <c r="W50" s="283">
        <v>0</v>
      </c>
      <c r="X50" s="283">
        <v>0</v>
      </c>
      <c r="Y50" s="283">
        <v>0</v>
      </c>
      <c r="Z50" s="283">
        <v>0</v>
      </c>
      <c r="AA50" s="283">
        <v>0</v>
      </c>
      <c r="AB50" s="283">
        <v>0</v>
      </c>
      <c r="AC50" s="283">
        <v>0</v>
      </c>
      <c r="AD50" s="283">
        <v>0</v>
      </c>
      <c r="AE50" s="283">
        <v>0</v>
      </c>
      <c r="AF50" s="283">
        <v>0</v>
      </c>
    </row>
    <row r="51" spans="2:33" ht="15" customHeight="1" x14ac:dyDescent="0.35">
      <c r="B51" s="6" t="s">
        <v>5448</v>
      </c>
      <c r="C51" s="7" t="s">
        <v>22</v>
      </c>
      <c r="D51" s="2" t="s">
        <v>5480</v>
      </c>
      <c r="H51" s="268" t="s">
        <v>3900</v>
      </c>
      <c r="I51" s="282">
        <v>0</v>
      </c>
      <c r="J51" s="282">
        <v>0</v>
      </c>
      <c r="K51" s="282">
        <v>0</v>
      </c>
      <c r="L51" s="282">
        <v>0</v>
      </c>
      <c r="M51" s="282">
        <v>0</v>
      </c>
      <c r="N51" s="282">
        <v>0</v>
      </c>
      <c r="O51" s="282">
        <v>0</v>
      </c>
      <c r="P51" s="282">
        <v>0</v>
      </c>
      <c r="Q51" s="283">
        <v>0</v>
      </c>
      <c r="R51" s="283">
        <v>0</v>
      </c>
      <c r="S51" s="283">
        <v>0</v>
      </c>
      <c r="T51" s="283">
        <v>0</v>
      </c>
      <c r="U51" s="283">
        <v>0</v>
      </c>
      <c r="V51" s="283">
        <v>0</v>
      </c>
      <c r="W51" s="283">
        <v>0</v>
      </c>
      <c r="X51" s="283">
        <v>0</v>
      </c>
      <c r="Y51" s="283">
        <v>0</v>
      </c>
      <c r="Z51" s="283">
        <v>0</v>
      </c>
      <c r="AA51" s="283">
        <v>0</v>
      </c>
      <c r="AB51" s="283">
        <v>0</v>
      </c>
      <c r="AC51" s="283">
        <v>0</v>
      </c>
      <c r="AD51" s="283">
        <v>0</v>
      </c>
      <c r="AE51" s="283">
        <v>0</v>
      </c>
      <c r="AF51" s="283">
        <v>0</v>
      </c>
    </row>
    <row r="52" spans="2:33" ht="15" customHeight="1" x14ac:dyDescent="0.35">
      <c r="B52" s="6" t="s">
        <v>5449</v>
      </c>
      <c r="C52" s="7" t="s">
        <v>321</v>
      </c>
      <c r="D52" s="2" t="s">
        <v>5480</v>
      </c>
      <c r="H52" s="268" t="s">
        <v>3900</v>
      </c>
      <c r="I52" s="282">
        <f>'Business Plan - Model Details'!J915</f>
        <v>0</v>
      </c>
      <c r="J52" s="282">
        <f>'Business Plan - Model Details'!K915</f>
        <v>0</v>
      </c>
      <c r="K52" s="282">
        <f>'Business Plan - Model Details'!L915</f>
        <v>0</v>
      </c>
      <c r="L52" s="282">
        <f>'Business Plan - Model Details'!M915</f>
        <v>0</v>
      </c>
      <c r="M52" s="282">
        <f>'Business Plan - Model Details'!N915</f>
        <v>0</v>
      </c>
      <c r="N52" s="282">
        <f>'Business Plan - Model Details'!O915</f>
        <v>0</v>
      </c>
      <c r="O52" s="282">
        <f>'Business Plan - Model Details'!P915</f>
        <v>0</v>
      </c>
      <c r="P52" s="282">
        <f>'Business Plan - Model Details'!Q915</f>
        <v>0</v>
      </c>
      <c r="Q52" s="283">
        <v>0</v>
      </c>
      <c r="R52" s="283">
        <v>0</v>
      </c>
      <c r="S52" s="283">
        <v>0</v>
      </c>
      <c r="T52" s="283">
        <v>0</v>
      </c>
      <c r="U52" s="283">
        <v>0</v>
      </c>
      <c r="V52" s="283">
        <v>0</v>
      </c>
      <c r="W52" s="283">
        <v>0</v>
      </c>
      <c r="X52" s="283">
        <v>0</v>
      </c>
      <c r="Y52" s="283">
        <v>0</v>
      </c>
      <c r="Z52" s="283">
        <v>0</v>
      </c>
      <c r="AA52" s="283">
        <v>0</v>
      </c>
      <c r="AB52" s="283">
        <v>0</v>
      </c>
      <c r="AC52" s="283">
        <v>0</v>
      </c>
      <c r="AD52" s="283">
        <v>0</v>
      </c>
      <c r="AE52" s="283">
        <v>0</v>
      </c>
      <c r="AF52" s="283">
        <v>0</v>
      </c>
    </row>
    <row r="53" spans="2:33" ht="15" customHeight="1" x14ac:dyDescent="0.35">
      <c r="B53" s="4" t="s">
        <v>5481</v>
      </c>
      <c r="C53" s="13"/>
      <c r="D53" s="281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r="54" spans="2:33" ht="15" customHeight="1" x14ac:dyDescent="0.35">
      <c r="B54" s="6" t="s">
        <v>20</v>
      </c>
      <c r="C54" s="7" t="s">
        <v>5482</v>
      </c>
      <c r="D54" s="2" t="s">
        <v>5483</v>
      </c>
      <c r="H54" s="268" t="s">
        <v>3900</v>
      </c>
      <c r="I54" s="282">
        <v>1868.9025652846601</v>
      </c>
      <c r="J54" s="282">
        <v>1886.75606114782</v>
      </c>
      <c r="K54" s="282">
        <v>1906.31892135269</v>
      </c>
      <c r="L54" s="282">
        <v>2001.60403245049</v>
      </c>
      <c r="M54" s="282">
        <v>2202.97196898021</v>
      </c>
      <c r="N54" s="282">
        <v>2600.1174401980702</v>
      </c>
      <c r="O54" s="282">
        <v>2757.9522868243498</v>
      </c>
      <c r="P54" s="282">
        <v>2673.5488886888002</v>
      </c>
      <c r="Q54" s="283">
        <v>2950</v>
      </c>
      <c r="R54" s="283">
        <v>3000</v>
      </c>
      <c r="S54" s="283">
        <v>3100</v>
      </c>
      <c r="T54" s="283">
        <v>3100</v>
      </c>
      <c r="U54" s="283">
        <f t="shared" ref="U54:AF54" si="12">T54</f>
        <v>3100</v>
      </c>
      <c r="V54" s="283">
        <f t="shared" si="12"/>
        <v>3100</v>
      </c>
      <c r="W54" s="283">
        <f t="shared" si="12"/>
        <v>3100</v>
      </c>
      <c r="X54" s="283">
        <f t="shared" si="12"/>
        <v>3100</v>
      </c>
      <c r="Y54" s="283">
        <f t="shared" si="12"/>
        <v>3100</v>
      </c>
      <c r="Z54" s="283">
        <f t="shared" si="12"/>
        <v>3100</v>
      </c>
      <c r="AA54" s="283">
        <f t="shared" si="12"/>
        <v>3100</v>
      </c>
      <c r="AB54" s="283">
        <f t="shared" si="12"/>
        <v>3100</v>
      </c>
      <c r="AC54" s="283">
        <f t="shared" si="12"/>
        <v>3100</v>
      </c>
      <c r="AD54" s="283">
        <f t="shared" si="12"/>
        <v>3100</v>
      </c>
      <c r="AE54" s="283">
        <f t="shared" si="12"/>
        <v>3100</v>
      </c>
      <c r="AF54" s="283">
        <f t="shared" si="12"/>
        <v>3100</v>
      </c>
    </row>
    <row r="55" spans="2:33" ht="15" customHeight="1" x14ac:dyDescent="0.35">
      <c r="B55" s="6" t="s">
        <v>20</v>
      </c>
      <c r="C55" s="7" t="s">
        <v>5484</v>
      </c>
      <c r="D55" s="2" t="s">
        <v>5483</v>
      </c>
      <c r="H55" s="268" t="s">
        <v>3900</v>
      </c>
      <c r="I55" s="282">
        <v>0</v>
      </c>
      <c r="J55" s="282">
        <v>0</v>
      </c>
      <c r="K55" s="282">
        <v>0</v>
      </c>
      <c r="L55" s="282">
        <v>2950</v>
      </c>
      <c r="M55" s="282">
        <v>0</v>
      </c>
      <c r="N55" s="282">
        <v>0</v>
      </c>
      <c r="O55" s="282">
        <v>4450.6129597197896</v>
      </c>
      <c r="P55" s="282">
        <v>4526.8045148439696</v>
      </c>
      <c r="Q55" s="283">
        <v>4600</v>
      </c>
      <c r="R55" s="283">
        <f>Q55+100</f>
        <v>4700</v>
      </c>
      <c r="S55" s="283">
        <f>R55</f>
        <v>4700</v>
      </c>
      <c r="T55" s="283">
        <f>S55</f>
        <v>4700</v>
      </c>
      <c r="U55" s="283">
        <f t="shared" ref="U55:AF55" si="13">T55</f>
        <v>4700</v>
      </c>
      <c r="V55" s="283">
        <f t="shared" si="13"/>
        <v>4700</v>
      </c>
      <c r="W55" s="283">
        <f t="shared" si="13"/>
        <v>4700</v>
      </c>
      <c r="X55" s="283">
        <f t="shared" si="13"/>
        <v>4700</v>
      </c>
      <c r="Y55" s="283">
        <f t="shared" si="13"/>
        <v>4700</v>
      </c>
      <c r="Z55" s="283">
        <f t="shared" si="13"/>
        <v>4700</v>
      </c>
      <c r="AA55" s="283">
        <f t="shared" si="13"/>
        <v>4700</v>
      </c>
      <c r="AB55" s="283">
        <f t="shared" si="13"/>
        <v>4700</v>
      </c>
      <c r="AC55" s="283">
        <f t="shared" si="13"/>
        <v>4700</v>
      </c>
      <c r="AD55" s="283">
        <f t="shared" si="13"/>
        <v>4700</v>
      </c>
      <c r="AE55" s="283">
        <f t="shared" si="13"/>
        <v>4700</v>
      </c>
      <c r="AF55" s="283">
        <f t="shared" si="13"/>
        <v>4700</v>
      </c>
    </row>
    <row r="56" spans="2:33" ht="15" customHeight="1" x14ac:dyDescent="0.35">
      <c r="B56" s="6" t="s">
        <v>5447</v>
      </c>
      <c r="C56" s="7" t="s">
        <v>21</v>
      </c>
      <c r="D56" s="2" t="s">
        <v>5480</v>
      </c>
      <c r="H56" s="268" t="s">
        <v>3900</v>
      </c>
      <c r="I56" s="282">
        <v>0</v>
      </c>
      <c r="J56" s="282">
        <v>3.4159363352473</v>
      </c>
      <c r="K56" s="282">
        <v>2.8787878787878798</v>
      </c>
      <c r="L56" s="282">
        <v>3.25279698302954</v>
      </c>
      <c r="M56" s="282">
        <v>3.4760930605695899</v>
      </c>
      <c r="N56" s="282">
        <v>3.4256521297831299</v>
      </c>
      <c r="O56" s="282">
        <v>2.8842515622312699</v>
      </c>
      <c r="P56" s="282">
        <v>3.1297846889952199</v>
      </c>
      <c r="Q56" s="283">
        <v>0</v>
      </c>
      <c r="R56" s="283">
        <v>0</v>
      </c>
      <c r="S56" s="283">
        <v>0</v>
      </c>
      <c r="T56" s="283">
        <v>0</v>
      </c>
      <c r="U56" s="283">
        <v>0</v>
      </c>
      <c r="V56" s="283">
        <v>0</v>
      </c>
      <c r="W56" s="283">
        <v>0</v>
      </c>
      <c r="X56" s="283">
        <v>0</v>
      </c>
      <c r="Y56" s="283">
        <v>0</v>
      </c>
      <c r="Z56" s="283">
        <v>0</v>
      </c>
      <c r="AA56" s="283">
        <v>0</v>
      </c>
      <c r="AB56" s="283">
        <v>0</v>
      </c>
      <c r="AC56" s="283">
        <v>0</v>
      </c>
      <c r="AD56" s="283">
        <v>0</v>
      </c>
      <c r="AE56" s="283">
        <v>0</v>
      </c>
      <c r="AF56" s="283">
        <v>0</v>
      </c>
    </row>
    <row r="57" spans="2:33" ht="15" customHeight="1" x14ac:dyDescent="0.35">
      <c r="B57" s="6" t="s">
        <v>5448</v>
      </c>
      <c r="C57" s="7" t="s">
        <v>22</v>
      </c>
      <c r="D57" s="2" t="s">
        <v>5480</v>
      </c>
      <c r="F57" t="s">
        <v>5485</v>
      </c>
      <c r="H57" s="268" t="s">
        <v>3900</v>
      </c>
      <c r="I57" s="282">
        <v>0</v>
      </c>
      <c r="J57" s="282">
        <v>0</v>
      </c>
      <c r="K57" s="282">
        <v>0</v>
      </c>
      <c r="L57" s="282">
        <v>0</v>
      </c>
      <c r="M57" s="282">
        <v>0</v>
      </c>
      <c r="N57" s="282">
        <v>0</v>
      </c>
      <c r="O57" s="282">
        <v>0</v>
      </c>
      <c r="P57" s="282">
        <v>0</v>
      </c>
      <c r="Q57" s="283">
        <v>0</v>
      </c>
      <c r="R57" s="283">
        <v>0</v>
      </c>
      <c r="S57" s="283">
        <v>0</v>
      </c>
      <c r="T57" s="283">
        <v>0</v>
      </c>
      <c r="U57" s="283">
        <v>0</v>
      </c>
      <c r="V57" s="283">
        <v>0</v>
      </c>
      <c r="W57" s="283">
        <v>0</v>
      </c>
      <c r="X57" s="283">
        <v>0</v>
      </c>
      <c r="Y57" s="283">
        <v>0</v>
      </c>
      <c r="Z57" s="283">
        <v>0</v>
      </c>
      <c r="AA57" s="283">
        <v>0</v>
      </c>
      <c r="AB57" s="283">
        <v>0</v>
      </c>
      <c r="AC57" s="283">
        <v>0</v>
      </c>
      <c r="AD57" s="283">
        <v>0</v>
      </c>
      <c r="AE57" s="283">
        <v>0</v>
      </c>
      <c r="AF57" s="283">
        <v>0</v>
      </c>
    </row>
    <row r="58" spans="2:33" ht="15" customHeight="1" x14ac:dyDescent="0.35">
      <c r="B58" s="6" t="s">
        <v>5449</v>
      </c>
      <c r="C58" s="7" t="s">
        <v>321</v>
      </c>
      <c r="D58" s="2" t="s">
        <v>5480</v>
      </c>
      <c r="H58" s="268" t="s">
        <v>3900</v>
      </c>
      <c r="I58" s="282">
        <f>'Business Plan - Model Details'!J920</f>
        <v>0</v>
      </c>
      <c r="J58" s="282">
        <f>'Business Plan - Model Details'!K920</f>
        <v>0</v>
      </c>
      <c r="K58" s="282">
        <f>'Business Plan - Model Details'!L920</f>
        <v>0</v>
      </c>
      <c r="L58" s="282">
        <f>'Business Plan - Model Details'!M920</f>
        <v>0</v>
      </c>
      <c r="M58" s="282">
        <f>'Business Plan - Model Details'!N920</f>
        <v>0</v>
      </c>
      <c r="N58" s="282">
        <f>'Business Plan - Model Details'!O920</f>
        <v>0</v>
      </c>
      <c r="O58" s="282">
        <f>'Business Plan - Model Details'!P920</f>
        <v>0</v>
      </c>
      <c r="P58" s="282">
        <f>'Business Plan - Model Details'!Q920</f>
        <v>0</v>
      </c>
      <c r="Q58" s="283">
        <v>0</v>
      </c>
      <c r="R58" s="283">
        <v>0</v>
      </c>
      <c r="S58" s="283">
        <v>0</v>
      </c>
      <c r="T58" s="283">
        <v>0</v>
      </c>
      <c r="U58" s="283">
        <v>0</v>
      </c>
      <c r="V58" s="283">
        <v>0</v>
      </c>
      <c r="W58" s="283">
        <v>0</v>
      </c>
      <c r="X58" s="283">
        <v>0</v>
      </c>
      <c r="Y58" s="283">
        <v>0</v>
      </c>
      <c r="Z58" s="283">
        <v>0</v>
      </c>
      <c r="AA58" s="283">
        <v>0</v>
      </c>
      <c r="AB58" s="283">
        <v>0</v>
      </c>
      <c r="AC58" s="283">
        <v>0</v>
      </c>
      <c r="AD58" s="283">
        <v>0</v>
      </c>
      <c r="AE58" s="283">
        <v>0</v>
      </c>
      <c r="AF58" s="283">
        <v>0</v>
      </c>
    </row>
    <row r="59" spans="2:33" ht="15" customHeight="1" x14ac:dyDescent="0.35">
      <c r="B59" s="4" t="s">
        <v>5573</v>
      </c>
      <c r="C59" s="13"/>
      <c r="D59" s="281" t="s">
        <v>5486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2:33" ht="15" customHeight="1" x14ac:dyDescent="0.35">
      <c r="B60" s="6" t="s">
        <v>20</v>
      </c>
      <c r="C60" s="7" t="s">
        <v>4038</v>
      </c>
      <c r="D60" s="2" t="s">
        <v>5487</v>
      </c>
      <c r="H60" s="268" t="s">
        <v>13</v>
      </c>
      <c r="I60" s="284">
        <v>3.2842462270226802</v>
      </c>
      <c r="J60" s="284">
        <v>3.10046698976153</v>
      </c>
      <c r="K60" s="284">
        <v>3.3701548280824198</v>
      </c>
      <c r="L60" s="284">
        <v>3.32374253720893</v>
      </c>
      <c r="M60" s="284">
        <v>3.33125431743309</v>
      </c>
      <c r="N60" s="284">
        <v>3.19984533071769</v>
      </c>
      <c r="O60" s="284">
        <v>3.1299999015159399</v>
      </c>
      <c r="P60" s="284">
        <v>3.2533552741899801</v>
      </c>
      <c r="Q60" s="285">
        <v>3.2</v>
      </c>
      <c r="R60" s="285">
        <v>3.2</v>
      </c>
      <c r="S60" s="285">
        <v>3.2</v>
      </c>
      <c r="T60" s="285">
        <v>3.2</v>
      </c>
      <c r="U60" s="285">
        <v>3.2</v>
      </c>
      <c r="V60" s="285">
        <v>3.2</v>
      </c>
      <c r="W60" s="285">
        <v>3.2</v>
      </c>
      <c r="X60" s="285">
        <v>3.2</v>
      </c>
      <c r="Y60" s="285">
        <v>3.2</v>
      </c>
      <c r="Z60" s="285">
        <v>3.2</v>
      </c>
      <c r="AA60" s="285">
        <v>3.2</v>
      </c>
      <c r="AB60" s="285">
        <v>3.2</v>
      </c>
      <c r="AC60" s="285">
        <v>3.2</v>
      </c>
      <c r="AD60" s="285">
        <v>3.2</v>
      </c>
      <c r="AE60" s="285">
        <v>3.2</v>
      </c>
      <c r="AF60" s="285">
        <v>3.2</v>
      </c>
    </row>
    <row r="61" spans="2:33" ht="15" customHeight="1" x14ac:dyDescent="0.35">
      <c r="B61" s="6" t="s">
        <v>20</v>
      </c>
      <c r="C61" s="7" t="s">
        <v>4038</v>
      </c>
      <c r="D61" s="2" t="s">
        <v>5488</v>
      </c>
      <c r="H61" s="268" t="s">
        <v>13</v>
      </c>
      <c r="I61" s="284">
        <v>0.713072212064226</v>
      </c>
      <c r="J61" s="284">
        <v>0.69010167270637202</v>
      </c>
      <c r="K61" s="284">
        <v>0.68787544335631801</v>
      </c>
      <c r="L61" s="284">
        <v>0.68066911313237999</v>
      </c>
      <c r="M61" s="284">
        <v>0.68902810055896302</v>
      </c>
      <c r="N61" s="284">
        <v>0.71877725719351604</v>
      </c>
      <c r="O61" s="284">
        <v>0.71369154266823698</v>
      </c>
      <c r="P61" s="284">
        <v>0.654342030022521</v>
      </c>
      <c r="Q61" s="285">
        <v>0.69891958712823032</v>
      </c>
      <c r="R61" s="285">
        <v>0.69891958712823032</v>
      </c>
      <c r="S61" s="285">
        <v>0.69891958712823032</v>
      </c>
      <c r="T61" s="285">
        <v>0.69891958712823032</v>
      </c>
      <c r="U61" s="285">
        <v>0.69891958712823032</v>
      </c>
      <c r="V61" s="285">
        <v>0.69891958712823032</v>
      </c>
      <c r="W61" s="285">
        <v>0.69891958712823032</v>
      </c>
      <c r="X61" s="285">
        <v>0.69891958712823032</v>
      </c>
      <c r="Y61" s="285">
        <v>0.69891958712823032</v>
      </c>
      <c r="Z61" s="285">
        <v>0.69891958712823032</v>
      </c>
      <c r="AA61" s="285">
        <v>0.69891958712823032</v>
      </c>
      <c r="AB61" s="285">
        <v>0.69891958712823032</v>
      </c>
      <c r="AC61" s="285">
        <v>0.69891958712823032</v>
      </c>
      <c r="AD61" s="285">
        <v>0.69891958712823032</v>
      </c>
      <c r="AE61" s="285">
        <v>0.69891958712823032</v>
      </c>
      <c r="AF61" s="285">
        <v>0.69891958712823032</v>
      </c>
    </row>
    <row r="62" spans="2:33" ht="15" customHeight="1" x14ac:dyDescent="0.35">
      <c r="B62" s="6" t="s">
        <v>5447</v>
      </c>
      <c r="C62" s="7" t="s">
        <v>21</v>
      </c>
      <c r="D62" s="2" t="s">
        <v>5488</v>
      </c>
      <c r="H62" s="268" t="s">
        <v>13</v>
      </c>
      <c r="I62" s="284">
        <v>1</v>
      </c>
      <c r="J62" s="284">
        <v>1</v>
      </c>
      <c r="K62" s="284">
        <v>1</v>
      </c>
      <c r="L62" s="284">
        <v>1</v>
      </c>
      <c r="M62" s="284">
        <v>1</v>
      </c>
      <c r="N62" s="284">
        <v>1</v>
      </c>
      <c r="O62" s="284">
        <v>1</v>
      </c>
      <c r="P62" s="284">
        <v>1</v>
      </c>
      <c r="Q62" s="285">
        <v>1</v>
      </c>
      <c r="R62" s="285">
        <v>1</v>
      </c>
      <c r="S62" s="285">
        <v>1</v>
      </c>
      <c r="T62" s="285">
        <v>1</v>
      </c>
      <c r="U62" s="285">
        <v>1</v>
      </c>
      <c r="V62" s="285">
        <v>1</v>
      </c>
      <c r="W62" s="285">
        <v>1</v>
      </c>
      <c r="X62" s="285">
        <v>1</v>
      </c>
      <c r="Y62" s="285">
        <v>1</v>
      </c>
      <c r="Z62" s="285">
        <v>1</v>
      </c>
      <c r="AA62" s="285">
        <v>1</v>
      </c>
      <c r="AB62" s="285">
        <v>1</v>
      </c>
      <c r="AC62" s="285">
        <v>1</v>
      </c>
      <c r="AD62" s="285">
        <v>1</v>
      </c>
      <c r="AE62" s="285">
        <v>1</v>
      </c>
      <c r="AF62" s="285">
        <v>1</v>
      </c>
    </row>
    <row r="63" spans="2:33" ht="15" customHeight="1" x14ac:dyDescent="0.35">
      <c r="B63" s="6" t="s">
        <v>5448</v>
      </c>
      <c r="C63" s="7" t="s">
        <v>22</v>
      </c>
      <c r="D63" s="2" t="s">
        <v>5488</v>
      </c>
      <c r="H63" s="268" t="s">
        <v>13</v>
      </c>
      <c r="I63" s="284">
        <v>0</v>
      </c>
      <c r="J63" s="284">
        <v>1</v>
      </c>
      <c r="K63" s="284">
        <v>0</v>
      </c>
      <c r="L63" s="284">
        <v>1</v>
      </c>
      <c r="M63" s="284">
        <v>1</v>
      </c>
      <c r="N63" s="284">
        <v>1</v>
      </c>
      <c r="O63" s="284">
        <v>1</v>
      </c>
      <c r="P63" s="284">
        <v>1</v>
      </c>
      <c r="Q63" s="285">
        <v>1</v>
      </c>
      <c r="R63" s="285">
        <v>1</v>
      </c>
      <c r="S63" s="285">
        <v>1</v>
      </c>
      <c r="T63" s="285">
        <v>1</v>
      </c>
      <c r="U63" s="285">
        <v>1</v>
      </c>
      <c r="V63" s="285">
        <v>1</v>
      </c>
      <c r="W63" s="285">
        <v>1</v>
      </c>
      <c r="X63" s="285">
        <v>1</v>
      </c>
      <c r="Y63" s="285">
        <v>1</v>
      </c>
      <c r="Z63" s="285">
        <v>1</v>
      </c>
      <c r="AA63" s="285">
        <v>1</v>
      </c>
      <c r="AB63" s="285">
        <v>1</v>
      </c>
      <c r="AC63" s="285">
        <v>1</v>
      </c>
      <c r="AD63" s="285">
        <v>1</v>
      </c>
      <c r="AE63" s="285">
        <v>1</v>
      </c>
      <c r="AF63" s="285">
        <v>1</v>
      </c>
    </row>
    <row r="64" spans="2:33" ht="15" customHeight="1" x14ac:dyDescent="0.35">
      <c r="B64" s="6" t="s">
        <v>5449</v>
      </c>
      <c r="C64" s="7" t="s">
        <v>321</v>
      </c>
      <c r="D64" s="2" t="s">
        <v>5488</v>
      </c>
      <c r="H64" s="268" t="s">
        <v>13</v>
      </c>
      <c r="I64" s="284">
        <f>'Business Plan - Model Details'!J917</f>
        <v>0</v>
      </c>
      <c r="J64" s="284">
        <f>'Business Plan - Model Details'!K917</f>
        <v>0</v>
      </c>
      <c r="K64" s="284">
        <f>'Business Plan - Model Details'!L917</f>
        <v>0</v>
      </c>
      <c r="L64" s="284">
        <f>'Business Plan - Model Details'!M917</f>
        <v>0</v>
      </c>
      <c r="M64" s="284">
        <f>'Business Plan - Model Details'!N917</f>
        <v>0</v>
      </c>
      <c r="N64" s="284">
        <f>'Business Plan - Model Details'!O917</f>
        <v>0</v>
      </c>
      <c r="O64" s="284">
        <f>'Business Plan - Model Details'!P917</f>
        <v>0</v>
      </c>
      <c r="P64" s="284">
        <f>'Business Plan - Model Details'!Q917</f>
        <v>0</v>
      </c>
      <c r="Q64" s="285">
        <v>1</v>
      </c>
      <c r="R64" s="285">
        <v>1</v>
      </c>
      <c r="S64" s="285">
        <v>1</v>
      </c>
      <c r="T64" s="285">
        <v>1</v>
      </c>
      <c r="U64" s="285">
        <v>1</v>
      </c>
      <c r="V64" s="285">
        <v>1</v>
      </c>
      <c r="W64" s="285">
        <v>1</v>
      </c>
      <c r="X64" s="285">
        <v>1</v>
      </c>
      <c r="Y64" s="285">
        <v>1</v>
      </c>
      <c r="Z64" s="285">
        <v>1</v>
      </c>
      <c r="AA64" s="285">
        <v>1</v>
      </c>
      <c r="AB64" s="285">
        <v>1</v>
      </c>
      <c r="AC64" s="285">
        <v>1</v>
      </c>
      <c r="AD64" s="285">
        <v>1</v>
      </c>
      <c r="AE64" s="285">
        <v>1</v>
      </c>
      <c r="AF64" s="285">
        <v>1</v>
      </c>
    </row>
    <row r="65" spans="2:32" ht="15" customHeight="1" x14ac:dyDescent="0.35">
      <c r="B65" s="6" t="s">
        <v>20</v>
      </c>
      <c r="C65" s="7" t="s">
        <v>4038</v>
      </c>
      <c r="D65" s="2" t="s">
        <v>5489</v>
      </c>
      <c r="H65" s="268" t="s">
        <v>13</v>
      </c>
      <c r="I65" s="284">
        <v>0.42700285394938398</v>
      </c>
      <c r="J65" s="284">
        <v>0.46736889807512699</v>
      </c>
      <c r="K65" s="284">
        <v>0.43136046734009098</v>
      </c>
      <c r="L65" s="284">
        <v>0.442014565614745</v>
      </c>
      <c r="M65" s="284">
        <v>0.43566761350172001</v>
      </c>
      <c r="N65" s="284">
        <v>0.43478713610447101</v>
      </c>
      <c r="O65" s="284">
        <v>0.44765673802087302</v>
      </c>
      <c r="P65" s="284">
        <v>0.46974664946606498</v>
      </c>
      <c r="Q65" s="285">
        <v>0.44507186004961452</v>
      </c>
      <c r="R65" s="285">
        <v>0.44507186004961452</v>
      </c>
      <c r="S65" s="285">
        <v>0.44507186004961452</v>
      </c>
      <c r="T65" s="285">
        <v>0.44507186004961452</v>
      </c>
      <c r="U65" s="285">
        <v>0.44507186004961452</v>
      </c>
      <c r="V65" s="285">
        <v>0.44507186004961452</v>
      </c>
      <c r="W65" s="285">
        <v>0.44507186004961452</v>
      </c>
      <c r="X65" s="285">
        <v>0.44507186004961452</v>
      </c>
      <c r="Y65" s="285">
        <v>0.44507186004961452</v>
      </c>
      <c r="Z65" s="285">
        <v>0.44507186004961452</v>
      </c>
      <c r="AA65" s="285">
        <v>0.44507186004961452</v>
      </c>
      <c r="AB65" s="285">
        <v>0.44507186004961452</v>
      </c>
      <c r="AC65" s="285">
        <v>0.44507186004961452</v>
      </c>
      <c r="AD65" s="285">
        <v>0.44507186004961452</v>
      </c>
      <c r="AE65" s="285">
        <v>0.44507186004961452</v>
      </c>
      <c r="AF65" s="285">
        <v>0.44507186004961452</v>
      </c>
    </row>
    <row r="66" spans="2:32" ht="15" customHeight="1" x14ac:dyDescent="0.35">
      <c r="B66" s="6" t="s">
        <v>5447</v>
      </c>
      <c r="C66" s="7" t="s">
        <v>21</v>
      </c>
      <c r="D66" s="2" t="s">
        <v>5489</v>
      </c>
      <c r="H66" s="268" t="s">
        <v>13</v>
      </c>
      <c r="I66" s="284">
        <v>0</v>
      </c>
      <c r="J66" s="284">
        <v>3.4159363352473</v>
      </c>
      <c r="K66" s="284">
        <v>2.8787878787878798</v>
      </c>
      <c r="L66" s="284">
        <v>3.25279698302954</v>
      </c>
      <c r="M66" s="284">
        <v>3.4760930605695899</v>
      </c>
      <c r="N66" s="284">
        <v>3.4256521297831299</v>
      </c>
      <c r="O66" s="284">
        <v>2.8842515622312699</v>
      </c>
      <c r="P66" s="284">
        <v>3.1297846889952199</v>
      </c>
      <c r="Q66" s="285">
        <v>3.1297846889952199</v>
      </c>
      <c r="R66" s="285">
        <v>3.1297846889952199</v>
      </c>
      <c r="S66" s="285">
        <v>3.1297846889952199</v>
      </c>
      <c r="T66" s="285">
        <v>3.1297846889952199</v>
      </c>
      <c r="U66" s="285">
        <v>3.1297846889952199</v>
      </c>
      <c r="V66" s="285">
        <v>3.1297846889952199</v>
      </c>
      <c r="W66" s="285">
        <v>3.1297846889952199</v>
      </c>
      <c r="X66" s="285">
        <v>3.1297846889952199</v>
      </c>
      <c r="Y66" s="285">
        <v>3.1297846889952199</v>
      </c>
      <c r="Z66" s="285">
        <v>3.1297846889952199</v>
      </c>
      <c r="AA66" s="285">
        <v>3.1297846889952199</v>
      </c>
      <c r="AB66" s="285">
        <v>3.1297846889952199</v>
      </c>
      <c r="AC66" s="285">
        <v>3.1297846889952199</v>
      </c>
      <c r="AD66" s="285">
        <v>3.1297846889952199</v>
      </c>
      <c r="AE66" s="285">
        <v>3.1297846889952199</v>
      </c>
      <c r="AF66" s="285">
        <v>3.1297846889952199</v>
      </c>
    </row>
    <row r="67" spans="2:32" ht="15" customHeight="1" x14ac:dyDescent="0.35">
      <c r="B67" s="6" t="s">
        <v>5448</v>
      </c>
      <c r="C67" s="7" t="s">
        <v>22</v>
      </c>
      <c r="D67" s="2" t="s">
        <v>5489</v>
      </c>
      <c r="H67" s="268" t="s">
        <v>13</v>
      </c>
      <c r="I67" s="284">
        <v>0</v>
      </c>
      <c r="J67" s="284">
        <v>4.1893571347870298</v>
      </c>
      <c r="K67" s="284">
        <v>0</v>
      </c>
      <c r="L67" s="284">
        <v>3.8370459218642901</v>
      </c>
      <c r="M67" s="284">
        <v>3.6155576382380499</v>
      </c>
      <c r="N67" s="284">
        <v>3.7400269255296599</v>
      </c>
      <c r="O67" s="284">
        <v>3.6996187258687301</v>
      </c>
      <c r="P67" s="284">
        <v>3.5173578279075999</v>
      </c>
      <c r="Q67" s="285">
        <v>3.7290115330874301</v>
      </c>
      <c r="R67" s="285">
        <v>3.7290115330874301</v>
      </c>
      <c r="S67" s="285">
        <v>3.7290115330874301</v>
      </c>
      <c r="T67" s="285">
        <v>3.7290115330874301</v>
      </c>
      <c r="U67" s="285">
        <v>3.7290115330874301</v>
      </c>
      <c r="V67" s="285">
        <v>3.7290115330874301</v>
      </c>
      <c r="W67" s="285">
        <v>3.7290115330874301</v>
      </c>
      <c r="X67" s="285">
        <v>3.7290115330874301</v>
      </c>
      <c r="Y67" s="285">
        <v>3.7290115330874301</v>
      </c>
      <c r="Z67" s="285">
        <v>3.7290115330874301</v>
      </c>
      <c r="AA67" s="285">
        <v>3.7290115330874301</v>
      </c>
      <c r="AB67" s="285">
        <v>3.7290115330874301</v>
      </c>
      <c r="AC67" s="285">
        <v>3.7290115330874301</v>
      </c>
      <c r="AD67" s="285">
        <v>3.7290115330874301</v>
      </c>
      <c r="AE67" s="285">
        <v>3.7290115330874301</v>
      </c>
      <c r="AF67" s="285">
        <v>3.7290115330874301</v>
      </c>
    </row>
    <row r="68" spans="2:32" ht="15" customHeight="1" x14ac:dyDescent="0.35">
      <c r="B68" s="6" t="s">
        <v>5449</v>
      </c>
      <c r="C68" s="7" t="s">
        <v>321</v>
      </c>
      <c r="D68" s="2" t="s">
        <v>5489</v>
      </c>
      <c r="H68" s="268" t="s">
        <v>13</v>
      </c>
      <c r="I68" s="284">
        <f>'Business Plan - Model Details'!J913</f>
        <v>0</v>
      </c>
      <c r="J68" s="284">
        <f>'Business Plan - Model Details'!K913</f>
        <v>0</v>
      </c>
      <c r="K68" s="284">
        <f>'Business Plan - Model Details'!L913</f>
        <v>0</v>
      </c>
      <c r="L68" s="284">
        <f>'Business Plan - Model Details'!M913</f>
        <v>0</v>
      </c>
      <c r="M68" s="284">
        <f>'Business Plan - Model Details'!N913</f>
        <v>0</v>
      </c>
      <c r="N68" s="284">
        <f>'Business Plan - Model Details'!O913</f>
        <v>0</v>
      </c>
      <c r="O68" s="284">
        <f>'Business Plan - Model Details'!P913</f>
        <v>0</v>
      </c>
      <c r="P68" s="284">
        <f>'Business Plan - Model Details'!Q913</f>
        <v>0</v>
      </c>
      <c r="Q68" s="285">
        <v>0</v>
      </c>
      <c r="R68" s="285">
        <v>0</v>
      </c>
      <c r="S68" s="285">
        <v>0</v>
      </c>
      <c r="T68" s="285">
        <v>0</v>
      </c>
      <c r="U68" s="285">
        <v>0</v>
      </c>
      <c r="V68" s="285">
        <v>0</v>
      </c>
      <c r="W68" s="285">
        <v>0</v>
      </c>
      <c r="X68" s="285">
        <v>0</v>
      </c>
      <c r="Y68" s="285">
        <v>0</v>
      </c>
      <c r="Z68" s="285">
        <v>0</v>
      </c>
      <c r="AA68" s="285">
        <v>0</v>
      </c>
      <c r="AB68" s="285">
        <v>0</v>
      </c>
      <c r="AC68" s="285">
        <v>0</v>
      </c>
      <c r="AD68" s="285">
        <v>0</v>
      </c>
      <c r="AE68" s="285">
        <v>0</v>
      </c>
      <c r="AF68" s="285">
        <v>0</v>
      </c>
    </row>
    <row r="69" spans="2:32" ht="15" customHeight="1" x14ac:dyDescent="0.35">
      <c r="B69" s="6" t="s">
        <v>20</v>
      </c>
      <c r="C69" s="7" t="s">
        <v>4038</v>
      </c>
      <c r="D69" s="2" t="s">
        <v>5490</v>
      </c>
      <c r="H69" s="268" t="s">
        <v>4266</v>
      </c>
      <c r="I69" s="286">
        <f>IF('Business Plan - Model Details'!J421=0,0,'Business Plan - Model Details'!J442/'Business Plan - Model Details'!J421)</f>
        <v>0.27552491176847055</v>
      </c>
      <c r="J69" s="286">
        <f>IF('Business Plan - Model Details'!K421=0,0,'Business Plan - Model Details'!K442/'Business Plan - Model Details'!K421)</f>
        <v>0.25255412739892869</v>
      </c>
      <c r="K69" s="286">
        <f>IF('Business Plan - Model Details'!L421=0,0,'Business Plan - Model Details'!L442/'Business Plan - Model Details'!L421)</f>
        <v>0.26561673738924069</v>
      </c>
      <c r="L69" s="286">
        <f>IF('Business Plan - Model Details'!M421=0,0,'Business Plan - Model Details'!M442/'Business Plan - Model Details'!M421)</f>
        <v>0.26933145246611923</v>
      </c>
      <c r="M69" s="286">
        <f>IF('Business Plan - Model Details'!N421=0,0,'Business Plan - Model Details'!N442/'Business Plan - Model Details'!N421)</f>
        <v>0.26498387251764594</v>
      </c>
      <c r="N69" s="286">
        <f>IF('Business Plan - Model Details'!O421=0,0,'Business Plan - Model Details'!O442/'Business Plan - Model Details'!O421)</f>
        <v>0.25695974912910835</v>
      </c>
      <c r="O69" s="286">
        <f>IF('Business Plan - Model Details'!P421=0,0,'Business Plan - Model Details'!P442/'Business Plan - Model Details'!P421)</f>
        <v>0.26348659636273292</v>
      </c>
      <c r="P69" s="286">
        <f>IF('Business Plan - Model Details'!Q421=0,0,'Business Plan - Model Details'!Q442/'Business Plan - Model Details'!Q421)</f>
        <v>0.23157755756210988</v>
      </c>
      <c r="Q69" s="287">
        <v>0.2819670835019949</v>
      </c>
      <c r="R69" s="287">
        <v>0.2819670835019949</v>
      </c>
      <c r="S69" s="287">
        <v>0.2819670835019949</v>
      </c>
      <c r="T69" s="287">
        <v>0.2819670835019949</v>
      </c>
      <c r="U69" s="287">
        <v>0.2819670835019949</v>
      </c>
      <c r="V69" s="287">
        <v>0.2819670835019949</v>
      </c>
      <c r="W69" s="287">
        <v>0.2819670835019949</v>
      </c>
      <c r="X69" s="287">
        <v>0.2819670835019949</v>
      </c>
      <c r="Y69" s="287">
        <v>0.2819670835019949</v>
      </c>
      <c r="Z69" s="287">
        <v>0.2819670835019949</v>
      </c>
      <c r="AA69" s="287">
        <v>0.2819670835019949</v>
      </c>
      <c r="AB69" s="287">
        <v>0.2819670835019949</v>
      </c>
      <c r="AC69" s="287">
        <v>0.2819670835019949</v>
      </c>
      <c r="AD69" s="287">
        <v>0.2819670835019949</v>
      </c>
      <c r="AE69" s="287">
        <v>0.2819670835019949</v>
      </c>
      <c r="AF69" s="287">
        <v>0.2819670835019949</v>
      </c>
    </row>
    <row r="70" spans="2:32" ht="15" customHeight="1" x14ac:dyDescent="0.35">
      <c r="B70" s="6" t="s">
        <v>5447</v>
      </c>
      <c r="C70" s="7" t="s">
        <v>21</v>
      </c>
      <c r="D70" s="2" t="s">
        <v>5490</v>
      </c>
      <c r="H70" s="268" t="s">
        <v>4266</v>
      </c>
      <c r="I70" s="286">
        <f>IF('Business Plan - Model Details'!J582=0,0,'Business Plan - Model Details'!J598/'Business Plan - Model Details'!J582)</f>
        <v>0</v>
      </c>
      <c r="J70" s="286">
        <f>IF('Business Plan - Model Details'!K582=0,0,'Business Plan - Model Details'!K598/'Business Plan - Model Details'!K582)</f>
        <v>0.41654074745643194</v>
      </c>
      <c r="K70" s="286">
        <f>IF('Business Plan - Model Details'!L582=0,0,'Business Plan - Model Details'!L598/'Business Plan - Model Details'!L582)</f>
        <v>0.30536130536130535</v>
      </c>
      <c r="L70" s="286">
        <f>IF('Business Plan - Model Details'!M582=0,0,'Business Plan - Model Details'!M598/'Business Plan - Model Details'!M582)</f>
        <v>0.45648439136811231</v>
      </c>
      <c r="M70" s="286">
        <f>IF('Business Plan - Model Details'!N582=0,0,'Business Plan - Model Details'!N598/'Business Plan - Model Details'!N582)</f>
        <v>0.41175290814279986</v>
      </c>
      <c r="N70" s="286">
        <f>IF('Business Plan - Model Details'!O582=0,0,'Business Plan - Model Details'!O598/'Business Plan - Model Details'!O582)</f>
        <v>0.40900632675846671</v>
      </c>
      <c r="O70" s="286">
        <f>IF('Business Plan - Model Details'!P582=0,0,'Business Plan - Model Details'!P598/'Business Plan - Model Details'!P582)</f>
        <v>0.42446826807315258</v>
      </c>
      <c r="P70" s="286">
        <f>IF('Business Plan - Model Details'!Q582=0,0,'Business Plan - Model Details'!Q598/'Business Plan - Model Details'!Q582)</f>
        <v>0.31107954545454547</v>
      </c>
      <c r="Q70" s="287">
        <v>0.39703995937429365</v>
      </c>
      <c r="R70" s="287">
        <v>0.39703995937429365</v>
      </c>
      <c r="S70" s="287">
        <v>0.39703995937429365</v>
      </c>
      <c r="T70" s="287">
        <v>0.39703995937429365</v>
      </c>
      <c r="U70" s="287">
        <v>0.39703995937429365</v>
      </c>
      <c r="V70" s="287">
        <v>0.39703995937429365</v>
      </c>
      <c r="W70" s="287">
        <v>0.39703995937429365</v>
      </c>
      <c r="X70" s="287">
        <v>0.39703995937429365</v>
      </c>
      <c r="Y70" s="287">
        <v>0.39703995937429365</v>
      </c>
      <c r="Z70" s="287">
        <v>0.39703995937429365</v>
      </c>
      <c r="AA70" s="287">
        <v>0.39703995937429365</v>
      </c>
      <c r="AB70" s="287">
        <v>0.39703995937429365</v>
      </c>
      <c r="AC70" s="287">
        <v>0.39703995937429365</v>
      </c>
      <c r="AD70" s="287">
        <v>0.39703995937429365</v>
      </c>
      <c r="AE70" s="287">
        <v>0.39703995937429365</v>
      </c>
      <c r="AF70" s="287">
        <v>0.39703995937429365</v>
      </c>
    </row>
    <row r="71" spans="2:32" ht="15" customHeight="1" x14ac:dyDescent="0.35">
      <c r="B71" s="6" t="s">
        <v>5448</v>
      </c>
      <c r="C71" s="7" t="s">
        <v>22</v>
      </c>
      <c r="D71" s="2" t="s">
        <v>5490</v>
      </c>
      <c r="H71" s="268" t="s">
        <v>4266</v>
      </c>
      <c r="I71" s="286">
        <f>IF('Business Plan - Model Details'!J741=0,0,'Business Plan - Model Details'!J762/'Business Plan - Model Details'!J741)</f>
        <v>0</v>
      </c>
      <c r="J71" s="286">
        <f>IF('Business Plan - Model Details'!K741=0,0,'Business Plan - Model Details'!K762/'Business Plan - Model Details'!K741)</f>
        <v>0.6185741724098972</v>
      </c>
      <c r="K71" s="286">
        <f>IF('Business Plan - Model Details'!L741=0,0,'Business Plan - Model Details'!L762/'Business Plan - Model Details'!L741)</f>
        <v>0</v>
      </c>
      <c r="L71" s="286">
        <f>IF('Business Plan - Model Details'!M741=0,0,'Business Plan - Model Details'!M762/'Business Plan - Model Details'!M741)</f>
        <v>0.52107607950651136</v>
      </c>
      <c r="M71" s="286">
        <f>IF('Business Plan - Model Details'!N741=0,0,'Business Plan - Model Details'!N762/'Business Plan - Model Details'!N741)</f>
        <v>0.4732895970009372</v>
      </c>
      <c r="N71" s="286">
        <f>IF('Business Plan - Model Details'!O741=0,0,'Business Plan - Model Details'!O762/'Business Plan - Model Details'!O741)</f>
        <v>0.40083610855239848</v>
      </c>
      <c r="O71" s="286">
        <f>IF('Business Plan - Model Details'!P741=0,0,'Business Plan - Model Details'!P762/'Business Plan - Model Details'!P741)</f>
        <v>0.42652027027027029</v>
      </c>
      <c r="P71" s="286">
        <f>IF('Business Plan - Model Details'!Q741=0,0,'Business Plan - Model Details'!Q762/'Business Plan - Model Details'!Q741)</f>
        <v>0.27880588950425506</v>
      </c>
      <c r="Q71" s="287">
        <v>0.42708815376251813</v>
      </c>
      <c r="R71" s="287">
        <v>0.42708815376251813</v>
      </c>
      <c r="S71" s="287">
        <v>0.42708815376251813</v>
      </c>
      <c r="T71" s="287">
        <v>0.42708815376251813</v>
      </c>
      <c r="U71" s="287">
        <v>0.42708815376251813</v>
      </c>
      <c r="V71" s="287">
        <v>0.42708815376251813</v>
      </c>
      <c r="W71" s="287">
        <v>0.42708815376251813</v>
      </c>
      <c r="X71" s="287">
        <v>0.42708815376251813</v>
      </c>
      <c r="Y71" s="287">
        <v>0.42708815376251813</v>
      </c>
      <c r="Z71" s="287">
        <v>0.42708815376251813</v>
      </c>
      <c r="AA71" s="287">
        <v>0.42708815376251813</v>
      </c>
      <c r="AB71" s="287">
        <v>0.42708815376251813</v>
      </c>
      <c r="AC71" s="287">
        <v>0.42708815376251813</v>
      </c>
      <c r="AD71" s="287">
        <v>0.42708815376251813</v>
      </c>
      <c r="AE71" s="287">
        <v>0.42708815376251813</v>
      </c>
      <c r="AF71" s="287">
        <v>0.42708815376251813</v>
      </c>
    </row>
    <row r="72" spans="2:32" ht="15" customHeight="1" x14ac:dyDescent="0.35">
      <c r="B72" s="6" t="s">
        <v>5449</v>
      </c>
      <c r="C72" s="7" t="s">
        <v>321</v>
      </c>
      <c r="D72" s="2" t="s">
        <v>5490</v>
      </c>
      <c r="H72" s="268" t="s">
        <v>4266</v>
      </c>
      <c r="I72" s="286">
        <f>IF('Business Plan - Model Details'!J892=0,0,'Business Plan - Model Details'!J1149/'Business Plan - Model Details'!J892)</f>
        <v>0</v>
      </c>
      <c r="J72" s="286">
        <f>IF('Business Plan - Model Details'!K892=0,0,'Business Plan - Model Details'!K1149/'Business Plan - Model Details'!K892)</f>
        <v>0</v>
      </c>
      <c r="K72" s="286">
        <f>IF('Business Plan - Model Details'!L892=0,0,'Business Plan - Model Details'!L1149/'Business Plan - Model Details'!L892)</f>
        <v>0</v>
      </c>
      <c r="L72" s="286">
        <f>IF('Business Plan - Model Details'!M892=0,0,'Business Plan - Model Details'!M1149/'Business Plan - Model Details'!M892)</f>
        <v>0</v>
      </c>
      <c r="M72" s="286">
        <f>IF('Business Plan - Model Details'!N892=0,0,'Business Plan - Model Details'!N1149/'Business Plan - Model Details'!N892)</f>
        <v>0</v>
      </c>
      <c r="N72" s="286">
        <f>IF('Business Plan - Model Details'!O892=0,0,'Business Plan - Model Details'!O1149/'Business Plan - Model Details'!O892)</f>
        <v>0</v>
      </c>
      <c r="O72" s="286">
        <f>IF('Business Plan - Model Details'!P892=0,0,'Business Plan - Model Details'!P1149/'Business Plan - Model Details'!P892)</f>
        <v>0</v>
      </c>
      <c r="P72" s="286">
        <f>IF('Business Plan - Model Details'!Q892=0,0,'Business Plan - Model Details'!Q1149/'Business Plan - Model Details'!Q892)</f>
        <v>0</v>
      </c>
      <c r="Q72" s="287">
        <v>0</v>
      </c>
      <c r="R72" s="287">
        <v>0</v>
      </c>
      <c r="S72" s="287">
        <v>0</v>
      </c>
      <c r="T72" s="287">
        <v>0</v>
      </c>
      <c r="U72" s="287">
        <v>0</v>
      </c>
      <c r="V72" s="287">
        <v>0</v>
      </c>
      <c r="W72" s="287">
        <v>0</v>
      </c>
      <c r="X72" s="287">
        <v>0</v>
      </c>
      <c r="Y72" s="287">
        <v>0</v>
      </c>
      <c r="Z72" s="287">
        <v>0</v>
      </c>
      <c r="AA72" s="287">
        <v>0</v>
      </c>
      <c r="AB72" s="287">
        <v>0</v>
      </c>
      <c r="AC72" s="287">
        <v>0</v>
      </c>
      <c r="AD72" s="287">
        <v>0</v>
      </c>
      <c r="AE72" s="287">
        <v>0</v>
      </c>
      <c r="AF72" s="287">
        <v>0</v>
      </c>
    </row>
    <row r="73" spans="2:32" ht="15" customHeight="1" x14ac:dyDescent="0.35">
      <c r="B73" s="6" t="s">
        <v>20</v>
      </c>
      <c r="C73" s="7" t="s">
        <v>4038</v>
      </c>
      <c r="D73" s="2" t="s">
        <v>5491</v>
      </c>
      <c r="H73" s="268" t="s">
        <v>5450</v>
      </c>
      <c r="I73" s="286">
        <f>IF('Business Plan - Model Details'!J421=0,0,'Business Plan - Model Details'!J447/'Business Plan - Model Details'!J421)</f>
        <v>1.4761324139728723E-2</v>
      </c>
      <c r="J73" s="286">
        <f>IF('Business Plan - Model Details'!K421=0,0,'Business Plan - Model Details'!K447/'Business Plan - Model Details'!K421)</f>
        <v>1.4091714934561314E-2</v>
      </c>
      <c r="K73" s="286">
        <f>IF('Business Plan - Model Details'!L421=0,0,'Business Plan - Model Details'!L447/'Business Plan - Model Details'!L421)</f>
        <v>1.5216686525297018E-2</v>
      </c>
      <c r="L73" s="286">
        <f>IF('Business Plan - Model Details'!M421=0,0,'Business Plan - Model Details'!M447/'Business Plan - Model Details'!M421)</f>
        <v>1.5523011101109851E-2</v>
      </c>
      <c r="M73" s="286">
        <f>IF('Business Plan - Model Details'!N421=0,0,'Business Plan - Model Details'!N447/'Business Plan - Model Details'!N421)</f>
        <v>1.5842016978291486E-2</v>
      </c>
      <c r="N73" s="286">
        <f>IF('Business Plan - Model Details'!O421=0,0,'Business Plan - Model Details'!O447/'Business Plan - Model Details'!O421)</f>
        <v>1.5984266225549309E-2</v>
      </c>
      <c r="O73" s="286">
        <f>IF('Business Plan - Model Details'!P421=0,0,'Business Plan - Model Details'!P447/'Business Plan - Model Details'!P421)</f>
        <v>1.5579457434598348E-2</v>
      </c>
      <c r="P73" s="286">
        <f>IF('Business Plan - Model Details'!Q421=0,0,'Business Plan - Model Details'!Q447/'Business Plan - Model Details'!Q421)</f>
        <v>1.5035874365039274E-2</v>
      </c>
      <c r="Q73" s="287">
        <v>1.5203583764663077E-2</v>
      </c>
      <c r="R73" s="287">
        <v>1.5203583764663077E-2</v>
      </c>
      <c r="S73" s="287">
        <v>1.5203583764663077E-2</v>
      </c>
      <c r="T73" s="287">
        <v>1.5203583764663077E-2</v>
      </c>
      <c r="U73" s="287">
        <v>1.5203583764663077E-2</v>
      </c>
      <c r="V73" s="287">
        <v>1.5203583764663077E-2</v>
      </c>
      <c r="W73" s="287">
        <v>1.5203583764663077E-2</v>
      </c>
      <c r="X73" s="287">
        <v>1.5203583764663077E-2</v>
      </c>
      <c r="Y73" s="287">
        <v>1.5203583764663077E-2</v>
      </c>
      <c r="Z73" s="287">
        <v>1.5203583764663077E-2</v>
      </c>
      <c r="AA73" s="287">
        <v>1.5203583764663077E-2</v>
      </c>
      <c r="AB73" s="287">
        <v>1.5203583764663077E-2</v>
      </c>
      <c r="AC73" s="287">
        <v>1.5203583764663077E-2</v>
      </c>
      <c r="AD73" s="287">
        <v>1.5203583764663077E-2</v>
      </c>
      <c r="AE73" s="287">
        <v>1.5203583764663077E-2</v>
      </c>
      <c r="AF73" s="287">
        <v>1.5203583764663077E-2</v>
      </c>
    </row>
    <row r="74" spans="2:32" ht="15" customHeight="1" x14ac:dyDescent="0.35">
      <c r="B74" s="6" t="s">
        <v>5447</v>
      </c>
      <c r="C74" s="7" t="s">
        <v>21</v>
      </c>
      <c r="D74" s="2" t="s">
        <v>5491</v>
      </c>
      <c r="H74" s="268" t="s">
        <v>5450</v>
      </c>
      <c r="I74" s="286">
        <f>IF('Business Plan - Model Details'!J582=0,0,'Business Plan - Model Details'!J603/'Business Plan - Model Details'!J582)</f>
        <v>0</v>
      </c>
      <c r="J74" s="286">
        <f>IF('Business Plan - Model Details'!K582=0,0,'Business Plan - Model Details'!K603/'Business Plan - Model Details'!K582)</f>
        <v>2.5044334422596782E-2</v>
      </c>
      <c r="K74" s="286">
        <f>IF('Business Plan - Model Details'!L582=0,0,'Business Plan - Model Details'!L603/'Business Plan - Model Details'!L582)</f>
        <v>1.5373886357055364E-2</v>
      </c>
      <c r="L74" s="286">
        <f>IF('Business Plan - Model Details'!M582=0,0,'Business Plan - Model Details'!M603/'Business Plan - Model Details'!M582)</f>
        <v>2.2645578784123117E-2</v>
      </c>
      <c r="M74" s="286">
        <f>IF('Business Plan - Model Details'!N582=0,0,'Business Plan - Model Details'!N603/'Business Plan - Model Details'!N582)</f>
        <v>1.8314134385987311E-2</v>
      </c>
      <c r="N74" s="286">
        <f>IF('Business Plan - Model Details'!O582=0,0,'Business Plan - Model Details'!O603/'Business Plan - Model Details'!O582)</f>
        <v>1.8508886977773913E-2</v>
      </c>
      <c r="O74" s="286">
        <f>IF('Business Plan - Model Details'!P582=0,0,'Business Plan - Model Details'!P603/'Business Plan - Model Details'!P582)</f>
        <v>2.0411170712514914E-2</v>
      </c>
      <c r="P74" s="286">
        <f>IF('Business Plan - Model Details'!Q582=0,0,'Business Plan - Model Details'!Q603/'Business Plan - Model Details'!Q582)</f>
        <v>1.7145102098602778E-2</v>
      </c>
      <c r="Q74" s="287">
        <v>1.911551357985862E-2</v>
      </c>
      <c r="R74" s="287">
        <v>1.911551357985862E-2</v>
      </c>
      <c r="S74" s="287">
        <v>1.911551357985862E-2</v>
      </c>
      <c r="T74" s="287">
        <v>1.911551357985862E-2</v>
      </c>
      <c r="U74" s="287">
        <v>1.911551357985862E-2</v>
      </c>
      <c r="V74" s="287">
        <v>1.911551357985862E-2</v>
      </c>
      <c r="W74" s="287">
        <v>1.911551357985862E-2</v>
      </c>
      <c r="X74" s="287">
        <v>1.911551357985862E-2</v>
      </c>
      <c r="Y74" s="287">
        <v>1.911551357985862E-2</v>
      </c>
      <c r="Z74" s="287">
        <v>1.911551357985862E-2</v>
      </c>
      <c r="AA74" s="287">
        <v>1.911551357985862E-2</v>
      </c>
      <c r="AB74" s="287">
        <v>1.911551357985862E-2</v>
      </c>
      <c r="AC74" s="287">
        <v>1.911551357985862E-2</v>
      </c>
      <c r="AD74" s="287">
        <v>1.911551357985862E-2</v>
      </c>
      <c r="AE74" s="287">
        <v>1.911551357985862E-2</v>
      </c>
      <c r="AF74" s="287">
        <v>1.911551357985862E-2</v>
      </c>
    </row>
    <row r="75" spans="2:32" ht="15" customHeight="1" x14ac:dyDescent="0.35">
      <c r="B75" s="6" t="s">
        <v>5448</v>
      </c>
      <c r="C75" s="7" t="s">
        <v>22</v>
      </c>
      <c r="D75" s="2" t="s">
        <v>5491</v>
      </c>
      <c r="H75" s="268" t="s">
        <v>5450</v>
      </c>
      <c r="I75" s="286">
        <f>IF('Business Plan - Model Details'!J741=0,0,'Business Plan - Model Details'!J767/'Business Plan - Model Details'!J741)</f>
        <v>0</v>
      </c>
      <c r="J75" s="286">
        <f>IF('Business Plan - Model Details'!K741=0,0,'Business Plan - Model Details'!K767/'Business Plan - Model Details'!K741)</f>
        <v>1.8393299992984884E-2</v>
      </c>
      <c r="K75" s="286">
        <f>IF('Business Plan - Model Details'!L741=0,0,'Business Plan - Model Details'!L767/'Business Plan - Model Details'!L741)</f>
        <v>0</v>
      </c>
      <c r="L75" s="286">
        <f>IF('Business Plan - Model Details'!M741=0,0,'Business Plan - Model Details'!M767/'Business Plan - Model Details'!M741)</f>
        <v>1.9738115840804527E-2</v>
      </c>
      <c r="M75" s="286">
        <f>IF('Business Plan - Model Details'!N741=0,0,'Business Plan - Model Details'!N767/'Business Plan - Model Details'!N741)</f>
        <v>1.8242408761276793E-2</v>
      </c>
      <c r="N75" s="286">
        <f>IF('Business Plan - Model Details'!O741=0,0,'Business Plan - Model Details'!O767/'Business Plan - Model Details'!O741)</f>
        <v>1.8137860970443762E-2</v>
      </c>
      <c r="O75" s="286">
        <f>IF('Business Plan - Model Details'!P741=0,0,'Business Plan - Model Details'!P767/'Business Plan - Model Details'!P741)</f>
        <v>1.9810685185233694E-2</v>
      </c>
      <c r="P75" s="286">
        <f>IF('Business Plan - Model Details'!Q741=0,0,'Business Plan - Model Details'!Q767/'Business Plan - Model Details'!Q741)</f>
        <v>1.7751028062812299E-2</v>
      </c>
      <c r="Q75" s="287">
        <v>1.8627620677868776E-2</v>
      </c>
      <c r="R75" s="287">
        <v>1.8627620677868776E-2</v>
      </c>
      <c r="S75" s="287">
        <v>1.8627620677868776E-2</v>
      </c>
      <c r="T75" s="287">
        <v>1.8627620677868776E-2</v>
      </c>
      <c r="U75" s="287">
        <v>1.8627620677868776E-2</v>
      </c>
      <c r="V75" s="287">
        <v>1.8627620677868776E-2</v>
      </c>
      <c r="W75" s="287">
        <v>1.8627620677868776E-2</v>
      </c>
      <c r="X75" s="287">
        <v>1.8627620677868776E-2</v>
      </c>
      <c r="Y75" s="287">
        <v>1.8627620677868776E-2</v>
      </c>
      <c r="Z75" s="287">
        <v>1.8627620677868776E-2</v>
      </c>
      <c r="AA75" s="287">
        <v>1.8627620677868776E-2</v>
      </c>
      <c r="AB75" s="287">
        <v>1.8627620677868776E-2</v>
      </c>
      <c r="AC75" s="287">
        <v>1.8627620677868776E-2</v>
      </c>
      <c r="AD75" s="287">
        <v>1.8627620677868776E-2</v>
      </c>
      <c r="AE75" s="287">
        <v>1.8627620677868776E-2</v>
      </c>
      <c r="AF75" s="287">
        <v>1.8627620677868776E-2</v>
      </c>
    </row>
    <row r="76" spans="2:32" ht="15" customHeight="1" x14ac:dyDescent="0.35">
      <c r="B76" s="6" t="s">
        <v>5449</v>
      </c>
      <c r="C76" s="7" t="s">
        <v>321</v>
      </c>
      <c r="D76" s="2" t="s">
        <v>5491</v>
      </c>
      <c r="H76" s="268" t="s">
        <v>5450</v>
      </c>
      <c r="I76" s="286">
        <f>IF('Business Plan - Model Details'!J892=0,0,'Business Plan - Model Details'!J1154/'Business Plan - Model Details'!J892)</f>
        <v>0</v>
      </c>
      <c r="J76" s="286">
        <f>IF('Business Plan - Model Details'!K892=0,0,'Business Plan - Model Details'!K1154/'Business Plan - Model Details'!K892)</f>
        <v>0</v>
      </c>
      <c r="K76" s="286">
        <f>IF('Business Plan - Model Details'!L892=0,0,'Business Plan - Model Details'!L1154/'Business Plan - Model Details'!L892)</f>
        <v>0</v>
      </c>
      <c r="L76" s="286">
        <f>IF('Business Plan - Model Details'!M892=0,0,'Business Plan - Model Details'!M1154/'Business Plan - Model Details'!M892)</f>
        <v>0</v>
      </c>
      <c r="M76" s="286">
        <f>IF('Business Plan - Model Details'!N892=0,0,'Business Plan - Model Details'!N1154/'Business Plan - Model Details'!N892)</f>
        <v>0</v>
      </c>
      <c r="N76" s="286">
        <f>IF('Business Plan - Model Details'!O892=0,0,'Business Plan - Model Details'!O1154/'Business Plan - Model Details'!O892)</f>
        <v>0</v>
      </c>
      <c r="O76" s="286">
        <f>IF('Business Plan - Model Details'!P892=0,0,'Business Plan - Model Details'!P1154/'Business Plan - Model Details'!P892)</f>
        <v>0</v>
      </c>
      <c r="P76" s="286">
        <f>IF('Business Plan - Model Details'!Q892=0,0,'Business Plan - Model Details'!Q1154/'Business Plan - Model Details'!Q892)</f>
        <v>0</v>
      </c>
      <c r="Q76" s="287">
        <v>0</v>
      </c>
      <c r="R76" s="287">
        <v>0</v>
      </c>
      <c r="S76" s="287">
        <v>0</v>
      </c>
      <c r="T76" s="287">
        <v>0</v>
      </c>
      <c r="U76" s="287">
        <v>0</v>
      </c>
      <c r="V76" s="287">
        <v>0</v>
      </c>
      <c r="W76" s="287">
        <v>0</v>
      </c>
      <c r="X76" s="287">
        <v>0</v>
      </c>
      <c r="Y76" s="287">
        <v>0</v>
      </c>
      <c r="Z76" s="287">
        <v>0</v>
      </c>
      <c r="AA76" s="287">
        <v>0</v>
      </c>
      <c r="AB76" s="287">
        <v>0</v>
      </c>
      <c r="AC76" s="287">
        <v>0</v>
      </c>
      <c r="AD76" s="287">
        <v>0</v>
      </c>
      <c r="AE76" s="287">
        <v>0</v>
      </c>
      <c r="AF76" s="287">
        <v>0</v>
      </c>
    </row>
    <row r="77" spans="2:32" ht="15" customHeight="1" x14ac:dyDescent="0.35">
      <c r="B77" s="6" t="s">
        <v>20</v>
      </c>
      <c r="C77" s="7" t="s">
        <v>4038</v>
      </c>
      <c r="D77" s="2" t="s">
        <v>5492</v>
      </c>
      <c r="H77" s="268" t="s">
        <v>4266</v>
      </c>
      <c r="I77" s="286">
        <f>IF('Business Plan - Model Details'!J421=0,0,'Business Plan - Model Details'!J452/'Business Plan - Model Details'!J421)</f>
        <v>6.5952841921645116E-3</v>
      </c>
      <c r="J77" s="286">
        <f>IF('Business Plan - Model Details'!K421=0,0,'Business Plan - Model Details'!K452/'Business Plan - Model Details'!K421)</f>
        <v>7.0563681727346898E-3</v>
      </c>
      <c r="K77" s="286">
        <f>IF('Business Plan - Model Details'!L421=0,0,'Business Plan - Model Details'!L452/'Business Plan - Model Details'!L421)</f>
        <v>6.7511575716146669E-3</v>
      </c>
      <c r="L77" s="286">
        <f>IF('Business Plan - Model Details'!M421=0,0,'Business Plan - Model Details'!M452/'Business Plan - Model Details'!M421)</f>
        <v>7.2547735402287272E-3</v>
      </c>
      <c r="M77" s="286">
        <f>IF('Business Plan - Model Details'!N421=0,0,'Business Plan - Model Details'!N452/'Business Plan - Model Details'!N421)</f>
        <v>8.0682739151797783E-3</v>
      </c>
      <c r="N77" s="286">
        <f>IF('Business Plan - Model Details'!O421=0,0,'Business Plan - Model Details'!O452/'Business Plan - Model Details'!O421)</f>
        <v>7.4731739744225293E-3</v>
      </c>
      <c r="O77" s="286">
        <f>IF('Business Plan - Model Details'!P421=0,0,'Business Plan - Model Details'!P452/'Business Plan - Model Details'!P421)</f>
        <v>7.9130214298234122E-3</v>
      </c>
      <c r="P77" s="286">
        <f>IF('Business Plan - Model Details'!Q421=0,0,'Business Plan - Model Details'!Q452/'Business Plan - Model Details'!Q421)</f>
        <v>6.7482817554334667E-3</v>
      </c>
      <c r="Q77" s="287">
        <v>7.2056027501848068E-3</v>
      </c>
      <c r="R77" s="287">
        <v>7.2056027501848068E-3</v>
      </c>
      <c r="S77" s="287">
        <v>7.2056027501848068E-3</v>
      </c>
      <c r="T77" s="287">
        <v>7.2056027501848068E-3</v>
      </c>
      <c r="U77" s="287">
        <v>7.2056027501848068E-3</v>
      </c>
      <c r="V77" s="287">
        <v>7.2056027501848068E-3</v>
      </c>
      <c r="W77" s="287">
        <v>7.2056027501848068E-3</v>
      </c>
      <c r="X77" s="287">
        <v>7.2056027501848068E-3</v>
      </c>
      <c r="Y77" s="287">
        <v>7.2056027501848068E-3</v>
      </c>
      <c r="Z77" s="287">
        <v>7.2056027501848068E-3</v>
      </c>
      <c r="AA77" s="287">
        <v>7.2056027501848068E-3</v>
      </c>
      <c r="AB77" s="287">
        <v>7.2056027501848068E-3</v>
      </c>
      <c r="AC77" s="287">
        <v>7.2056027501848068E-3</v>
      </c>
      <c r="AD77" s="287">
        <v>7.2056027501848068E-3</v>
      </c>
      <c r="AE77" s="287">
        <v>7.2056027501848068E-3</v>
      </c>
      <c r="AF77" s="287">
        <v>7.2056027501848068E-3</v>
      </c>
    </row>
    <row r="78" spans="2:32" ht="15" customHeight="1" x14ac:dyDescent="0.35">
      <c r="B78" s="6" t="s">
        <v>5447</v>
      </c>
      <c r="C78" s="7" t="s">
        <v>21</v>
      </c>
      <c r="D78" s="2" t="s">
        <v>5492</v>
      </c>
      <c r="H78" s="268" t="s">
        <v>4266</v>
      </c>
      <c r="I78" s="286">
        <f>IF('Business Plan - Model Details'!J582=0,0,'Business Plan - Model Details'!J608/'Business Plan - Model Details'!J582)</f>
        <v>0</v>
      </c>
      <c r="J78" s="286">
        <f>IF('Business Plan - Model Details'!K582=0,0,'Business Plan - Model Details'!K608/'Business Plan - Model Details'!K582)</f>
        <v>0</v>
      </c>
      <c r="K78" s="286">
        <f>IF('Business Plan - Model Details'!L582=0,0,'Business Plan - Model Details'!L608/'Business Plan - Model Details'!L582)</f>
        <v>0</v>
      </c>
      <c r="L78" s="286">
        <f>IF('Business Plan - Model Details'!M582=0,0,'Business Plan - Model Details'!M608/'Business Plan - Model Details'!M582)</f>
        <v>0</v>
      </c>
      <c r="M78" s="286">
        <f>IF('Business Plan - Model Details'!N582=0,0,'Business Plan - Model Details'!N608/'Business Plan - Model Details'!N582)</f>
        <v>0</v>
      </c>
      <c r="N78" s="286">
        <f>IF('Business Plan - Model Details'!O582=0,0,'Business Plan - Model Details'!O608/'Business Plan - Model Details'!O582)</f>
        <v>0</v>
      </c>
      <c r="O78" s="286">
        <f>IF('Business Plan - Model Details'!P582=0,0,'Business Plan - Model Details'!P608/'Business Plan - Model Details'!P582)</f>
        <v>0</v>
      </c>
      <c r="P78" s="286">
        <f>IF('Business Plan - Model Details'!Q582=0,0,'Business Plan - Model Details'!Q608/'Business Plan - Model Details'!Q582)</f>
        <v>0</v>
      </c>
      <c r="Q78" s="287">
        <v>0</v>
      </c>
      <c r="R78" s="287">
        <v>0</v>
      </c>
      <c r="S78" s="287">
        <v>0</v>
      </c>
      <c r="T78" s="287">
        <v>0</v>
      </c>
      <c r="U78" s="287">
        <v>0</v>
      </c>
      <c r="V78" s="287">
        <v>0</v>
      </c>
      <c r="W78" s="287">
        <v>0</v>
      </c>
      <c r="X78" s="287">
        <v>0</v>
      </c>
      <c r="Y78" s="287">
        <v>0</v>
      </c>
      <c r="Z78" s="287">
        <v>0</v>
      </c>
      <c r="AA78" s="287">
        <v>0</v>
      </c>
      <c r="AB78" s="287">
        <v>0</v>
      </c>
      <c r="AC78" s="287">
        <v>0</v>
      </c>
      <c r="AD78" s="287">
        <v>0</v>
      </c>
      <c r="AE78" s="287">
        <v>0</v>
      </c>
      <c r="AF78" s="287">
        <v>0</v>
      </c>
    </row>
    <row r="79" spans="2:32" ht="15" customHeight="1" x14ac:dyDescent="0.35">
      <c r="B79" s="6" t="s">
        <v>5448</v>
      </c>
      <c r="C79" s="7" t="s">
        <v>22</v>
      </c>
      <c r="D79" s="2" t="s">
        <v>5492</v>
      </c>
      <c r="H79" s="268" t="s">
        <v>4266</v>
      </c>
      <c r="I79" s="286">
        <f>IF('Business Plan - Model Details'!J741=0,0,'Business Plan - Model Details'!J772/'Business Plan - Model Details'!J741)</f>
        <v>0</v>
      </c>
      <c r="J79" s="286">
        <f>IF('Business Plan - Model Details'!K741=0,0,'Business Plan - Model Details'!K772/'Business Plan - Model Details'!K741)</f>
        <v>0</v>
      </c>
      <c r="K79" s="286">
        <f>IF('Business Plan - Model Details'!L741=0,0,'Business Plan - Model Details'!L772/'Business Plan - Model Details'!L741)</f>
        <v>0</v>
      </c>
      <c r="L79" s="286">
        <f>IF('Business Plan - Model Details'!M741=0,0,'Business Plan - Model Details'!M772/'Business Plan - Model Details'!M741)</f>
        <v>0</v>
      </c>
      <c r="M79" s="286">
        <f>IF('Business Plan - Model Details'!N741=0,0,'Business Plan - Model Details'!N772/'Business Plan - Model Details'!N741)</f>
        <v>0</v>
      </c>
      <c r="N79" s="286">
        <f>IF('Business Plan - Model Details'!O741=0,0,'Business Plan - Model Details'!O772/'Business Plan - Model Details'!O741)</f>
        <v>0</v>
      </c>
      <c r="O79" s="286">
        <f>IF('Business Plan - Model Details'!P741=0,0,'Business Plan - Model Details'!P772/'Business Plan - Model Details'!P741)</f>
        <v>0</v>
      </c>
      <c r="P79" s="286">
        <f>IF('Business Plan - Model Details'!Q741=0,0,'Business Plan - Model Details'!Q772/'Business Plan - Model Details'!Q741)</f>
        <v>0</v>
      </c>
      <c r="Q79" s="287">
        <v>0</v>
      </c>
      <c r="R79" s="287">
        <v>0</v>
      </c>
      <c r="S79" s="287">
        <v>0</v>
      </c>
      <c r="T79" s="287">
        <v>0</v>
      </c>
      <c r="U79" s="287">
        <v>0</v>
      </c>
      <c r="V79" s="287">
        <v>0</v>
      </c>
      <c r="W79" s="287">
        <v>0</v>
      </c>
      <c r="X79" s="287">
        <v>0</v>
      </c>
      <c r="Y79" s="287">
        <v>0</v>
      </c>
      <c r="Z79" s="287">
        <v>0</v>
      </c>
      <c r="AA79" s="287">
        <v>0</v>
      </c>
      <c r="AB79" s="287">
        <v>0</v>
      </c>
      <c r="AC79" s="287">
        <v>0</v>
      </c>
      <c r="AD79" s="287">
        <v>0</v>
      </c>
      <c r="AE79" s="287">
        <v>0</v>
      </c>
      <c r="AF79" s="287">
        <v>0</v>
      </c>
    </row>
    <row r="80" spans="2:32" ht="15" customHeight="1" x14ac:dyDescent="0.35">
      <c r="B80" s="6" t="s">
        <v>5449</v>
      </c>
      <c r="C80" s="7" t="s">
        <v>321</v>
      </c>
      <c r="D80" s="2" t="s">
        <v>5492</v>
      </c>
      <c r="H80" s="268" t="s">
        <v>4266</v>
      </c>
      <c r="I80" s="286">
        <f>IF('Business Plan - Model Details'!J892=0,0,'Business Plan - Model Details'!J1159/'Business Plan - Model Details'!J892)</f>
        <v>0</v>
      </c>
      <c r="J80" s="286">
        <f>IF('Business Plan - Model Details'!K892=0,0,'Business Plan - Model Details'!K1159/'Business Plan - Model Details'!K892)</f>
        <v>0</v>
      </c>
      <c r="K80" s="286">
        <f>IF('Business Plan - Model Details'!L892=0,0,'Business Plan - Model Details'!L1159/'Business Plan - Model Details'!L892)</f>
        <v>0</v>
      </c>
      <c r="L80" s="286">
        <f>IF('Business Plan - Model Details'!M892=0,0,'Business Plan - Model Details'!M1159/'Business Plan - Model Details'!M892)</f>
        <v>0</v>
      </c>
      <c r="M80" s="286">
        <f>IF('Business Plan - Model Details'!N892=0,0,'Business Plan - Model Details'!N1159/'Business Plan - Model Details'!N892)</f>
        <v>0</v>
      </c>
      <c r="N80" s="286">
        <f>IF('Business Plan - Model Details'!O892=0,0,'Business Plan - Model Details'!O1159/'Business Plan - Model Details'!O892)</f>
        <v>0</v>
      </c>
      <c r="O80" s="286">
        <f>IF('Business Plan - Model Details'!P892=0,0,'Business Plan - Model Details'!P1159/'Business Plan - Model Details'!P892)</f>
        <v>0</v>
      </c>
      <c r="P80" s="286">
        <f>IF('Business Plan - Model Details'!Q892=0,0,'Business Plan - Model Details'!Q1159/'Business Plan - Model Details'!Q892)</f>
        <v>0</v>
      </c>
      <c r="Q80" s="287">
        <v>0</v>
      </c>
      <c r="R80" s="287">
        <v>0</v>
      </c>
      <c r="S80" s="287">
        <v>0</v>
      </c>
      <c r="T80" s="287">
        <v>0</v>
      </c>
      <c r="U80" s="287">
        <v>0</v>
      </c>
      <c r="V80" s="287">
        <v>0</v>
      </c>
      <c r="W80" s="287">
        <v>0</v>
      </c>
      <c r="X80" s="287">
        <v>0</v>
      </c>
      <c r="Y80" s="287">
        <v>0</v>
      </c>
      <c r="Z80" s="287">
        <v>0</v>
      </c>
      <c r="AA80" s="287">
        <v>0</v>
      </c>
      <c r="AB80" s="287">
        <v>0</v>
      </c>
      <c r="AC80" s="287">
        <v>0</v>
      </c>
      <c r="AD80" s="287">
        <v>0</v>
      </c>
      <c r="AE80" s="287">
        <v>0</v>
      </c>
      <c r="AF80" s="287">
        <v>0</v>
      </c>
    </row>
    <row r="81" spans="2:32" ht="15" customHeight="1" x14ac:dyDescent="0.35">
      <c r="B81" s="6" t="s">
        <v>20</v>
      </c>
      <c r="C81" s="7" t="s">
        <v>4038</v>
      </c>
      <c r="D81" s="2" t="s">
        <v>5451</v>
      </c>
      <c r="H81" s="268" t="s">
        <v>4266</v>
      </c>
      <c r="I81" s="286">
        <f>IF('Business Plan - Model Details'!J421=0,0,'Business Plan - Model Details'!J457/'Business Plan - Model Details'!J421)</f>
        <v>4.6919758487707323E-4</v>
      </c>
      <c r="J81" s="286">
        <f>IF('Business Plan - Model Details'!K421=0,0,'Business Plan - Model Details'!K457/'Business Plan - Model Details'!K421)</f>
        <v>5.2403954167602794E-4</v>
      </c>
      <c r="K81" s="286">
        <f>IF('Business Plan - Model Details'!L421=0,0,'Business Plan - Model Details'!L457/'Business Plan - Model Details'!L421)</f>
        <v>6.5117433866869587E-4</v>
      </c>
      <c r="L81" s="286">
        <f>IF('Business Plan - Model Details'!M421=0,0,'Business Plan - Model Details'!M457/'Business Plan - Model Details'!M421)</f>
        <v>2.7803919592926597E-3</v>
      </c>
      <c r="M81" s="286">
        <f>IF('Business Plan - Model Details'!N421=0,0,'Business Plan - Model Details'!N457/'Business Plan - Model Details'!N421)</f>
        <v>2.7450262264229626E-3</v>
      </c>
      <c r="N81" s="286">
        <f>IF('Business Plan - Model Details'!O421=0,0,'Business Plan - Model Details'!O457/'Business Plan - Model Details'!O421)</f>
        <v>5.2543530348737454E-4</v>
      </c>
      <c r="O81" s="286">
        <f>IF('Business Plan - Model Details'!P421=0,0,'Business Plan - Model Details'!P457/'Business Plan - Model Details'!P421)</f>
        <v>5.44041494863343E-4</v>
      </c>
      <c r="P81" s="286">
        <f>IF('Business Plan - Model Details'!Q421=0,0,'Business Plan - Model Details'!Q457/'Business Plan - Model Details'!Q421)</f>
        <v>4.8088842596328055E-4</v>
      </c>
      <c r="Q81" s="287">
        <v>1.0189374474703671E-3</v>
      </c>
      <c r="R81" s="287">
        <v>1.0189374474703671E-3</v>
      </c>
      <c r="S81" s="287">
        <v>1.0189374474703671E-3</v>
      </c>
      <c r="T81" s="287">
        <v>1.0189374474703671E-3</v>
      </c>
      <c r="U81" s="287">
        <v>1.0189374474703671E-3</v>
      </c>
      <c r="V81" s="287">
        <v>1.0189374474703671E-3</v>
      </c>
      <c r="W81" s="287">
        <v>1.0189374474703671E-3</v>
      </c>
      <c r="X81" s="287">
        <v>1.0189374474703671E-3</v>
      </c>
      <c r="Y81" s="287">
        <v>1.0189374474703671E-3</v>
      </c>
      <c r="Z81" s="287">
        <v>1.0189374474703671E-3</v>
      </c>
      <c r="AA81" s="287">
        <v>1.0189374474703671E-3</v>
      </c>
      <c r="AB81" s="287">
        <v>1.0189374474703671E-3</v>
      </c>
      <c r="AC81" s="287">
        <v>1.0189374474703671E-3</v>
      </c>
      <c r="AD81" s="287">
        <v>1.0189374474703671E-3</v>
      </c>
      <c r="AE81" s="287">
        <v>1.0189374474703671E-3</v>
      </c>
      <c r="AF81" s="287">
        <v>1.0189374474703671E-3</v>
      </c>
    </row>
    <row r="82" spans="2:32" ht="15" customHeight="1" x14ac:dyDescent="0.35">
      <c r="B82" s="6" t="s">
        <v>5447</v>
      </c>
      <c r="C82" s="7" t="s">
        <v>21</v>
      </c>
      <c r="D82" s="2" t="s">
        <v>5451</v>
      </c>
      <c r="H82" s="268" t="s">
        <v>4266</v>
      </c>
      <c r="I82" s="286">
        <f>IF('Business Plan - Model Details'!J582=0,0,'Business Plan - Model Details'!J613/'Business Plan - Model Details'!J582)</f>
        <v>0</v>
      </c>
      <c r="J82" s="286">
        <f>IF('Business Plan - Model Details'!K582=0,0,'Business Plan - Model Details'!K613/'Business Plan - Model Details'!K582)</f>
        <v>5.0367684093885357E-3</v>
      </c>
      <c r="K82" s="286">
        <f>IF('Business Plan - Model Details'!L582=0,0,'Business Plan - Model Details'!L613/'Business Plan - Model Details'!L582)</f>
        <v>0</v>
      </c>
      <c r="L82" s="286">
        <f>IF('Business Plan - Model Details'!M582=0,0,'Business Plan - Model Details'!M613/'Business Plan - Model Details'!M582)</f>
        <v>1.6760946993505132E-3</v>
      </c>
      <c r="M82" s="286">
        <f>IF('Business Plan - Model Details'!N582=0,0,'Business Plan - Model Details'!N613/'Business Plan - Model Details'!N582)</f>
        <v>0</v>
      </c>
      <c r="N82" s="286">
        <f>IF('Business Plan - Model Details'!O582=0,0,'Business Plan - Model Details'!O613/'Business Plan - Model Details'!O582)</f>
        <v>0</v>
      </c>
      <c r="O82" s="286">
        <f>IF('Business Plan - Model Details'!P582=0,0,'Business Plan - Model Details'!P613/'Business Plan - Model Details'!P582)</f>
        <v>1.5261691074892735E-3</v>
      </c>
      <c r="P82" s="286">
        <f>IF('Business Plan - Model Details'!Q582=0,0,'Business Plan - Model Details'!Q613/'Business Plan - Model Details'!Q582)</f>
        <v>0</v>
      </c>
      <c r="Q82" s="287">
        <v>9.2582939494835579E-4</v>
      </c>
      <c r="R82" s="287">
        <v>9.2582939494835579E-4</v>
      </c>
      <c r="S82" s="287">
        <v>9.2582939494835579E-4</v>
      </c>
      <c r="T82" s="287">
        <v>9.2582939494835579E-4</v>
      </c>
      <c r="U82" s="287">
        <v>9.2582939494835579E-4</v>
      </c>
      <c r="V82" s="287">
        <v>9.2582939494835579E-4</v>
      </c>
      <c r="W82" s="287">
        <v>9.2582939494835579E-4</v>
      </c>
      <c r="X82" s="287">
        <v>9.2582939494835579E-4</v>
      </c>
      <c r="Y82" s="287">
        <v>9.2582939494835579E-4</v>
      </c>
      <c r="Z82" s="287">
        <v>9.2582939494835579E-4</v>
      </c>
      <c r="AA82" s="287">
        <v>9.2582939494835579E-4</v>
      </c>
      <c r="AB82" s="287">
        <v>9.2582939494835579E-4</v>
      </c>
      <c r="AC82" s="287">
        <v>9.2582939494835579E-4</v>
      </c>
      <c r="AD82" s="287">
        <v>9.2582939494835579E-4</v>
      </c>
      <c r="AE82" s="287">
        <v>9.2582939494835579E-4</v>
      </c>
      <c r="AF82" s="287">
        <v>9.2582939494835579E-4</v>
      </c>
    </row>
    <row r="83" spans="2:32" ht="15" customHeight="1" x14ac:dyDescent="0.35">
      <c r="B83" s="6" t="s">
        <v>5448</v>
      </c>
      <c r="C83" s="7" t="s">
        <v>22</v>
      </c>
      <c r="D83" s="2" t="s">
        <v>5451</v>
      </c>
      <c r="H83" s="268" t="s">
        <v>4266</v>
      </c>
      <c r="I83" s="286">
        <f>IF('Business Plan - Model Details'!J741=0,0,'Business Plan - Model Details'!J777/'Business Plan - Model Details'!J741)</f>
        <v>0</v>
      </c>
      <c r="J83" s="286">
        <f>IF('Business Plan - Model Details'!K741=0,0,'Business Plan - Model Details'!K777/'Business Plan - Model Details'!K741)</f>
        <v>0</v>
      </c>
      <c r="K83" s="286">
        <f>IF('Business Plan - Model Details'!L741=0,0,'Business Plan - Model Details'!L777/'Business Plan - Model Details'!L741)</f>
        <v>0</v>
      </c>
      <c r="L83" s="286">
        <f>IF('Business Plan - Model Details'!M741=0,0,'Business Plan - Model Details'!M777/'Business Plan - Model Details'!M741)</f>
        <v>0</v>
      </c>
      <c r="M83" s="286">
        <f>IF('Business Plan - Model Details'!N741=0,0,'Business Plan - Model Details'!N777/'Business Plan - Model Details'!N741)</f>
        <v>0</v>
      </c>
      <c r="N83" s="286">
        <f>IF('Business Plan - Model Details'!O741=0,0,'Business Plan - Model Details'!O777/'Business Plan - Model Details'!O741)</f>
        <v>0</v>
      </c>
      <c r="O83" s="286">
        <f>IF('Business Plan - Model Details'!P741=0,0,'Business Plan - Model Details'!P777/'Business Plan - Model Details'!P741)</f>
        <v>5.7652338398306107E-4</v>
      </c>
      <c r="P83" s="286">
        <f>IF('Business Plan - Model Details'!Q741=0,0,'Business Plan - Model Details'!Q777/'Business Plan - Model Details'!Q741)</f>
        <v>0</v>
      </c>
      <c r="Q83" s="287">
        <v>1.0733871438764136E-4</v>
      </c>
      <c r="R83" s="287">
        <v>1.0733871438764136E-4</v>
      </c>
      <c r="S83" s="287">
        <v>1.0733871438764136E-4</v>
      </c>
      <c r="T83" s="287">
        <v>1.0733871438764136E-4</v>
      </c>
      <c r="U83" s="287">
        <v>1.0733871438764136E-4</v>
      </c>
      <c r="V83" s="287">
        <v>1.0733871438764136E-4</v>
      </c>
      <c r="W83" s="287">
        <v>1.0733871438764136E-4</v>
      </c>
      <c r="X83" s="287">
        <v>1.0733871438764136E-4</v>
      </c>
      <c r="Y83" s="287">
        <v>1.0733871438764136E-4</v>
      </c>
      <c r="Z83" s="287">
        <v>1.0733871438764136E-4</v>
      </c>
      <c r="AA83" s="287">
        <v>1.0733871438764136E-4</v>
      </c>
      <c r="AB83" s="287">
        <v>1.0733871438764136E-4</v>
      </c>
      <c r="AC83" s="287">
        <v>1.0733871438764136E-4</v>
      </c>
      <c r="AD83" s="287">
        <v>1.0733871438764136E-4</v>
      </c>
      <c r="AE83" s="287">
        <v>1.0733871438764136E-4</v>
      </c>
      <c r="AF83" s="287">
        <v>1.0733871438764136E-4</v>
      </c>
    </row>
    <row r="84" spans="2:32" ht="15" customHeight="1" x14ac:dyDescent="0.35">
      <c r="B84" s="6" t="s">
        <v>5449</v>
      </c>
      <c r="C84" s="7" t="s">
        <v>321</v>
      </c>
      <c r="D84" s="2" t="s">
        <v>5451</v>
      </c>
      <c r="H84" s="268" t="s">
        <v>4266</v>
      </c>
      <c r="I84" s="286">
        <f>IF('Business Plan - Model Details'!J892=0,0,'Business Plan - Model Details'!J1164/'Business Plan - Model Details'!J892)</f>
        <v>0</v>
      </c>
      <c r="J84" s="286">
        <f>IF('Business Plan - Model Details'!K892=0,0,'Business Plan - Model Details'!K1164/'Business Plan - Model Details'!K892)</f>
        <v>0</v>
      </c>
      <c r="K84" s="286">
        <f>IF('Business Plan - Model Details'!L892=0,0,'Business Plan - Model Details'!L1164/'Business Plan - Model Details'!L892)</f>
        <v>0</v>
      </c>
      <c r="L84" s="286">
        <f>IF('Business Plan - Model Details'!M892=0,0,'Business Plan - Model Details'!M1164/'Business Plan - Model Details'!M892)</f>
        <v>0</v>
      </c>
      <c r="M84" s="286">
        <f>IF('Business Plan - Model Details'!N892=0,0,'Business Plan - Model Details'!N1164/'Business Plan - Model Details'!N892)</f>
        <v>0</v>
      </c>
      <c r="N84" s="286">
        <f>IF('Business Plan - Model Details'!O892=0,0,'Business Plan - Model Details'!O1164/'Business Plan - Model Details'!O892)</f>
        <v>0</v>
      </c>
      <c r="O84" s="286">
        <f>IF('Business Plan - Model Details'!P892=0,0,'Business Plan - Model Details'!P1164/'Business Plan - Model Details'!P892)</f>
        <v>0</v>
      </c>
      <c r="P84" s="286">
        <f>IF('Business Plan - Model Details'!Q892=0,0,'Business Plan - Model Details'!Q1164/'Business Plan - Model Details'!Q892)</f>
        <v>0</v>
      </c>
      <c r="Q84" s="287">
        <v>0</v>
      </c>
      <c r="R84" s="287">
        <v>0</v>
      </c>
      <c r="S84" s="287">
        <v>0</v>
      </c>
      <c r="T84" s="287">
        <v>0</v>
      </c>
      <c r="U84" s="287">
        <v>0</v>
      </c>
      <c r="V84" s="287">
        <v>0</v>
      </c>
      <c r="W84" s="287">
        <v>0</v>
      </c>
      <c r="X84" s="287">
        <v>0</v>
      </c>
      <c r="Y84" s="287">
        <v>0</v>
      </c>
      <c r="Z84" s="287">
        <v>0</v>
      </c>
      <c r="AA84" s="287">
        <v>0</v>
      </c>
      <c r="AB84" s="287">
        <v>0</v>
      </c>
      <c r="AC84" s="287">
        <v>0</v>
      </c>
      <c r="AD84" s="287">
        <v>0</v>
      </c>
      <c r="AE84" s="287">
        <v>0</v>
      </c>
      <c r="AF84" s="287">
        <v>0</v>
      </c>
    </row>
    <row r="85" spans="2:32" ht="15" customHeight="1" x14ac:dyDescent="0.35">
      <c r="B85" s="6" t="s">
        <v>20</v>
      </c>
      <c r="C85" s="7" t="s">
        <v>4038</v>
      </c>
      <c r="D85" s="2" t="s">
        <v>5452</v>
      </c>
      <c r="H85" s="268" t="s">
        <v>4266</v>
      </c>
      <c r="I85" s="286">
        <f>IF('Business Plan - Model Details'!J421=0,0,'Business Plan - Model Details'!J462/'Business Plan - Model Details'!J421)</f>
        <v>9.0821311909523531E-3</v>
      </c>
      <c r="J85" s="286">
        <f>IF('Business Plan - Model Details'!K421=0,0,'Business Plan - Model Details'!K462/'Business Plan - Model Details'!K421)</f>
        <v>8.2511026499071782E-3</v>
      </c>
      <c r="K85" s="286">
        <f>IF('Business Plan - Model Details'!L421=0,0,'Business Plan - Model Details'!L462/'Business Plan - Model Details'!L421)</f>
        <v>8.0022377568261319E-3</v>
      </c>
      <c r="L85" s="286">
        <f>IF('Business Plan - Model Details'!M421=0,0,'Business Plan - Model Details'!M462/'Business Plan - Model Details'!M421)</f>
        <v>4.2831376895561442E-3</v>
      </c>
      <c r="M85" s="286">
        <f>IF('Business Plan - Model Details'!N421=0,0,'Business Plan - Model Details'!N462/'Business Plan - Model Details'!N421)</f>
        <v>3.8401357645732074E-3</v>
      </c>
      <c r="N85" s="286">
        <f>IF('Business Plan - Model Details'!O421=0,0,'Business Plan - Model Details'!O462/'Business Plan - Model Details'!O421)</f>
        <v>7.4898996495081343E-3</v>
      </c>
      <c r="O85" s="286">
        <f>IF('Business Plan - Model Details'!P421=0,0,'Business Plan - Model Details'!P462/'Business Plan - Model Details'!P421)</f>
        <v>6.0716528344783088E-3</v>
      </c>
      <c r="P85" s="286">
        <f>IF('Business Plan - Model Details'!Q421=0,0,'Business Plan - Model Details'!Q462/'Business Plan - Model Details'!Q421)</f>
        <v>7.5913181888198587E-3</v>
      </c>
      <c r="Q85" s="287">
        <v>6.9676179959947612E-3</v>
      </c>
      <c r="R85" s="287">
        <v>6.9676179959947612E-3</v>
      </c>
      <c r="S85" s="287">
        <v>6.9676179959947612E-3</v>
      </c>
      <c r="T85" s="287">
        <v>6.9676179959947612E-3</v>
      </c>
      <c r="U85" s="287">
        <v>6.9676179959947612E-3</v>
      </c>
      <c r="V85" s="287">
        <v>6.9676179959947612E-3</v>
      </c>
      <c r="W85" s="287">
        <v>6.9676179959947612E-3</v>
      </c>
      <c r="X85" s="287">
        <v>6.9676179959947612E-3</v>
      </c>
      <c r="Y85" s="287">
        <v>6.9676179959947612E-3</v>
      </c>
      <c r="Z85" s="287">
        <v>6.9676179959947612E-3</v>
      </c>
      <c r="AA85" s="287">
        <v>6.9676179959947612E-3</v>
      </c>
      <c r="AB85" s="287">
        <v>6.9676179959947612E-3</v>
      </c>
      <c r="AC85" s="287">
        <v>6.9676179959947612E-3</v>
      </c>
      <c r="AD85" s="287">
        <v>6.9676179959947612E-3</v>
      </c>
      <c r="AE85" s="287">
        <v>6.9676179959947612E-3</v>
      </c>
      <c r="AF85" s="287">
        <v>6.9676179959947612E-3</v>
      </c>
    </row>
    <row r="86" spans="2:32" ht="15" customHeight="1" x14ac:dyDescent="0.35">
      <c r="B86" s="6" t="s">
        <v>5447</v>
      </c>
      <c r="C86" s="7" t="s">
        <v>21</v>
      </c>
      <c r="D86" s="2" t="s">
        <v>5452</v>
      </c>
      <c r="H86" s="268" t="s">
        <v>4266</v>
      </c>
      <c r="I86" s="286">
        <f>IF('Business Plan - Model Details'!J582=0,0,'Business Plan - Model Details'!J618/'Business Plan - Model Details'!J582)</f>
        <v>0</v>
      </c>
      <c r="J86" s="286">
        <f>IF('Business Plan - Model Details'!K582=0,0,'Business Plan - Model Details'!K618/'Business Plan - Model Details'!K582)</f>
        <v>0</v>
      </c>
      <c r="K86" s="286">
        <f>IF('Business Plan - Model Details'!L582=0,0,'Business Plan - Model Details'!L618/'Business Plan - Model Details'!L582)</f>
        <v>0</v>
      </c>
      <c r="L86" s="286">
        <f>IF('Business Plan - Model Details'!M582=0,0,'Business Plan - Model Details'!M618/'Business Plan - Model Details'!M582)</f>
        <v>0</v>
      </c>
      <c r="M86" s="286">
        <f>IF('Business Plan - Model Details'!N582=0,0,'Business Plan - Model Details'!N618/'Business Plan - Model Details'!N582)</f>
        <v>0</v>
      </c>
      <c r="N86" s="286">
        <f>IF('Business Plan - Model Details'!O582=0,0,'Business Plan - Model Details'!O618/'Business Plan - Model Details'!O582)</f>
        <v>0</v>
      </c>
      <c r="O86" s="286">
        <f>IF('Business Plan - Model Details'!P582=0,0,'Business Plan - Model Details'!P618/'Business Plan - Model Details'!P582)</f>
        <v>0</v>
      </c>
      <c r="P86" s="286">
        <f>IF('Business Plan - Model Details'!Q582=0,0,'Business Plan - Model Details'!Q618/'Business Plan - Model Details'!Q582)</f>
        <v>0</v>
      </c>
      <c r="Q86" s="287">
        <v>0</v>
      </c>
      <c r="R86" s="287">
        <v>0</v>
      </c>
      <c r="S86" s="287">
        <v>0</v>
      </c>
      <c r="T86" s="287">
        <v>0</v>
      </c>
      <c r="U86" s="287">
        <v>0</v>
      </c>
      <c r="V86" s="287">
        <v>0</v>
      </c>
      <c r="W86" s="287">
        <v>0</v>
      </c>
      <c r="X86" s="287">
        <v>0</v>
      </c>
      <c r="Y86" s="287">
        <v>0</v>
      </c>
      <c r="Z86" s="287">
        <v>0</v>
      </c>
      <c r="AA86" s="287">
        <v>0</v>
      </c>
      <c r="AB86" s="287">
        <v>0</v>
      </c>
      <c r="AC86" s="287">
        <v>0</v>
      </c>
      <c r="AD86" s="287">
        <v>0</v>
      </c>
      <c r="AE86" s="287">
        <v>0</v>
      </c>
      <c r="AF86" s="287">
        <v>0</v>
      </c>
    </row>
    <row r="87" spans="2:32" ht="15" customHeight="1" x14ac:dyDescent="0.35">
      <c r="B87" s="6" t="s">
        <v>5448</v>
      </c>
      <c r="C87" s="7" t="s">
        <v>22</v>
      </c>
      <c r="D87" s="2" t="s">
        <v>5452</v>
      </c>
      <c r="H87" s="268" t="s">
        <v>4266</v>
      </c>
      <c r="I87" s="286">
        <f>IF('Business Plan - Model Details'!J741=0,0,'Business Plan - Model Details'!J782/'Business Plan - Model Details'!J741)</f>
        <v>0</v>
      </c>
      <c r="J87" s="286">
        <f>IF('Business Plan - Model Details'!K741=0,0,'Business Plan - Model Details'!K782/'Business Plan - Model Details'!K741)</f>
        <v>0</v>
      </c>
      <c r="K87" s="286">
        <f>IF('Business Plan - Model Details'!L741=0,0,'Business Plan - Model Details'!L782/'Business Plan - Model Details'!L741)</f>
        <v>0</v>
      </c>
      <c r="L87" s="286">
        <f>IF('Business Plan - Model Details'!M741=0,0,'Business Plan - Model Details'!M782/'Business Plan - Model Details'!M741)</f>
        <v>0</v>
      </c>
      <c r="M87" s="286">
        <f>IF('Business Plan - Model Details'!N741=0,0,'Business Plan - Model Details'!N782/'Business Plan - Model Details'!N741)</f>
        <v>0</v>
      </c>
      <c r="N87" s="286">
        <f>IF('Business Plan - Model Details'!O741=0,0,'Business Plan - Model Details'!O782/'Business Plan - Model Details'!O741)</f>
        <v>0</v>
      </c>
      <c r="O87" s="286">
        <f>IF('Business Plan - Model Details'!P741=0,0,'Business Plan - Model Details'!P782/'Business Plan - Model Details'!P741)</f>
        <v>0</v>
      </c>
      <c r="P87" s="286">
        <f>IF('Business Plan - Model Details'!Q741=0,0,'Business Plan - Model Details'!Q782/'Business Plan - Model Details'!Q741)</f>
        <v>0</v>
      </c>
      <c r="Q87" s="287">
        <v>0</v>
      </c>
      <c r="R87" s="287">
        <v>0</v>
      </c>
      <c r="S87" s="287">
        <v>0</v>
      </c>
      <c r="T87" s="287">
        <v>0</v>
      </c>
      <c r="U87" s="287">
        <v>0</v>
      </c>
      <c r="V87" s="287">
        <v>0</v>
      </c>
      <c r="W87" s="287">
        <v>0</v>
      </c>
      <c r="X87" s="287">
        <v>0</v>
      </c>
      <c r="Y87" s="287">
        <v>0</v>
      </c>
      <c r="Z87" s="287">
        <v>0</v>
      </c>
      <c r="AA87" s="287">
        <v>0</v>
      </c>
      <c r="AB87" s="287">
        <v>0</v>
      </c>
      <c r="AC87" s="287">
        <v>0</v>
      </c>
      <c r="AD87" s="287">
        <v>0</v>
      </c>
      <c r="AE87" s="287">
        <v>0</v>
      </c>
      <c r="AF87" s="287">
        <v>0</v>
      </c>
    </row>
    <row r="88" spans="2:32" ht="15" customHeight="1" x14ac:dyDescent="0.35">
      <c r="B88" s="6" t="s">
        <v>5449</v>
      </c>
      <c r="C88" s="7" t="s">
        <v>321</v>
      </c>
      <c r="D88" s="2" t="s">
        <v>5452</v>
      </c>
      <c r="H88" s="268" t="s">
        <v>4266</v>
      </c>
      <c r="I88" s="286">
        <f>IF('Business Plan - Model Details'!J892=0,0,'Business Plan - Model Details'!J1169/'Business Plan - Model Details'!J892)</f>
        <v>0</v>
      </c>
      <c r="J88" s="286">
        <f>IF('Business Plan - Model Details'!K892=0,0,'Business Plan - Model Details'!K1169/'Business Plan - Model Details'!K892)</f>
        <v>0</v>
      </c>
      <c r="K88" s="286">
        <f>IF('Business Plan - Model Details'!L892=0,0,'Business Plan - Model Details'!L1169/'Business Plan - Model Details'!L892)</f>
        <v>0</v>
      </c>
      <c r="L88" s="286">
        <f>IF('Business Plan - Model Details'!M892=0,0,'Business Plan - Model Details'!M1169/'Business Plan - Model Details'!M892)</f>
        <v>0</v>
      </c>
      <c r="M88" s="286">
        <f>IF('Business Plan - Model Details'!N892=0,0,'Business Plan - Model Details'!N1169/'Business Plan - Model Details'!N892)</f>
        <v>0</v>
      </c>
      <c r="N88" s="286">
        <f>IF('Business Plan - Model Details'!O892=0,0,'Business Plan - Model Details'!O1169/'Business Plan - Model Details'!O892)</f>
        <v>0</v>
      </c>
      <c r="O88" s="286">
        <f>IF('Business Plan - Model Details'!P892=0,0,'Business Plan - Model Details'!P1169/'Business Plan - Model Details'!P892)</f>
        <v>0</v>
      </c>
      <c r="P88" s="286">
        <f>IF('Business Plan - Model Details'!Q892=0,0,'Business Plan - Model Details'!Q1169/'Business Plan - Model Details'!Q892)</f>
        <v>0</v>
      </c>
      <c r="Q88" s="287">
        <v>0</v>
      </c>
      <c r="R88" s="287">
        <v>0</v>
      </c>
      <c r="S88" s="287">
        <v>0</v>
      </c>
      <c r="T88" s="287">
        <v>0</v>
      </c>
      <c r="U88" s="287">
        <v>0</v>
      </c>
      <c r="V88" s="287">
        <v>0</v>
      </c>
      <c r="W88" s="287">
        <v>0</v>
      </c>
      <c r="X88" s="287">
        <v>0</v>
      </c>
      <c r="Y88" s="287">
        <v>0</v>
      </c>
      <c r="Z88" s="287">
        <v>0</v>
      </c>
      <c r="AA88" s="287">
        <v>0</v>
      </c>
      <c r="AB88" s="287">
        <v>0</v>
      </c>
      <c r="AC88" s="287">
        <v>0</v>
      </c>
      <c r="AD88" s="287">
        <v>0</v>
      </c>
      <c r="AE88" s="287">
        <v>0</v>
      </c>
      <c r="AF88" s="287">
        <v>0</v>
      </c>
    </row>
    <row r="89" spans="2:32" ht="15" customHeight="1" x14ac:dyDescent="0.35">
      <c r="B89" s="6" t="s">
        <v>20</v>
      </c>
      <c r="C89" s="7" t="s">
        <v>4038</v>
      </c>
      <c r="D89" s="2" t="s">
        <v>5453</v>
      </c>
      <c r="H89" s="268" t="s">
        <v>4266</v>
      </c>
      <c r="I89" s="286">
        <f>IF('Business Plan - Model Details'!J421=0,0,'Business Plan - Model Details'!J467/'Business Plan - Model Details'!J421)</f>
        <v>6.2411405273712422E-3</v>
      </c>
      <c r="J89" s="286">
        <f>IF('Business Plan - Model Details'!K421=0,0,'Business Plan - Model Details'!K467/'Business Plan - Model Details'!K421)</f>
        <v>5.9654246828033915E-3</v>
      </c>
      <c r="K89" s="286">
        <f>IF('Business Plan - Model Details'!L421=0,0,'Business Plan - Model Details'!L467/'Business Plan - Model Details'!L421)</f>
        <v>7.2972959900945399E-3</v>
      </c>
      <c r="L89" s="286">
        <f>IF('Business Plan - Model Details'!M421=0,0,'Business Plan - Model Details'!M467/'Business Plan - Model Details'!M421)</f>
        <v>1.007143936722253E-2</v>
      </c>
      <c r="M89" s="286">
        <f>IF('Business Plan - Model Details'!N421=0,0,'Business Plan - Model Details'!N467/'Business Plan - Model Details'!N421)</f>
        <v>1.0365973278602031E-2</v>
      </c>
      <c r="N89" s="286">
        <f>IF('Business Plan - Model Details'!O421=0,0,'Business Plan - Model Details'!O467/'Business Plan - Model Details'!O421)</f>
        <v>7.8897856302252174E-3</v>
      </c>
      <c r="O89" s="286">
        <f>IF('Business Plan - Model Details'!P421=0,0,'Business Plan - Model Details'!P467/'Business Plan - Model Details'!P421)</f>
        <v>9.7162373498014942E-3</v>
      </c>
      <c r="P89" s="286">
        <f>IF('Business Plan - Model Details'!Q421=0,0,'Business Plan - Model Details'!Q467/'Business Plan - Model Details'!Q421)</f>
        <v>7.7365529483389688E-3</v>
      </c>
      <c r="Q89" s="287">
        <v>8.0296586227777671E-3</v>
      </c>
      <c r="R89" s="287">
        <v>8.0296586227777671E-3</v>
      </c>
      <c r="S89" s="287">
        <v>8.0296586227777671E-3</v>
      </c>
      <c r="T89" s="287">
        <v>8.0296586227777671E-3</v>
      </c>
      <c r="U89" s="287">
        <v>8.0296586227777671E-3</v>
      </c>
      <c r="V89" s="287">
        <v>8.0296586227777671E-3</v>
      </c>
      <c r="W89" s="287">
        <v>8.0296586227777671E-3</v>
      </c>
      <c r="X89" s="287">
        <v>8.0296586227777671E-3</v>
      </c>
      <c r="Y89" s="287">
        <v>8.0296586227777671E-3</v>
      </c>
      <c r="Z89" s="287">
        <v>8.0296586227777671E-3</v>
      </c>
      <c r="AA89" s="287">
        <v>8.0296586227777671E-3</v>
      </c>
      <c r="AB89" s="287">
        <v>8.0296586227777671E-3</v>
      </c>
      <c r="AC89" s="287">
        <v>8.0296586227777671E-3</v>
      </c>
      <c r="AD89" s="287">
        <v>8.0296586227777671E-3</v>
      </c>
      <c r="AE89" s="287">
        <v>8.0296586227777671E-3</v>
      </c>
      <c r="AF89" s="287">
        <v>8.0296586227777671E-3</v>
      </c>
    </row>
    <row r="90" spans="2:32" ht="15" customHeight="1" x14ac:dyDescent="0.35">
      <c r="B90" s="6" t="s">
        <v>5447</v>
      </c>
      <c r="C90" s="7" t="s">
        <v>21</v>
      </c>
      <c r="D90" s="2" t="s">
        <v>5453</v>
      </c>
      <c r="H90" s="268" t="s">
        <v>4266</v>
      </c>
      <c r="I90" s="286">
        <f>IF('Business Plan - Model Details'!J582=0,0,'Business Plan - Model Details'!J623/'Business Plan - Model Details'!J582)</f>
        <v>0</v>
      </c>
      <c r="J90" s="286">
        <f>IF('Business Plan - Model Details'!K582=0,0,'Business Plan - Model Details'!K623/'Business Plan - Model Details'!K582)</f>
        <v>2.0147073637554143E-2</v>
      </c>
      <c r="K90" s="286">
        <f>IF('Business Plan - Model Details'!L582=0,0,'Business Plan - Model Details'!L623/'Business Plan - Model Details'!L582)</f>
        <v>1.7871017871017872E-2</v>
      </c>
      <c r="L90" s="286">
        <f>IF('Business Plan - Model Details'!M582=0,0,'Business Plan - Model Details'!M623/'Business Plan - Model Details'!M582)</f>
        <v>1.7337523570081708E-2</v>
      </c>
      <c r="M90" s="286">
        <f>IF('Business Plan - Model Details'!N582=0,0,'Business Plan - Model Details'!N623/'Business Plan - Model Details'!N582)</f>
        <v>2.0212595266746892E-2</v>
      </c>
      <c r="N90" s="286">
        <f>IF('Business Plan - Model Details'!O582=0,0,'Business Plan - Model Details'!O623/'Business Plan - Model Details'!O582)</f>
        <v>2.0330209425855127E-2</v>
      </c>
      <c r="O90" s="286">
        <f>IF('Business Plan - Model Details'!P582=0,0,'Business Plan - Model Details'!P623/'Business Plan - Model Details'!P582)</f>
        <v>2.3161153471306543E-2</v>
      </c>
      <c r="P90" s="286">
        <f>IF('Business Plan - Model Details'!Q582=0,0,'Business Plan - Model Details'!Q623/'Business Plan - Model Details'!Q582)</f>
        <v>2.0160735645933014E-2</v>
      </c>
      <c r="Q90" s="287">
        <v>2.0339075921734853E-2</v>
      </c>
      <c r="R90" s="287">
        <v>2.0339075921734853E-2</v>
      </c>
      <c r="S90" s="287">
        <v>2.0339075921734853E-2</v>
      </c>
      <c r="T90" s="287">
        <v>2.0339075921734853E-2</v>
      </c>
      <c r="U90" s="287">
        <v>2.0339075921734853E-2</v>
      </c>
      <c r="V90" s="287">
        <v>2.0339075921734853E-2</v>
      </c>
      <c r="W90" s="287">
        <v>2.0339075921734853E-2</v>
      </c>
      <c r="X90" s="287">
        <v>2.0339075921734853E-2</v>
      </c>
      <c r="Y90" s="287">
        <v>2.0339075921734853E-2</v>
      </c>
      <c r="Z90" s="287">
        <v>2.0339075921734853E-2</v>
      </c>
      <c r="AA90" s="287">
        <v>2.0339075921734853E-2</v>
      </c>
      <c r="AB90" s="287">
        <v>2.0339075921734853E-2</v>
      </c>
      <c r="AC90" s="287">
        <v>2.0339075921734853E-2</v>
      </c>
      <c r="AD90" s="287">
        <v>2.0339075921734853E-2</v>
      </c>
      <c r="AE90" s="287">
        <v>2.0339075921734853E-2</v>
      </c>
      <c r="AF90" s="287">
        <v>2.0339075921734853E-2</v>
      </c>
    </row>
    <row r="91" spans="2:32" ht="15" customHeight="1" x14ac:dyDescent="0.35">
      <c r="B91" s="6" t="s">
        <v>5448</v>
      </c>
      <c r="C91" s="7" t="s">
        <v>22</v>
      </c>
      <c r="D91" s="2" t="s">
        <v>5453</v>
      </c>
      <c r="H91" s="268" t="s">
        <v>4266</v>
      </c>
      <c r="I91" s="286">
        <f>IF('Business Plan - Model Details'!J741=0,0,'Business Plan - Model Details'!J787/'Business Plan - Model Details'!J741)</f>
        <v>0</v>
      </c>
      <c r="J91" s="286">
        <f>IF('Business Plan - Model Details'!K741=0,0,'Business Plan - Model Details'!K787/'Business Plan - Model Details'!K741)</f>
        <v>1.9616427522313865E-2</v>
      </c>
      <c r="K91" s="286">
        <f>IF('Business Plan - Model Details'!L741=0,0,'Business Plan - Model Details'!L787/'Business Plan - Model Details'!L741)</f>
        <v>0</v>
      </c>
      <c r="L91" s="286">
        <f>IF('Business Plan - Model Details'!M741=0,0,'Business Plan - Model Details'!M787/'Business Plan - Model Details'!M741)</f>
        <v>1.9533927347498287E-2</v>
      </c>
      <c r="M91" s="286">
        <f>IF('Business Plan - Model Details'!N741=0,0,'Business Plan - Model Details'!N787/'Business Plan - Model Details'!N741)</f>
        <v>2.0202436738519212E-2</v>
      </c>
      <c r="N91" s="286">
        <f>IF('Business Plan - Model Details'!O741=0,0,'Business Plan - Model Details'!O787/'Business Plan - Model Details'!O741)</f>
        <v>2.0541344859349536E-2</v>
      </c>
      <c r="O91" s="286">
        <f>IF('Business Plan - Model Details'!P741=0,0,'Business Plan - Model Details'!P787/'Business Plan - Model Details'!P741)</f>
        <v>2.275096525096525E-2</v>
      </c>
      <c r="P91" s="286">
        <f>IF('Business Plan - Model Details'!Q741=0,0,'Business Plan - Model Details'!Q787/'Business Plan - Model Details'!Q741)</f>
        <v>2.0194515736863435E-2</v>
      </c>
      <c r="Q91" s="287">
        <v>2.0648809176150276E-2</v>
      </c>
      <c r="R91" s="287">
        <v>2.0648809176150276E-2</v>
      </c>
      <c r="S91" s="287">
        <v>2.0648809176150276E-2</v>
      </c>
      <c r="T91" s="287">
        <v>2.0648809176150276E-2</v>
      </c>
      <c r="U91" s="287">
        <v>2.0648809176150276E-2</v>
      </c>
      <c r="V91" s="287">
        <v>2.0648809176150276E-2</v>
      </c>
      <c r="W91" s="287">
        <v>2.0648809176150276E-2</v>
      </c>
      <c r="X91" s="287">
        <v>2.0648809176150276E-2</v>
      </c>
      <c r="Y91" s="287">
        <v>2.0648809176150276E-2</v>
      </c>
      <c r="Z91" s="287">
        <v>2.0648809176150276E-2</v>
      </c>
      <c r="AA91" s="287">
        <v>2.0648809176150276E-2</v>
      </c>
      <c r="AB91" s="287">
        <v>2.0648809176150276E-2</v>
      </c>
      <c r="AC91" s="287">
        <v>2.0648809176150276E-2</v>
      </c>
      <c r="AD91" s="287">
        <v>2.0648809176150276E-2</v>
      </c>
      <c r="AE91" s="287">
        <v>2.0648809176150276E-2</v>
      </c>
      <c r="AF91" s="287">
        <v>2.0648809176150276E-2</v>
      </c>
    </row>
    <row r="92" spans="2:32" ht="15" customHeight="1" x14ac:dyDescent="0.35">
      <c r="B92" s="6" t="s">
        <v>5449</v>
      </c>
      <c r="C92" s="7" t="s">
        <v>321</v>
      </c>
      <c r="D92" s="2" t="s">
        <v>5453</v>
      </c>
      <c r="H92" s="268" t="s">
        <v>4266</v>
      </c>
      <c r="I92" s="286">
        <f>IF('Business Plan - Model Details'!J892=0,0,'Business Plan - Model Details'!J1174/'Business Plan - Model Details'!J892)</f>
        <v>0</v>
      </c>
      <c r="J92" s="286">
        <f>IF('Business Plan - Model Details'!K892=0,0,'Business Plan - Model Details'!K1174/'Business Plan - Model Details'!K892)</f>
        <v>0</v>
      </c>
      <c r="K92" s="286">
        <f>IF('Business Plan - Model Details'!L892=0,0,'Business Plan - Model Details'!L1174/'Business Plan - Model Details'!L892)</f>
        <v>0</v>
      </c>
      <c r="L92" s="286">
        <f>IF('Business Plan - Model Details'!M892=0,0,'Business Plan - Model Details'!M1174/'Business Plan - Model Details'!M892)</f>
        <v>0</v>
      </c>
      <c r="M92" s="286">
        <f>IF('Business Plan - Model Details'!N892=0,0,'Business Plan - Model Details'!N1174/'Business Plan - Model Details'!N892)</f>
        <v>0</v>
      </c>
      <c r="N92" s="286">
        <f>IF('Business Plan - Model Details'!O892=0,0,'Business Plan - Model Details'!O1174/'Business Plan - Model Details'!O892)</f>
        <v>0</v>
      </c>
      <c r="O92" s="286">
        <f>IF('Business Plan - Model Details'!P892=0,0,'Business Plan - Model Details'!P1174/'Business Plan - Model Details'!P892)</f>
        <v>0</v>
      </c>
      <c r="P92" s="286">
        <f>IF('Business Plan - Model Details'!Q892=0,0,'Business Plan - Model Details'!Q1174/'Business Plan - Model Details'!Q892)</f>
        <v>0</v>
      </c>
      <c r="Q92" s="287">
        <v>0</v>
      </c>
      <c r="R92" s="287">
        <v>0</v>
      </c>
      <c r="S92" s="287">
        <v>0</v>
      </c>
      <c r="T92" s="287">
        <v>0</v>
      </c>
      <c r="U92" s="287">
        <v>0</v>
      </c>
      <c r="V92" s="287">
        <v>0</v>
      </c>
      <c r="W92" s="287">
        <v>0</v>
      </c>
      <c r="X92" s="287">
        <v>0</v>
      </c>
      <c r="Y92" s="287">
        <v>0</v>
      </c>
      <c r="Z92" s="287">
        <v>0</v>
      </c>
      <c r="AA92" s="287">
        <v>0</v>
      </c>
      <c r="AB92" s="287">
        <v>0</v>
      </c>
      <c r="AC92" s="287">
        <v>0</v>
      </c>
      <c r="AD92" s="287">
        <v>0</v>
      </c>
      <c r="AE92" s="287">
        <v>0</v>
      </c>
      <c r="AF92" s="287">
        <v>0</v>
      </c>
    </row>
    <row r="93" spans="2:32" ht="15" customHeight="1" x14ac:dyDescent="0.35">
      <c r="B93" s="6" t="s">
        <v>20</v>
      </c>
      <c r="C93" s="7" t="s">
        <v>4038</v>
      </c>
      <c r="D93" s="2" t="s">
        <v>5493</v>
      </c>
      <c r="H93" s="268" t="s">
        <v>5454</v>
      </c>
      <c r="I93" s="286">
        <f>IF('Business Plan - Model Details'!J421=0,0,'Business Plan - Model Details'!J472/'Business Plan - Model Details'!J421)</f>
        <v>2.9782854901495168E-2</v>
      </c>
      <c r="J93" s="286">
        <f>IF('Business Plan - Model Details'!K421=0,0,'Business Plan - Model Details'!K472/'Business Plan - Model Details'!K421)</f>
        <v>1.5017323132589955E-2</v>
      </c>
      <c r="K93" s="286">
        <f>IF('Business Plan - Model Details'!L421=0,0,'Business Plan - Model Details'!L472/'Business Plan - Model Details'!L421)</f>
        <v>1.4348728928327293E-2</v>
      </c>
      <c r="L93" s="286">
        <f>IF('Business Plan - Model Details'!M421=0,0,'Business Plan - Model Details'!M472/'Business Plan - Model Details'!M421)</f>
        <v>2.2207667892589048E-2</v>
      </c>
      <c r="M93" s="286">
        <f>IF('Business Plan - Model Details'!N421=0,0,'Business Plan - Model Details'!N472/'Business Plan - Model Details'!N421)</f>
        <v>2.4476786034815054E-2</v>
      </c>
      <c r="N93" s="286">
        <f>IF('Business Plan - Model Details'!O421=0,0,'Business Plan - Model Details'!O472/'Business Plan - Model Details'!O421)</f>
        <v>3.5728888906286754E-2</v>
      </c>
      <c r="O93" s="286">
        <f>IF('Business Plan - Model Details'!P421=0,0,'Business Plan - Model Details'!P472/'Business Plan - Model Details'!P421)</f>
        <v>8.5426596941319422E-3</v>
      </c>
      <c r="P93" s="286">
        <f>IF('Business Plan - Model Details'!Q421=0,0,'Business Plan - Model Details'!Q472/'Business Plan - Model Details'!Q421)</f>
        <v>2.7667955197277216E-2</v>
      </c>
      <c r="Q93" s="287">
        <v>2.2437300242546268E-2</v>
      </c>
      <c r="R93" s="287">
        <v>2.2437300242546268E-2</v>
      </c>
      <c r="S93" s="287">
        <v>2.2437300242546268E-2</v>
      </c>
      <c r="T93" s="287">
        <v>2.2437300242546268E-2</v>
      </c>
      <c r="U93" s="287">
        <v>2.2437300242546268E-2</v>
      </c>
      <c r="V93" s="287">
        <v>2.2437300242546268E-2</v>
      </c>
      <c r="W93" s="287">
        <v>2.2437300242546268E-2</v>
      </c>
      <c r="X93" s="287">
        <v>2.2437300242546268E-2</v>
      </c>
      <c r="Y93" s="287">
        <v>2.2437300242546268E-2</v>
      </c>
      <c r="Z93" s="287">
        <v>2.2437300242546268E-2</v>
      </c>
      <c r="AA93" s="287">
        <v>2.2437300242546268E-2</v>
      </c>
      <c r="AB93" s="287">
        <v>2.2437300242546268E-2</v>
      </c>
      <c r="AC93" s="287">
        <v>2.2437300242546268E-2</v>
      </c>
      <c r="AD93" s="287">
        <v>2.2437300242546268E-2</v>
      </c>
      <c r="AE93" s="287">
        <v>2.2437300242546268E-2</v>
      </c>
      <c r="AF93" s="287">
        <v>2.2437300242546268E-2</v>
      </c>
    </row>
    <row r="94" spans="2:32" ht="15" customHeight="1" x14ac:dyDescent="0.35">
      <c r="B94" s="6" t="s">
        <v>5447</v>
      </c>
      <c r="C94" s="7" t="s">
        <v>21</v>
      </c>
      <c r="D94" s="2" t="s">
        <v>5493</v>
      </c>
      <c r="H94" s="268" t="s">
        <v>5454</v>
      </c>
      <c r="I94" s="286">
        <f>IF('Business Plan - Model Details'!J582=0,0,'Business Plan - Model Details'!J628/'Business Plan - Model Details'!J582)</f>
        <v>0</v>
      </c>
      <c r="J94" s="286">
        <f>IF('Business Plan - Model Details'!K582=0,0,'Business Plan - Model Details'!K628/'Business Plan - Model Details'!K582)</f>
        <v>0</v>
      </c>
      <c r="K94" s="286">
        <f>IF('Business Plan - Model Details'!L582=0,0,'Business Plan - Model Details'!L628/'Business Plan - Model Details'!L582)</f>
        <v>0</v>
      </c>
      <c r="L94" s="286">
        <f>IF('Business Plan - Model Details'!M582=0,0,'Business Plan - Model Details'!M628/'Business Plan - Model Details'!M582)</f>
        <v>0</v>
      </c>
      <c r="M94" s="286">
        <f>IF('Business Plan - Model Details'!N582=0,0,'Business Plan - Model Details'!N628/'Business Plan - Model Details'!N582)</f>
        <v>0</v>
      </c>
      <c r="N94" s="286">
        <f>IF('Business Plan - Model Details'!O582=0,0,'Business Plan - Model Details'!O628/'Business Plan - Model Details'!O582)</f>
        <v>0</v>
      </c>
      <c r="O94" s="286">
        <f>IF('Business Plan - Model Details'!P582=0,0,'Business Plan - Model Details'!P628/'Business Plan - Model Details'!P582)</f>
        <v>0</v>
      </c>
      <c r="P94" s="286">
        <f>IF('Business Plan - Model Details'!Q582=0,0,'Business Plan - Model Details'!Q628/'Business Plan - Model Details'!Q582)</f>
        <v>0</v>
      </c>
      <c r="Q94" s="287">
        <v>0</v>
      </c>
      <c r="R94" s="287">
        <v>0</v>
      </c>
      <c r="S94" s="287">
        <v>0</v>
      </c>
      <c r="T94" s="287">
        <v>0</v>
      </c>
      <c r="U94" s="287">
        <v>0</v>
      </c>
      <c r="V94" s="287">
        <v>0</v>
      </c>
      <c r="W94" s="287">
        <v>0</v>
      </c>
      <c r="X94" s="287">
        <v>0</v>
      </c>
      <c r="Y94" s="287">
        <v>0</v>
      </c>
      <c r="Z94" s="287">
        <v>0</v>
      </c>
      <c r="AA94" s="287">
        <v>0</v>
      </c>
      <c r="AB94" s="287">
        <v>0</v>
      </c>
      <c r="AC94" s="287">
        <v>0</v>
      </c>
      <c r="AD94" s="287">
        <v>0</v>
      </c>
      <c r="AE94" s="287">
        <v>0</v>
      </c>
      <c r="AF94" s="287">
        <v>0</v>
      </c>
    </row>
    <row r="95" spans="2:32" ht="15" customHeight="1" x14ac:dyDescent="0.35">
      <c r="B95" s="6" t="s">
        <v>5448</v>
      </c>
      <c r="C95" s="7" t="s">
        <v>22</v>
      </c>
      <c r="D95" s="2" t="s">
        <v>5493</v>
      </c>
      <c r="H95" s="268" t="s">
        <v>5454</v>
      </c>
      <c r="I95" s="286">
        <f>IF('Business Plan - Model Details'!J741=0,0,'Business Plan - Model Details'!J792/'Business Plan - Model Details'!J741)</f>
        <v>0</v>
      </c>
      <c r="J95" s="286">
        <f>IF('Business Plan - Model Details'!K741=0,0,'Business Plan - Model Details'!K792/'Business Plan - Model Details'!K741)</f>
        <v>0</v>
      </c>
      <c r="K95" s="286">
        <f>IF('Business Plan - Model Details'!L741=0,0,'Business Plan - Model Details'!L792/'Business Plan - Model Details'!L741)</f>
        <v>0</v>
      </c>
      <c r="L95" s="286">
        <f>IF('Business Plan - Model Details'!M741=0,0,'Business Plan - Model Details'!M792/'Business Plan - Model Details'!M741)</f>
        <v>0</v>
      </c>
      <c r="M95" s="286">
        <f>IF('Business Plan - Model Details'!N741=0,0,'Business Plan - Model Details'!N792/'Business Plan - Model Details'!N741)</f>
        <v>0</v>
      </c>
      <c r="N95" s="286">
        <f>IF('Business Plan - Model Details'!O741=0,0,'Business Plan - Model Details'!O792/'Business Plan - Model Details'!O741)</f>
        <v>0</v>
      </c>
      <c r="O95" s="286">
        <f>IF('Business Plan - Model Details'!P741=0,0,'Business Plan - Model Details'!P792/'Business Plan - Model Details'!P741)</f>
        <v>0</v>
      </c>
      <c r="P95" s="286">
        <f>IF('Business Plan - Model Details'!Q741=0,0,'Business Plan - Model Details'!Q792/'Business Plan - Model Details'!Q741)</f>
        <v>0</v>
      </c>
      <c r="Q95" s="287">
        <v>0</v>
      </c>
      <c r="R95" s="287">
        <v>0</v>
      </c>
      <c r="S95" s="287">
        <v>0</v>
      </c>
      <c r="T95" s="287">
        <v>0</v>
      </c>
      <c r="U95" s="287">
        <v>0</v>
      </c>
      <c r="V95" s="287">
        <v>0</v>
      </c>
      <c r="W95" s="287">
        <v>0</v>
      </c>
      <c r="X95" s="287">
        <v>0</v>
      </c>
      <c r="Y95" s="287">
        <v>0</v>
      </c>
      <c r="Z95" s="287">
        <v>0</v>
      </c>
      <c r="AA95" s="287">
        <v>0</v>
      </c>
      <c r="AB95" s="287">
        <v>0</v>
      </c>
      <c r="AC95" s="287">
        <v>0</v>
      </c>
      <c r="AD95" s="287">
        <v>0</v>
      </c>
      <c r="AE95" s="287">
        <v>0</v>
      </c>
      <c r="AF95" s="287">
        <v>0</v>
      </c>
    </row>
    <row r="96" spans="2:32" ht="15" customHeight="1" x14ac:dyDescent="0.35">
      <c r="B96" s="6" t="s">
        <v>5449</v>
      </c>
      <c r="C96" s="7" t="s">
        <v>321</v>
      </c>
      <c r="D96" s="2" t="s">
        <v>5493</v>
      </c>
      <c r="H96" s="268" t="s">
        <v>5454</v>
      </c>
      <c r="I96" s="286">
        <f>IF('Business Plan - Model Details'!J892=0,0,'Business Plan - Model Details'!J1179/'Business Plan - Model Details'!J892)</f>
        <v>0</v>
      </c>
      <c r="J96" s="286">
        <f>IF('Business Plan - Model Details'!K892=0,0,'Business Plan - Model Details'!K1179/'Business Plan - Model Details'!K892)</f>
        <v>0</v>
      </c>
      <c r="K96" s="286">
        <f>IF('Business Plan - Model Details'!L892=0,0,'Business Plan - Model Details'!L1179/'Business Plan - Model Details'!L892)</f>
        <v>0</v>
      </c>
      <c r="L96" s="286">
        <f>IF('Business Plan - Model Details'!M892=0,0,'Business Plan - Model Details'!M1179/'Business Plan - Model Details'!M892)</f>
        <v>0</v>
      </c>
      <c r="M96" s="286">
        <f>IF('Business Plan - Model Details'!N892=0,0,'Business Plan - Model Details'!N1179/'Business Plan - Model Details'!N892)</f>
        <v>0</v>
      </c>
      <c r="N96" s="286">
        <f>IF('Business Plan - Model Details'!O892=0,0,'Business Plan - Model Details'!O1179/'Business Plan - Model Details'!O892)</f>
        <v>0</v>
      </c>
      <c r="O96" s="286">
        <f>IF('Business Plan - Model Details'!P892=0,0,'Business Plan - Model Details'!P1179/'Business Plan - Model Details'!P892)</f>
        <v>0</v>
      </c>
      <c r="P96" s="286">
        <f>IF('Business Plan - Model Details'!Q892=0,0,'Business Plan - Model Details'!Q1179/'Business Plan - Model Details'!Q892)</f>
        <v>0</v>
      </c>
      <c r="Q96" s="287">
        <v>0</v>
      </c>
      <c r="R96" s="287">
        <v>0</v>
      </c>
      <c r="S96" s="287">
        <v>0</v>
      </c>
      <c r="T96" s="287">
        <v>0</v>
      </c>
      <c r="U96" s="287">
        <v>0</v>
      </c>
      <c r="V96" s="287">
        <v>0</v>
      </c>
      <c r="W96" s="287">
        <v>0</v>
      </c>
      <c r="X96" s="287">
        <v>0</v>
      </c>
      <c r="Y96" s="287">
        <v>0</v>
      </c>
      <c r="Z96" s="287">
        <v>0</v>
      </c>
      <c r="AA96" s="287">
        <v>0</v>
      </c>
      <c r="AB96" s="287">
        <v>0</v>
      </c>
      <c r="AC96" s="287">
        <v>0</v>
      </c>
      <c r="AD96" s="287">
        <v>0</v>
      </c>
      <c r="AE96" s="287">
        <v>0</v>
      </c>
      <c r="AF96" s="287">
        <v>0</v>
      </c>
    </row>
    <row r="97" spans="2:33" ht="15" customHeight="1" x14ac:dyDescent="0.35">
      <c r="B97" s="4" t="s">
        <v>5574</v>
      </c>
      <c r="C97" s="13"/>
      <c r="D97" s="281" t="s">
        <v>5495</v>
      </c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</row>
    <row r="98" spans="2:33" ht="15" customHeight="1" x14ac:dyDescent="0.35">
      <c r="B98" s="6" t="s">
        <v>186</v>
      </c>
      <c r="C98" s="7" t="s">
        <v>5576</v>
      </c>
      <c r="D98" s="2" t="s">
        <v>5497</v>
      </c>
      <c r="H98" s="268" t="s">
        <v>3893</v>
      </c>
      <c r="I98" s="282">
        <f>'Data Aktual'!K39</f>
        <v>2.2825443129389066E-2</v>
      </c>
      <c r="J98" s="282">
        <f>'Data Aktual'!L39</f>
        <v>2.7377053057266846E-2</v>
      </c>
      <c r="K98" s="282">
        <f>'Data Aktual'!M39</f>
        <v>2.9318161299059755E-2</v>
      </c>
      <c r="L98" s="282">
        <f>'Data Aktual'!N39</f>
        <v>3.9903269686130283E-2</v>
      </c>
      <c r="M98" s="282">
        <f>'Data Aktual'!O39</f>
        <v>3.7846550495609588E-2</v>
      </c>
      <c r="N98" s="282">
        <f>'Data Aktual'!P39</f>
        <v>3.8611398867849735E-2</v>
      </c>
      <c r="O98" s="282">
        <f>'Data Aktual'!Q39</f>
        <v>4.4115519902525192E-2</v>
      </c>
      <c r="P98" s="282">
        <f>'Data Aktual'!R39</f>
        <v>4.0357658933037971E-2</v>
      </c>
      <c r="Q98" s="283">
        <v>632.5</v>
      </c>
      <c r="R98" s="283">
        <v>632.5</v>
      </c>
      <c r="S98" s="283">
        <v>632.5</v>
      </c>
      <c r="T98" s="283">
        <v>632.5</v>
      </c>
      <c r="U98" s="283">
        <v>632.5</v>
      </c>
      <c r="V98" s="283">
        <v>632.5</v>
      </c>
      <c r="W98" s="283">
        <v>632.5</v>
      </c>
      <c r="X98" s="283">
        <v>632.5</v>
      </c>
      <c r="Y98" s="283">
        <v>632.5</v>
      </c>
      <c r="Z98" s="283">
        <v>632.5</v>
      </c>
      <c r="AA98" s="283">
        <v>632.5</v>
      </c>
      <c r="AB98" s="283">
        <v>632.5</v>
      </c>
      <c r="AC98" s="283">
        <v>632.5</v>
      </c>
      <c r="AD98" s="283">
        <v>632.5</v>
      </c>
      <c r="AE98" s="283">
        <v>632.5</v>
      </c>
      <c r="AF98" s="283">
        <v>632.5</v>
      </c>
    </row>
    <row r="99" spans="2:33" ht="15" customHeight="1" x14ac:dyDescent="0.35">
      <c r="B99" s="6" t="s">
        <v>5575</v>
      </c>
      <c r="C99" s="7" t="s">
        <v>5576</v>
      </c>
      <c r="D99" s="2" t="s">
        <v>5498</v>
      </c>
      <c r="H99" s="268" t="s">
        <v>3893</v>
      </c>
      <c r="I99" s="282">
        <f>'Data Aktual'!K39</f>
        <v>2.2825443129389066E-2</v>
      </c>
      <c r="J99" s="282">
        <f>'Data Aktual'!L39</f>
        <v>2.7377053057266846E-2</v>
      </c>
      <c r="K99" s="282">
        <f>'Data Aktual'!M39</f>
        <v>2.9318161299059755E-2</v>
      </c>
      <c r="L99" s="282">
        <f>'Data Aktual'!N39</f>
        <v>3.9903269686130283E-2</v>
      </c>
      <c r="M99" s="282">
        <f>'Data Aktual'!O39</f>
        <v>3.7846550495609588E-2</v>
      </c>
      <c r="N99" s="282">
        <f>'Data Aktual'!P39</f>
        <v>3.8611398867849735E-2</v>
      </c>
      <c r="O99" s="282">
        <f>'Data Aktual'!Q39</f>
        <v>4.4115519902525192E-2</v>
      </c>
      <c r="P99" s="282">
        <f>'Data Aktual'!R39</f>
        <v>4.0357658933037971E-2</v>
      </c>
      <c r="Q99" s="283">
        <v>632.5</v>
      </c>
      <c r="R99" s="283">
        <v>632.5</v>
      </c>
      <c r="S99" s="283">
        <v>632.5</v>
      </c>
      <c r="T99" s="283">
        <v>632.5</v>
      </c>
      <c r="U99" s="283">
        <v>632.5</v>
      </c>
      <c r="V99" s="283">
        <v>632.5</v>
      </c>
      <c r="W99" s="283">
        <v>632.5</v>
      </c>
      <c r="X99" s="283">
        <v>632.5</v>
      </c>
      <c r="Y99" s="283">
        <v>632.5</v>
      </c>
      <c r="Z99" s="283">
        <v>632.5</v>
      </c>
      <c r="AA99" s="283">
        <v>632.5</v>
      </c>
      <c r="AB99" s="283">
        <v>632.5</v>
      </c>
      <c r="AC99" s="283">
        <v>632.5</v>
      </c>
      <c r="AD99" s="283">
        <v>632.5</v>
      </c>
      <c r="AE99" s="283">
        <v>632.5</v>
      </c>
      <c r="AF99" s="283">
        <v>632.5</v>
      </c>
    </row>
    <row r="100" spans="2:33" ht="15" customHeight="1" x14ac:dyDescent="0.35">
      <c r="B100" s="6" t="s">
        <v>185</v>
      </c>
      <c r="C100" s="7" t="s">
        <v>5576</v>
      </c>
      <c r="D100" s="2" t="s">
        <v>5499</v>
      </c>
      <c r="H100" s="268" t="s">
        <v>3893</v>
      </c>
      <c r="I100" s="282">
        <f>'Data Aktual'!K39</f>
        <v>2.2825443129389066E-2</v>
      </c>
      <c r="J100" s="282">
        <f>'Data Aktual'!L39</f>
        <v>2.7377053057266846E-2</v>
      </c>
      <c r="K100" s="282">
        <f>'Data Aktual'!M39</f>
        <v>2.9318161299059755E-2</v>
      </c>
      <c r="L100" s="282">
        <f>'Data Aktual'!N39</f>
        <v>3.9903269686130283E-2</v>
      </c>
      <c r="M100" s="282">
        <f>'Data Aktual'!O39</f>
        <v>3.7846550495609588E-2</v>
      </c>
      <c r="N100" s="282">
        <f>'Data Aktual'!P39</f>
        <v>3.8611398867849735E-2</v>
      </c>
      <c r="O100" s="282">
        <f>'Data Aktual'!Q39</f>
        <v>4.4115519902525192E-2</v>
      </c>
      <c r="P100" s="282">
        <f>'Data Aktual'!R39</f>
        <v>4.0357658933037971E-2</v>
      </c>
      <c r="Q100" s="283">
        <v>632.5</v>
      </c>
      <c r="R100" s="283">
        <v>632.5</v>
      </c>
      <c r="S100" s="283">
        <v>632.5</v>
      </c>
      <c r="T100" s="283">
        <v>632.5</v>
      </c>
      <c r="U100" s="283">
        <v>632.5</v>
      </c>
      <c r="V100" s="283">
        <v>632.5</v>
      </c>
      <c r="W100" s="283">
        <v>632.5</v>
      </c>
      <c r="X100" s="283">
        <v>632.5</v>
      </c>
      <c r="Y100" s="283">
        <v>632.5</v>
      </c>
      <c r="Z100" s="283">
        <v>632.5</v>
      </c>
      <c r="AA100" s="283">
        <v>632.5</v>
      </c>
      <c r="AB100" s="283">
        <v>632.5</v>
      </c>
      <c r="AC100" s="283">
        <v>632.5</v>
      </c>
      <c r="AD100" s="283">
        <v>632.5</v>
      </c>
      <c r="AE100" s="283">
        <v>632.5</v>
      </c>
      <c r="AF100" s="283">
        <v>632.5</v>
      </c>
    </row>
    <row r="101" spans="2:33" ht="15" customHeight="1" x14ac:dyDescent="0.35">
      <c r="B101" s="4" t="s">
        <v>5494</v>
      </c>
      <c r="C101" s="13"/>
      <c r="D101" s="281" t="s">
        <v>5495</v>
      </c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</row>
    <row r="102" spans="2:33" ht="15" customHeight="1" x14ac:dyDescent="0.35">
      <c r="B102" s="6" t="s">
        <v>5446</v>
      </c>
      <c r="C102" s="7" t="s">
        <v>5496</v>
      </c>
      <c r="D102" s="2" t="s">
        <v>5497</v>
      </c>
      <c r="H102" s="268" t="s">
        <v>3893</v>
      </c>
      <c r="I102" s="282">
        <f>'Data Aktual'!K43</f>
        <v>680</v>
      </c>
      <c r="J102" s="282">
        <f>'Data Aktual'!L43</f>
        <v>656</v>
      </c>
      <c r="K102" s="282">
        <f>'Data Aktual'!M43</f>
        <v>512</v>
      </c>
      <c r="L102" s="282">
        <f>'Data Aktual'!N43</f>
        <v>512</v>
      </c>
      <c r="M102" s="282">
        <f>'Data Aktual'!O43</f>
        <v>688</v>
      </c>
      <c r="N102" s="282">
        <f>'Data Aktual'!P43</f>
        <v>688</v>
      </c>
      <c r="O102" s="282">
        <f>'Data Aktual'!Q43</f>
        <v>688</v>
      </c>
      <c r="P102" s="282">
        <f>'Data Aktual'!R43</f>
        <v>696</v>
      </c>
      <c r="Q102" s="283">
        <v>632.5</v>
      </c>
      <c r="R102" s="283">
        <v>632.5</v>
      </c>
      <c r="S102" s="283">
        <v>632.5</v>
      </c>
      <c r="T102" s="283">
        <v>632.5</v>
      </c>
      <c r="U102" s="283">
        <v>632.5</v>
      </c>
      <c r="V102" s="283">
        <v>632.5</v>
      </c>
      <c r="W102" s="283">
        <v>632.5</v>
      </c>
      <c r="X102" s="283">
        <v>632.5</v>
      </c>
      <c r="Y102" s="283">
        <v>632.5</v>
      </c>
      <c r="Z102" s="283">
        <v>632.5</v>
      </c>
      <c r="AA102" s="283">
        <v>632.5</v>
      </c>
      <c r="AB102" s="283">
        <v>632.5</v>
      </c>
      <c r="AC102" s="283">
        <v>632.5</v>
      </c>
      <c r="AD102" s="283">
        <v>632.5</v>
      </c>
      <c r="AE102" s="283">
        <v>632.5</v>
      </c>
      <c r="AF102" s="283">
        <v>632.5</v>
      </c>
    </row>
    <row r="103" spans="2:33" ht="15" customHeight="1" x14ac:dyDescent="0.35">
      <c r="B103" s="6" t="s">
        <v>5446</v>
      </c>
      <c r="C103" s="7" t="s">
        <v>5496</v>
      </c>
      <c r="D103" s="2" t="s">
        <v>5498</v>
      </c>
      <c r="H103" s="268" t="s">
        <v>3893</v>
      </c>
      <c r="I103" s="282">
        <f>'Data Aktual'!K43</f>
        <v>680</v>
      </c>
      <c r="J103" s="282">
        <f>'Data Aktual'!L43</f>
        <v>656</v>
      </c>
      <c r="K103" s="282">
        <f>'Data Aktual'!M43</f>
        <v>512</v>
      </c>
      <c r="L103" s="282">
        <f>'Data Aktual'!N43</f>
        <v>512</v>
      </c>
      <c r="M103" s="282">
        <f>'Data Aktual'!O43</f>
        <v>688</v>
      </c>
      <c r="N103" s="282">
        <f>'Data Aktual'!P43</f>
        <v>688</v>
      </c>
      <c r="O103" s="282">
        <f>'Data Aktual'!Q43</f>
        <v>688</v>
      </c>
      <c r="P103" s="282">
        <f>'Data Aktual'!R43</f>
        <v>696</v>
      </c>
      <c r="Q103" s="283">
        <v>632.5</v>
      </c>
      <c r="R103" s="283">
        <v>632.5</v>
      </c>
      <c r="S103" s="283">
        <v>632.5</v>
      </c>
      <c r="T103" s="283">
        <v>632.5</v>
      </c>
      <c r="U103" s="283">
        <v>632.5</v>
      </c>
      <c r="V103" s="283">
        <v>632.5</v>
      </c>
      <c r="W103" s="283">
        <v>632.5</v>
      </c>
      <c r="X103" s="283">
        <v>632.5</v>
      </c>
      <c r="Y103" s="283">
        <v>632.5</v>
      </c>
      <c r="Z103" s="283">
        <v>632.5</v>
      </c>
      <c r="AA103" s="283">
        <v>632.5</v>
      </c>
      <c r="AB103" s="283">
        <v>632.5</v>
      </c>
      <c r="AC103" s="283">
        <v>632.5</v>
      </c>
      <c r="AD103" s="283">
        <v>632.5</v>
      </c>
      <c r="AE103" s="283">
        <v>632.5</v>
      </c>
      <c r="AF103" s="283">
        <v>632.5</v>
      </c>
    </row>
    <row r="104" spans="2:33" ht="15" customHeight="1" x14ac:dyDescent="0.35">
      <c r="B104" s="6" t="s">
        <v>5446</v>
      </c>
      <c r="C104" s="7" t="s">
        <v>5496</v>
      </c>
      <c r="D104" s="2" t="s">
        <v>5499</v>
      </c>
      <c r="H104" s="268" t="s">
        <v>3893</v>
      </c>
      <c r="I104" s="282">
        <f>'Data Aktual'!K43</f>
        <v>680</v>
      </c>
      <c r="J104" s="282">
        <f>'Data Aktual'!L43</f>
        <v>656</v>
      </c>
      <c r="K104" s="282">
        <f>'Data Aktual'!M43</f>
        <v>512</v>
      </c>
      <c r="L104" s="282">
        <f>'Data Aktual'!N43</f>
        <v>512</v>
      </c>
      <c r="M104" s="282">
        <f>'Data Aktual'!O43</f>
        <v>688</v>
      </c>
      <c r="N104" s="282">
        <f>'Data Aktual'!P43</f>
        <v>688</v>
      </c>
      <c r="O104" s="282">
        <f>'Data Aktual'!Q43</f>
        <v>688</v>
      </c>
      <c r="P104" s="282">
        <f>'Data Aktual'!R43</f>
        <v>696</v>
      </c>
      <c r="Q104" s="283">
        <v>632.5</v>
      </c>
      <c r="R104" s="283">
        <v>632.5</v>
      </c>
      <c r="S104" s="283">
        <v>632.5</v>
      </c>
      <c r="T104" s="283">
        <v>632.5</v>
      </c>
      <c r="U104" s="283">
        <v>632.5</v>
      </c>
      <c r="V104" s="283">
        <v>632.5</v>
      </c>
      <c r="W104" s="283">
        <v>632.5</v>
      </c>
      <c r="X104" s="283">
        <v>632.5</v>
      </c>
      <c r="Y104" s="283">
        <v>632.5</v>
      </c>
      <c r="Z104" s="283">
        <v>632.5</v>
      </c>
      <c r="AA104" s="283">
        <v>632.5</v>
      </c>
      <c r="AB104" s="283">
        <v>632.5</v>
      </c>
      <c r="AC104" s="283">
        <v>632.5</v>
      </c>
      <c r="AD104" s="283">
        <v>632.5</v>
      </c>
      <c r="AE104" s="283">
        <v>632.5</v>
      </c>
      <c r="AF104" s="283">
        <v>632.5</v>
      </c>
    </row>
    <row r="105" spans="2:33" ht="15" customHeight="1" x14ac:dyDescent="0.35">
      <c r="B105" s="4" t="s">
        <v>5500</v>
      </c>
      <c r="C105" s="13"/>
      <c r="D105" s="281" t="s">
        <v>5495</v>
      </c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</row>
    <row r="106" spans="2:33" ht="15" customHeight="1" x14ac:dyDescent="0.35">
      <c r="B106" s="6" t="s">
        <v>5501</v>
      </c>
      <c r="C106" s="7" t="s">
        <v>3940</v>
      </c>
      <c r="D106" s="2" t="s">
        <v>338</v>
      </c>
      <c r="E106" s="7" t="s">
        <v>3941</v>
      </c>
    </row>
    <row r="107" spans="2:33" ht="15" customHeight="1" x14ac:dyDescent="0.35">
      <c r="B107" s="6" t="s">
        <v>3942</v>
      </c>
      <c r="C107" s="7" t="s">
        <v>3943</v>
      </c>
      <c r="D107" s="2" t="s">
        <v>3944</v>
      </c>
      <c r="E107" s="7" t="s">
        <v>35</v>
      </c>
      <c r="H107" s="268" t="s">
        <v>3889</v>
      </c>
      <c r="I107" s="282"/>
      <c r="J107" s="282"/>
      <c r="K107" s="282"/>
      <c r="L107" s="282"/>
      <c r="M107" s="282"/>
      <c r="N107" s="282"/>
      <c r="O107" s="282"/>
      <c r="P107" s="282"/>
      <c r="Q107" s="282">
        <v>105</v>
      </c>
      <c r="R107" s="283">
        <f t="shared" ref="R107:AF107" si="14">Q107</f>
        <v>105</v>
      </c>
      <c r="S107" s="283">
        <f t="shared" si="14"/>
        <v>105</v>
      </c>
      <c r="T107" s="283">
        <f t="shared" si="14"/>
        <v>105</v>
      </c>
      <c r="U107" s="283">
        <f t="shared" si="14"/>
        <v>105</v>
      </c>
      <c r="V107" s="283">
        <f t="shared" si="14"/>
        <v>105</v>
      </c>
      <c r="W107" s="283">
        <f t="shared" si="14"/>
        <v>105</v>
      </c>
      <c r="X107" s="283">
        <f t="shared" si="14"/>
        <v>105</v>
      </c>
      <c r="Y107" s="283">
        <f t="shared" si="14"/>
        <v>105</v>
      </c>
      <c r="Z107" s="283">
        <f t="shared" si="14"/>
        <v>105</v>
      </c>
      <c r="AA107" s="283">
        <f t="shared" si="14"/>
        <v>105</v>
      </c>
      <c r="AB107" s="283">
        <f t="shared" si="14"/>
        <v>105</v>
      </c>
      <c r="AC107" s="283">
        <f t="shared" si="14"/>
        <v>105</v>
      </c>
      <c r="AD107" s="283">
        <f t="shared" si="14"/>
        <v>105</v>
      </c>
      <c r="AE107" s="283">
        <f t="shared" si="14"/>
        <v>105</v>
      </c>
      <c r="AF107" s="283">
        <f t="shared" si="14"/>
        <v>105</v>
      </c>
    </row>
    <row r="108" spans="2:33" ht="15" customHeight="1" x14ac:dyDescent="0.35">
      <c r="B108" s="6" t="s">
        <v>3942</v>
      </c>
      <c r="C108" s="7" t="s">
        <v>3945</v>
      </c>
      <c r="D108" s="2" t="s">
        <v>3944</v>
      </c>
      <c r="E108" s="7" t="s">
        <v>35</v>
      </c>
      <c r="H108" s="268" t="s">
        <v>3889</v>
      </c>
      <c r="I108" s="282"/>
      <c r="J108" s="282"/>
      <c r="K108" s="282"/>
      <c r="L108" s="282"/>
      <c r="M108" s="282"/>
      <c r="N108" s="282"/>
      <c r="O108" s="282"/>
      <c r="P108" s="282"/>
      <c r="Q108" s="282">
        <v>44</v>
      </c>
      <c r="R108" s="283">
        <f t="shared" ref="R108:AF108" si="15">Q108</f>
        <v>44</v>
      </c>
      <c r="S108" s="283">
        <f t="shared" si="15"/>
        <v>44</v>
      </c>
      <c r="T108" s="283">
        <f t="shared" si="15"/>
        <v>44</v>
      </c>
      <c r="U108" s="283">
        <f t="shared" si="15"/>
        <v>44</v>
      </c>
      <c r="V108" s="283">
        <f t="shared" si="15"/>
        <v>44</v>
      </c>
      <c r="W108" s="283">
        <f t="shared" si="15"/>
        <v>44</v>
      </c>
      <c r="X108" s="283">
        <f t="shared" si="15"/>
        <v>44</v>
      </c>
      <c r="Y108" s="283">
        <f t="shared" si="15"/>
        <v>44</v>
      </c>
      <c r="Z108" s="283">
        <f t="shared" si="15"/>
        <v>44</v>
      </c>
      <c r="AA108" s="283">
        <f t="shared" si="15"/>
        <v>44</v>
      </c>
      <c r="AB108" s="283">
        <f t="shared" si="15"/>
        <v>44</v>
      </c>
      <c r="AC108" s="283">
        <f t="shared" si="15"/>
        <v>44</v>
      </c>
      <c r="AD108" s="283">
        <f t="shared" si="15"/>
        <v>44</v>
      </c>
      <c r="AE108" s="283">
        <f t="shared" si="15"/>
        <v>44</v>
      </c>
      <c r="AF108" s="283">
        <f t="shared" si="15"/>
        <v>44</v>
      </c>
    </row>
    <row r="109" spans="2:33" ht="15" customHeight="1" x14ac:dyDescent="0.35">
      <c r="B109" s="6" t="s">
        <v>3942</v>
      </c>
      <c r="C109" s="7" t="s">
        <v>3946</v>
      </c>
      <c r="D109" s="2" t="s">
        <v>3944</v>
      </c>
      <c r="E109" s="7" t="s">
        <v>35</v>
      </c>
      <c r="H109" s="268" t="s">
        <v>3889</v>
      </c>
      <c r="I109" s="282"/>
      <c r="J109" s="282"/>
      <c r="K109" s="282"/>
      <c r="L109" s="282"/>
      <c r="M109" s="282"/>
      <c r="N109" s="282"/>
      <c r="O109" s="282"/>
      <c r="P109" s="282"/>
      <c r="Q109" s="282">
        <v>16</v>
      </c>
      <c r="R109" s="283">
        <f t="shared" ref="R109:AF109" si="16">Q109</f>
        <v>16</v>
      </c>
      <c r="S109" s="283">
        <f t="shared" si="16"/>
        <v>16</v>
      </c>
      <c r="T109" s="283">
        <f t="shared" si="16"/>
        <v>16</v>
      </c>
      <c r="U109" s="283">
        <f t="shared" si="16"/>
        <v>16</v>
      </c>
      <c r="V109" s="283">
        <f t="shared" si="16"/>
        <v>16</v>
      </c>
      <c r="W109" s="283">
        <f t="shared" si="16"/>
        <v>16</v>
      </c>
      <c r="X109" s="283">
        <f t="shared" si="16"/>
        <v>16</v>
      </c>
      <c r="Y109" s="283">
        <f t="shared" si="16"/>
        <v>16</v>
      </c>
      <c r="Z109" s="283">
        <f t="shared" si="16"/>
        <v>16</v>
      </c>
      <c r="AA109" s="283">
        <f t="shared" si="16"/>
        <v>16</v>
      </c>
      <c r="AB109" s="283">
        <f t="shared" si="16"/>
        <v>16</v>
      </c>
      <c r="AC109" s="283">
        <f t="shared" si="16"/>
        <v>16</v>
      </c>
      <c r="AD109" s="283">
        <f t="shared" si="16"/>
        <v>16</v>
      </c>
      <c r="AE109" s="283">
        <f t="shared" si="16"/>
        <v>16</v>
      </c>
      <c r="AF109" s="283">
        <f t="shared" si="16"/>
        <v>16</v>
      </c>
    </row>
    <row r="110" spans="2:33" ht="15" customHeight="1" x14ac:dyDescent="0.35">
      <c r="B110" s="6" t="s">
        <v>3942</v>
      </c>
      <c r="C110" s="7" t="s">
        <v>3943</v>
      </c>
      <c r="D110" s="2" t="s">
        <v>3944</v>
      </c>
      <c r="E110" s="7" t="s">
        <v>3951</v>
      </c>
      <c r="H110" s="268" t="s">
        <v>3889</v>
      </c>
      <c r="I110" s="282"/>
      <c r="J110" s="282"/>
      <c r="K110" s="282"/>
      <c r="L110" s="282"/>
      <c r="M110" s="282"/>
      <c r="N110" s="282"/>
      <c r="O110" s="282"/>
      <c r="P110" s="282"/>
      <c r="Q110" s="282">
        <v>14</v>
      </c>
      <c r="R110" s="283">
        <f t="shared" ref="R110:AF110" si="17">Q110</f>
        <v>14</v>
      </c>
      <c r="S110" s="283">
        <f t="shared" si="17"/>
        <v>14</v>
      </c>
      <c r="T110" s="283">
        <f t="shared" si="17"/>
        <v>14</v>
      </c>
      <c r="U110" s="283">
        <f t="shared" si="17"/>
        <v>14</v>
      </c>
      <c r="V110" s="283">
        <f t="shared" si="17"/>
        <v>14</v>
      </c>
      <c r="W110" s="283">
        <f t="shared" si="17"/>
        <v>14</v>
      </c>
      <c r="X110" s="283">
        <f t="shared" si="17"/>
        <v>14</v>
      </c>
      <c r="Y110" s="283">
        <f t="shared" si="17"/>
        <v>14</v>
      </c>
      <c r="Z110" s="283">
        <f t="shared" si="17"/>
        <v>14</v>
      </c>
      <c r="AA110" s="283">
        <f t="shared" si="17"/>
        <v>14</v>
      </c>
      <c r="AB110" s="283">
        <f t="shared" si="17"/>
        <v>14</v>
      </c>
      <c r="AC110" s="283">
        <f t="shared" si="17"/>
        <v>14</v>
      </c>
      <c r="AD110" s="283">
        <f t="shared" si="17"/>
        <v>14</v>
      </c>
      <c r="AE110" s="283">
        <f t="shared" si="17"/>
        <v>14</v>
      </c>
      <c r="AF110" s="283">
        <f t="shared" si="17"/>
        <v>14</v>
      </c>
    </row>
    <row r="111" spans="2:33" ht="15" customHeight="1" x14ac:dyDescent="0.35">
      <c r="B111" s="6" t="s">
        <v>3942</v>
      </c>
      <c r="C111" s="7" t="s">
        <v>3945</v>
      </c>
      <c r="D111" s="2" t="s">
        <v>3944</v>
      </c>
      <c r="E111" s="7" t="s">
        <v>3951</v>
      </c>
      <c r="H111" s="268" t="s">
        <v>3889</v>
      </c>
      <c r="I111" s="282"/>
      <c r="J111" s="282"/>
      <c r="K111" s="282"/>
      <c r="L111" s="282"/>
      <c r="M111" s="282"/>
      <c r="N111" s="282"/>
      <c r="O111" s="282"/>
      <c r="P111" s="282"/>
      <c r="Q111" s="282">
        <v>2</v>
      </c>
      <c r="R111" s="283">
        <f t="shared" ref="R111:AF111" si="18">Q111</f>
        <v>2</v>
      </c>
      <c r="S111" s="283">
        <f t="shared" si="18"/>
        <v>2</v>
      </c>
      <c r="T111" s="283">
        <f t="shared" si="18"/>
        <v>2</v>
      </c>
      <c r="U111" s="283">
        <f t="shared" si="18"/>
        <v>2</v>
      </c>
      <c r="V111" s="283">
        <f t="shared" si="18"/>
        <v>2</v>
      </c>
      <c r="W111" s="283">
        <f t="shared" si="18"/>
        <v>2</v>
      </c>
      <c r="X111" s="283">
        <f t="shared" si="18"/>
        <v>2</v>
      </c>
      <c r="Y111" s="283">
        <f t="shared" si="18"/>
        <v>2</v>
      </c>
      <c r="Z111" s="283">
        <f t="shared" si="18"/>
        <v>2</v>
      </c>
      <c r="AA111" s="283">
        <f t="shared" si="18"/>
        <v>2</v>
      </c>
      <c r="AB111" s="283">
        <f t="shared" si="18"/>
        <v>2</v>
      </c>
      <c r="AC111" s="283">
        <f t="shared" si="18"/>
        <v>2</v>
      </c>
      <c r="AD111" s="283">
        <f t="shared" si="18"/>
        <v>2</v>
      </c>
      <c r="AE111" s="283">
        <f t="shared" si="18"/>
        <v>2</v>
      </c>
      <c r="AF111" s="283">
        <f t="shared" si="18"/>
        <v>2</v>
      </c>
    </row>
    <row r="112" spans="2:33" ht="15" customHeight="1" x14ac:dyDescent="0.35">
      <c r="B112" s="6" t="s">
        <v>3942</v>
      </c>
      <c r="C112" s="7" t="s">
        <v>3946</v>
      </c>
      <c r="D112" s="2" t="s">
        <v>3944</v>
      </c>
      <c r="E112" s="7" t="s">
        <v>3951</v>
      </c>
      <c r="H112" s="268" t="s">
        <v>3889</v>
      </c>
      <c r="I112" s="282"/>
      <c r="J112" s="282"/>
      <c r="K112" s="282"/>
      <c r="L112" s="282"/>
      <c r="M112" s="282"/>
      <c r="N112" s="282"/>
      <c r="O112" s="282"/>
      <c r="P112" s="282"/>
      <c r="Q112" s="282">
        <v>8</v>
      </c>
      <c r="R112" s="283">
        <f t="shared" ref="R112:AF112" si="19">Q112</f>
        <v>8</v>
      </c>
      <c r="S112" s="283">
        <f t="shared" si="19"/>
        <v>8</v>
      </c>
      <c r="T112" s="283">
        <f t="shared" si="19"/>
        <v>8</v>
      </c>
      <c r="U112" s="283">
        <f t="shared" si="19"/>
        <v>8</v>
      </c>
      <c r="V112" s="283">
        <f t="shared" si="19"/>
        <v>8</v>
      </c>
      <c r="W112" s="283">
        <f t="shared" si="19"/>
        <v>8</v>
      </c>
      <c r="X112" s="283">
        <f t="shared" si="19"/>
        <v>8</v>
      </c>
      <c r="Y112" s="283">
        <f t="shared" si="19"/>
        <v>8</v>
      </c>
      <c r="Z112" s="283">
        <f t="shared" si="19"/>
        <v>8</v>
      </c>
      <c r="AA112" s="283">
        <f t="shared" si="19"/>
        <v>8</v>
      </c>
      <c r="AB112" s="283">
        <f t="shared" si="19"/>
        <v>8</v>
      </c>
      <c r="AC112" s="283">
        <f t="shared" si="19"/>
        <v>8</v>
      </c>
      <c r="AD112" s="283">
        <f t="shared" si="19"/>
        <v>8</v>
      </c>
      <c r="AE112" s="283">
        <f t="shared" si="19"/>
        <v>8</v>
      </c>
      <c r="AF112" s="283">
        <f t="shared" si="19"/>
        <v>8</v>
      </c>
    </row>
    <row r="113" spans="2:32" ht="15" customHeight="1" x14ac:dyDescent="0.35">
      <c r="B113" s="6" t="s">
        <v>3952</v>
      </c>
      <c r="C113" s="7" t="s">
        <v>3952</v>
      </c>
      <c r="D113" s="2" t="s">
        <v>3944</v>
      </c>
      <c r="E113" s="7" t="s">
        <v>3951</v>
      </c>
      <c r="H113" s="268" t="s">
        <v>3889</v>
      </c>
      <c r="I113" s="282"/>
      <c r="J113" s="282"/>
      <c r="K113" s="282"/>
      <c r="L113" s="282"/>
      <c r="M113" s="282"/>
      <c r="N113" s="282"/>
      <c r="O113" s="282"/>
      <c r="P113" s="282"/>
      <c r="Q113" s="282">
        <v>8</v>
      </c>
      <c r="R113" s="283">
        <f t="shared" ref="R113:AF113" si="20">Q113</f>
        <v>8</v>
      </c>
      <c r="S113" s="283">
        <f t="shared" si="20"/>
        <v>8</v>
      </c>
      <c r="T113" s="283">
        <f t="shared" si="20"/>
        <v>8</v>
      </c>
      <c r="U113" s="283">
        <f t="shared" si="20"/>
        <v>8</v>
      </c>
      <c r="V113" s="283">
        <f t="shared" si="20"/>
        <v>8</v>
      </c>
      <c r="W113" s="283">
        <f t="shared" si="20"/>
        <v>8</v>
      </c>
      <c r="X113" s="283">
        <f t="shared" si="20"/>
        <v>8</v>
      </c>
      <c r="Y113" s="283">
        <f t="shared" si="20"/>
        <v>8</v>
      </c>
      <c r="Z113" s="283">
        <f t="shared" si="20"/>
        <v>8</v>
      </c>
      <c r="AA113" s="283">
        <f t="shared" si="20"/>
        <v>8</v>
      </c>
      <c r="AB113" s="283">
        <f t="shared" si="20"/>
        <v>8</v>
      </c>
      <c r="AC113" s="283">
        <f t="shared" si="20"/>
        <v>8</v>
      </c>
      <c r="AD113" s="283">
        <f t="shared" si="20"/>
        <v>8</v>
      </c>
      <c r="AE113" s="283">
        <f t="shared" si="20"/>
        <v>8</v>
      </c>
      <c r="AF113" s="283">
        <f t="shared" si="20"/>
        <v>8</v>
      </c>
    </row>
    <row r="114" spans="2:32" ht="15" customHeight="1" x14ac:dyDescent="0.35">
      <c r="B114" s="6" t="s">
        <v>3953</v>
      </c>
      <c r="C114" s="7" t="s">
        <v>3953</v>
      </c>
      <c r="D114" s="2" t="s">
        <v>3944</v>
      </c>
      <c r="E114" s="7" t="s">
        <v>3951</v>
      </c>
      <c r="H114" s="268" t="s">
        <v>3889</v>
      </c>
      <c r="I114" s="282"/>
      <c r="J114" s="282"/>
      <c r="K114" s="282"/>
      <c r="L114" s="282"/>
      <c r="M114" s="282"/>
      <c r="N114" s="282"/>
      <c r="O114" s="282"/>
      <c r="P114" s="282"/>
      <c r="Q114" s="282">
        <v>3</v>
      </c>
      <c r="R114" s="283">
        <f t="shared" ref="R114:AF114" si="21">Q114</f>
        <v>3</v>
      </c>
      <c r="S114" s="283">
        <f t="shared" si="21"/>
        <v>3</v>
      </c>
      <c r="T114" s="283">
        <f t="shared" si="21"/>
        <v>3</v>
      </c>
      <c r="U114" s="283">
        <f t="shared" si="21"/>
        <v>3</v>
      </c>
      <c r="V114" s="283">
        <f t="shared" si="21"/>
        <v>3</v>
      </c>
      <c r="W114" s="283">
        <f t="shared" si="21"/>
        <v>3</v>
      </c>
      <c r="X114" s="283">
        <f t="shared" si="21"/>
        <v>3</v>
      </c>
      <c r="Y114" s="283">
        <f t="shared" si="21"/>
        <v>3</v>
      </c>
      <c r="Z114" s="283">
        <f t="shared" si="21"/>
        <v>3</v>
      </c>
      <c r="AA114" s="283">
        <f t="shared" si="21"/>
        <v>3</v>
      </c>
      <c r="AB114" s="283">
        <f t="shared" si="21"/>
        <v>3</v>
      </c>
      <c r="AC114" s="283">
        <f t="shared" si="21"/>
        <v>3</v>
      </c>
      <c r="AD114" s="283">
        <f t="shared" si="21"/>
        <v>3</v>
      </c>
      <c r="AE114" s="283">
        <f t="shared" si="21"/>
        <v>3</v>
      </c>
      <c r="AF114" s="283">
        <f t="shared" si="21"/>
        <v>3</v>
      </c>
    </row>
    <row r="115" spans="2:32" ht="15" customHeight="1" x14ac:dyDescent="0.35">
      <c r="B115" s="6" t="s">
        <v>3954</v>
      </c>
      <c r="C115" s="7" t="s">
        <v>3954</v>
      </c>
      <c r="D115" s="2" t="s">
        <v>3944</v>
      </c>
      <c r="E115" s="7" t="s">
        <v>3951</v>
      </c>
      <c r="H115" s="268" t="s">
        <v>3889</v>
      </c>
      <c r="I115" s="282"/>
      <c r="J115" s="282"/>
      <c r="K115" s="282"/>
      <c r="L115" s="282"/>
      <c r="M115" s="282"/>
      <c r="N115" s="282"/>
      <c r="O115" s="282"/>
      <c r="P115" s="282"/>
      <c r="Q115" s="282">
        <v>1</v>
      </c>
      <c r="R115" s="283">
        <f t="shared" ref="R115:AF115" si="22">Q115</f>
        <v>1</v>
      </c>
      <c r="S115" s="283">
        <f t="shared" si="22"/>
        <v>1</v>
      </c>
      <c r="T115" s="283">
        <f t="shared" si="22"/>
        <v>1</v>
      </c>
      <c r="U115" s="283">
        <f t="shared" si="22"/>
        <v>1</v>
      </c>
      <c r="V115" s="283">
        <f t="shared" si="22"/>
        <v>1</v>
      </c>
      <c r="W115" s="283">
        <f t="shared" si="22"/>
        <v>1</v>
      </c>
      <c r="X115" s="283">
        <f t="shared" si="22"/>
        <v>1</v>
      </c>
      <c r="Y115" s="283">
        <f t="shared" si="22"/>
        <v>1</v>
      </c>
      <c r="Z115" s="283">
        <f t="shared" si="22"/>
        <v>1</v>
      </c>
      <c r="AA115" s="283">
        <f t="shared" si="22"/>
        <v>1</v>
      </c>
      <c r="AB115" s="283">
        <f t="shared" si="22"/>
        <v>1</v>
      </c>
      <c r="AC115" s="283">
        <f t="shared" si="22"/>
        <v>1</v>
      </c>
      <c r="AD115" s="283">
        <f t="shared" si="22"/>
        <v>1</v>
      </c>
      <c r="AE115" s="283">
        <f t="shared" si="22"/>
        <v>1</v>
      </c>
      <c r="AF115" s="283">
        <f t="shared" si="22"/>
        <v>1</v>
      </c>
    </row>
    <row r="116" spans="2:32" ht="15" customHeight="1" x14ac:dyDescent="0.35">
      <c r="B116" s="6" t="s">
        <v>3942</v>
      </c>
      <c r="C116" s="7" t="s">
        <v>3955</v>
      </c>
      <c r="D116" s="2" t="s">
        <v>3944</v>
      </c>
      <c r="E116" s="7" t="s">
        <v>3951</v>
      </c>
      <c r="H116" s="268" t="s">
        <v>3889</v>
      </c>
      <c r="I116" s="282"/>
      <c r="J116" s="282"/>
      <c r="K116" s="282"/>
      <c r="L116" s="282"/>
      <c r="M116" s="282"/>
      <c r="N116" s="282"/>
      <c r="O116" s="282"/>
      <c r="P116" s="282"/>
      <c r="Q116" s="282">
        <v>1</v>
      </c>
      <c r="R116" s="283">
        <f t="shared" ref="R116:AF116" si="23">Q116</f>
        <v>1</v>
      </c>
      <c r="S116" s="283">
        <f t="shared" si="23"/>
        <v>1</v>
      </c>
      <c r="T116" s="283">
        <f t="shared" si="23"/>
        <v>1</v>
      </c>
      <c r="U116" s="283">
        <f t="shared" si="23"/>
        <v>1</v>
      </c>
      <c r="V116" s="283">
        <f t="shared" si="23"/>
        <v>1</v>
      </c>
      <c r="W116" s="283">
        <f t="shared" si="23"/>
        <v>1</v>
      </c>
      <c r="X116" s="283">
        <f t="shared" si="23"/>
        <v>1</v>
      </c>
      <c r="Y116" s="283">
        <f t="shared" si="23"/>
        <v>1</v>
      </c>
      <c r="Z116" s="283">
        <f t="shared" si="23"/>
        <v>1</v>
      </c>
      <c r="AA116" s="283">
        <f t="shared" si="23"/>
        <v>1</v>
      </c>
      <c r="AB116" s="283">
        <f t="shared" si="23"/>
        <v>1</v>
      </c>
      <c r="AC116" s="283">
        <f t="shared" si="23"/>
        <v>1</v>
      </c>
      <c r="AD116" s="283">
        <f t="shared" si="23"/>
        <v>1</v>
      </c>
      <c r="AE116" s="283">
        <f t="shared" si="23"/>
        <v>1</v>
      </c>
      <c r="AF116" s="283">
        <f t="shared" si="23"/>
        <v>1</v>
      </c>
    </row>
    <row r="117" spans="2:32" ht="15" customHeight="1" x14ac:dyDescent="0.35">
      <c r="B117" s="6" t="s">
        <v>3956</v>
      </c>
      <c r="C117" s="7" t="s">
        <v>3957</v>
      </c>
      <c r="D117" s="2" t="s">
        <v>3944</v>
      </c>
      <c r="E117" s="7" t="s">
        <v>3951</v>
      </c>
      <c r="H117" s="268" t="s">
        <v>3889</v>
      </c>
      <c r="I117" s="282"/>
      <c r="J117" s="282"/>
      <c r="K117" s="282"/>
      <c r="L117" s="282"/>
      <c r="M117" s="282"/>
      <c r="N117" s="282"/>
      <c r="O117" s="282"/>
      <c r="P117" s="282"/>
      <c r="Q117" s="282">
        <v>17</v>
      </c>
      <c r="R117" s="283">
        <f t="shared" ref="R117:AF117" si="24">Q117</f>
        <v>17</v>
      </c>
      <c r="S117" s="283">
        <f t="shared" si="24"/>
        <v>17</v>
      </c>
      <c r="T117" s="283">
        <f t="shared" si="24"/>
        <v>17</v>
      </c>
      <c r="U117" s="283">
        <f t="shared" si="24"/>
        <v>17</v>
      </c>
      <c r="V117" s="283">
        <f t="shared" si="24"/>
        <v>17</v>
      </c>
      <c r="W117" s="283">
        <f t="shared" si="24"/>
        <v>17</v>
      </c>
      <c r="X117" s="283">
        <f t="shared" si="24"/>
        <v>17</v>
      </c>
      <c r="Y117" s="283">
        <f t="shared" si="24"/>
        <v>17</v>
      </c>
      <c r="Z117" s="283">
        <f t="shared" si="24"/>
        <v>17</v>
      </c>
      <c r="AA117" s="283">
        <f t="shared" si="24"/>
        <v>17</v>
      </c>
      <c r="AB117" s="283">
        <f t="shared" si="24"/>
        <v>17</v>
      </c>
      <c r="AC117" s="283">
        <f t="shared" si="24"/>
        <v>17</v>
      </c>
      <c r="AD117" s="283">
        <f t="shared" si="24"/>
        <v>17</v>
      </c>
      <c r="AE117" s="283">
        <f t="shared" si="24"/>
        <v>17</v>
      </c>
      <c r="AF117" s="283">
        <f t="shared" si="24"/>
        <v>17</v>
      </c>
    </row>
    <row r="118" spans="2:32" ht="15" customHeight="1" x14ac:dyDescent="0.35">
      <c r="B118" s="6" t="s">
        <v>3958</v>
      </c>
      <c r="C118" s="7" t="s">
        <v>3958</v>
      </c>
      <c r="D118" s="2" t="s">
        <v>3944</v>
      </c>
      <c r="E118" s="7" t="s">
        <v>3951</v>
      </c>
      <c r="H118" s="268" t="s">
        <v>3889</v>
      </c>
      <c r="I118" s="282"/>
      <c r="J118" s="282"/>
      <c r="K118" s="282"/>
      <c r="L118" s="282"/>
      <c r="M118" s="282"/>
      <c r="N118" s="282"/>
      <c r="O118" s="282"/>
      <c r="P118" s="282"/>
      <c r="Q118" s="282">
        <v>5</v>
      </c>
      <c r="R118" s="283">
        <f t="shared" ref="R118:AF118" si="25">Q118</f>
        <v>5</v>
      </c>
      <c r="S118" s="283">
        <f t="shared" si="25"/>
        <v>5</v>
      </c>
      <c r="T118" s="283">
        <f t="shared" si="25"/>
        <v>5</v>
      </c>
      <c r="U118" s="283">
        <f t="shared" si="25"/>
        <v>5</v>
      </c>
      <c r="V118" s="283">
        <f t="shared" si="25"/>
        <v>5</v>
      </c>
      <c r="W118" s="283">
        <f t="shared" si="25"/>
        <v>5</v>
      </c>
      <c r="X118" s="283">
        <f t="shared" si="25"/>
        <v>5</v>
      </c>
      <c r="Y118" s="283">
        <f t="shared" si="25"/>
        <v>5</v>
      </c>
      <c r="Z118" s="283">
        <f t="shared" si="25"/>
        <v>5</v>
      </c>
      <c r="AA118" s="283">
        <f t="shared" si="25"/>
        <v>5</v>
      </c>
      <c r="AB118" s="283">
        <f t="shared" si="25"/>
        <v>5</v>
      </c>
      <c r="AC118" s="283">
        <f t="shared" si="25"/>
        <v>5</v>
      </c>
      <c r="AD118" s="283">
        <f t="shared" si="25"/>
        <v>5</v>
      </c>
      <c r="AE118" s="283">
        <f t="shared" si="25"/>
        <v>5</v>
      </c>
      <c r="AF118" s="283">
        <f t="shared" si="25"/>
        <v>5</v>
      </c>
    </row>
    <row r="119" spans="2:32" ht="15" customHeight="1" x14ac:dyDescent="0.35">
      <c r="B119" s="6" t="s">
        <v>3942</v>
      </c>
      <c r="C119" s="7" t="s">
        <v>3943</v>
      </c>
      <c r="D119" s="2" t="s">
        <v>3960</v>
      </c>
      <c r="E119" s="7" t="s">
        <v>3951</v>
      </c>
      <c r="H119" s="268" t="s">
        <v>3889</v>
      </c>
      <c r="I119" s="282"/>
      <c r="J119" s="282"/>
      <c r="K119" s="282"/>
      <c r="L119" s="282"/>
      <c r="M119" s="282"/>
      <c r="N119" s="282"/>
      <c r="O119" s="282"/>
      <c r="P119" s="282"/>
      <c r="Q119" s="282">
        <v>1</v>
      </c>
      <c r="R119" s="283">
        <f t="shared" ref="R119:AF119" si="26">Q119</f>
        <v>1</v>
      </c>
      <c r="S119" s="283">
        <f t="shared" si="26"/>
        <v>1</v>
      </c>
      <c r="T119" s="283">
        <f t="shared" si="26"/>
        <v>1</v>
      </c>
      <c r="U119" s="283">
        <f t="shared" si="26"/>
        <v>1</v>
      </c>
      <c r="V119" s="283">
        <f t="shared" si="26"/>
        <v>1</v>
      </c>
      <c r="W119" s="283">
        <f t="shared" si="26"/>
        <v>1</v>
      </c>
      <c r="X119" s="283">
        <f t="shared" si="26"/>
        <v>1</v>
      </c>
      <c r="Y119" s="283">
        <f t="shared" si="26"/>
        <v>1</v>
      </c>
      <c r="Z119" s="283">
        <f t="shared" si="26"/>
        <v>1</v>
      </c>
      <c r="AA119" s="283">
        <f t="shared" si="26"/>
        <v>1</v>
      </c>
      <c r="AB119" s="283">
        <f t="shared" si="26"/>
        <v>1</v>
      </c>
      <c r="AC119" s="283">
        <f t="shared" si="26"/>
        <v>1</v>
      </c>
      <c r="AD119" s="283">
        <f t="shared" si="26"/>
        <v>1</v>
      </c>
      <c r="AE119" s="283">
        <f t="shared" si="26"/>
        <v>1</v>
      </c>
      <c r="AF119" s="283">
        <f t="shared" si="26"/>
        <v>1</v>
      </c>
    </row>
    <row r="120" spans="2:32" ht="15" customHeight="1" x14ac:dyDescent="0.35">
      <c r="B120" s="6" t="s">
        <v>3942</v>
      </c>
      <c r="C120" s="7" t="s">
        <v>3945</v>
      </c>
      <c r="D120" s="2" t="s">
        <v>3960</v>
      </c>
      <c r="E120" s="7" t="s">
        <v>3951</v>
      </c>
      <c r="H120" s="268" t="s">
        <v>3889</v>
      </c>
      <c r="I120" s="282"/>
      <c r="J120" s="282"/>
      <c r="K120" s="282"/>
      <c r="L120" s="282"/>
      <c r="M120" s="282"/>
      <c r="N120" s="282"/>
      <c r="O120" s="282"/>
      <c r="P120" s="282"/>
      <c r="Q120" s="282">
        <v>4</v>
      </c>
      <c r="R120" s="283">
        <f t="shared" ref="R120:AF120" si="27">Q120</f>
        <v>4</v>
      </c>
      <c r="S120" s="283">
        <f t="shared" si="27"/>
        <v>4</v>
      </c>
      <c r="T120" s="283">
        <f t="shared" si="27"/>
        <v>4</v>
      </c>
      <c r="U120" s="283">
        <f t="shared" si="27"/>
        <v>4</v>
      </c>
      <c r="V120" s="283">
        <f t="shared" si="27"/>
        <v>4</v>
      </c>
      <c r="W120" s="283">
        <f t="shared" si="27"/>
        <v>4</v>
      </c>
      <c r="X120" s="283">
        <f t="shared" si="27"/>
        <v>4</v>
      </c>
      <c r="Y120" s="283">
        <f t="shared" si="27"/>
        <v>4</v>
      </c>
      <c r="Z120" s="283">
        <f t="shared" si="27"/>
        <v>4</v>
      </c>
      <c r="AA120" s="283">
        <f t="shared" si="27"/>
        <v>4</v>
      </c>
      <c r="AB120" s="283">
        <f t="shared" si="27"/>
        <v>4</v>
      </c>
      <c r="AC120" s="283">
        <f t="shared" si="27"/>
        <v>4</v>
      </c>
      <c r="AD120" s="283">
        <f t="shared" si="27"/>
        <v>4</v>
      </c>
      <c r="AE120" s="283">
        <f t="shared" si="27"/>
        <v>4</v>
      </c>
      <c r="AF120" s="283">
        <f t="shared" si="27"/>
        <v>4</v>
      </c>
    </row>
    <row r="121" spans="2:32" ht="15" customHeight="1" x14ac:dyDescent="0.35">
      <c r="B121" s="6" t="s">
        <v>3942</v>
      </c>
      <c r="C121" s="7" t="s">
        <v>3946</v>
      </c>
      <c r="D121" s="2" t="s">
        <v>3960</v>
      </c>
      <c r="E121" s="7" t="s">
        <v>3951</v>
      </c>
      <c r="H121" s="268" t="s">
        <v>3889</v>
      </c>
      <c r="I121" s="282"/>
      <c r="J121" s="282"/>
      <c r="K121" s="282"/>
      <c r="L121" s="282"/>
      <c r="M121" s="282"/>
      <c r="N121" s="282"/>
      <c r="O121" s="282"/>
      <c r="P121" s="282"/>
      <c r="Q121" s="282">
        <v>2</v>
      </c>
      <c r="R121" s="283">
        <f t="shared" ref="R121:AF121" si="28">Q121</f>
        <v>2</v>
      </c>
      <c r="S121" s="283">
        <f t="shared" si="28"/>
        <v>2</v>
      </c>
      <c r="T121" s="283">
        <f t="shared" si="28"/>
        <v>2</v>
      </c>
      <c r="U121" s="283">
        <f t="shared" si="28"/>
        <v>2</v>
      </c>
      <c r="V121" s="283">
        <f t="shared" si="28"/>
        <v>2</v>
      </c>
      <c r="W121" s="283">
        <f t="shared" si="28"/>
        <v>2</v>
      </c>
      <c r="X121" s="283">
        <f t="shared" si="28"/>
        <v>2</v>
      </c>
      <c r="Y121" s="283">
        <f t="shared" si="28"/>
        <v>2</v>
      </c>
      <c r="Z121" s="283">
        <f t="shared" si="28"/>
        <v>2</v>
      </c>
      <c r="AA121" s="283">
        <f t="shared" si="28"/>
        <v>2</v>
      </c>
      <c r="AB121" s="283">
        <f t="shared" si="28"/>
        <v>2</v>
      </c>
      <c r="AC121" s="283">
        <f t="shared" si="28"/>
        <v>2</v>
      </c>
      <c r="AD121" s="283">
        <f t="shared" si="28"/>
        <v>2</v>
      </c>
      <c r="AE121" s="283">
        <f t="shared" si="28"/>
        <v>2</v>
      </c>
      <c r="AF121" s="283">
        <f t="shared" si="28"/>
        <v>2</v>
      </c>
    </row>
    <row r="122" spans="2:32" ht="15" customHeight="1" x14ac:dyDescent="0.35">
      <c r="B122" s="6" t="s">
        <v>3942</v>
      </c>
      <c r="C122" s="7" t="s">
        <v>3961</v>
      </c>
      <c r="D122" s="2" t="s">
        <v>3960</v>
      </c>
      <c r="E122" s="7" t="s">
        <v>3951</v>
      </c>
      <c r="H122" s="268" t="s">
        <v>3889</v>
      </c>
      <c r="I122" s="282"/>
      <c r="J122" s="282"/>
      <c r="K122" s="282"/>
      <c r="L122" s="282"/>
      <c r="M122" s="282"/>
      <c r="N122" s="282"/>
      <c r="O122" s="282"/>
      <c r="P122" s="282"/>
      <c r="Q122" s="282">
        <v>1</v>
      </c>
      <c r="R122" s="283">
        <f t="shared" ref="R122:AF122" si="29">Q122</f>
        <v>1</v>
      </c>
      <c r="S122" s="283">
        <f t="shared" si="29"/>
        <v>1</v>
      </c>
      <c r="T122" s="283">
        <f t="shared" si="29"/>
        <v>1</v>
      </c>
      <c r="U122" s="283">
        <f t="shared" si="29"/>
        <v>1</v>
      </c>
      <c r="V122" s="283">
        <f t="shared" si="29"/>
        <v>1</v>
      </c>
      <c r="W122" s="283">
        <f t="shared" si="29"/>
        <v>1</v>
      </c>
      <c r="X122" s="283">
        <f t="shared" si="29"/>
        <v>1</v>
      </c>
      <c r="Y122" s="283">
        <f t="shared" si="29"/>
        <v>1</v>
      </c>
      <c r="Z122" s="283">
        <f t="shared" si="29"/>
        <v>1</v>
      </c>
      <c r="AA122" s="283">
        <f t="shared" si="29"/>
        <v>1</v>
      </c>
      <c r="AB122" s="283">
        <f t="shared" si="29"/>
        <v>1</v>
      </c>
      <c r="AC122" s="283">
        <f t="shared" si="29"/>
        <v>1</v>
      </c>
      <c r="AD122" s="283">
        <f t="shared" si="29"/>
        <v>1</v>
      </c>
      <c r="AE122" s="283">
        <f t="shared" si="29"/>
        <v>1</v>
      </c>
      <c r="AF122" s="283">
        <f t="shared" si="29"/>
        <v>1</v>
      </c>
    </row>
    <row r="123" spans="2:32" ht="15" customHeight="1" x14ac:dyDescent="0.35">
      <c r="B123" s="6" t="s">
        <v>3962</v>
      </c>
      <c r="C123" s="7" t="s">
        <v>3962</v>
      </c>
      <c r="D123" s="2" t="s">
        <v>3960</v>
      </c>
      <c r="E123" s="7" t="s">
        <v>3951</v>
      </c>
      <c r="H123" s="268" t="s">
        <v>3889</v>
      </c>
      <c r="I123" s="282"/>
      <c r="J123" s="282"/>
      <c r="K123" s="282"/>
      <c r="L123" s="282"/>
      <c r="M123" s="282"/>
      <c r="N123" s="282"/>
      <c r="O123" s="282"/>
      <c r="P123" s="282"/>
      <c r="Q123" s="282">
        <v>1</v>
      </c>
      <c r="R123" s="283">
        <f t="shared" ref="R123:AF123" si="30">Q123</f>
        <v>1</v>
      </c>
      <c r="S123" s="283">
        <f t="shared" si="30"/>
        <v>1</v>
      </c>
      <c r="T123" s="283">
        <f t="shared" si="30"/>
        <v>1</v>
      </c>
      <c r="U123" s="283">
        <f t="shared" si="30"/>
        <v>1</v>
      </c>
      <c r="V123" s="283">
        <f t="shared" si="30"/>
        <v>1</v>
      </c>
      <c r="W123" s="283">
        <f t="shared" si="30"/>
        <v>1</v>
      </c>
      <c r="X123" s="283">
        <f t="shared" si="30"/>
        <v>1</v>
      </c>
      <c r="Y123" s="283">
        <f t="shared" si="30"/>
        <v>1</v>
      </c>
      <c r="Z123" s="283">
        <f t="shared" si="30"/>
        <v>1</v>
      </c>
      <c r="AA123" s="283">
        <f t="shared" si="30"/>
        <v>1</v>
      </c>
      <c r="AB123" s="283">
        <f t="shared" si="30"/>
        <v>1</v>
      </c>
      <c r="AC123" s="283">
        <f t="shared" si="30"/>
        <v>1</v>
      </c>
      <c r="AD123" s="283">
        <f t="shared" si="30"/>
        <v>1</v>
      </c>
      <c r="AE123" s="283">
        <f t="shared" si="30"/>
        <v>1</v>
      </c>
      <c r="AF123" s="283">
        <f t="shared" si="30"/>
        <v>1</v>
      </c>
    </row>
    <row r="124" spans="2:32" ht="15" customHeight="1" x14ac:dyDescent="0.35">
      <c r="B124" s="6" t="s">
        <v>3952</v>
      </c>
      <c r="C124" s="7" t="s">
        <v>3952</v>
      </c>
      <c r="D124" s="2" t="s">
        <v>3960</v>
      </c>
      <c r="E124" s="7" t="s">
        <v>3951</v>
      </c>
      <c r="H124" s="268" t="s">
        <v>3889</v>
      </c>
      <c r="I124" s="282"/>
      <c r="J124" s="282"/>
      <c r="K124" s="282"/>
      <c r="L124" s="282"/>
      <c r="M124" s="282"/>
      <c r="N124" s="282"/>
      <c r="O124" s="282"/>
      <c r="P124" s="282"/>
      <c r="Q124" s="282">
        <v>6</v>
      </c>
      <c r="R124" s="283">
        <f t="shared" ref="R124:AF124" si="31">Q124</f>
        <v>6</v>
      </c>
      <c r="S124" s="283">
        <f t="shared" si="31"/>
        <v>6</v>
      </c>
      <c r="T124" s="283">
        <f t="shared" si="31"/>
        <v>6</v>
      </c>
      <c r="U124" s="283">
        <f t="shared" si="31"/>
        <v>6</v>
      </c>
      <c r="V124" s="283">
        <f t="shared" si="31"/>
        <v>6</v>
      </c>
      <c r="W124" s="283">
        <f t="shared" si="31"/>
        <v>6</v>
      </c>
      <c r="X124" s="283">
        <f t="shared" si="31"/>
        <v>6</v>
      </c>
      <c r="Y124" s="283">
        <f t="shared" si="31"/>
        <v>6</v>
      </c>
      <c r="Z124" s="283">
        <f t="shared" si="31"/>
        <v>6</v>
      </c>
      <c r="AA124" s="283">
        <f t="shared" si="31"/>
        <v>6</v>
      </c>
      <c r="AB124" s="283">
        <f t="shared" si="31"/>
        <v>6</v>
      </c>
      <c r="AC124" s="283">
        <f t="shared" si="31"/>
        <v>6</v>
      </c>
      <c r="AD124" s="283">
        <f t="shared" si="31"/>
        <v>6</v>
      </c>
      <c r="AE124" s="283">
        <f t="shared" si="31"/>
        <v>6</v>
      </c>
      <c r="AF124" s="283">
        <f t="shared" si="31"/>
        <v>6</v>
      </c>
    </row>
    <row r="125" spans="2:32" ht="15" customHeight="1" x14ac:dyDescent="0.35">
      <c r="B125" s="6" t="s">
        <v>3953</v>
      </c>
      <c r="C125" s="7" t="s">
        <v>3953</v>
      </c>
      <c r="D125" s="2" t="s">
        <v>3960</v>
      </c>
      <c r="E125" s="7" t="s">
        <v>3951</v>
      </c>
      <c r="H125" s="268" t="s">
        <v>3889</v>
      </c>
      <c r="I125" s="282"/>
      <c r="J125" s="282"/>
      <c r="K125" s="282"/>
      <c r="L125" s="282"/>
      <c r="M125" s="282"/>
      <c r="N125" s="282"/>
      <c r="O125" s="282"/>
      <c r="P125" s="282"/>
      <c r="Q125" s="282">
        <v>1</v>
      </c>
      <c r="R125" s="283">
        <f t="shared" ref="R125:AF125" si="32">Q125</f>
        <v>1</v>
      </c>
      <c r="S125" s="283">
        <f t="shared" si="32"/>
        <v>1</v>
      </c>
      <c r="T125" s="283">
        <f t="shared" si="32"/>
        <v>1</v>
      </c>
      <c r="U125" s="283">
        <f t="shared" si="32"/>
        <v>1</v>
      </c>
      <c r="V125" s="283">
        <f t="shared" si="32"/>
        <v>1</v>
      </c>
      <c r="W125" s="283">
        <f t="shared" si="32"/>
        <v>1</v>
      </c>
      <c r="X125" s="283">
        <f t="shared" si="32"/>
        <v>1</v>
      </c>
      <c r="Y125" s="283">
        <f t="shared" si="32"/>
        <v>1</v>
      </c>
      <c r="Z125" s="283">
        <f t="shared" si="32"/>
        <v>1</v>
      </c>
      <c r="AA125" s="283">
        <f t="shared" si="32"/>
        <v>1</v>
      </c>
      <c r="AB125" s="283">
        <f t="shared" si="32"/>
        <v>1</v>
      </c>
      <c r="AC125" s="283">
        <f t="shared" si="32"/>
        <v>1</v>
      </c>
      <c r="AD125" s="283">
        <f t="shared" si="32"/>
        <v>1</v>
      </c>
      <c r="AE125" s="283">
        <f t="shared" si="32"/>
        <v>1</v>
      </c>
      <c r="AF125" s="283">
        <f t="shared" si="32"/>
        <v>1</v>
      </c>
    </row>
    <row r="126" spans="2:32" ht="15" customHeight="1" x14ac:dyDescent="0.35">
      <c r="B126" s="6" t="s">
        <v>3954</v>
      </c>
      <c r="C126" s="7" t="s">
        <v>3954</v>
      </c>
      <c r="D126" s="2" t="s">
        <v>3960</v>
      </c>
      <c r="E126" s="7" t="s">
        <v>3951</v>
      </c>
      <c r="H126" s="268" t="s">
        <v>3889</v>
      </c>
      <c r="I126" s="282"/>
      <c r="J126" s="282"/>
      <c r="K126" s="282"/>
      <c r="L126" s="282"/>
      <c r="M126" s="282"/>
      <c r="N126" s="282"/>
      <c r="O126" s="282"/>
      <c r="P126" s="282"/>
      <c r="Q126" s="282">
        <v>1</v>
      </c>
      <c r="R126" s="283">
        <f t="shared" ref="R126:AF126" si="33">Q126</f>
        <v>1</v>
      </c>
      <c r="S126" s="283">
        <f t="shared" si="33"/>
        <v>1</v>
      </c>
      <c r="T126" s="283">
        <f t="shared" si="33"/>
        <v>1</v>
      </c>
      <c r="U126" s="283">
        <f t="shared" si="33"/>
        <v>1</v>
      </c>
      <c r="V126" s="283">
        <f t="shared" si="33"/>
        <v>1</v>
      </c>
      <c r="W126" s="283">
        <f t="shared" si="33"/>
        <v>1</v>
      </c>
      <c r="X126" s="283">
        <f t="shared" si="33"/>
        <v>1</v>
      </c>
      <c r="Y126" s="283">
        <f t="shared" si="33"/>
        <v>1</v>
      </c>
      <c r="Z126" s="283">
        <f t="shared" si="33"/>
        <v>1</v>
      </c>
      <c r="AA126" s="283">
        <f t="shared" si="33"/>
        <v>1</v>
      </c>
      <c r="AB126" s="283">
        <f t="shared" si="33"/>
        <v>1</v>
      </c>
      <c r="AC126" s="283">
        <f t="shared" si="33"/>
        <v>1</v>
      </c>
      <c r="AD126" s="283">
        <f t="shared" si="33"/>
        <v>1</v>
      </c>
      <c r="AE126" s="283">
        <f t="shared" si="33"/>
        <v>1</v>
      </c>
      <c r="AF126" s="283">
        <f t="shared" si="33"/>
        <v>1</v>
      </c>
    </row>
    <row r="127" spans="2:32" ht="15" customHeight="1" x14ac:dyDescent="0.35">
      <c r="B127" s="6" t="s">
        <v>3963</v>
      </c>
      <c r="C127" s="7" t="s">
        <v>3963</v>
      </c>
      <c r="D127" s="2" t="s">
        <v>3960</v>
      </c>
      <c r="E127" s="7" t="s">
        <v>3951</v>
      </c>
      <c r="H127" s="268" t="s">
        <v>3889</v>
      </c>
      <c r="I127" s="282"/>
      <c r="J127" s="282"/>
      <c r="K127" s="282"/>
      <c r="L127" s="282"/>
      <c r="M127" s="282"/>
      <c r="N127" s="282"/>
      <c r="O127" s="282"/>
      <c r="P127" s="282"/>
      <c r="Q127" s="282">
        <v>3</v>
      </c>
      <c r="R127" s="283">
        <f t="shared" ref="R127:AF127" si="34">Q127</f>
        <v>3</v>
      </c>
      <c r="S127" s="283">
        <f t="shared" si="34"/>
        <v>3</v>
      </c>
      <c r="T127" s="283">
        <f t="shared" si="34"/>
        <v>3</v>
      </c>
      <c r="U127" s="283">
        <f t="shared" si="34"/>
        <v>3</v>
      </c>
      <c r="V127" s="283">
        <f t="shared" si="34"/>
        <v>3</v>
      </c>
      <c r="W127" s="283">
        <f t="shared" si="34"/>
        <v>3</v>
      </c>
      <c r="X127" s="283">
        <f t="shared" si="34"/>
        <v>3</v>
      </c>
      <c r="Y127" s="283">
        <f t="shared" si="34"/>
        <v>3</v>
      </c>
      <c r="Z127" s="283">
        <f t="shared" si="34"/>
        <v>3</v>
      </c>
      <c r="AA127" s="283">
        <f t="shared" si="34"/>
        <v>3</v>
      </c>
      <c r="AB127" s="283">
        <f t="shared" si="34"/>
        <v>3</v>
      </c>
      <c r="AC127" s="283">
        <f t="shared" si="34"/>
        <v>3</v>
      </c>
      <c r="AD127" s="283">
        <f t="shared" si="34"/>
        <v>3</v>
      </c>
      <c r="AE127" s="283">
        <f t="shared" si="34"/>
        <v>3</v>
      </c>
      <c r="AF127" s="283">
        <f t="shared" si="34"/>
        <v>3</v>
      </c>
    </row>
    <row r="128" spans="2:32" ht="15" customHeight="1" x14ac:dyDescent="0.35">
      <c r="B128" s="6" t="s">
        <v>3956</v>
      </c>
      <c r="C128" s="7" t="s">
        <v>3957</v>
      </c>
      <c r="D128" s="2" t="s">
        <v>3960</v>
      </c>
      <c r="E128" s="7" t="s">
        <v>3951</v>
      </c>
      <c r="H128" s="268" t="s">
        <v>3889</v>
      </c>
      <c r="I128" s="282"/>
      <c r="J128" s="282"/>
      <c r="K128" s="282"/>
      <c r="L128" s="282"/>
      <c r="M128" s="282"/>
      <c r="N128" s="282"/>
      <c r="O128" s="282"/>
      <c r="P128" s="282"/>
      <c r="Q128" s="282">
        <v>4</v>
      </c>
      <c r="R128" s="283">
        <f t="shared" ref="R128:AF128" si="35">Q128</f>
        <v>4</v>
      </c>
      <c r="S128" s="283">
        <f t="shared" si="35"/>
        <v>4</v>
      </c>
      <c r="T128" s="283">
        <f t="shared" si="35"/>
        <v>4</v>
      </c>
      <c r="U128" s="283">
        <f t="shared" si="35"/>
        <v>4</v>
      </c>
      <c r="V128" s="283">
        <f t="shared" si="35"/>
        <v>4</v>
      </c>
      <c r="W128" s="283">
        <f t="shared" si="35"/>
        <v>4</v>
      </c>
      <c r="X128" s="283">
        <f t="shared" si="35"/>
        <v>4</v>
      </c>
      <c r="Y128" s="283">
        <f t="shared" si="35"/>
        <v>4</v>
      </c>
      <c r="Z128" s="283">
        <f t="shared" si="35"/>
        <v>4</v>
      </c>
      <c r="AA128" s="283">
        <f t="shared" si="35"/>
        <v>4</v>
      </c>
      <c r="AB128" s="283">
        <f t="shared" si="35"/>
        <v>4</v>
      </c>
      <c r="AC128" s="283">
        <f t="shared" si="35"/>
        <v>4</v>
      </c>
      <c r="AD128" s="283">
        <f t="shared" si="35"/>
        <v>4</v>
      </c>
      <c r="AE128" s="283">
        <f t="shared" si="35"/>
        <v>4</v>
      </c>
      <c r="AF128" s="283">
        <f t="shared" si="35"/>
        <v>4</v>
      </c>
    </row>
    <row r="129" spans="2:33" ht="15" customHeight="1" x14ac:dyDescent="0.35">
      <c r="B129" s="6" t="s">
        <v>3956</v>
      </c>
      <c r="C129" s="7" t="s">
        <v>3964</v>
      </c>
      <c r="D129" s="2" t="s">
        <v>3960</v>
      </c>
      <c r="E129" s="7" t="s">
        <v>3951</v>
      </c>
      <c r="H129" s="268" t="s">
        <v>3889</v>
      </c>
      <c r="I129" s="282"/>
      <c r="J129" s="282"/>
      <c r="K129" s="282"/>
      <c r="L129" s="282"/>
      <c r="M129" s="282"/>
      <c r="N129" s="282"/>
      <c r="O129" s="282"/>
      <c r="P129" s="282"/>
      <c r="Q129" s="282">
        <v>3</v>
      </c>
      <c r="R129" s="283">
        <f t="shared" ref="R129:AF129" si="36">Q129</f>
        <v>3</v>
      </c>
      <c r="S129" s="283">
        <f t="shared" si="36"/>
        <v>3</v>
      </c>
      <c r="T129" s="283">
        <f t="shared" si="36"/>
        <v>3</v>
      </c>
      <c r="U129" s="283">
        <f t="shared" si="36"/>
        <v>3</v>
      </c>
      <c r="V129" s="283">
        <f t="shared" si="36"/>
        <v>3</v>
      </c>
      <c r="W129" s="283">
        <f t="shared" si="36"/>
        <v>3</v>
      </c>
      <c r="X129" s="283">
        <f t="shared" si="36"/>
        <v>3</v>
      </c>
      <c r="Y129" s="283">
        <f t="shared" si="36"/>
        <v>3</v>
      </c>
      <c r="Z129" s="283">
        <f t="shared" si="36"/>
        <v>3</v>
      </c>
      <c r="AA129" s="283">
        <f t="shared" si="36"/>
        <v>3</v>
      </c>
      <c r="AB129" s="283">
        <f t="shared" si="36"/>
        <v>3</v>
      </c>
      <c r="AC129" s="283">
        <f t="shared" si="36"/>
        <v>3</v>
      </c>
      <c r="AD129" s="283">
        <f t="shared" si="36"/>
        <v>3</v>
      </c>
      <c r="AE129" s="283">
        <f t="shared" si="36"/>
        <v>3</v>
      </c>
      <c r="AF129" s="283">
        <f t="shared" si="36"/>
        <v>3</v>
      </c>
    </row>
    <row r="130" spans="2:33" ht="15" customHeight="1" x14ac:dyDescent="0.35">
      <c r="B130" s="6" t="s">
        <v>3965</v>
      </c>
      <c r="C130" s="7" t="s">
        <v>3965</v>
      </c>
      <c r="D130" s="2" t="s">
        <v>3960</v>
      </c>
      <c r="E130" s="7" t="s">
        <v>3951</v>
      </c>
      <c r="H130" s="268" t="s">
        <v>3889</v>
      </c>
      <c r="I130" s="282"/>
      <c r="J130" s="282"/>
      <c r="K130" s="282"/>
      <c r="L130" s="282"/>
      <c r="M130" s="282"/>
      <c r="N130" s="282"/>
      <c r="O130" s="282"/>
      <c r="P130" s="282"/>
      <c r="Q130" s="282">
        <v>2</v>
      </c>
      <c r="R130" s="283">
        <f t="shared" ref="R130:AF130" si="37">Q130</f>
        <v>2</v>
      </c>
      <c r="S130" s="283">
        <f t="shared" si="37"/>
        <v>2</v>
      </c>
      <c r="T130" s="283">
        <f t="shared" si="37"/>
        <v>2</v>
      </c>
      <c r="U130" s="283">
        <f t="shared" si="37"/>
        <v>2</v>
      </c>
      <c r="V130" s="283">
        <f t="shared" si="37"/>
        <v>2</v>
      </c>
      <c r="W130" s="283">
        <f t="shared" si="37"/>
        <v>2</v>
      </c>
      <c r="X130" s="283">
        <f t="shared" si="37"/>
        <v>2</v>
      </c>
      <c r="Y130" s="283">
        <f t="shared" si="37"/>
        <v>2</v>
      </c>
      <c r="Z130" s="283">
        <f t="shared" si="37"/>
        <v>2</v>
      </c>
      <c r="AA130" s="283">
        <f t="shared" si="37"/>
        <v>2</v>
      </c>
      <c r="AB130" s="283">
        <f t="shared" si="37"/>
        <v>2</v>
      </c>
      <c r="AC130" s="283">
        <f t="shared" si="37"/>
        <v>2</v>
      </c>
      <c r="AD130" s="283">
        <f t="shared" si="37"/>
        <v>2</v>
      </c>
      <c r="AE130" s="283">
        <f t="shared" si="37"/>
        <v>2</v>
      </c>
      <c r="AF130" s="283">
        <f t="shared" si="37"/>
        <v>2</v>
      </c>
    </row>
    <row r="131" spans="2:33" ht="15" customHeight="1" x14ac:dyDescent="0.35">
      <c r="B131" s="6" t="s">
        <v>3958</v>
      </c>
      <c r="C131" s="7" t="s">
        <v>3958</v>
      </c>
      <c r="D131" s="2" t="s">
        <v>3960</v>
      </c>
      <c r="E131" s="7" t="s">
        <v>3951</v>
      </c>
      <c r="H131" s="268" t="s">
        <v>3889</v>
      </c>
      <c r="I131" s="282"/>
      <c r="J131" s="282"/>
      <c r="K131" s="282"/>
      <c r="L131" s="282"/>
      <c r="M131" s="282"/>
      <c r="N131" s="282"/>
      <c r="O131" s="282"/>
      <c r="P131" s="282"/>
      <c r="Q131" s="282">
        <v>5</v>
      </c>
      <c r="R131" s="283">
        <f t="shared" ref="R131:AF131" si="38">Q131</f>
        <v>5</v>
      </c>
      <c r="S131" s="283">
        <f t="shared" si="38"/>
        <v>5</v>
      </c>
      <c r="T131" s="283">
        <f t="shared" si="38"/>
        <v>5</v>
      </c>
      <c r="U131" s="283">
        <f t="shared" si="38"/>
        <v>5</v>
      </c>
      <c r="V131" s="283">
        <f t="shared" si="38"/>
        <v>5</v>
      </c>
      <c r="W131" s="283">
        <f t="shared" si="38"/>
        <v>5</v>
      </c>
      <c r="X131" s="283">
        <f t="shared" si="38"/>
        <v>5</v>
      </c>
      <c r="Y131" s="283">
        <f t="shared" si="38"/>
        <v>5</v>
      </c>
      <c r="Z131" s="283">
        <f t="shared" si="38"/>
        <v>5</v>
      </c>
      <c r="AA131" s="283">
        <f t="shared" si="38"/>
        <v>5</v>
      </c>
      <c r="AB131" s="283">
        <f t="shared" si="38"/>
        <v>5</v>
      </c>
      <c r="AC131" s="283">
        <f t="shared" si="38"/>
        <v>5</v>
      </c>
      <c r="AD131" s="283">
        <f t="shared" si="38"/>
        <v>5</v>
      </c>
      <c r="AE131" s="283">
        <f t="shared" si="38"/>
        <v>5</v>
      </c>
      <c r="AF131" s="283">
        <f t="shared" si="38"/>
        <v>5</v>
      </c>
    </row>
    <row r="132" spans="2:33" ht="15" customHeight="1" x14ac:dyDescent="0.35">
      <c r="B132" s="6" t="s">
        <v>5502</v>
      </c>
      <c r="C132" s="7" t="s">
        <v>5503</v>
      </c>
      <c r="D132" s="2" t="s">
        <v>3960</v>
      </c>
      <c r="E132" s="7" t="s">
        <v>5504</v>
      </c>
      <c r="H132" s="268" t="s">
        <v>3889</v>
      </c>
      <c r="I132" s="282"/>
      <c r="J132" s="282"/>
      <c r="K132" s="282"/>
      <c r="L132" s="282"/>
      <c r="M132" s="282"/>
      <c r="N132" s="282"/>
      <c r="O132" s="282"/>
      <c r="P132" s="282"/>
      <c r="Q132" s="282">
        <v>3</v>
      </c>
      <c r="R132" s="283">
        <f t="shared" ref="R132:AF132" si="39">Q132</f>
        <v>3</v>
      </c>
      <c r="S132" s="283">
        <f t="shared" si="39"/>
        <v>3</v>
      </c>
      <c r="T132" s="283">
        <f t="shared" si="39"/>
        <v>3</v>
      </c>
      <c r="U132" s="283">
        <f t="shared" si="39"/>
        <v>3</v>
      </c>
      <c r="V132" s="283">
        <f t="shared" si="39"/>
        <v>3</v>
      </c>
      <c r="W132" s="283">
        <f t="shared" si="39"/>
        <v>3</v>
      </c>
      <c r="X132" s="283">
        <f t="shared" si="39"/>
        <v>3</v>
      </c>
      <c r="Y132" s="283">
        <f t="shared" si="39"/>
        <v>3</v>
      </c>
      <c r="Z132" s="283">
        <f t="shared" si="39"/>
        <v>3</v>
      </c>
      <c r="AA132" s="283">
        <f t="shared" si="39"/>
        <v>3</v>
      </c>
      <c r="AB132" s="283">
        <f t="shared" si="39"/>
        <v>3</v>
      </c>
      <c r="AC132" s="283">
        <f t="shared" si="39"/>
        <v>3</v>
      </c>
      <c r="AD132" s="283">
        <f t="shared" si="39"/>
        <v>3</v>
      </c>
      <c r="AE132" s="283">
        <f t="shared" si="39"/>
        <v>3</v>
      </c>
      <c r="AF132" s="283">
        <f t="shared" si="39"/>
        <v>3</v>
      </c>
    </row>
    <row r="133" spans="2:33" ht="15" customHeight="1" x14ac:dyDescent="0.35">
      <c r="B133" s="6" t="s">
        <v>5505</v>
      </c>
      <c r="C133" s="7" t="s">
        <v>5505</v>
      </c>
      <c r="D133" s="2" t="s">
        <v>3944</v>
      </c>
      <c r="E133" s="7" t="s">
        <v>5504</v>
      </c>
      <c r="H133" s="268" t="s">
        <v>3889</v>
      </c>
      <c r="I133" s="282"/>
      <c r="J133" s="282"/>
      <c r="K133" s="282"/>
      <c r="L133" s="282"/>
      <c r="M133" s="282"/>
      <c r="N133" s="282"/>
      <c r="O133" s="282"/>
      <c r="P133" s="282"/>
      <c r="Q133" s="282">
        <v>16</v>
      </c>
      <c r="R133" s="283">
        <f t="shared" ref="R133:AF133" si="40">Q133</f>
        <v>16</v>
      </c>
      <c r="S133" s="283">
        <f t="shared" si="40"/>
        <v>16</v>
      </c>
      <c r="T133" s="283">
        <f t="shared" si="40"/>
        <v>16</v>
      </c>
      <c r="U133" s="283">
        <f t="shared" si="40"/>
        <v>16</v>
      </c>
      <c r="V133" s="283">
        <f t="shared" si="40"/>
        <v>16</v>
      </c>
      <c r="W133" s="283">
        <f t="shared" si="40"/>
        <v>16</v>
      </c>
      <c r="X133" s="283">
        <f t="shared" si="40"/>
        <v>16</v>
      </c>
      <c r="Y133" s="283">
        <f t="shared" si="40"/>
        <v>16</v>
      </c>
      <c r="Z133" s="283">
        <f t="shared" si="40"/>
        <v>16</v>
      </c>
      <c r="AA133" s="283">
        <f t="shared" si="40"/>
        <v>16</v>
      </c>
      <c r="AB133" s="283">
        <f t="shared" si="40"/>
        <v>16</v>
      </c>
      <c r="AC133" s="283">
        <f t="shared" si="40"/>
        <v>16</v>
      </c>
      <c r="AD133" s="283">
        <f t="shared" si="40"/>
        <v>16</v>
      </c>
      <c r="AE133" s="283">
        <f t="shared" si="40"/>
        <v>16</v>
      </c>
      <c r="AF133" s="283">
        <f t="shared" si="40"/>
        <v>16</v>
      </c>
    </row>
    <row r="134" spans="2:33" ht="15" customHeight="1" x14ac:dyDescent="0.35">
      <c r="B134" s="6" t="s">
        <v>5505</v>
      </c>
      <c r="C134" s="7" t="s">
        <v>5505</v>
      </c>
      <c r="D134" s="2" t="s">
        <v>3960</v>
      </c>
      <c r="E134" s="7" t="s">
        <v>5504</v>
      </c>
      <c r="H134" s="268" t="s">
        <v>3889</v>
      </c>
      <c r="I134" s="282"/>
      <c r="J134" s="282"/>
      <c r="K134" s="282"/>
      <c r="L134" s="282"/>
      <c r="M134" s="282"/>
      <c r="N134" s="282"/>
      <c r="O134" s="282"/>
      <c r="P134" s="282"/>
      <c r="Q134" s="282">
        <v>5</v>
      </c>
      <c r="R134" s="283">
        <f t="shared" ref="R134:AF134" si="41">Q134</f>
        <v>5</v>
      </c>
      <c r="S134" s="283">
        <f t="shared" si="41"/>
        <v>5</v>
      </c>
      <c r="T134" s="283">
        <f t="shared" si="41"/>
        <v>5</v>
      </c>
      <c r="U134" s="283">
        <f t="shared" si="41"/>
        <v>5</v>
      </c>
      <c r="V134" s="283">
        <f t="shared" si="41"/>
        <v>5</v>
      </c>
      <c r="W134" s="283">
        <f t="shared" si="41"/>
        <v>5</v>
      </c>
      <c r="X134" s="283">
        <f t="shared" si="41"/>
        <v>5</v>
      </c>
      <c r="Y134" s="283">
        <f t="shared" si="41"/>
        <v>5</v>
      </c>
      <c r="Z134" s="283">
        <f t="shared" si="41"/>
        <v>5</v>
      </c>
      <c r="AA134" s="283">
        <f t="shared" si="41"/>
        <v>5</v>
      </c>
      <c r="AB134" s="283">
        <f t="shared" si="41"/>
        <v>5</v>
      </c>
      <c r="AC134" s="283">
        <f t="shared" si="41"/>
        <v>5</v>
      </c>
      <c r="AD134" s="283">
        <f t="shared" si="41"/>
        <v>5</v>
      </c>
      <c r="AE134" s="283">
        <f t="shared" si="41"/>
        <v>5</v>
      </c>
      <c r="AF134" s="283">
        <f t="shared" si="41"/>
        <v>5</v>
      </c>
    </row>
    <row r="135" spans="2:33" ht="15" customHeight="1" x14ac:dyDescent="0.35">
      <c r="B135" s="6" t="s">
        <v>5506</v>
      </c>
      <c r="C135" s="7" t="s">
        <v>5506</v>
      </c>
      <c r="D135" s="2" t="s">
        <v>3960</v>
      </c>
      <c r="E135" s="7" t="s">
        <v>5504</v>
      </c>
      <c r="H135" s="268" t="s">
        <v>3889</v>
      </c>
      <c r="I135" s="282"/>
      <c r="J135" s="282"/>
      <c r="K135" s="282"/>
      <c r="L135" s="282"/>
      <c r="M135" s="282"/>
      <c r="N135" s="282"/>
      <c r="O135" s="282"/>
      <c r="P135" s="282"/>
      <c r="Q135" s="282">
        <v>1</v>
      </c>
      <c r="R135" s="283">
        <f t="shared" ref="R135:AF135" si="42">Q135</f>
        <v>1</v>
      </c>
      <c r="S135" s="283">
        <f t="shared" si="42"/>
        <v>1</v>
      </c>
      <c r="T135" s="283">
        <f t="shared" si="42"/>
        <v>1</v>
      </c>
      <c r="U135" s="283">
        <f t="shared" si="42"/>
        <v>1</v>
      </c>
      <c r="V135" s="283">
        <f t="shared" si="42"/>
        <v>1</v>
      </c>
      <c r="W135" s="283">
        <f t="shared" si="42"/>
        <v>1</v>
      </c>
      <c r="X135" s="283">
        <f t="shared" si="42"/>
        <v>1</v>
      </c>
      <c r="Y135" s="283">
        <f t="shared" si="42"/>
        <v>1</v>
      </c>
      <c r="Z135" s="283">
        <f t="shared" si="42"/>
        <v>1</v>
      </c>
      <c r="AA135" s="283">
        <f t="shared" si="42"/>
        <v>1</v>
      </c>
      <c r="AB135" s="283">
        <f t="shared" si="42"/>
        <v>1</v>
      </c>
      <c r="AC135" s="283">
        <f t="shared" si="42"/>
        <v>1</v>
      </c>
      <c r="AD135" s="283">
        <f t="shared" si="42"/>
        <v>1</v>
      </c>
      <c r="AE135" s="283">
        <f t="shared" si="42"/>
        <v>1</v>
      </c>
      <c r="AF135" s="283">
        <f t="shared" si="42"/>
        <v>1</v>
      </c>
    </row>
    <row r="136" spans="2:33" ht="15" customHeight="1" x14ac:dyDescent="0.35">
      <c r="B136" s="6" t="s">
        <v>5507</v>
      </c>
      <c r="C136" s="7" t="s">
        <v>5508</v>
      </c>
      <c r="D136" s="2" t="s">
        <v>3960</v>
      </c>
      <c r="E136" s="7" t="s">
        <v>5504</v>
      </c>
      <c r="H136" s="268" t="s">
        <v>3889</v>
      </c>
      <c r="I136" s="282"/>
      <c r="J136" s="282"/>
      <c r="K136" s="282"/>
      <c r="L136" s="282"/>
      <c r="M136" s="282"/>
      <c r="N136" s="282"/>
      <c r="O136" s="282"/>
      <c r="P136" s="282"/>
      <c r="Q136" s="282">
        <v>1</v>
      </c>
      <c r="R136" s="283">
        <f t="shared" ref="R136:AF136" si="43">Q136</f>
        <v>1</v>
      </c>
      <c r="S136" s="283">
        <f t="shared" si="43"/>
        <v>1</v>
      </c>
      <c r="T136" s="283">
        <f t="shared" si="43"/>
        <v>1</v>
      </c>
      <c r="U136" s="283">
        <f t="shared" si="43"/>
        <v>1</v>
      </c>
      <c r="V136" s="283">
        <f t="shared" si="43"/>
        <v>1</v>
      </c>
      <c r="W136" s="283">
        <f t="shared" si="43"/>
        <v>1</v>
      </c>
      <c r="X136" s="283">
        <f t="shared" si="43"/>
        <v>1</v>
      </c>
      <c r="Y136" s="283">
        <f t="shared" si="43"/>
        <v>1</v>
      </c>
      <c r="Z136" s="283">
        <f t="shared" si="43"/>
        <v>1</v>
      </c>
      <c r="AA136" s="283">
        <f t="shared" si="43"/>
        <v>1</v>
      </c>
      <c r="AB136" s="283">
        <f t="shared" si="43"/>
        <v>1</v>
      </c>
      <c r="AC136" s="283">
        <f t="shared" si="43"/>
        <v>1</v>
      </c>
      <c r="AD136" s="283">
        <f t="shared" si="43"/>
        <v>1</v>
      </c>
      <c r="AE136" s="283">
        <f t="shared" si="43"/>
        <v>1</v>
      </c>
      <c r="AF136" s="283">
        <f t="shared" si="43"/>
        <v>1</v>
      </c>
    </row>
    <row r="137" spans="2:33" ht="15" customHeight="1" x14ac:dyDescent="0.35">
      <c r="B137" s="6" t="s">
        <v>5507</v>
      </c>
      <c r="C137" s="7" t="s">
        <v>5509</v>
      </c>
      <c r="D137" s="2" t="s">
        <v>3960</v>
      </c>
      <c r="E137" s="7" t="s">
        <v>5504</v>
      </c>
      <c r="H137" s="268" t="s">
        <v>3889</v>
      </c>
      <c r="I137" s="282"/>
      <c r="J137" s="282"/>
      <c r="K137" s="282"/>
      <c r="L137" s="282"/>
      <c r="M137" s="282"/>
      <c r="N137" s="282"/>
      <c r="O137" s="282"/>
      <c r="P137" s="282"/>
      <c r="Q137" s="282">
        <v>1</v>
      </c>
      <c r="R137" s="283">
        <f t="shared" ref="R137:AF137" si="44">Q137</f>
        <v>1</v>
      </c>
      <c r="S137" s="283">
        <f t="shared" si="44"/>
        <v>1</v>
      </c>
      <c r="T137" s="283">
        <f t="shared" si="44"/>
        <v>1</v>
      </c>
      <c r="U137" s="283">
        <f t="shared" si="44"/>
        <v>1</v>
      </c>
      <c r="V137" s="283">
        <f t="shared" si="44"/>
        <v>1</v>
      </c>
      <c r="W137" s="283">
        <f t="shared" si="44"/>
        <v>1</v>
      </c>
      <c r="X137" s="283">
        <f t="shared" si="44"/>
        <v>1</v>
      </c>
      <c r="Y137" s="283">
        <f t="shared" si="44"/>
        <v>1</v>
      </c>
      <c r="Z137" s="283">
        <f t="shared" si="44"/>
        <v>1</v>
      </c>
      <c r="AA137" s="283">
        <f t="shared" si="44"/>
        <v>1</v>
      </c>
      <c r="AB137" s="283">
        <f t="shared" si="44"/>
        <v>1</v>
      </c>
      <c r="AC137" s="283">
        <f t="shared" si="44"/>
        <v>1</v>
      </c>
      <c r="AD137" s="283">
        <f t="shared" si="44"/>
        <v>1</v>
      </c>
      <c r="AE137" s="283">
        <f t="shared" si="44"/>
        <v>1</v>
      </c>
      <c r="AF137" s="283">
        <f t="shared" si="44"/>
        <v>1</v>
      </c>
    </row>
    <row r="138" spans="2:33" ht="15" customHeight="1" x14ac:dyDescent="0.35">
      <c r="B138" s="6" t="s">
        <v>5510</v>
      </c>
      <c r="C138" s="7" t="s">
        <v>5510</v>
      </c>
      <c r="D138" s="2" t="s">
        <v>3960</v>
      </c>
      <c r="E138" s="7" t="s">
        <v>5511</v>
      </c>
      <c r="H138" s="268" t="s">
        <v>3889</v>
      </c>
      <c r="I138" s="282"/>
      <c r="J138" s="282"/>
      <c r="K138" s="282"/>
      <c r="L138" s="282"/>
      <c r="M138" s="282"/>
      <c r="N138" s="282"/>
      <c r="O138" s="282"/>
      <c r="P138" s="282"/>
      <c r="Q138" s="282">
        <v>2</v>
      </c>
      <c r="R138" s="283">
        <f t="shared" ref="R138:AF138" si="45">Q138</f>
        <v>2</v>
      </c>
      <c r="S138" s="283">
        <f t="shared" si="45"/>
        <v>2</v>
      </c>
      <c r="T138" s="283">
        <f t="shared" si="45"/>
        <v>2</v>
      </c>
      <c r="U138" s="283">
        <f t="shared" si="45"/>
        <v>2</v>
      </c>
      <c r="V138" s="283">
        <f t="shared" si="45"/>
        <v>2</v>
      </c>
      <c r="W138" s="283">
        <f t="shared" si="45"/>
        <v>2</v>
      </c>
      <c r="X138" s="283">
        <f t="shared" si="45"/>
        <v>2</v>
      </c>
      <c r="Y138" s="283">
        <f t="shared" si="45"/>
        <v>2</v>
      </c>
      <c r="Z138" s="283">
        <f t="shared" si="45"/>
        <v>2</v>
      </c>
      <c r="AA138" s="283">
        <f t="shared" si="45"/>
        <v>2</v>
      </c>
      <c r="AB138" s="283">
        <f t="shared" si="45"/>
        <v>2</v>
      </c>
      <c r="AC138" s="283">
        <f t="shared" si="45"/>
        <v>2</v>
      </c>
      <c r="AD138" s="283">
        <f t="shared" si="45"/>
        <v>2</v>
      </c>
      <c r="AE138" s="283">
        <f t="shared" si="45"/>
        <v>2</v>
      </c>
      <c r="AF138" s="283">
        <f t="shared" si="45"/>
        <v>2</v>
      </c>
    </row>
    <row r="139" spans="2:33" ht="15" customHeight="1" x14ac:dyDescent="0.35">
      <c r="B139" s="4" t="s">
        <v>5538</v>
      </c>
      <c r="C139" s="13"/>
      <c r="D139" s="281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 spans="2:33" ht="15" customHeight="1" x14ac:dyDescent="0.35">
      <c r="B140" s="6" t="s">
        <v>5539</v>
      </c>
      <c r="C140" s="7" t="s">
        <v>5540</v>
      </c>
      <c r="D140" s="2"/>
      <c r="E140" s="7"/>
      <c r="H140" s="268" t="s">
        <v>3900</v>
      </c>
      <c r="I140" s="282">
        <v>3500</v>
      </c>
      <c r="J140" s="282">
        <v>3500</v>
      </c>
      <c r="K140" s="282">
        <v>3500</v>
      </c>
      <c r="L140" s="282">
        <v>3500</v>
      </c>
      <c r="M140" s="282">
        <v>3500</v>
      </c>
      <c r="N140" s="282">
        <v>3500</v>
      </c>
      <c r="O140" s="282">
        <v>3500</v>
      </c>
      <c r="P140" s="282">
        <v>3500</v>
      </c>
      <c r="Q140" s="283">
        <v>3500</v>
      </c>
      <c r="R140" s="283">
        <v>3500</v>
      </c>
      <c r="S140" s="283">
        <v>3500</v>
      </c>
      <c r="T140" s="283">
        <v>3500</v>
      </c>
      <c r="U140" s="283">
        <v>3500</v>
      </c>
      <c r="V140" s="283">
        <v>3500</v>
      </c>
      <c r="W140" s="283">
        <v>3500</v>
      </c>
      <c r="X140" s="283">
        <v>3500</v>
      </c>
      <c r="Y140" s="283">
        <v>3500</v>
      </c>
      <c r="Z140" s="283">
        <v>3500</v>
      </c>
      <c r="AA140" s="283">
        <v>3500</v>
      </c>
      <c r="AB140" s="283">
        <v>3500</v>
      </c>
      <c r="AC140" s="283">
        <v>3500</v>
      </c>
      <c r="AD140" s="283">
        <v>3500</v>
      </c>
      <c r="AE140" s="283">
        <v>3500</v>
      </c>
      <c r="AF140" s="283">
        <v>3500</v>
      </c>
    </row>
    <row r="141" spans="2:33" ht="15" customHeight="1" x14ac:dyDescent="0.35">
      <c r="B141" s="6" t="s">
        <v>5541</v>
      </c>
      <c r="C141" s="7" t="s">
        <v>5542</v>
      </c>
      <c r="D141" s="2"/>
      <c r="E141" s="7"/>
      <c r="H141" s="268" t="s">
        <v>13</v>
      </c>
      <c r="I141" s="284"/>
      <c r="J141" s="284"/>
      <c r="K141" s="284"/>
      <c r="L141" s="284"/>
      <c r="M141" s="284"/>
      <c r="N141" s="284"/>
      <c r="O141" s="284"/>
      <c r="P141" s="284"/>
      <c r="Q141" s="285">
        <v>0.9</v>
      </c>
      <c r="R141" s="285">
        <v>0.9</v>
      </c>
      <c r="S141" s="285">
        <v>0.9</v>
      </c>
      <c r="T141" s="285">
        <v>0.9</v>
      </c>
      <c r="U141" s="285">
        <v>0.9</v>
      </c>
      <c r="V141" s="285">
        <v>0.9</v>
      </c>
      <c r="W141" s="285">
        <v>0.9</v>
      </c>
      <c r="X141" s="285">
        <v>0.9</v>
      </c>
      <c r="Y141" s="285">
        <v>0.9</v>
      </c>
      <c r="Z141" s="285">
        <v>0.9</v>
      </c>
      <c r="AA141" s="285">
        <v>0.9</v>
      </c>
      <c r="AB141" s="285">
        <v>0.9</v>
      </c>
      <c r="AC141" s="285">
        <v>0.9</v>
      </c>
      <c r="AD141" s="285">
        <v>0.9</v>
      </c>
      <c r="AE141" s="285">
        <v>0.9</v>
      </c>
      <c r="AF141" s="285">
        <v>0.9</v>
      </c>
    </row>
    <row r="142" spans="2:33" ht="15" customHeight="1" x14ac:dyDescent="0.35">
      <c r="B142" s="6" t="s">
        <v>5552</v>
      </c>
      <c r="C142" s="7" t="s">
        <v>5553</v>
      </c>
      <c r="D142" s="2"/>
      <c r="E142" s="7"/>
      <c r="H142" s="268"/>
      <c r="I142" s="282"/>
      <c r="J142" s="282"/>
      <c r="K142" s="282"/>
      <c r="L142" s="282"/>
      <c r="M142" s="282"/>
      <c r="N142" s="282"/>
      <c r="O142" s="282"/>
      <c r="P142" s="282"/>
      <c r="Q142" s="283">
        <v>2599000</v>
      </c>
      <c r="R142" s="283">
        <v>2599000</v>
      </c>
      <c r="S142" s="283">
        <v>2599000</v>
      </c>
      <c r="T142" s="283">
        <v>2599000</v>
      </c>
      <c r="U142" s="283">
        <v>2599000</v>
      </c>
      <c r="V142" s="283">
        <v>2599000</v>
      </c>
      <c r="W142" s="283">
        <v>2599000</v>
      </c>
      <c r="X142" s="283">
        <v>2599000</v>
      </c>
      <c r="Y142" s="283">
        <v>2599000</v>
      </c>
      <c r="Z142" s="283">
        <v>2599000</v>
      </c>
      <c r="AA142" s="283">
        <v>2599000</v>
      </c>
      <c r="AB142" s="283">
        <v>2599000</v>
      </c>
      <c r="AC142" s="283">
        <v>2599000</v>
      </c>
      <c r="AD142" s="283">
        <v>2599000</v>
      </c>
      <c r="AE142" s="283">
        <v>2599000</v>
      </c>
      <c r="AF142" s="283">
        <v>2599000</v>
      </c>
    </row>
    <row r="143" spans="2:33" ht="15" customHeight="1" x14ac:dyDescent="0.35">
      <c r="B143" s="6" t="s">
        <v>5552</v>
      </c>
      <c r="C143" s="7" t="s">
        <v>5562</v>
      </c>
      <c r="D143" s="2"/>
      <c r="E143" s="7"/>
      <c r="H143" s="268"/>
      <c r="I143" s="282"/>
      <c r="J143" s="282"/>
      <c r="K143" s="282"/>
      <c r="L143" s="282"/>
      <c r="M143" s="282"/>
      <c r="N143" s="282"/>
      <c r="O143" s="282"/>
      <c r="P143" s="282"/>
      <c r="Q143" s="283">
        <v>1100000</v>
      </c>
      <c r="R143" s="283">
        <v>1100000</v>
      </c>
      <c r="S143" s="283">
        <v>1100000</v>
      </c>
      <c r="T143" s="283">
        <v>1100000</v>
      </c>
      <c r="U143" s="283">
        <v>1100000</v>
      </c>
      <c r="V143" s="283">
        <v>1100000</v>
      </c>
      <c r="W143" s="283">
        <v>1100000</v>
      </c>
      <c r="X143" s="283">
        <v>1100000</v>
      </c>
      <c r="Y143" s="283">
        <v>1100000</v>
      </c>
      <c r="Z143" s="283">
        <v>1100000</v>
      </c>
      <c r="AA143" s="283">
        <v>1100000</v>
      </c>
      <c r="AB143" s="283">
        <v>1100000</v>
      </c>
      <c r="AC143" s="283">
        <v>1100000</v>
      </c>
      <c r="AD143" s="283">
        <v>1100000</v>
      </c>
      <c r="AE143" s="283">
        <v>1100000</v>
      </c>
      <c r="AF143" s="283">
        <v>1100000</v>
      </c>
    </row>
    <row r="144" spans="2:33" ht="15" customHeight="1" x14ac:dyDescent="0.35">
      <c r="B144" s="6" t="s">
        <v>5555</v>
      </c>
      <c r="C144" s="7" t="s">
        <v>5556</v>
      </c>
      <c r="D144" s="2"/>
      <c r="E144" s="7"/>
      <c r="H144" s="268" t="s">
        <v>13</v>
      </c>
      <c r="I144" s="284"/>
      <c r="J144" s="284"/>
      <c r="K144" s="284"/>
      <c r="L144" s="284"/>
      <c r="M144" s="284"/>
      <c r="N144" s="284"/>
      <c r="O144" s="284"/>
      <c r="P144" s="284"/>
      <c r="Q144" s="285">
        <v>0.5</v>
      </c>
      <c r="R144" s="285">
        <v>0.5</v>
      </c>
      <c r="S144" s="285">
        <v>0.5</v>
      </c>
      <c r="T144" s="285">
        <v>0.5</v>
      </c>
      <c r="U144" s="285">
        <v>0.5</v>
      </c>
      <c r="V144" s="285">
        <v>0.5</v>
      </c>
      <c r="W144" s="285">
        <v>0.5</v>
      </c>
      <c r="X144" s="285">
        <v>0.5</v>
      </c>
      <c r="Y144" s="285">
        <v>0.5</v>
      </c>
      <c r="Z144" s="285">
        <v>0.5</v>
      </c>
      <c r="AA144" s="285">
        <v>0.5</v>
      </c>
      <c r="AB144" s="285">
        <v>0.5</v>
      </c>
      <c r="AC144" s="285">
        <v>0.5</v>
      </c>
      <c r="AD144" s="285">
        <v>0.5</v>
      </c>
      <c r="AE144" s="285">
        <v>0.5</v>
      </c>
      <c r="AF144" s="285">
        <v>0.5</v>
      </c>
    </row>
    <row r="145" spans="2:33" ht="15" customHeight="1" x14ac:dyDescent="0.35">
      <c r="B145" s="6" t="s">
        <v>5551</v>
      </c>
      <c r="C145" s="7" t="s">
        <v>5563</v>
      </c>
      <c r="D145" s="2"/>
      <c r="E145" s="7"/>
      <c r="H145" s="268"/>
      <c r="I145" s="282"/>
      <c r="J145" s="282"/>
      <c r="K145" s="282"/>
      <c r="L145" s="282"/>
      <c r="M145" s="282"/>
      <c r="N145" s="282"/>
      <c r="O145" s="282"/>
      <c r="P145" s="282"/>
      <c r="Q145" s="283">
        <v>560000</v>
      </c>
      <c r="R145" s="283">
        <v>560000</v>
      </c>
      <c r="S145" s="283">
        <v>560000</v>
      </c>
      <c r="T145" s="283">
        <v>560000</v>
      </c>
      <c r="U145" s="283">
        <v>560000</v>
      </c>
      <c r="V145" s="283">
        <v>560000</v>
      </c>
      <c r="W145" s="283">
        <v>560000</v>
      </c>
      <c r="X145" s="283">
        <v>560000</v>
      </c>
      <c r="Y145" s="283">
        <v>560000</v>
      </c>
      <c r="Z145" s="283">
        <v>560000</v>
      </c>
      <c r="AA145" s="283">
        <v>560000</v>
      </c>
      <c r="AB145" s="283">
        <v>560000</v>
      </c>
      <c r="AC145" s="283">
        <v>560000</v>
      </c>
      <c r="AD145" s="283">
        <v>560000</v>
      </c>
      <c r="AE145" s="283">
        <v>560000</v>
      </c>
      <c r="AF145" s="283">
        <v>560000</v>
      </c>
    </row>
    <row r="146" spans="2:33" ht="15" customHeight="1" x14ac:dyDescent="0.35">
      <c r="B146" s="4" t="s">
        <v>5571</v>
      </c>
      <c r="C146" s="13"/>
      <c r="D146" s="281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 spans="2:33" ht="14.25" customHeight="1" x14ac:dyDescent="0.35">
      <c r="B147" s="6" t="s">
        <v>20</v>
      </c>
      <c r="C147" s="7" t="s">
        <v>4038</v>
      </c>
      <c r="D147" s="2" t="s">
        <v>5512</v>
      </c>
      <c r="H147" s="268" t="s">
        <v>5513</v>
      </c>
      <c r="Q147" s="288">
        <v>1</v>
      </c>
      <c r="R147" s="288">
        <v>1</v>
      </c>
      <c r="S147" s="288">
        <v>1</v>
      </c>
      <c r="T147" s="288">
        <v>1</v>
      </c>
      <c r="U147" s="288">
        <v>1</v>
      </c>
      <c r="V147" s="288">
        <v>1</v>
      </c>
      <c r="W147" s="288">
        <v>1</v>
      </c>
      <c r="X147" s="288">
        <v>1</v>
      </c>
      <c r="Y147" s="288">
        <v>1</v>
      </c>
      <c r="Z147" s="288">
        <v>1</v>
      </c>
      <c r="AA147" s="288">
        <v>1</v>
      </c>
      <c r="AB147" s="288">
        <v>1</v>
      </c>
      <c r="AC147" s="288">
        <v>1</v>
      </c>
      <c r="AD147" s="288">
        <v>1</v>
      </c>
      <c r="AE147" s="288">
        <v>1</v>
      </c>
      <c r="AF147" s="288">
        <v>1</v>
      </c>
    </row>
    <row r="148" spans="2:33" ht="14.25" customHeight="1" x14ac:dyDescent="0.35">
      <c r="B148" s="6" t="s">
        <v>5447</v>
      </c>
      <c r="C148" s="7" t="s">
        <v>21</v>
      </c>
      <c r="D148" s="2" t="s">
        <v>5512</v>
      </c>
      <c r="H148" s="268" t="s">
        <v>5513</v>
      </c>
      <c r="Q148" s="288">
        <v>1</v>
      </c>
      <c r="R148" s="288">
        <v>1</v>
      </c>
      <c r="S148" s="288">
        <v>1</v>
      </c>
      <c r="T148" s="288">
        <v>1</v>
      </c>
      <c r="U148" s="288">
        <v>1</v>
      </c>
      <c r="V148" s="288">
        <v>1</v>
      </c>
      <c r="W148" s="288">
        <v>1</v>
      </c>
      <c r="X148" s="288">
        <v>1</v>
      </c>
      <c r="Y148" s="288">
        <v>1</v>
      </c>
      <c r="Z148" s="288">
        <v>1</v>
      </c>
      <c r="AA148" s="288">
        <v>1</v>
      </c>
      <c r="AB148" s="288">
        <v>1</v>
      </c>
      <c r="AC148" s="288">
        <v>1</v>
      </c>
      <c r="AD148" s="288">
        <v>1</v>
      </c>
      <c r="AE148" s="288">
        <v>1</v>
      </c>
      <c r="AF148" s="288">
        <v>1</v>
      </c>
    </row>
    <row r="149" spans="2:33" ht="14.25" customHeight="1" x14ac:dyDescent="0.35">
      <c r="B149" s="6" t="s">
        <v>5448</v>
      </c>
      <c r="C149" s="7" t="s">
        <v>22</v>
      </c>
      <c r="D149" s="2" t="s">
        <v>5512</v>
      </c>
      <c r="H149" s="268" t="s">
        <v>5513</v>
      </c>
      <c r="Q149" s="288">
        <v>1</v>
      </c>
      <c r="R149" s="288">
        <v>1</v>
      </c>
      <c r="S149" s="288">
        <v>1</v>
      </c>
      <c r="T149" s="288">
        <v>1</v>
      </c>
      <c r="U149" s="288">
        <v>1</v>
      </c>
      <c r="V149" s="288">
        <v>1</v>
      </c>
      <c r="W149" s="288">
        <v>1</v>
      </c>
      <c r="X149" s="288">
        <v>1</v>
      </c>
      <c r="Y149" s="288">
        <v>1</v>
      </c>
      <c r="Z149" s="288">
        <v>1</v>
      </c>
      <c r="AA149" s="288">
        <v>1</v>
      </c>
      <c r="AB149" s="288">
        <v>1</v>
      </c>
      <c r="AC149" s="288">
        <v>1</v>
      </c>
      <c r="AD149" s="288">
        <v>1</v>
      </c>
      <c r="AE149" s="288">
        <v>1</v>
      </c>
      <c r="AF149" s="288">
        <v>1</v>
      </c>
    </row>
    <row r="150" spans="2:33" ht="14.25" customHeight="1" x14ac:dyDescent="0.35">
      <c r="B150" s="6" t="s">
        <v>5449</v>
      </c>
      <c r="C150" s="7" t="s">
        <v>321</v>
      </c>
      <c r="D150" s="2" t="s">
        <v>5512</v>
      </c>
      <c r="H150" s="268" t="s">
        <v>5513</v>
      </c>
      <c r="Q150" s="288">
        <v>1</v>
      </c>
      <c r="R150" s="288">
        <v>1</v>
      </c>
      <c r="S150" s="288">
        <v>1</v>
      </c>
      <c r="T150" s="288">
        <v>1</v>
      </c>
      <c r="U150" s="288">
        <v>1</v>
      </c>
      <c r="V150" s="288">
        <v>1</v>
      </c>
      <c r="W150" s="288">
        <v>1</v>
      </c>
      <c r="X150" s="288">
        <v>1</v>
      </c>
      <c r="Y150" s="288">
        <v>1</v>
      </c>
      <c r="Z150" s="288">
        <v>1</v>
      </c>
      <c r="AA150" s="288">
        <v>1</v>
      </c>
      <c r="AB150" s="288">
        <v>1</v>
      </c>
      <c r="AC150" s="288">
        <v>1</v>
      </c>
      <c r="AD150" s="288">
        <v>1</v>
      </c>
      <c r="AE150" s="288">
        <v>1</v>
      </c>
      <c r="AF150" s="288">
        <v>1</v>
      </c>
    </row>
    <row r="151" spans="2:33" ht="14.25" customHeight="1" x14ac:dyDescent="0.35">
      <c r="B151" s="6" t="s">
        <v>20</v>
      </c>
      <c r="C151" s="7" t="s">
        <v>4038</v>
      </c>
      <c r="D151" s="2" t="s">
        <v>5514</v>
      </c>
      <c r="H151" s="268" t="s">
        <v>5513</v>
      </c>
      <c r="Q151" s="288">
        <v>1</v>
      </c>
      <c r="R151" s="288">
        <v>1</v>
      </c>
      <c r="S151" s="288">
        <v>1</v>
      </c>
      <c r="T151" s="288">
        <v>1</v>
      </c>
      <c r="U151" s="288">
        <v>1</v>
      </c>
      <c r="V151" s="288">
        <v>1</v>
      </c>
      <c r="W151" s="288">
        <v>1</v>
      </c>
      <c r="X151" s="288">
        <v>1</v>
      </c>
      <c r="Y151" s="288">
        <v>1</v>
      </c>
      <c r="Z151" s="288">
        <v>1</v>
      </c>
      <c r="AA151" s="288">
        <v>1</v>
      </c>
      <c r="AB151" s="288">
        <v>1</v>
      </c>
      <c r="AC151" s="288">
        <v>1</v>
      </c>
      <c r="AD151" s="288">
        <v>1</v>
      </c>
      <c r="AE151" s="288">
        <v>1</v>
      </c>
      <c r="AF151" s="288">
        <v>1</v>
      </c>
    </row>
    <row r="152" spans="2:33" ht="14.25" customHeight="1" x14ac:dyDescent="0.35">
      <c r="B152" s="6" t="s">
        <v>5447</v>
      </c>
      <c r="C152" s="7" t="s">
        <v>21</v>
      </c>
      <c r="D152" s="2" t="s">
        <v>5514</v>
      </c>
      <c r="H152" s="268" t="s">
        <v>5513</v>
      </c>
      <c r="Q152" s="288">
        <v>1</v>
      </c>
      <c r="R152" s="288">
        <v>1</v>
      </c>
      <c r="S152" s="288">
        <v>1</v>
      </c>
      <c r="T152" s="288">
        <v>1</v>
      </c>
      <c r="U152" s="288">
        <v>1</v>
      </c>
      <c r="V152" s="288">
        <v>1</v>
      </c>
      <c r="W152" s="288">
        <v>1</v>
      </c>
      <c r="X152" s="288">
        <v>1</v>
      </c>
      <c r="Y152" s="288">
        <v>1</v>
      </c>
      <c r="Z152" s="288">
        <v>1</v>
      </c>
      <c r="AA152" s="288">
        <v>1</v>
      </c>
      <c r="AB152" s="288">
        <v>1</v>
      </c>
      <c r="AC152" s="288">
        <v>1</v>
      </c>
      <c r="AD152" s="288">
        <v>1</v>
      </c>
      <c r="AE152" s="288">
        <v>1</v>
      </c>
      <c r="AF152" s="288">
        <v>1</v>
      </c>
    </row>
    <row r="153" spans="2:33" ht="14.25" customHeight="1" x14ac:dyDescent="0.35">
      <c r="B153" s="6" t="s">
        <v>5448</v>
      </c>
      <c r="C153" s="7" t="s">
        <v>22</v>
      </c>
      <c r="D153" s="2" t="s">
        <v>5514</v>
      </c>
      <c r="H153" s="268" t="s">
        <v>5513</v>
      </c>
      <c r="Q153" s="288">
        <v>1</v>
      </c>
      <c r="R153" s="288">
        <v>1</v>
      </c>
      <c r="S153" s="288">
        <v>1</v>
      </c>
      <c r="T153" s="288">
        <v>1</v>
      </c>
      <c r="U153" s="288">
        <v>1</v>
      </c>
      <c r="V153" s="288">
        <v>1</v>
      </c>
      <c r="W153" s="288">
        <v>1</v>
      </c>
      <c r="X153" s="288">
        <v>1</v>
      </c>
      <c r="Y153" s="288">
        <v>1</v>
      </c>
      <c r="Z153" s="288">
        <v>1</v>
      </c>
      <c r="AA153" s="288">
        <v>1</v>
      </c>
      <c r="AB153" s="288">
        <v>1</v>
      </c>
      <c r="AC153" s="288">
        <v>1</v>
      </c>
      <c r="AD153" s="288">
        <v>1</v>
      </c>
      <c r="AE153" s="288">
        <v>1</v>
      </c>
      <c r="AF153" s="288">
        <v>1</v>
      </c>
    </row>
    <row r="154" spans="2:33" ht="14.25" customHeight="1" x14ac:dyDescent="0.35">
      <c r="B154" s="6" t="s">
        <v>5449</v>
      </c>
      <c r="C154" s="7" t="s">
        <v>321</v>
      </c>
      <c r="D154" s="2" t="s">
        <v>5514</v>
      </c>
      <c r="H154" s="268" t="s">
        <v>5513</v>
      </c>
      <c r="Q154" s="288">
        <v>1</v>
      </c>
      <c r="R154" s="288">
        <v>1</v>
      </c>
      <c r="S154" s="288">
        <v>1</v>
      </c>
      <c r="T154" s="288">
        <v>1</v>
      </c>
      <c r="U154" s="288">
        <v>1</v>
      </c>
      <c r="V154" s="288">
        <v>1</v>
      </c>
      <c r="W154" s="288">
        <v>1</v>
      </c>
      <c r="X154" s="288">
        <v>1</v>
      </c>
      <c r="Y154" s="288">
        <v>1</v>
      </c>
      <c r="Z154" s="288">
        <v>1</v>
      </c>
      <c r="AA154" s="288">
        <v>1</v>
      </c>
      <c r="AB154" s="288">
        <v>1</v>
      </c>
      <c r="AC154" s="288">
        <v>1</v>
      </c>
      <c r="AD154" s="288">
        <v>1</v>
      </c>
      <c r="AE154" s="288">
        <v>1</v>
      </c>
      <c r="AF154" s="288">
        <v>1</v>
      </c>
    </row>
    <row r="155" spans="2:33" ht="15" customHeight="1" x14ac:dyDescent="0.35">
      <c r="B155" s="4" t="s">
        <v>5577</v>
      </c>
      <c r="C155" s="13"/>
      <c r="D155" s="281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</row>
    <row r="156" spans="2:33" ht="14.25" customHeight="1" x14ac:dyDescent="0.35">
      <c r="B156" s="6" t="s">
        <v>5446</v>
      </c>
      <c r="C156" s="7" t="s">
        <v>5515</v>
      </c>
      <c r="D156" s="2"/>
      <c r="H156" s="268" t="s">
        <v>5516</v>
      </c>
      <c r="Q156" s="65">
        <v>18000</v>
      </c>
      <c r="R156" s="65">
        <v>18000</v>
      </c>
      <c r="S156" s="65">
        <v>18000</v>
      </c>
      <c r="T156" s="65">
        <v>18000</v>
      </c>
      <c r="U156" s="65">
        <v>18000</v>
      </c>
      <c r="V156" s="65">
        <v>18000</v>
      </c>
      <c r="W156" s="65">
        <v>18000</v>
      </c>
      <c r="X156" s="65">
        <v>18000</v>
      </c>
      <c r="Y156" s="65">
        <v>18000</v>
      </c>
      <c r="Z156" s="65">
        <v>18000</v>
      </c>
      <c r="AA156" s="65">
        <v>18000</v>
      </c>
      <c r="AB156" s="65">
        <v>18000</v>
      </c>
      <c r="AC156" s="65">
        <v>18000</v>
      </c>
      <c r="AD156" s="65">
        <v>18000</v>
      </c>
      <c r="AE156" s="65">
        <v>18000</v>
      </c>
      <c r="AF156" s="65">
        <v>18000</v>
      </c>
    </row>
    <row r="157" spans="2:33" ht="14.25" customHeight="1" x14ac:dyDescent="0.35">
      <c r="B157" s="6" t="s">
        <v>5446</v>
      </c>
      <c r="C157" s="7" t="s">
        <v>5517</v>
      </c>
      <c r="D157" s="2"/>
      <c r="H157" s="268" t="s">
        <v>5518</v>
      </c>
      <c r="Q157" s="65">
        <v>4</v>
      </c>
      <c r="R157" s="65">
        <v>4</v>
      </c>
      <c r="S157" s="65">
        <v>4</v>
      </c>
      <c r="T157" s="65">
        <v>4</v>
      </c>
      <c r="U157" s="65">
        <v>4</v>
      </c>
      <c r="V157" s="65">
        <v>4</v>
      </c>
      <c r="W157" s="65">
        <v>4</v>
      </c>
      <c r="X157" s="65">
        <v>4</v>
      </c>
      <c r="Y157" s="65">
        <v>4</v>
      </c>
      <c r="Z157" s="65">
        <v>4</v>
      </c>
      <c r="AA157" s="65">
        <v>4</v>
      </c>
      <c r="AB157" s="65">
        <v>4</v>
      </c>
      <c r="AC157" s="65">
        <v>4</v>
      </c>
      <c r="AD157" s="65">
        <v>4</v>
      </c>
      <c r="AE157" s="65">
        <v>4</v>
      </c>
      <c r="AF157" s="65">
        <v>4</v>
      </c>
    </row>
    <row r="158" spans="2:33" ht="14.25" customHeight="1" x14ac:dyDescent="0.35">
      <c r="B158" s="6" t="s">
        <v>5446</v>
      </c>
      <c r="C158" s="7" t="s">
        <v>5519</v>
      </c>
      <c r="D158" s="2"/>
      <c r="H158" s="268" t="s">
        <v>5520</v>
      </c>
      <c r="Q158" s="65">
        <v>48000</v>
      </c>
      <c r="R158" s="65">
        <v>48000</v>
      </c>
      <c r="S158" s="65">
        <v>48000</v>
      </c>
      <c r="T158" s="65">
        <v>48000</v>
      </c>
      <c r="U158" s="65">
        <v>48000</v>
      </c>
      <c r="V158" s="65">
        <v>48000</v>
      </c>
      <c r="W158" s="65">
        <v>48000</v>
      </c>
      <c r="X158" s="65">
        <v>48000</v>
      </c>
      <c r="Y158" s="65">
        <v>48000</v>
      </c>
      <c r="Z158" s="65">
        <v>48000</v>
      </c>
      <c r="AA158" s="65">
        <v>48000</v>
      </c>
      <c r="AB158" s="65">
        <v>48000</v>
      </c>
      <c r="AC158" s="65">
        <v>48000</v>
      </c>
      <c r="AD158" s="65">
        <v>48000</v>
      </c>
      <c r="AE158" s="65">
        <v>48000</v>
      </c>
      <c r="AF158" s="65">
        <v>48000</v>
      </c>
    </row>
    <row r="159" spans="2:33" ht="14.25" customHeight="1" x14ac:dyDescent="0.35">
      <c r="B159" s="6" t="s">
        <v>20</v>
      </c>
      <c r="C159" s="7" t="s">
        <v>4038</v>
      </c>
      <c r="D159" s="2"/>
      <c r="H159" s="268" t="s">
        <v>13</v>
      </c>
      <c r="Q159" s="289">
        <v>0.4</v>
      </c>
      <c r="R159" s="289">
        <v>0.4</v>
      </c>
      <c r="S159" s="289">
        <v>0.4</v>
      </c>
      <c r="T159" s="289">
        <v>0.4</v>
      </c>
      <c r="U159" s="289">
        <v>0.4</v>
      </c>
      <c r="V159" s="289">
        <v>0.4</v>
      </c>
      <c r="W159" s="289">
        <v>0.4</v>
      </c>
      <c r="X159" s="289">
        <v>0.4</v>
      </c>
      <c r="Y159" s="289">
        <v>0.4</v>
      </c>
      <c r="Z159" s="289">
        <v>0.4</v>
      </c>
      <c r="AA159" s="289">
        <v>0.4</v>
      </c>
      <c r="AB159" s="289">
        <v>0.4</v>
      </c>
      <c r="AC159" s="289">
        <v>0.4</v>
      </c>
      <c r="AD159" s="289">
        <v>0.4</v>
      </c>
      <c r="AE159" s="289">
        <v>0.4</v>
      </c>
      <c r="AF159" s="289">
        <v>0.4</v>
      </c>
    </row>
    <row r="160" spans="2:33" ht="14.25" customHeight="1" x14ac:dyDescent="0.35">
      <c r="B160" s="6" t="s">
        <v>5447</v>
      </c>
      <c r="C160" s="7" t="s">
        <v>21</v>
      </c>
      <c r="D160" s="2"/>
      <c r="H160" s="268" t="s">
        <v>13</v>
      </c>
      <c r="Q160" s="289">
        <v>0.4</v>
      </c>
      <c r="R160" s="289">
        <v>0.4</v>
      </c>
      <c r="S160" s="289">
        <v>0.4</v>
      </c>
      <c r="T160" s="289">
        <v>0.4</v>
      </c>
      <c r="U160" s="289">
        <v>0.4</v>
      </c>
      <c r="V160" s="289">
        <v>0.4</v>
      </c>
      <c r="W160" s="289">
        <v>0.4</v>
      </c>
      <c r="X160" s="289">
        <v>0.4</v>
      </c>
      <c r="Y160" s="289">
        <v>0.4</v>
      </c>
      <c r="Z160" s="289">
        <v>0.4</v>
      </c>
      <c r="AA160" s="289">
        <v>0.4</v>
      </c>
      <c r="AB160" s="289">
        <v>0.4</v>
      </c>
      <c r="AC160" s="289">
        <v>0.4</v>
      </c>
      <c r="AD160" s="289">
        <v>0.4</v>
      </c>
      <c r="AE160" s="289">
        <v>0.4</v>
      </c>
      <c r="AF160" s="289">
        <v>0.4</v>
      </c>
    </row>
    <row r="161" spans="2:33" ht="14.25" customHeight="1" x14ac:dyDescent="0.35">
      <c r="B161" s="6" t="s">
        <v>5448</v>
      </c>
      <c r="C161" s="7" t="s">
        <v>22</v>
      </c>
      <c r="D161" s="2"/>
      <c r="H161" s="268" t="s">
        <v>13</v>
      </c>
      <c r="Q161" s="289">
        <v>0.4</v>
      </c>
      <c r="R161" s="289">
        <v>0.4</v>
      </c>
      <c r="S161" s="289">
        <v>0.4</v>
      </c>
      <c r="T161" s="289">
        <v>0.4</v>
      </c>
      <c r="U161" s="289">
        <v>0.4</v>
      </c>
      <c r="V161" s="289">
        <v>0.4</v>
      </c>
      <c r="W161" s="289">
        <v>0.4</v>
      </c>
      <c r="X161" s="289">
        <v>0.4</v>
      </c>
      <c r="Y161" s="289">
        <v>0.4</v>
      </c>
      <c r="Z161" s="289">
        <v>0.4</v>
      </c>
      <c r="AA161" s="289">
        <v>0.4</v>
      </c>
      <c r="AB161" s="289">
        <v>0.4</v>
      </c>
      <c r="AC161" s="289">
        <v>0.4</v>
      </c>
      <c r="AD161" s="289">
        <v>0.4</v>
      </c>
      <c r="AE161" s="289">
        <v>0.4</v>
      </c>
      <c r="AF161" s="289">
        <v>0.4</v>
      </c>
    </row>
    <row r="162" spans="2:33" ht="14" customHeight="1" x14ac:dyDescent="0.35">
      <c r="B162" s="6" t="s">
        <v>5449</v>
      </c>
      <c r="C162" s="7" t="s">
        <v>321</v>
      </c>
      <c r="D162" s="2"/>
      <c r="H162" s="268" t="s">
        <v>13</v>
      </c>
      <c r="Q162" s="289">
        <v>0.4</v>
      </c>
      <c r="R162" s="289">
        <v>0.4</v>
      </c>
      <c r="S162" s="289">
        <v>0.4</v>
      </c>
      <c r="T162" s="289">
        <v>0.4</v>
      </c>
      <c r="U162" s="289">
        <v>0.4</v>
      </c>
      <c r="V162" s="289">
        <v>0.4</v>
      </c>
      <c r="W162" s="289">
        <v>0.4</v>
      </c>
      <c r="X162" s="289">
        <v>0.4</v>
      </c>
      <c r="Y162" s="289">
        <v>0.4</v>
      </c>
      <c r="Z162" s="289">
        <v>0.4</v>
      </c>
      <c r="AA162" s="289">
        <v>0.4</v>
      </c>
      <c r="AB162" s="289">
        <v>0.4</v>
      </c>
      <c r="AC162" s="289">
        <v>0.4</v>
      </c>
      <c r="AD162" s="289">
        <v>0.4</v>
      </c>
      <c r="AE162" s="289">
        <v>0.4</v>
      </c>
      <c r="AF162" s="289">
        <v>0.4</v>
      </c>
    </row>
    <row r="163" spans="2:33" ht="15" customHeight="1" x14ac:dyDescent="0.35">
      <c r="B163" s="4" t="s">
        <v>5578</v>
      </c>
      <c r="C163" s="13"/>
      <c r="D163" s="281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</row>
    <row r="164" spans="2:33" ht="15" customHeight="1" x14ac:dyDescent="0.35">
      <c r="B164" s="6" t="s">
        <v>4048</v>
      </c>
      <c r="C164" s="6" t="s">
        <v>5521</v>
      </c>
      <c r="D164" s="2" t="s">
        <v>5522</v>
      </c>
      <c r="H164" s="268"/>
      <c r="I164" s="284">
        <v>0</v>
      </c>
      <c r="J164" s="284">
        <v>0</v>
      </c>
      <c r="K164" s="284">
        <v>0</v>
      </c>
      <c r="L164" s="284">
        <v>0</v>
      </c>
      <c r="M164" s="284">
        <v>0</v>
      </c>
      <c r="N164" s="284">
        <v>0</v>
      </c>
      <c r="O164" s="284">
        <v>0</v>
      </c>
      <c r="P164" s="284">
        <v>0</v>
      </c>
      <c r="Q164" s="285">
        <v>0</v>
      </c>
      <c r="R164" s="285">
        <v>0</v>
      </c>
      <c r="S164" s="285">
        <v>0</v>
      </c>
      <c r="T164" s="285">
        <v>0</v>
      </c>
      <c r="U164" s="285">
        <v>0</v>
      </c>
      <c r="V164" s="285">
        <v>0</v>
      </c>
      <c r="W164" s="285">
        <v>0</v>
      </c>
      <c r="X164" s="285">
        <v>0</v>
      </c>
      <c r="Y164" s="285">
        <v>0</v>
      </c>
      <c r="Z164" s="285">
        <v>0</v>
      </c>
      <c r="AA164" s="285">
        <v>0</v>
      </c>
      <c r="AB164" s="285">
        <v>0</v>
      </c>
      <c r="AC164" s="285">
        <v>0</v>
      </c>
      <c r="AD164" s="285">
        <v>0</v>
      </c>
      <c r="AE164" s="285">
        <v>0</v>
      </c>
      <c r="AF164" s="285">
        <v>0</v>
      </c>
    </row>
    <row r="165" spans="2:33" ht="15" customHeight="1" x14ac:dyDescent="0.35">
      <c r="B165" s="6" t="s">
        <v>4063</v>
      </c>
      <c r="C165" s="6" t="s">
        <v>5521</v>
      </c>
      <c r="D165" s="2" t="s">
        <v>5522</v>
      </c>
      <c r="H165" s="268"/>
      <c r="I165" s="284">
        <v>0</v>
      </c>
      <c r="J165" s="284">
        <v>0</v>
      </c>
      <c r="K165" s="284">
        <v>0</v>
      </c>
      <c r="L165" s="284">
        <v>0</v>
      </c>
      <c r="M165" s="284">
        <v>0</v>
      </c>
      <c r="N165" s="284">
        <v>0</v>
      </c>
      <c r="O165" s="284">
        <v>0</v>
      </c>
      <c r="P165" s="284">
        <v>0</v>
      </c>
      <c r="Q165" s="285">
        <v>0</v>
      </c>
      <c r="R165" s="285">
        <v>0</v>
      </c>
      <c r="S165" s="285">
        <v>0</v>
      </c>
      <c r="T165" s="285">
        <v>0</v>
      </c>
      <c r="U165" s="285">
        <v>0</v>
      </c>
      <c r="V165" s="285">
        <v>0</v>
      </c>
      <c r="W165" s="285">
        <v>0</v>
      </c>
      <c r="X165" s="285">
        <v>0</v>
      </c>
      <c r="Y165" s="285">
        <v>0</v>
      </c>
      <c r="Z165" s="285">
        <v>0</v>
      </c>
      <c r="AA165" s="285">
        <v>0</v>
      </c>
      <c r="AB165" s="285">
        <v>0</v>
      </c>
      <c r="AC165" s="285">
        <v>0</v>
      </c>
      <c r="AD165" s="285">
        <v>0</v>
      </c>
      <c r="AE165" s="285">
        <v>0</v>
      </c>
      <c r="AF165" s="285">
        <v>0</v>
      </c>
    </row>
    <row r="166" spans="2:33" ht="15" customHeight="1" x14ac:dyDescent="0.35">
      <c r="B166" s="6" t="s">
        <v>4065</v>
      </c>
      <c r="C166" s="6" t="s">
        <v>5521</v>
      </c>
      <c r="D166" s="2" t="s">
        <v>5523</v>
      </c>
      <c r="H166" s="268"/>
      <c r="I166" s="284">
        <v>0.11720700000000001</v>
      </c>
      <c r="J166" s="284">
        <v>0.11720700000000001</v>
      </c>
      <c r="K166" s="284">
        <v>0.11720700000000001</v>
      </c>
      <c r="L166" s="284">
        <v>0.11720700000000001</v>
      </c>
      <c r="M166" s="284">
        <v>0.11720700000000001</v>
      </c>
      <c r="N166" s="284">
        <v>0.11720700000000001</v>
      </c>
      <c r="O166" s="284">
        <v>0.11720700000000001</v>
      </c>
      <c r="P166" s="284">
        <v>0.11720700000000001</v>
      </c>
      <c r="Q166" s="285">
        <v>0.11720700000000001</v>
      </c>
      <c r="R166" s="285">
        <v>0.11720700000000001</v>
      </c>
      <c r="S166" s="285">
        <v>0.11720700000000001</v>
      </c>
      <c r="T166" s="285">
        <v>0.11720700000000001</v>
      </c>
      <c r="U166" s="285">
        <v>0.11720700000000001</v>
      </c>
      <c r="V166" s="285">
        <v>0.11720700000000001</v>
      </c>
      <c r="W166" s="285">
        <v>0.11720700000000001</v>
      </c>
      <c r="X166" s="285">
        <v>0.11720700000000001</v>
      </c>
      <c r="Y166" s="285">
        <v>0.11720700000000001</v>
      </c>
      <c r="Z166" s="285">
        <v>0.11720700000000001</v>
      </c>
      <c r="AA166" s="285">
        <v>0.11720700000000001</v>
      </c>
      <c r="AB166" s="285">
        <v>0.11720700000000001</v>
      </c>
      <c r="AC166" s="285">
        <v>0.11720700000000001</v>
      </c>
      <c r="AD166" s="285">
        <v>0.11720700000000001</v>
      </c>
      <c r="AE166" s="285">
        <v>0.11720700000000001</v>
      </c>
      <c r="AF166" s="285">
        <v>0.11720700000000001</v>
      </c>
    </row>
    <row r="167" spans="2:33" ht="15" customHeight="1" x14ac:dyDescent="0.35">
      <c r="B167" s="6" t="s">
        <v>32</v>
      </c>
      <c r="C167" s="6" t="s">
        <v>5521</v>
      </c>
      <c r="D167" s="2" t="s">
        <v>5522</v>
      </c>
      <c r="H167" s="268"/>
      <c r="I167" s="284">
        <v>0</v>
      </c>
      <c r="J167" s="284">
        <v>0</v>
      </c>
      <c r="K167" s="284">
        <v>0</v>
      </c>
      <c r="L167" s="284">
        <v>0</v>
      </c>
      <c r="M167" s="284">
        <v>0</v>
      </c>
      <c r="N167" s="284">
        <v>0</v>
      </c>
      <c r="O167" s="284">
        <v>0</v>
      </c>
      <c r="P167" s="284">
        <v>0</v>
      </c>
      <c r="Q167" s="285">
        <v>0</v>
      </c>
      <c r="R167" s="285">
        <v>0</v>
      </c>
      <c r="S167" s="285">
        <v>0</v>
      </c>
      <c r="T167" s="285">
        <v>0</v>
      </c>
      <c r="U167" s="285">
        <v>0</v>
      </c>
      <c r="V167" s="285">
        <v>0</v>
      </c>
      <c r="W167" s="285">
        <v>0</v>
      </c>
      <c r="X167" s="285">
        <v>0</v>
      </c>
      <c r="Y167" s="285">
        <v>0</v>
      </c>
      <c r="Z167" s="285">
        <v>0</v>
      </c>
      <c r="AA167" s="285">
        <v>0</v>
      </c>
      <c r="AB167" s="285">
        <v>0</v>
      </c>
      <c r="AC167" s="285">
        <v>0</v>
      </c>
      <c r="AD167" s="285">
        <v>0</v>
      </c>
      <c r="AE167" s="285">
        <v>0</v>
      </c>
      <c r="AF167" s="285">
        <v>0</v>
      </c>
    </row>
    <row r="168" spans="2:33" ht="15" customHeight="1" x14ac:dyDescent="0.35">
      <c r="B168" s="6" t="s">
        <v>4070</v>
      </c>
      <c r="C168" s="6" t="s">
        <v>5521</v>
      </c>
      <c r="D168" s="2" t="s">
        <v>5524</v>
      </c>
      <c r="H168" s="268"/>
      <c r="I168" s="284">
        <v>2.6089410000000002</v>
      </c>
      <c r="J168" s="284">
        <v>2.6089410000000002</v>
      </c>
      <c r="K168" s="284">
        <v>2.6089410000000002</v>
      </c>
      <c r="L168" s="284">
        <v>2.6089410000000002</v>
      </c>
      <c r="M168" s="284">
        <v>2.6089410000000002</v>
      </c>
      <c r="N168" s="284">
        <v>2.6089410000000002</v>
      </c>
      <c r="O168" s="284">
        <v>2.6089410000000002</v>
      </c>
      <c r="P168" s="284">
        <v>2.6089410000000002</v>
      </c>
      <c r="Q168" s="285">
        <v>2.6089410000000002</v>
      </c>
      <c r="R168" s="285">
        <v>2.6089410000000002</v>
      </c>
      <c r="S168" s="285">
        <v>2.6089410000000002</v>
      </c>
      <c r="T168" s="285">
        <v>2.6089410000000002</v>
      </c>
      <c r="U168" s="285">
        <v>2.6089410000000002</v>
      </c>
      <c r="V168" s="285">
        <v>2.6089410000000002</v>
      </c>
      <c r="W168" s="285">
        <v>2.6089410000000002</v>
      </c>
      <c r="X168" s="285">
        <v>2.6089410000000002</v>
      </c>
      <c r="Y168" s="285">
        <v>2.6089410000000002</v>
      </c>
      <c r="Z168" s="285">
        <v>2.6089410000000002</v>
      </c>
      <c r="AA168" s="285">
        <v>2.6089410000000002</v>
      </c>
      <c r="AB168" s="285">
        <v>2.6089410000000002</v>
      </c>
      <c r="AC168" s="285">
        <v>2.6089410000000002</v>
      </c>
      <c r="AD168" s="285">
        <v>2.6089410000000002</v>
      </c>
      <c r="AE168" s="285">
        <v>2.6089410000000002</v>
      </c>
      <c r="AF168" s="285">
        <v>2.6089410000000002</v>
      </c>
    </row>
    <row r="169" spans="2:33" ht="15" customHeight="1" x14ac:dyDescent="0.35">
      <c r="B169" s="6" t="s">
        <v>4072</v>
      </c>
      <c r="C169" s="6" t="s">
        <v>5521</v>
      </c>
      <c r="D169" s="2" t="s">
        <v>5525</v>
      </c>
      <c r="H169" s="268"/>
      <c r="I169" s="284">
        <v>2.1570999999999998</v>
      </c>
      <c r="J169" s="284">
        <v>2.1570999999999998</v>
      </c>
      <c r="K169" s="284">
        <v>2.1570999999999998</v>
      </c>
      <c r="L169" s="284">
        <v>2.1570999999999998</v>
      </c>
      <c r="M169" s="284">
        <v>2.1570999999999998</v>
      </c>
      <c r="N169" s="284">
        <v>2.1570999999999998</v>
      </c>
      <c r="O169" s="284">
        <v>2.1570999999999998</v>
      </c>
      <c r="P169" s="284">
        <v>2.1570999999999998</v>
      </c>
      <c r="Q169" s="285">
        <v>2.1570999999999998</v>
      </c>
      <c r="R169" s="285">
        <v>2.1570999999999998</v>
      </c>
      <c r="S169" s="285">
        <v>2.1570999999999998</v>
      </c>
      <c r="T169" s="285">
        <v>2.1570999999999998</v>
      </c>
      <c r="U169" s="285">
        <v>2.1570999999999998</v>
      </c>
      <c r="V169" s="285">
        <v>2.1570999999999998</v>
      </c>
      <c r="W169" s="285">
        <v>2.1570999999999998</v>
      </c>
      <c r="X169" s="285">
        <v>2.1570999999999998</v>
      </c>
      <c r="Y169" s="285">
        <v>2.1570999999999998</v>
      </c>
      <c r="Z169" s="285">
        <v>2.1570999999999998</v>
      </c>
      <c r="AA169" s="285">
        <v>2.1570999999999998</v>
      </c>
      <c r="AB169" s="285">
        <v>2.1570999999999998</v>
      </c>
      <c r="AC169" s="285">
        <v>2.1570999999999998</v>
      </c>
      <c r="AD169" s="285">
        <v>2.1570999999999998</v>
      </c>
      <c r="AE169" s="285">
        <v>2.1570999999999998</v>
      </c>
      <c r="AF169" s="285">
        <v>2.1570999999999998</v>
      </c>
    </row>
    <row r="170" spans="2:33" ht="15" customHeight="1" x14ac:dyDescent="0.35">
      <c r="B170" s="6" t="s">
        <v>4074</v>
      </c>
      <c r="C170" s="6" t="s">
        <v>5521</v>
      </c>
      <c r="D170" s="2" t="s">
        <v>5526</v>
      </c>
      <c r="H170" s="268"/>
      <c r="I170" s="284">
        <v>1.071124</v>
      </c>
      <c r="J170" s="284">
        <v>1.071124</v>
      </c>
      <c r="K170" s="284">
        <v>1.071124</v>
      </c>
      <c r="L170" s="284">
        <v>1.071124</v>
      </c>
      <c r="M170" s="284">
        <v>1.071124</v>
      </c>
      <c r="N170" s="284">
        <v>1.071124</v>
      </c>
      <c r="O170" s="284">
        <v>1.071124</v>
      </c>
      <c r="P170" s="284">
        <v>1.071124</v>
      </c>
      <c r="Q170" s="285">
        <v>1.071124</v>
      </c>
      <c r="R170" s="285">
        <v>1.071124</v>
      </c>
      <c r="S170" s="285">
        <v>1.071124</v>
      </c>
      <c r="T170" s="285">
        <v>1.071124</v>
      </c>
      <c r="U170" s="285">
        <v>1.071124</v>
      </c>
      <c r="V170" s="285">
        <v>1.071124</v>
      </c>
      <c r="W170" s="285">
        <v>1.071124</v>
      </c>
      <c r="X170" s="285">
        <v>1.071124</v>
      </c>
      <c r="Y170" s="285">
        <v>1.071124</v>
      </c>
      <c r="Z170" s="285">
        <v>1.071124</v>
      </c>
      <c r="AA170" s="285">
        <v>1.071124</v>
      </c>
      <c r="AB170" s="285">
        <v>1.071124</v>
      </c>
      <c r="AC170" s="285">
        <v>1.071124</v>
      </c>
      <c r="AD170" s="285">
        <v>1.071124</v>
      </c>
      <c r="AE170" s="285">
        <v>1.071124</v>
      </c>
      <c r="AF170" s="285">
        <v>1.071124</v>
      </c>
    </row>
    <row r="171" spans="2:33" ht="15" customHeight="1" x14ac:dyDescent="0.35">
      <c r="B171" s="6" t="s">
        <v>4076</v>
      </c>
      <c r="C171" s="6" t="s">
        <v>5521</v>
      </c>
      <c r="D171" s="2" t="s">
        <v>5527</v>
      </c>
      <c r="H171" s="268"/>
      <c r="I171" s="284">
        <v>0.81842499999999996</v>
      </c>
      <c r="J171" s="284">
        <v>0.81842499999999996</v>
      </c>
      <c r="K171" s="284">
        <v>0.81842499999999996</v>
      </c>
      <c r="L171" s="284">
        <v>0.81842499999999996</v>
      </c>
      <c r="M171" s="284">
        <v>0.81842499999999996</v>
      </c>
      <c r="N171" s="284">
        <v>0.81842499999999996</v>
      </c>
      <c r="O171" s="284">
        <v>0.81842499999999996</v>
      </c>
      <c r="P171" s="284">
        <v>0.81842499999999996</v>
      </c>
      <c r="Q171" s="285">
        <v>0.81842499999999996</v>
      </c>
      <c r="R171" s="285">
        <v>0.81842499999999996</v>
      </c>
      <c r="S171" s="285">
        <v>0.81842499999999996</v>
      </c>
      <c r="T171" s="285">
        <v>0.81842499999999996</v>
      </c>
      <c r="U171" s="285">
        <v>0.81842499999999996</v>
      </c>
      <c r="V171" s="285">
        <v>0.81842499999999996</v>
      </c>
      <c r="W171" s="285">
        <v>0.81842499999999996</v>
      </c>
      <c r="X171" s="285">
        <v>0.81842499999999996</v>
      </c>
      <c r="Y171" s="285">
        <v>0.81842499999999996</v>
      </c>
      <c r="Z171" s="285">
        <v>0.81842499999999996</v>
      </c>
      <c r="AA171" s="285">
        <v>0.81842499999999996</v>
      </c>
      <c r="AB171" s="285">
        <v>0.81842499999999996</v>
      </c>
      <c r="AC171" s="285">
        <v>0.81842499999999996</v>
      </c>
      <c r="AD171" s="285">
        <v>0.81842499999999996</v>
      </c>
      <c r="AE171" s="285">
        <v>0.81842499999999996</v>
      </c>
      <c r="AF171" s="285">
        <v>0.81842499999999996</v>
      </c>
    </row>
    <row r="172" spans="2:33" ht="15" customHeight="1" x14ac:dyDescent="0.35">
      <c r="B172" s="6" t="s">
        <v>5528</v>
      </c>
      <c r="C172" s="6" t="s">
        <v>5521</v>
      </c>
      <c r="D172" s="2" t="s">
        <v>5529</v>
      </c>
      <c r="H172" s="268"/>
      <c r="I172" s="284">
        <v>2.9819740000000001</v>
      </c>
      <c r="J172" s="284">
        <v>2.9819740000000001</v>
      </c>
      <c r="K172" s="284">
        <v>2.9819740000000001</v>
      </c>
      <c r="L172" s="284">
        <v>2.9819740000000001</v>
      </c>
      <c r="M172" s="284">
        <v>2.9819740000000001</v>
      </c>
      <c r="N172" s="284">
        <v>2.9819740000000001</v>
      </c>
      <c r="O172" s="284">
        <v>2.9819740000000001</v>
      </c>
      <c r="P172" s="284">
        <v>2.9819740000000001</v>
      </c>
      <c r="Q172" s="285">
        <v>2.9819740000000001</v>
      </c>
      <c r="R172" s="285">
        <v>2.9819740000000001</v>
      </c>
      <c r="S172" s="285">
        <v>2.9819740000000001</v>
      </c>
      <c r="T172" s="285">
        <v>2.9819740000000001</v>
      </c>
      <c r="U172" s="285">
        <v>2.9819740000000001</v>
      </c>
      <c r="V172" s="285">
        <v>2.9819740000000001</v>
      </c>
      <c r="W172" s="285">
        <v>2.9819740000000001</v>
      </c>
      <c r="X172" s="285">
        <v>2.9819740000000001</v>
      </c>
      <c r="Y172" s="285">
        <v>2.9819740000000001</v>
      </c>
      <c r="Z172" s="285">
        <v>2.9819740000000001</v>
      </c>
      <c r="AA172" s="285">
        <v>2.9819740000000001</v>
      </c>
      <c r="AB172" s="285">
        <v>2.9819740000000001</v>
      </c>
      <c r="AC172" s="285">
        <v>2.9819740000000001</v>
      </c>
      <c r="AD172" s="285">
        <v>2.9819740000000001</v>
      </c>
      <c r="AE172" s="285">
        <v>2.9819740000000001</v>
      </c>
      <c r="AF172" s="285">
        <v>2.9819740000000001</v>
      </c>
    </row>
    <row r="173" spans="2:33" ht="15" customHeight="1" x14ac:dyDescent="0.35">
      <c r="B173" s="4" t="s">
        <v>5579</v>
      </c>
      <c r="C173" s="13"/>
      <c r="D173" s="281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 spans="2:33" ht="15" customHeight="1" x14ac:dyDescent="0.35">
      <c r="B174" s="7" t="s">
        <v>4048</v>
      </c>
      <c r="C174" s="2" t="s">
        <v>3900</v>
      </c>
      <c r="E174" s="7"/>
      <c r="H174" s="268"/>
      <c r="I174" s="282">
        <v>0</v>
      </c>
      <c r="J174" s="282">
        <v>0</v>
      </c>
      <c r="K174" s="282">
        <v>0</v>
      </c>
      <c r="L174" s="282">
        <v>0</v>
      </c>
      <c r="M174" s="282">
        <v>0</v>
      </c>
      <c r="N174" s="282">
        <v>0</v>
      </c>
      <c r="O174" s="282">
        <v>0</v>
      </c>
      <c r="P174" s="282">
        <v>0</v>
      </c>
      <c r="Q174" s="282">
        <v>0</v>
      </c>
      <c r="R174" s="283">
        <v>0</v>
      </c>
      <c r="S174" s="283">
        <v>0</v>
      </c>
      <c r="T174" s="283">
        <v>0</v>
      </c>
      <c r="U174" s="283">
        <v>0</v>
      </c>
      <c r="V174" s="283">
        <v>0</v>
      </c>
      <c r="W174" s="283">
        <v>0</v>
      </c>
      <c r="X174" s="283">
        <v>0</v>
      </c>
      <c r="Y174" s="283">
        <v>0</v>
      </c>
      <c r="Z174" s="283">
        <v>0</v>
      </c>
      <c r="AA174" s="283">
        <v>0</v>
      </c>
      <c r="AB174" s="283">
        <v>0</v>
      </c>
      <c r="AC174" s="283">
        <v>0</v>
      </c>
      <c r="AD174" s="283">
        <v>0</v>
      </c>
      <c r="AE174" s="283">
        <v>0</v>
      </c>
      <c r="AF174" s="283">
        <v>0</v>
      </c>
    </row>
    <row r="175" spans="2:33" ht="15" customHeight="1" x14ac:dyDescent="0.35">
      <c r="B175" s="7" t="s">
        <v>4063</v>
      </c>
      <c r="C175" s="2" t="s">
        <v>3900</v>
      </c>
      <c r="E175" s="7"/>
      <c r="H175" s="268"/>
      <c r="I175" s="282">
        <v>0</v>
      </c>
      <c r="J175" s="282">
        <v>0</v>
      </c>
      <c r="K175" s="282">
        <v>0</v>
      </c>
      <c r="L175" s="282">
        <v>0</v>
      </c>
      <c r="M175" s="282">
        <v>0</v>
      </c>
      <c r="N175" s="282">
        <v>0</v>
      </c>
      <c r="O175" s="282">
        <v>0</v>
      </c>
      <c r="P175" s="282">
        <v>0</v>
      </c>
      <c r="Q175" s="282">
        <v>0</v>
      </c>
      <c r="R175" s="283">
        <v>0</v>
      </c>
      <c r="S175" s="283">
        <v>0</v>
      </c>
      <c r="T175" s="283">
        <v>0</v>
      </c>
      <c r="U175" s="283">
        <v>0</v>
      </c>
      <c r="V175" s="283">
        <v>0</v>
      </c>
      <c r="W175" s="283">
        <v>0</v>
      </c>
      <c r="X175" s="283">
        <v>0</v>
      </c>
      <c r="Y175" s="283">
        <v>0</v>
      </c>
      <c r="Z175" s="283">
        <v>0</v>
      </c>
      <c r="AA175" s="283">
        <v>0</v>
      </c>
      <c r="AB175" s="283">
        <v>0</v>
      </c>
      <c r="AC175" s="283">
        <v>0</v>
      </c>
      <c r="AD175" s="283">
        <v>0</v>
      </c>
      <c r="AE175" s="283">
        <v>0</v>
      </c>
      <c r="AF175" s="283">
        <v>0</v>
      </c>
    </row>
    <row r="176" spans="2:33" ht="15" customHeight="1" x14ac:dyDescent="0.35">
      <c r="B176" s="7" t="s">
        <v>4065</v>
      </c>
      <c r="C176" s="2" t="s">
        <v>3900</v>
      </c>
      <c r="E176" s="7"/>
      <c r="H176" s="268"/>
      <c r="I176" s="282">
        <v>0</v>
      </c>
      <c r="J176" s="282">
        <v>0</v>
      </c>
      <c r="K176" s="282">
        <v>0</v>
      </c>
      <c r="L176" s="282">
        <v>0</v>
      </c>
      <c r="M176" s="282">
        <v>0</v>
      </c>
      <c r="N176" s="282">
        <v>0</v>
      </c>
      <c r="O176" s="282">
        <v>0</v>
      </c>
      <c r="P176" s="282">
        <v>0</v>
      </c>
      <c r="Q176" s="282">
        <v>0</v>
      </c>
      <c r="R176" s="283">
        <v>0</v>
      </c>
      <c r="S176" s="283">
        <v>0</v>
      </c>
      <c r="T176" s="283">
        <v>0</v>
      </c>
      <c r="U176" s="283">
        <v>0</v>
      </c>
      <c r="V176" s="283">
        <v>0</v>
      </c>
      <c r="W176" s="283">
        <v>0</v>
      </c>
      <c r="X176" s="283">
        <v>0</v>
      </c>
      <c r="Y176" s="283">
        <v>0</v>
      </c>
      <c r="Z176" s="283">
        <v>0</v>
      </c>
      <c r="AA176" s="283">
        <v>0</v>
      </c>
      <c r="AB176" s="283">
        <v>0</v>
      </c>
      <c r="AC176" s="283">
        <v>0</v>
      </c>
      <c r="AD176" s="283">
        <v>0</v>
      </c>
      <c r="AE176" s="283">
        <v>0</v>
      </c>
      <c r="AF176" s="283">
        <v>0</v>
      </c>
    </row>
    <row r="177" spans="2:32" ht="15" customHeight="1" x14ac:dyDescent="0.35">
      <c r="B177" s="7" t="s">
        <v>32</v>
      </c>
      <c r="C177" s="2" t="s">
        <v>5530</v>
      </c>
      <c r="E177" s="7"/>
      <c r="H177" s="268"/>
      <c r="I177" s="282">
        <v>0</v>
      </c>
      <c r="J177" s="282">
        <v>0</v>
      </c>
      <c r="K177" s="282">
        <v>0</v>
      </c>
      <c r="L177" s="282">
        <v>0</v>
      </c>
      <c r="M177" s="282">
        <v>0</v>
      </c>
      <c r="N177" s="282">
        <v>0</v>
      </c>
      <c r="O177" s="282">
        <v>0</v>
      </c>
      <c r="P177" s="282">
        <v>0</v>
      </c>
      <c r="Q177" s="282">
        <v>0</v>
      </c>
      <c r="R177" s="283">
        <v>0</v>
      </c>
      <c r="S177" s="283">
        <v>0</v>
      </c>
      <c r="T177" s="283">
        <v>0</v>
      </c>
      <c r="U177" s="283">
        <v>0</v>
      </c>
      <c r="V177" s="283">
        <v>0</v>
      </c>
      <c r="W177" s="283">
        <v>0</v>
      </c>
      <c r="X177" s="283">
        <v>0</v>
      </c>
      <c r="Y177" s="283">
        <v>0</v>
      </c>
      <c r="Z177" s="283">
        <v>0</v>
      </c>
      <c r="AA177" s="283">
        <v>0</v>
      </c>
      <c r="AB177" s="283">
        <v>0</v>
      </c>
      <c r="AC177" s="283">
        <v>0</v>
      </c>
      <c r="AD177" s="283">
        <v>0</v>
      </c>
      <c r="AE177" s="283">
        <v>0</v>
      </c>
      <c r="AF177" s="283">
        <v>0</v>
      </c>
    </row>
    <row r="178" spans="2:32" ht="15" customHeight="1" x14ac:dyDescent="0.35">
      <c r="B178" s="7" t="s">
        <v>4070</v>
      </c>
      <c r="C178" s="2" t="s">
        <v>3900</v>
      </c>
      <c r="E178" s="7"/>
      <c r="H178" s="268"/>
      <c r="I178" s="282">
        <v>0</v>
      </c>
      <c r="J178" s="282">
        <v>0</v>
      </c>
      <c r="K178" s="282">
        <v>0</v>
      </c>
      <c r="L178" s="282">
        <v>0</v>
      </c>
      <c r="M178" s="282">
        <v>0</v>
      </c>
      <c r="N178" s="282">
        <v>0</v>
      </c>
      <c r="O178" s="282">
        <v>0</v>
      </c>
      <c r="P178" s="282">
        <v>0</v>
      </c>
      <c r="Q178" s="282">
        <v>0</v>
      </c>
      <c r="R178" s="283">
        <v>0</v>
      </c>
      <c r="S178" s="283">
        <v>0</v>
      </c>
      <c r="T178" s="283">
        <v>0</v>
      </c>
      <c r="U178" s="283">
        <v>0</v>
      </c>
      <c r="V178" s="283">
        <v>0</v>
      </c>
      <c r="W178" s="283">
        <v>0</v>
      </c>
      <c r="X178" s="283">
        <v>0</v>
      </c>
      <c r="Y178" s="283">
        <v>0</v>
      </c>
      <c r="Z178" s="283">
        <v>0</v>
      </c>
      <c r="AA178" s="283">
        <v>0</v>
      </c>
      <c r="AB178" s="283">
        <v>0</v>
      </c>
      <c r="AC178" s="283">
        <v>0</v>
      </c>
      <c r="AD178" s="283">
        <v>0</v>
      </c>
      <c r="AE178" s="283">
        <v>0</v>
      </c>
      <c r="AF178" s="283">
        <v>0</v>
      </c>
    </row>
    <row r="179" spans="2:32" ht="15" customHeight="1" x14ac:dyDescent="0.35">
      <c r="B179" s="7" t="s">
        <v>4072</v>
      </c>
      <c r="C179" s="2" t="s">
        <v>3900</v>
      </c>
      <c r="E179" s="7"/>
      <c r="H179" s="268"/>
      <c r="I179" s="282">
        <v>0</v>
      </c>
      <c r="J179" s="282">
        <v>0</v>
      </c>
      <c r="K179" s="282">
        <v>0</v>
      </c>
      <c r="L179" s="282">
        <v>0</v>
      </c>
      <c r="M179" s="282">
        <v>0</v>
      </c>
      <c r="N179" s="282">
        <v>0</v>
      </c>
      <c r="O179" s="282">
        <v>0</v>
      </c>
      <c r="P179" s="282">
        <v>0</v>
      </c>
      <c r="Q179" s="282">
        <v>0</v>
      </c>
      <c r="R179" s="283">
        <v>0</v>
      </c>
      <c r="S179" s="283">
        <v>0</v>
      </c>
      <c r="T179" s="283">
        <v>0</v>
      </c>
      <c r="U179" s="283">
        <v>0</v>
      </c>
      <c r="V179" s="283">
        <v>0</v>
      </c>
      <c r="W179" s="283">
        <v>0</v>
      </c>
      <c r="X179" s="283">
        <v>0</v>
      </c>
      <c r="Y179" s="283">
        <v>0</v>
      </c>
      <c r="Z179" s="283">
        <v>0</v>
      </c>
      <c r="AA179" s="283">
        <v>0</v>
      </c>
      <c r="AB179" s="283">
        <v>0</v>
      </c>
      <c r="AC179" s="283">
        <v>0</v>
      </c>
      <c r="AD179" s="283">
        <v>0</v>
      </c>
      <c r="AE179" s="283">
        <v>0</v>
      </c>
      <c r="AF179" s="283">
        <v>0</v>
      </c>
    </row>
    <row r="180" spans="2:32" ht="15" customHeight="1" x14ac:dyDescent="0.35">
      <c r="B180" s="7" t="s">
        <v>4074</v>
      </c>
      <c r="C180" s="2" t="s">
        <v>3900</v>
      </c>
      <c r="E180" s="7"/>
      <c r="H180" s="268"/>
      <c r="I180" s="282">
        <v>0</v>
      </c>
      <c r="J180" s="282">
        <v>0</v>
      </c>
      <c r="K180" s="282">
        <v>0</v>
      </c>
      <c r="L180" s="282">
        <v>0</v>
      </c>
      <c r="M180" s="282">
        <v>0</v>
      </c>
      <c r="N180" s="282">
        <v>0</v>
      </c>
      <c r="O180" s="282">
        <v>0</v>
      </c>
      <c r="P180" s="282">
        <v>0</v>
      </c>
      <c r="Q180" s="282">
        <v>0</v>
      </c>
      <c r="R180" s="283">
        <v>0</v>
      </c>
      <c r="S180" s="283">
        <v>0</v>
      </c>
      <c r="T180" s="283">
        <v>0</v>
      </c>
      <c r="U180" s="283">
        <v>0</v>
      </c>
      <c r="V180" s="283">
        <v>0</v>
      </c>
      <c r="W180" s="283">
        <v>0</v>
      </c>
      <c r="X180" s="283">
        <v>0</v>
      </c>
      <c r="Y180" s="283">
        <v>0</v>
      </c>
      <c r="Z180" s="283">
        <v>0</v>
      </c>
      <c r="AA180" s="283">
        <v>0</v>
      </c>
      <c r="AB180" s="283">
        <v>0</v>
      </c>
      <c r="AC180" s="283">
        <v>0</v>
      </c>
      <c r="AD180" s="283">
        <v>0</v>
      </c>
      <c r="AE180" s="283">
        <v>0</v>
      </c>
      <c r="AF180" s="283">
        <v>0</v>
      </c>
    </row>
    <row r="181" spans="2:32" ht="15" customHeight="1" x14ac:dyDescent="0.35">
      <c r="B181" s="7" t="s">
        <v>4076</v>
      </c>
      <c r="C181" s="2" t="s">
        <v>3900</v>
      </c>
      <c r="E181" s="7"/>
      <c r="H181" s="268"/>
      <c r="I181" s="282">
        <v>0</v>
      </c>
      <c r="J181" s="282">
        <v>0</v>
      </c>
      <c r="K181" s="282">
        <v>0</v>
      </c>
      <c r="L181" s="282">
        <v>0</v>
      </c>
      <c r="M181" s="282">
        <v>0</v>
      </c>
      <c r="N181" s="282">
        <v>0</v>
      </c>
      <c r="O181" s="282">
        <v>0</v>
      </c>
      <c r="P181" s="282">
        <v>0</v>
      </c>
      <c r="Q181" s="282">
        <v>0</v>
      </c>
      <c r="R181" s="283">
        <v>0</v>
      </c>
      <c r="S181" s="283">
        <v>0</v>
      </c>
      <c r="T181" s="283">
        <v>0</v>
      </c>
      <c r="U181" s="283">
        <v>0</v>
      </c>
      <c r="V181" s="283">
        <v>0</v>
      </c>
      <c r="W181" s="283">
        <v>0</v>
      </c>
      <c r="X181" s="283">
        <v>0</v>
      </c>
      <c r="Y181" s="283">
        <v>0</v>
      </c>
      <c r="Z181" s="283">
        <v>0</v>
      </c>
      <c r="AA181" s="283">
        <v>0</v>
      </c>
      <c r="AB181" s="283">
        <v>0</v>
      </c>
      <c r="AC181" s="283">
        <v>0</v>
      </c>
      <c r="AD181" s="283">
        <v>0</v>
      </c>
      <c r="AE181" s="283">
        <v>0</v>
      </c>
      <c r="AF181" s="283">
        <v>0</v>
      </c>
    </row>
    <row r="182" spans="2:32" ht="15" customHeight="1" x14ac:dyDescent="0.35">
      <c r="B182" s="7" t="s">
        <v>5528</v>
      </c>
      <c r="C182" s="2" t="s">
        <v>4079</v>
      </c>
      <c r="E182" s="7"/>
      <c r="H182" s="268"/>
      <c r="I182" s="282">
        <v>0</v>
      </c>
      <c r="J182" s="282">
        <v>0</v>
      </c>
      <c r="K182" s="282">
        <v>0</v>
      </c>
      <c r="L182" s="282">
        <v>0</v>
      </c>
      <c r="M182" s="282">
        <v>0</v>
      </c>
      <c r="N182" s="282">
        <v>0</v>
      </c>
      <c r="O182" s="282">
        <v>0</v>
      </c>
      <c r="P182" s="282">
        <v>0</v>
      </c>
      <c r="Q182" s="282">
        <v>0</v>
      </c>
      <c r="R182" s="283">
        <v>0</v>
      </c>
      <c r="S182" s="283">
        <v>0</v>
      </c>
      <c r="T182" s="283">
        <v>0</v>
      </c>
      <c r="U182" s="283">
        <v>0</v>
      </c>
      <c r="V182" s="283">
        <v>0</v>
      </c>
      <c r="W182" s="283">
        <v>0</v>
      </c>
      <c r="X182" s="283">
        <v>0</v>
      </c>
      <c r="Y182" s="283">
        <v>0</v>
      </c>
      <c r="Z182" s="283">
        <v>0</v>
      </c>
      <c r="AA182" s="283">
        <v>0</v>
      </c>
      <c r="AB182" s="283">
        <v>0</v>
      </c>
      <c r="AC182" s="283">
        <v>0</v>
      </c>
      <c r="AD182" s="283">
        <v>0</v>
      </c>
      <c r="AE182" s="283">
        <v>0</v>
      </c>
      <c r="AF182" s="283">
        <v>0</v>
      </c>
    </row>
    <row r="198" spans="2:32" x14ac:dyDescent="0.35">
      <c r="B198" t="s">
        <v>5531</v>
      </c>
      <c r="I198">
        <v>9777</v>
      </c>
      <c r="J198">
        <v>9777</v>
      </c>
      <c r="K198">
        <v>9777</v>
      </c>
      <c r="L198">
        <v>9777</v>
      </c>
      <c r="M198">
        <v>9777</v>
      </c>
      <c r="N198">
        <v>9777</v>
      </c>
      <c r="O198">
        <v>9777</v>
      </c>
      <c r="P198">
        <v>9777</v>
      </c>
      <c r="Q198">
        <v>9777</v>
      </c>
      <c r="R198">
        <v>9777</v>
      </c>
      <c r="S198">
        <v>9777</v>
      </c>
      <c r="T198">
        <v>9777</v>
      </c>
      <c r="U198">
        <v>9777</v>
      </c>
      <c r="V198">
        <v>9777</v>
      </c>
      <c r="W198">
        <v>9777</v>
      </c>
      <c r="X198">
        <v>9777</v>
      </c>
      <c r="Y198">
        <v>9777</v>
      </c>
      <c r="Z198">
        <v>9777</v>
      </c>
      <c r="AA198">
        <v>9777</v>
      </c>
      <c r="AB198">
        <v>9777</v>
      </c>
      <c r="AC198">
        <v>9777</v>
      </c>
      <c r="AD198">
        <v>9777</v>
      </c>
      <c r="AE198">
        <v>9777</v>
      </c>
      <c r="AF198">
        <v>9777</v>
      </c>
    </row>
  </sheetData>
  <dataValidations disablePrompts="1" count="1">
    <dataValidation type="whole" showErrorMessage="1" errorTitle="Kebijakan grade" error="Hanya nilai 1 yang valid dalam cakupan build R2 (kebijakan KW2 habis / waste tanpa nilai)." sqref="Q147:AF154" xr:uid="{00000000-0002-0000-0900-000000000000}">
      <formula1>1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BMG Business Plan</vt:lpstr>
      <vt:lpstr>Business Plan - Model Details</vt:lpstr>
      <vt:lpstr>Register FA</vt:lpstr>
      <vt:lpstr>BS Actual MTM - Aug 26</vt:lpstr>
      <vt:lpstr>PL Actual MTM - Aug 26</vt:lpstr>
      <vt:lpstr>DATA - GL Aktual 2026</vt:lpstr>
      <vt:lpstr>Data Aktual</vt:lpstr>
      <vt:lpstr>Input Operasional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Dika Irawan</dc:creator>
  <dc:description/>
  <cp:lastModifiedBy>Dika Irawan</cp:lastModifiedBy>
  <cp:revision>45</cp:revision>
  <dcterms:created xsi:type="dcterms:W3CDTF">2026-05-06T03:30:39Z</dcterms:created>
  <dcterms:modified xsi:type="dcterms:W3CDTF">2026-09-26T21:54:13Z</dcterms:modified>
  <dc:language>en-US</dc:language>
</cp:coreProperties>
</file>